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on\Desktop\yuru\"/>
    </mc:Choice>
  </mc:AlternateContent>
  <bookViews>
    <workbookView xWindow="0" yWindow="0" windowWidth="19200" windowHeight="8170" activeTab="2"/>
  </bookViews>
  <sheets>
    <sheet name="生產達成率(目標)" sheetId="13" r:id="rId1"/>
    <sheet name="112年全品項生產鍋數" sheetId="5" r:id="rId2"/>
    <sheet name="資料總表" sheetId="12" r:id="rId3"/>
    <sheet name="工時" sheetId="24" r:id="rId4"/>
    <sheet name="領料單繳回統計" sheetId="25" r:id="rId5"/>
  </sheets>
  <definedNames>
    <definedName name="_xlnm._FilterDatabase" localSheetId="1" hidden="1">'112年全品項生產鍋數'!$A$2:$K$180</definedName>
    <definedName name="_xlnm._FilterDatabase" localSheetId="3" hidden="1">工時!$A$1:$T$2566</definedName>
    <definedName name="_xlnm._FilterDatabase" localSheetId="0" hidden="1">'生產達成率(目標)'!$A$1:$C$150</definedName>
    <definedName name="_xlnm._FilterDatabase" localSheetId="2" hidden="1">資料總表!$A$1:$AD$3856</definedName>
    <definedName name="_xlnm.Print_Titles" localSheetId="2">資料總表!$1:$1</definedName>
  </definedNames>
  <calcPr calcId="152511"/>
  <pivotCaches>
    <pivotCache cacheId="0" r:id="rId6"/>
  </pivotCaches>
  <fileRecoveryPr autoRecover="0"/>
</workbook>
</file>

<file path=xl/calcChain.xml><?xml version="1.0" encoding="utf-8"?>
<calcChain xmlns="http://schemas.openxmlformats.org/spreadsheetml/2006/main">
  <c r="M3374" i="12" l="1"/>
  <c r="M3375" i="12"/>
  <c r="M3376" i="12"/>
  <c r="M3377" i="12"/>
  <c r="M3378" i="12"/>
  <c r="M3379" i="12"/>
  <c r="M3380" i="12"/>
  <c r="M3381" i="12"/>
  <c r="M3382" i="12"/>
  <c r="M3383" i="12"/>
  <c r="M3384" i="12"/>
  <c r="M3385" i="12"/>
  <c r="M3386" i="12"/>
  <c r="M3387" i="12"/>
  <c r="M3388" i="12"/>
  <c r="M3389" i="12"/>
  <c r="M3390" i="12"/>
  <c r="M3391" i="12"/>
  <c r="M3392" i="12"/>
  <c r="M3393" i="12"/>
  <c r="M3394" i="12"/>
  <c r="M3395" i="12"/>
  <c r="M3396" i="12"/>
  <c r="M3397" i="12"/>
  <c r="M3398" i="12"/>
  <c r="M3399" i="12"/>
  <c r="M3400" i="12"/>
  <c r="M3401" i="12"/>
  <c r="M3402" i="12"/>
  <c r="M3403" i="12"/>
  <c r="M3404" i="12"/>
  <c r="M3405" i="12"/>
  <c r="M3406" i="12"/>
  <c r="M3407" i="12"/>
  <c r="M3408" i="12"/>
  <c r="M3409" i="12"/>
  <c r="M3410" i="12"/>
  <c r="M3411" i="12"/>
  <c r="H3411" i="12"/>
  <c r="P3391" i="12"/>
  <c r="P3394" i="12"/>
  <c r="H3394" i="12"/>
  <c r="H3391" i="12"/>
  <c r="H3383" i="12"/>
  <c r="P3383" i="12"/>
  <c r="H3375" i="12"/>
  <c r="P3375" i="12"/>
  <c r="P3374" i="12"/>
  <c r="H3374" i="12"/>
  <c r="P3370" i="12"/>
  <c r="C2618" i="24" l="1"/>
  <c r="C2617" i="24"/>
  <c r="C2616" i="24"/>
  <c r="C2615" i="24"/>
  <c r="C2614" i="24"/>
  <c r="C2613" i="24"/>
  <c r="C2612" i="24"/>
  <c r="C2611" i="24"/>
  <c r="C2610" i="24"/>
  <c r="C2609" i="24"/>
  <c r="C2608" i="24"/>
  <c r="C2607" i="24"/>
  <c r="C2606" i="24"/>
  <c r="C2605" i="24"/>
  <c r="C2604" i="24"/>
  <c r="C2603" i="24"/>
  <c r="C2602" i="24"/>
  <c r="C2601" i="24"/>
  <c r="C2600" i="24"/>
  <c r="C2599" i="24"/>
  <c r="C2598" i="24"/>
  <c r="C2597" i="24"/>
  <c r="C2596" i="24"/>
  <c r="C2595" i="24"/>
  <c r="C2594" i="24"/>
  <c r="C2593" i="24"/>
  <c r="C2592" i="24"/>
  <c r="C2591" i="24"/>
  <c r="C2590" i="24"/>
  <c r="C2589" i="24"/>
  <c r="C2588" i="24"/>
  <c r="C2587" i="24"/>
  <c r="C2586" i="24"/>
  <c r="C2585" i="24"/>
  <c r="C2584" i="24"/>
  <c r="C2583" i="24"/>
  <c r="C2582" i="24"/>
  <c r="C2581" i="24"/>
  <c r="C2580" i="24"/>
  <c r="C2579" i="24"/>
  <c r="C2575" i="24"/>
  <c r="C2574" i="24"/>
  <c r="C2573" i="24"/>
  <c r="C2572" i="24"/>
  <c r="C2571" i="24"/>
  <c r="C2570" i="24"/>
  <c r="C2569" i="24"/>
  <c r="C2568" i="24"/>
  <c r="C2567" i="24"/>
  <c r="C2566" i="24"/>
  <c r="C2565" i="24"/>
  <c r="C2564" i="24"/>
  <c r="C2563" i="24"/>
  <c r="C2562" i="24"/>
  <c r="AD3404" i="12" l="1"/>
  <c r="AC3404" i="12"/>
  <c r="Q3404" i="12"/>
  <c r="O3404" i="12"/>
  <c r="K3404" i="12"/>
  <c r="F3404" i="12"/>
  <c r="G3404" i="12" s="1"/>
  <c r="E3404" i="12"/>
  <c r="I3404" i="12" s="1"/>
  <c r="C3404" i="12"/>
  <c r="J3404" i="12" l="1"/>
  <c r="L3404" i="12" s="1"/>
  <c r="AD3370" i="12"/>
  <c r="AD3365" i="12" l="1"/>
  <c r="AD3364" i="12"/>
  <c r="N2525" i="24" l="1"/>
  <c r="I2525" i="24"/>
  <c r="N2530" i="24"/>
  <c r="I2530" i="24"/>
  <c r="P3342" i="12"/>
  <c r="AC3373" i="12"/>
  <c r="AC3369" i="12"/>
  <c r="AC3368" i="12"/>
  <c r="AC3361" i="12"/>
  <c r="AC3360" i="12"/>
  <c r="AD3371" i="12"/>
  <c r="AD3369" i="12"/>
  <c r="AD3368" i="12"/>
  <c r="AD3363" i="12"/>
  <c r="AD3362" i="12"/>
  <c r="AD3361" i="12"/>
  <c r="AD3360" i="12"/>
  <c r="AD3356" i="12"/>
  <c r="AD3355" i="12"/>
  <c r="AD3353" i="12"/>
  <c r="AD3352" i="12"/>
  <c r="AD3351" i="12"/>
  <c r="O2525" i="24" l="1"/>
  <c r="P3371" i="12" l="1"/>
  <c r="H3370" i="12"/>
  <c r="H3371" i="12"/>
  <c r="P3356" i="12"/>
  <c r="P3359" i="12"/>
  <c r="H3359" i="12"/>
  <c r="H3356" i="12"/>
  <c r="G3348" i="12" l="1"/>
  <c r="G3318" i="12"/>
  <c r="G3294" i="12"/>
  <c r="P3307" i="12" l="1"/>
  <c r="H2203" i="12"/>
  <c r="P2453" i="12"/>
  <c r="H2453" i="12"/>
  <c r="P2964" i="12"/>
  <c r="H2964" i="12"/>
  <c r="P3305" i="12" l="1"/>
  <c r="P3321" i="12"/>
  <c r="H3321" i="12"/>
  <c r="P3344" i="12"/>
  <c r="H3344" i="12"/>
  <c r="P3341" i="12"/>
  <c r="H3342" i="12"/>
  <c r="H3341" i="12"/>
  <c r="O3312" i="12"/>
  <c r="Q3312" i="12"/>
  <c r="AC3312" i="12"/>
  <c r="AD3312" i="12"/>
  <c r="R2627" i="24"/>
  <c r="Q2627" i="24"/>
  <c r="P2627" i="24"/>
  <c r="N2627" i="24"/>
  <c r="I2627" i="24"/>
  <c r="Q2626" i="24"/>
  <c r="P2626" i="24"/>
  <c r="R2626" i="24" s="1"/>
  <c r="N2626" i="24"/>
  <c r="I2626" i="24"/>
  <c r="R2625" i="24"/>
  <c r="Q2625" i="24"/>
  <c r="P2625" i="24"/>
  <c r="N2625" i="24"/>
  <c r="I2625" i="24"/>
  <c r="Q2624" i="24"/>
  <c r="P2624" i="24"/>
  <c r="R2624" i="24" s="1"/>
  <c r="N2624" i="24"/>
  <c r="I2624" i="24"/>
  <c r="R2623" i="24"/>
  <c r="Q2623" i="24"/>
  <c r="P2623" i="24"/>
  <c r="N2623" i="24"/>
  <c r="I2623" i="24"/>
  <c r="Q2622" i="24"/>
  <c r="P2622" i="24"/>
  <c r="R2622" i="24" s="1"/>
  <c r="N2622" i="24"/>
  <c r="I2622" i="24"/>
  <c r="R2621" i="24"/>
  <c r="Q2621" i="24"/>
  <c r="P2621" i="24"/>
  <c r="N2621" i="24"/>
  <c r="I2621" i="24"/>
  <c r="Q2620" i="24"/>
  <c r="P2620" i="24"/>
  <c r="R2620" i="24" s="1"/>
  <c r="N2620" i="24"/>
  <c r="I2620" i="24"/>
  <c r="R2619" i="24"/>
  <c r="Q2619" i="24"/>
  <c r="P2619" i="24"/>
  <c r="N2619" i="24"/>
  <c r="I2619" i="24"/>
  <c r="Q2618" i="24"/>
  <c r="P2618" i="24"/>
  <c r="R2618" i="24" s="1"/>
  <c r="N2618" i="24"/>
  <c r="I2618" i="24"/>
  <c r="R2617" i="24"/>
  <c r="Q2617" i="24"/>
  <c r="P2617" i="24"/>
  <c r="N2617" i="24"/>
  <c r="I2617" i="24"/>
  <c r="Q2616" i="24"/>
  <c r="P2616" i="24"/>
  <c r="R2616" i="24" s="1"/>
  <c r="N2616" i="24"/>
  <c r="I2616" i="24"/>
  <c r="R2615" i="24"/>
  <c r="Q2615" i="24"/>
  <c r="P2615" i="24"/>
  <c r="N2615" i="24"/>
  <c r="I2615" i="24"/>
  <c r="Q2614" i="24"/>
  <c r="P2614" i="24"/>
  <c r="R2614" i="24" s="1"/>
  <c r="N2614" i="24"/>
  <c r="I2614" i="24"/>
  <c r="R2613" i="24"/>
  <c r="Q2613" i="24"/>
  <c r="P2613" i="24"/>
  <c r="N2613" i="24"/>
  <c r="I2613" i="24"/>
  <c r="Q2612" i="24"/>
  <c r="P2612" i="24"/>
  <c r="R2612" i="24" s="1"/>
  <c r="N2612" i="24"/>
  <c r="I2612" i="24"/>
  <c r="R2611" i="24"/>
  <c r="Q2611" i="24"/>
  <c r="P2611" i="24"/>
  <c r="N2611" i="24"/>
  <c r="I2611" i="24"/>
  <c r="Q2610" i="24"/>
  <c r="P2610" i="24"/>
  <c r="R2610" i="24" s="1"/>
  <c r="N2610" i="24"/>
  <c r="I2610" i="24"/>
  <c r="R2609" i="24"/>
  <c r="Q2609" i="24"/>
  <c r="P2609" i="24"/>
  <c r="N2609" i="24"/>
  <c r="I2609" i="24"/>
  <c r="Q2608" i="24"/>
  <c r="P2608" i="24"/>
  <c r="R2608" i="24" s="1"/>
  <c r="N2608" i="24"/>
  <c r="I2608" i="24"/>
  <c r="R2607" i="24"/>
  <c r="Q2607" i="24"/>
  <c r="P2607" i="24"/>
  <c r="N2607" i="24"/>
  <c r="I2607" i="24"/>
  <c r="Q2606" i="24"/>
  <c r="P2606" i="24"/>
  <c r="R2606" i="24" s="1"/>
  <c r="N2606" i="24"/>
  <c r="I2606" i="24"/>
  <c r="R2605" i="24"/>
  <c r="Q2605" i="24"/>
  <c r="P2605" i="24"/>
  <c r="N2605" i="24"/>
  <c r="I2605" i="24"/>
  <c r="Q2604" i="24"/>
  <c r="P2604" i="24"/>
  <c r="R2604" i="24" s="1"/>
  <c r="N2604" i="24"/>
  <c r="I2604" i="24"/>
  <c r="R2603" i="24"/>
  <c r="Q2603" i="24"/>
  <c r="P2603" i="24"/>
  <c r="N2603" i="24"/>
  <c r="I2603" i="24"/>
  <c r="Q2602" i="24"/>
  <c r="P2602" i="24"/>
  <c r="R2602" i="24" s="1"/>
  <c r="N2602" i="24"/>
  <c r="I2602" i="24"/>
  <c r="R2601" i="24"/>
  <c r="Q2601" i="24"/>
  <c r="P2601" i="24"/>
  <c r="N2601" i="24"/>
  <c r="I2601" i="24"/>
  <c r="Q2600" i="24"/>
  <c r="P2600" i="24"/>
  <c r="R2600" i="24" s="1"/>
  <c r="N2600" i="24"/>
  <c r="I2600" i="24"/>
  <c r="Q2599" i="24"/>
  <c r="P2599" i="24"/>
  <c r="N2599" i="24"/>
  <c r="I2599" i="24"/>
  <c r="Q2598" i="24"/>
  <c r="P2598" i="24"/>
  <c r="R2598" i="24" s="1"/>
  <c r="N2598" i="24"/>
  <c r="I2598" i="24"/>
  <c r="Q2597" i="24"/>
  <c r="P2597" i="24"/>
  <c r="R2597" i="24" s="1"/>
  <c r="N2597" i="24"/>
  <c r="I2597" i="24"/>
  <c r="Q2596" i="24"/>
  <c r="P2596" i="24"/>
  <c r="N2596" i="24"/>
  <c r="I2596" i="24"/>
  <c r="Q2595" i="24"/>
  <c r="P2595" i="24"/>
  <c r="R2595" i="24" s="1"/>
  <c r="N2595" i="24"/>
  <c r="I2595" i="24"/>
  <c r="Q2594" i="24"/>
  <c r="P2594" i="24"/>
  <c r="R2594" i="24" s="1"/>
  <c r="N2594" i="24"/>
  <c r="I2594" i="24"/>
  <c r="Q2593" i="24"/>
  <c r="P2593" i="24"/>
  <c r="R2593" i="24" s="1"/>
  <c r="N2593" i="24"/>
  <c r="I2593" i="24"/>
  <c r="Q2592" i="24"/>
  <c r="P2592" i="24"/>
  <c r="R2592" i="24" s="1"/>
  <c r="N2592" i="24"/>
  <c r="I2592" i="24"/>
  <c r="Q2591" i="24"/>
  <c r="P2591" i="24"/>
  <c r="N2591" i="24"/>
  <c r="I2591" i="24"/>
  <c r="Q2590" i="24"/>
  <c r="P2590" i="24"/>
  <c r="N2590" i="24"/>
  <c r="I2590" i="24"/>
  <c r="Q2589" i="24"/>
  <c r="P2589" i="24"/>
  <c r="R2589" i="24" s="1"/>
  <c r="N2589" i="24"/>
  <c r="I2589" i="24"/>
  <c r="Q2588" i="24"/>
  <c r="P2588" i="24"/>
  <c r="R2588" i="24" s="1"/>
  <c r="N2588" i="24"/>
  <c r="I2588" i="24"/>
  <c r="Q2587" i="24"/>
  <c r="P2587" i="24"/>
  <c r="R2587" i="24" s="1"/>
  <c r="N2587" i="24"/>
  <c r="I2587" i="24"/>
  <c r="Q2586" i="24"/>
  <c r="P2586" i="24"/>
  <c r="N2586" i="24"/>
  <c r="I2586" i="24"/>
  <c r="Q2585" i="24"/>
  <c r="P2585" i="24"/>
  <c r="R2585" i="24" s="1"/>
  <c r="N2585" i="24"/>
  <c r="I2585" i="24"/>
  <c r="Q2584" i="24"/>
  <c r="P2584" i="24"/>
  <c r="R2584" i="24" s="1"/>
  <c r="N2584" i="24"/>
  <c r="I2584" i="24"/>
  <c r="Q2583" i="24"/>
  <c r="P2583" i="24"/>
  <c r="R2583" i="24" s="1"/>
  <c r="N2583" i="24"/>
  <c r="I2583" i="24"/>
  <c r="Q2582" i="24"/>
  <c r="P2582" i="24"/>
  <c r="N2582" i="24"/>
  <c r="I2582" i="24"/>
  <c r="Q2581" i="24"/>
  <c r="P2581" i="24"/>
  <c r="N2581" i="24"/>
  <c r="I2581" i="24"/>
  <c r="Q2580" i="24"/>
  <c r="P2580" i="24"/>
  <c r="R2580" i="24" s="1"/>
  <c r="N2580" i="24"/>
  <c r="I2580" i="24"/>
  <c r="Q2579" i="24"/>
  <c r="P2579" i="24"/>
  <c r="N2579" i="24"/>
  <c r="I2579" i="24"/>
  <c r="Q2578" i="24"/>
  <c r="P2578" i="24"/>
  <c r="R2578" i="24" s="1"/>
  <c r="N2578" i="24"/>
  <c r="I2578" i="24"/>
  <c r="Q2577" i="24"/>
  <c r="P2577" i="24"/>
  <c r="N2577" i="24"/>
  <c r="I2577" i="24"/>
  <c r="Q2576" i="24"/>
  <c r="P2576" i="24"/>
  <c r="R2576" i="24" s="1"/>
  <c r="N2576" i="24"/>
  <c r="I2576" i="24"/>
  <c r="Q2575" i="24"/>
  <c r="P2575" i="24"/>
  <c r="R2575" i="24" s="1"/>
  <c r="N2575" i="24"/>
  <c r="I2575" i="24"/>
  <c r="Q2574" i="24"/>
  <c r="P2574" i="24"/>
  <c r="R2574" i="24" s="1"/>
  <c r="N2574" i="24"/>
  <c r="I2574" i="24"/>
  <c r="Q2573" i="24"/>
  <c r="P2573" i="24"/>
  <c r="R2573" i="24" s="1"/>
  <c r="N2573" i="24"/>
  <c r="I2573" i="24"/>
  <c r="Q2572" i="24"/>
  <c r="P2572" i="24"/>
  <c r="N2572" i="24"/>
  <c r="I2572" i="24"/>
  <c r="Q2571" i="24"/>
  <c r="P2571" i="24"/>
  <c r="N2571" i="24"/>
  <c r="I2571" i="24"/>
  <c r="Q2570" i="24"/>
  <c r="P2570" i="24"/>
  <c r="N2570" i="24"/>
  <c r="I2570" i="24"/>
  <c r="Q2569" i="24"/>
  <c r="P2569" i="24"/>
  <c r="R2569" i="24" s="1"/>
  <c r="N2569" i="24"/>
  <c r="I2569" i="24"/>
  <c r="Q2568" i="24"/>
  <c r="P2568" i="24"/>
  <c r="R2568" i="24" s="1"/>
  <c r="N2568" i="24"/>
  <c r="I2568" i="24"/>
  <c r="R2567" i="24"/>
  <c r="Q2567" i="24"/>
  <c r="P2567" i="24"/>
  <c r="N2567" i="24"/>
  <c r="I2567" i="24"/>
  <c r="R2591" i="24" l="1"/>
  <c r="R2590" i="24"/>
  <c r="R2586" i="24"/>
  <c r="R2579" i="24"/>
  <c r="R2581" i="24"/>
  <c r="R2582" i="24"/>
  <c r="R2577" i="24"/>
  <c r="R2570" i="24"/>
  <c r="R2571" i="24"/>
  <c r="R2572" i="24"/>
  <c r="R2599" i="24"/>
  <c r="R2596" i="24"/>
  <c r="O2593" i="24"/>
  <c r="O2589" i="24"/>
  <c r="O2608" i="24"/>
  <c r="O2609" i="24"/>
  <c r="O2598" i="24"/>
  <c r="O2601" i="24"/>
  <c r="O2616" i="24"/>
  <c r="O2617" i="24"/>
  <c r="O2624" i="24"/>
  <c r="O2625" i="24"/>
  <c r="O2605" i="24"/>
  <c r="O2621" i="24"/>
  <c r="O2602" i="24"/>
  <c r="O2603" i="24"/>
  <c r="O2573" i="24"/>
  <c r="O2581" i="24"/>
  <c r="O2568" i="24"/>
  <c r="O2574" i="24"/>
  <c r="O2576" i="24"/>
  <c r="O2582" i="24"/>
  <c r="O2584" i="24"/>
  <c r="O2591" i="24"/>
  <c r="O2594" i="24"/>
  <c r="O2596" i="24"/>
  <c r="O2597" i="24"/>
  <c r="O2610" i="24"/>
  <c r="O2611" i="24"/>
  <c r="O2618" i="24"/>
  <c r="O2619" i="24"/>
  <c r="O2571" i="24"/>
  <c r="O2579" i="24"/>
  <c r="O2587" i="24"/>
  <c r="O2592" i="24"/>
  <c r="O2606" i="24"/>
  <c r="O2607" i="24"/>
  <c r="O2612" i="24"/>
  <c r="O2613" i="24"/>
  <c r="O2626" i="24"/>
  <c r="O2627" i="24"/>
  <c r="O2567" i="24"/>
  <c r="O2575" i="24"/>
  <c r="O2583" i="24"/>
  <c r="O2595" i="24"/>
  <c r="O2600" i="24"/>
  <c r="O2622" i="24"/>
  <c r="O2623" i="24"/>
  <c r="O2569" i="24"/>
  <c r="O2577" i="24"/>
  <c r="O2585" i="24"/>
  <c r="O2590" i="24"/>
  <c r="O2570" i="24"/>
  <c r="O2572" i="24"/>
  <c r="O2578" i="24"/>
  <c r="O2580" i="24"/>
  <c r="O2586" i="24"/>
  <c r="O2588" i="24"/>
  <c r="O2599" i="24"/>
  <c r="O2604" i="24"/>
  <c r="O2614" i="24"/>
  <c r="O2615" i="24"/>
  <c r="O2620" i="24"/>
  <c r="K3312" i="12"/>
  <c r="K3297" i="12"/>
  <c r="K3294" i="12"/>
  <c r="K3291" i="12"/>
  <c r="K3271" i="12"/>
  <c r="K3270" i="12"/>
  <c r="K3267" i="12"/>
  <c r="K3261" i="12"/>
  <c r="K3253" i="12"/>
  <c r="K3247" i="12"/>
  <c r="AD3044" i="12" l="1"/>
  <c r="AC3044" i="12"/>
  <c r="P3314" i="12" l="1"/>
  <c r="H3314" i="12"/>
  <c r="P3248" i="12"/>
  <c r="H3307" i="12" l="1"/>
  <c r="P3306" i="12"/>
  <c r="H3306" i="12"/>
  <c r="H3305" i="12"/>
  <c r="H3295" i="12"/>
  <c r="P3295" i="12"/>
  <c r="P3296" i="12"/>
  <c r="H3296" i="12"/>
  <c r="P3293" i="12"/>
  <c r="P3290" i="12"/>
  <c r="H3285" i="12"/>
  <c r="P3285" i="12"/>
  <c r="P3265" i="12" l="1"/>
  <c r="H3265" i="12"/>
  <c r="P3260" i="12"/>
  <c r="H3260" i="12"/>
  <c r="P3277" i="12"/>
  <c r="H3278" i="12"/>
  <c r="P3278" i="12"/>
  <c r="H3277" i="12"/>
  <c r="H3293" i="12"/>
  <c r="H3290" i="12"/>
  <c r="P3284" i="12"/>
  <c r="H3284" i="12"/>
  <c r="P3281" i="12"/>
  <c r="H3281" i="12"/>
  <c r="H3248" i="12" l="1"/>
  <c r="P3241" i="12"/>
  <c r="H3241" i="12"/>
  <c r="H3240" i="12"/>
  <c r="P3240" i="12"/>
  <c r="P3226" i="12"/>
  <c r="H3226" i="12"/>
  <c r="AC3227" i="12" l="1"/>
  <c r="P3230" i="12" l="1"/>
  <c r="H3230" i="12"/>
  <c r="C3203" i="12"/>
  <c r="C3204" i="12"/>
  <c r="C3205" i="12"/>
  <c r="C3206" i="12"/>
  <c r="C3207" i="12"/>
  <c r="C3208" i="12"/>
  <c r="C3209" i="12"/>
  <c r="C3210" i="12"/>
  <c r="C3211" i="12"/>
  <c r="C3212" i="12"/>
  <c r="C3213" i="12"/>
  <c r="C3214" i="12"/>
  <c r="C3215" i="12"/>
  <c r="C3216" i="12"/>
  <c r="C3217" i="12"/>
  <c r="C3218" i="12"/>
  <c r="C3219" i="12"/>
  <c r="C3220" i="12"/>
  <c r="C3221" i="12"/>
  <c r="C3222" i="12"/>
  <c r="C3223" i="12"/>
  <c r="C3224" i="12"/>
  <c r="C3225" i="12"/>
  <c r="C3226" i="12"/>
  <c r="C3227" i="12"/>
  <c r="C3228" i="12"/>
  <c r="C3229" i="12"/>
  <c r="C3230" i="12"/>
  <c r="C3231" i="12"/>
  <c r="C3232" i="12"/>
  <c r="C3233" i="12"/>
  <c r="C3234" i="12"/>
  <c r="C3235" i="12"/>
  <c r="C3236" i="12"/>
  <c r="C3237" i="12"/>
  <c r="C3238" i="12"/>
  <c r="C3239" i="12"/>
  <c r="C3240" i="12"/>
  <c r="C3241" i="12"/>
  <c r="C3242" i="12"/>
  <c r="C3243" i="12"/>
  <c r="C3244" i="12"/>
  <c r="C3245" i="12"/>
  <c r="C3246" i="12"/>
  <c r="C3247" i="12"/>
  <c r="C3248" i="12"/>
  <c r="C3249" i="12"/>
  <c r="C3250" i="12"/>
  <c r="C3251" i="12"/>
  <c r="C3252" i="12"/>
  <c r="C3253" i="12"/>
  <c r="C3254" i="12"/>
  <c r="C3255" i="12"/>
  <c r="C3256" i="12"/>
  <c r="C3257" i="12"/>
  <c r="C3258" i="12"/>
  <c r="C3259" i="12"/>
  <c r="C3260" i="12"/>
  <c r="C3261" i="12"/>
  <c r="C3262" i="12"/>
  <c r="C3263" i="12"/>
  <c r="P3186" i="12" l="1"/>
  <c r="H3186" i="12"/>
  <c r="P3175" i="12"/>
  <c r="H3175" i="12"/>
  <c r="P3171" i="12"/>
  <c r="H3171" i="12"/>
  <c r="H3170" i="12"/>
  <c r="P3170" i="12"/>
  <c r="H3166" i="12"/>
  <c r="P3166" i="12"/>
  <c r="I2386" i="24"/>
  <c r="AD3856" i="12" l="1"/>
  <c r="AC3856" i="12"/>
  <c r="Q3856" i="12"/>
  <c r="O3856" i="12"/>
  <c r="K3856" i="12"/>
  <c r="F3856" i="12"/>
  <c r="G3856" i="12" s="1"/>
  <c r="E3856" i="12"/>
  <c r="I3856" i="12" s="1"/>
  <c r="C3856" i="12"/>
  <c r="AD3855" i="12"/>
  <c r="AC3855" i="12"/>
  <c r="Q3855" i="12"/>
  <c r="O3855" i="12"/>
  <c r="K3855" i="12"/>
  <c r="F3855" i="12"/>
  <c r="G3855" i="12" s="1"/>
  <c r="E3855" i="12"/>
  <c r="I3855" i="12" s="1"/>
  <c r="C3855" i="12"/>
  <c r="AD3854" i="12"/>
  <c r="AC3854" i="12"/>
  <c r="Q3854" i="12"/>
  <c r="O3854" i="12"/>
  <c r="K3854" i="12"/>
  <c r="F3854" i="12"/>
  <c r="G3854" i="12" s="1"/>
  <c r="E3854" i="12"/>
  <c r="I3854" i="12" s="1"/>
  <c r="C3854" i="12"/>
  <c r="AD3853" i="12"/>
  <c r="AC3853" i="12"/>
  <c r="Q3853" i="12"/>
  <c r="O3853" i="12"/>
  <c r="K3853" i="12"/>
  <c r="F3853" i="12"/>
  <c r="G3853" i="12" s="1"/>
  <c r="E3853" i="12"/>
  <c r="I3853" i="12" s="1"/>
  <c r="C3853" i="12"/>
  <c r="AD3852" i="12"/>
  <c r="AC3852" i="12"/>
  <c r="Q3852" i="12"/>
  <c r="O3852" i="12"/>
  <c r="K3852" i="12"/>
  <c r="F3852" i="12"/>
  <c r="G3852" i="12" s="1"/>
  <c r="E3852" i="12"/>
  <c r="I3852" i="12" s="1"/>
  <c r="C3852" i="12"/>
  <c r="AD3851" i="12"/>
  <c r="AC3851" i="12"/>
  <c r="Q3851" i="12"/>
  <c r="O3851" i="12"/>
  <c r="K3851" i="12"/>
  <c r="F3851" i="12"/>
  <c r="G3851" i="12" s="1"/>
  <c r="E3851" i="12"/>
  <c r="I3851" i="12" s="1"/>
  <c r="C3851" i="12"/>
  <c r="AD3850" i="12"/>
  <c r="AC3850" i="12"/>
  <c r="Q3850" i="12"/>
  <c r="O3850" i="12"/>
  <c r="K3850" i="12"/>
  <c r="F3850" i="12"/>
  <c r="G3850" i="12" s="1"/>
  <c r="E3850" i="12"/>
  <c r="I3850" i="12" s="1"/>
  <c r="C3850" i="12"/>
  <c r="AD3849" i="12"/>
  <c r="AC3849" i="12"/>
  <c r="Q3849" i="12"/>
  <c r="O3849" i="12"/>
  <c r="K3849" i="12"/>
  <c r="F3849" i="12"/>
  <c r="G3849" i="12" s="1"/>
  <c r="L3849" i="12" s="1"/>
  <c r="E3849" i="12"/>
  <c r="I3849" i="12" s="1"/>
  <c r="C3849" i="12"/>
  <c r="AD3848" i="12"/>
  <c r="AC3848" i="12"/>
  <c r="Q3848" i="12"/>
  <c r="O3848" i="12"/>
  <c r="K3848" i="12"/>
  <c r="F3848" i="12"/>
  <c r="G3848" i="12" s="1"/>
  <c r="L3848" i="12" s="1"/>
  <c r="E3848" i="12"/>
  <c r="I3848" i="12" s="1"/>
  <c r="C3848" i="12"/>
  <c r="AD3847" i="12"/>
  <c r="AC3847" i="12"/>
  <c r="Q3847" i="12"/>
  <c r="O3847" i="12"/>
  <c r="K3847" i="12"/>
  <c r="F3847" i="12"/>
  <c r="G3847" i="12" s="1"/>
  <c r="L3847" i="12" s="1"/>
  <c r="E3847" i="12"/>
  <c r="I3847" i="12" s="1"/>
  <c r="C3847" i="12"/>
  <c r="AD3846" i="12"/>
  <c r="AC3846" i="12"/>
  <c r="Q3846" i="12"/>
  <c r="O3846" i="12"/>
  <c r="K3846" i="12"/>
  <c r="F3846" i="12"/>
  <c r="G3846" i="12" s="1"/>
  <c r="L3846" i="12" s="1"/>
  <c r="E3846" i="12"/>
  <c r="I3846" i="12" s="1"/>
  <c r="C3846" i="12"/>
  <c r="AD3845" i="12"/>
  <c r="AC3845" i="12"/>
  <c r="Q3845" i="12"/>
  <c r="O3845" i="12"/>
  <c r="K3845" i="12"/>
  <c r="F3845" i="12"/>
  <c r="G3845" i="12" s="1"/>
  <c r="L3845" i="12" s="1"/>
  <c r="E3845" i="12"/>
  <c r="I3845" i="12" s="1"/>
  <c r="C3845" i="12"/>
  <c r="AD3844" i="12"/>
  <c r="AC3844" i="12"/>
  <c r="Q3844" i="12"/>
  <c r="O3844" i="12"/>
  <c r="K3844" i="12"/>
  <c r="F3844" i="12"/>
  <c r="G3844" i="12" s="1"/>
  <c r="L3844" i="12" s="1"/>
  <c r="E3844" i="12"/>
  <c r="I3844" i="12" s="1"/>
  <c r="C3844" i="12"/>
  <c r="AD3843" i="12"/>
  <c r="AC3843" i="12"/>
  <c r="Q3843" i="12"/>
  <c r="O3843" i="12"/>
  <c r="K3843" i="12"/>
  <c r="F3843" i="12"/>
  <c r="G3843" i="12" s="1"/>
  <c r="L3843" i="12" s="1"/>
  <c r="E3843" i="12"/>
  <c r="I3843" i="12" s="1"/>
  <c r="C3843" i="12"/>
  <c r="AD3842" i="12"/>
  <c r="AC3842" i="12"/>
  <c r="Q3842" i="12"/>
  <c r="O3842" i="12"/>
  <c r="K3842" i="12"/>
  <c r="F3842" i="12"/>
  <c r="G3842" i="12" s="1"/>
  <c r="L3842" i="12" s="1"/>
  <c r="E3842" i="12"/>
  <c r="I3842" i="12" s="1"/>
  <c r="C3842" i="12"/>
  <c r="AD3841" i="12"/>
  <c r="AC3841" i="12"/>
  <c r="Q3841" i="12"/>
  <c r="O3841" i="12"/>
  <c r="K3841" i="12"/>
  <c r="F3841" i="12"/>
  <c r="G3841" i="12" s="1"/>
  <c r="L3841" i="12" s="1"/>
  <c r="E3841" i="12"/>
  <c r="I3841" i="12" s="1"/>
  <c r="C3841" i="12"/>
  <c r="AD3840" i="12"/>
  <c r="AC3840" i="12"/>
  <c r="Q3840" i="12"/>
  <c r="O3840" i="12"/>
  <c r="K3840" i="12"/>
  <c r="F3840" i="12"/>
  <c r="G3840" i="12" s="1"/>
  <c r="L3840" i="12" s="1"/>
  <c r="E3840" i="12"/>
  <c r="I3840" i="12" s="1"/>
  <c r="C3840" i="12"/>
  <c r="AD3839" i="12"/>
  <c r="AC3839" i="12"/>
  <c r="Q3839" i="12"/>
  <c r="O3839" i="12"/>
  <c r="K3839" i="12"/>
  <c r="F3839" i="12"/>
  <c r="G3839" i="12" s="1"/>
  <c r="L3839" i="12" s="1"/>
  <c r="E3839" i="12"/>
  <c r="I3839" i="12" s="1"/>
  <c r="C3839" i="12"/>
  <c r="AD3838" i="12"/>
  <c r="AC3838" i="12"/>
  <c r="Q3838" i="12"/>
  <c r="O3838" i="12"/>
  <c r="K3838" i="12"/>
  <c r="F3838" i="12"/>
  <c r="G3838" i="12" s="1"/>
  <c r="L3838" i="12" s="1"/>
  <c r="E3838" i="12"/>
  <c r="I3838" i="12" s="1"/>
  <c r="C3838" i="12"/>
  <c r="AD3837" i="12"/>
  <c r="AC3837" i="12"/>
  <c r="Q3837" i="12"/>
  <c r="O3837" i="12"/>
  <c r="K3837" i="12"/>
  <c r="F3837" i="12"/>
  <c r="G3837" i="12" s="1"/>
  <c r="L3837" i="12" s="1"/>
  <c r="E3837" i="12"/>
  <c r="I3837" i="12" s="1"/>
  <c r="C3837" i="12"/>
  <c r="AD3836" i="12"/>
  <c r="AC3836" i="12"/>
  <c r="Q3836" i="12"/>
  <c r="O3836" i="12"/>
  <c r="K3836" i="12"/>
  <c r="F3836" i="12"/>
  <c r="G3836" i="12" s="1"/>
  <c r="L3836" i="12" s="1"/>
  <c r="E3836" i="12"/>
  <c r="I3836" i="12" s="1"/>
  <c r="C3836" i="12"/>
  <c r="AD3835" i="12"/>
  <c r="AC3835" i="12"/>
  <c r="Q3835" i="12"/>
  <c r="O3835" i="12"/>
  <c r="K3835" i="12"/>
  <c r="F3835" i="12"/>
  <c r="G3835" i="12" s="1"/>
  <c r="L3835" i="12" s="1"/>
  <c r="E3835" i="12"/>
  <c r="I3835" i="12" s="1"/>
  <c r="C3835" i="12"/>
  <c r="AD3834" i="12"/>
  <c r="AC3834" i="12"/>
  <c r="Q3834" i="12"/>
  <c r="O3834" i="12"/>
  <c r="K3834" i="12"/>
  <c r="F3834" i="12"/>
  <c r="G3834" i="12" s="1"/>
  <c r="L3834" i="12" s="1"/>
  <c r="E3834" i="12"/>
  <c r="I3834" i="12" s="1"/>
  <c r="C3834" i="12"/>
  <c r="AD3833" i="12"/>
  <c r="AC3833" i="12"/>
  <c r="Q3833" i="12"/>
  <c r="O3833" i="12"/>
  <c r="K3833" i="12"/>
  <c r="F3833" i="12"/>
  <c r="G3833" i="12" s="1"/>
  <c r="L3833" i="12" s="1"/>
  <c r="E3833" i="12"/>
  <c r="I3833" i="12" s="1"/>
  <c r="C3833" i="12"/>
  <c r="AD3832" i="12"/>
  <c r="AC3832" i="12"/>
  <c r="Q3832" i="12"/>
  <c r="O3832" i="12"/>
  <c r="K3832" i="12"/>
  <c r="F3832" i="12"/>
  <c r="G3832" i="12" s="1"/>
  <c r="L3832" i="12" s="1"/>
  <c r="E3832" i="12"/>
  <c r="I3832" i="12" s="1"/>
  <c r="C3832" i="12"/>
  <c r="AD3831" i="12"/>
  <c r="AC3831" i="12"/>
  <c r="Q3831" i="12"/>
  <c r="O3831" i="12"/>
  <c r="K3831" i="12"/>
  <c r="F3831" i="12"/>
  <c r="G3831" i="12" s="1"/>
  <c r="L3831" i="12" s="1"/>
  <c r="E3831" i="12"/>
  <c r="I3831" i="12" s="1"/>
  <c r="C3831" i="12"/>
  <c r="AD3830" i="12"/>
  <c r="AC3830" i="12"/>
  <c r="Q3830" i="12"/>
  <c r="O3830" i="12"/>
  <c r="K3830" i="12"/>
  <c r="F3830" i="12"/>
  <c r="G3830" i="12" s="1"/>
  <c r="L3830" i="12" s="1"/>
  <c r="E3830" i="12"/>
  <c r="I3830" i="12" s="1"/>
  <c r="C3830" i="12"/>
  <c r="AD3829" i="12"/>
  <c r="AC3829" i="12"/>
  <c r="Q3829" i="12"/>
  <c r="O3829" i="12"/>
  <c r="K3829" i="12"/>
  <c r="F3829" i="12"/>
  <c r="G3829" i="12" s="1"/>
  <c r="L3829" i="12" s="1"/>
  <c r="E3829" i="12"/>
  <c r="I3829" i="12" s="1"/>
  <c r="C3829" i="12"/>
  <c r="AD3828" i="12"/>
  <c r="AC3828" i="12"/>
  <c r="Q3828" i="12"/>
  <c r="O3828" i="12"/>
  <c r="K3828" i="12"/>
  <c r="F3828" i="12"/>
  <c r="G3828" i="12" s="1"/>
  <c r="L3828" i="12" s="1"/>
  <c r="E3828" i="12"/>
  <c r="I3828" i="12" s="1"/>
  <c r="C3828" i="12"/>
  <c r="AD3827" i="12"/>
  <c r="AC3827" i="12"/>
  <c r="Q3827" i="12"/>
  <c r="O3827" i="12"/>
  <c r="K3827" i="12"/>
  <c r="F3827" i="12"/>
  <c r="G3827" i="12" s="1"/>
  <c r="L3827" i="12" s="1"/>
  <c r="E3827" i="12"/>
  <c r="I3827" i="12" s="1"/>
  <c r="C3827" i="12"/>
  <c r="AD3826" i="12"/>
  <c r="AC3826" i="12"/>
  <c r="Q3826" i="12"/>
  <c r="O3826" i="12"/>
  <c r="K3826" i="12"/>
  <c r="F3826" i="12"/>
  <c r="G3826" i="12" s="1"/>
  <c r="L3826" i="12" s="1"/>
  <c r="E3826" i="12"/>
  <c r="I3826" i="12" s="1"/>
  <c r="C3826" i="12"/>
  <c r="AD3825" i="12"/>
  <c r="AC3825" i="12"/>
  <c r="Q3825" i="12"/>
  <c r="O3825" i="12"/>
  <c r="K3825" i="12"/>
  <c r="F3825" i="12"/>
  <c r="G3825" i="12" s="1"/>
  <c r="L3825" i="12" s="1"/>
  <c r="E3825" i="12"/>
  <c r="I3825" i="12" s="1"/>
  <c r="C3825" i="12"/>
  <c r="AD3824" i="12"/>
  <c r="AC3824" i="12"/>
  <c r="Q3824" i="12"/>
  <c r="O3824" i="12"/>
  <c r="K3824" i="12"/>
  <c r="F3824" i="12"/>
  <c r="G3824" i="12" s="1"/>
  <c r="L3824" i="12" s="1"/>
  <c r="E3824" i="12"/>
  <c r="I3824" i="12" s="1"/>
  <c r="C3824" i="12"/>
  <c r="AD3823" i="12"/>
  <c r="AC3823" i="12"/>
  <c r="Q3823" i="12"/>
  <c r="O3823" i="12"/>
  <c r="K3823" i="12"/>
  <c r="F3823" i="12"/>
  <c r="G3823" i="12" s="1"/>
  <c r="L3823" i="12" s="1"/>
  <c r="E3823" i="12"/>
  <c r="I3823" i="12" s="1"/>
  <c r="C3823" i="12"/>
  <c r="AD3822" i="12"/>
  <c r="AC3822" i="12"/>
  <c r="Q3822" i="12"/>
  <c r="O3822" i="12"/>
  <c r="K3822" i="12"/>
  <c r="F3822" i="12"/>
  <c r="G3822" i="12" s="1"/>
  <c r="L3822" i="12" s="1"/>
  <c r="E3822" i="12"/>
  <c r="I3822" i="12" s="1"/>
  <c r="C3822" i="12"/>
  <c r="AD3821" i="12"/>
  <c r="AC3821" i="12"/>
  <c r="Q3821" i="12"/>
  <c r="O3821" i="12"/>
  <c r="K3821" i="12"/>
  <c r="F3821" i="12"/>
  <c r="G3821" i="12" s="1"/>
  <c r="L3821" i="12" s="1"/>
  <c r="E3821" i="12"/>
  <c r="I3821" i="12" s="1"/>
  <c r="C3821" i="12"/>
  <c r="AD3820" i="12"/>
  <c r="AC3820" i="12"/>
  <c r="Q3820" i="12"/>
  <c r="O3820" i="12"/>
  <c r="K3820" i="12"/>
  <c r="F3820" i="12"/>
  <c r="G3820" i="12" s="1"/>
  <c r="L3820" i="12" s="1"/>
  <c r="E3820" i="12"/>
  <c r="I3820" i="12" s="1"/>
  <c r="C3820" i="12"/>
  <c r="AD3819" i="12"/>
  <c r="AC3819" i="12"/>
  <c r="Q3819" i="12"/>
  <c r="O3819" i="12"/>
  <c r="K3819" i="12"/>
  <c r="F3819" i="12"/>
  <c r="G3819" i="12" s="1"/>
  <c r="L3819" i="12" s="1"/>
  <c r="E3819" i="12"/>
  <c r="I3819" i="12" s="1"/>
  <c r="C3819" i="12"/>
  <c r="AD3818" i="12"/>
  <c r="AC3818" i="12"/>
  <c r="Q3818" i="12"/>
  <c r="O3818" i="12"/>
  <c r="K3818" i="12"/>
  <c r="F3818" i="12"/>
  <c r="G3818" i="12" s="1"/>
  <c r="L3818" i="12" s="1"/>
  <c r="E3818" i="12"/>
  <c r="I3818" i="12" s="1"/>
  <c r="C3818" i="12"/>
  <c r="AD3817" i="12"/>
  <c r="AC3817" i="12"/>
  <c r="Q3817" i="12"/>
  <c r="O3817" i="12"/>
  <c r="K3817" i="12"/>
  <c r="F3817" i="12"/>
  <c r="G3817" i="12" s="1"/>
  <c r="L3817" i="12" s="1"/>
  <c r="E3817" i="12"/>
  <c r="I3817" i="12" s="1"/>
  <c r="C3817" i="12"/>
  <c r="AD3816" i="12"/>
  <c r="AC3816" i="12"/>
  <c r="Q3816" i="12"/>
  <c r="O3816" i="12"/>
  <c r="K3816" i="12"/>
  <c r="F3816" i="12"/>
  <c r="G3816" i="12" s="1"/>
  <c r="L3816" i="12" s="1"/>
  <c r="E3816" i="12"/>
  <c r="I3816" i="12" s="1"/>
  <c r="C3816" i="12"/>
  <c r="AD3815" i="12"/>
  <c r="AC3815" i="12"/>
  <c r="Q3815" i="12"/>
  <c r="O3815" i="12"/>
  <c r="K3815" i="12"/>
  <c r="F3815" i="12"/>
  <c r="G3815" i="12" s="1"/>
  <c r="L3815" i="12" s="1"/>
  <c r="E3815" i="12"/>
  <c r="I3815" i="12" s="1"/>
  <c r="C3815" i="12"/>
  <c r="AD3814" i="12"/>
  <c r="AC3814" i="12"/>
  <c r="Q3814" i="12"/>
  <c r="O3814" i="12"/>
  <c r="K3814" i="12"/>
  <c r="F3814" i="12"/>
  <c r="G3814" i="12" s="1"/>
  <c r="L3814" i="12" s="1"/>
  <c r="E3814" i="12"/>
  <c r="I3814" i="12" s="1"/>
  <c r="C3814" i="12"/>
  <c r="AD3813" i="12"/>
  <c r="AC3813" i="12"/>
  <c r="Q3813" i="12"/>
  <c r="O3813" i="12"/>
  <c r="K3813" i="12"/>
  <c r="F3813" i="12"/>
  <c r="G3813" i="12" s="1"/>
  <c r="L3813" i="12" s="1"/>
  <c r="E3813" i="12"/>
  <c r="I3813" i="12" s="1"/>
  <c r="C3813" i="12"/>
  <c r="AD3812" i="12"/>
  <c r="AC3812" i="12"/>
  <c r="Q3812" i="12"/>
  <c r="O3812" i="12"/>
  <c r="K3812" i="12"/>
  <c r="F3812" i="12"/>
  <c r="G3812" i="12" s="1"/>
  <c r="E3812" i="12"/>
  <c r="I3812" i="12" s="1"/>
  <c r="C3812" i="12"/>
  <c r="AD3811" i="12"/>
  <c r="AC3811" i="12"/>
  <c r="Q3811" i="12"/>
  <c r="O3811" i="12"/>
  <c r="K3811" i="12"/>
  <c r="F3811" i="12"/>
  <c r="G3811" i="12" s="1"/>
  <c r="E3811" i="12"/>
  <c r="I3811" i="12" s="1"/>
  <c r="C3811" i="12"/>
  <c r="AD3810" i="12"/>
  <c r="AC3810" i="12"/>
  <c r="Q3810" i="12"/>
  <c r="O3810" i="12"/>
  <c r="K3810" i="12"/>
  <c r="F3810" i="12"/>
  <c r="G3810" i="12" s="1"/>
  <c r="E3810" i="12"/>
  <c r="I3810" i="12" s="1"/>
  <c r="C3810" i="12"/>
  <c r="AD3809" i="12"/>
  <c r="AC3809" i="12"/>
  <c r="Q3809" i="12"/>
  <c r="O3809" i="12"/>
  <c r="K3809" i="12"/>
  <c r="F3809" i="12"/>
  <c r="G3809" i="12" s="1"/>
  <c r="E3809" i="12"/>
  <c r="I3809" i="12" s="1"/>
  <c r="C3809" i="12"/>
  <c r="AD3808" i="12"/>
  <c r="AC3808" i="12"/>
  <c r="Q3808" i="12"/>
  <c r="O3808" i="12"/>
  <c r="K3808" i="12"/>
  <c r="F3808" i="12"/>
  <c r="G3808" i="12" s="1"/>
  <c r="E3808" i="12"/>
  <c r="I3808" i="12" s="1"/>
  <c r="C3808" i="12"/>
  <c r="AD3807" i="12"/>
  <c r="AC3807" i="12"/>
  <c r="Q3807" i="12"/>
  <c r="O3807" i="12"/>
  <c r="K3807" i="12"/>
  <c r="F3807" i="12"/>
  <c r="G3807" i="12" s="1"/>
  <c r="E3807" i="12"/>
  <c r="I3807" i="12" s="1"/>
  <c r="C3807" i="12"/>
  <c r="AD3806" i="12"/>
  <c r="AC3806" i="12"/>
  <c r="Q3806" i="12"/>
  <c r="O3806" i="12"/>
  <c r="K3806" i="12"/>
  <c r="F3806" i="12"/>
  <c r="G3806" i="12" s="1"/>
  <c r="E3806" i="12"/>
  <c r="I3806" i="12" s="1"/>
  <c r="C3806" i="12"/>
  <c r="AD3805" i="12"/>
  <c r="AC3805" i="12"/>
  <c r="Q3805" i="12"/>
  <c r="O3805" i="12"/>
  <c r="K3805" i="12"/>
  <c r="F3805" i="12"/>
  <c r="G3805" i="12" s="1"/>
  <c r="E3805" i="12"/>
  <c r="I3805" i="12" s="1"/>
  <c r="C3805" i="12"/>
  <c r="AD3804" i="12"/>
  <c r="AC3804" i="12"/>
  <c r="Q3804" i="12"/>
  <c r="O3804" i="12"/>
  <c r="K3804" i="12"/>
  <c r="F3804" i="12"/>
  <c r="G3804" i="12" s="1"/>
  <c r="E3804" i="12"/>
  <c r="I3804" i="12" s="1"/>
  <c r="C3804" i="12"/>
  <c r="AD3803" i="12"/>
  <c r="AC3803" i="12"/>
  <c r="Q3803" i="12"/>
  <c r="O3803" i="12"/>
  <c r="K3803" i="12"/>
  <c r="F3803" i="12"/>
  <c r="G3803" i="12" s="1"/>
  <c r="E3803" i="12"/>
  <c r="I3803" i="12" s="1"/>
  <c r="C3803" i="12"/>
  <c r="AD3802" i="12"/>
  <c r="AC3802" i="12"/>
  <c r="Q3802" i="12"/>
  <c r="O3802" i="12"/>
  <c r="K3802" i="12"/>
  <c r="F3802" i="12"/>
  <c r="G3802" i="12" s="1"/>
  <c r="E3802" i="12"/>
  <c r="I3802" i="12" s="1"/>
  <c r="C3802" i="12"/>
  <c r="AD3801" i="12"/>
  <c r="AC3801" i="12"/>
  <c r="Q3801" i="12"/>
  <c r="O3801" i="12"/>
  <c r="K3801" i="12"/>
  <c r="F3801" i="12"/>
  <c r="G3801" i="12" s="1"/>
  <c r="E3801" i="12"/>
  <c r="I3801" i="12" s="1"/>
  <c r="C3801" i="12"/>
  <c r="AD3800" i="12"/>
  <c r="AC3800" i="12"/>
  <c r="Q3800" i="12"/>
  <c r="O3800" i="12"/>
  <c r="K3800" i="12"/>
  <c r="F3800" i="12"/>
  <c r="G3800" i="12" s="1"/>
  <c r="E3800" i="12"/>
  <c r="I3800" i="12" s="1"/>
  <c r="C3800" i="12"/>
  <c r="AD3799" i="12"/>
  <c r="AC3799" i="12"/>
  <c r="Q3799" i="12"/>
  <c r="O3799" i="12"/>
  <c r="K3799" i="12"/>
  <c r="F3799" i="12"/>
  <c r="G3799" i="12" s="1"/>
  <c r="E3799" i="12"/>
  <c r="I3799" i="12" s="1"/>
  <c r="C3799" i="12"/>
  <c r="AD3798" i="12"/>
  <c r="AC3798" i="12"/>
  <c r="Q3798" i="12"/>
  <c r="O3798" i="12"/>
  <c r="K3798" i="12"/>
  <c r="F3798" i="12"/>
  <c r="G3798" i="12" s="1"/>
  <c r="E3798" i="12"/>
  <c r="I3798" i="12" s="1"/>
  <c r="C3798" i="12"/>
  <c r="AD3797" i="12"/>
  <c r="AC3797" i="12"/>
  <c r="Q3797" i="12"/>
  <c r="O3797" i="12"/>
  <c r="K3797" i="12"/>
  <c r="F3797" i="12"/>
  <c r="G3797" i="12" s="1"/>
  <c r="L3797" i="12" s="1"/>
  <c r="E3797" i="12"/>
  <c r="I3797" i="12" s="1"/>
  <c r="C3797" i="12"/>
  <c r="AD3796" i="12"/>
  <c r="AC3796" i="12"/>
  <c r="Q3796" i="12"/>
  <c r="O3796" i="12"/>
  <c r="K3796" i="12"/>
  <c r="F3796" i="12"/>
  <c r="G3796" i="12" s="1"/>
  <c r="L3796" i="12" s="1"/>
  <c r="E3796" i="12"/>
  <c r="I3796" i="12" s="1"/>
  <c r="C3796" i="12"/>
  <c r="AD3795" i="12"/>
  <c r="AC3795" i="12"/>
  <c r="Q3795" i="12"/>
  <c r="O3795" i="12"/>
  <c r="K3795" i="12"/>
  <c r="F3795" i="12"/>
  <c r="G3795" i="12" s="1"/>
  <c r="L3795" i="12" s="1"/>
  <c r="E3795" i="12"/>
  <c r="I3795" i="12" s="1"/>
  <c r="C3795" i="12"/>
  <c r="AD3794" i="12"/>
  <c r="AC3794" i="12"/>
  <c r="Q3794" i="12"/>
  <c r="O3794" i="12"/>
  <c r="K3794" i="12"/>
  <c r="F3794" i="12"/>
  <c r="G3794" i="12" s="1"/>
  <c r="L3794" i="12" s="1"/>
  <c r="E3794" i="12"/>
  <c r="I3794" i="12" s="1"/>
  <c r="C3794" i="12"/>
  <c r="AD3793" i="12"/>
  <c r="AC3793" i="12"/>
  <c r="Q3793" i="12"/>
  <c r="O3793" i="12"/>
  <c r="K3793" i="12"/>
  <c r="F3793" i="12"/>
  <c r="G3793" i="12" s="1"/>
  <c r="L3793" i="12" s="1"/>
  <c r="E3793" i="12"/>
  <c r="I3793" i="12" s="1"/>
  <c r="C3793" i="12"/>
  <c r="AD3792" i="12"/>
  <c r="AC3792" i="12"/>
  <c r="Q3792" i="12"/>
  <c r="O3792" i="12"/>
  <c r="K3792" i="12"/>
  <c r="F3792" i="12"/>
  <c r="G3792" i="12" s="1"/>
  <c r="L3792" i="12" s="1"/>
  <c r="E3792" i="12"/>
  <c r="I3792" i="12" s="1"/>
  <c r="C3792" i="12"/>
  <c r="AD3791" i="12"/>
  <c r="AC3791" i="12"/>
  <c r="Q3791" i="12"/>
  <c r="O3791" i="12"/>
  <c r="K3791" i="12"/>
  <c r="F3791" i="12"/>
  <c r="G3791" i="12" s="1"/>
  <c r="E3791" i="12"/>
  <c r="I3791" i="12" s="1"/>
  <c r="C3791" i="12"/>
  <c r="AD3790" i="12"/>
  <c r="AC3790" i="12"/>
  <c r="Q3790" i="12"/>
  <c r="O3790" i="12"/>
  <c r="K3790" i="12"/>
  <c r="F3790" i="12"/>
  <c r="G3790" i="12" s="1"/>
  <c r="L3790" i="12" s="1"/>
  <c r="E3790" i="12"/>
  <c r="I3790" i="12" s="1"/>
  <c r="C3790" i="12"/>
  <c r="AD3789" i="12"/>
  <c r="AC3789" i="12"/>
  <c r="Q3789" i="12"/>
  <c r="O3789" i="12"/>
  <c r="K3789" i="12"/>
  <c r="F3789" i="12"/>
  <c r="G3789" i="12" s="1"/>
  <c r="L3789" i="12" s="1"/>
  <c r="E3789" i="12"/>
  <c r="I3789" i="12" s="1"/>
  <c r="C3789" i="12"/>
  <c r="AD3788" i="12"/>
  <c r="AC3788" i="12"/>
  <c r="Q3788" i="12"/>
  <c r="O3788" i="12"/>
  <c r="K3788" i="12"/>
  <c r="F3788" i="12"/>
  <c r="G3788" i="12" s="1"/>
  <c r="L3788" i="12" s="1"/>
  <c r="E3788" i="12"/>
  <c r="I3788" i="12" s="1"/>
  <c r="C3788" i="12"/>
  <c r="AD3787" i="12"/>
  <c r="AC3787" i="12"/>
  <c r="Q3787" i="12"/>
  <c r="O3787" i="12"/>
  <c r="K3787" i="12"/>
  <c r="F3787" i="12"/>
  <c r="G3787" i="12" s="1"/>
  <c r="E3787" i="12"/>
  <c r="I3787" i="12" s="1"/>
  <c r="C3787" i="12"/>
  <c r="AD3786" i="12"/>
  <c r="AC3786" i="12"/>
  <c r="Q3786" i="12"/>
  <c r="O3786" i="12"/>
  <c r="K3786" i="12"/>
  <c r="F3786" i="12"/>
  <c r="G3786" i="12" s="1"/>
  <c r="L3786" i="12" s="1"/>
  <c r="E3786" i="12"/>
  <c r="I3786" i="12" s="1"/>
  <c r="C3786" i="12"/>
  <c r="AD3785" i="12"/>
  <c r="AC3785" i="12"/>
  <c r="Q3785" i="12"/>
  <c r="O3785" i="12"/>
  <c r="K3785" i="12"/>
  <c r="F3785" i="12"/>
  <c r="G3785" i="12" s="1"/>
  <c r="L3785" i="12" s="1"/>
  <c r="E3785" i="12"/>
  <c r="I3785" i="12" s="1"/>
  <c r="C3785" i="12"/>
  <c r="AD3784" i="12"/>
  <c r="AC3784" i="12"/>
  <c r="Q3784" i="12"/>
  <c r="O3784" i="12"/>
  <c r="K3784" i="12"/>
  <c r="F3784" i="12"/>
  <c r="G3784" i="12" s="1"/>
  <c r="L3784" i="12" s="1"/>
  <c r="E3784" i="12"/>
  <c r="I3784" i="12" s="1"/>
  <c r="C3784" i="12"/>
  <c r="AD3783" i="12"/>
  <c r="AC3783" i="12"/>
  <c r="Q3783" i="12"/>
  <c r="O3783" i="12"/>
  <c r="K3783" i="12"/>
  <c r="F3783" i="12"/>
  <c r="G3783" i="12" s="1"/>
  <c r="E3783" i="12"/>
  <c r="I3783" i="12" s="1"/>
  <c r="C3783" i="12"/>
  <c r="AD3782" i="12"/>
  <c r="AC3782" i="12"/>
  <c r="Q3782" i="12"/>
  <c r="O3782" i="12"/>
  <c r="K3782" i="12"/>
  <c r="F3782" i="12"/>
  <c r="G3782" i="12" s="1"/>
  <c r="L3782" i="12" s="1"/>
  <c r="E3782" i="12"/>
  <c r="I3782" i="12" s="1"/>
  <c r="C3782" i="12"/>
  <c r="AD3781" i="12"/>
  <c r="AC3781" i="12"/>
  <c r="Q3781" i="12"/>
  <c r="O3781" i="12"/>
  <c r="K3781" i="12"/>
  <c r="F3781" i="12"/>
  <c r="G3781" i="12" s="1"/>
  <c r="L3781" i="12" s="1"/>
  <c r="E3781" i="12"/>
  <c r="I3781" i="12" s="1"/>
  <c r="C3781" i="12"/>
  <c r="AD3780" i="12"/>
  <c r="AC3780" i="12"/>
  <c r="Q3780" i="12"/>
  <c r="O3780" i="12"/>
  <c r="K3780" i="12"/>
  <c r="F3780" i="12"/>
  <c r="G3780" i="12" s="1"/>
  <c r="L3780" i="12" s="1"/>
  <c r="E3780" i="12"/>
  <c r="I3780" i="12" s="1"/>
  <c r="C3780" i="12"/>
  <c r="AD3779" i="12"/>
  <c r="AC3779" i="12"/>
  <c r="Q3779" i="12"/>
  <c r="O3779" i="12"/>
  <c r="K3779" i="12"/>
  <c r="F3779" i="12"/>
  <c r="G3779" i="12" s="1"/>
  <c r="E3779" i="12"/>
  <c r="I3779" i="12" s="1"/>
  <c r="C3779" i="12"/>
  <c r="AD3778" i="12"/>
  <c r="AC3778" i="12"/>
  <c r="Q3778" i="12"/>
  <c r="O3778" i="12"/>
  <c r="K3778" i="12"/>
  <c r="F3778" i="12"/>
  <c r="G3778" i="12" s="1"/>
  <c r="L3778" i="12" s="1"/>
  <c r="E3778" i="12"/>
  <c r="I3778" i="12" s="1"/>
  <c r="C3778" i="12"/>
  <c r="AD3777" i="12"/>
  <c r="AC3777" i="12"/>
  <c r="Q3777" i="12"/>
  <c r="O3777" i="12"/>
  <c r="K3777" i="12"/>
  <c r="F3777" i="12"/>
  <c r="G3777" i="12" s="1"/>
  <c r="L3777" i="12" s="1"/>
  <c r="E3777" i="12"/>
  <c r="I3777" i="12" s="1"/>
  <c r="C3777" i="12"/>
  <c r="AD3776" i="12"/>
  <c r="AC3776" i="12"/>
  <c r="Q3776" i="12"/>
  <c r="O3776" i="12"/>
  <c r="K3776" i="12"/>
  <c r="F3776" i="12"/>
  <c r="G3776" i="12" s="1"/>
  <c r="L3776" i="12" s="1"/>
  <c r="E3776" i="12"/>
  <c r="I3776" i="12" s="1"/>
  <c r="C3776" i="12"/>
  <c r="AD3775" i="12"/>
  <c r="AC3775" i="12"/>
  <c r="Q3775" i="12"/>
  <c r="O3775" i="12"/>
  <c r="K3775" i="12"/>
  <c r="F3775" i="12"/>
  <c r="G3775" i="12" s="1"/>
  <c r="E3775" i="12"/>
  <c r="I3775" i="12" s="1"/>
  <c r="C3775" i="12"/>
  <c r="AD3774" i="12"/>
  <c r="AC3774" i="12"/>
  <c r="Q3774" i="12"/>
  <c r="O3774" i="12"/>
  <c r="K3774" i="12"/>
  <c r="F3774" i="12"/>
  <c r="G3774" i="12" s="1"/>
  <c r="L3774" i="12" s="1"/>
  <c r="E3774" i="12"/>
  <c r="I3774" i="12" s="1"/>
  <c r="C3774" i="12"/>
  <c r="AD3773" i="12"/>
  <c r="AC3773" i="12"/>
  <c r="Q3773" i="12"/>
  <c r="O3773" i="12"/>
  <c r="K3773" i="12"/>
  <c r="F3773" i="12"/>
  <c r="G3773" i="12" s="1"/>
  <c r="L3773" i="12" s="1"/>
  <c r="E3773" i="12"/>
  <c r="I3773" i="12" s="1"/>
  <c r="C3773" i="12"/>
  <c r="AD3772" i="12"/>
  <c r="AC3772" i="12"/>
  <c r="Q3772" i="12"/>
  <c r="O3772" i="12"/>
  <c r="K3772" i="12"/>
  <c r="F3772" i="12"/>
  <c r="G3772" i="12" s="1"/>
  <c r="L3772" i="12" s="1"/>
  <c r="E3772" i="12"/>
  <c r="I3772" i="12" s="1"/>
  <c r="C3772" i="12"/>
  <c r="AD3771" i="12"/>
  <c r="AC3771" i="12"/>
  <c r="Q3771" i="12"/>
  <c r="O3771" i="12"/>
  <c r="K3771" i="12"/>
  <c r="F3771" i="12"/>
  <c r="G3771" i="12" s="1"/>
  <c r="E3771" i="12"/>
  <c r="I3771" i="12" s="1"/>
  <c r="C3771" i="12"/>
  <c r="AD3770" i="12"/>
  <c r="AC3770" i="12"/>
  <c r="Q3770" i="12"/>
  <c r="O3770" i="12"/>
  <c r="K3770" i="12"/>
  <c r="F3770" i="12"/>
  <c r="G3770" i="12" s="1"/>
  <c r="L3770" i="12" s="1"/>
  <c r="E3770" i="12"/>
  <c r="I3770" i="12" s="1"/>
  <c r="C3770" i="12"/>
  <c r="AD3769" i="12"/>
  <c r="AC3769" i="12"/>
  <c r="Q3769" i="12"/>
  <c r="O3769" i="12"/>
  <c r="K3769" i="12"/>
  <c r="F3769" i="12"/>
  <c r="G3769" i="12" s="1"/>
  <c r="L3769" i="12" s="1"/>
  <c r="E3769" i="12"/>
  <c r="I3769" i="12" s="1"/>
  <c r="C3769" i="12"/>
  <c r="AD3768" i="12"/>
  <c r="AC3768" i="12"/>
  <c r="Q3768" i="12"/>
  <c r="O3768" i="12"/>
  <c r="K3768" i="12"/>
  <c r="F3768" i="12"/>
  <c r="G3768" i="12" s="1"/>
  <c r="L3768" i="12" s="1"/>
  <c r="E3768" i="12"/>
  <c r="I3768" i="12" s="1"/>
  <c r="C3768" i="12"/>
  <c r="AD3767" i="12"/>
  <c r="AC3767" i="12"/>
  <c r="Q3767" i="12"/>
  <c r="O3767" i="12"/>
  <c r="K3767" i="12"/>
  <c r="F3767" i="12"/>
  <c r="G3767" i="12" s="1"/>
  <c r="E3767" i="12"/>
  <c r="I3767" i="12" s="1"/>
  <c r="C3767" i="12"/>
  <c r="AD3766" i="12"/>
  <c r="AC3766" i="12"/>
  <c r="Q3766" i="12"/>
  <c r="O3766" i="12"/>
  <c r="K3766" i="12"/>
  <c r="F3766" i="12"/>
  <c r="G3766" i="12" s="1"/>
  <c r="L3766" i="12" s="1"/>
  <c r="E3766" i="12"/>
  <c r="I3766" i="12" s="1"/>
  <c r="C3766" i="12"/>
  <c r="AD3765" i="12"/>
  <c r="AC3765" i="12"/>
  <c r="Q3765" i="12"/>
  <c r="O3765" i="12"/>
  <c r="K3765" i="12"/>
  <c r="F3765" i="12"/>
  <c r="G3765" i="12" s="1"/>
  <c r="L3765" i="12" s="1"/>
  <c r="E3765" i="12"/>
  <c r="I3765" i="12" s="1"/>
  <c r="C3765" i="12"/>
  <c r="AD3764" i="12"/>
  <c r="AC3764" i="12"/>
  <c r="Q3764" i="12"/>
  <c r="O3764" i="12"/>
  <c r="K3764" i="12"/>
  <c r="F3764" i="12"/>
  <c r="G3764" i="12" s="1"/>
  <c r="L3764" i="12" s="1"/>
  <c r="E3764" i="12"/>
  <c r="I3764" i="12" s="1"/>
  <c r="C3764" i="12"/>
  <c r="AD3763" i="12"/>
  <c r="AC3763" i="12"/>
  <c r="Q3763" i="12"/>
  <c r="O3763" i="12"/>
  <c r="K3763" i="12"/>
  <c r="F3763" i="12"/>
  <c r="G3763" i="12" s="1"/>
  <c r="E3763" i="12"/>
  <c r="I3763" i="12" s="1"/>
  <c r="C3763" i="12"/>
  <c r="AD3762" i="12"/>
  <c r="AC3762" i="12"/>
  <c r="Q3762" i="12"/>
  <c r="O3762" i="12"/>
  <c r="K3762" i="12"/>
  <c r="F3762" i="12"/>
  <c r="G3762" i="12" s="1"/>
  <c r="L3762" i="12" s="1"/>
  <c r="E3762" i="12"/>
  <c r="I3762" i="12" s="1"/>
  <c r="C3762" i="12"/>
  <c r="AD3761" i="12"/>
  <c r="AC3761" i="12"/>
  <c r="Q3761" i="12"/>
  <c r="O3761" i="12"/>
  <c r="K3761" i="12"/>
  <c r="F3761" i="12"/>
  <c r="G3761" i="12" s="1"/>
  <c r="L3761" i="12" s="1"/>
  <c r="E3761" i="12"/>
  <c r="I3761" i="12" s="1"/>
  <c r="C3761" i="12"/>
  <c r="AD3760" i="12"/>
  <c r="AC3760" i="12"/>
  <c r="Q3760" i="12"/>
  <c r="O3760" i="12"/>
  <c r="K3760" i="12"/>
  <c r="F3760" i="12"/>
  <c r="G3760" i="12" s="1"/>
  <c r="L3760" i="12" s="1"/>
  <c r="E3760" i="12"/>
  <c r="I3760" i="12" s="1"/>
  <c r="C3760" i="12"/>
  <c r="AD3759" i="12"/>
  <c r="AC3759" i="12"/>
  <c r="Q3759" i="12"/>
  <c r="O3759" i="12"/>
  <c r="K3759" i="12"/>
  <c r="F3759" i="12"/>
  <c r="G3759" i="12" s="1"/>
  <c r="E3759" i="12"/>
  <c r="I3759" i="12" s="1"/>
  <c r="C3759" i="12"/>
  <c r="AD3758" i="12"/>
  <c r="AC3758" i="12"/>
  <c r="Q3758" i="12"/>
  <c r="O3758" i="12"/>
  <c r="K3758" i="12"/>
  <c r="F3758" i="12"/>
  <c r="G3758" i="12" s="1"/>
  <c r="L3758" i="12" s="1"/>
  <c r="E3758" i="12"/>
  <c r="I3758" i="12" s="1"/>
  <c r="C3758" i="12"/>
  <c r="AD3757" i="12"/>
  <c r="AC3757" i="12"/>
  <c r="Q3757" i="12"/>
  <c r="O3757" i="12"/>
  <c r="K3757" i="12"/>
  <c r="F3757" i="12"/>
  <c r="G3757" i="12" s="1"/>
  <c r="L3757" i="12" s="1"/>
  <c r="E3757" i="12"/>
  <c r="I3757" i="12" s="1"/>
  <c r="C3757" i="12"/>
  <c r="AD3756" i="12"/>
  <c r="AC3756" i="12"/>
  <c r="Q3756" i="12"/>
  <c r="O3756" i="12"/>
  <c r="K3756" i="12"/>
  <c r="F3756" i="12"/>
  <c r="G3756" i="12" s="1"/>
  <c r="L3756" i="12" s="1"/>
  <c r="E3756" i="12"/>
  <c r="I3756" i="12" s="1"/>
  <c r="C3756" i="12"/>
  <c r="AD3755" i="12"/>
  <c r="AC3755" i="12"/>
  <c r="Q3755" i="12"/>
  <c r="O3755" i="12"/>
  <c r="K3755" i="12"/>
  <c r="F3755" i="12"/>
  <c r="G3755" i="12" s="1"/>
  <c r="E3755" i="12"/>
  <c r="I3755" i="12" s="1"/>
  <c r="C3755" i="12"/>
  <c r="AD3754" i="12"/>
  <c r="AC3754" i="12"/>
  <c r="Q3754" i="12"/>
  <c r="O3754" i="12"/>
  <c r="K3754" i="12"/>
  <c r="F3754" i="12"/>
  <c r="G3754" i="12" s="1"/>
  <c r="L3754" i="12" s="1"/>
  <c r="E3754" i="12"/>
  <c r="I3754" i="12" s="1"/>
  <c r="C3754" i="12"/>
  <c r="AD3753" i="12"/>
  <c r="AC3753" i="12"/>
  <c r="Q3753" i="12"/>
  <c r="O3753" i="12"/>
  <c r="K3753" i="12"/>
  <c r="F3753" i="12"/>
  <c r="G3753" i="12" s="1"/>
  <c r="L3753" i="12" s="1"/>
  <c r="E3753" i="12"/>
  <c r="I3753" i="12" s="1"/>
  <c r="C3753" i="12"/>
  <c r="AD3752" i="12"/>
  <c r="AC3752" i="12"/>
  <c r="Q3752" i="12"/>
  <c r="O3752" i="12"/>
  <c r="K3752" i="12"/>
  <c r="F3752" i="12"/>
  <c r="G3752" i="12" s="1"/>
  <c r="L3752" i="12" s="1"/>
  <c r="E3752" i="12"/>
  <c r="I3752" i="12" s="1"/>
  <c r="C3752" i="12"/>
  <c r="AD3751" i="12"/>
  <c r="AC3751" i="12"/>
  <c r="Q3751" i="12"/>
  <c r="O3751" i="12"/>
  <c r="K3751" i="12"/>
  <c r="F3751" i="12"/>
  <c r="G3751" i="12" s="1"/>
  <c r="E3751" i="12"/>
  <c r="I3751" i="12" s="1"/>
  <c r="C3751" i="12"/>
  <c r="AD3750" i="12"/>
  <c r="AC3750" i="12"/>
  <c r="Q3750" i="12"/>
  <c r="O3750" i="12"/>
  <c r="K3750" i="12"/>
  <c r="F3750" i="12"/>
  <c r="G3750" i="12" s="1"/>
  <c r="L3750" i="12" s="1"/>
  <c r="E3750" i="12"/>
  <c r="I3750" i="12" s="1"/>
  <c r="C3750" i="12"/>
  <c r="AD3749" i="12"/>
  <c r="AC3749" i="12"/>
  <c r="Q3749" i="12"/>
  <c r="O3749" i="12"/>
  <c r="K3749" i="12"/>
  <c r="F3749" i="12"/>
  <c r="G3749" i="12" s="1"/>
  <c r="L3749" i="12" s="1"/>
  <c r="E3749" i="12"/>
  <c r="I3749" i="12" s="1"/>
  <c r="C3749" i="12"/>
  <c r="AD3748" i="12"/>
  <c r="AC3748" i="12"/>
  <c r="Q3748" i="12"/>
  <c r="O3748" i="12"/>
  <c r="K3748" i="12"/>
  <c r="F3748" i="12"/>
  <c r="G3748" i="12" s="1"/>
  <c r="L3748" i="12" s="1"/>
  <c r="E3748" i="12"/>
  <c r="I3748" i="12" s="1"/>
  <c r="C3748" i="12"/>
  <c r="AD3747" i="12"/>
  <c r="AC3747" i="12"/>
  <c r="Q3747" i="12"/>
  <c r="O3747" i="12"/>
  <c r="K3747" i="12"/>
  <c r="F3747" i="12"/>
  <c r="G3747" i="12" s="1"/>
  <c r="E3747" i="12"/>
  <c r="I3747" i="12" s="1"/>
  <c r="C3747" i="12"/>
  <c r="AD3746" i="12"/>
  <c r="AC3746" i="12"/>
  <c r="Q3746" i="12"/>
  <c r="O3746" i="12"/>
  <c r="K3746" i="12"/>
  <c r="F3746" i="12"/>
  <c r="G3746" i="12" s="1"/>
  <c r="L3746" i="12" s="1"/>
  <c r="E3746" i="12"/>
  <c r="I3746" i="12" s="1"/>
  <c r="C3746" i="12"/>
  <c r="AD3745" i="12"/>
  <c r="AC3745" i="12"/>
  <c r="Q3745" i="12"/>
  <c r="O3745" i="12"/>
  <c r="K3745" i="12"/>
  <c r="F3745" i="12"/>
  <c r="G3745" i="12" s="1"/>
  <c r="L3745" i="12" s="1"/>
  <c r="E3745" i="12"/>
  <c r="I3745" i="12" s="1"/>
  <c r="C3745" i="12"/>
  <c r="AD3744" i="12"/>
  <c r="AC3744" i="12"/>
  <c r="Q3744" i="12"/>
  <c r="O3744" i="12"/>
  <c r="K3744" i="12"/>
  <c r="F3744" i="12"/>
  <c r="G3744" i="12" s="1"/>
  <c r="L3744" i="12" s="1"/>
  <c r="E3744" i="12"/>
  <c r="I3744" i="12" s="1"/>
  <c r="C3744" i="12"/>
  <c r="AD3743" i="12"/>
  <c r="AC3743" i="12"/>
  <c r="Q3743" i="12"/>
  <c r="O3743" i="12"/>
  <c r="K3743" i="12"/>
  <c r="F3743" i="12"/>
  <c r="G3743" i="12" s="1"/>
  <c r="E3743" i="12"/>
  <c r="I3743" i="12" s="1"/>
  <c r="C3743" i="12"/>
  <c r="AD3742" i="12"/>
  <c r="AC3742" i="12"/>
  <c r="Q3742" i="12"/>
  <c r="O3742" i="12"/>
  <c r="K3742" i="12"/>
  <c r="F3742" i="12"/>
  <c r="G3742" i="12" s="1"/>
  <c r="L3742" i="12" s="1"/>
  <c r="E3742" i="12"/>
  <c r="I3742" i="12" s="1"/>
  <c r="C3742" i="12"/>
  <c r="AD3741" i="12"/>
  <c r="AC3741" i="12"/>
  <c r="Q3741" i="12"/>
  <c r="O3741" i="12"/>
  <c r="K3741" i="12"/>
  <c r="F3741" i="12"/>
  <c r="G3741" i="12" s="1"/>
  <c r="L3741" i="12" s="1"/>
  <c r="E3741" i="12"/>
  <c r="I3741" i="12" s="1"/>
  <c r="C3741" i="12"/>
  <c r="AD3740" i="12"/>
  <c r="AC3740" i="12"/>
  <c r="Q3740" i="12"/>
  <c r="O3740" i="12"/>
  <c r="K3740" i="12"/>
  <c r="F3740" i="12"/>
  <c r="G3740" i="12" s="1"/>
  <c r="L3740" i="12" s="1"/>
  <c r="E3740" i="12"/>
  <c r="I3740" i="12" s="1"/>
  <c r="C3740" i="12"/>
  <c r="AD3739" i="12"/>
  <c r="AC3739" i="12"/>
  <c r="Q3739" i="12"/>
  <c r="O3739" i="12"/>
  <c r="K3739" i="12"/>
  <c r="F3739" i="12"/>
  <c r="G3739" i="12" s="1"/>
  <c r="E3739" i="12"/>
  <c r="I3739" i="12" s="1"/>
  <c r="C3739" i="12"/>
  <c r="AD3738" i="12"/>
  <c r="AC3738" i="12"/>
  <c r="Q3738" i="12"/>
  <c r="O3738" i="12"/>
  <c r="K3738" i="12"/>
  <c r="F3738" i="12"/>
  <c r="G3738" i="12" s="1"/>
  <c r="L3738" i="12" s="1"/>
  <c r="E3738" i="12"/>
  <c r="I3738" i="12" s="1"/>
  <c r="C3738" i="12"/>
  <c r="AD3737" i="12"/>
  <c r="AC3737" i="12"/>
  <c r="Q3737" i="12"/>
  <c r="O3737" i="12"/>
  <c r="K3737" i="12"/>
  <c r="F3737" i="12"/>
  <c r="G3737" i="12" s="1"/>
  <c r="L3737" i="12" s="1"/>
  <c r="E3737" i="12"/>
  <c r="I3737" i="12" s="1"/>
  <c r="C3737" i="12"/>
  <c r="AD3736" i="12"/>
  <c r="AC3736" i="12"/>
  <c r="Q3736" i="12"/>
  <c r="O3736" i="12"/>
  <c r="K3736" i="12"/>
  <c r="F3736" i="12"/>
  <c r="G3736" i="12" s="1"/>
  <c r="L3736" i="12" s="1"/>
  <c r="E3736" i="12"/>
  <c r="I3736" i="12" s="1"/>
  <c r="C3736" i="12"/>
  <c r="AD3735" i="12"/>
  <c r="AC3735" i="12"/>
  <c r="Q3735" i="12"/>
  <c r="O3735" i="12"/>
  <c r="K3735" i="12"/>
  <c r="F3735" i="12"/>
  <c r="G3735" i="12" s="1"/>
  <c r="J3735" i="12" s="1"/>
  <c r="E3735" i="12"/>
  <c r="I3735" i="12" s="1"/>
  <c r="C3735" i="12"/>
  <c r="AD3734" i="12"/>
  <c r="AC3734" i="12"/>
  <c r="Q3734" i="12"/>
  <c r="O3734" i="12"/>
  <c r="K3734" i="12"/>
  <c r="F3734" i="12"/>
  <c r="G3734" i="12" s="1"/>
  <c r="J3734" i="12" s="1"/>
  <c r="E3734" i="12"/>
  <c r="I3734" i="12" s="1"/>
  <c r="C3734" i="12"/>
  <c r="AD3733" i="12"/>
  <c r="AC3733" i="12"/>
  <c r="Q3733" i="12"/>
  <c r="O3733" i="12"/>
  <c r="K3733" i="12"/>
  <c r="F3733" i="12"/>
  <c r="G3733" i="12" s="1"/>
  <c r="J3733" i="12" s="1"/>
  <c r="E3733" i="12"/>
  <c r="I3733" i="12" s="1"/>
  <c r="C3733" i="12"/>
  <c r="AD3732" i="12"/>
  <c r="AC3732" i="12"/>
  <c r="Q3732" i="12"/>
  <c r="O3732" i="12"/>
  <c r="K3732" i="12"/>
  <c r="F3732" i="12"/>
  <c r="G3732" i="12" s="1"/>
  <c r="J3732" i="12" s="1"/>
  <c r="E3732" i="12"/>
  <c r="I3732" i="12" s="1"/>
  <c r="C3732" i="12"/>
  <c r="AD3731" i="12"/>
  <c r="AC3731" i="12"/>
  <c r="Q3731" i="12"/>
  <c r="O3731" i="12"/>
  <c r="K3731" i="12"/>
  <c r="F3731" i="12"/>
  <c r="G3731" i="12" s="1"/>
  <c r="J3731" i="12" s="1"/>
  <c r="E3731" i="12"/>
  <c r="I3731" i="12" s="1"/>
  <c r="C3731" i="12"/>
  <c r="AD3730" i="12"/>
  <c r="AC3730" i="12"/>
  <c r="Q3730" i="12"/>
  <c r="O3730" i="12"/>
  <c r="K3730" i="12"/>
  <c r="F3730" i="12"/>
  <c r="G3730" i="12" s="1"/>
  <c r="J3730" i="12" s="1"/>
  <c r="E3730" i="12"/>
  <c r="I3730" i="12" s="1"/>
  <c r="C3730" i="12"/>
  <c r="AD3729" i="12"/>
  <c r="AC3729" i="12"/>
  <c r="Q3729" i="12"/>
  <c r="O3729" i="12"/>
  <c r="K3729" i="12"/>
  <c r="F3729" i="12"/>
  <c r="G3729" i="12" s="1"/>
  <c r="J3729" i="12" s="1"/>
  <c r="E3729" i="12"/>
  <c r="I3729" i="12" s="1"/>
  <c r="C3729" i="12"/>
  <c r="AD3728" i="12"/>
  <c r="AC3728" i="12"/>
  <c r="Q3728" i="12"/>
  <c r="O3728" i="12"/>
  <c r="K3728" i="12"/>
  <c r="F3728" i="12"/>
  <c r="G3728" i="12" s="1"/>
  <c r="J3728" i="12" s="1"/>
  <c r="E3728" i="12"/>
  <c r="I3728" i="12" s="1"/>
  <c r="C3728" i="12"/>
  <c r="AD3727" i="12"/>
  <c r="AC3727" i="12"/>
  <c r="Q3727" i="12"/>
  <c r="O3727" i="12"/>
  <c r="K3727" i="12"/>
  <c r="F3727" i="12"/>
  <c r="G3727" i="12" s="1"/>
  <c r="J3727" i="12" s="1"/>
  <c r="E3727" i="12"/>
  <c r="I3727" i="12" s="1"/>
  <c r="C3727" i="12"/>
  <c r="AD3726" i="12"/>
  <c r="AC3726" i="12"/>
  <c r="Q3726" i="12"/>
  <c r="O3726" i="12"/>
  <c r="K3726" i="12"/>
  <c r="F3726" i="12"/>
  <c r="G3726" i="12" s="1"/>
  <c r="J3726" i="12" s="1"/>
  <c r="E3726" i="12"/>
  <c r="I3726" i="12" s="1"/>
  <c r="C3726" i="12"/>
  <c r="AD3725" i="12"/>
  <c r="AC3725" i="12"/>
  <c r="Q3725" i="12"/>
  <c r="O3725" i="12"/>
  <c r="K3725" i="12"/>
  <c r="F3725" i="12"/>
  <c r="G3725" i="12" s="1"/>
  <c r="J3725" i="12" s="1"/>
  <c r="E3725" i="12"/>
  <c r="I3725" i="12" s="1"/>
  <c r="C3725" i="12"/>
  <c r="AD3724" i="12"/>
  <c r="AC3724" i="12"/>
  <c r="Q3724" i="12"/>
  <c r="O3724" i="12"/>
  <c r="K3724" i="12"/>
  <c r="F3724" i="12"/>
  <c r="G3724" i="12" s="1"/>
  <c r="J3724" i="12" s="1"/>
  <c r="E3724" i="12"/>
  <c r="I3724" i="12" s="1"/>
  <c r="C3724" i="12"/>
  <c r="AD3723" i="12"/>
  <c r="AC3723" i="12"/>
  <c r="Q3723" i="12"/>
  <c r="O3723" i="12"/>
  <c r="K3723" i="12"/>
  <c r="F3723" i="12"/>
  <c r="G3723" i="12" s="1"/>
  <c r="J3723" i="12" s="1"/>
  <c r="E3723" i="12"/>
  <c r="I3723" i="12" s="1"/>
  <c r="C3723" i="12"/>
  <c r="AD3722" i="12"/>
  <c r="AC3722" i="12"/>
  <c r="Q3722" i="12"/>
  <c r="O3722" i="12"/>
  <c r="K3722" i="12"/>
  <c r="F3722" i="12"/>
  <c r="G3722" i="12" s="1"/>
  <c r="J3722" i="12" s="1"/>
  <c r="E3722" i="12"/>
  <c r="I3722" i="12" s="1"/>
  <c r="C3722" i="12"/>
  <c r="AD3721" i="12"/>
  <c r="AC3721" i="12"/>
  <c r="Q3721" i="12"/>
  <c r="O3721" i="12"/>
  <c r="K3721" i="12"/>
  <c r="F3721" i="12"/>
  <c r="G3721" i="12" s="1"/>
  <c r="E3721" i="12"/>
  <c r="I3721" i="12" s="1"/>
  <c r="C3721" i="12"/>
  <c r="AD3720" i="12"/>
  <c r="AC3720" i="12"/>
  <c r="Q3720" i="12"/>
  <c r="O3720" i="12"/>
  <c r="K3720" i="12"/>
  <c r="F3720" i="12"/>
  <c r="G3720" i="12" s="1"/>
  <c r="E3720" i="12"/>
  <c r="I3720" i="12" s="1"/>
  <c r="C3720" i="12"/>
  <c r="AD3719" i="12"/>
  <c r="AC3719" i="12"/>
  <c r="Q3719" i="12"/>
  <c r="O3719" i="12"/>
  <c r="K3719" i="12"/>
  <c r="F3719" i="12"/>
  <c r="G3719" i="12" s="1"/>
  <c r="E3719" i="12"/>
  <c r="I3719" i="12" s="1"/>
  <c r="C3719" i="12"/>
  <c r="AD3718" i="12"/>
  <c r="AC3718" i="12"/>
  <c r="Q3718" i="12"/>
  <c r="O3718" i="12"/>
  <c r="K3718" i="12"/>
  <c r="F3718" i="12"/>
  <c r="G3718" i="12" s="1"/>
  <c r="E3718" i="12"/>
  <c r="I3718" i="12" s="1"/>
  <c r="C3718" i="12"/>
  <c r="AD3717" i="12"/>
  <c r="AC3717" i="12"/>
  <c r="Q3717" i="12"/>
  <c r="O3717" i="12"/>
  <c r="K3717" i="12"/>
  <c r="F3717" i="12"/>
  <c r="G3717" i="12" s="1"/>
  <c r="E3717" i="12"/>
  <c r="I3717" i="12" s="1"/>
  <c r="C3717" i="12"/>
  <c r="AD3716" i="12"/>
  <c r="AC3716" i="12"/>
  <c r="Q3716" i="12"/>
  <c r="O3716" i="12"/>
  <c r="K3716" i="12"/>
  <c r="F3716" i="12"/>
  <c r="G3716" i="12" s="1"/>
  <c r="E3716" i="12"/>
  <c r="I3716" i="12" s="1"/>
  <c r="C3716" i="12"/>
  <c r="AD3715" i="12"/>
  <c r="AC3715" i="12"/>
  <c r="Q3715" i="12"/>
  <c r="O3715" i="12"/>
  <c r="K3715" i="12"/>
  <c r="F3715" i="12"/>
  <c r="G3715" i="12" s="1"/>
  <c r="E3715" i="12"/>
  <c r="I3715" i="12" s="1"/>
  <c r="C3715" i="12"/>
  <c r="AD3714" i="12"/>
  <c r="AC3714" i="12"/>
  <c r="Q3714" i="12"/>
  <c r="O3714" i="12"/>
  <c r="K3714" i="12"/>
  <c r="F3714" i="12"/>
  <c r="G3714" i="12" s="1"/>
  <c r="E3714" i="12"/>
  <c r="I3714" i="12" s="1"/>
  <c r="C3714" i="12"/>
  <c r="AD3713" i="12"/>
  <c r="AC3713" i="12"/>
  <c r="Q3713" i="12"/>
  <c r="O3713" i="12"/>
  <c r="K3713" i="12"/>
  <c r="F3713" i="12"/>
  <c r="G3713" i="12" s="1"/>
  <c r="E3713" i="12"/>
  <c r="I3713" i="12" s="1"/>
  <c r="C3713" i="12"/>
  <c r="AD3712" i="12"/>
  <c r="AC3712" i="12"/>
  <c r="Q3712" i="12"/>
  <c r="O3712" i="12"/>
  <c r="K3712" i="12"/>
  <c r="F3712" i="12"/>
  <c r="G3712" i="12" s="1"/>
  <c r="E3712" i="12"/>
  <c r="I3712" i="12" s="1"/>
  <c r="C3712" i="12"/>
  <c r="AD3711" i="12"/>
  <c r="AC3711" i="12"/>
  <c r="Q3711" i="12"/>
  <c r="O3711" i="12"/>
  <c r="K3711" i="12"/>
  <c r="F3711" i="12"/>
  <c r="G3711" i="12" s="1"/>
  <c r="E3711" i="12"/>
  <c r="I3711" i="12" s="1"/>
  <c r="C3711" i="12"/>
  <c r="AD3710" i="12"/>
  <c r="AC3710" i="12"/>
  <c r="Q3710" i="12"/>
  <c r="O3710" i="12"/>
  <c r="K3710" i="12"/>
  <c r="F3710" i="12"/>
  <c r="G3710" i="12" s="1"/>
  <c r="L3710" i="12" s="1"/>
  <c r="E3710" i="12"/>
  <c r="I3710" i="12" s="1"/>
  <c r="C3710" i="12"/>
  <c r="AD3709" i="12"/>
  <c r="AC3709" i="12"/>
  <c r="Q3709" i="12"/>
  <c r="O3709" i="12"/>
  <c r="K3709" i="12"/>
  <c r="F3709" i="12"/>
  <c r="G3709" i="12" s="1"/>
  <c r="L3709" i="12" s="1"/>
  <c r="E3709" i="12"/>
  <c r="I3709" i="12" s="1"/>
  <c r="C3709" i="12"/>
  <c r="AD3708" i="12"/>
  <c r="AC3708" i="12"/>
  <c r="Q3708" i="12"/>
  <c r="O3708" i="12"/>
  <c r="K3708" i="12"/>
  <c r="F3708" i="12"/>
  <c r="G3708" i="12" s="1"/>
  <c r="L3708" i="12" s="1"/>
  <c r="E3708" i="12"/>
  <c r="I3708" i="12" s="1"/>
  <c r="C3708" i="12"/>
  <c r="AD3707" i="12"/>
  <c r="AC3707" i="12"/>
  <c r="Q3707" i="12"/>
  <c r="O3707" i="12"/>
  <c r="K3707" i="12"/>
  <c r="F3707" i="12"/>
  <c r="G3707" i="12" s="1"/>
  <c r="E3707" i="12"/>
  <c r="I3707" i="12" s="1"/>
  <c r="C3707" i="12"/>
  <c r="AD3706" i="12"/>
  <c r="AC3706" i="12"/>
  <c r="Q3706" i="12"/>
  <c r="O3706" i="12"/>
  <c r="K3706" i="12"/>
  <c r="F3706" i="12"/>
  <c r="G3706" i="12" s="1"/>
  <c r="L3706" i="12" s="1"/>
  <c r="E3706" i="12"/>
  <c r="I3706" i="12" s="1"/>
  <c r="C3706" i="12"/>
  <c r="AD3705" i="12"/>
  <c r="AC3705" i="12"/>
  <c r="Q3705" i="12"/>
  <c r="O3705" i="12"/>
  <c r="K3705" i="12"/>
  <c r="F3705" i="12"/>
  <c r="G3705" i="12" s="1"/>
  <c r="L3705" i="12" s="1"/>
  <c r="E3705" i="12"/>
  <c r="I3705" i="12" s="1"/>
  <c r="C3705" i="12"/>
  <c r="AD3704" i="12"/>
  <c r="AC3704" i="12"/>
  <c r="Q3704" i="12"/>
  <c r="O3704" i="12"/>
  <c r="K3704" i="12"/>
  <c r="F3704" i="12"/>
  <c r="G3704" i="12" s="1"/>
  <c r="L3704" i="12" s="1"/>
  <c r="E3704" i="12"/>
  <c r="I3704" i="12" s="1"/>
  <c r="C3704" i="12"/>
  <c r="AD3703" i="12"/>
  <c r="AC3703" i="12"/>
  <c r="Q3703" i="12"/>
  <c r="O3703" i="12"/>
  <c r="K3703" i="12"/>
  <c r="F3703" i="12"/>
  <c r="G3703" i="12" s="1"/>
  <c r="L3703" i="12" s="1"/>
  <c r="E3703" i="12"/>
  <c r="I3703" i="12" s="1"/>
  <c r="C3703" i="12"/>
  <c r="AD3702" i="12"/>
  <c r="AC3702" i="12"/>
  <c r="Q3702" i="12"/>
  <c r="O3702" i="12"/>
  <c r="K3702" i="12"/>
  <c r="F3702" i="12"/>
  <c r="G3702" i="12" s="1"/>
  <c r="L3702" i="12" s="1"/>
  <c r="E3702" i="12"/>
  <c r="I3702" i="12" s="1"/>
  <c r="C3702" i="12"/>
  <c r="AD3701" i="12"/>
  <c r="AC3701" i="12"/>
  <c r="Q3701" i="12"/>
  <c r="O3701" i="12"/>
  <c r="K3701" i="12"/>
  <c r="F3701" i="12"/>
  <c r="G3701" i="12" s="1"/>
  <c r="L3701" i="12" s="1"/>
  <c r="E3701" i="12"/>
  <c r="I3701" i="12" s="1"/>
  <c r="C3701" i="12"/>
  <c r="AD3700" i="12"/>
  <c r="AC3700" i="12"/>
  <c r="Q3700" i="12"/>
  <c r="O3700" i="12"/>
  <c r="K3700" i="12"/>
  <c r="F3700" i="12"/>
  <c r="G3700" i="12" s="1"/>
  <c r="L3700" i="12" s="1"/>
  <c r="E3700" i="12"/>
  <c r="I3700" i="12" s="1"/>
  <c r="C3700" i="12"/>
  <c r="AD3699" i="12"/>
  <c r="AC3699" i="12"/>
  <c r="Q3699" i="12"/>
  <c r="O3699" i="12"/>
  <c r="K3699" i="12"/>
  <c r="F3699" i="12"/>
  <c r="G3699" i="12" s="1"/>
  <c r="E3699" i="12"/>
  <c r="I3699" i="12" s="1"/>
  <c r="C3699" i="12"/>
  <c r="AD3698" i="12"/>
  <c r="AC3698" i="12"/>
  <c r="Q3698" i="12"/>
  <c r="O3698" i="12"/>
  <c r="K3698" i="12"/>
  <c r="F3698" i="12"/>
  <c r="G3698" i="12" s="1"/>
  <c r="L3698" i="12" s="1"/>
  <c r="E3698" i="12"/>
  <c r="I3698" i="12" s="1"/>
  <c r="C3698" i="12"/>
  <c r="AD3697" i="12"/>
  <c r="AC3697" i="12"/>
  <c r="Q3697" i="12"/>
  <c r="O3697" i="12"/>
  <c r="K3697" i="12"/>
  <c r="F3697" i="12"/>
  <c r="G3697" i="12" s="1"/>
  <c r="L3697" i="12" s="1"/>
  <c r="E3697" i="12"/>
  <c r="I3697" i="12" s="1"/>
  <c r="C3697" i="12"/>
  <c r="AD3696" i="12"/>
  <c r="AC3696" i="12"/>
  <c r="Q3696" i="12"/>
  <c r="O3696" i="12"/>
  <c r="K3696" i="12"/>
  <c r="F3696" i="12"/>
  <c r="G3696" i="12" s="1"/>
  <c r="L3696" i="12" s="1"/>
  <c r="E3696" i="12"/>
  <c r="I3696" i="12" s="1"/>
  <c r="C3696" i="12"/>
  <c r="AD3695" i="12"/>
  <c r="AC3695" i="12"/>
  <c r="Q3695" i="12"/>
  <c r="O3695" i="12"/>
  <c r="K3695" i="12"/>
  <c r="F3695" i="12"/>
  <c r="G3695" i="12" s="1"/>
  <c r="L3695" i="12" s="1"/>
  <c r="E3695" i="12"/>
  <c r="I3695" i="12" s="1"/>
  <c r="C3695" i="12"/>
  <c r="AD3694" i="12"/>
  <c r="AC3694" i="12"/>
  <c r="Q3694" i="12"/>
  <c r="O3694" i="12"/>
  <c r="K3694" i="12"/>
  <c r="F3694" i="12"/>
  <c r="G3694" i="12" s="1"/>
  <c r="L3694" i="12" s="1"/>
  <c r="E3694" i="12"/>
  <c r="I3694" i="12" s="1"/>
  <c r="C3694" i="12"/>
  <c r="AD3693" i="12"/>
  <c r="AC3693" i="12"/>
  <c r="Q3693" i="12"/>
  <c r="O3693" i="12"/>
  <c r="K3693" i="12"/>
  <c r="F3693" i="12"/>
  <c r="G3693" i="12" s="1"/>
  <c r="L3693" i="12" s="1"/>
  <c r="E3693" i="12"/>
  <c r="I3693" i="12" s="1"/>
  <c r="C3693" i="12"/>
  <c r="AD3692" i="12"/>
  <c r="AC3692" i="12"/>
  <c r="Q3692" i="12"/>
  <c r="O3692" i="12"/>
  <c r="K3692" i="12"/>
  <c r="F3692" i="12"/>
  <c r="G3692" i="12" s="1"/>
  <c r="L3692" i="12" s="1"/>
  <c r="E3692" i="12"/>
  <c r="I3692" i="12" s="1"/>
  <c r="C3692" i="12"/>
  <c r="AD3691" i="12"/>
  <c r="AC3691" i="12"/>
  <c r="Q3691" i="12"/>
  <c r="O3691" i="12"/>
  <c r="K3691" i="12"/>
  <c r="F3691" i="12"/>
  <c r="G3691" i="12" s="1"/>
  <c r="E3691" i="12"/>
  <c r="I3691" i="12" s="1"/>
  <c r="C3691" i="12"/>
  <c r="AD3690" i="12"/>
  <c r="AC3690" i="12"/>
  <c r="Q3690" i="12"/>
  <c r="O3690" i="12"/>
  <c r="K3690" i="12"/>
  <c r="F3690" i="12"/>
  <c r="G3690" i="12" s="1"/>
  <c r="L3690" i="12" s="1"/>
  <c r="E3690" i="12"/>
  <c r="I3690" i="12" s="1"/>
  <c r="C3690" i="12"/>
  <c r="AD3689" i="12"/>
  <c r="AC3689" i="12"/>
  <c r="Q3689" i="12"/>
  <c r="O3689" i="12"/>
  <c r="K3689" i="12"/>
  <c r="F3689" i="12"/>
  <c r="G3689" i="12" s="1"/>
  <c r="L3689" i="12" s="1"/>
  <c r="E3689" i="12"/>
  <c r="I3689" i="12" s="1"/>
  <c r="C3689" i="12"/>
  <c r="AD3688" i="12"/>
  <c r="AC3688" i="12"/>
  <c r="Q3688" i="12"/>
  <c r="O3688" i="12"/>
  <c r="K3688" i="12"/>
  <c r="F3688" i="12"/>
  <c r="G3688" i="12" s="1"/>
  <c r="L3688" i="12" s="1"/>
  <c r="E3688" i="12"/>
  <c r="I3688" i="12" s="1"/>
  <c r="C3688" i="12"/>
  <c r="AD3687" i="12"/>
  <c r="AC3687" i="12"/>
  <c r="Q3687" i="12"/>
  <c r="O3687" i="12"/>
  <c r="K3687" i="12"/>
  <c r="F3687" i="12"/>
  <c r="G3687" i="12" s="1"/>
  <c r="L3687" i="12" s="1"/>
  <c r="E3687" i="12"/>
  <c r="I3687" i="12" s="1"/>
  <c r="C3687" i="12"/>
  <c r="AD3686" i="12"/>
  <c r="AC3686" i="12"/>
  <c r="Q3686" i="12"/>
  <c r="O3686" i="12"/>
  <c r="K3686" i="12"/>
  <c r="F3686" i="12"/>
  <c r="G3686" i="12" s="1"/>
  <c r="L3686" i="12" s="1"/>
  <c r="E3686" i="12"/>
  <c r="I3686" i="12" s="1"/>
  <c r="C3686" i="12"/>
  <c r="AD3685" i="12"/>
  <c r="AC3685" i="12"/>
  <c r="Q3685" i="12"/>
  <c r="O3685" i="12"/>
  <c r="K3685" i="12"/>
  <c r="F3685" i="12"/>
  <c r="G3685" i="12" s="1"/>
  <c r="L3685" i="12" s="1"/>
  <c r="E3685" i="12"/>
  <c r="I3685" i="12" s="1"/>
  <c r="C3685" i="12"/>
  <c r="AD3684" i="12"/>
  <c r="AC3684" i="12"/>
  <c r="Q3684" i="12"/>
  <c r="O3684" i="12"/>
  <c r="K3684" i="12"/>
  <c r="F3684" i="12"/>
  <c r="G3684" i="12" s="1"/>
  <c r="L3684" i="12" s="1"/>
  <c r="E3684" i="12"/>
  <c r="I3684" i="12" s="1"/>
  <c r="C3684" i="12"/>
  <c r="AD3683" i="12"/>
  <c r="AC3683" i="12"/>
  <c r="Q3683" i="12"/>
  <c r="O3683" i="12"/>
  <c r="K3683" i="12"/>
  <c r="F3683" i="12"/>
  <c r="G3683" i="12" s="1"/>
  <c r="L3683" i="12" s="1"/>
  <c r="E3683" i="12"/>
  <c r="I3683" i="12" s="1"/>
  <c r="C3683" i="12"/>
  <c r="AD3682" i="12"/>
  <c r="AC3682" i="12"/>
  <c r="Q3682" i="12"/>
  <c r="O3682" i="12"/>
  <c r="K3682" i="12"/>
  <c r="F3682" i="12"/>
  <c r="G3682" i="12" s="1"/>
  <c r="L3682" i="12" s="1"/>
  <c r="E3682" i="12"/>
  <c r="I3682" i="12" s="1"/>
  <c r="C3682" i="12"/>
  <c r="AD3681" i="12"/>
  <c r="AC3681" i="12"/>
  <c r="Q3681" i="12"/>
  <c r="O3681" i="12"/>
  <c r="K3681" i="12"/>
  <c r="F3681" i="12"/>
  <c r="G3681" i="12" s="1"/>
  <c r="L3681" i="12" s="1"/>
  <c r="E3681" i="12"/>
  <c r="I3681" i="12" s="1"/>
  <c r="C3681" i="12"/>
  <c r="AD3680" i="12"/>
  <c r="AC3680" i="12"/>
  <c r="Q3680" i="12"/>
  <c r="O3680" i="12"/>
  <c r="K3680" i="12"/>
  <c r="F3680" i="12"/>
  <c r="G3680" i="12" s="1"/>
  <c r="L3680" i="12" s="1"/>
  <c r="E3680" i="12"/>
  <c r="I3680" i="12" s="1"/>
  <c r="C3680" i="12"/>
  <c r="AD3679" i="12"/>
  <c r="AC3679" i="12"/>
  <c r="Q3679" i="12"/>
  <c r="O3679" i="12"/>
  <c r="K3679" i="12"/>
  <c r="F3679" i="12"/>
  <c r="G3679" i="12" s="1"/>
  <c r="L3679" i="12" s="1"/>
  <c r="E3679" i="12"/>
  <c r="I3679" i="12" s="1"/>
  <c r="C3679" i="12"/>
  <c r="AD3678" i="12"/>
  <c r="AC3678" i="12"/>
  <c r="Q3678" i="12"/>
  <c r="O3678" i="12"/>
  <c r="K3678" i="12"/>
  <c r="F3678" i="12"/>
  <c r="G3678" i="12" s="1"/>
  <c r="L3678" i="12" s="1"/>
  <c r="E3678" i="12"/>
  <c r="I3678" i="12" s="1"/>
  <c r="C3678" i="12"/>
  <c r="AD3677" i="12"/>
  <c r="AC3677" i="12"/>
  <c r="Q3677" i="12"/>
  <c r="O3677" i="12"/>
  <c r="K3677" i="12"/>
  <c r="F3677" i="12"/>
  <c r="G3677" i="12" s="1"/>
  <c r="L3677" i="12" s="1"/>
  <c r="E3677" i="12"/>
  <c r="I3677" i="12" s="1"/>
  <c r="C3677" i="12"/>
  <c r="AD3676" i="12"/>
  <c r="AC3676" i="12"/>
  <c r="Q3676" i="12"/>
  <c r="O3676" i="12"/>
  <c r="K3676" i="12"/>
  <c r="F3676" i="12"/>
  <c r="G3676" i="12" s="1"/>
  <c r="L3676" i="12" s="1"/>
  <c r="E3676" i="12"/>
  <c r="I3676" i="12" s="1"/>
  <c r="C3676" i="12"/>
  <c r="AD3675" i="12"/>
  <c r="AC3675" i="12"/>
  <c r="Q3675" i="12"/>
  <c r="O3675" i="12"/>
  <c r="K3675" i="12"/>
  <c r="F3675" i="12"/>
  <c r="G3675" i="12" s="1"/>
  <c r="L3675" i="12" s="1"/>
  <c r="E3675" i="12"/>
  <c r="I3675" i="12" s="1"/>
  <c r="C3675" i="12"/>
  <c r="AD3674" i="12"/>
  <c r="AC3674" i="12"/>
  <c r="Q3674" i="12"/>
  <c r="O3674" i="12"/>
  <c r="K3674" i="12"/>
  <c r="F3674" i="12"/>
  <c r="G3674" i="12" s="1"/>
  <c r="L3674" i="12" s="1"/>
  <c r="E3674" i="12"/>
  <c r="I3674" i="12" s="1"/>
  <c r="C3674" i="12"/>
  <c r="AD3673" i="12"/>
  <c r="AC3673" i="12"/>
  <c r="Q3673" i="12"/>
  <c r="O3673" i="12"/>
  <c r="K3673" i="12"/>
  <c r="F3673" i="12"/>
  <c r="G3673" i="12" s="1"/>
  <c r="L3673" i="12" s="1"/>
  <c r="E3673" i="12"/>
  <c r="I3673" i="12" s="1"/>
  <c r="C3673" i="12"/>
  <c r="AD3672" i="12"/>
  <c r="AC3672" i="12"/>
  <c r="Q3672" i="12"/>
  <c r="O3672" i="12"/>
  <c r="K3672" i="12"/>
  <c r="F3672" i="12"/>
  <c r="G3672" i="12" s="1"/>
  <c r="L3672" i="12" s="1"/>
  <c r="E3672" i="12"/>
  <c r="I3672" i="12" s="1"/>
  <c r="C3672" i="12"/>
  <c r="AD3671" i="12"/>
  <c r="AC3671" i="12"/>
  <c r="Q3671" i="12"/>
  <c r="O3671" i="12"/>
  <c r="K3671" i="12"/>
  <c r="F3671" i="12"/>
  <c r="G3671" i="12" s="1"/>
  <c r="L3671" i="12" s="1"/>
  <c r="E3671" i="12"/>
  <c r="I3671" i="12" s="1"/>
  <c r="C3671" i="12"/>
  <c r="AD3670" i="12"/>
  <c r="AC3670" i="12"/>
  <c r="Q3670" i="12"/>
  <c r="O3670" i="12"/>
  <c r="K3670" i="12"/>
  <c r="F3670" i="12"/>
  <c r="G3670" i="12" s="1"/>
  <c r="E3670" i="12"/>
  <c r="I3670" i="12" s="1"/>
  <c r="C3670" i="12"/>
  <c r="AD3669" i="12"/>
  <c r="AC3669" i="12"/>
  <c r="Q3669" i="12"/>
  <c r="O3669" i="12"/>
  <c r="K3669" i="12"/>
  <c r="F3669" i="12"/>
  <c r="G3669" i="12" s="1"/>
  <c r="E3669" i="12"/>
  <c r="I3669" i="12" s="1"/>
  <c r="C3669" i="12"/>
  <c r="AD3668" i="12"/>
  <c r="AC3668" i="12"/>
  <c r="Q3668" i="12"/>
  <c r="O3668" i="12"/>
  <c r="K3668" i="12"/>
  <c r="F3668" i="12"/>
  <c r="G3668" i="12" s="1"/>
  <c r="E3668" i="12"/>
  <c r="I3668" i="12" s="1"/>
  <c r="C3668" i="12"/>
  <c r="AD3667" i="12"/>
  <c r="AC3667" i="12"/>
  <c r="Q3667" i="12"/>
  <c r="O3667" i="12"/>
  <c r="K3667" i="12"/>
  <c r="F3667" i="12"/>
  <c r="G3667" i="12" s="1"/>
  <c r="E3667" i="12"/>
  <c r="I3667" i="12" s="1"/>
  <c r="C3667" i="12"/>
  <c r="AD3666" i="12"/>
  <c r="AC3666" i="12"/>
  <c r="Q3666" i="12"/>
  <c r="O3666" i="12"/>
  <c r="K3666" i="12"/>
  <c r="F3666" i="12"/>
  <c r="G3666" i="12" s="1"/>
  <c r="E3666" i="12"/>
  <c r="I3666" i="12" s="1"/>
  <c r="C3666" i="12"/>
  <c r="AD3665" i="12"/>
  <c r="AC3665" i="12"/>
  <c r="Q3665" i="12"/>
  <c r="O3665" i="12"/>
  <c r="K3665" i="12"/>
  <c r="F3665" i="12"/>
  <c r="G3665" i="12" s="1"/>
  <c r="E3665" i="12"/>
  <c r="I3665" i="12" s="1"/>
  <c r="C3665" i="12"/>
  <c r="AD3664" i="12"/>
  <c r="AC3664" i="12"/>
  <c r="Q3664" i="12"/>
  <c r="O3664" i="12"/>
  <c r="K3664" i="12"/>
  <c r="F3664" i="12"/>
  <c r="G3664" i="12" s="1"/>
  <c r="E3664" i="12"/>
  <c r="I3664" i="12" s="1"/>
  <c r="C3664" i="12"/>
  <c r="AD3663" i="12"/>
  <c r="AC3663" i="12"/>
  <c r="Q3663" i="12"/>
  <c r="O3663" i="12"/>
  <c r="K3663" i="12"/>
  <c r="F3663" i="12"/>
  <c r="G3663" i="12" s="1"/>
  <c r="E3663" i="12"/>
  <c r="I3663" i="12" s="1"/>
  <c r="C3663" i="12"/>
  <c r="AD3662" i="12"/>
  <c r="AC3662" i="12"/>
  <c r="Q3662" i="12"/>
  <c r="O3662" i="12"/>
  <c r="K3662" i="12"/>
  <c r="F3662" i="12"/>
  <c r="G3662" i="12" s="1"/>
  <c r="E3662" i="12"/>
  <c r="I3662" i="12" s="1"/>
  <c r="C3662" i="12"/>
  <c r="AD3661" i="12"/>
  <c r="AC3661" i="12"/>
  <c r="Q3661" i="12"/>
  <c r="O3661" i="12"/>
  <c r="K3661" i="12"/>
  <c r="F3661" i="12"/>
  <c r="G3661" i="12" s="1"/>
  <c r="E3661" i="12"/>
  <c r="I3661" i="12" s="1"/>
  <c r="C3661" i="12"/>
  <c r="AD3660" i="12"/>
  <c r="AC3660" i="12"/>
  <c r="Q3660" i="12"/>
  <c r="O3660" i="12"/>
  <c r="K3660" i="12"/>
  <c r="F3660" i="12"/>
  <c r="G3660" i="12" s="1"/>
  <c r="E3660" i="12"/>
  <c r="I3660" i="12" s="1"/>
  <c r="C3660" i="12"/>
  <c r="AD3659" i="12"/>
  <c r="AC3659" i="12"/>
  <c r="Q3659" i="12"/>
  <c r="O3659" i="12"/>
  <c r="K3659" i="12"/>
  <c r="F3659" i="12"/>
  <c r="G3659" i="12" s="1"/>
  <c r="E3659" i="12"/>
  <c r="I3659" i="12" s="1"/>
  <c r="C3659" i="12"/>
  <c r="AD3658" i="12"/>
  <c r="AC3658" i="12"/>
  <c r="Q3658" i="12"/>
  <c r="O3658" i="12"/>
  <c r="K3658" i="12"/>
  <c r="F3658" i="12"/>
  <c r="G3658" i="12" s="1"/>
  <c r="E3658" i="12"/>
  <c r="I3658" i="12" s="1"/>
  <c r="C3658" i="12"/>
  <c r="AD3657" i="12"/>
  <c r="AC3657" i="12"/>
  <c r="Q3657" i="12"/>
  <c r="O3657" i="12"/>
  <c r="K3657" i="12"/>
  <c r="F3657" i="12"/>
  <c r="G3657" i="12" s="1"/>
  <c r="E3657" i="12"/>
  <c r="I3657" i="12" s="1"/>
  <c r="C3657" i="12"/>
  <c r="AD3656" i="12"/>
  <c r="AC3656" i="12"/>
  <c r="Q3656" i="12"/>
  <c r="O3656" i="12"/>
  <c r="K3656" i="12"/>
  <c r="F3656" i="12"/>
  <c r="G3656" i="12" s="1"/>
  <c r="E3656" i="12"/>
  <c r="I3656" i="12" s="1"/>
  <c r="C3656" i="12"/>
  <c r="AD3655" i="12"/>
  <c r="AC3655" i="12"/>
  <c r="Q3655" i="12"/>
  <c r="O3655" i="12"/>
  <c r="K3655" i="12"/>
  <c r="F3655" i="12"/>
  <c r="G3655" i="12" s="1"/>
  <c r="E3655" i="12"/>
  <c r="I3655" i="12" s="1"/>
  <c r="C3655" i="12"/>
  <c r="AD3654" i="12"/>
  <c r="AC3654" i="12"/>
  <c r="Q3654" i="12"/>
  <c r="O3654" i="12"/>
  <c r="K3654" i="12"/>
  <c r="F3654" i="12"/>
  <c r="G3654" i="12" s="1"/>
  <c r="E3654" i="12"/>
  <c r="I3654" i="12" s="1"/>
  <c r="C3654" i="12"/>
  <c r="AD3653" i="12"/>
  <c r="AC3653" i="12"/>
  <c r="Q3653" i="12"/>
  <c r="O3653" i="12"/>
  <c r="K3653" i="12"/>
  <c r="F3653" i="12"/>
  <c r="G3653" i="12" s="1"/>
  <c r="E3653" i="12"/>
  <c r="I3653" i="12" s="1"/>
  <c r="C3653" i="12"/>
  <c r="AD3652" i="12"/>
  <c r="AC3652" i="12"/>
  <c r="Q3652" i="12"/>
  <c r="O3652" i="12"/>
  <c r="K3652" i="12"/>
  <c r="F3652" i="12"/>
  <c r="G3652" i="12" s="1"/>
  <c r="E3652" i="12"/>
  <c r="I3652" i="12" s="1"/>
  <c r="C3652" i="12"/>
  <c r="AD3651" i="12"/>
  <c r="AC3651" i="12"/>
  <c r="Q3651" i="12"/>
  <c r="O3651" i="12"/>
  <c r="K3651" i="12"/>
  <c r="F3651" i="12"/>
  <c r="G3651" i="12" s="1"/>
  <c r="E3651" i="12"/>
  <c r="I3651" i="12" s="1"/>
  <c r="C3651" i="12"/>
  <c r="AD3650" i="12"/>
  <c r="AC3650" i="12"/>
  <c r="Q3650" i="12"/>
  <c r="O3650" i="12"/>
  <c r="K3650" i="12"/>
  <c r="F3650" i="12"/>
  <c r="G3650" i="12" s="1"/>
  <c r="L3650" i="12" s="1"/>
  <c r="E3650" i="12"/>
  <c r="I3650" i="12" s="1"/>
  <c r="C3650" i="12"/>
  <c r="AD3649" i="12"/>
  <c r="AC3649" i="12"/>
  <c r="Q3649" i="12"/>
  <c r="O3649" i="12"/>
  <c r="K3649" i="12"/>
  <c r="F3649" i="12"/>
  <c r="G3649" i="12" s="1"/>
  <c r="E3649" i="12"/>
  <c r="I3649" i="12" s="1"/>
  <c r="C3649" i="12"/>
  <c r="AD3648" i="12"/>
  <c r="AC3648" i="12"/>
  <c r="Q3648" i="12"/>
  <c r="O3648" i="12"/>
  <c r="K3648" i="12"/>
  <c r="F3648" i="12"/>
  <c r="G3648" i="12" s="1"/>
  <c r="L3648" i="12" s="1"/>
  <c r="E3648" i="12"/>
  <c r="I3648" i="12" s="1"/>
  <c r="C3648" i="12"/>
  <c r="AD3647" i="12"/>
  <c r="AC3647" i="12"/>
  <c r="Q3647" i="12"/>
  <c r="O3647" i="12"/>
  <c r="K3647" i="12"/>
  <c r="F3647" i="12"/>
  <c r="G3647" i="12" s="1"/>
  <c r="E3647" i="12"/>
  <c r="I3647" i="12" s="1"/>
  <c r="C3647" i="12"/>
  <c r="AD3646" i="12"/>
  <c r="AC3646" i="12"/>
  <c r="Q3646" i="12"/>
  <c r="O3646" i="12"/>
  <c r="K3646" i="12"/>
  <c r="F3646" i="12"/>
  <c r="G3646" i="12" s="1"/>
  <c r="L3646" i="12" s="1"/>
  <c r="E3646" i="12"/>
  <c r="I3646" i="12" s="1"/>
  <c r="C3646" i="12"/>
  <c r="AD3645" i="12"/>
  <c r="AC3645" i="12"/>
  <c r="Q3645" i="12"/>
  <c r="O3645" i="12"/>
  <c r="K3645" i="12"/>
  <c r="F3645" i="12"/>
  <c r="G3645" i="12" s="1"/>
  <c r="E3645" i="12"/>
  <c r="I3645" i="12" s="1"/>
  <c r="C3645" i="12"/>
  <c r="AD3644" i="12"/>
  <c r="AC3644" i="12"/>
  <c r="Q3644" i="12"/>
  <c r="O3644" i="12"/>
  <c r="K3644" i="12"/>
  <c r="F3644" i="12"/>
  <c r="G3644" i="12" s="1"/>
  <c r="E3644" i="12"/>
  <c r="I3644" i="12" s="1"/>
  <c r="C3644" i="12"/>
  <c r="AD3643" i="12"/>
  <c r="AC3643" i="12"/>
  <c r="Q3643" i="12"/>
  <c r="O3643" i="12"/>
  <c r="K3643" i="12"/>
  <c r="F3643" i="12"/>
  <c r="G3643" i="12" s="1"/>
  <c r="E3643" i="12"/>
  <c r="I3643" i="12" s="1"/>
  <c r="C3643" i="12"/>
  <c r="AD3642" i="12"/>
  <c r="AC3642" i="12"/>
  <c r="Q3642" i="12"/>
  <c r="O3642" i="12"/>
  <c r="K3642" i="12"/>
  <c r="F3642" i="12"/>
  <c r="G3642" i="12" s="1"/>
  <c r="L3642" i="12" s="1"/>
  <c r="E3642" i="12"/>
  <c r="I3642" i="12" s="1"/>
  <c r="C3642" i="12"/>
  <c r="AD3641" i="12"/>
  <c r="AC3641" i="12"/>
  <c r="Q3641" i="12"/>
  <c r="O3641" i="12"/>
  <c r="K3641" i="12"/>
  <c r="F3641" i="12"/>
  <c r="G3641" i="12" s="1"/>
  <c r="E3641" i="12"/>
  <c r="I3641" i="12" s="1"/>
  <c r="C3641" i="12"/>
  <c r="AD3640" i="12"/>
  <c r="AC3640" i="12"/>
  <c r="Q3640" i="12"/>
  <c r="O3640" i="12"/>
  <c r="K3640" i="12"/>
  <c r="F3640" i="12"/>
  <c r="G3640" i="12" s="1"/>
  <c r="L3640" i="12" s="1"/>
  <c r="E3640" i="12"/>
  <c r="I3640" i="12" s="1"/>
  <c r="C3640" i="12"/>
  <c r="AD3639" i="12"/>
  <c r="AC3639" i="12"/>
  <c r="Q3639" i="12"/>
  <c r="O3639" i="12"/>
  <c r="K3639" i="12"/>
  <c r="F3639" i="12"/>
  <c r="G3639" i="12" s="1"/>
  <c r="E3639" i="12"/>
  <c r="I3639" i="12" s="1"/>
  <c r="C3639" i="12"/>
  <c r="AD3638" i="12"/>
  <c r="AC3638" i="12"/>
  <c r="Q3638" i="12"/>
  <c r="O3638" i="12"/>
  <c r="K3638" i="12"/>
  <c r="F3638" i="12"/>
  <c r="G3638" i="12" s="1"/>
  <c r="E3638" i="12"/>
  <c r="I3638" i="12" s="1"/>
  <c r="C3638" i="12"/>
  <c r="AD3637" i="12"/>
  <c r="AC3637" i="12"/>
  <c r="Q3637" i="12"/>
  <c r="O3637" i="12"/>
  <c r="K3637" i="12"/>
  <c r="F3637" i="12"/>
  <c r="G3637" i="12" s="1"/>
  <c r="E3637" i="12"/>
  <c r="I3637" i="12" s="1"/>
  <c r="C3637" i="12"/>
  <c r="AD3636" i="12"/>
  <c r="AC3636" i="12"/>
  <c r="Q3636" i="12"/>
  <c r="O3636" i="12"/>
  <c r="K3636" i="12"/>
  <c r="F3636" i="12"/>
  <c r="G3636" i="12" s="1"/>
  <c r="L3636" i="12" s="1"/>
  <c r="E3636" i="12"/>
  <c r="I3636" i="12" s="1"/>
  <c r="C3636" i="12"/>
  <c r="AD3635" i="12"/>
  <c r="AC3635" i="12"/>
  <c r="Q3635" i="12"/>
  <c r="O3635" i="12"/>
  <c r="K3635" i="12"/>
  <c r="F3635" i="12"/>
  <c r="G3635" i="12" s="1"/>
  <c r="E3635" i="12"/>
  <c r="I3635" i="12" s="1"/>
  <c r="C3635" i="12"/>
  <c r="AD3634" i="12"/>
  <c r="AC3634" i="12"/>
  <c r="Q3634" i="12"/>
  <c r="O3634" i="12"/>
  <c r="K3634" i="12"/>
  <c r="F3634" i="12"/>
  <c r="G3634" i="12" s="1"/>
  <c r="E3634" i="12"/>
  <c r="I3634" i="12" s="1"/>
  <c r="C3634" i="12"/>
  <c r="AD3633" i="12"/>
  <c r="AC3633" i="12"/>
  <c r="Q3633" i="12"/>
  <c r="O3633" i="12"/>
  <c r="K3633" i="12"/>
  <c r="F3633" i="12"/>
  <c r="G3633" i="12" s="1"/>
  <c r="E3633" i="12"/>
  <c r="I3633" i="12" s="1"/>
  <c r="C3633" i="12"/>
  <c r="AD3632" i="12"/>
  <c r="AC3632" i="12"/>
  <c r="Q3632" i="12"/>
  <c r="O3632" i="12"/>
  <c r="K3632" i="12"/>
  <c r="F3632" i="12"/>
  <c r="G3632" i="12" s="1"/>
  <c r="E3632" i="12"/>
  <c r="I3632" i="12" s="1"/>
  <c r="C3632" i="12"/>
  <c r="AD3631" i="12"/>
  <c r="AC3631" i="12"/>
  <c r="Q3631" i="12"/>
  <c r="O3631" i="12"/>
  <c r="K3631" i="12"/>
  <c r="F3631" i="12"/>
  <c r="G3631" i="12" s="1"/>
  <c r="E3631" i="12"/>
  <c r="I3631" i="12" s="1"/>
  <c r="C3631" i="12"/>
  <c r="AD3630" i="12"/>
  <c r="AC3630" i="12"/>
  <c r="Q3630" i="12"/>
  <c r="O3630" i="12"/>
  <c r="K3630" i="12"/>
  <c r="F3630" i="12"/>
  <c r="G3630" i="12" s="1"/>
  <c r="E3630" i="12"/>
  <c r="I3630" i="12" s="1"/>
  <c r="C3630" i="12"/>
  <c r="AD3629" i="12"/>
  <c r="AC3629" i="12"/>
  <c r="Q3629" i="12"/>
  <c r="O3629" i="12"/>
  <c r="K3629" i="12"/>
  <c r="F3629" i="12"/>
  <c r="G3629" i="12" s="1"/>
  <c r="E3629" i="12"/>
  <c r="I3629" i="12" s="1"/>
  <c r="C3629" i="12"/>
  <c r="AD3628" i="12"/>
  <c r="AC3628" i="12"/>
  <c r="Q3628" i="12"/>
  <c r="O3628" i="12"/>
  <c r="K3628" i="12"/>
  <c r="F3628" i="12"/>
  <c r="G3628" i="12" s="1"/>
  <c r="E3628" i="12"/>
  <c r="I3628" i="12" s="1"/>
  <c r="C3628" i="12"/>
  <c r="AD3627" i="12"/>
  <c r="AC3627" i="12"/>
  <c r="Q3627" i="12"/>
  <c r="O3627" i="12"/>
  <c r="K3627" i="12"/>
  <c r="F3627" i="12"/>
  <c r="G3627" i="12" s="1"/>
  <c r="E3627" i="12"/>
  <c r="I3627" i="12" s="1"/>
  <c r="C3627" i="12"/>
  <c r="AD3626" i="12"/>
  <c r="AC3626" i="12"/>
  <c r="Q3626" i="12"/>
  <c r="O3626" i="12"/>
  <c r="K3626" i="12"/>
  <c r="F3626" i="12"/>
  <c r="G3626" i="12" s="1"/>
  <c r="E3626" i="12"/>
  <c r="I3626" i="12" s="1"/>
  <c r="C3626" i="12"/>
  <c r="AD3625" i="12"/>
  <c r="AC3625" i="12"/>
  <c r="Q3625" i="12"/>
  <c r="O3625" i="12"/>
  <c r="K3625" i="12"/>
  <c r="F3625" i="12"/>
  <c r="G3625" i="12" s="1"/>
  <c r="E3625" i="12"/>
  <c r="I3625" i="12" s="1"/>
  <c r="C3625" i="12"/>
  <c r="AD3624" i="12"/>
  <c r="AC3624" i="12"/>
  <c r="Q3624" i="12"/>
  <c r="O3624" i="12"/>
  <c r="K3624" i="12"/>
  <c r="F3624" i="12"/>
  <c r="G3624" i="12" s="1"/>
  <c r="E3624" i="12"/>
  <c r="I3624" i="12" s="1"/>
  <c r="C3624" i="12"/>
  <c r="AD3623" i="12"/>
  <c r="AC3623" i="12"/>
  <c r="Q3623" i="12"/>
  <c r="O3623" i="12"/>
  <c r="K3623" i="12"/>
  <c r="F3623" i="12"/>
  <c r="G3623" i="12" s="1"/>
  <c r="E3623" i="12"/>
  <c r="I3623" i="12" s="1"/>
  <c r="C3623" i="12"/>
  <c r="AD3622" i="12"/>
  <c r="AC3622" i="12"/>
  <c r="Q3622" i="12"/>
  <c r="O3622" i="12"/>
  <c r="K3622" i="12"/>
  <c r="F3622" i="12"/>
  <c r="G3622" i="12" s="1"/>
  <c r="E3622" i="12"/>
  <c r="I3622" i="12" s="1"/>
  <c r="C3622" i="12"/>
  <c r="AD3621" i="12"/>
  <c r="AC3621" i="12"/>
  <c r="Q3621" i="12"/>
  <c r="O3621" i="12"/>
  <c r="K3621" i="12"/>
  <c r="F3621" i="12"/>
  <c r="G3621" i="12" s="1"/>
  <c r="L3621" i="12" s="1"/>
  <c r="E3621" i="12"/>
  <c r="I3621" i="12" s="1"/>
  <c r="C3621" i="12"/>
  <c r="AD3620" i="12"/>
  <c r="AC3620" i="12"/>
  <c r="Q3620" i="12"/>
  <c r="O3620" i="12"/>
  <c r="K3620" i="12"/>
  <c r="F3620" i="12"/>
  <c r="G3620" i="12" s="1"/>
  <c r="L3620" i="12" s="1"/>
  <c r="E3620" i="12"/>
  <c r="I3620" i="12" s="1"/>
  <c r="C3620" i="12"/>
  <c r="AD3619" i="12"/>
  <c r="AC3619" i="12"/>
  <c r="Q3619" i="12"/>
  <c r="O3619" i="12"/>
  <c r="K3619" i="12"/>
  <c r="F3619" i="12"/>
  <c r="G3619" i="12" s="1"/>
  <c r="L3619" i="12" s="1"/>
  <c r="E3619" i="12"/>
  <c r="I3619" i="12" s="1"/>
  <c r="C3619" i="12"/>
  <c r="AD3618" i="12"/>
  <c r="AC3618" i="12"/>
  <c r="Q3618" i="12"/>
  <c r="O3618" i="12"/>
  <c r="K3618" i="12"/>
  <c r="F3618" i="12"/>
  <c r="G3618" i="12" s="1"/>
  <c r="E3618" i="12"/>
  <c r="I3618" i="12" s="1"/>
  <c r="C3618" i="12"/>
  <c r="AD3617" i="12"/>
  <c r="AC3617" i="12"/>
  <c r="Q3617" i="12"/>
  <c r="O3617" i="12"/>
  <c r="K3617" i="12"/>
  <c r="F3617" i="12"/>
  <c r="G3617" i="12" s="1"/>
  <c r="L3617" i="12" s="1"/>
  <c r="E3617" i="12"/>
  <c r="I3617" i="12" s="1"/>
  <c r="C3617" i="12"/>
  <c r="AD3616" i="12"/>
  <c r="AC3616" i="12"/>
  <c r="Q3616" i="12"/>
  <c r="O3616" i="12"/>
  <c r="K3616" i="12"/>
  <c r="F3616" i="12"/>
  <c r="G3616" i="12" s="1"/>
  <c r="L3616" i="12" s="1"/>
  <c r="E3616" i="12"/>
  <c r="I3616" i="12" s="1"/>
  <c r="C3616" i="12"/>
  <c r="AD3615" i="12"/>
  <c r="AC3615" i="12"/>
  <c r="Q3615" i="12"/>
  <c r="O3615" i="12"/>
  <c r="K3615" i="12"/>
  <c r="F3615" i="12"/>
  <c r="G3615" i="12" s="1"/>
  <c r="L3615" i="12" s="1"/>
  <c r="E3615" i="12"/>
  <c r="I3615" i="12" s="1"/>
  <c r="C3615" i="12"/>
  <c r="AD3614" i="12"/>
  <c r="AC3614" i="12"/>
  <c r="Q3614" i="12"/>
  <c r="O3614" i="12"/>
  <c r="K3614" i="12"/>
  <c r="F3614" i="12"/>
  <c r="G3614" i="12" s="1"/>
  <c r="E3614" i="12"/>
  <c r="I3614" i="12" s="1"/>
  <c r="C3614" i="12"/>
  <c r="AD3613" i="12"/>
  <c r="AC3613" i="12"/>
  <c r="Q3613" i="12"/>
  <c r="O3613" i="12"/>
  <c r="K3613" i="12"/>
  <c r="F3613" i="12"/>
  <c r="G3613" i="12" s="1"/>
  <c r="L3613" i="12" s="1"/>
  <c r="E3613" i="12"/>
  <c r="I3613" i="12" s="1"/>
  <c r="C3613" i="12"/>
  <c r="AD3612" i="12"/>
  <c r="AC3612" i="12"/>
  <c r="Q3612" i="12"/>
  <c r="O3612" i="12"/>
  <c r="K3612" i="12"/>
  <c r="F3612" i="12"/>
  <c r="G3612" i="12" s="1"/>
  <c r="L3612" i="12" s="1"/>
  <c r="E3612" i="12"/>
  <c r="I3612" i="12" s="1"/>
  <c r="C3612" i="12"/>
  <c r="AD3611" i="12"/>
  <c r="AC3611" i="12"/>
  <c r="Q3611" i="12"/>
  <c r="O3611" i="12"/>
  <c r="K3611" i="12"/>
  <c r="F3611" i="12"/>
  <c r="G3611" i="12" s="1"/>
  <c r="L3611" i="12" s="1"/>
  <c r="E3611" i="12"/>
  <c r="I3611" i="12" s="1"/>
  <c r="C3611" i="12"/>
  <c r="AD3610" i="12"/>
  <c r="AC3610" i="12"/>
  <c r="Q3610" i="12"/>
  <c r="O3610" i="12"/>
  <c r="K3610" i="12"/>
  <c r="F3610" i="12"/>
  <c r="G3610" i="12" s="1"/>
  <c r="E3610" i="12"/>
  <c r="I3610" i="12" s="1"/>
  <c r="C3610" i="12"/>
  <c r="AD3609" i="12"/>
  <c r="AC3609" i="12"/>
  <c r="Q3609" i="12"/>
  <c r="O3609" i="12"/>
  <c r="K3609" i="12"/>
  <c r="F3609" i="12"/>
  <c r="G3609" i="12" s="1"/>
  <c r="L3609" i="12" s="1"/>
  <c r="E3609" i="12"/>
  <c r="I3609" i="12" s="1"/>
  <c r="C3609" i="12"/>
  <c r="AD3608" i="12"/>
  <c r="AC3608" i="12"/>
  <c r="Q3608" i="12"/>
  <c r="O3608" i="12"/>
  <c r="K3608" i="12"/>
  <c r="F3608" i="12"/>
  <c r="G3608" i="12" s="1"/>
  <c r="L3608" i="12" s="1"/>
  <c r="E3608" i="12"/>
  <c r="I3608" i="12" s="1"/>
  <c r="C3608" i="12"/>
  <c r="AD3607" i="12"/>
  <c r="AC3607" i="12"/>
  <c r="Q3607" i="12"/>
  <c r="O3607" i="12"/>
  <c r="K3607" i="12"/>
  <c r="F3607" i="12"/>
  <c r="G3607" i="12" s="1"/>
  <c r="L3607" i="12" s="1"/>
  <c r="E3607" i="12"/>
  <c r="I3607" i="12" s="1"/>
  <c r="C3607" i="12"/>
  <c r="AD3606" i="12"/>
  <c r="AC3606" i="12"/>
  <c r="Q3606" i="12"/>
  <c r="O3606" i="12"/>
  <c r="K3606" i="12"/>
  <c r="F3606" i="12"/>
  <c r="G3606" i="12" s="1"/>
  <c r="E3606" i="12"/>
  <c r="I3606" i="12" s="1"/>
  <c r="C3606" i="12"/>
  <c r="AD3605" i="12"/>
  <c r="AC3605" i="12"/>
  <c r="Q3605" i="12"/>
  <c r="O3605" i="12"/>
  <c r="K3605" i="12"/>
  <c r="F3605" i="12"/>
  <c r="G3605" i="12" s="1"/>
  <c r="L3605" i="12" s="1"/>
  <c r="E3605" i="12"/>
  <c r="I3605" i="12" s="1"/>
  <c r="C3605" i="12"/>
  <c r="AD3604" i="12"/>
  <c r="AC3604" i="12"/>
  <c r="Q3604" i="12"/>
  <c r="O3604" i="12"/>
  <c r="K3604" i="12"/>
  <c r="F3604" i="12"/>
  <c r="G3604" i="12" s="1"/>
  <c r="L3604" i="12" s="1"/>
  <c r="E3604" i="12"/>
  <c r="I3604" i="12" s="1"/>
  <c r="C3604" i="12"/>
  <c r="AD3603" i="12"/>
  <c r="AC3603" i="12"/>
  <c r="Q3603" i="12"/>
  <c r="O3603" i="12"/>
  <c r="K3603" i="12"/>
  <c r="F3603" i="12"/>
  <c r="G3603" i="12" s="1"/>
  <c r="L3603" i="12" s="1"/>
  <c r="E3603" i="12"/>
  <c r="I3603" i="12" s="1"/>
  <c r="C3603" i="12"/>
  <c r="AD3602" i="12"/>
  <c r="AC3602" i="12"/>
  <c r="Q3602" i="12"/>
  <c r="O3602" i="12"/>
  <c r="K3602" i="12"/>
  <c r="F3602" i="12"/>
  <c r="G3602" i="12" s="1"/>
  <c r="E3602" i="12"/>
  <c r="I3602" i="12" s="1"/>
  <c r="C3602" i="12"/>
  <c r="AD3601" i="12"/>
  <c r="AC3601" i="12"/>
  <c r="Q3601" i="12"/>
  <c r="O3601" i="12"/>
  <c r="K3601" i="12"/>
  <c r="F3601" i="12"/>
  <c r="G3601" i="12" s="1"/>
  <c r="L3601" i="12" s="1"/>
  <c r="E3601" i="12"/>
  <c r="I3601" i="12" s="1"/>
  <c r="C3601" i="12"/>
  <c r="AD3600" i="12"/>
  <c r="AC3600" i="12"/>
  <c r="Q3600" i="12"/>
  <c r="O3600" i="12"/>
  <c r="K3600" i="12"/>
  <c r="F3600" i="12"/>
  <c r="G3600" i="12" s="1"/>
  <c r="L3600" i="12" s="1"/>
  <c r="E3600" i="12"/>
  <c r="I3600" i="12" s="1"/>
  <c r="C3600" i="12"/>
  <c r="AD3599" i="12"/>
  <c r="AC3599" i="12"/>
  <c r="Q3599" i="12"/>
  <c r="O3599" i="12"/>
  <c r="K3599" i="12"/>
  <c r="F3599" i="12"/>
  <c r="G3599" i="12" s="1"/>
  <c r="L3599" i="12" s="1"/>
  <c r="E3599" i="12"/>
  <c r="I3599" i="12" s="1"/>
  <c r="C3599" i="12"/>
  <c r="AD3598" i="12"/>
  <c r="AC3598" i="12"/>
  <c r="Q3598" i="12"/>
  <c r="O3598" i="12"/>
  <c r="K3598" i="12"/>
  <c r="F3598" i="12"/>
  <c r="G3598" i="12" s="1"/>
  <c r="E3598" i="12"/>
  <c r="I3598" i="12" s="1"/>
  <c r="C3598" i="12"/>
  <c r="AD3597" i="12"/>
  <c r="AC3597" i="12"/>
  <c r="Q3597" i="12"/>
  <c r="O3597" i="12"/>
  <c r="K3597" i="12"/>
  <c r="F3597" i="12"/>
  <c r="G3597" i="12" s="1"/>
  <c r="L3597" i="12" s="1"/>
  <c r="E3597" i="12"/>
  <c r="I3597" i="12" s="1"/>
  <c r="C3597" i="12"/>
  <c r="AD3596" i="12"/>
  <c r="AC3596" i="12"/>
  <c r="Q3596" i="12"/>
  <c r="O3596" i="12"/>
  <c r="K3596" i="12"/>
  <c r="F3596" i="12"/>
  <c r="G3596" i="12" s="1"/>
  <c r="L3596" i="12" s="1"/>
  <c r="E3596" i="12"/>
  <c r="I3596" i="12" s="1"/>
  <c r="C3596" i="12"/>
  <c r="AD3595" i="12"/>
  <c r="AC3595" i="12"/>
  <c r="Q3595" i="12"/>
  <c r="O3595" i="12"/>
  <c r="K3595" i="12"/>
  <c r="F3595" i="12"/>
  <c r="G3595" i="12" s="1"/>
  <c r="E3595" i="12"/>
  <c r="I3595" i="12" s="1"/>
  <c r="C3595" i="12"/>
  <c r="AD3594" i="12"/>
  <c r="AC3594" i="12"/>
  <c r="Q3594" i="12"/>
  <c r="O3594" i="12"/>
  <c r="K3594" i="12"/>
  <c r="F3594" i="12"/>
  <c r="G3594" i="12" s="1"/>
  <c r="E3594" i="12"/>
  <c r="I3594" i="12" s="1"/>
  <c r="C3594" i="12"/>
  <c r="AD3593" i="12"/>
  <c r="AC3593" i="12"/>
  <c r="Q3593" i="12"/>
  <c r="O3593" i="12"/>
  <c r="K3593" i="12"/>
  <c r="F3593" i="12"/>
  <c r="G3593" i="12" s="1"/>
  <c r="E3593" i="12"/>
  <c r="I3593" i="12" s="1"/>
  <c r="C3593" i="12"/>
  <c r="AD3592" i="12"/>
  <c r="AC3592" i="12"/>
  <c r="Q3592" i="12"/>
  <c r="O3592" i="12"/>
  <c r="K3592" i="12"/>
  <c r="F3592" i="12"/>
  <c r="G3592" i="12" s="1"/>
  <c r="E3592" i="12"/>
  <c r="I3592" i="12" s="1"/>
  <c r="C3592" i="12"/>
  <c r="AD3591" i="12"/>
  <c r="AC3591" i="12"/>
  <c r="Q3591" i="12"/>
  <c r="O3591" i="12"/>
  <c r="K3591" i="12"/>
  <c r="F3591" i="12"/>
  <c r="G3591" i="12" s="1"/>
  <c r="E3591" i="12"/>
  <c r="I3591" i="12" s="1"/>
  <c r="C3591" i="12"/>
  <c r="AD3590" i="12"/>
  <c r="AC3590" i="12"/>
  <c r="Q3590" i="12"/>
  <c r="O3590" i="12"/>
  <c r="K3590" i="12"/>
  <c r="F3590" i="12"/>
  <c r="G3590" i="12" s="1"/>
  <c r="E3590" i="12"/>
  <c r="I3590" i="12" s="1"/>
  <c r="C3590" i="12"/>
  <c r="AD3589" i="12"/>
  <c r="AC3589" i="12"/>
  <c r="Q3589" i="12"/>
  <c r="O3589" i="12"/>
  <c r="K3589" i="12"/>
  <c r="F3589" i="12"/>
  <c r="G3589" i="12" s="1"/>
  <c r="E3589" i="12"/>
  <c r="I3589" i="12" s="1"/>
  <c r="C3589" i="12"/>
  <c r="AD3588" i="12"/>
  <c r="AC3588" i="12"/>
  <c r="Q3588" i="12"/>
  <c r="O3588" i="12"/>
  <c r="K3588" i="12"/>
  <c r="F3588" i="12"/>
  <c r="G3588" i="12" s="1"/>
  <c r="E3588" i="12"/>
  <c r="I3588" i="12" s="1"/>
  <c r="C3588" i="12"/>
  <c r="AD3587" i="12"/>
  <c r="AC3587" i="12"/>
  <c r="Q3587" i="12"/>
  <c r="O3587" i="12"/>
  <c r="K3587" i="12"/>
  <c r="F3587" i="12"/>
  <c r="G3587" i="12" s="1"/>
  <c r="E3587" i="12"/>
  <c r="I3587" i="12" s="1"/>
  <c r="C3587" i="12"/>
  <c r="AD3586" i="12"/>
  <c r="AC3586" i="12"/>
  <c r="Q3586" i="12"/>
  <c r="O3586" i="12"/>
  <c r="K3586" i="12"/>
  <c r="F3586" i="12"/>
  <c r="G3586" i="12" s="1"/>
  <c r="L3586" i="12" s="1"/>
  <c r="E3586" i="12"/>
  <c r="I3586" i="12" s="1"/>
  <c r="C3586" i="12"/>
  <c r="AD3585" i="12"/>
  <c r="AC3585" i="12"/>
  <c r="Q3585" i="12"/>
  <c r="O3585" i="12"/>
  <c r="K3585" i="12"/>
  <c r="F3585" i="12"/>
  <c r="G3585" i="12" s="1"/>
  <c r="E3585" i="12"/>
  <c r="I3585" i="12" s="1"/>
  <c r="C3585" i="12"/>
  <c r="AD3584" i="12"/>
  <c r="AC3584" i="12"/>
  <c r="Q3584" i="12"/>
  <c r="O3584" i="12"/>
  <c r="K3584" i="12"/>
  <c r="F3584" i="12"/>
  <c r="G3584" i="12" s="1"/>
  <c r="L3584" i="12" s="1"/>
  <c r="E3584" i="12"/>
  <c r="I3584" i="12" s="1"/>
  <c r="C3584" i="12"/>
  <c r="AD3583" i="12"/>
  <c r="AC3583" i="12"/>
  <c r="Q3583" i="12"/>
  <c r="O3583" i="12"/>
  <c r="K3583" i="12"/>
  <c r="F3583" i="12"/>
  <c r="G3583" i="12" s="1"/>
  <c r="L3583" i="12" s="1"/>
  <c r="E3583" i="12"/>
  <c r="I3583" i="12" s="1"/>
  <c r="C3583" i="12"/>
  <c r="AD3582" i="12"/>
  <c r="AC3582" i="12"/>
  <c r="Q3582" i="12"/>
  <c r="O3582" i="12"/>
  <c r="K3582" i="12"/>
  <c r="F3582" i="12"/>
  <c r="G3582" i="12" s="1"/>
  <c r="L3582" i="12" s="1"/>
  <c r="E3582" i="12"/>
  <c r="I3582" i="12" s="1"/>
  <c r="C3582" i="12"/>
  <c r="AD3581" i="12"/>
  <c r="AC3581" i="12"/>
  <c r="Q3581" i="12"/>
  <c r="O3581" i="12"/>
  <c r="K3581" i="12"/>
  <c r="F3581" i="12"/>
  <c r="G3581" i="12" s="1"/>
  <c r="L3581" i="12" s="1"/>
  <c r="E3581" i="12"/>
  <c r="I3581" i="12" s="1"/>
  <c r="C3581" i="12"/>
  <c r="AD3580" i="12"/>
  <c r="AC3580" i="12"/>
  <c r="Q3580" i="12"/>
  <c r="O3580" i="12"/>
  <c r="K3580" i="12"/>
  <c r="F3580" i="12"/>
  <c r="G3580" i="12" s="1"/>
  <c r="L3580" i="12" s="1"/>
  <c r="E3580" i="12"/>
  <c r="I3580" i="12" s="1"/>
  <c r="C3580" i="12"/>
  <c r="AD3579" i="12"/>
  <c r="AC3579" i="12"/>
  <c r="Q3579" i="12"/>
  <c r="O3579" i="12"/>
  <c r="K3579" i="12"/>
  <c r="F3579" i="12"/>
  <c r="G3579" i="12" s="1"/>
  <c r="L3579" i="12" s="1"/>
  <c r="E3579" i="12"/>
  <c r="I3579" i="12" s="1"/>
  <c r="C3579" i="12"/>
  <c r="AD3578" i="12"/>
  <c r="AC3578" i="12"/>
  <c r="Q3578" i="12"/>
  <c r="O3578" i="12"/>
  <c r="K3578" i="12"/>
  <c r="F3578" i="12"/>
  <c r="G3578" i="12" s="1"/>
  <c r="E3578" i="12"/>
  <c r="I3578" i="12" s="1"/>
  <c r="C3578" i="12"/>
  <c r="AD3577" i="12"/>
  <c r="AC3577" i="12"/>
  <c r="Q3577" i="12"/>
  <c r="O3577" i="12"/>
  <c r="K3577" i="12"/>
  <c r="F3577" i="12"/>
  <c r="G3577" i="12" s="1"/>
  <c r="L3577" i="12" s="1"/>
  <c r="E3577" i="12"/>
  <c r="I3577" i="12" s="1"/>
  <c r="C3577" i="12"/>
  <c r="AD3576" i="12"/>
  <c r="AC3576" i="12"/>
  <c r="Q3576" i="12"/>
  <c r="O3576" i="12"/>
  <c r="K3576" i="12"/>
  <c r="F3576" i="12"/>
  <c r="G3576" i="12" s="1"/>
  <c r="L3576" i="12" s="1"/>
  <c r="E3576" i="12"/>
  <c r="I3576" i="12" s="1"/>
  <c r="C3576" i="12"/>
  <c r="AD3575" i="12"/>
  <c r="AC3575" i="12"/>
  <c r="Q3575" i="12"/>
  <c r="O3575" i="12"/>
  <c r="K3575" i="12"/>
  <c r="F3575" i="12"/>
  <c r="G3575" i="12" s="1"/>
  <c r="L3575" i="12" s="1"/>
  <c r="E3575" i="12"/>
  <c r="I3575" i="12" s="1"/>
  <c r="C3575" i="12"/>
  <c r="AD3574" i="12"/>
  <c r="AC3574" i="12"/>
  <c r="Q3574" i="12"/>
  <c r="O3574" i="12"/>
  <c r="K3574" i="12"/>
  <c r="F3574" i="12"/>
  <c r="G3574" i="12" s="1"/>
  <c r="L3574" i="12" s="1"/>
  <c r="E3574" i="12"/>
  <c r="I3574" i="12" s="1"/>
  <c r="C3574" i="12"/>
  <c r="AD3573" i="12"/>
  <c r="AC3573" i="12"/>
  <c r="Q3573" i="12"/>
  <c r="O3573" i="12"/>
  <c r="K3573" i="12"/>
  <c r="F3573" i="12"/>
  <c r="G3573" i="12" s="1"/>
  <c r="L3573" i="12" s="1"/>
  <c r="E3573" i="12"/>
  <c r="I3573" i="12" s="1"/>
  <c r="C3573" i="12"/>
  <c r="AD3572" i="12"/>
  <c r="AC3572" i="12"/>
  <c r="Q3572" i="12"/>
  <c r="O3572" i="12"/>
  <c r="K3572" i="12"/>
  <c r="F3572" i="12"/>
  <c r="G3572" i="12" s="1"/>
  <c r="L3572" i="12" s="1"/>
  <c r="E3572" i="12"/>
  <c r="I3572" i="12" s="1"/>
  <c r="C3572" i="12"/>
  <c r="AD3571" i="12"/>
  <c r="AC3571" i="12"/>
  <c r="Q3571" i="12"/>
  <c r="O3571" i="12"/>
  <c r="K3571" i="12"/>
  <c r="F3571" i="12"/>
  <c r="G3571" i="12" s="1"/>
  <c r="L3571" i="12" s="1"/>
  <c r="E3571" i="12"/>
  <c r="I3571" i="12" s="1"/>
  <c r="C3571" i="12"/>
  <c r="AD3570" i="12"/>
  <c r="AC3570" i="12"/>
  <c r="Q3570" i="12"/>
  <c r="O3570" i="12"/>
  <c r="K3570" i="12"/>
  <c r="F3570" i="12"/>
  <c r="G3570" i="12" s="1"/>
  <c r="L3570" i="12" s="1"/>
  <c r="E3570" i="12"/>
  <c r="I3570" i="12" s="1"/>
  <c r="C3570" i="12"/>
  <c r="AD3569" i="12"/>
  <c r="AC3569" i="12"/>
  <c r="Q3569" i="12"/>
  <c r="O3569" i="12"/>
  <c r="K3569" i="12"/>
  <c r="F3569" i="12"/>
  <c r="G3569" i="12" s="1"/>
  <c r="L3569" i="12" s="1"/>
  <c r="E3569" i="12"/>
  <c r="I3569" i="12" s="1"/>
  <c r="C3569" i="12"/>
  <c r="AD3568" i="12"/>
  <c r="AC3568" i="12"/>
  <c r="Q3568" i="12"/>
  <c r="O3568" i="12"/>
  <c r="K3568" i="12"/>
  <c r="F3568" i="12"/>
  <c r="G3568" i="12" s="1"/>
  <c r="L3568" i="12" s="1"/>
  <c r="E3568" i="12"/>
  <c r="I3568" i="12" s="1"/>
  <c r="C3568" i="12"/>
  <c r="AD3567" i="12"/>
  <c r="AC3567" i="12"/>
  <c r="Q3567" i="12"/>
  <c r="O3567" i="12"/>
  <c r="K3567" i="12"/>
  <c r="F3567" i="12"/>
  <c r="G3567" i="12" s="1"/>
  <c r="L3567" i="12" s="1"/>
  <c r="E3567" i="12"/>
  <c r="I3567" i="12" s="1"/>
  <c r="C3567" i="12"/>
  <c r="AD3566" i="12"/>
  <c r="AC3566" i="12"/>
  <c r="Q3566" i="12"/>
  <c r="O3566" i="12"/>
  <c r="K3566" i="12"/>
  <c r="F3566" i="12"/>
  <c r="G3566" i="12" s="1"/>
  <c r="L3566" i="12" s="1"/>
  <c r="E3566" i="12"/>
  <c r="I3566" i="12" s="1"/>
  <c r="C3566" i="12"/>
  <c r="AD3565" i="12"/>
  <c r="AC3565" i="12"/>
  <c r="Q3565" i="12"/>
  <c r="O3565" i="12"/>
  <c r="K3565" i="12"/>
  <c r="F3565" i="12"/>
  <c r="G3565" i="12" s="1"/>
  <c r="L3565" i="12" s="1"/>
  <c r="E3565" i="12"/>
  <c r="I3565" i="12" s="1"/>
  <c r="C3565" i="12"/>
  <c r="AD3564" i="12"/>
  <c r="AC3564" i="12"/>
  <c r="Q3564" i="12"/>
  <c r="O3564" i="12"/>
  <c r="K3564" i="12"/>
  <c r="F3564" i="12"/>
  <c r="G3564" i="12" s="1"/>
  <c r="L3564" i="12" s="1"/>
  <c r="E3564" i="12"/>
  <c r="I3564" i="12" s="1"/>
  <c r="C3564" i="12"/>
  <c r="AD3563" i="12"/>
  <c r="AC3563" i="12"/>
  <c r="Q3563" i="12"/>
  <c r="O3563" i="12"/>
  <c r="K3563" i="12"/>
  <c r="F3563" i="12"/>
  <c r="G3563" i="12" s="1"/>
  <c r="L3563" i="12" s="1"/>
  <c r="E3563" i="12"/>
  <c r="I3563" i="12" s="1"/>
  <c r="C3563" i="12"/>
  <c r="AD3562" i="12"/>
  <c r="AC3562" i="12"/>
  <c r="Q3562" i="12"/>
  <c r="O3562" i="12"/>
  <c r="K3562" i="12"/>
  <c r="F3562" i="12"/>
  <c r="G3562" i="12" s="1"/>
  <c r="L3562" i="12" s="1"/>
  <c r="E3562" i="12"/>
  <c r="I3562" i="12" s="1"/>
  <c r="C3562" i="12"/>
  <c r="AD3561" i="12"/>
  <c r="AC3561" i="12"/>
  <c r="Q3561" i="12"/>
  <c r="O3561" i="12"/>
  <c r="K3561" i="12"/>
  <c r="F3561" i="12"/>
  <c r="G3561" i="12" s="1"/>
  <c r="L3561" i="12" s="1"/>
  <c r="E3561" i="12"/>
  <c r="I3561" i="12" s="1"/>
  <c r="C3561" i="12"/>
  <c r="AD3560" i="12"/>
  <c r="AC3560" i="12"/>
  <c r="Q3560" i="12"/>
  <c r="O3560" i="12"/>
  <c r="K3560" i="12"/>
  <c r="F3560" i="12"/>
  <c r="G3560" i="12" s="1"/>
  <c r="L3560" i="12" s="1"/>
  <c r="E3560" i="12"/>
  <c r="I3560" i="12" s="1"/>
  <c r="C3560" i="12"/>
  <c r="AD3559" i="12"/>
  <c r="AC3559" i="12"/>
  <c r="Q3559" i="12"/>
  <c r="O3559" i="12"/>
  <c r="K3559" i="12"/>
  <c r="F3559" i="12"/>
  <c r="G3559" i="12" s="1"/>
  <c r="L3559" i="12" s="1"/>
  <c r="E3559" i="12"/>
  <c r="I3559" i="12" s="1"/>
  <c r="C3559" i="12"/>
  <c r="AD3558" i="12"/>
  <c r="AC3558" i="12"/>
  <c r="Q3558" i="12"/>
  <c r="O3558" i="12"/>
  <c r="K3558" i="12"/>
  <c r="F3558" i="12"/>
  <c r="G3558" i="12" s="1"/>
  <c r="L3558" i="12" s="1"/>
  <c r="E3558" i="12"/>
  <c r="I3558" i="12" s="1"/>
  <c r="C3558" i="12"/>
  <c r="AD3557" i="12"/>
  <c r="AC3557" i="12"/>
  <c r="Q3557" i="12"/>
  <c r="O3557" i="12"/>
  <c r="K3557" i="12"/>
  <c r="F3557" i="12"/>
  <c r="G3557" i="12" s="1"/>
  <c r="L3557" i="12" s="1"/>
  <c r="E3557" i="12"/>
  <c r="I3557" i="12" s="1"/>
  <c r="C3557" i="12"/>
  <c r="AD3556" i="12"/>
  <c r="AC3556" i="12"/>
  <c r="Q3556" i="12"/>
  <c r="O3556" i="12"/>
  <c r="K3556" i="12"/>
  <c r="F3556" i="12"/>
  <c r="G3556" i="12" s="1"/>
  <c r="L3556" i="12" s="1"/>
  <c r="E3556" i="12"/>
  <c r="I3556" i="12" s="1"/>
  <c r="C3556" i="12"/>
  <c r="AD3555" i="12"/>
  <c r="AC3555" i="12"/>
  <c r="Q3555" i="12"/>
  <c r="O3555" i="12"/>
  <c r="K3555" i="12"/>
  <c r="F3555" i="12"/>
  <c r="G3555" i="12" s="1"/>
  <c r="L3555" i="12" s="1"/>
  <c r="E3555" i="12"/>
  <c r="I3555" i="12" s="1"/>
  <c r="C3555" i="12"/>
  <c r="AD3554" i="12"/>
  <c r="AC3554" i="12"/>
  <c r="Q3554" i="12"/>
  <c r="O3554" i="12"/>
  <c r="K3554" i="12"/>
  <c r="F3554" i="12"/>
  <c r="G3554" i="12" s="1"/>
  <c r="L3554" i="12" s="1"/>
  <c r="E3554" i="12"/>
  <c r="I3554" i="12" s="1"/>
  <c r="C3554" i="12"/>
  <c r="AD3553" i="12"/>
  <c r="AC3553" i="12"/>
  <c r="Q3553" i="12"/>
  <c r="O3553" i="12"/>
  <c r="K3553" i="12"/>
  <c r="F3553" i="12"/>
  <c r="G3553" i="12" s="1"/>
  <c r="L3553" i="12" s="1"/>
  <c r="E3553" i="12"/>
  <c r="I3553" i="12" s="1"/>
  <c r="C3553" i="12"/>
  <c r="AD3552" i="12"/>
  <c r="AC3552" i="12"/>
  <c r="Q3552" i="12"/>
  <c r="O3552" i="12"/>
  <c r="K3552" i="12"/>
  <c r="F3552" i="12"/>
  <c r="G3552" i="12" s="1"/>
  <c r="L3552" i="12" s="1"/>
  <c r="E3552" i="12"/>
  <c r="I3552" i="12" s="1"/>
  <c r="C3552" i="12"/>
  <c r="AD3551" i="12"/>
  <c r="AC3551" i="12"/>
  <c r="Q3551" i="12"/>
  <c r="O3551" i="12"/>
  <c r="K3551" i="12"/>
  <c r="F3551" i="12"/>
  <c r="G3551" i="12" s="1"/>
  <c r="L3551" i="12" s="1"/>
  <c r="E3551" i="12"/>
  <c r="I3551" i="12" s="1"/>
  <c r="C3551" i="12"/>
  <c r="AD3550" i="12"/>
  <c r="AC3550" i="12"/>
  <c r="Q3550" i="12"/>
  <c r="O3550" i="12"/>
  <c r="K3550" i="12"/>
  <c r="F3550" i="12"/>
  <c r="G3550" i="12" s="1"/>
  <c r="L3550" i="12" s="1"/>
  <c r="E3550" i="12"/>
  <c r="I3550" i="12" s="1"/>
  <c r="C3550" i="12"/>
  <c r="AD3549" i="12"/>
  <c r="AC3549" i="12"/>
  <c r="Q3549" i="12"/>
  <c r="O3549" i="12"/>
  <c r="K3549" i="12"/>
  <c r="F3549" i="12"/>
  <c r="G3549" i="12" s="1"/>
  <c r="L3549" i="12" s="1"/>
  <c r="E3549" i="12"/>
  <c r="I3549" i="12" s="1"/>
  <c r="C3549" i="12"/>
  <c r="AD3548" i="12"/>
  <c r="AC3548" i="12"/>
  <c r="Q3548" i="12"/>
  <c r="O3548" i="12"/>
  <c r="K3548" i="12"/>
  <c r="F3548" i="12"/>
  <c r="G3548" i="12" s="1"/>
  <c r="L3548" i="12" s="1"/>
  <c r="E3548" i="12"/>
  <c r="I3548" i="12" s="1"/>
  <c r="C3548" i="12"/>
  <c r="AD3547" i="12"/>
  <c r="AC3547" i="12"/>
  <c r="Q3547" i="12"/>
  <c r="O3547" i="12"/>
  <c r="K3547" i="12"/>
  <c r="F3547" i="12"/>
  <c r="G3547" i="12" s="1"/>
  <c r="L3547" i="12" s="1"/>
  <c r="E3547" i="12"/>
  <c r="I3547" i="12" s="1"/>
  <c r="C3547" i="12"/>
  <c r="AD3546" i="12"/>
  <c r="AC3546" i="12"/>
  <c r="Q3546" i="12"/>
  <c r="O3546" i="12"/>
  <c r="K3546" i="12"/>
  <c r="F3546" i="12"/>
  <c r="G3546" i="12" s="1"/>
  <c r="L3546" i="12" s="1"/>
  <c r="E3546" i="12"/>
  <c r="I3546" i="12" s="1"/>
  <c r="C3546" i="12"/>
  <c r="AD3545" i="12"/>
  <c r="AC3545" i="12"/>
  <c r="Q3545" i="12"/>
  <c r="O3545" i="12"/>
  <c r="K3545" i="12"/>
  <c r="F3545" i="12"/>
  <c r="G3545" i="12" s="1"/>
  <c r="L3545" i="12" s="1"/>
  <c r="E3545" i="12"/>
  <c r="I3545" i="12" s="1"/>
  <c r="C3545" i="12"/>
  <c r="AD3544" i="12"/>
  <c r="AC3544" i="12"/>
  <c r="Q3544" i="12"/>
  <c r="O3544" i="12"/>
  <c r="K3544" i="12"/>
  <c r="F3544" i="12"/>
  <c r="G3544" i="12" s="1"/>
  <c r="L3544" i="12" s="1"/>
  <c r="E3544" i="12"/>
  <c r="I3544" i="12" s="1"/>
  <c r="C3544" i="12"/>
  <c r="AD3543" i="12"/>
  <c r="AC3543" i="12"/>
  <c r="Q3543" i="12"/>
  <c r="O3543" i="12"/>
  <c r="K3543" i="12"/>
  <c r="F3543" i="12"/>
  <c r="G3543" i="12" s="1"/>
  <c r="L3543" i="12" s="1"/>
  <c r="E3543" i="12"/>
  <c r="I3543" i="12" s="1"/>
  <c r="C3543" i="12"/>
  <c r="AD3542" i="12"/>
  <c r="AC3542" i="12"/>
  <c r="Q3542" i="12"/>
  <c r="O3542" i="12"/>
  <c r="K3542" i="12"/>
  <c r="F3542" i="12"/>
  <c r="G3542" i="12" s="1"/>
  <c r="L3542" i="12" s="1"/>
  <c r="E3542" i="12"/>
  <c r="I3542" i="12" s="1"/>
  <c r="C3542" i="12"/>
  <c r="AD3541" i="12"/>
  <c r="AC3541" i="12"/>
  <c r="Q3541" i="12"/>
  <c r="O3541" i="12"/>
  <c r="K3541" i="12"/>
  <c r="F3541" i="12"/>
  <c r="G3541" i="12" s="1"/>
  <c r="L3541" i="12" s="1"/>
  <c r="E3541" i="12"/>
  <c r="I3541" i="12" s="1"/>
  <c r="C3541" i="12"/>
  <c r="AD3540" i="12"/>
  <c r="AC3540" i="12"/>
  <c r="Q3540" i="12"/>
  <c r="O3540" i="12"/>
  <c r="K3540" i="12"/>
  <c r="F3540" i="12"/>
  <c r="G3540" i="12" s="1"/>
  <c r="L3540" i="12" s="1"/>
  <c r="E3540" i="12"/>
  <c r="I3540" i="12" s="1"/>
  <c r="C3540" i="12"/>
  <c r="AD3539" i="12"/>
  <c r="AC3539" i="12"/>
  <c r="Q3539" i="12"/>
  <c r="O3539" i="12"/>
  <c r="K3539" i="12"/>
  <c r="F3539" i="12"/>
  <c r="G3539" i="12" s="1"/>
  <c r="L3539" i="12" s="1"/>
  <c r="E3539" i="12"/>
  <c r="I3539" i="12" s="1"/>
  <c r="C3539" i="12"/>
  <c r="AD3538" i="12"/>
  <c r="AC3538" i="12"/>
  <c r="Q3538" i="12"/>
  <c r="O3538" i="12"/>
  <c r="K3538" i="12"/>
  <c r="F3538" i="12"/>
  <c r="G3538" i="12" s="1"/>
  <c r="L3538" i="12" s="1"/>
  <c r="E3538" i="12"/>
  <c r="I3538" i="12" s="1"/>
  <c r="C3538" i="12"/>
  <c r="AD3537" i="12"/>
  <c r="AC3537" i="12"/>
  <c r="Q3537" i="12"/>
  <c r="O3537" i="12"/>
  <c r="K3537" i="12"/>
  <c r="F3537" i="12"/>
  <c r="G3537" i="12" s="1"/>
  <c r="L3537" i="12" s="1"/>
  <c r="E3537" i="12"/>
  <c r="I3537" i="12" s="1"/>
  <c r="C3537" i="12"/>
  <c r="AD3536" i="12"/>
  <c r="AC3536" i="12"/>
  <c r="Q3536" i="12"/>
  <c r="O3536" i="12"/>
  <c r="K3536" i="12"/>
  <c r="F3536" i="12"/>
  <c r="G3536" i="12" s="1"/>
  <c r="L3536" i="12" s="1"/>
  <c r="E3536" i="12"/>
  <c r="I3536" i="12" s="1"/>
  <c r="C3536" i="12"/>
  <c r="AD3535" i="12"/>
  <c r="AC3535" i="12"/>
  <c r="Q3535" i="12"/>
  <c r="O3535" i="12"/>
  <c r="K3535" i="12"/>
  <c r="F3535" i="12"/>
  <c r="G3535" i="12" s="1"/>
  <c r="L3535" i="12" s="1"/>
  <c r="E3535" i="12"/>
  <c r="I3535" i="12" s="1"/>
  <c r="C3535" i="12"/>
  <c r="AD3534" i="12"/>
  <c r="AC3534" i="12"/>
  <c r="Q3534" i="12"/>
  <c r="O3534" i="12"/>
  <c r="K3534" i="12"/>
  <c r="F3534" i="12"/>
  <c r="G3534" i="12" s="1"/>
  <c r="L3534" i="12" s="1"/>
  <c r="E3534" i="12"/>
  <c r="I3534" i="12" s="1"/>
  <c r="C3534" i="12"/>
  <c r="AD3533" i="12"/>
  <c r="AC3533" i="12"/>
  <c r="Q3533" i="12"/>
  <c r="O3533" i="12"/>
  <c r="K3533" i="12"/>
  <c r="F3533" i="12"/>
  <c r="G3533" i="12" s="1"/>
  <c r="L3533" i="12" s="1"/>
  <c r="E3533" i="12"/>
  <c r="I3533" i="12" s="1"/>
  <c r="C3533" i="12"/>
  <c r="AD3532" i="12"/>
  <c r="AC3532" i="12"/>
  <c r="Q3532" i="12"/>
  <c r="O3532" i="12"/>
  <c r="K3532" i="12"/>
  <c r="F3532" i="12"/>
  <c r="G3532" i="12" s="1"/>
  <c r="L3532" i="12" s="1"/>
  <c r="E3532" i="12"/>
  <c r="I3532" i="12" s="1"/>
  <c r="C3532" i="12"/>
  <c r="AD3531" i="12"/>
  <c r="AC3531" i="12"/>
  <c r="Q3531" i="12"/>
  <c r="O3531" i="12"/>
  <c r="K3531" i="12"/>
  <c r="F3531" i="12"/>
  <c r="G3531" i="12" s="1"/>
  <c r="L3531" i="12" s="1"/>
  <c r="E3531" i="12"/>
  <c r="I3531" i="12" s="1"/>
  <c r="C3531" i="12"/>
  <c r="AD3530" i="12"/>
  <c r="AC3530" i="12"/>
  <c r="Q3530" i="12"/>
  <c r="O3530" i="12"/>
  <c r="K3530" i="12"/>
  <c r="F3530" i="12"/>
  <c r="G3530" i="12" s="1"/>
  <c r="L3530" i="12" s="1"/>
  <c r="E3530" i="12"/>
  <c r="I3530" i="12" s="1"/>
  <c r="C3530" i="12"/>
  <c r="AD3529" i="12"/>
  <c r="AC3529" i="12"/>
  <c r="Q3529" i="12"/>
  <c r="O3529" i="12"/>
  <c r="K3529" i="12"/>
  <c r="F3529" i="12"/>
  <c r="G3529" i="12" s="1"/>
  <c r="L3529" i="12" s="1"/>
  <c r="E3529" i="12"/>
  <c r="I3529" i="12" s="1"/>
  <c r="C3529" i="12"/>
  <c r="AD3528" i="12"/>
  <c r="AC3528" i="12"/>
  <c r="Q3528" i="12"/>
  <c r="O3528" i="12"/>
  <c r="K3528" i="12"/>
  <c r="F3528" i="12"/>
  <c r="G3528" i="12" s="1"/>
  <c r="L3528" i="12" s="1"/>
  <c r="E3528" i="12"/>
  <c r="I3528" i="12" s="1"/>
  <c r="C3528" i="12"/>
  <c r="AD3527" i="12"/>
  <c r="AC3527" i="12"/>
  <c r="Q3527" i="12"/>
  <c r="O3527" i="12"/>
  <c r="K3527" i="12"/>
  <c r="F3527" i="12"/>
  <c r="G3527" i="12" s="1"/>
  <c r="L3527" i="12" s="1"/>
  <c r="E3527" i="12"/>
  <c r="I3527" i="12" s="1"/>
  <c r="C3527" i="12"/>
  <c r="AD3526" i="12"/>
  <c r="AC3526" i="12"/>
  <c r="Q3526" i="12"/>
  <c r="O3526" i="12"/>
  <c r="K3526" i="12"/>
  <c r="F3526" i="12"/>
  <c r="G3526" i="12" s="1"/>
  <c r="L3526" i="12" s="1"/>
  <c r="E3526" i="12"/>
  <c r="I3526" i="12" s="1"/>
  <c r="C3526" i="12"/>
  <c r="AD3525" i="12"/>
  <c r="AC3525" i="12"/>
  <c r="Q3525" i="12"/>
  <c r="O3525" i="12"/>
  <c r="K3525" i="12"/>
  <c r="F3525" i="12"/>
  <c r="G3525" i="12" s="1"/>
  <c r="L3525" i="12" s="1"/>
  <c r="E3525" i="12"/>
  <c r="I3525" i="12" s="1"/>
  <c r="C3525" i="12"/>
  <c r="AD3524" i="12"/>
  <c r="AC3524" i="12"/>
  <c r="Q3524" i="12"/>
  <c r="O3524" i="12"/>
  <c r="K3524" i="12"/>
  <c r="F3524" i="12"/>
  <c r="G3524" i="12" s="1"/>
  <c r="L3524" i="12" s="1"/>
  <c r="E3524" i="12"/>
  <c r="I3524" i="12" s="1"/>
  <c r="C3524" i="12"/>
  <c r="AD3523" i="12"/>
  <c r="AC3523" i="12"/>
  <c r="Q3523" i="12"/>
  <c r="O3523" i="12"/>
  <c r="K3523" i="12"/>
  <c r="F3523" i="12"/>
  <c r="G3523" i="12" s="1"/>
  <c r="L3523" i="12" s="1"/>
  <c r="E3523" i="12"/>
  <c r="I3523" i="12" s="1"/>
  <c r="C3523" i="12"/>
  <c r="AD3522" i="12"/>
  <c r="AC3522" i="12"/>
  <c r="Q3522" i="12"/>
  <c r="O3522" i="12"/>
  <c r="K3522" i="12"/>
  <c r="F3522" i="12"/>
  <c r="G3522" i="12" s="1"/>
  <c r="L3522" i="12" s="1"/>
  <c r="E3522" i="12"/>
  <c r="I3522" i="12" s="1"/>
  <c r="C3522" i="12"/>
  <c r="AD3521" i="12"/>
  <c r="AC3521" i="12"/>
  <c r="Q3521" i="12"/>
  <c r="O3521" i="12"/>
  <c r="K3521" i="12"/>
  <c r="F3521" i="12"/>
  <c r="G3521" i="12" s="1"/>
  <c r="L3521" i="12" s="1"/>
  <c r="E3521" i="12"/>
  <c r="I3521" i="12" s="1"/>
  <c r="C3521" i="12"/>
  <c r="AD3520" i="12"/>
  <c r="AC3520" i="12"/>
  <c r="Q3520" i="12"/>
  <c r="O3520" i="12"/>
  <c r="K3520" i="12"/>
  <c r="F3520" i="12"/>
  <c r="G3520" i="12" s="1"/>
  <c r="L3520" i="12" s="1"/>
  <c r="E3520" i="12"/>
  <c r="I3520" i="12" s="1"/>
  <c r="C3520" i="12"/>
  <c r="AD3519" i="12"/>
  <c r="AC3519" i="12"/>
  <c r="Q3519" i="12"/>
  <c r="O3519" i="12"/>
  <c r="K3519" i="12"/>
  <c r="F3519" i="12"/>
  <c r="G3519" i="12" s="1"/>
  <c r="L3519" i="12" s="1"/>
  <c r="E3519" i="12"/>
  <c r="I3519" i="12" s="1"/>
  <c r="C3519" i="12"/>
  <c r="AD3518" i="12"/>
  <c r="AC3518" i="12"/>
  <c r="Q3518" i="12"/>
  <c r="O3518" i="12"/>
  <c r="K3518" i="12"/>
  <c r="F3518" i="12"/>
  <c r="G3518" i="12" s="1"/>
  <c r="L3518" i="12" s="1"/>
  <c r="E3518" i="12"/>
  <c r="I3518" i="12" s="1"/>
  <c r="C3518" i="12"/>
  <c r="AD3517" i="12"/>
  <c r="AC3517" i="12"/>
  <c r="Q3517" i="12"/>
  <c r="O3517" i="12"/>
  <c r="K3517" i="12"/>
  <c r="F3517" i="12"/>
  <c r="G3517" i="12" s="1"/>
  <c r="E3517" i="12"/>
  <c r="I3517" i="12" s="1"/>
  <c r="C3517" i="12"/>
  <c r="AD3516" i="12"/>
  <c r="AC3516" i="12"/>
  <c r="Q3516" i="12"/>
  <c r="O3516" i="12"/>
  <c r="K3516" i="12"/>
  <c r="F3516" i="12"/>
  <c r="G3516" i="12" s="1"/>
  <c r="L3516" i="12" s="1"/>
  <c r="E3516" i="12"/>
  <c r="I3516" i="12" s="1"/>
  <c r="C3516" i="12"/>
  <c r="AD3515" i="12"/>
  <c r="AC3515" i="12"/>
  <c r="Q3515" i="12"/>
  <c r="O3515" i="12"/>
  <c r="K3515" i="12"/>
  <c r="F3515" i="12"/>
  <c r="G3515" i="12" s="1"/>
  <c r="L3515" i="12" s="1"/>
  <c r="E3515" i="12"/>
  <c r="I3515" i="12" s="1"/>
  <c r="C3515" i="12"/>
  <c r="AD3514" i="12"/>
  <c r="AC3514" i="12"/>
  <c r="Q3514" i="12"/>
  <c r="O3514" i="12"/>
  <c r="K3514" i="12"/>
  <c r="F3514" i="12"/>
  <c r="G3514" i="12" s="1"/>
  <c r="L3514" i="12" s="1"/>
  <c r="E3514" i="12"/>
  <c r="I3514" i="12" s="1"/>
  <c r="C3514" i="12"/>
  <c r="AD3513" i="12"/>
  <c r="AC3513" i="12"/>
  <c r="Q3513" i="12"/>
  <c r="O3513" i="12"/>
  <c r="K3513" i="12"/>
  <c r="F3513" i="12"/>
  <c r="G3513" i="12" s="1"/>
  <c r="E3513" i="12"/>
  <c r="I3513" i="12" s="1"/>
  <c r="C3513" i="12"/>
  <c r="AD3512" i="12"/>
  <c r="AC3512" i="12"/>
  <c r="Q3512" i="12"/>
  <c r="O3512" i="12"/>
  <c r="K3512" i="12"/>
  <c r="F3512" i="12"/>
  <c r="G3512" i="12" s="1"/>
  <c r="L3512" i="12" s="1"/>
  <c r="E3512" i="12"/>
  <c r="I3512" i="12" s="1"/>
  <c r="C3512" i="12"/>
  <c r="AD3511" i="12"/>
  <c r="AC3511" i="12"/>
  <c r="Q3511" i="12"/>
  <c r="O3511" i="12"/>
  <c r="K3511" i="12"/>
  <c r="F3511" i="12"/>
  <c r="G3511" i="12" s="1"/>
  <c r="L3511" i="12" s="1"/>
  <c r="E3511" i="12"/>
  <c r="I3511" i="12" s="1"/>
  <c r="C3511" i="12"/>
  <c r="AD3510" i="12"/>
  <c r="AC3510" i="12"/>
  <c r="Q3510" i="12"/>
  <c r="O3510" i="12"/>
  <c r="K3510" i="12"/>
  <c r="F3510" i="12"/>
  <c r="G3510" i="12" s="1"/>
  <c r="E3510" i="12"/>
  <c r="I3510" i="12" s="1"/>
  <c r="C3510" i="12"/>
  <c r="AD3509" i="12"/>
  <c r="AC3509" i="12"/>
  <c r="Q3509" i="12"/>
  <c r="O3509" i="12"/>
  <c r="K3509" i="12"/>
  <c r="F3509" i="12"/>
  <c r="G3509" i="12" s="1"/>
  <c r="E3509" i="12"/>
  <c r="I3509" i="12" s="1"/>
  <c r="C3509" i="12"/>
  <c r="AD3508" i="12"/>
  <c r="AC3508" i="12"/>
  <c r="Q3508" i="12"/>
  <c r="O3508" i="12"/>
  <c r="K3508" i="12"/>
  <c r="F3508" i="12"/>
  <c r="G3508" i="12" s="1"/>
  <c r="E3508" i="12"/>
  <c r="I3508" i="12" s="1"/>
  <c r="C3508" i="12"/>
  <c r="AD3507" i="12"/>
  <c r="AC3507" i="12"/>
  <c r="Q3507" i="12"/>
  <c r="O3507" i="12"/>
  <c r="K3507" i="12"/>
  <c r="F3507" i="12"/>
  <c r="G3507" i="12" s="1"/>
  <c r="E3507" i="12"/>
  <c r="I3507" i="12" s="1"/>
  <c r="C3507" i="12"/>
  <c r="AD3506" i="12"/>
  <c r="AC3506" i="12"/>
  <c r="Q3506" i="12"/>
  <c r="O3506" i="12"/>
  <c r="K3506" i="12"/>
  <c r="F3506" i="12"/>
  <c r="G3506" i="12" s="1"/>
  <c r="E3506" i="12"/>
  <c r="I3506" i="12" s="1"/>
  <c r="C3506" i="12"/>
  <c r="AD3505" i="12"/>
  <c r="AC3505" i="12"/>
  <c r="Q3505" i="12"/>
  <c r="O3505" i="12"/>
  <c r="K3505" i="12"/>
  <c r="F3505" i="12"/>
  <c r="G3505" i="12" s="1"/>
  <c r="E3505" i="12"/>
  <c r="I3505" i="12" s="1"/>
  <c r="C3505" i="12"/>
  <c r="AD3504" i="12"/>
  <c r="AC3504" i="12"/>
  <c r="Q3504" i="12"/>
  <c r="O3504" i="12"/>
  <c r="K3504" i="12"/>
  <c r="F3504" i="12"/>
  <c r="G3504" i="12" s="1"/>
  <c r="E3504" i="12"/>
  <c r="I3504" i="12" s="1"/>
  <c r="C3504" i="12"/>
  <c r="AD3503" i="12"/>
  <c r="AC3503" i="12"/>
  <c r="Q3503" i="12"/>
  <c r="O3503" i="12"/>
  <c r="K3503" i="12"/>
  <c r="F3503" i="12"/>
  <c r="G3503" i="12" s="1"/>
  <c r="E3503" i="12"/>
  <c r="I3503" i="12" s="1"/>
  <c r="C3503" i="12"/>
  <c r="AD3502" i="12"/>
  <c r="AC3502" i="12"/>
  <c r="Q3502" i="12"/>
  <c r="O3502" i="12"/>
  <c r="K3502" i="12"/>
  <c r="F3502" i="12"/>
  <c r="G3502" i="12" s="1"/>
  <c r="E3502" i="12"/>
  <c r="I3502" i="12" s="1"/>
  <c r="C3502" i="12"/>
  <c r="AD3501" i="12"/>
  <c r="AC3501" i="12"/>
  <c r="Q3501" i="12"/>
  <c r="O3501" i="12"/>
  <c r="K3501" i="12"/>
  <c r="F3501" i="12"/>
  <c r="G3501" i="12" s="1"/>
  <c r="E3501" i="12"/>
  <c r="I3501" i="12" s="1"/>
  <c r="C3501" i="12"/>
  <c r="AD3500" i="12"/>
  <c r="AC3500" i="12"/>
  <c r="Q3500" i="12"/>
  <c r="O3500" i="12"/>
  <c r="K3500" i="12"/>
  <c r="F3500" i="12"/>
  <c r="G3500" i="12" s="1"/>
  <c r="E3500" i="12"/>
  <c r="I3500" i="12" s="1"/>
  <c r="C3500" i="12"/>
  <c r="AD3499" i="12"/>
  <c r="AC3499" i="12"/>
  <c r="Q3499" i="12"/>
  <c r="O3499" i="12"/>
  <c r="K3499" i="12"/>
  <c r="F3499" i="12"/>
  <c r="G3499" i="12" s="1"/>
  <c r="E3499" i="12"/>
  <c r="I3499" i="12" s="1"/>
  <c r="C3499" i="12"/>
  <c r="AD3498" i="12"/>
  <c r="AC3498" i="12"/>
  <c r="Q3498" i="12"/>
  <c r="O3498" i="12"/>
  <c r="K3498" i="12"/>
  <c r="F3498" i="12"/>
  <c r="G3498" i="12" s="1"/>
  <c r="E3498" i="12"/>
  <c r="I3498" i="12" s="1"/>
  <c r="C3498" i="12"/>
  <c r="AD3497" i="12"/>
  <c r="AC3497" i="12"/>
  <c r="Q3497" i="12"/>
  <c r="O3497" i="12"/>
  <c r="K3497" i="12"/>
  <c r="F3497" i="12"/>
  <c r="G3497" i="12" s="1"/>
  <c r="E3497" i="12"/>
  <c r="I3497" i="12" s="1"/>
  <c r="C3497" i="12"/>
  <c r="AD3496" i="12"/>
  <c r="AC3496" i="12"/>
  <c r="Q3496" i="12"/>
  <c r="O3496" i="12"/>
  <c r="K3496" i="12"/>
  <c r="F3496" i="12"/>
  <c r="G3496" i="12" s="1"/>
  <c r="E3496" i="12"/>
  <c r="I3496" i="12" s="1"/>
  <c r="C3496" i="12"/>
  <c r="AD3495" i="12"/>
  <c r="AC3495" i="12"/>
  <c r="Q3495" i="12"/>
  <c r="O3495" i="12"/>
  <c r="K3495" i="12"/>
  <c r="F3495" i="12"/>
  <c r="G3495" i="12" s="1"/>
  <c r="E3495" i="12"/>
  <c r="I3495" i="12" s="1"/>
  <c r="C3495" i="12"/>
  <c r="AD3494" i="12"/>
  <c r="AC3494" i="12"/>
  <c r="Q3494" i="12"/>
  <c r="O3494" i="12"/>
  <c r="K3494" i="12"/>
  <c r="F3494" i="12"/>
  <c r="G3494" i="12" s="1"/>
  <c r="E3494" i="12"/>
  <c r="I3494" i="12" s="1"/>
  <c r="C3494" i="12"/>
  <c r="AD3493" i="12"/>
  <c r="AC3493" i="12"/>
  <c r="Q3493" i="12"/>
  <c r="O3493" i="12"/>
  <c r="K3493" i="12"/>
  <c r="F3493" i="12"/>
  <c r="G3493" i="12" s="1"/>
  <c r="E3493" i="12"/>
  <c r="I3493" i="12" s="1"/>
  <c r="C3493" i="12"/>
  <c r="AD3492" i="12"/>
  <c r="AC3492" i="12"/>
  <c r="Q3492" i="12"/>
  <c r="O3492" i="12"/>
  <c r="K3492" i="12"/>
  <c r="F3492" i="12"/>
  <c r="G3492" i="12" s="1"/>
  <c r="E3492" i="12"/>
  <c r="I3492" i="12" s="1"/>
  <c r="C3492" i="12"/>
  <c r="AD3491" i="12"/>
  <c r="AC3491" i="12"/>
  <c r="Q3491" i="12"/>
  <c r="O3491" i="12"/>
  <c r="K3491" i="12"/>
  <c r="F3491" i="12"/>
  <c r="G3491" i="12" s="1"/>
  <c r="E3491" i="12"/>
  <c r="I3491" i="12" s="1"/>
  <c r="C3491" i="12"/>
  <c r="AD3490" i="12"/>
  <c r="AC3490" i="12"/>
  <c r="Q3490" i="12"/>
  <c r="O3490" i="12"/>
  <c r="K3490" i="12"/>
  <c r="F3490" i="12"/>
  <c r="G3490" i="12" s="1"/>
  <c r="E3490" i="12"/>
  <c r="I3490" i="12" s="1"/>
  <c r="C3490" i="12"/>
  <c r="AD3489" i="12"/>
  <c r="AC3489" i="12"/>
  <c r="Q3489" i="12"/>
  <c r="O3489" i="12"/>
  <c r="K3489" i="12"/>
  <c r="F3489" i="12"/>
  <c r="G3489" i="12" s="1"/>
  <c r="E3489" i="12"/>
  <c r="I3489" i="12" s="1"/>
  <c r="C3489" i="12"/>
  <c r="AD3488" i="12"/>
  <c r="AC3488" i="12"/>
  <c r="Q3488" i="12"/>
  <c r="O3488" i="12"/>
  <c r="K3488" i="12"/>
  <c r="F3488" i="12"/>
  <c r="G3488" i="12" s="1"/>
  <c r="E3488" i="12"/>
  <c r="I3488" i="12" s="1"/>
  <c r="C3488" i="12"/>
  <c r="AD3487" i="12"/>
  <c r="AC3487" i="12"/>
  <c r="Q3487" i="12"/>
  <c r="O3487" i="12"/>
  <c r="K3487" i="12"/>
  <c r="F3487" i="12"/>
  <c r="G3487" i="12" s="1"/>
  <c r="E3487" i="12"/>
  <c r="I3487" i="12" s="1"/>
  <c r="C3487" i="12"/>
  <c r="AD3486" i="12"/>
  <c r="AC3486" i="12"/>
  <c r="Q3486" i="12"/>
  <c r="O3486" i="12"/>
  <c r="K3486" i="12"/>
  <c r="F3486" i="12"/>
  <c r="G3486" i="12" s="1"/>
  <c r="E3486" i="12"/>
  <c r="I3486" i="12" s="1"/>
  <c r="C3486" i="12"/>
  <c r="AD3485" i="12"/>
  <c r="AC3485" i="12"/>
  <c r="Q3485" i="12"/>
  <c r="O3485" i="12"/>
  <c r="K3485" i="12"/>
  <c r="F3485" i="12"/>
  <c r="G3485" i="12" s="1"/>
  <c r="E3485" i="12"/>
  <c r="I3485" i="12" s="1"/>
  <c r="C3485" i="12"/>
  <c r="AD3484" i="12"/>
  <c r="AC3484" i="12"/>
  <c r="Q3484" i="12"/>
  <c r="O3484" i="12"/>
  <c r="K3484" i="12"/>
  <c r="F3484" i="12"/>
  <c r="G3484" i="12" s="1"/>
  <c r="E3484" i="12"/>
  <c r="I3484" i="12" s="1"/>
  <c r="C3484" i="12"/>
  <c r="AD3483" i="12"/>
  <c r="AC3483" i="12"/>
  <c r="Q3483" i="12"/>
  <c r="O3483" i="12"/>
  <c r="K3483" i="12"/>
  <c r="F3483" i="12"/>
  <c r="G3483" i="12" s="1"/>
  <c r="E3483" i="12"/>
  <c r="I3483" i="12" s="1"/>
  <c r="C3483" i="12"/>
  <c r="AD3482" i="12"/>
  <c r="AC3482" i="12"/>
  <c r="Q3482" i="12"/>
  <c r="O3482" i="12"/>
  <c r="K3482" i="12"/>
  <c r="F3482" i="12"/>
  <c r="G3482" i="12" s="1"/>
  <c r="E3482" i="12"/>
  <c r="I3482" i="12" s="1"/>
  <c r="C3482" i="12"/>
  <c r="AD3481" i="12"/>
  <c r="AC3481" i="12"/>
  <c r="Q3481" i="12"/>
  <c r="O3481" i="12"/>
  <c r="K3481" i="12"/>
  <c r="F3481" i="12"/>
  <c r="G3481" i="12" s="1"/>
  <c r="E3481" i="12"/>
  <c r="I3481" i="12" s="1"/>
  <c r="C3481" i="12"/>
  <c r="AD3480" i="12"/>
  <c r="AC3480" i="12"/>
  <c r="Q3480" i="12"/>
  <c r="O3480" i="12"/>
  <c r="K3480" i="12"/>
  <c r="F3480" i="12"/>
  <c r="G3480" i="12" s="1"/>
  <c r="E3480" i="12"/>
  <c r="I3480" i="12" s="1"/>
  <c r="C3480" i="12"/>
  <c r="AD3479" i="12"/>
  <c r="AC3479" i="12"/>
  <c r="Q3479" i="12"/>
  <c r="O3479" i="12"/>
  <c r="K3479" i="12"/>
  <c r="F3479" i="12"/>
  <c r="G3479" i="12" s="1"/>
  <c r="E3479" i="12"/>
  <c r="I3479" i="12" s="1"/>
  <c r="C3479" i="12"/>
  <c r="AD3478" i="12"/>
  <c r="AC3478" i="12"/>
  <c r="Q3478" i="12"/>
  <c r="O3478" i="12"/>
  <c r="K3478" i="12"/>
  <c r="F3478" i="12"/>
  <c r="G3478" i="12" s="1"/>
  <c r="E3478" i="12"/>
  <c r="I3478" i="12" s="1"/>
  <c r="C3478" i="12"/>
  <c r="AD3477" i="12"/>
  <c r="AC3477" i="12"/>
  <c r="Q3477" i="12"/>
  <c r="O3477" i="12"/>
  <c r="K3477" i="12"/>
  <c r="F3477" i="12"/>
  <c r="G3477" i="12" s="1"/>
  <c r="E3477" i="12"/>
  <c r="I3477" i="12" s="1"/>
  <c r="C3477" i="12"/>
  <c r="AD3476" i="12"/>
  <c r="AC3476" i="12"/>
  <c r="Q3476" i="12"/>
  <c r="O3476" i="12"/>
  <c r="K3476" i="12"/>
  <c r="F3476" i="12"/>
  <c r="G3476" i="12" s="1"/>
  <c r="E3476" i="12"/>
  <c r="I3476" i="12" s="1"/>
  <c r="C3476" i="12"/>
  <c r="AD3475" i="12"/>
  <c r="AC3475" i="12"/>
  <c r="Q3475" i="12"/>
  <c r="O3475" i="12"/>
  <c r="K3475" i="12"/>
  <c r="F3475" i="12"/>
  <c r="G3475" i="12" s="1"/>
  <c r="E3475" i="12"/>
  <c r="I3475" i="12" s="1"/>
  <c r="C3475" i="12"/>
  <c r="AD3474" i="12"/>
  <c r="AC3474" i="12"/>
  <c r="Q3474" i="12"/>
  <c r="O3474" i="12"/>
  <c r="K3474" i="12"/>
  <c r="F3474" i="12"/>
  <c r="G3474" i="12" s="1"/>
  <c r="L3474" i="12" s="1"/>
  <c r="E3474" i="12"/>
  <c r="I3474" i="12" s="1"/>
  <c r="C3474" i="12"/>
  <c r="AD3473" i="12"/>
  <c r="AC3473" i="12"/>
  <c r="Q3473" i="12"/>
  <c r="O3473" i="12"/>
  <c r="K3473" i="12"/>
  <c r="F3473" i="12"/>
  <c r="G3473" i="12" s="1"/>
  <c r="L3473" i="12" s="1"/>
  <c r="E3473" i="12"/>
  <c r="I3473" i="12" s="1"/>
  <c r="C3473" i="12"/>
  <c r="AD3472" i="12"/>
  <c r="AC3472" i="12"/>
  <c r="Q3472" i="12"/>
  <c r="O3472" i="12"/>
  <c r="K3472" i="12"/>
  <c r="F3472" i="12"/>
  <c r="G3472" i="12" s="1"/>
  <c r="L3472" i="12" s="1"/>
  <c r="E3472" i="12"/>
  <c r="I3472" i="12" s="1"/>
  <c r="C3472" i="12"/>
  <c r="AD3471" i="12"/>
  <c r="AC3471" i="12"/>
  <c r="Q3471" i="12"/>
  <c r="O3471" i="12"/>
  <c r="K3471" i="12"/>
  <c r="F3471" i="12"/>
  <c r="G3471" i="12" s="1"/>
  <c r="L3471" i="12" s="1"/>
  <c r="E3471" i="12"/>
  <c r="I3471" i="12" s="1"/>
  <c r="C3471" i="12"/>
  <c r="AD3470" i="12"/>
  <c r="AC3470" i="12"/>
  <c r="Q3470" i="12"/>
  <c r="O3470" i="12"/>
  <c r="K3470" i="12"/>
  <c r="F3470" i="12"/>
  <c r="G3470" i="12" s="1"/>
  <c r="L3470" i="12" s="1"/>
  <c r="E3470" i="12"/>
  <c r="I3470" i="12" s="1"/>
  <c r="C3470" i="12"/>
  <c r="AD3469" i="12"/>
  <c r="AC3469" i="12"/>
  <c r="Q3469" i="12"/>
  <c r="O3469" i="12"/>
  <c r="K3469" i="12"/>
  <c r="F3469" i="12"/>
  <c r="G3469" i="12" s="1"/>
  <c r="L3469" i="12" s="1"/>
  <c r="E3469" i="12"/>
  <c r="I3469" i="12" s="1"/>
  <c r="C3469" i="12"/>
  <c r="AD3468" i="12"/>
  <c r="AC3468" i="12"/>
  <c r="Q3468" i="12"/>
  <c r="O3468" i="12"/>
  <c r="K3468" i="12"/>
  <c r="F3468" i="12"/>
  <c r="G3468" i="12" s="1"/>
  <c r="L3468" i="12" s="1"/>
  <c r="E3468" i="12"/>
  <c r="I3468" i="12" s="1"/>
  <c r="C3468" i="12"/>
  <c r="AD3467" i="12"/>
  <c r="AC3467" i="12"/>
  <c r="Q3467" i="12"/>
  <c r="O3467" i="12"/>
  <c r="K3467" i="12"/>
  <c r="F3467" i="12"/>
  <c r="G3467" i="12" s="1"/>
  <c r="L3467" i="12" s="1"/>
  <c r="E3467" i="12"/>
  <c r="I3467" i="12" s="1"/>
  <c r="C3467" i="12"/>
  <c r="AD3466" i="12"/>
  <c r="AC3466" i="12"/>
  <c r="Q3466" i="12"/>
  <c r="O3466" i="12"/>
  <c r="K3466" i="12"/>
  <c r="F3466" i="12"/>
  <c r="G3466" i="12" s="1"/>
  <c r="L3466" i="12" s="1"/>
  <c r="E3466" i="12"/>
  <c r="I3466" i="12" s="1"/>
  <c r="C3466" i="12"/>
  <c r="AD3465" i="12"/>
  <c r="AC3465" i="12"/>
  <c r="Q3465" i="12"/>
  <c r="O3465" i="12"/>
  <c r="K3465" i="12"/>
  <c r="F3465" i="12"/>
  <c r="G3465" i="12" s="1"/>
  <c r="L3465" i="12" s="1"/>
  <c r="E3465" i="12"/>
  <c r="I3465" i="12" s="1"/>
  <c r="C3465" i="12"/>
  <c r="AD3464" i="12"/>
  <c r="AC3464" i="12"/>
  <c r="Q3464" i="12"/>
  <c r="O3464" i="12"/>
  <c r="K3464" i="12"/>
  <c r="F3464" i="12"/>
  <c r="G3464" i="12" s="1"/>
  <c r="L3464" i="12" s="1"/>
  <c r="E3464" i="12"/>
  <c r="I3464" i="12" s="1"/>
  <c r="C3464" i="12"/>
  <c r="AD3463" i="12"/>
  <c r="AC3463" i="12"/>
  <c r="Q3463" i="12"/>
  <c r="O3463" i="12"/>
  <c r="K3463" i="12"/>
  <c r="F3463" i="12"/>
  <c r="G3463" i="12" s="1"/>
  <c r="L3463" i="12" s="1"/>
  <c r="E3463" i="12"/>
  <c r="I3463" i="12" s="1"/>
  <c r="C3463" i="12"/>
  <c r="AD3462" i="12"/>
  <c r="AC3462" i="12"/>
  <c r="Q3462" i="12"/>
  <c r="O3462" i="12"/>
  <c r="K3462" i="12"/>
  <c r="F3462" i="12"/>
  <c r="G3462" i="12" s="1"/>
  <c r="L3462" i="12" s="1"/>
  <c r="E3462" i="12"/>
  <c r="I3462" i="12" s="1"/>
  <c r="C3462" i="12"/>
  <c r="AD3461" i="12"/>
  <c r="AC3461" i="12"/>
  <c r="Q3461" i="12"/>
  <c r="O3461" i="12"/>
  <c r="K3461" i="12"/>
  <c r="F3461" i="12"/>
  <c r="G3461" i="12" s="1"/>
  <c r="L3461" i="12" s="1"/>
  <c r="E3461" i="12"/>
  <c r="I3461" i="12" s="1"/>
  <c r="C3461" i="12"/>
  <c r="AD3460" i="12"/>
  <c r="AC3460" i="12"/>
  <c r="Q3460" i="12"/>
  <c r="O3460" i="12"/>
  <c r="K3460" i="12"/>
  <c r="F3460" i="12"/>
  <c r="G3460" i="12" s="1"/>
  <c r="L3460" i="12" s="1"/>
  <c r="E3460" i="12"/>
  <c r="I3460" i="12" s="1"/>
  <c r="C3460" i="12"/>
  <c r="AD3459" i="12"/>
  <c r="AC3459" i="12"/>
  <c r="Q3459" i="12"/>
  <c r="O3459" i="12"/>
  <c r="K3459" i="12"/>
  <c r="F3459" i="12"/>
  <c r="G3459" i="12" s="1"/>
  <c r="L3459" i="12" s="1"/>
  <c r="E3459" i="12"/>
  <c r="I3459" i="12" s="1"/>
  <c r="C3459" i="12"/>
  <c r="AD3458" i="12"/>
  <c r="AC3458" i="12"/>
  <c r="Q3458" i="12"/>
  <c r="O3458" i="12"/>
  <c r="K3458" i="12"/>
  <c r="F3458" i="12"/>
  <c r="G3458" i="12" s="1"/>
  <c r="L3458" i="12" s="1"/>
  <c r="E3458" i="12"/>
  <c r="I3458" i="12" s="1"/>
  <c r="C3458" i="12"/>
  <c r="AD3457" i="12"/>
  <c r="AC3457" i="12"/>
  <c r="Q3457" i="12"/>
  <c r="O3457" i="12"/>
  <c r="K3457" i="12"/>
  <c r="F3457" i="12"/>
  <c r="G3457" i="12" s="1"/>
  <c r="L3457" i="12" s="1"/>
  <c r="E3457" i="12"/>
  <c r="I3457" i="12" s="1"/>
  <c r="C3457" i="12"/>
  <c r="AD3456" i="12"/>
  <c r="AC3456" i="12"/>
  <c r="Q3456" i="12"/>
  <c r="O3456" i="12"/>
  <c r="K3456" i="12"/>
  <c r="F3456" i="12"/>
  <c r="G3456" i="12" s="1"/>
  <c r="L3456" i="12" s="1"/>
  <c r="E3456" i="12"/>
  <c r="I3456" i="12" s="1"/>
  <c r="C3456" i="12"/>
  <c r="AD3455" i="12"/>
  <c r="AC3455" i="12"/>
  <c r="Q3455" i="12"/>
  <c r="O3455" i="12"/>
  <c r="K3455" i="12"/>
  <c r="F3455" i="12"/>
  <c r="G3455" i="12" s="1"/>
  <c r="L3455" i="12" s="1"/>
  <c r="E3455" i="12"/>
  <c r="I3455" i="12" s="1"/>
  <c r="C3455" i="12"/>
  <c r="AD3454" i="12"/>
  <c r="AC3454" i="12"/>
  <c r="Q3454" i="12"/>
  <c r="O3454" i="12"/>
  <c r="K3454" i="12"/>
  <c r="F3454" i="12"/>
  <c r="G3454" i="12" s="1"/>
  <c r="L3454" i="12" s="1"/>
  <c r="E3454" i="12"/>
  <c r="I3454" i="12" s="1"/>
  <c r="C3454" i="12"/>
  <c r="AD3453" i="12"/>
  <c r="AC3453" i="12"/>
  <c r="Q3453" i="12"/>
  <c r="O3453" i="12"/>
  <c r="K3453" i="12"/>
  <c r="F3453" i="12"/>
  <c r="G3453" i="12" s="1"/>
  <c r="L3453" i="12" s="1"/>
  <c r="E3453" i="12"/>
  <c r="I3453" i="12" s="1"/>
  <c r="C3453" i="12"/>
  <c r="AD3452" i="12"/>
  <c r="AC3452" i="12"/>
  <c r="Q3452" i="12"/>
  <c r="O3452" i="12"/>
  <c r="K3452" i="12"/>
  <c r="F3452" i="12"/>
  <c r="G3452" i="12" s="1"/>
  <c r="L3452" i="12" s="1"/>
  <c r="E3452" i="12"/>
  <c r="I3452" i="12" s="1"/>
  <c r="C3452" i="12"/>
  <c r="AD3451" i="12"/>
  <c r="AC3451" i="12"/>
  <c r="Q3451" i="12"/>
  <c r="O3451" i="12"/>
  <c r="K3451" i="12"/>
  <c r="F3451" i="12"/>
  <c r="G3451" i="12" s="1"/>
  <c r="L3451" i="12" s="1"/>
  <c r="E3451" i="12"/>
  <c r="I3451" i="12" s="1"/>
  <c r="C3451" i="12"/>
  <c r="AD3450" i="12"/>
  <c r="AC3450" i="12"/>
  <c r="Q3450" i="12"/>
  <c r="O3450" i="12"/>
  <c r="K3450" i="12"/>
  <c r="F3450" i="12"/>
  <c r="G3450" i="12" s="1"/>
  <c r="L3450" i="12" s="1"/>
  <c r="E3450" i="12"/>
  <c r="I3450" i="12" s="1"/>
  <c r="C3450" i="12"/>
  <c r="AD3449" i="12"/>
  <c r="AC3449" i="12"/>
  <c r="Q3449" i="12"/>
  <c r="O3449" i="12"/>
  <c r="K3449" i="12"/>
  <c r="F3449" i="12"/>
  <c r="G3449" i="12" s="1"/>
  <c r="L3449" i="12" s="1"/>
  <c r="E3449" i="12"/>
  <c r="I3449" i="12" s="1"/>
  <c r="C3449" i="12"/>
  <c r="AD3448" i="12"/>
  <c r="AC3448" i="12"/>
  <c r="Q3448" i="12"/>
  <c r="O3448" i="12"/>
  <c r="K3448" i="12"/>
  <c r="F3448" i="12"/>
  <c r="G3448" i="12" s="1"/>
  <c r="L3448" i="12" s="1"/>
  <c r="E3448" i="12"/>
  <c r="I3448" i="12" s="1"/>
  <c r="C3448" i="12"/>
  <c r="AD3447" i="12"/>
  <c r="AC3447" i="12"/>
  <c r="Q3447" i="12"/>
  <c r="O3447" i="12"/>
  <c r="K3447" i="12"/>
  <c r="F3447" i="12"/>
  <c r="G3447" i="12" s="1"/>
  <c r="L3447" i="12" s="1"/>
  <c r="E3447" i="12"/>
  <c r="I3447" i="12" s="1"/>
  <c r="C3447" i="12"/>
  <c r="AD3446" i="12"/>
  <c r="AC3446" i="12"/>
  <c r="Q3446" i="12"/>
  <c r="O3446" i="12"/>
  <c r="K3446" i="12"/>
  <c r="F3446" i="12"/>
  <c r="G3446" i="12" s="1"/>
  <c r="L3446" i="12" s="1"/>
  <c r="E3446" i="12"/>
  <c r="I3446" i="12" s="1"/>
  <c r="C3446" i="12"/>
  <c r="AD3445" i="12"/>
  <c r="AC3445" i="12"/>
  <c r="Q3445" i="12"/>
  <c r="O3445" i="12"/>
  <c r="K3445" i="12"/>
  <c r="F3445" i="12"/>
  <c r="G3445" i="12" s="1"/>
  <c r="L3445" i="12" s="1"/>
  <c r="E3445" i="12"/>
  <c r="I3445" i="12" s="1"/>
  <c r="C3445" i="12"/>
  <c r="AD3444" i="12"/>
  <c r="AC3444" i="12"/>
  <c r="Q3444" i="12"/>
  <c r="O3444" i="12"/>
  <c r="K3444" i="12"/>
  <c r="F3444" i="12"/>
  <c r="G3444" i="12" s="1"/>
  <c r="L3444" i="12" s="1"/>
  <c r="E3444" i="12"/>
  <c r="I3444" i="12" s="1"/>
  <c r="C3444" i="12"/>
  <c r="AD3443" i="12"/>
  <c r="AC3443" i="12"/>
  <c r="Q3443" i="12"/>
  <c r="O3443" i="12"/>
  <c r="K3443" i="12"/>
  <c r="F3443" i="12"/>
  <c r="G3443" i="12" s="1"/>
  <c r="L3443" i="12" s="1"/>
  <c r="E3443" i="12"/>
  <c r="I3443" i="12" s="1"/>
  <c r="C3443" i="12"/>
  <c r="AD3442" i="12"/>
  <c r="AC3442" i="12"/>
  <c r="Q3442" i="12"/>
  <c r="O3442" i="12"/>
  <c r="K3442" i="12"/>
  <c r="F3442" i="12"/>
  <c r="G3442" i="12" s="1"/>
  <c r="L3442" i="12" s="1"/>
  <c r="E3442" i="12"/>
  <c r="I3442" i="12" s="1"/>
  <c r="C3442" i="12"/>
  <c r="AD3441" i="12"/>
  <c r="AC3441" i="12"/>
  <c r="Q3441" i="12"/>
  <c r="O3441" i="12"/>
  <c r="K3441" i="12"/>
  <c r="F3441" i="12"/>
  <c r="G3441" i="12" s="1"/>
  <c r="L3441" i="12" s="1"/>
  <c r="E3441" i="12"/>
  <c r="I3441" i="12" s="1"/>
  <c r="C3441" i="12"/>
  <c r="AD3440" i="12"/>
  <c r="AC3440" i="12"/>
  <c r="Q3440" i="12"/>
  <c r="O3440" i="12"/>
  <c r="K3440" i="12"/>
  <c r="F3440" i="12"/>
  <c r="G3440" i="12" s="1"/>
  <c r="L3440" i="12" s="1"/>
  <c r="E3440" i="12"/>
  <c r="I3440" i="12" s="1"/>
  <c r="C3440" i="12"/>
  <c r="AD3439" i="12"/>
  <c r="AC3439" i="12"/>
  <c r="Q3439" i="12"/>
  <c r="O3439" i="12"/>
  <c r="K3439" i="12"/>
  <c r="F3439" i="12"/>
  <c r="G3439" i="12" s="1"/>
  <c r="L3439" i="12" s="1"/>
  <c r="E3439" i="12"/>
  <c r="I3439" i="12" s="1"/>
  <c r="C3439" i="12"/>
  <c r="AD3438" i="12"/>
  <c r="AC3438" i="12"/>
  <c r="Q3438" i="12"/>
  <c r="O3438" i="12"/>
  <c r="K3438" i="12"/>
  <c r="F3438" i="12"/>
  <c r="G3438" i="12" s="1"/>
  <c r="L3438" i="12" s="1"/>
  <c r="E3438" i="12"/>
  <c r="I3438" i="12" s="1"/>
  <c r="C3438" i="12"/>
  <c r="AD3437" i="12"/>
  <c r="AC3437" i="12"/>
  <c r="Q3437" i="12"/>
  <c r="O3437" i="12"/>
  <c r="K3437" i="12"/>
  <c r="F3437" i="12"/>
  <c r="G3437" i="12" s="1"/>
  <c r="L3437" i="12" s="1"/>
  <c r="E3437" i="12"/>
  <c r="I3437" i="12" s="1"/>
  <c r="C3437" i="12"/>
  <c r="AD3436" i="12"/>
  <c r="AC3436" i="12"/>
  <c r="Q3436" i="12"/>
  <c r="O3436" i="12"/>
  <c r="K3436" i="12"/>
  <c r="F3436" i="12"/>
  <c r="G3436" i="12" s="1"/>
  <c r="L3436" i="12" s="1"/>
  <c r="E3436" i="12"/>
  <c r="I3436" i="12" s="1"/>
  <c r="C3436" i="12"/>
  <c r="AD3435" i="12"/>
  <c r="AC3435" i="12"/>
  <c r="Q3435" i="12"/>
  <c r="O3435" i="12"/>
  <c r="K3435" i="12"/>
  <c r="F3435" i="12"/>
  <c r="G3435" i="12" s="1"/>
  <c r="L3435" i="12" s="1"/>
  <c r="E3435" i="12"/>
  <c r="I3435" i="12" s="1"/>
  <c r="C3435" i="12"/>
  <c r="AD3434" i="12"/>
  <c r="AC3434" i="12"/>
  <c r="Q3434" i="12"/>
  <c r="O3434" i="12"/>
  <c r="K3434" i="12"/>
  <c r="F3434" i="12"/>
  <c r="G3434" i="12" s="1"/>
  <c r="L3434" i="12" s="1"/>
  <c r="E3434" i="12"/>
  <c r="I3434" i="12" s="1"/>
  <c r="C3434" i="12"/>
  <c r="AD3433" i="12"/>
  <c r="AC3433" i="12"/>
  <c r="Q3433" i="12"/>
  <c r="O3433" i="12"/>
  <c r="K3433" i="12"/>
  <c r="F3433" i="12"/>
  <c r="G3433" i="12" s="1"/>
  <c r="L3433" i="12" s="1"/>
  <c r="E3433" i="12"/>
  <c r="I3433" i="12" s="1"/>
  <c r="C3433" i="12"/>
  <c r="AD3432" i="12"/>
  <c r="AC3432" i="12"/>
  <c r="Q3432" i="12"/>
  <c r="O3432" i="12"/>
  <c r="K3432" i="12"/>
  <c r="F3432" i="12"/>
  <c r="G3432" i="12" s="1"/>
  <c r="L3432" i="12" s="1"/>
  <c r="E3432" i="12"/>
  <c r="I3432" i="12" s="1"/>
  <c r="C3432" i="12"/>
  <c r="AD3431" i="12"/>
  <c r="AC3431" i="12"/>
  <c r="Q3431" i="12"/>
  <c r="O3431" i="12"/>
  <c r="K3431" i="12"/>
  <c r="F3431" i="12"/>
  <c r="G3431" i="12" s="1"/>
  <c r="L3431" i="12" s="1"/>
  <c r="E3431" i="12"/>
  <c r="I3431" i="12" s="1"/>
  <c r="C3431" i="12"/>
  <c r="AD3430" i="12"/>
  <c r="AC3430" i="12"/>
  <c r="Q3430" i="12"/>
  <c r="O3430" i="12"/>
  <c r="K3430" i="12"/>
  <c r="F3430" i="12"/>
  <c r="G3430" i="12" s="1"/>
  <c r="E3430" i="12"/>
  <c r="I3430" i="12" s="1"/>
  <c r="C3430" i="12"/>
  <c r="AD3429" i="12"/>
  <c r="AC3429" i="12"/>
  <c r="Q3429" i="12"/>
  <c r="O3429" i="12"/>
  <c r="K3429" i="12"/>
  <c r="F3429" i="12"/>
  <c r="G3429" i="12" s="1"/>
  <c r="E3429" i="12"/>
  <c r="I3429" i="12" s="1"/>
  <c r="C3429" i="12"/>
  <c r="AD3428" i="12"/>
  <c r="AC3428" i="12"/>
  <c r="Q3428" i="12"/>
  <c r="O3428" i="12"/>
  <c r="K3428" i="12"/>
  <c r="F3428" i="12"/>
  <c r="G3428" i="12" s="1"/>
  <c r="E3428" i="12"/>
  <c r="I3428" i="12" s="1"/>
  <c r="C3428" i="12"/>
  <c r="AD3427" i="12"/>
  <c r="AC3427" i="12"/>
  <c r="Q3427" i="12"/>
  <c r="O3427" i="12"/>
  <c r="K3427" i="12"/>
  <c r="F3427" i="12"/>
  <c r="G3427" i="12" s="1"/>
  <c r="E3427" i="12"/>
  <c r="I3427" i="12" s="1"/>
  <c r="C3427" i="12"/>
  <c r="AD3426" i="12"/>
  <c r="AC3426" i="12"/>
  <c r="Q3426" i="12"/>
  <c r="O3426" i="12"/>
  <c r="K3426" i="12"/>
  <c r="F3426" i="12"/>
  <c r="G3426" i="12" s="1"/>
  <c r="E3426" i="12"/>
  <c r="I3426" i="12" s="1"/>
  <c r="C3426" i="12"/>
  <c r="AD3425" i="12"/>
  <c r="AC3425" i="12"/>
  <c r="Q3425" i="12"/>
  <c r="O3425" i="12"/>
  <c r="K3425" i="12"/>
  <c r="F3425" i="12"/>
  <c r="G3425" i="12" s="1"/>
  <c r="E3425" i="12"/>
  <c r="I3425" i="12" s="1"/>
  <c r="C3425" i="12"/>
  <c r="AD3424" i="12"/>
  <c r="AC3424" i="12"/>
  <c r="Q3424" i="12"/>
  <c r="O3424" i="12"/>
  <c r="K3424" i="12"/>
  <c r="F3424" i="12"/>
  <c r="G3424" i="12" s="1"/>
  <c r="E3424" i="12"/>
  <c r="I3424" i="12" s="1"/>
  <c r="C3424" i="12"/>
  <c r="AD3423" i="12"/>
  <c r="AC3423" i="12"/>
  <c r="Q3423" i="12"/>
  <c r="O3423" i="12"/>
  <c r="K3423" i="12"/>
  <c r="F3423" i="12"/>
  <c r="G3423" i="12" s="1"/>
  <c r="E3423" i="12"/>
  <c r="I3423" i="12" s="1"/>
  <c r="C3423" i="12"/>
  <c r="AD3422" i="12"/>
  <c r="AC3422" i="12"/>
  <c r="Q3422" i="12"/>
  <c r="O3422" i="12"/>
  <c r="K3422" i="12"/>
  <c r="F3422" i="12"/>
  <c r="G3422" i="12" s="1"/>
  <c r="E3422" i="12"/>
  <c r="I3422" i="12" s="1"/>
  <c r="C3422" i="12"/>
  <c r="AD3421" i="12"/>
  <c r="AC3421" i="12"/>
  <c r="Q3421" i="12"/>
  <c r="O3421" i="12"/>
  <c r="K3421" i="12"/>
  <c r="F3421" i="12"/>
  <c r="G3421" i="12" s="1"/>
  <c r="E3421" i="12"/>
  <c r="I3421" i="12" s="1"/>
  <c r="C3421" i="12"/>
  <c r="AD3420" i="12"/>
  <c r="AC3420" i="12"/>
  <c r="Q3420" i="12"/>
  <c r="O3420" i="12"/>
  <c r="K3420" i="12"/>
  <c r="F3420" i="12"/>
  <c r="G3420" i="12" s="1"/>
  <c r="E3420" i="12"/>
  <c r="I3420" i="12" s="1"/>
  <c r="C3420" i="12"/>
  <c r="AD3419" i="12"/>
  <c r="AC3419" i="12"/>
  <c r="Q3419" i="12"/>
  <c r="O3419" i="12"/>
  <c r="K3419" i="12"/>
  <c r="F3419" i="12"/>
  <c r="G3419" i="12" s="1"/>
  <c r="E3419" i="12"/>
  <c r="I3419" i="12" s="1"/>
  <c r="C3419" i="12"/>
  <c r="AD3418" i="12"/>
  <c r="AC3418" i="12"/>
  <c r="Q3418" i="12"/>
  <c r="O3418" i="12"/>
  <c r="K3418" i="12"/>
  <c r="F3418" i="12"/>
  <c r="G3418" i="12" s="1"/>
  <c r="E3418" i="12"/>
  <c r="I3418" i="12" s="1"/>
  <c r="C3418" i="12"/>
  <c r="AD3417" i="12"/>
  <c r="AC3417" i="12"/>
  <c r="Q3417" i="12"/>
  <c r="O3417" i="12"/>
  <c r="K3417" i="12"/>
  <c r="F3417" i="12"/>
  <c r="G3417" i="12" s="1"/>
  <c r="E3417" i="12"/>
  <c r="I3417" i="12" s="1"/>
  <c r="C3417" i="12"/>
  <c r="AD3416" i="12"/>
  <c r="AC3416" i="12"/>
  <c r="Q3416" i="12"/>
  <c r="O3416" i="12"/>
  <c r="K3416" i="12"/>
  <c r="F3416" i="12"/>
  <c r="G3416" i="12" s="1"/>
  <c r="E3416" i="12"/>
  <c r="I3416" i="12" s="1"/>
  <c r="C3416" i="12"/>
  <c r="AD3415" i="12"/>
  <c r="AC3415" i="12"/>
  <c r="Q3415" i="12"/>
  <c r="O3415" i="12"/>
  <c r="K3415" i="12"/>
  <c r="F3415" i="12"/>
  <c r="G3415" i="12" s="1"/>
  <c r="L3415" i="12" s="1"/>
  <c r="E3415" i="12"/>
  <c r="I3415" i="12" s="1"/>
  <c r="C3415" i="12"/>
  <c r="AD3414" i="12"/>
  <c r="AC3414" i="12"/>
  <c r="Q3414" i="12"/>
  <c r="O3414" i="12"/>
  <c r="K3414" i="12"/>
  <c r="F3414" i="12"/>
  <c r="G3414" i="12" s="1"/>
  <c r="E3414" i="12"/>
  <c r="I3414" i="12" s="1"/>
  <c r="C3414" i="12"/>
  <c r="AD3413" i="12"/>
  <c r="AC3413" i="12"/>
  <c r="Q3413" i="12"/>
  <c r="O3413" i="12"/>
  <c r="K3413" i="12"/>
  <c r="F3413" i="12"/>
  <c r="G3413" i="12" s="1"/>
  <c r="E3413" i="12"/>
  <c r="I3413" i="12" s="1"/>
  <c r="C3413" i="12"/>
  <c r="AD3412" i="12"/>
  <c r="AC3412" i="12"/>
  <c r="Q3412" i="12"/>
  <c r="O3412" i="12"/>
  <c r="K3412" i="12"/>
  <c r="F3412" i="12"/>
  <c r="G3412" i="12" s="1"/>
  <c r="E3412" i="12"/>
  <c r="I3412" i="12" s="1"/>
  <c r="C3412" i="12"/>
  <c r="AD3411" i="12"/>
  <c r="AC3411" i="12"/>
  <c r="Q3411" i="12"/>
  <c r="O3411" i="12"/>
  <c r="K3411" i="12"/>
  <c r="F3411" i="12"/>
  <c r="G3411" i="12" s="1"/>
  <c r="E3411" i="12"/>
  <c r="I3411" i="12" s="1"/>
  <c r="C3411" i="12"/>
  <c r="AD3410" i="12"/>
  <c r="AC3410" i="12"/>
  <c r="Q3410" i="12"/>
  <c r="O3410" i="12"/>
  <c r="K3410" i="12"/>
  <c r="F3410" i="12"/>
  <c r="G3410" i="12" s="1"/>
  <c r="E3410" i="12"/>
  <c r="I3410" i="12" s="1"/>
  <c r="C3410" i="12"/>
  <c r="AD3409" i="12"/>
  <c r="AC3409" i="12"/>
  <c r="Q3409" i="12"/>
  <c r="O3409" i="12"/>
  <c r="K3409" i="12"/>
  <c r="F3409" i="12"/>
  <c r="G3409" i="12" s="1"/>
  <c r="E3409" i="12"/>
  <c r="I3409" i="12" s="1"/>
  <c r="C3409" i="12"/>
  <c r="AD3408" i="12"/>
  <c r="AC3408" i="12"/>
  <c r="Q3408" i="12"/>
  <c r="O3408" i="12"/>
  <c r="K3408" i="12"/>
  <c r="F3408" i="12"/>
  <c r="G3408" i="12" s="1"/>
  <c r="E3408" i="12"/>
  <c r="I3408" i="12" s="1"/>
  <c r="C3408" i="12"/>
  <c r="AD3407" i="12"/>
  <c r="AC3407" i="12"/>
  <c r="Q3407" i="12"/>
  <c r="O3407" i="12"/>
  <c r="K3407" i="12"/>
  <c r="F3407" i="12"/>
  <c r="G3407" i="12" s="1"/>
  <c r="E3407" i="12"/>
  <c r="I3407" i="12" s="1"/>
  <c r="C3407" i="12"/>
  <c r="AD3406" i="12"/>
  <c r="AC3406" i="12"/>
  <c r="Q3406" i="12"/>
  <c r="O3406" i="12"/>
  <c r="K3406" i="12"/>
  <c r="F3406" i="12"/>
  <c r="G3406" i="12" s="1"/>
  <c r="E3406" i="12"/>
  <c r="I3406" i="12" s="1"/>
  <c r="C3406" i="12"/>
  <c r="AC3405" i="12"/>
  <c r="Q3405" i="12"/>
  <c r="O3405" i="12"/>
  <c r="K3405" i="12"/>
  <c r="F3405" i="12"/>
  <c r="G3405" i="12" s="1"/>
  <c r="E3405" i="12"/>
  <c r="I3405" i="12" s="1"/>
  <c r="C3405" i="12"/>
  <c r="AD3403" i="12"/>
  <c r="AC3403" i="12"/>
  <c r="Q3403" i="12"/>
  <c r="O3403" i="12"/>
  <c r="K3403" i="12"/>
  <c r="F3403" i="12"/>
  <c r="G3403" i="12" s="1"/>
  <c r="E3403" i="12"/>
  <c r="I3403" i="12" s="1"/>
  <c r="C3403" i="12"/>
  <c r="AD3402" i="12"/>
  <c r="AC3402" i="12"/>
  <c r="Q3402" i="12"/>
  <c r="O3402" i="12"/>
  <c r="K3402" i="12"/>
  <c r="F3402" i="12"/>
  <c r="G3402" i="12" s="1"/>
  <c r="E3402" i="12"/>
  <c r="I3402" i="12" s="1"/>
  <c r="C3402" i="12"/>
  <c r="AD3401" i="12"/>
  <c r="AC3401" i="12"/>
  <c r="Q3401" i="12"/>
  <c r="O3401" i="12"/>
  <c r="K3401" i="12"/>
  <c r="F3401" i="12"/>
  <c r="G3401" i="12" s="1"/>
  <c r="E3401" i="12"/>
  <c r="I3401" i="12" s="1"/>
  <c r="C3401" i="12"/>
  <c r="AD3400" i="12"/>
  <c r="AC3400" i="12"/>
  <c r="Q3400" i="12"/>
  <c r="O3400" i="12"/>
  <c r="K3400" i="12"/>
  <c r="F3400" i="12"/>
  <c r="G3400" i="12" s="1"/>
  <c r="E3400" i="12"/>
  <c r="I3400" i="12" s="1"/>
  <c r="C3400" i="12"/>
  <c r="AD3399" i="12"/>
  <c r="AC3399" i="12"/>
  <c r="Q3399" i="12"/>
  <c r="O3399" i="12"/>
  <c r="K3399" i="12"/>
  <c r="F3399" i="12"/>
  <c r="G3399" i="12" s="1"/>
  <c r="E3399" i="12"/>
  <c r="I3399" i="12" s="1"/>
  <c r="C3399" i="12"/>
  <c r="AD3398" i="12"/>
  <c r="AC3398" i="12"/>
  <c r="Q3398" i="12"/>
  <c r="O3398" i="12"/>
  <c r="K3398" i="12"/>
  <c r="F3398" i="12"/>
  <c r="G3398" i="12" s="1"/>
  <c r="L3398" i="12" s="1"/>
  <c r="E3398" i="12"/>
  <c r="I3398" i="12" s="1"/>
  <c r="C3398" i="12"/>
  <c r="AD3397" i="12"/>
  <c r="AC3397" i="12"/>
  <c r="Q3397" i="12"/>
  <c r="O3397" i="12"/>
  <c r="K3397" i="12"/>
  <c r="F3397" i="12"/>
  <c r="G3397" i="12" s="1"/>
  <c r="E3397" i="12"/>
  <c r="I3397" i="12" s="1"/>
  <c r="C3397" i="12"/>
  <c r="AD3396" i="12"/>
  <c r="AC3396" i="12"/>
  <c r="Q3396" i="12"/>
  <c r="O3396" i="12"/>
  <c r="K3396" i="12"/>
  <c r="F3396" i="12"/>
  <c r="G3396" i="12" s="1"/>
  <c r="E3396" i="12"/>
  <c r="I3396" i="12" s="1"/>
  <c r="C3396" i="12"/>
  <c r="AD3395" i="12"/>
  <c r="AC3395" i="12"/>
  <c r="Q3395" i="12"/>
  <c r="O3395" i="12"/>
  <c r="K3395" i="12"/>
  <c r="F3395" i="12"/>
  <c r="G3395" i="12" s="1"/>
  <c r="E3395" i="12"/>
  <c r="I3395" i="12" s="1"/>
  <c r="C3395" i="12"/>
  <c r="AD3394" i="12"/>
  <c r="AC3394" i="12"/>
  <c r="Q3394" i="12"/>
  <c r="O3394" i="12"/>
  <c r="K3394" i="12"/>
  <c r="F3394" i="12"/>
  <c r="G3394" i="12" s="1"/>
  <c r="E3394" i="12"/>
  <c r="I3394" i="12" s="1"/>
  <c r="C3394" i="12"/>
  <c r="AD3393" i="12"/>
  <c r="AC3393" i="12"/>
  <c r="Q3393" i="12"/>
  <c r="O3393" i="12"/>
  <c r="K3393" i="12"/>
  <c r="F3393" i="12"/>
  <c r="G3393" i="12" s="1"/>
  <c r="E3393" i="12"/>
  <c r="I3393" i="12" s="1"/>
  <c r="C3393" i="12"/>
  <c r="AD3392" i="12"/>
  <c r="AC3392" i="12"/>
  <c r="Q3392" i="12"/>
  <c r="O3392" i="12"/>
  <c r="K3392" i="12"/>
  <c r="F3392" i="12"/>
  <c r="G3392" i="12" s="1"/>
  <c r="E3392" i="12"/>
  <c r="I3392" i="12" s="1"/>
  <c r="C3392" i="12"/>
  <c r="AD3391" i="12"/>
  <c r="AC3391" i="12"/>
  <c r="Q3391" i="12"/>
  <c r="O3391" i="12"/>
  <c r="K3391" i="12"/>
  <c r="F3391" i="12"/>
  <c r="G3391" i="12" s="1"/>
  <c r="E3391" i="12"/>
  <c r="I3391" i="12" s="1"/>
  <c r="C3391" i="12"/>
  <c r="AD3390" i="12"/>
  <c r="AC3390" i="12"/>
  <c r="Q3390" i="12"/>
  <c r="O3390" i="12"/>
  <c r="K3390" i="12"/>
  <c r="F3390" i="12"/>
  <c r="G3390" i="12" s="1"/>
  <c r="L3390" i="12" s="1"/>
  <c r="I3390" i="12"/>
  <c r="AD3389" i="12"/>
  <c r="AC3389" i="12"/>
  <c r="Q3389" i="12"/>
  <c r="O3389" i="12"/>
  <c r="K3389" i="12"/>
  <c r="F3389" i="12"/>
  <c r="G3389" i="12" s="1"/>
  <c r="L3389" i="12" s="1"/>
  <c r="I3389" i="12"/>
  <c r="AD3388" i="12"/>
  <c r="AC3388" i="12"/>
  <c r="Q3388" i="12"/>
  <c r="O3388" i="12"/>
  <c r="K3388" i="12"/>
  <c r="F3388" i="12"/>
  <c r="G3388" i="12" s="1"/>
  <c r="L3388" i="12" s="1"/>
  <c r="I3388" i="12"/>
  <c r="AD3387" i="12"/>
  <c r="AC3387" i="12"/>
  <c r="Q3387" i="12"/>
  <c r="O3387" i="12"/>
  <c r="K3387" i="12"/>
  <c r="F3387" i="12"/>
  <c r="G3387" i="12" s="1"/>
  <c r="E3387" i="12"/>
  <c r="I3387" i="12" s="1"/>
  <c r="C3387" i="12"/>
  <c r="AD3386" i="12"/>
  <c r="AC3386" i="12"/>
  <c r="Q3386" i="12"/>
  <c r="O3386" i="12"/>
  <c r="K3386" i="12"/>
  <c r="F3386" i="12"/>
  <c r="G3386" i="12" s="1"/>
  <c r="E3386" i="12"/>
  <c r="I3386" i="12" s="1"/>
  <c r="C3386" i="12"/>
  <c r="AD3385" i="12"/>
  <c r="AC3385" i="12"/>
  <c r="Q3385" i="12"/>
  <c r="O3385" i="12"/>
  <c r="K3385" i="12"/>
  <c r="F3385" i="12"/>
  <c r="G3385" i="12" s="1"/>
  <c r="E3385" i="12"/>
  <c r="I3385" i="12" s="1"/>
  <c r="C3385" i="12"/>
  <c r="AD3384" i="12"/>
  <c r="AC3384" i="12"/>
  <c r="Q3384" i="12"/>
  <c r="O3384" i="12"/>
  <c r="K3384" i="12"/>
  <c r="F3384" i="12"/>
  <c r="G3384" i="12" s="1"/>
  <c r="E3384" i="12"/>
  <c r="I3384" i="12" s="1"/>
  <c r="C3384" i="12"/>
  <c r="AD3383" i="12"/>
  <c r="AC3383" i="12"/>
  <c r="Q3383" i="12"/>
  <c r="O3383" i="12"/>
  <c r="K3383" i="12"/>
  <c r="F3383" i="12"/>
  <c r="G3383" i="12" s="1"/>
  <c r="E3383" i="12"/>
  <c r="I3383" i="12" s="1"/>
  <c r="C3383" i="12"/>
  <c r="AD3382" i="12"/>
  <c r="AC3382" i="12"/>
  <c r="Q3382" i="12"/>
  <c r="O3382" i="12"/>
  <c r="K3382" i="12"/>
  <c r="F3382" i="12"/>
  <c r="G3382" i="12" s="1"/>
  <c r="E3382" i="12"/>
  <c r="I3382" i="12" s="1"/>
  <c r="C3382" i="12"/>
  <c r="AD3381" i="12"/>
  <c r="AC3381" i="12"/>
  <c r="Q3381" i="12"/>
  <c r="O3381" i="12"/>
  <c r="K3381" i="12"/>
  <c r="F3381" i="12"/>
  <c r="G3381" i="12" s="1"/>
  <c r="E3381" i="12"/>
  <c r="I3381" i="12" s="1"/>
  <c r="C3381" i="12"/>
  <c r="AD3380" i="12"/>
  <c r="AC3380" i="12"/>
  <c r="Q3380" i="12"/>
  <c r="O3380" i="12"/>
  <c r="K3380" i="12"/>
  <c r="F3380" i="12"/>
  <c r="G3380" i="12" s="1"/>
  <c r="E3380" i="12"/>
  <c r="I3380" i="12" s="1"/>
  <c r="C3380" i="12"/>
  <c r="AC3379" i="12"/>
  <c r="Q3379" i="12"/>
  <c r="O3379" i="12"/>
  <c r="K3379" i="12"/>
  <c r="G3379" i="12"/>
  <c r="E3379" i="12"/>
  <c r="I3379" i="12" s="1"/>
  <c r="C3379" i="12"/>
  <c r="AD3378" i="12"/>
  <c r="AC3378" i="12"/>
  <c r="Q3378" i="12"/>
  <c r="O3378" i="12"/>
  <c r="K3378" i="12"/>
  <c r="F3378" i="12"/>
  <c r="G3378" i="12" s="1"/>
  <c r="E3378" i="12"/>
  <c r="I3378" i="12" s="1"/>
  <c r="C3378" i="12"/>
  <c r="AD3377" i="12"/>
  <c r="AC3377" i="12"/>
  <c r="Q3377" i="12"/>
  <c r="O3377" i="12"/>
  <c r="K3377" i="12"/>
  <c r="F3377" i="12"/>
  <c r="G3377" i="12" s="1"/>
  <c r="E3377" i="12"/>
  <c r="I3377" i="12" s="1"/>
  <c r="C3377" i="12"/>
  <c r="AD3376" i="12"/>
  <c r="AC3376" i="12"/>
  <c r="Q3376" i="12"/>
  <c r="O3376" i="12"/>
  <c r="K3376" i="12"/>
  <c r="F3376" i="12"/>
  <c r="G3376" i="12" s="1"/>
  <c r="E3376" i="12"/>
  <c r="I3376" i="12" s="1"/>
  <c r="C3376" i="12"/>
  <c r="AD3375" i="12"/>
  <c r="AC3375" i="12"/>
  <c r="Q3375" i="12"/>
  <c r="O3375" i="12"/>
  <c r="K3375" i="12"/>
  <c r="F3375" i="12"/>
  <c r="G3375" i="12" s="1"/>
  <c r="E3375" i="12"/>
  <c r="I3375" i="12" s="1"/>
  <c r="C3375" i="12"/>
  <c r="AD3374" i="12"/>
  <c r="AC3374" i="12"/>
  <c r="Q3374" i="12"/>
  <c r="O3374" i="12"/>
  <c r="K3374" i="12"/>
  <c r="F3374" i="12"/>
  <c r="G3374" i="12" s="1"/>
  <c r="E3374" i="12"/>
  <c r="I3374" i="12" s="1"/>
  <c r="C3374" i="12"/>
  <c r="Q3373" i="12"/>
  <c r="O3373" i="12"/>
  <c r="K3373" i="12"/>
  <c r="F3373" i="12"/>
  <c r="G3373" i="12" s="1"/>
  <c r="E3373" i="12"/>
  <c r="I3373" i="12" s="1"/>
  <c r="C3373" i="12"/>
  <c r="AD3372" i="12"/>
  <c r="AC3372" i="12"/>
  <c r="Q3372" i="12"/>
  <c r="O3372" i="12"/>
  <c r="K3372" i="12"/>
  <c r="F3372" i="12"/>
  <c r="G3372" i="12" s="1"/>
  <c r="E3372" i="12"/>
  <c r="I3372" i="12" s="1"/>
  <c r="C3372" i="12"/>
  <c r="AC3371" i="12"/>
  <c r="Q3371" i="12"/>
  <c r="O3371" i="12"/>
  <c r="K3371" i="12"/>
  <c r="F3371" i="12"/>
  <c r="G3371" i="12" s="1"/>
  <c r="E3371" i="12"/>
  <c r="I3371" i="12" s="1"/>
  <c r="C3371" i="12"/>
  <c r="AC3370" i="12"/>
  <c r="Q3370" i="12"/>
  <c r="O3370" i="12"/>
  <c r="K3370" i="12"/>
  <c r="F3370" i="12"/>
  <c r="G3370" i="12" s="1"/>
  <c r="E3370" i="12"/>
  <c r="I3370" i="12" s="1"/>
  <c r="C3370" i="12"/>
  <c r="Q3369" i="12"/>
  <c r="O3369" i="12"/>
  <c r="K3369" i="12"/>
  <c r="F3369" i="12"/>
  <c r="G3369" i="12" s="1"/>
  <c r="E3369" i="12"/>
  <c r="I3369" i="12" s="1"/>
  <c r="C3369" i="12"/>
  <c r="Q3368" i="12"/>
  <c r="O3368" i="12"/>
  <c r="K3368" i="12"/>
  <c r="F3368" i="12"/>
  <c r="G3368" i="12" s="1"/>
  <c r="E3368" i="12"/>
  <c r="I3368" i="12" s="1"/>
  <c r="C3368" i="12"/>
  <c r="AD3367" i="12"/>
  <c r="AC3367" i="12"/>
  <c r="Q3367" i="12"/>
  <c r="O3367" i="12"/>
  <c r="K3367" i="12"/>
  <c r="F3367" i="12"/>
  <c r="G3367" i="12" s="1"/>
  <c r="E3367" i="12"/>
  <c r="I3367" i="12" s="1"/>
  <c r="C3367" i="12"/>
  <c r="AD3366" i="12"/>
  <c r="AC3366" i="12"/>
  <c r="Q3366" i="12"/>
  <c r="O3366" i="12"/>
  <c r="K3366" i="12"/>
  <c r="F3366" i="12"/>
  <c r="G3366" i="12" s="1"/>
  <c r="E3366" i="12"/>
  <c r="I3366" i="12" s="1"/>
  <c r="C3366" i="12"/>
  <c r="AC3365" i="12"/>
  <c r="Q3365" i="12"/>
  <c r="O3365" i="12"/>
  <c r="K3365" i="12"/>
  <c r="F3365" i="12"/>
  <c r="G3365" i="12" s="1"/>
  <c r="E3365" i="12"/>
  <c r="I3365" i="12" s="1"/>
  <c r="C3365" i="12"/>
  <c r="AC3364" i="12"/>
  <c r="Q3364" i="12"/>
  <c r="O3364" i="12"/>
  <c r="K3364" i="12"/>
  <c r="F3364" i="12"/>
  <c r="G3364" i="12" s="1"/>
  <c r="E3364" i="12"/>
  <c r="I3364" i="12" s="1"/>
  <c r="C3364" i="12"/>
  <c r="AC3363" i="12"/>
  <c r="Q3363" i="12"/>
  <c r="O3363" i="12"/>
  <c r="K3363" i="12"/>
  <c r="F3363" i="12"/>
  <c r="G3363" i="12" s="1"/>
  <c r="L3363" i="12" s="1"/>
  <c r="E3363" i="12"/>
  <c r="I3363" i="12" s="1"/>
  <c r="C3363" i="12"/>
  <c r="AC3362" i="12"/>
  <c r="Q3362" i="12"/>
  <c r="O3362" i="12"/>
  <c r="K3362" i="12"/>
  <c r="F3362" i="12"/>
  <c r="G3362" i="12" s="1"/>
  <c r="L3362" i="12" s="1"/>
  <c r="E3362" i="12"/>
  <c r="I3362" i="12" s="1"/>
  <c r="C3362" i="12"/>
  <c r="Q3361" i="12"/>
  <c r="O3361" i="12"/>
  <c r="K3361" i="12"/>
  <c r="F3361" i="12"/>
  <c r="G3361" i="12" s="1"/>
  <c r="L3361" i="12" s="1"/>
  <c r="E3361" i="12"/>
  <c r="I3361" i="12" s="1"/>
  <c r="C3361" i="12"/>
  <c r="Q3360" i="12"/>
  <c r="O3360" i="12"/>
  <c r="K3360" i="12"/>
  <c r="F3360" i="12"/>
  <c r="G3360" i="12" s="1"/>
  <c r="E3360" i="12"/>
  <c r="I3360" i="12" s="1"/>
  <c r="C3360" i="12"/>
  <c r="AD3359" i="12"/>
  <c r="AC3359" i="12"/>
  <c r="Q3359" i="12"/>
  <c r="O3359" i="12"/>
  <c r="K3359" i="12"/>
  <c r="F3359" i="12"/>
  <c r="G3359" i="12" s="1"/>
  <c r="E3359" i="12"/>
  <c r="I3359" i="12" s="1"/>
  <c r="C3359" i="12"/>
  <c r="AD3358" i="12"/>
  <c r="AC3358" i="12"/>
  <c r="Q3358" i="12"/>
  <c r="O3358" i="12"/>
  <c r="K3358" i="12"/>
  <c r="F3358" i="12"/>
  <c r="G3358" i="12" s="1"/>
  <c r="E3358" i="12"/>
  <c r="I3358" i="12" s="1"/>
  <c r="C3358" i="12"/>
  <c r="AD3357" i="12"/>
  <c r="AC3357" i="12"/>
  <c r="Q3357" i="12"/>
  <c r="O3357" i="12"/>
  <c r="K3357" i="12"/>
  <c r="F3357" i="12"/>
  <c r="G3357" i="12" s="1"/>
  <c r="E3357" i="12"/>
  <c r="I3357" i="12" s="1"/>
  <c r="C3357" i="12"/>
  <c r="AC3356" i="12"/>
  <c r="Q3356" i="12"/>
  <c r="O3356" i="12"/>
  <c r="K3356" i="12"/>
  <c r="F3356" i="12"/>
  <c r="G3356" i="12" s="1"/>
  <c r="E3356" i="12"/>
  <c r="I3356" i="12" s="1"/>
  <c r="C3356" i="12"/>
  <c r="AC3355" i="12"/>
  <c r="Q3355" i="12"/>
  <c r="O3355" i="12"/>
  <c r="K3355" i="12"/>
  <c r="F3355" i="12"/>
  <c r="G3355" i="12" s="1"/>
  <c r="E3355" i="12"/>
  <c r="I3355" i="12" s="1"/>
  <c r="C3355" i="12"/>
  <c r="AD3354" i="12"/>
  <c r="AC3354" i="12"/>
  <c r="Q3354" i="12"/>
  <c r="O3354" i="12"/>
  <c r="K3354" i="12"/>
  <c r="F3354" i="12"/>
  <c r="G3354" i="12" s="1"/>
  <c r="E3354" i="12"/>
  <c r="I3354" i="12" s="1"/>
  <c r="C3354" i="12"/>
  <c r="AC3353" i="12"/>
  <c r="Q3353" i="12"/>
  <c r="O3353" i="12"/>
  <c r="K3353" i="12"/>
  <c r="F3353" i="12"/>
  <c r="G3353" i="12" s="1"/>
  <c r="E3353" i="12"/>
  <c r="I3353" i="12" s="1"/>
  <c r="C3353" i="12"/>
  <c r="AC3352" i="12"/>
  <c r="Q3352" i="12"/>
  <c r="O3352" i="12"/>
  <c r="K3352" i="12"/>
  <c r="F3352" i="12"/>
  <c r="G3352" i="12" s="1"/>
  <c r="E3352" i="12"/>
  <c r="I3352" i="12" s="1"/>
  <c r="C3352" i="12"/>
  <c r="AC3351" i="12"/>
  <c r="Q3351" i="12"/>
  <c r="O3351" i="12"/>
  <c r="K3351" i="12"/>
  <c r="F3351" i="12"/>
  <c r="G3351" i="12" s="1"/>
  <c r="E3351" i="12"/>
  <c r="I3351" i="12" s="1"/>
  <c r="C3351" i="12"/>
  <c r="AD3350" i="12"/>
  <c r="AC3350" i="12"/>
  <c r="Q3350" i="12"/>
  <c r="O3350" i="12"/>
  <c r="K3350" i="12"/>
  <c r="F3350" i="12"/>
  <c r="G3350" i="12" s="1"/>
  <c r="E3350" i="12"/>
  <c r="I3350" i="12" s="1"/>
  <c r="C3350" i="12"/>
  <c r="AD3349" i="12"/>
  <c r="AC3349" i="12"/>
  <c r="Q3349" i="12"/>
  <c r="O3349" i="12"/>
  <c r="K3349" i="12"/>
  <c r="F3349" i="12"/>
  <c r="G3349" i="12" s="1"/>
  <c r="E3349" i="12"/>
  <c r="I3349" i="12" s="1"/>
  <c r="C3349" i="12"/>
  <c r="AC3348" i="12"/>
  <c r="Q3348" i="12"/>
  <c r="O3348" i="12"/>
  <c r="K3348" i="12"/>
  <c r="E3348" i="12"/>
  <c r="I3348" i="12" s="1"/>
  <c r="C3348" i="12"/>
  <c r="Q3319" i="12"/>
  <c r="O3319" i="12"/>
  <c r="K3319" i="12"/>
  <c r="F3319" i="12"/>
  <c r="G3319" i="12" s="1"/>
  <c r="E3319" i="12"/>
  <c r="I3319" i="12" s="1"/>
  <c r="C3319" i="12"/>
  <c r="AD3347" i="12"/>
  <c r="AC3347" i="12"/>
  <c r="Q3347" i="12"/>
  <c r="O3347" i="12"/>
  <c r="K3347" i="12"/>
  <c r="F3347" i="12"/>
  <c r="G3347" i="12" s="1"/>
  <c r="E3347" i="12"/>
  <c r="I3347" i="12" s="1"/>
  <c r="C3347" i="12"/>
  <c r="AD3346" i="12"/>
  <c r="AC3346" i="12"/>
  <c r="Q3346" i="12"/>
  <c r="O3346" i="12"/>
  <c r="K3346" i="12"/>
  <c r="F3346" i="12"/>
  <c r="G3346" i="12" s="1"/>
  <c r="E3346" i="12"/>
  <c r="I3346" i="12" s="1"/>
  <c r="C3346" i="12"/>
  <c r="AD3345" i="12"/>
  <c r="AC3345" i="12"/>
  <c r="Q3345" i="12"/>
  <c r="O3345" i="12"/>
  <c r="K3345" i="12"/>
  <c r="F3345" i="12"/>
  <c r="G3345" i="12" s="1"/>
  <c r="E3345" i="12"/>
  <c r="I3345" i="12" s="1"/>
  <c r="C3345" i="12"/>
  <c r="AD3344" i="12"/>
  <c r="AC3344" i="12"/>
  <c r="Q3344" i="12"/>
  <c r="O3344" i="12"/>
  <c r="K3344" i="12"/>
  <c r="F3344" i="12"/>
  <c r="G3344" i="12" s="1"/>
  <c r="E3344" i="12"/>
  <c r="I3344" i="12" s="1"/>
  <c r="C3344" i="12"/>
  <c r="AD3343" i="12"/>
  <c r="AC3343" i="12"/>
  <c r="Q3343" i="12"/>
  <c r="O3343" i="12"/>
  <c r="K3343" i="12"/>
  <c r="F3343" i="12"/>
  <c r="G3343" i="12" s="1"/>
  <c r="E3343" i="12"/>
  <c r="I3343" i="12" s="1"/>
  <c r="C3343" i="12"/>
  <c r="AD3342" i="12"/>
  <c r="AC3342" i="12"/>
  <c r="Q3342" i="12"/>
  <c r="O3342" i="12"/>
  <c r="K3342" i="12"/>
  <c r="F3342" i="12"/>
  <c r="G3342" i="12" s="1"/>
  <c r="E3342" i="12"/>
  <c r="I3342" i="12" s="1"/>
  <c r="C3342" i="12"/>
  <c r="AD3341" i="12"/>
  <c r="AC3341" i="12"/>
  <c r="Q3341" i="12"/>
  <c r="O3341" i="12"/>
  <c r="K3341" i="12"/>
  <c r="F3341" i="12"/>
  <c r="G3341" i="12" s="1"/>
  <c r="E3341" i="12"/>
  <c r="I3341" i="12" s="1"/>
  <c r="C3341" i="12"/>
  <c r="AD3340" i="12"/>
  <c r="AC3340" i="12"/>
  <c r="Q3340" i="12"/>
  <c r="O3340" i="12"/>
  <c r="K3340" i="12"/>
  <c r="F3340" i="12"/>
  <c r="G3340" i="12" s="1"/>
  <c r="E3340" i="12"/>
  <c r="I3340" i="12" s="1"/>
  <c r="C3340" i="12"/>
  <c r="AD3339" i="12"/>
  <c r="AC3339" i="12"/>
  <c r="Q3339" i="12"/>
  <c r="O3339" i="12"/>
  <c r="K3339" i="12"/>
  <c r="F3339" i="12"/>
  <c r="G3339" i="12" s="1"/>
  <c r="E3339" i="12"/>
  <c r="I3339" i="12" s="1"/>
  <c r="C3339" i="12"/>
  <c r="AC3338" i="12"/>
  <c r="Q3338" i="12"/>
  <c r="O3338" i="12"/>
  <c r="K3338" i="12"/>
  <c r="F3338" i="12"/>
  <c r="G3338" i="12" s="1"/>
  <c r="E3338" i="12"/>
  <c r="I3338" i="12" s="1"/>
  <c r="C3338" i="12"/>
  <c r="AD3337" i="12"/>
  <c r="AC3337" i="12"/>
  <c r="Q3337" i="12"/>
  <c r="O3337" i="12"/>
  <c r="K3337" i="12"/>
  <c r="F3337" i="12"/>
  <c r="G3337" i="12" s="1"/>
  <c r="E3337" i="12"/>
  <c r="I3337" i="12" s="1"/>
  <c r="C3337" i="12"/>
  <c r="AD3336" i="12"/>
  <c r="AC3336" i="12"/>
  <c r="Q3336" i="12"/>
  <c r="O3336" i="12"/>
  <c r="K3336" i="12"/>
  <c r="F3336" i="12"/>
  <c r="G3336" i="12" s="1"/>
  <c r="E3336" i="12"/>
  <c r="I3336" i="12" s="1"/>
  <c r="C3336" i="12"/>
  <c r="AD3335" i="12"/>
  <c r="AC3335" i="12"/>
  <c r="Q3335" i="12"/>
  <c r="O3335" i="12"/>
  <c r="K3335" i="12"/>
  <c r="F3335" i="12"/>
  <c r="G3335" i="12" s="1"/>
  <c r="E3335" i="12"/>
  <c r="I3335" i="12" s="1"/>
  <c r="C3335" i="12"/>
  <c r="AD3334" i="12"/>
  <c r="AC3334" i="12"/>
  <c r="Q3334" i="12"/>
  <c r="O3334" i="12"/>
  <c r="K3334" i="12"/>
  <c r="F3334" i="12"/>
  <c r="G3334" i="12" s="1"/>
  <c r="E3334" i="12"/>
  <c r="I3334" i="12" s="1"/>
  <c r="C3334" i="12"/>
  <c r="AD3333" i="12"/>
  <c r="AC3333" i="12"/>
  <c r="Q3333" i="12"/>
  <c r="O3333" i="12"/>
  <c r="K3333" i="12"/>
  <c r="F3333" i="12"/>
  <c r="G3333" i="12" s="1"/>
  <c r="E3333" i="12"/>
  <c r="I3333" i="12" s="1"/>
  <c r="C3333" i="12"/>
  <c r="AD3332" i="12"/>
  <c r="AC3332" i="12"/>
  <c r="Q3332" i="12"/>
  <c r="O3332" i="12"/>
  <c r="K3332" i="12"/>
  <c r="F3332" i="12"/>
  <c r="G3332" i="12" s="1"/>
  <c r="E3332" i="12"/>
  <c r="I3332" i="12" s="1"/>
  <c r="C3332" i="12"/>
  <c r="AD3331" i="12"/>
  <c r="AC3331" i="12"/>
  <c r="Q3331" i="12"/>
  <c r="O3331" i="12"/>
  <c r="K3331" i="12"/>
  <c r="F3331" i="12"/>
  <c r="G3331" i="12" s="1"/>
  <c r="E3331" i="12"/>
  <c r="I3331" i="12" s="1"/>
  <c r="C3331" i="12"/>
  <c r="AD3330" i="12"/>
  <c r="AC3330" i="12"/>
  <c r="Q3330" i="12"/>
  <c r="O3330" i="12"/>
  <c r="K3330" i="12"/>
  <c r="F3330" i="12"/>
  <c r="G3330" i="12" s="1"/>
  <c r="E3330" i="12"/>
  <c r="I3330" i="12" s="1"/>
  <c r="C3330" i="12"/>
  <c r="AD3329" i="12"/>
  <c r="AC3329" i="12"/>
  <c r="Q3329" i="12"/>
  <c r="O3329" i="12"/>
  <c r="K3329" i="12"/>
  <c r="F3329" i="12"/>
  <c r="G3329" i="12" s="1"/>
  <c r="E3329" i="12"/>
  <c r="I3329" i="12" s="1"/>
  <c r="C3329" i="12"/>
  <c r="AD3328" i="12"/>
  <c r="AC3328" i="12"/>
  <c r="Q3328" i="12"/>
  <c r="O3328" i="12"/>
  <c r="K3328" i="12"/>
  <c r="F3328" i="12"/>
  <c r="G3328" i="12" s="1"/>
  <c r="E3328" i="12"/>
  <c r="I3328" i="12" s="1"/>
  <c r="C3328" i="12"/>
  <c r="AD3327" i="12"/>
  <c r="AC3327" i="12"/>
  <c r="Q3327" i="12"/>
  <c r="O3327" i="12"/>
  <c r="K3327" i="12"/>
  <c r="F3327" i="12"/>
  <c r="G3327" i="12" s="1"/>
  <c r="E3327" i="12"/>
  <c r="I3327" i="12" s="1"/>
  <c r="C3327" i="12"/>
  <c r="AD3326" i="12"/>
  <c r="AC3326" i="12"/>
  <c r="Q3326" i="12"/>
  <c r="O3326" i="12"/>
  <c r="K3326" i="12"/>
  <c r="F3326" i="12"/>
  <c r="G3326" i="12" s="1"/>
  <c r="E3326" i="12"/>
  <c r="I3326" i="12" s="1"/>
  <c r="C3326" i="12"/>
  <c r="AD3325" i="12"/>
  <c r="AC3325" i="12"/>
  <c r="Q3325" i="12"/>
  <c r="O3325" i="12"/>
  <c r="K3325" i="12"/>
  <c r="F3325" i="12"/>
  <c r="G3325" i="12" s="1"/>
  <c r="E3325" i="12"/>
  <c r="I3325" i="12" s="1"/>
  <c r="C3325" i="12"/>
  <c r="AC3324" i="12"/>
  <c r="Q3324" i="12"/>
  <c r="O3324" i="12"/>
  <c r="K3324" i="12"/>
  <c r="F3324" i="12"/>
  <c r="G3324" i="12" s="1"/>
  <c r="E3324" i="12"/>
  <c r="I3324" i="12" s="1"/>
  <c r="C3324" i="12"/>
  <c r="AC3323" i="12"/>
  <c r="Q3323" i="12"/>
  <c r="O3323" i="12"/>
  <c r="K3323" i="12"/>
  <c r="F3323" i="12"/>
  <c r="G3323" i="12" s="1"/>
  <c r="E3323" i="12"/>
  <c r="I3323" i="12" s="1"/>
  <c r="C3323" i="12"/>
  <c r="AD3322" i="12"/>
  <c r="AC3322" i="12"/>
  <c r="Q3322" i="12"/>
  <c r="O3322" i="12"/>
  <c r="K3322" i="12"/>
  <c r="F3322" i="12"/>
  <c r="G3322" i="12" s="1"/>
  <c r="E3322" i="12"/>
  <c r="I3322" i="12" s="1"/>
  <c r="C3322" i="12"/>
  <c r="AD3321" i="12"/>
  <c r="AC3321" i="12"/>
  <c r="Q3321" i="12"/>
  <c r="O3321" i="12"/>
  <c r="K3321" i="12"/>
  <c r="F3321" i="12"/>
  <c r="G3321" i="12" s="1"/>
  <c r="E3321" i="12"/>
  <c r="I3321" i="12" s="1"/>
  <c r="C3321" i="12"/>
  <c r="AD3320" i="12"/>
  <c r="AC3320" i="12"/>
  <c r="Q3320" i="12"/>
  <c r="O3320" i="12"/>
  <c r="K3320" i="12"/>
  <c r="F3320" i="12"/>
  <c r="G3320" i="12" s="1"/>
  <c r="E3320" i="12"/>
  <c r="I3320" i="12" s="1"/>
  <c r="C3320" i="12"/>
  <c r="AC3318" i="12"/>
  <c r="Q3318" i="12"/>
  <c r="O3318" i="12"/>
  <c r="K3318" i="12"/>
  <c r="E3318" i="12"/>
  <c r="I3318" i="12" s="1"/>
  <c r="C3318" i="12"/>
  <c r="AC3317" i="12"/>
  <c r="Q3317" i="12"/>
  <c r="O3317" i="12"/>
  <c r="K3317" i="12"/>
  <c r="F3317" i="12"/>
  <c r="G3317" i="12" s="1"/>
  <c r="E3317" i="12"/>
  <c r="I3317" i="12" s="1"/>
  <c r="C3317" i="12"/>
  <c r="AD3316" i="12"/>
  <c r="AC3316" i="12"/>
  <c r="Q3316" i="12"/>
  <c r="O3316" i="12"/>
  <c r="K3316" i="12"/>
  <c r="F3316" i="12"/>
  <c r="G3316" i="12" s="1"/>
  <c r="E3316" i="12"/>
  <c r="I3316" i="12" s="1"/>
  <c r="C3316" i="12"/>
  <c r="AD3315" i="12"/>
  <c r="AC3315" i="12"/>
  <c r="Q3315" i="12"/>
  <c r="O3315" i="12"/>
  <c r="K3315" i="12"/>
  <c r="F3315" i="12"/>
  <c r="G3315" i="12" s="1"/>
  <c r="E3315" i="12"/>
  <c r="I3315" i="12" s="1"/>
  <c r="C3315" i="12"/>
  <c r="AD3314" i="12"/>
  <c r="AC3314" i="12"/>
  <c r="Q3314" i="12"/>
  <c r="O3314" i="12"/>
  <c r="K3314" i="12"/>
  <c r="F3314" i="12"/>
  <c r="G3314" i="12" s="1"/>
  <c r="E3314" i="12"/>
  <c r="I3314" i="12" s="1"/>
  <c r="C3314" i="12"/>
  <c r="AD3313" i="12"/>
  <c r="AC3313" i="12"/>
  <c r="Q3313" i="12"/>
  <c r="O3313" i="12"/>
  <c r="K3313" i="12"/>
  <c r="F3313" i="12"/>
  <c r="G3313" i="12" s="1"/>
  <c r="E3313" i="12"/>
  <c r="I3313" i="12" s="1"/>
  <c r="C3313" i="12"/>
  <c r="F3312" i="12"/>
  <c r="G3312" i="12" s="1"/>
  <c r="L3312" i="12" s="1"/>
  <c r="E3312" i="12"/>
  <c r="I3312" i="12" s="1"/>
  <c r="C3312" i="12"/>
  <c r="AD3311" i="12"/>
  <c r="AC3311" i="12"/>
  <c r="Q3311" i="12"/>
  <c r="O3311" i="12"/>
  <c r="K3311" i="12"/>
  <c r="F3311" i="12"/>
  <c r="G3311" i="12" s="1"/>
  <c r="E3311" i="12"/>
  <c r="I3311" i="12" s="1"/>
  <c r="C3311" i="12"/>
  <c r="AD3310" i="12"/>
  <c r="AC3310" i="12"/>
  <c r="Q3310" i="12"/>
  <c r="O3310" i="12"/>
  <c r="K3310" i="12"/>
  <c r="F3310" i="12"/>
  <c r="G3310" i="12" s="1"/>
  <c r="E3310" i="12"/>
  <c r="I3310" i="12" s="1"/>
  <c r="C3310" i="12"/>
  <c r="AD3309" i="12"/>
  <c r="AC3309" i="12"/>
  <c r="Q3309" i="12"/>
  <c r="O3309" i="12"/>
  <c r="K3309" i="12"/>
  <c r="F3309" i="12"/>
  <c r="G3309" i="12" s="1"/>
  <c r="E3309" i="12"/>
  <c r="I3309" i="12" s="1"/>
  <c r="C3309" i="12"/>
  <c r="AD3308" i="12"/>
  <c r="AC3308" i="12"/>
  <c r="Q3308" i="12"/>
  <c r="O3308" i="12"/>
  <c r="K3308" i="12"/>
  <c r="F3308" i="12"/>
  <c r="G3308" i="12" s="1"/>
  <c r="E3308" i="12"/>
  <c r="I3308" i="12" s="1"/>
  <c r="C3308" i="12"/>
  <c r="AD3307" i="12"/>
  <c r="AC3307" i="12"/>
  <c r="Q3307" i="12"/>
  <c r="O3307" i="12"/>
  <c r="K3307" i="12"/>
  <c r="F3307" i="12"/>
  <c r="G3307" i="12" s="1"/>
  <c r="E3307" i="12"/>
  <c r="I3307" i="12" s="1"/>
  <c r="C3307" i="12"/>
  <c r="AD3306" i="12"/>
  <c r="AC3306" i="12"/>
  <c r="Q3306" i="12"/>
  <c r="O3306" i="12"/>
  <c r="K3306" i="12"/>
  <c r="F3306" i="12"/>
  <c r="G3306" i="12" s="1"/>
  <c r="E3306" i="12"/>
  <c r="I3306" i="12" s="1"/>
  <c r="C3306" i="12"/>
  <c r="AD3305" i="12"/>
  <c r="AC3305" i="12"/>
  <c r="Q3305" i="12"/>
  <c r="O3305" i="12"/>
  <c r="K3305" i="12"/>
  <c r="F3305" i="12"/>
  <c r="G3305" i="12" s="1"/>
  <c r="E3305" i="12"/>
  <c r="I3305" i="12" s="1"/>
  <c r="C3305" i="12"/>
  <c r="AD3304" i="12"/>
  <c r="AC3304" i="12"/>
  <c r="Q3304" i="12"/>
  <c r="O3304" i="12"/>
  <c r="K3304" i="12"/>
  <c r="F3304" i="12"/>
  <c r="G3304" i="12" s="1"/>
  <c r="E3304" i="12"/>
  <c r="I3304" i="12" s="1"/>
  <c r="C3304" i="12"/>
  <c r="AD3303" i="12"/>
  <c r="AC3303" i="12"/>
  <c r="Q3303" i="12"/>
  <c r="O3303" i="12"/>
  <c r="K3303" i="12"/>
  <c r="F3303" i="12"/>
  <c r="G3303" i="12" s="1"/>
  <c r="E3303" i="12"/>
  <c r="I3303" i="12" s="1"/>
  <c r="C3303" i="12"/>
  <c r="AD3302" i="12"/>
  <c r="AC3302" i="12"/>
  <c r="Q3302" i="12"/>
  <c r="O3302" i="12"/>
  <c r="K3302" i="12"/>
  <c r="F3302" i="12"/>
  <c r="G3302" i="12" s="1"/>
  <c r="E3302" i="12"/>
  <c r="I3302" i="12" s="1"/>
  <c r="C3302" i="12"/>
  <c r="AD3301" i="12"/>
  <c r="AC3301" i="12"/>
  <c r="Q3301" i="12"/>
  <c r="O3301" i="12"/>
  <c r="K3301" i="12"/>
  <c r="F3301" i="12"/>
  <c r="G3301" i="12" s="1"/>
  <c r="E3301" i="12"/>
  <c r="I3301" i="12" s="1"/>
  <c r="C3301" i="12"/>
  <c r="AD3300" i="12"/>
  <c r="AC3300" i="12"/>
  <c r="Q3300" i="12"/>
  <c r="O3300" i="12"/>
  <c r="K3300" i="12"/>
  <c r="F3300" i="12"/>
  <c r="G3300" i="12" s="1"/>
  <c r="E3300" i="12"/>
  <c r="I3300" i="12" s="1"/>
  <c r="C3300" i="12"/>
  <c r="AD3299" i="12"/>
  <c r="AC3299" i="12"/>
  <c r="Q3299" i="12"/>
  <c r="O3299" i="12"/>
  <c r="K3299" i="12"/>
  <c r="F3299" i="12"/>
  <c r="G3299" i="12" s="1"/>
  <c r="E3299" i="12"/>
  <c r="I3299" i="12" s="1"/>
  <c r="C3299" i="12"/>
  <c r="AD3298" i="12"/>
  <c r="AC3298" i="12"/>
  <c r="Q3298" i="12"/>
  <c r="O3298" i="12"/>
  <c r="K3298" i="12"/>
  <c r="F3298" i="12"/>
  <c r="G3298" i="12" s="1"/>
  <c r="E3298" i="12"/>
  <c r="I3298" i="12" s="1"/>
  <c r="C3298" i="12"/>
  <c r="AD3297" i="12"/>
  <c r="AC3297" i="12"/>
  <c r="Q3297" i="12"/>
  <c r="O3297" i="12"/>
  <c r="F3297" i="12"/>
  <c r="G3297" i="12" s="1"/>
  <c r="L3297" i="12" s="1"/>
  <c r="E3297" i="12"/>
  <c r="I3297" i="12" s="1"/>
  <c r="C3297" i="12"/>
  <c r="AD3296" i="12"/>
  <c r="AC3296" i="12"/>
  <c r="Q3296" i="12"/>
  <c r="O3296" i="12"/>
  <c r="K3296" i="12"/>
  <c r="F3296" i="12"/>
  <c r="G3296" i="12" s="1"/>
  <c r="E3296" i="12"/>
  <c r="I3296" i="12" s="1"/>
  <c r="C3296" i="12"/>
  <c r="AD3295" i="12"/>
  <c r="AC3295" i="12"/>
  <c r="Q3295" i="12"/>
  <c r="O3295" i="12"/>
  <c r="K3295" i="12"/>
  <c r="F3295" i="12"/>
  <c r="G3295" i="12" s="1"/>
  <c r="E3295" i="12"/>
  <c r="I3295" i="12" s="1"/>
  <c r="C3295" i="12"/>
  <c r="Q3294" i="12"/>
  <c r="O3294" i="12"/>
  <c r="E3294" i="12"/>
  <c r="I3294" i="12" s="1"/>
  <c r="C3294" i="12"/>
  <c r="AD3293" i="12"/>
  <c r="AC3293" i="12"/>
  <c r="Q3293" i="12"/>
  <c r="O3293" i="12"/>
  <c r="K3293" i="12"/>
  <c r="F3293" i="12"/>
  <c r="G3293" i="12" s="1"/>
  <c r="E3293" i="12"/>
  <c r="I3293" i="12" s="1"/>
  <c r="C3293" i="12"/>
  <c r="AD3292" i="12"/>
  <c r="AC3292" i="12"/>
  <c r="Q3292" i="12"/>
  <c r="O3292" i="12"/>
  <c r="K3292" i="12"/>
  <c r="F3292" i="12"/>
  <c r="G3292" i="12" s="1"/>
  <c r="E3292" i="12"/>
  <c r="I3292" i="12" s="1"/>
  <c r="C3292" i="12"/>
  <c r="AD3291" i="12"/>
  <c r="AC3291" i="12"/>
  <c r="Q3291" i="12"/>
  <c r="O3291" i="12"/>
  <c r="F3291" i="12"/>
  <c r="G3291" i="12" s="1"/>
  <c r="E3291" i="12"/>
  <c r="I3291" i="12" s="1"/>
  <c r="C3291" i="12"/>
  <c r="AD3290" i="12"/>
  <c r="AC3290" i="12"/>
  <c r="Q3290" i="12"/>
  <c r="O3290" i="12"/>
  <c r="K3290" i="12"/>
  <c r="F3290" i="12"/>
  <c r="G3290" i="12" s="1"/>
  <c r="E3290" i="12"/>
  <c r="I3290" i="12" s="1"/>
  <c r="C3290" i="12"/>
  <c r="AD3289" i="12"/>
  <c r="AC3289" i="12"/>
  <c r="Q3289" i="12"/>
  <c r="O3289" i="12"/>
  <c r="K3289" i="12"/>
  <c r="F3289" i="12"/>
  <c r="G3289" i="12" s="1"/>
  <c r="E3289" i="12"/>
  <c r="I3289" i="12" s="1"/>
  <c r="C3289" i="12"/>
  <c r="AD3288" i="12"/>
  <c r="AC3288" i="12"/>
  <c r="Q3288" i="12"/>
  <c r="O3288" i="12"/>
  <c r="K3288" i="12"/>
  <c r="F3288" i="12"/>
  <c r="G3288" i="12" s="1"/>
  <c r="E3288" i="12"/>
  <c r="I3288" i="12" s="1"/>
  <c r="C3288" i="12"/>
  <c r="AC3287" i="12"/>
  <c r="Q3287" i="12"/>
  <c r="O3287" i="12"/>
  <c r="K3287" i="12"/>
  <c r="F3287" i="12"/>
  <c r="G3287" i="12" s="1"/>
  <c r="E3287" i="12"/>
  <c r="I3287" i="12" s="1"/>
  <c r="C3287" i="12"/>
  <c r="AD3286" i="12"/>
  <c r="AC3286" i="12"/>
  <c r="Q3286" i="12"/>
  <c r="O3286" i="12"/>
  <c r="K3286" i="12"/>
  <c r="F3286" i="12"/>
  <c r="G3286" i="12" s="1"/>
  <c r="E3286" i="12"/>
  <c r="I3286" i="12" s="1"/>
  <c r="C3286" i="12"/>
  <c r="AD3285" i="12"/>
  <c r="AC3285" i="12"/>
  <c r="Q3285" i="12"/>
  <c r="O3285" i="12"/>
  <c r="K3285" i="12"/>
  <c r="F3285" i="12"/>
  <c r="G3285" i="12" s="1"/>
  <c r="E3285" i="12"/>
  <c r="I3285" i="12" s="1"/>
  <c r="C3285" i="12"/>
  <c r="AD3284" i="12"/>
  <c r="AC3284" i="12"/>
  <c r="Q3284" i="12"/>
  <c r="O3284" i="12"/>
  <c r="K3284" i="12"/>
  <c r="F3284" i="12"/>
  <c r="G3284" i="12" s="1"/>
  <c r="E3284" i="12"/>
  <c r="I3284" i="12" s="1"/>
  <c r="C3284" i="12"/>
  <c r="AD3283" i="12"/>
  <c r="AC3283" i="12"/>
  <c r="Q3283" i="12"/>
  <c r="O3283" i="12"/>
  <c r="K3283" i="12"/>
  <c r="F3283" i="12"/>
  <c r="G3283" i="12" s="1"/>
  <c r="E3283" i="12"/>
  <c r="I3283" i="12" s="1"/>
  <c r="C3283" i="12"/>
  <c r="AD3282" i="12"/>
  <c r="AC3282" i="12"/>
  <c r="Q3282" i="12"/>
  <c r="O3282" i="12"/>
  <c r="K3282" i="12"/>
  <c r="F3282" i="12"/>
  <c r="G3282" i="12" s="1"/>
  <c r="E3282" i="12"/>
  <c r="I3282" i="12" s="1"/>
  <c r="C3282" i="12"/>
  <c r="AD3281" i="12"/>
  <c r="AC3281" i="12"/>
  <c r="Q3281" i="12"/>
  <c r="O3281" i="12"/>
  <c r="K3281" i="12"/>
  <c r="F3281" i="12"/>
  <c r="G3281" i="12" s="1"/>
  <c r="E3281" i="12"/>
  <c r="I3281" i="12" s="1"/>
  <c r="C3281" i="12"/>
  <c r="AD3280" i="12"/>
  <c r="AC3280" i="12"/>
  <c r="Q3280" i="12"/>
  <c r="O3280" i="12"/>
  <c r="K3280" i="12"/>
  <c r="F3280" i="12"/>
  <c r="G3280" i="12" s="1"/>
  <c r="E3280" i="12"/>
  <c r="I3280" i="12" s="1"/>
  <c r="C3280" i="12"/>
  <c r="AD3279" i="12"/>
  <c r="AC3279" i="12"/>
  <c r="Q3279" i="12"/>
  <c r="O3279" i="12"/>
  <c r="K3279" i="12"/>
  <c r="F3279" i="12"/>
  <c r="G3279" i="12" s="1"/>
  <c r="E3279" i="12"/>
  <c r="I3279" i="12" s="1"/>
  <c r="C3279" i="12"/>
  <c r="AD3278" i="12"/>
  <c r="AC3278" i="12"/>
  <c r="Q3278" i="12"/>
  <c r="O3278" i="12"/>
  <c r="K3278" i="12"/>
  <c r="F3278" i="12"/>
  <c r="G3278" i="12" s="1"/>
  <c r="E3278" i="12"/>
  <c r="I3278" i="12" s="1"/>
  <c r="C3278" i="12"/>
  <c r="AD3277" i="12"/>
  <c r="AC3277" i="12"/>
  <c r="Q3277" i="12"/>
  <c r="O3277" i="12"/>
  <c r="K3277" i="12"/>
  <c r="F3277" i="12"/>
  <c r="G3277" i="12" s="1"/>
  <c r="E3277" i="12"/>
  <c r="I3277" i="12" s="1"/>
  <c r="C3277" i="12"/>
  <c r="AD3276" i="12"/>
  <c r="AC3276" i="12"/>
  <c r="Q3276" i="12"/>
  <c r="O3276" i="12"/>
  <c r="K3276" i="12"/>
  <c r="F3276" i="12"/>
  <c r="G3276" i="12" s="1"/>
  <c r="E3276" i="12"/>
  <c r="I3276" i="12" s="1"/>
  <c r="C3276" i="12"/>
  <c r="AD3275" i="12"/>
  <c r="AC3275" i="12"/>
  <c r="Q3275" i="12"/>
  <c r="O3275" i="12"/>
  <c r="K3275" i="12"/>
  <c r="F3275" i="12"/>
  <c r="G3275" i="12" s="1"/>
  <c r="E3275" i="12"/>
  <c r="I3275" i="12" s="1"/>
  <c r="C3275" i="12"/>
  <c r="AD3274" i="12"/>
  <c r="AC3274" i="12"/>
  <c r="Q3274" i="12"/>
  <c r="O3274" i="12"/>
  <c r="K3274" i="12"/>
  <c r="F3274" i="12"/>
  <c r="G3274" i="12" s="1"/>
  <c r="E3274" i="12"/>
  <c r="I3274" i="12" s="1"/>
  <c r="C3274" i="12"/>
  <c r="AD3273" i="12"/>
  <c r="AC3273" i="12"/>
  <c r="Q3273" i="12"/>
  <c r="O3273" i="12"/>
  <c r="K3273" i="12"/>
  <c r="F3273" i="12"/>
  <c r="G3273" i="12" s="1"/>
  <c r="E3273" i="12"/>
  <c r="I3273" i="12" s="1"/>
  <c r="C3273" i="12"/>
  <c r="AD3272" i="12"/>
  <c r="AC3272" i="12"/>
  <c r="Q3272" i="12"/>
  <c r="O3272" i="12"/>
  <c r="K3272" i="12"/>
  <c r="F3272" i="12"/>
  <c r="G3272" i="12" s="1"/>
  <c r="E3272" i="12"/>
  <c r="I3272" i="12" s="1"/>
  <c r="C3272" i="12"/>
  <c r="AD3271" i="12"/>
  <c r="AC3271" i="12"/>
  <c r="Q3271" i="12"/>
  <c r="O3271" i="12"/>
  <c r="F3271" i="12"/>
  <c r="G3271" i="12" s="1"/>
  <c r="E3271" i="12"/>
  <c r="I3271" i="12" s="1"/>
  <c r="C3271" i="12"/>
  <c r="AD3270" i="12"/>
  <c r="AC3270" i="12"/>
  <c r="Q3270" i="12"/>
  <c r="O3270" i="12"/>
  <c r="F3270" i="12"/>
  <c r="G3270" i="12" s="1"/>
  <c r="E3270" i="12"/>
  <c r="I3270" i="12" s="1"/>
  <c r="C3270" i="12"/>
  <c r="AD3269" i="12"/>
  <c r="AC3269" i="12"/>
  <c r="Q3269" i="12"/>
  <c r="O3269" i="12"/>
  <c r="K3269" i="12"/>
  <c r="F3269" i="12"/>
  <c r="G3269" i="12" s="1"/>
  <c r="E3269" i="12"/>
  <c r="I3269" i="12" s="1"/>
  <c r="C3269" i="12"/>
  <c r="AD3268" i="12"/>
  <c r="AC3268" i="12"/>
  <c r="Q3268" i="12"/>
  <c r="O3268" i="12"/>
  <c r="K3268" i="12"/>
  <c r="F3268" i="12"/>
  <c r="G3268" i="12" s="1"/>
  <c r="E3268" i="12"/>
  <c r="I3268" i="12" s="1"/>
  <c r="C3268" i="12"/>
  <c r="AD3267" i="12"/>
  <c r="AC3267" i="12"/>
  <c r="Q3267" i="12"/>
  <c r="O3267" i="12"/>
  <c r="F3267" i="12"/>
  <c r="G3267" i="12" s="1"/>
  <c r="E3267" i="12"/>
  <c r="I3267" i="12" s="1"/>
  <c r="C3267" i="12"/>
  <c r="AD3266" i="12"/>
  <c r="AC3266" i="12"/>
  <c r="Q3266" i="12"/>
  <c r="O3266" i="12"/>
  <c r="K3266" i="12"/>
  <c r="F3266" i="12"/>
  <c r="G3266" i="12" s="1"/>
  <c r="E3266" i="12"/>
  <c r="I3266" i="12" s="1"/>
  <c r="C3266" i="12"/>
  <c r="AD3265" i="12"/>
  <c r="AC3265" i="12"/>
  <c r="Q3265" i="12"/>
  <c r="O3265" i="12"/>
  <c r="K3265" i="12"/>
  <c r="F3265" i="12"/>
  <c r="G3265" i="12" s="1"/>
  <c r="E3265" i="12"/>
  <c r="I3265" i="12" s="1"/>
  <c r="C3265" i="12"/>
  <c r="AD3264" i="12"/>
  <c r="AC3264" i="12"/>
  <c r="Q3264" i="12"/>
  <c r="O3264" i="12"/>
  <c r="K3264" i="12"/>
  <c r="F3264" i="12"/>
  <c r="G3264" i="12" s="1"/>
  <c r="E3264" i="12"/>
  <c r="I3264" i="12" s="1"/>
  <c r="C3264" i="12"/>
  <c r="AD3263" i="12"/>
  <c r="AC3263" i="12"/>
  <c r="Q3263" i="12"/>
  <c r="O3263" i="12"/>
  <c r="K3263" i="12"/>
  <c r="F3263" i="12"/>
  <c r="G3263" i="12" s="1"/>
  <c r="E3263" i="12"/>
  <c r="I3263" i="12" s="1"/>
  <c r="AD3262" i="12"/>
  <c r="AC3262" i="12"/>
  <c r="Q3262" i="12"/>
  <c r="O3262" i="12"/>
  <c r="K3262" i="12"/>
  <c r="F3262" i="12"/>
  <c r="G3262" i="12" s="1"/>
  <c r="E3262" i="12"/>
  <c r="I3262" i="12" s="1"/>
  <c r="AD3261" i="12"/>
  <c r="AC3261" i="12"/>
  <c r="Q3261" i="12"/>
  <c r="O3261" i="12"/>
  <c r="F3261" i="12"/>
  <c r="G3261" i="12" s="1"/>
  <c r="E3261" i="12"/>
  <c r="I3261" i="12" s="1"/>
  <c r="AD3260" i="12"/>
  <c r="AC3260" i="12"/>
  <c r="Q3260" i="12"/>
  <c r="O3260" i="12"/>
  <c r="K3260" i="12"/>
  <c r="F3260" i="12"/>
  <c r="G3260" i="12" s="1"/>
  <c r="E3260" i="12"/>
  <c r="I3260" i="12" s="1"/>
  <c r="AD3259" i="12"/>
  <c r="AC3259" i="12"/>
  <c r="Q3259" i="12"/>
  <c r="O3259" i="12"/>
  <c r="K3259" i="12"/>
  <c r="F3259" i="12"/>
  <c r="G3259" i="12" s="1"/>
  <c r="E3259" i="12"/>
  <c r="I3259" i="12" s="1"/>
  <c r="AD3258" i="12"/>
  <c r="AC3258" i="12"/>
  <c r="Q3258" i="12"/>
  <c r="O3258" i="12"/>
  <c r="K3258" i="12"/>
  <c r="F3258" i="12"/>
  <c r="G3258" i="12" s="1"/>
  <c r="E3258" i="12"/>
  <c r="I3258" i="12" s="1"/>
  <c r="AD3257" i="12"/>
  <c r="AC3257" i="12"/>
  <c r="Q3257" i="12"/>
  <c r="O3257" i="12"/>
  <c r="K3257" i="12"/>
  <c r="F3257" i="12"/>
  <c r="G3257" i="12" s="1"/>
  <c r="E3257" i="12"/>
  <c r="I3257" i="12" s="1"/>
  <c r="AD3256" i="12"/>
  <c r="AC3256" i="12"/>
  <c r="Q3256" i="12"/>
  <c r="O3256" i="12"/>
  <c r="K3256" i="12"/>
  <c r="F3256" i="12"/>
  <c r="G3256" i="12" s="1"/>
  <c r="E3256" i="12"/>
  <c r="I3256" i="12" s="1"/>
  <c r="AD3255" i="12"/>
  <c r="AC3255" i="12"/>
  <c r="Q3255" i="12"/>
  <c r="O3255" i="12"/>
  <c r="K3255" i="12"/>
  <c r="F3255" i="12"/>
  <c r="G3255" i="12" s="1"/>
  <c r="E3255" i="12"/>
  <c r="I3255" i="12" s="1"/>
  <c r="AC3254" i="12"/>
  <c r="Q3254" i="12"/>
  <c r="O3254" i="12"/>
  <c r="K3254" i="12"/>
  <c r="F3254" i="12"/>
  <c r="G3254" i="12" s="1"/>
  <c r="E3254" i="12"/>
  <c r="I3254" i="12" s="1"/>
  <c r="AD3253" i="12"/>
  <c r="AC3253" i="12"/>
  <c r="Q3253" i="12"/>
  <c r="O3253" i="12"/>
  <c r="F3253" i="12"/>
  <c r="G3253" i="12" s="1"/>
  <c r="E3253" i="12"/>
  <c r="I3253" i="12" s="1"/>
  <c r="AD3252" i="12"/>
  <c r="AC3252" i="12"/>
  <c r="Q3252" i="12"/>
  <c r="O3252" i="12"/>
  <c r="K3252" i="12"/>
  <c r="F3252" i="12"/>
  <c r="G3252" i="12" s="1"/>
  <c r="E3252" i="12"/>
  <c r="I3252" i="12" s="1"/>
  <c r="AD3251" i="12"/>
  <c r="AC3251" i="12"/>
  <c r="Q3251" i="12"/>
  <c r="O3251" i="12"/>
  <c r="K3251" i="12"/>
  <c r="F3251" i="12"/>
  <c r="G3251" i="12" s="1"/>
  <c r="E3251" i="12"/>
  <c r="I3251" i="12" s="1"/>
  <c r="AD3250" i="12"/>
  <c r="AC3250" i="12"/>
  <c r="Q3250" i="12"/>
  <c r="O3250" i="12"/>
  <c r="K3250" i="12"/>
  <c r="F3250" i="12"/>
  <c r="G3250" i="12" s="1"/>
  <c r="E3250" i="12"/>
  <c r="I3250" i="12" s="1"/>
  <c r="AC3249" i="12"/>
  <c r="Q3249" i="12"/>
  <c r="O3249" i="12"/>
  <c r="K3249" i="12"/>
  <c r="F3249" i="12"/>
  <c r="G3249" i="12" s="1"/>
  <c r="E3249" i="12"/>
  <c r="I3249" i="12" s="1"/>
  <c r="AD3248" i="12"/>
  <c r="AC3248" i="12"/>
  <c r="Q3248" i="12"/>
  <c r="O3248" i="12"/>
  <c r="K3248" i="12"/>
  <c r="F3248" i="12"/>
  <c r="G3248" i="12" s="1"/>
  <c r="E3248" i="12"/>
  <c r="I3248" i="12" s="1"/>
  <c r="AD3247" i="12"/>
  <c r="AC3247" i="12"/>
  <c r="Q3247" i="12"/>
  <c r="O3247" i="12"/>
  <c r="F3247" i="12"/>
  <c r="G3247" i="12" s="1"/>
  <c r="E3247" i="12"/>
  <c r="I3247" i="12" s="1"/>
  <c r="AD3246" i="12"/>
  <c r="AC3246" i="12"/>
  <c r="Q3246" i="12"/>
  <c r="O3246" i="12"/>
  <c r="K3246" i="12"/>
  <c r="F3246" i="12"/>
  <c r="G3246" i="12" s="1"/>
  <c r="E3246" i="12"/>
  <c r="I3246" i="12" s="1"/>
  <c r="AD3245" i="12"/>
  <c r="AC3245" i="12"/>
  <c r="Q3245" i="12"/>
  <c r="O3245" i="12"/>
  <c r="K3245" i="12"/>
  <c r="F3245" i="12"/>
  <c r="G3245" i="12" s="1"/>
  <c r="E3245" i="12"/>
  <c r="I3245" i="12" s="1"/>
  <c r="Q3244" i="12"/>
  <c r="O3244" i="12"/>
  <c r="K3244" i="12"/>
  <c r="F3244" i="12"/>
  <c r="G3244" i="12" s="1"/>
  <c r="E3244" i="12"/>
  <c r="I3244" i="12" s="1"/>
  <c r="J3306" i="12" l="1"/>
  <c r="L3306" i="12" s="1"/>
  <c r="J3816" i="12"/>
  <c r="J3426" i="12"/>
  <c r="L3426" i="12" s="1"/>
  <c r="J3457" i="12"/>
  <c r="J3302" i="12"/>
  <c r="L3302" i="12" s="1"/>
  <c r="J3449" i="12"/>
  <c r="J3706" i="12"/>
  <c r="J3737" i="12"/>
  <c r="J3797" i="12"/>
  <c r="J3299" i="12"/>
  <c r="L3299" i="12" s="1"/>
  <c r="J3515" i="12"/>
  <c r="J3753" i="12"/>
  <c r="J3433" i="12"/>
  <c r="J3465" i="12"/>
  <c r="J3650" i="12"/>
  <c r="J3690" i="12"/>
  <c r="J3745" i="12"/>
  <c r="J3297" i="12"/>
  <c r="J3441" i="12"/>
  <c r="J3473" i="12"/>
  <c r="J3698" i="12"/>
  <c r="J3824" i="12"/>
  <c r="J3582" i="12"/>
  <c r="J3295" i="12"/>
  <c r="L3295" i="12" s="1"/>
  <c r="J3304" i="12"/>
  <c r="L3304" i="12" s="1"/>
  <c r="J3314" i="12"/>
  <c r="L3314" i="12" s="1"/>
  <c r="J3429" i="12"/>
  <c r="L3429" i="12" s="1"/>
  <c r="J3445" i="12"/>
  <c r="J3461" i="12"/>
  <c r="J3596" i="12"/>
  <c r="J3604" i="12"/>
  <c r="J3612" i="12"/>
  <c r="J3620" i="12"/>
  <c r="J3636" i="12"/>
  <c r="J3687" i="12"/>
  <c r="J3703" i="12"/>
  <c r="J3757" i="12"/>
  <c r="J3765" i="12"/>
  <c r="J3773" i="12"/>
  <c r="J3781" i="12"/>
  <c r="J3789" i="12"/>
  <c r="J3820" i="12"/>
  <c r="J3828" i="12"/>
  <c r="J3836" i="12"/>
  <c r="J3844" i="12"/>
  <c r="J3741" i="12"/>
  <c r="J3749" i="12"/>
  <c r="J3300" i="12"/>
  <c r="L3300" i="12" s="1"/>
  <c r="J3437" i="12"/>
  <c r="J3453" i="12"/>
  <c r="J3469" i="12"/>
  <c r="J3574" i="12"/>
  <c r="J3600" i="12"/>
  <c r="J3608" i="12"/>
  <c r="J3616" i="12"/>
  <c r="J3642" i="12"/>
  <c r="J3682" i="12"/>
  <c r="J3695" i="12"/>
  <c r="J3761" i="12"/>
  <c r="J3769" i="12"/>
  <c r="J3777" i="12"/>
  <c r="J3785" i="12"/>
  <c r="J3795" i="12"/>
  <c r="J3832" i="12"/>
  <c r="J3840" i="12"/>
  <c r="J3848" i="12"/>
  <c r="L3585" i="12"/>
  <c r="J3585" i="12"/>
  <c r="L3699" i="12"/>
  <c r="J3699" i="12"/>
  <c r="L3714" i="12"/>
  <c r="J3714" i="12"/>
  <c r="L3715" i="12"/>
  <c r="J3715" i="12"/>
  <c r="L3739" i="12"/>
  <c r="J3739" i="12"/>
  <c r="L3747" i="12"/>
  <c r="J3747" i="12"/>
  <c r="L3755" i="12"/>
  <c r="J3755" i="12"/>
  <c r="L3763" i="12"/>
  <c r="J3763" i="12"/>
  <c r="L3771" i="12"/>
  <c r="J3771" i="12"/>
  <c r="L3779" i="12"/>
  <c r="J3779" i="12"/>
  <c r="L3787" i="12"/>
  <c r="J3787" i="12"/>
  <c r="J3318" i="12"/>
  <c r="L3318" i="12" s="1"/>
  <c r="J3367" i="12"/>
  <c r="L3367" i="12" s="1"/>
  <c r="J3371" i="12"/>
  <c r="L3371" i="12" s="1"/>
  <c r="J3375" i="12"/>
  <c r="L3375" i="12" s="1"/>
  <c r="J3379" i="12"/>
  <c r="L3379" i="12" s="1"/>
  <c r="J3381" i="12"/>
  <c r="L3381" i="12" s="1"/>
  <c r="J3385" i="12"/>
  <c r="L3385" i="12" s="1"/>
  <c r="J3388" i="12"/>
  <c r="J3392" i="12"/>
  <c r="L3392" i="12" s="1"/>
  <c r="J3396" i="12"/>
  <c r="L3396" i="12" s="1"/>
  <c r="J3400" i="12"/>
  <c r="L3400" i="12" s="1"/>
  <c r="J3402" i="12"/>
  <c r="L3402" i="12" s="1"/>
  <c r="J3407" i="12"/>
  <c r="L3407" i="12" s="1"/>
  <c r="J3411" i="12"/>
  <c r="L3411" i="12" s="1"/>
  <c r="J3413" i="12"/>
  <c r="L3413" i="12" s="1"/>
  <c r="J3417" i="12"/>
  <c r="L3417" i="12" s="1"/>
  <c r="J3420" i="12"/>
  <c r="L3420" i="12" s="1"/>
  <c r="J3424" i="12"/>
  <c r="L3424" i="12" s="1"/>
  <c r="J3431" i="12"/>
  <c r="J3439" i="12"/>
  <c r="J3447" i="12"/>
  <c r="J3455" i="12"/>
  <c r="J3463" i="12"/>
  <c r="J3471" i="12"/>
  <c r="J3511" i="12"/>
  <c r="L3517" i="12"/>
  <c r="J3517" i="12"/>
  <c r="J3523" i="12"/>
  <c r="J3531" i="12"/>
  <c r="J3539" i="12"/>
  <c r="J3547" i="12"/>
  <c r="J3555" i="12"/>
  <c r="J3563" i="12"/>
  <c r="J3571" i="12"/>
  <c r="L3598" i="12"/>
  <c r="J3598" i="12"/>
  <c r="L3606" i="12"/>
  <c r="J3606" i="12"/>
  <c r="L3614" i="12"/>
  <c r="J3614" i="12"/>
  <c r="L3622" i="12"/>
  <c r="J3622" i="12"/>
  <c r="L3638" i="12"/>
  <c r="J3638" i="12"/>
  <c r="L3716" i="12"/>
  <c r="J3716" i="12"/>
  <c r="L3717" i="12"/>
  <c r="J3717" i="12"/>
  <c r="L3513" i="12"/>
  <c r="J3513" i="12"/>
  <c r="L3691" i="12"/>
  <c r="J3691" i="12"/>
  <c r="L3707" i="12"/>
  <c r="J3707" i="12"/>
  <c r="L3711" i="12"/>
  <c r="J3711" i="12"/>
  <c r="L3718" i="12"/>
  <c r="J3718" i="12"/>
  <c r="L3719" i="12"/>
  <c r="J3719" i="12"/>
  <c r="L3743" i="12"/>
  <c r="J3743" i="12"/>
  <c r="L3751" i="12"/>
  <c r="J3751" i="12"/>
  <c r="L3759" i="12"/>
  <c r="J3759" i="12"/>
  <c r="L3767" i="12"/>
  <c r="J3767" i="12"/>
  <c r="L3775" i="12"/>
  <c r="J3775" i="12"/>
  <c r="L3783" i="12"/>
  <c r="J3783" i="12"/>
  <c r="L3791" i="12"/>
  <c r="J3791" i="12"/>
  <c r="L3811" i="12"/>
  <c r="J3811" i="12"/>
  <c r="L3812" i="12"/>
  <c r="J3812" i="12"/>
  <c r="J3310" i="12"/>
  <c r="L3310" i="12" s="1"/>
  <c r="J3365" i="12"/>
  <c r="L3365" i="12" s="1"/>
  <c r="J3369" i="12"/>
  <c r="L3369" i="12" s="1"/>
  <c r="J3373" i="12"/>
  <c r="L3373" i="12" s="1"/>
  <c r="J3377" i="12"/>
  <c r="L3377" i="12" s="1"/>
  <c r="J3383" i="12"/>
  <c r="L3383" i="12" s="1"/>
  <c r="J3390" i="12"/>
  <c r="J3394" i="12"/>
  <c r="L3394" i="12" s="1"/>
  <c r="J3398" i="12"/>
  <c r="J3405" i="12"/>
  <c r="L3405" i="12" s="1"/>
  <c r="J3409" i="12"/>
  <c r="L3409" i="12" s="1"/>
  <c r="J3415" i="12"/>
  <c r="J3419" i="12"/>
  <c r="L3419" i="12" s="1"/>
  <c r="J3422" i="12"/>
  <c r="L3422" i="12" s="1"/>
  <c r="J3427" i="12"/>
  <c r="L3427" i="12" s="1"/>
  <c r="J3435" i="12"/>
  <c r="J3443" i="12"/>
  <c r="J3451" i="12"/>
  <c r="J3459" i="12"/>
  <c r="J3467" i="12"/>
  <c r="J3519" i="12"/>
  <c r="J3527" i="12"/>
  <c r="J3535" i="12"/>
  <c r="J3543" i="12"/>
  <c r="J3551" i="12"/>
  <c r="J3559" i="12"/>
  <c r="J3567" i="12"/>
  <c r="J3577" i="12"/>
  <c r="L3578" i="12"/>
  <c r="J3578" i="12"/>
  <c r="L3602" i="12"/>
  <c r="J3602" i="12"/>
  <c r="L3610" i="12"/>
  <c r="J3610" i="12"/>
  <c r="L3618" i="12"/>
  <c r="J3618" i="12"/>
  <c r="L3634" i="12"/>
  <c r="J3634" i="12"/>
  <c r="L3644" i="12"/>
  <c r="J3644" i="12"/>
  <c r="L3712" i="12"/>
  <c r="J3712" i="12"/>
  <c r="L3713" i="12"/>
  <c r="J3713" i="12"/>
  <c r="L3720" i="12"/>
  <c r="J3720" i="12"/>
  <c r="L3721" i="12"/>
  <c r="J3721" i="12"/>
  <c r="J3684" i="12"/>
  <c r="J3814" i="12"/>
  <c r="J3818" i="12"/>
  <c r="J3822" i="12"/>
  <c r="J3826" i="12"/>
  <c r="J3830" i="12"/>
  <c r="J3834" i="12"/>
  <c r="J3838" i="12"/>
  <c r="J3842" i="12"/>
  <c r="J3846" i="12"/>
  <c r="J3586" i="12"/>
  <c r="J3646" i="12"/>
  <c r="J3686" i="12"/>
  <c r="J3694" i="12"/>
  <c r="J3702" i="12"/>
  <c r="J3793" i="12"/>
  <c r="J3813" i="12"/>
  <c r="J3521" i="12"/>
  <c r="J3525" i="12"/>
  <c r="J3529" i="12"/>
  <c r="J3533" i="12"/>
  <c r="J3537" i="12"/>
  <c r="J3541" i="12"/>
  <c r="J3545" i="12"/>
  <c r="J3549" i="12"/>
  <c r="J3553" i="12"/>
  <c r="J3557" i="12"/>
  <c r="J3561" i="12"/>
  <c r="J3565" i="12"/>
  <c r="J3569" i="12"/>
  <c r="J3573" i="12"/>
  <c r="J3581" i="12"/>
  <c r="J3640" i="12"/>
  <c r="J3648" i="12"/>
  <c r="L3247" i="12"/>
  <c r="J3247" i="12"/>
  <c r="J3250" i="12"/>
  <c r="L3250" i="12" s="1"/>
  <c r="J3252" i="12"/>
  <c r="L3252" i="12" s="1"/>
  <c r="J3254" i="12"/>
  <c r="L3254" i="12" s="1"/>
  <c r="J3255" i="12"/>
  <c r="L3255" i="12" s="1"/>
  <c r="J3256" i="12"/>
  <c r="L3256" i="12" s="1"/>
  <c r="J3258" i="12"/>
  <c r="L3258" i="12" s="1"/>
  <c r="J3260" i="12"/>
  <c r="L3260" i="12" s="1"/>
  <c r="J3262" i="12"/>
  <c r="L3262" i="12" s="1"/>
  <c r="J3264" i="12"/>
  <c r="L3264" i="12" s="1"/>
  <c r="J3266" i="12"/>
  <c r="L3266" i="12" s="1"/>
  <c r="J3267" i="12"/>
  <c r="L3267" i="12" s="1"/>
  <c r="J3269" i="12"/>
  <c r="L3269" i="12" s="1"/>
  <c r="J3271" i="12"/>
  <c r="L3271" i="12" s="1"/>
  <c r="J3272" i="12"/>
  <c r="L3272" i="12" s="1"/>
  <c r="J3273" i="12"/>
  <c r="L3273" i="12" s="1"/>
  <c r="J3276" i="12"/>
  <c r="L3276" i="12" s="1"/>
  <c r="J3277" i="12"/>
  <c r="L3277" i="12" s="1"/>
  <c r="J3278" i="12"/>
  <c r="L3278" i="12" s="1"/>
  <c r="J3279" i="12"/>
  <c r="L3279" i="12" s="1"/>
  <c r="J3280" i="12"/>
  <c r="L3280" i="12" s="1"/>
  <c r="J3281" i="12"/>
  <c r="L3281" i="12" s="1"/>
  <c r="J3282" i="12"/>
  <c r="L3282" i="12" s="1"/>
  <c r="J3283" i="12"/>
  <c r="L3283" i="12" s="1"/>
  <c r="J3284" i="12"/>
  <c r="L3284" i="12" s="1"/>
  <c r="J3285" i="12"/>
  <c r="L3285" i="12" s="1"/>
  <c r="J3286" i="12"/>
  <c r="L3286" i="12" s="1"/>
  <c r="J3287" i="12"/>
  <c r="L3287" i="12" s="1"/>
  <c r="J3288" i="12"/>
  <c r="L3288" i="12" s="1"/>
  <c r="J3289" i="12"/>
  <c r="L3289" i="12" s="1"/>
  <c r="J3290" i="12"/>
  <c r="L3290" i="12" s="1"/>
  <c r="J3291" i="12"/>
  <c r="L3291" i="12"/>
  <c r="J3292" i="12"/>
  <c r="L3292" i="12" s="1"/>
  <c r="J3293" i="12"/>
  <c r="L3293" i="12" s="1"/>
  <c r="J3244" i="12"/>
  <c r="L3244" i="12" s="1"/>
  <c r="J3245" i="12"/>
  <c r="L3245" i="12" s="1"/>
  <c r="J3246" i="12"/>
  <c r="L3246" i="12" s="1"/>
  <c r="J3248" i="12"/>
  <c r="L3248" i="12" s="1"/>
  <c r="J3249" i="12"/>
  <c r="L3249" i="12" s="1"/>
  <c r="J3251" i="12"/>
  <c r="L3251" i="12" s="1"/>
  <c r="J3253" i="12"/>
  <c r="L3253" i="12" s="1"/>
  <c r="J3257" i="12"/>
  <c r="L3257" i="12" s="1"/>
  <c r="J3259" i="12"/>
  <c r="L3259" i="12" s="1"/>
  <c r="J3261" i="12"/>
  <c r="L3261" i="12" s="1"/>
  <c r="J3263" i="12"/>
  <c r="L3263" i="12" s="1"/>
  <c r="J3265" i="12"/>
  <c r="L3265" i="12" s="1"/>
  <c r="J3268" i="12"/>
  <c r="L3268" i="12" s="1"/>
  <c r="J3270" i="12"/>
  <c r="L3270" i="12"/>
  <c r="J3274" i="12"/>
  <c r="L3274" i="12" s="1"/>
  <c r="J3275" i="12"/>
  <c r="L3275" i="12" s="1"/>
  <c r="J3294" i="12"/>
  <c r="L3294" i="12" s="1"/>
  <c r="J3296" i="12"/>
  <c r="L3296" i="12" s="1"/>
  <c r="J3298" i="12"/>
  <c r="L3298" i="12" s="1"/>
  <c r="J3301" i="12"/>
  <c r="L3301" i="12" s="1"/>
  <c r="J3303" i="12"/>
  <c r="L3303" i="12" s="1"/>
  <c r="J3305" i="12"/>
  <c r="L3305" i="12" s="1"/>
  <c r="J3307" i="12"/>
  <c r="L3307" i="12" s="1"/>
  <c r="J3312" i="12"/>
  <c r="J3316" i="12"/>
  <c r="L3316" i="12" s="1"/>
  <c r="J3308" i="12"/>
  <c r="L3308" i="12" s="1"/>
  <c r="J3309" i="12"/>
  <c r="L3309" i="12" s="1"/>
  <c r="J3313" i="12"/>
  <c r="L3313" i="12" s="1"/>
  <c r="J3317" i="12"/>
  <c r="L3317" i="12" s="1"/>
  <c r="J3311" i="12"/>
  <c r="L3311" i="12" s="1"/>
  <c r="J3315" i="12"/>
  <c r="L3315" i="12" s="1"/>
  <c r="J3320" i="12"/>
  <c r="L3320" i="12" s="1"/>
  <c r="J3321" i="12"/>
  <c r="L3321" i="12" s="1"/>
  <c r="J3322" i="12"/>
  <c r="L3322" i="12" s="1"/>
  <c r="J3323" i="12"/>
  <c r="L3323" i="12" s="1"/>
  <c r="J3324" i="12"/>
  <c r="L3324" i="12" s="1"/>
  <c r="L3325" i="12"/>
  <c r="J3325" i="12"/>
  <c r="J3326" i="12"/>
  <c r="L3326" i="12" s="1"/>
  <c r="J3327" i="12"/>
  <c r="L3327" i="12" s="1"/>
  <c r="J3328" i="12"/>
  <c r="L3328" i="12" s="1"/>
  <c r="J3329" i="12"/>
  <c r="L3329" i="12" s="1"/>
  <c r="J3330" i="12"/>
  <c r="L3330" i="12" s="1"/>
  <c r="J3331" i="12"/>
  <c r="L3331" i="12" s="1"/>
  <c r="J3332" i="12"/>
  <c r="L3332" i="12" s="1"/>
  <c r="J3333" i="12"/>
  <c r="L3333" i="12" s="1"/>
  <c r="J3334" i="12"/>
  <c r="L3334" i="12" s="1"/>
  <c r="J3335" i="12"/>
  <c r="L3335" i="12" s="1"/>
  <c r="J3336" i="12"/>
  <c r="L3336" i="12" s="1"/>
  <c r="J3337" i="12"/>
  <c r="L3337" i="12" s="1"/>
  <c r="J3338" i="12"/>
  <c r="L3338" i="12" s="1"/>
  <c r="J3339" i="12"/>
  <c r="L3339" i="12" s="1"/>
  <c r="J3340" i="12"/>
  <c r="L3340" i="12" s="1"/>
  <c r="J3341" i="12"/>
  <c r="L3341" i="12" s="1"/>
  <c r="J3342" i="12"/>
  <c r="L3342" i="12" s="1"/>
  <c r="J3343" i="12"/>
  <c r="L3343" i="12" s="1"/>
  <c r="J3344" i="12"/>
  <c r="L3344" i="12" s="1"/>
  <c r="J3345" i="12"/>
  <c r="L3345" i="12" s="1"/>
  <c r="J3346" i="12"/>
  <c r="L3346" i="12" s="1"/>
  <c r="J3347" i="12"/>
  <c r="L3347" i="12" s="1"/>
  <c r="J3319" i="12"/>
  <c r="L3319" i="12" s="1"/>
  <c r="J3348" i="12"/>
  <c r="L3348" i="12" s="1"/>
  <c r="J3349" i="12"/>
  <c r="L3349" i="12" s="1"/>
  <c r="J3350" i="12"/>
  <c r="L3350" i="12" s="1"/>
  <c r="J3351" i="12"/>
  <c r="L3351" i="12" s="1"/>
  <c r="J3352" i="12"/>
  <c r="L3352" i="12" s="1"/>
  <c r="J3353" i="12"/>
  <c r="L3353" i="12" s="1"/>
  <c r="J3354" i="12"/>
  <c r="L3354" i="12" s="1"/>
  <c r="J3355" i="12"/>
  <c r="L3355" i="12" s="1"/>
  <c r="J3356" i="12"/>
  <c r="L3356" i="12" s="1"/>
  <c r="J3357" i="12"/>
  <c r="L3357" i="12" s="1"/>
  <c r="J3358" i="12"/>
  <c r="L3358" i="12" s="1"/>
  <c r="J3359" i="12"/>
  <c r="L3359" i="12" s="1"/>
  <c r="J3360" i="12"/>
  <c r="L3360" i="12" s="1"/>
  <c r="J3361" i="12"/>
  <c r="J3362" i="12"/>
  <c r="J3363" i="12"/>
  <c r="J3364" i="12"/>
  <c r="L3364" i="12" s="1"/>
  <c r="J3366" i="12"/>
  <c r="L3366" i="12" s="1"/>
  <c r="J3368" i="12"/>
  <c r="L3368" i="12" s="1"/>
  <c r="J3370" i="12"/>
  <c r="L3370" i="12" s="1"/>
  <c r="J3372" i="12"/>
  <c r="L3372" i="12" s="1"/>
  <c r="J3374" i="12"/>
  <c r="L3374" i="12" s="1"/>
  <c r="J3376" i="12"/>
  <c r="L3376" i="12" s="1"/>
  <c r="J3378" i="12"/>
  <c r="L3378" i="12" s="1"/>
  <c r="J3380" i="12"/>
  <c r="L3380" i="12" s="1"/>
  <c r="J3382" i="12"/>
  <c r="L3382" i="12" s="1"/>
  <c r="J3384" i="12"/>
  <c r="L3384" i="12" s="1"/>
  <c r="J3386" i="12"/>
  <c r="L3386" i="12" s="1"/>
  <c r="J3387" i="12"/>
  <c r="L3387" i="12" s="1"/>
  <c r="J3389" i="12"/>
  <c r="J3391" i="12"/>
  <c r="L3391" i="12" s="1"/>
  <c r="J3393" i="12"/>
  <c r="L3393" i="12" s="1"/>
  <c r="J3395" i="12"/>
  <c r="L3395" i="12" s="1"/>
  <c r="J3397" i="12"/>
  <c r="L3397" i="12" s="1"/>
  <c r="J3399" i="12"/>
  <c r="L3399" i="12" s="1"/>
  <c r="J3401" i="12"/>
  <c r="L3401" i="12" s="1"/>
  <c r="J3403" i="12"/>
  <c r="L3403" i="12" s="1"/>
  <c r="J3406" i="12"/>
  <c r="L3406" i="12" s="1"/>
  <c r="J3408" i="12"/>
  <c r="L3408" i="12" s="1"/>
  <c r="J3410" i="12"/>
  <c r="L3410" i="12" s="1"/>
  <c r="J3412" i="12"/>
  <c r="L3412" i="12" s="1"/>
  <c r="J3414" i="12"/>
  <c r="L3414" i="12" s="1"/>
  <c r="J3416" i="12"/>
  <c r="L3416" i="12" s="1"/>
  <c r="J3418" i="12"/>
  <c r="L3418" i="12" s="1"/>
  <c r="J3421" i="12"/>
  <c r="L3421" i="12" s="1"/>
  <c r="J3423" i="12"/>
  <c r="L3423" i="12" s="1"/>
  <c r="J3425" i="12"/>
  <c r="L3425" i="12" s="1"/>
  <c r="J3428" i="12"/>
  <c r="L3428" i="12" s="1"/>
  <c r="J3430" i="12"/>
  <c r="L3430" i="12" s="1"/>
  <c r="J3432" i="12"/>
  <c r="J3434" i="12"/>
  <c r="J3436" i="12"/>
  <c r="J3438" i="12"/>
  <c r="J3440" i="12"/>
  <c r="J3442" i="12"/>
  <c r="J3444" i="12"/>
  <c r="J3446" i="12"/>
  <c r="J3448" i="12"/>
  <c r="J3450" i="12"/>
  <c r="J3452" i="12"/>
  <c r="J3454" i="12"/>
  <c r="J3456" i="12"/>
  <c r="J3458" i="12"/>
  <c r="J3460" i="12"/>
  <c r="J3462" i="12"/>
  <c r="J3464" i="12"/>
  <c r="J3466" i="12"/>
  <c r="J3468" i="12"/>
  <c r="J3470" i="12"/>
  <c r="J3472" i="12"/>
  <c r="J3474" i="12"/>
  <c r="J3475" i="12"/>
  <c r="L3475" i="12"/>
  <c r="J3479" i="12"/>
  <c r="L3479" i="12"/>
  <c r="J3483" i="12"/>
  <c r="L3483" i="12"/>
  <c r="J3487" i="12"/>
  <c r="L3487" i="12"/>
  <c r="J3491" i="12"/>
  <c r="L3491" i="12"/>
  <c r="J3495" i="12"/>
  <c r="L3495" i="12"/>
  <c r="J3499" i="12"/>
  <c r="L3499" i="12"/>
  <c r="J3503" i="12"/>
  <c r="L3503" i="12"/>
  <c r="J3507" i="12"/>
  <c r="L3507" i="12"/>
  <c r="J3476" i="12"/>
  <c r="L3476" i="12"/>
  <c r="J3480" i="12"/>
  <c r="L3480" i="12"/>
  <c r="J3484" i="12"/>
  <c r="L3484" i="12"/>
  <c r="J3488" i="12"/>
  <c r="L3488" i="12"/>
  <c r="J3492" i="12"/>
  <c r="L3492" i="12"/>
  <c r="J3496" i="12"/>
  <c r="L3496" i="12"/>
  <c r="J3500" i="12"/>
  <c r="L3500" i="12"/>
  <c r="J3504" i="12"/>
  <c r="L3504" i="12"/>
  <c r="J3508" i="12"/>
  <c r="L3508" i="12"/>
  <c r="J3477" i="12"/>
  <c r="L3477" i="12"/>
  <c r="J3481" i="12"/>
  <c r="L3481" i="12"/>
  <c r="J3485" i="12"/>
  <c r="L3485" i="12"/>
  <c r="J3489" i="12"/>
  <c r="L3489" i="12"/>
  <c r="J3493" i="12"/>
  <c r="L3493" i="12"/>
  <c r="J3497" i="12"/>
  <c r="L3497" i="12"/>
  <c r="J3501" i="12"/>
  <c r="L3501" i="12"/>
  <c r="J3505" i="12"/>
  <c r="L3505" i="12"/>
  <c r="J3509" i="12"/>
  <c r="L3509" i="12"/>
  <c r="J3478" i="12"/>
  <c r="L3478" i="12"/>
  <c r="J3482" i="12"/>
  <c r="L3482" i="12"/>
  <c r="J3486" i="12"/>
  <c r="L3486" i="12"/>
  <c r="J3490" i="12"/>
  <c r="L3490" i="12"/>
  <c r="J3494" i="12"/>
  <c r="L3494" i="12"/>
  <c r="J3498" i="12"/>
  <c r="L3498" i="12"/>
  <c r="J3502" i="12"/>
  <c r="L3502" i="12"/>
  <c r="J3506" i="12"/>
  <c r="L3506" i="12"/>
  <c r="J3510" i="12"/>
  <c r="L3510" i="12"/>
  <c r="J3512" i="12"/>
  <c r="J3514" i="12"/>
  <c r="J3516" i="12"/>
  <c r="J3518" i="12"/>
  <c r="J3520" i="12"/>
  <c r="J3522" i="12"/>
  <c r="J3524" i="12"/>
  <c r="J3526" i="12"/>
  <c r="J3528" i="12"/>
  <c r="J3530" i="12"/>
  <c r="J3532" i="12"/>
  <c r="J3534" i="12"/>
  <c r="J3536" i="12"/>
  <c r="J3538" i="12"/>
  <c r="J3540" i="12"/>
  <c r="J3542" i="12"/>
  <c r="J3544" i="12"/>
  <c r="J3546" i="12"/>
  <c r="J3548" i="12"/>
  <c r="J3550" i="12"/>
  <c r="J3552" i="12"/>
  <c r="J3554" i="12"/>
  <c r="J3556" i="12"/>
  <c r="J3558" i="12"/>
  <c r="J3560" i="12"/>
  <c r="J3562" i="12"/>
  <c r="J3564" i="12"/>
  <c r="J3566" i="12"/>
  <c r="J3568" i="12"/>
  <c r="J3570" i="12"/>
  <c r="J3572" i="12"/>
  <c r="J3576" i="12"/>
  <c r="J3580" i="12"/>
  <c r="J3584" i="12"/>
  <c r="J3590" i="12"/>
  <c r="L3590" i="12"/>
  <c r="J3594" i="12"/>
  <c r="L3594" i="12"/>
  <c r="J3591" i="12"/>
  <c r="L3591" i="12"/>
  <c r="L3595" i="12"/>
  <c r="J3595" i="12"/>
  <c r="J3587" i="12"/>
  <c r="L3587" i="12"/>
  <c r="J3588" i="12"/>
  <c r="L3588" i="12"/>
  <c r="J3592" i="12"/>
  <c r="L3592" i="12"/>
  <c r="J3575" i="12"/>
  <c r="J3579" i="12"/>
  <c r="J3583" i="12"/>
  <c r="J3589" i="12"/>
  <c r="L3589" i="12"/>
  <c r="J3593" i="12"/>
  <c r="L3593" i="12"/>
  <c r="J3626" i="12"/>
  <c r="L3626" i="12"/>
  <c r="J3630" i="12"/>
  <c r="L3630" i="12"/>
  <c r="L3637" i="12"/>
  <c r="J3637" i="12"/>
  <c r="L3643" i="12"/>
  <c r="J3643" i="12"/>
  <c r="L3651" i="12"/>
  <c r="J3651" i="12"/>
  <c r="J3623" i="12"/>
  <c r="L3623" i="12"/>
  <c r="J3627" i="12"/>
  <c r="L3627" i="12"/>
  <c r="J3631" i="12"/>
  <c r="L3631" i="12"/>
  <c r="L3645" i="12"/>
  <c r="J3645" i="12"/>
  <c r="J3624" i="12"/>
  <c r="L3624" i="12"/>
  <c r="J3628" i="12"/>
  <c r="L3628" i="12"/>
  <c r="J3632" i="12"/>
  <c r="L3632" i="12"/>
  <c r="L3635" i="12"/>
  <c r="J3635" i="12"/>
  <c r="L3639" i="12"/>
  <c r="J3639" i="12"/>
  <c r="L3647" i="12"/>
  <c r="J3647" i="12"/>
  <c r="J3597" i="12"/>
  <c r="J3599" i="12"/>
  <c r="J3601" i="12"/>
  <c r="J3603" i="12"/>
  <c r="J3605" i="12"/>
  <c r="J3607" i="12"/>
  <c r="J3609" i="12"/>
  <c r="J3611" i="12"/>
  <c r="J3613" i="12"/>
  <c r="J3615" i="12"/>
  <c r="J3617" i="12"/>
  <c r="J3619" i="12"/>
  <c r="J3621" i="12"/>
  <c r="J3625" i="12"/>
  <c r="L3625" i="12"/>
  <c r="J3629" i="12"/>
  <c r="L3629" i="12"/>
  <c r="J3633" i="12"/>
  <c r="L3633" i="12"/>
  <c r="L3641" i="12"/>
  <c r="J3641" i="12"/>
  <c r="L3649" i="12"/>
  <c r="J3649" i="12"/>
  <c r="L3652" i="12"/>
  <c r="J3652" i="12"/>
  <c r="L3656" i="12"/>
  <c r="J3656" i="12"/>
  <c r="L3660" i="12"/>
  <c r="J3660" i="12"/>
  <c r="L3664" i="12"/>
  <c r="J3664" i="12"/>
  <c r="L3668" i="12"/>
  <c r="J3668" i="12"/>
  <c r="L3653" i="12"/>
  <c r="J3653" i="12"/>
  <c r="L3657" i="12"/>
  <c r="J3657" i="12"/>
  <c r="L3661" i="12"/>
  <c r="J3661" i="12"/>
  <c r="L3665" i="12"/>
  <c r="J3665" i="12"/>
  <c r="L3669" i="12"/>
  <c r="J3669" i="12"/>
  <c r="L3654" i="12"/>
  <c r="J3654" i="12"/>
  <c r="L3658" i="12"/>
  <c r="J3658" i="12"/>
  <c r="L3662" i="12"/>
  <c r="J3662" i="12"/>
  <c r="L3666" i="12"/>
  <c r="J3666" i="12"/>
  <c r="L3670" i="12"/>
  <c r="J3670" i="12"/>
  <c r="L3655" i="12"/>
  <c r="J3655" i="12"/>
  <c r="L3659" i="12"/>
  <c r="J3659" i="12"/>
  <c r="L3663" i="12"/>
  <c r="J3663" i="12"/>
  <c r="L3667" i="12"/>
  <c r="J3667" i="12"/>
  <c r="J3671" i="12"/>
  <c r="J3672" i="12"/>
  <c r="J3673" i="12"/>
  <c r="J3674" i="12"/>
  <c r="J3675" i="12"/>
  <c r="J3676" i="12"/>
  <c r="J3677" i="12"/>
  <c r="J3678" i="12"/>
  <c r="J3679" i="12"/>
  <c r="J3680" i="12"/>
  <c r="J3681" i="12"/>
  <c r="J3685" i="12"/>
  <c r="J3689" i="12"/>
  <c r="J3693" i="12"/>
  <c r="J3697" i="12"/>
  <c r="J3701" i="12"/>
  <c r="J3705" i="12"/>
  <c r="J3709" i="12"/>
  <c r="J3683" i="12"/>
  <c r="J3710" i="12"/>
  <c r="J3688" i="12"/>
  <c r="J3692" i="12"/>
  <c r="J3696" i="12"/>
  <c r="J3700" i="12"/>
  <c r="J3704" i="12"/>
  <c r="J3708" i="12"/>
  <c r="L3722" i="12"/>
  <c r="L3723" i="12"/>
  <c r="L3724" i="12"/>
  <c r="L3725" i="12"/>
  <c r="L3726" i="12"/>
  <c r="L3727" i="12"/>
  <c r="L3728" i="12"/>
  <c r="L3729" i="12"/>
  <c r="L3730" i="12"/>
  <c r="L3731" i="12"/>
  <c r="L3732" i="12"/>
  <c r="L3733" i="12"/>
  <c r="L3734" i="12"/>
  <c r="L3735" i="12"/>
  <c r="L3798" i="12"/>
  <c r="J3798" i="12"/>
  <c r="L3802" i="12"/>
  <c r="J3802" i="12"/>
  <c r="L3806" i="12"/>
  <c r="J3806" i="12"/>
  <c r="L3810" i="12"/>
  <c r="J3810" i="12"/>
  <c r="L3851" i="12"/>
  <c r="J3851" i="12"/>
  <c r="L3855" i="12"/>
  <c r="J3855" i="12"/>
  <c r="L3799" i="12"/>
  <c r="J3799" i="12"/>
  <c r="L3803" i="12"/>
  <c r="J3803" i="12"/>
  <c r="L3807" i="12"/>
  <c r="J3807" i="12"/>
  <c r="J3736" i="12"/>
  <c r="J3738" i="12"/>
  <c r="J3740" i="12"/>
  <c r="J3742" i="12"/>
  <c r="J3744" i="12"/>
  <c r="J3746" i="12"/>
  <c r="J3748" i="12"/>
  <c r="J3750" i="12"/>
  <c r="J3752" i="12"/>
  <c r="J3754" i="12"/>
  <c r="J3756" i="12"/>
  <c r="J3758" i="12"/>
  <c r="J3760" i="12"/>
  <c r="J3762" i="12"/>
  <c r="J3764" i="12"/>
  <c r="J3766" i="12"/>
  <c r="J3768" i="12"/>
  <c r="J3770" i="12"/>
  <c r="J3772" i="12"/>
  <c r="J3774" i="12"/>
  <c r="J3776" i="12"/>
  <c r="J3778" i="12"/>
  <c r="J3780" i="12"/>
  <c r="J3782" i="12"/>
  <c r="J3784" i="12"/>
  <c r="J3786" i="12"/>
  <c r="J3788" i="12"/>
  <c r="J3790" i="12"/>
  <c r="J3792" i="12"/>
  <c r="J3794" i="12"/>
  <c r="J3796" i="12"/>
  <c r="L3800" i="12"/>
  <c r="J3800" i="12"/>
  <c r="L3804" i="12"/>
  <c r="J3804" i="12"/>
  <c r="L3808" i="12"/>
  <c r="J3808" i="12"/>
  <c r="L3801" i="12"/>
  <c r="J3801" i="12"/>
  <c r="L3805" i="12"/>
  <c r="J3805" i="12"/>
  <c r="L3809" i="12"/>
  <c r="J3809" i="12"/>
  <c r="L3852" i="12"/>
  <c r="J3852" i="12"/>
  <c r="L3856" i="12"/>
  <c r="J3856" i="12"/>
  <c r="L3853" i="12"/>
  <c r="J3853" i="12"/>
  <c r="J3815" i="12"/>
  <c r="J3817" i="12"/>
  <c r="J3819" i="12"/>
  <c r="J3821" i="12"/>
  <c r="J3823" i="12"/>
  <c r="J3825" i="12"/>
  <c r="J3827" i="12"/>
  <c r="J3829" i="12"/>
  <c r="J3831" i="12"/>
  <c r="J3833" i="12"/>
  <c r="J3835" i="12"/>
  <c r="J3837" i="12"/>
  <c r="J3839" i="12"/>
  <c r="J3841" i="12"/>
  <c r="J3843" i="12"/>
  <c r="J3845" i="12"/>
  <c r="J3847" i="12"/>
  <c r="J3849" i="12"/>
  <c r="L3850" i="12"/>
  <c r="J3850" i="12"/>
  <c r="L3854" i="12"/>
  <c r="J3854" i="12"/>
  <c r="H3168" i="12" l="1"/>
  <c r="P3159" i="12"/>
  <c r="H3159" i="12"/>
  <c r="P3155" i="12"/>
  <c r="H3155" i="12"/>
  <c r="P3154" i="12"/>
  <c r="H3154" i="12"/>
  <c r="P3148" i="12"/>
  <c r="P3131" i="12" l="1"/>
  <c r="H3131" i="12"/>
  <c r="H3148" i="12"/>
  <c r="I2329" i="24"/>
  <c r="N2329" i="24"/>
  <c r="P2329" i="24"/>
  <c r="Q2329" i="24"/>
  <c r="Q2305" i="24"/>
  <c r="P2305" i="24"/>
  <c r="N2305" i="24"/>
  <c r="R2329" i="24" l="1"/>
  <c r="M3142" i="12" s="1"/>
  <c r="R2305" i="24"/>
  <c r="M3118" i="12" s="1"/>
  <c r="O2329" i="24"/>
  <c r="AD3152" i="12"/>
  <c r="AC3152" i="12"/>
  <c r="Q3152" i="12"/>
  <c r="O3152" i="12"/>
  <c r="K3152" i="12"/>
  <c r="F3152" i="12"/>
  <c r="G3152" i="12" s="1"/>
  <c r="E3152" i="12"/>
  <c r="I3152" i="12" s="1"/>
  <c r="C3152" i="12"/>
  <c r="L3152" i="12" l="1"/>
  <c r="J3152" i="12"/>
  <c r="P3060" i="12"/>
  <c r="AC3046" i="12"/>
  <c r="AC3047" i="12"/>
  <c r="AC3048" i="12"/>
  <c r="AC3049" i="12"/>
  <c r="AC3050" i="12"/>
  <c r="AC3051" i="12"/>
  <c r="AC3052" i="12"/>
  <c r="AC3053" i="12"/>
  <c r="AC3054" i="12"/>
  <c r="AC3055" i="12"/>
  <c r="AC3056" i="12"/>
  <c r="AC3057" i="12"/>
  <c r="AC3058" i="12"/>
  <c r="AC3059" i="12"/>
  <c r="AC3061" i="12"/>
  <c r="AC3062" i="12"/>
  <c r="AC3063" i="12"/>
  <c r="AC3064" i="12"/>
  <c r="AC3065" i="12"/>
  <c r="AC3066" i="12"/>
  <c r="AC3067" i="12"/>
  <c r="AC3068" i="12"/>
  <c r="AC3069" i="12"/>
  <c r="AC3070" i="12"/>
  <c r="AC3071" i="12"/>
  <c r="AC3072" i="12"/>
  <c r="AC3073" i="12"/>
  <c r="AC3074" i="12"/>
  <c r="AC3075" i="12"/>
  <c r="AC3076" i="12"/>
  <c r="AC3078" i="12"/>
  <c r="AC3079" i="12"/>
  <c r="AC3080" i="12"/>
  <c r="AC3081" i="12"/>
  <c r="AC3082" i="12"/>
  <c r="AC3083" i="12"/>
  <c r="AC3084" i="12"/>
  <c r="AC3085" i="12"/>
  <c r="AC3086" i="12"/>
  <c r="AC3087" i="12"/>
  <c r="AC3088" i="12"/>
  <c r="AC3089" i="12"/>
  <c r="AC3090" i="12"/>
  <c r="AC3091" i="12"/>
  <c r="AC3092" i="12"/>
  <c r="AC3093" i="12"/>
  <c r="AC3094" i="12"/>
  <c r="AC3095" i="12"/>
  <c r="AC3096" i="12"/>
  <c r="AC3097" i="12"/>
  <c r="AC3098" i="12"/>
  <c r="AC3099" i="12"/>
  <c r="AC3100" i="12"/>
  <c r="AC3101" i="12"/>
  <c r="AC3102" i="12"/>
  <c r="AC3103" i="12"/>
  <c r="AC3104" i="12"/>
  <c r="AC3105" i="12"/>
  <c r="AC3106" i="12"/>
  <c r="AC3107" i="12"/>
  <c r="AC3108" i="12"/>
  <c r="AC3109" i="12"/>
  <c r="AC3110" i="12"/>
  <c r="AC3111" i="12"/>
  <c r="AC3112" i="12"/>
  <c r="AC3113" i="12"/>
  <c r="AC3114" i="12"/>
  <c r="AC3115" i="12"/>
  <c r="AC3116" i="12"/>
  <c r="AC3117" i="12"/>
  <c r="AC3118" i="12"/>
  <c r="AC3119" i="12"/>
  <c r="AC3120" i="12"/>
  <c r="AC3121" i="12"/>
  <c r="AC3122" i="12"/>
  <c r="AC3123" i="12"/>
  <c r="AC3124" i="12"/>
  <c r="AC3125" i="12"/>
  <c r="AC3126" i="12"/>
  <c r="AC3128" i="12"/>
  <c r="AC3129" i="12"/>
  <c r="AC3130" i="12"/>
  <c r="AC3131" i="12"/>
  <c r="AC3132" i="12"/>
  <c r="AC3133" i="12"/>
  <c r="AC3134" i="12"/>
  <c r="AC3135" i="12"/>
  <c r="AC3136" i="12"/>
  <c r="AC3137" i="12"/>
  <c r="AC3138" i="12"/>
  <c r="AC3139" i="12"/>
  <c r="AC3140" i="12"/>
  <c r="AC3141" i="12"/>
  <c r="AC3142" i="12"/>
  <c r="AC3143" i="12"/>
  <c r="AC3144" i="12"/>
  <c r="AC3145" i="12"/>
  <c r="AC3146" i="12"/>
  <c r="AC3147" i="12"/>
  <c r="AC3148" i="12"/>
  <c r="AC3149" i="12"/>
  <c r="AC3150" i="12"/>
  <c r="AC3151" i="12"/>
  <c r="AC3153" i="12"/>
  <c r="AC3154" i="12"/>
  <c r="AC3155" i="12"/>
  <c r="AC3156" i="12"/>
  <c r="AC3157" i="12"/>
  <c r="AC3158" i="12"/>
  <c r="AC3159" i="12"/>
  <c r="AC3160" i="12"/>
  <c r="AC3161" i="12"/>
  <c r="AC3162" i="12"/>
  <c r="AC3163" i="12"/>
  <c r="AC3164" i="12"/>
  <c r="AC3165" i="12"/>
  <c r="AC3166" i="12"/>
  <c r="AC3167" i="12"/>
  <c r="AC3168" i="12"/>
  <c r="AC3169" i="12"/>
  <c r="AC3170" i="12"/>
  <c r="AC3171" i="12"/>
  <c r="AC3172" i="12"/>
  <c r="AC3173" i="12"/>
  <c r="AC3174" i="12"/>
  <c r="AC3175" i="12"/>
  <c r="AC3176" i="12"/>
  <c r="AC3177" i="12"/>
  <c r="AC3178" i="12"/>
  <c r="AC3179" i="12"/>
  <c r="AC3180" i="12"/>
  <c r="AC3181" i="12"/>
  <c r="AC3182" i="12"/>
  <c r="AC3183" i="12"/>
  <c r="AC3184" i="12"/>
  <c r="AC3185" i="12"/>
  <c r="AC3186" i="12"/>
  <c r="AC3187" i="12"/>
  <c r="AC3188" i="12"/>
  <c r="AC3189" i="12"/>
  <c r="AC3190" i="12"/>
  <c r="AC3191" i="12"/>
  <c r="AC3192" i="12"/>
  <c r="AC3193" i="12"/>
  <c r="AC3194" i="12"/>
  <c r="AC3195" i="12"/>
  <c r="AC3196" i="12"/>
  <c r="AC3197" i="12"/>
  <c r="AC3198" i="12"/>
  <c r="AC3199" i="12"/>
  <c r="AC3200" i="12"/>
  <c r="AC3201" i="12"/>
  <c r="AC3203" i="12"/>
  <c r="AC3204" i="12"/>
  <c r="AC3205" i="12"/>
  <c r="AC3206" i="12"/>
  <c r="AC3207" i="12"/>
  <c r="AC3208" i="12"/>
  <c r="AC3214" i="12"/>
  <c r="AC3215" i="12"/>
  <c r="AC3209" i="12"/>
  <c r="AC3210" i="12"/>
  <c r="AC3211" i="12"/>
  <c r="AC3213" i="12"/>
  <c r="AC3216" i="12"/>
  <c r="AC3217" i="12"/>
  <c r="AC3218" i="12"/>
  <c r="AC3212" i="12"/>
  <c r="AC3219" i="12"/>
  <c r="AC3220" i="12"/>
  <c r="AC3221" i="12"/>
  <c r="AC3222" i="12"/>
  <c r="AC3223" i="12"/>
  <c r="AC3224" i="12"/>
  <c r="AC3225" i="12"/>
  <c r="AC3226" i="12"/>
  <c r="AC3228" i="12"/>
  <c r="AC3229" i="12"/>
  <c r="AC3230" i="12"/>
  <c r="AC3231" i="12"/>
  <c r="AC3232" i="12"/>
  <c r="AC3233" i="12"/>
  <c r="AC3234" i="12"/>
  <c r="AC3235" i="12"/>
  <c r="AC3236" i="12"/>
  <c r="AC3237" i="12"/>
  <c r="AC3238" i="12"/>
  <c r="AC3239" i="12"/>
  <c r="AC3240" i="12"/>
  <c r="AC3241" i="12"/>
  <c r="AC3242" i="12"/>
  <c r="AC3243" i="12"/>
  <c r="AD3046" i="12"/>
  <c r="AD3047" i="12"/>
  <c r="AD3048" i="12"/>
  <c r="AD3049" i="12"/>
  <c r="AD3050" i="12"/>
  <c r="AD3051" i="12"/>
  <c r="AD3052" i="12"/>
  <c r="AD3053" i="12"/>
  <c r="AD3054" i="12"/>
  <c r="AD3055" i="12"/>
  <c r="AD3056" i="12"/>
  <c r="AD3057" i="12"/>
  <c r="AD3058" i="12"/>
  <c r="AD3059" i="12"/>
  <c r="AD3061" i="12"/>
  <c r="AD3062" i="12"/>
  <c r="AD3063" i="12"/>
  <c r="AD3064" i="12"/>
  <c r="AD3065" i="12"/>
  <c r="AD3066" i="12"/>
  <c r="AD3067" i="12"/>
  <c r="AD3068" i="12"/>
  <c r="AD3069" i="12"/>
  <c r="AD3070" i="12"/>
  <c r="AD3071" i="12"/>
  <c r="AD3072" i="12"/>
  <c r="AD3073" i="12"/>
  <c r="AD3074" i="12"/>
  <c r="AD3075" i="12"/>
  <c r="AD3076" i="12"/>
  <c r="AD3078" i="12"/>
  <c r="AD3079" i="12"/>
  <c r="AD3080" i="12"/>
  <c r="AD3081" i="12"/>
  <c r="AD3082" i="12"/>
  <c r="AD3084" i="12"/>
  <c r="AD3085" i="12"/>
  <c r="AD3086" i="12"/>
  <c r="AD3087" i="12"/>
  <c r="AD3088" i="12"/>
  <c r="AD3089" i="12"/>
  <c r="AD3090" i="12"/>
  <c r="AD3091" i="12"/>
  <c r="AD3092" i="12"/>
  <c r="AD3093" i="12"/>
  <c r="AD3094" i="12"/>
  <c r="AD3095" i="12"/>
  <c r="AD3096" i="12"/>
  <c r="AD3097" i="12"/>
  <c r="AD3098" i="12"/>
  <c r="AD3099" i="12"/>
  <c r="AD3100" i="12"/>
  <c r="AD3101" i="12"/>
  <c r="AD3102" i="12"/>
  <c r="AD3104" i="12"/>
  <c r="AD3105" i="12"/>
  <c r="AD3106" i="12"/>
  <c r="AD3107" i="12"/>
  <c r="AD3108" i="12"/>
  <c r="AD3109" i="12"/>
  <c r="AD3110" i="12"/>
  <c r="AD3111" i="12"/>
  <c r="AD3112" i="12"/>
  <c r="AD3113" i="12"/>
  <c r="AD3114" i="12"/>
  <c r="AD3115" i="12"/>
  <c r="AD3116" i="12"/>
  <c r="AD3117" i="12"/>
  <c r="AD3118" i="12"/>
  <c r="AD3119" i="12"/>
  <c r="AD3120" i="12"/>
  <c r="AD3121" i="12"/>
  <c r="AD3122" i="12"/>
  <c r="AD3123" i="12"/>
  <c r="AD3124" i="12"/>
  <c r="AD3125" i="12"/>
  <c r="AD3127" i="12"/>
  <c r="AD3128" i="12"/>
  <c r="AD3129" i="12"/>
  <c r="AD3130" i="12"/>
  <c r="AD3131" i="12"/>
  <c r="AD3132" i="12"/>
  <c r="AD3133" i="12"/>
  <c r="AD3134" i="12"/>
  <c r="AD3135" i="12"/>
  <c r="AD3136" i="12"/>
  <c r="AD3137" i="12"/>
  <c r="AD3138" i="12"/>
  <c r="AD3139" i="12"/>
  <c r="AD3140" i="12"/>
  <c r="AD3141" i="12"/>
  <c r="AD3142" i="12"/>
  <c r="AD3143" i="12"/>
  <c r="AD3144" i="12"/>
  <c r="AD3145" i="12"/>
  <c r="AD3146" i="12"/>
  <c r="AD3147" i="12"/>
  <c r="AD3148" i="12"/>
  <c r="AD3149" i="12"/>
  <c r="AD3150" i="12"/>
  <c r="AD3151" i="12"/>
  <c r="AD3153" i="12"/>
  <c r="AD3155" i="12"/>
  <c r="AD3156" i="12"/>
  <c r="AD3157" i="12"/>
  <c r="AD3158" i="12"/>
  <c r="AD3159" i="12"/>
  <c r="AD3160" i="12"/>
  <c r="AD3161" i="12"/>
  <c r="AD3162" i="12"/>
  <c r="AD3163" i="12"/>
  <c r="AD3164" i="12"/>
  <c r="AD3165" i="12"/>
  <c r="AD3166" i="12"/>
  <c r="AD3167" i="12"/>
  <c r="AD3168" i="12"/>
  <c r="AD3169" i="12"/>
  <c r="AD3170" i="12"/>
  <c r="AD3171" i="12"/>
  <c r="AD3172" i="12"/>
  <c r="AD3173" i="12"/>
  <c r="AD3174" i="12"/>
  <c r="AD3175" i="12"/>
  <c r="AD3176" i="12"/>
  <c r="AD3177" i="12"/>
  <c r="AD3178" i="12"/>
  <c r="AD3179" i="12"/>
  <c r="AD3180" i="12"/>
  <c r="AD3181" i="12"/>
  <c r="AD3182" i="12"/>
  <c r="AD3184" i="12"/>
  <c r="AD3185" i="12"/>
  <c r="AD3186" i="12"/>
  <c r="AD3187" i="12"/>
  <c r="AD3188" i="12"/>
  <c r="AD3189" i="12"/>
  <c r="AD3190" i="12"/>
  <c r="AD3191" i="12"/>
  <c r="AD3192" i="12"/>
  <c r="AD3193" i="12"/>
  <c r="AD3194" i="12"/>
  <c r="AD3195" i="12"/>
  <c r="AD3196" i="12"/>
  <c r="AD3197" i="12"/>
  <c r="AD3198" i="12"/>
  <c r="AD3199" i="12"/>
  <c r="AD3200" i="12"/>
  <c r="AD3203" i="12"/>
  <c r="AD3204" i="12"/>
  <c r="AD3205" i="12"/>
  <c r="AD3206" i="12"/>
  <c r="AD3207" i="12"/>
  <c r="AD3214" i="12"/>
  <c r="AD3215" i="12"/>
  <c r="AD3209" i="12"/>
  <c r="AD3210" i="12"/>
  <c r="AD3211" i="12"/>
  <c r="AD3213" i="12"/>
  <c r="AD3216" i="12"/>
  <c r="AD3217" i="12"/>
  <c r="AD3218" i="12"/>
  <c r="AD3219" i="12"/>
  <c r="AD3220" i="12"/>
  <c r="AD3221" i="12"/>
  <c r="AD3222" i="12"/>
  <c r="AD3223" i="12"/>
  <c r="AD3224" i="12"/>
  <c r="AD3225" i="12"/>
  <c r="AD3226" i="12"/>
  <c r="AD3227" i="12"/>
  <c r="AD3228" i="12"/>
  <c r="AD3229" i="12"/>
  <c r="AD3230" i="12"/>
  <c r="AD3232" i="12"/>
  <c r="AD3233" i="12"/>
  <c r="AD3234" i="12"/>
  <c r="AD3235" i="12"/>
  <c r="AD3236" i="12"/>
  <c r="AD3237" i="12"/>
  <c r="AD3238" i="12"/>
  <c r="AD3239" i="12"/>
  <c r="AD3240" i="12"/>
  <c r="AD3241" i="12"/>
  <c r="AD3243" i="12"/>
  <c r="AD3045" i="12"/>
  <c r="C3149" i="12" l="1"/>
  <c r="E3149" i="12"/>
  <c r="I3149" i="12" s="1"/>
  <c r="F3149" i="12"/>
  <c r="G3149" i="12" s="1"/>
  <c r="J3149" i="12" s="1"/>
  <c r="K3149" i="12"/>
  <c r="O3149" i="12"/>
  <c r="Q3149" i="12"/>
  <c r="L3149" i="12" l="1"/>
  <c r="I2305" i="24"/>
  <c r="O2305" i="24" s="1"/>
  <c r="P3117" i="12" l="1"/>
  <c r="H3117" i="12"/>
  <c r="H3113" i="12"/>
  <c r="P3113" i="12"/>
  <c r="P3108" i="12"/>
  <c r="H3108" i="12"/>
  <c r="H3083" i="12" l="1"/>
  <c r="H3096" i="12" l="1"/>
  <c r="P3096" i="12"/>
  <c r="P3095" i="12"/>
  <c r="H3095" i="12"/>
  <c r="P3092" i="12"/>
  <c r="H3092" i="12"/>
  <c r="P3079" i="12"/>
  <c r="H3079" i="12"/>
  <c r="H3081" i="12"/>
  <c r="P3081" i="12"/>
  <c r="P3078" i="12"/>
  <c r="P3075" i="12"/>
  <c r="P3074" i="12"/>
  <c r="P3067" i="12"/>
  <c r="C3119" i="12" l="1"/>
  <c r="E3119" i="12"/>
  <c r="I3119" i="12" s="1"/>
  <c r="F3119" i="12"/>
  <c r="G3119" i="12" s="1"/>
  <c r="J3119" i="12" s="1"/>
  <c r="K3119" i="12"/>
  <c r="O3119" i="12"/>
  <c r="Q3119" i="12"/>
  <c r="Q3114" i="12"/>
  <c r="O3114" i="12"/>
  <c r="K3114" i="12"/>
  <c r="F3114" i="12"/>
  <c r="G3114" i="12" s="1"/>
  <c r="E3114" i="12"/>
  <c r="I3114" i="12" s="1"/>
  <c r="C3114" i="12"/>
  <c r="L3119" i="12" l="1"/>
  <c r="J3114" i="12"/>
  <c r="L3114" i="12" s="1"/>
  <c r="Q3109" i="12" l="1"/>
  <c r="O3109" i="12"/>
  <c r="K3109" i="12"/>
  <c r="F3109" i="12"/>
  <c r="G3109" i="12" s="1"/>
  <c r="E3109" i="12"/>
  <c r="I3109" i="12" s="1"/>
  <c r="C3109" i="12"/>
  <c r="L3109" i="12" l="1"/>
  <c r="J3109" i="12"/>
  <c r="H3067" i="12"/>
  <c r="H3078" i="12" l="1"/>
  <c r="H3075" i="12"/>
  <c r="H3074" i="12"/>
  <c r="P3072" i="12"/>
  <c r="H3072" i="12"/>
  <c r="N2243" i="24" l="1"/>
  <c r="I2243" i="24"/>
  <c r="N2267" i="24"/>
  <c r="I2267" i="24"/>
  <c r="N2260" i="24"/>
  <c r="I2260" i="24"/>
  <c r="N2224" i="24"/>
  <c r="I2224" i="24"/>
  <c r="N2162" i="24"/>
  <c r="I2162" i="24"/>
  <c r="N2231" i="24"/>
  <c r="Q2261" i="24"/>
  <c r="P2261" i="24"/>
  <c r="N2261" i="24"/>
  <c r="Q2260" i="24"/>
  <c r="P2260" i="24"/>
  <c r="Q2259" i="24"/>
  <c r="P2259" i="24"/>
  <c r="N2259" i="24"/>
  <c r="Q2258" i="24"/>
  <c r="P2258" i="24"/>
  <c r="N2258" i="24"/>
  <c r="Q2257" i="24"/>
  <c r="P2257" i="24"/>
  <c r="N2257" i="24"/>
  <c r="Q2256" i="24"/>
  <c r="P2256" i="24"/>
  <c r="N2256" i="24"/>
  <c r="Q2255" i="24"/>
  <c r="P2255" i="24"/>
  <c r="N2255" i="24"/>
  <c r="Q2254" i="24"/>
  <c r="P2254" i="24"/>
  <c r="N2254" i="24"/>
  <c r="Q2253" i="24"/>
  <c r="P2253" i="24"/>
  <c r="N2253" i="24"/>
  <c r="Q2252" i="24"/>
  <c r="P2252" i="24"/>
  <c r="N2252" i="24"/>
  <c r="Q2251" i="24"/>
  <c r="P2251" i="24"/>
  <c r="N2251" i="24"/>
  <c r="Q2250" i="24"/>
  <c r="P2250" i="24"/>
  <c r="N2250" i="24"/>
  <c r="Q2249" i="24"/>
  <c r="P2249" i="24"/>
  <c r="N2249" i="24"/>
  <c r="Q2248" i="24"/>
  <c r="P2248" i="24"/>
  <c r="N2248" i="24"/>
  <c r="Q2247" i="24"/>
  <c r="P2247" i="24"/>
  <c r="N2247" i="24"/>
  <c r="Q2246" i="24"/>
  <c r="P2246" i="24"/>
  <c r="N2246" i="24"/>
  <c r="Q2245" i="24"/>
  <c r="P2245" i="24"/>
  <c r="N2245" i="24"/>
  <c r="Q2244" i="24"/>
  <c r="P2244" i="24"/>
  <c r="N2244" i="24"/>
  <c r="Q2243" i="24"/>
  <c r="P2243" i="24"/>
  <c r="Q2242" i="24"/>
  <c r="P2242" i="24"/>
  <c r="N2242" i="24"/>
  <c r="Q2241" i="24"/>
  <c r="P2241" i="24"/>
  <c r="N2241" i="24"/>
  <c r="Q2240" i="24"/>
  <c r="P2240" i="24"/>
  <c r="N2240" i="24"/>
  <c r="Q2239" i="24"/>
  <c r="P2239" i="24"/>
  <c r="N2239" i="24"/>
  <c r="Q2238" i="24"/>
  <c r="P2238" i="24"/>
  <c r="N2238" i="24"/>
  <c r="Q2237" i="24"/>
  <c r="P2237" i="24"/>
  <c r="N2237" i="24"/>
  <c r="Q2236" i="24"/>
  <c r="P2236" i="24"/>
  <c r="N2236" i="24"/>
  <c r="Q2235" i="24"/>
  <c r="P2235" i="24"/>
  <c r="N2235" i="24"/>
  <c r="Q2234" i="24"/>
  <c r="P2234" i="24"/>
  <c r="N2234" i="24"/>
  <c r="Q2233" i="24"/>
  <c r="P2233" i="24"/>
  <c r="N2233" i="24"/>
  <c r="Q2231" i="24"/>
  <c r="P2231" i="24"/>
  <c r="Q2230" i="24"/>
  <c r="P2230" i="24"/>
  <c r="N2230" i="24"/>
  <c r="Q2229" i="24"/>
  <c r="P2229" i="24"/>
  <c r="N2229" i="24"/>
  <c r="Q2228" i="24"/>
  <c r="P2228" i="24"/>
  <c r="N2228" i="24"/>
  <c r="Q2227" i="24"/>
  <c r="P2227" i="24"/>
  <c r="N2227" i="24"/>
  <c r="Q2226" i="24"/>
  <c r="P2226" i="24"/>
  <c r="N2226" i="24"/>
  <c r="Q2225" i="24"/>
  <c r="P2225" i="24"/>
  <c r="N2225" i="24"/>
  <c r="Q2224" i="24"/>
  <c r="P2224" i="24"/>
  <c r="Q2223" i="24"/>
  <c r="P2223" i="24"/>
  <c r="N2223" i="24"/>
  <c r="Q2222" i="24"/>
  <c r="P2222" i="24"/>
  <c r="N2222" i="24"/>
  <c r="Q2221" i="24"/>
  <c r="P2221" i="24"/>
  <c r="N2221" i="24"/>
  <c r="Q2220" i="24"/>
  <c r="P2220" i="24"/>
  <c r="N2220" i="24"/>
  <c r="Q2219" i="24"/>
  <c r="P2219" i="24"/>
  <c r="N2219" i="24"/>
  <c r="Q2218" i="24"/>
  <c r="P2218" i="24"/>
  <c r="N2218" i="24"/>
  <c r="Q2217" i="24"/>
  <c r="P2217" i="24"/>
  <c r="N2217" i="24"/>
  <c r="Q2216" i="24"/>
  <c r="P2216" i="24"/>
  <c r="N2216" i="24"/>
  <c r="Q2215" i="24"/>
  <c r="P2215" i="24"/>
  <c r="N2215" i="24"/>
  <c r="Q2214" i="24"/>
  <c r="P2214" i="24"/>
  <c r="N2214" i="24"/>
  <c r="Q2213" i="24"/>
  <c r="P2213" i="24"/>
  <c r="N2213" i="24"/>
  <c r="Q2212" i="24"/>
  <c r="P2212" i="24"/>
  <c r="N2212" i="24"/>
  <c r="Q2211" i="24"/>
  <c r="P2211" i="24"/>
  <c r="N2211" i="24"/>
  <c r="Q2210" i="24"/>
  <c r="P2210" i="24"/>
  <c r="N2210" i="24"/>
  <c r="Q2209" i="24"/>
  <c r="P2209" i="24"/>
  <c r="N2209" i="24"/>
  <c r="Q2208" i="24"/>
  <c r="P2208" i="24"/>
  <c r="N2208" i="24"/>
  <c r="Q2207" i="24"/>
  <c r="P2207" i="24"/>
  <c r="N2207" i="24"/>
  <c r="Q2206" i="24"/>
  <c r="P2206" i="24"/>
  <c r="N2206" i="24"/>
  <c r="Q2205" i="24"/>
  <c r="P2205" i="24"/>
  <c r="N2205" i="24"/>
  <c r="Q2204" i="24"/>
  <c r="P2204" i="24"/>
  <c r="N2204" i="24"/>
  <c r="Q2203" i="24"/>
  <c r="P2203" i="24"/>
  <c r="N2203" i="24"/>
  <c r="Q2202" i="24"/>
  <c r="P2202" i="24"/>
  <c r="N2202" i="24"/>
  <c r="Q2201" i="24"/>
  <c r="P2201" i="24"/>
  <c r="N2201" i="24"/>
  <c r="Q2200" i="24"/>
  <c r="P2200" i="24"/>
  <c r="N2200" i="24"/>
  <c r="Q2199" i="24"/>
  <c r="P2199" i="24"/>
  <c r="N2199" i="24"/>
  <c r="Q2198" i="24"/>
  <c r="P2198" i="24"/>
  <c r="N2198" i="24"/>
  <c r="Q2197" i="24"/>
  <c r="P2197" i="24"/>
  <c r="N2197" i="24"/>
  <c r="Q2196" i="24"/>
  <c r="P2196" i="24"/>
  <c r="N2196" i="24"/>
  <c r="Q2195" i="24"/>
  <c r="P2195" i="24"/>
  <c r="N2195" i="24"/>
  <c r="Q2194" i="24"/>
  <c r="P2194" i="24"/>
  <c r="N2194" i="24"/>
  <c r="Q2193" i="24"/>
  <c r="P2193" i="24"/>
  <c r="N2193" i="24"/>
  <c r="Q2192" i="24"/>
  <c r="P2192" i="24"/>
  <c r="N2192" i="24"/>
  <c r="Q2191" i="24"/>
  <c r="P2191" i="24"/>
  <c r="N2191" i="24"/>
  <c r="Q2190" i="24"/>
  <c r="P2190" i="24"/>
  <c r="N2190" i="24"/>
  <c r="Q2189" i="24"/>
  <c r="P2189" i="24"/>
  <c r="N2189" i="24"/>
  <c r="Q2188" i="24"/>
  <c r="P2188" i="24"/>
  <c r="N2188" i="24"/>
  <c r="Q2187" i="24"/>
  <c r="P2187" i="24"/>
  <c r="N2187" i="24"/>
  <c r="Q2186" i="24"/>
  <c r="P2186" i="24"/>
  <c r="N2186" i="24"/>
  <c r="Q2185" i="24"/>
  <c r="P2185" i="24"/>
  <c r="N2185" i="24"/>
  <c r="Q2184" i="24"/>
  <c r="P2184" i="24"/>
  <c r="N2184" i="24"/>
  <c r="Q2183" i="24"/>
  <c r="P2183" i="24"/>
  <c r="N2183" i="24"/>
  <c r="Q2182" i="24"/>
  <c r="P2182" i="24"/>
  <c r="N2182" i="24"/>
  <c r="Q2181" i="24"/>
  <c r="P2181" i="24"/>
  <c r="N2181" i="24"/>
  <c r="Q2180" i="24"/>
  <c r="P2180" i="24"/>
  <c r="N2180" i="24"/>
  <c r="Q2179" i="24"/>
  <c r="P2179" i="24"/>
  <c r="N2179" i="24"/>
  <c r="Q2178" i="24"/>
  <c r="P2178" i="24"/>
  <c r="N2178" i="24"/>
  <c r="Q2177" i="24"/>
  <c r="P2177" i="24"/>
  <c r="N2177" i="24"/>
  <c r="Q2176" i="24"/>
  <c r="P2176" i="24"/>
  <c r="N2176" i="24"/>
  <c r="Q2175" i="24"/>
  <c r="P2175" i="24"/>
  <c r="N2175" i="24"/>
  <c r="Q2174" i="24"/>
  <c r="P2174" i="24"/>
  <c r="N2174" i="24"/>
  <c r="Q2173" i="24"/>
  <c r="P2173" i="24"/>
  <c r="N2173" i="24"/>
  <c r="Q2172" i="24"/>
  <c r="P2172" i="24"/>
  <c r="N2172" i="24"/>
  <c r="Q2171" i="24"/>
  <c r="P2171" i="24"/>
  <c r="N2171" i="24"/>
  <c r="Q2170" i="24"/>
  <c r="P2170" i="24"/>
  <c r="N2170" i="24"/>
  <c r="Q2169" i="24"/>
  <c r="P2169" i="24"/>
  <c r="N2169" i="24"/>
  <c r="Q2168" i="24"/>
  <c r="P2168" i="24"/>
  <c r="N2168" i="24"/>
  <c r="Q2167" i="24"/>
  <c r="P2167" i="24"/>
  <c r="N2167" i="24"/>
  <c r="Q2166" i="24"/>
  <c r="P2166" i="24"/>
  <c r="N2166" i="24"/>
  <c r="Q2165" i="24"/>
  <c r="P2165" i="24"/>
  <c r="N2165" i="24"/>
  <c r="Q2164" i="24"/>
  <c r="P2164" i="24"/>
  <c r="N2164" i="24"/>
  <c r="Q2163" i="24"/>
  <c r="P2163" i="24"/>
  <c r="N2163" i="24"/>
  <c r="Q2162" i="24"/>
  <c r="P2162" i="24"/>
  <c r="Q2161" i="24"/>
  <c r="P2161" i="24"/>
  <c r="N2161" i="24"/>
  <c r="Q2160" i="24"/>
  <c r="P2160" i="24"/>
  <c r="N2160" i="24"/>
  <c r="Q2159" i="24"/>
  <c r="P2159" i="24"/>
  <c r="N2159" i="24"/>
  <c r="Q2158" i="24"/>
  <c r="P2158" i="24"/>
  <c r="N2158" i="24"/>
  <c r="Q2157" i="24"/>
  <c r="P2157" i="24"/>
  <c r="N2157" i="24"/>
  <c r="Q2156" i="24"/>
  <c r="P2156" i="24"/>
  <c r="N2156" i="24"/>
  <c r="Q2155" i="24"/>
  <c r="P2155" i="24"/>
  <c r="N2155" i="24"/>
  <c r="Q2154" i="24"/>
  <c r="P2154" i="24"/>
  <c r="N2154" i="24"/>
  <c r="Q2153" i="24"/>
  <c r="P2153" i="24"/>
  <c r="N2153" i="24"/>
  <c r="Q2152" i="24"/>
  <c r="P2152" i="24"/>
  <c r="N2152" i="24"/>
  <c r="Q2151" i="24"/>
  <c r="P2151" i="24"/>
  <c r="N2151" i="24"/>
  <c r="Q2150" i="24"/>
  <c r="P2150" i="24"/>
  <c r="N2150" i="24"/>
  <c r="Q2149" i="24"/>
  <c r="P2149" i="24"/>
  <c r="N2149" i="24"/>
  <c r="Q2148" i="24"/>
  <c r="P2148" i="24"/>
  <c r="N2148" i="24"/>
  <c r="Q2147" i="24"/>
  <c r="P2147" i="24"/>
  <c r="N2147" i="24"/>
  <c r="Q2146" i="24"/>
  <c r="P2146" i="24"/>
  <c r="N2146" i="24"/>
  <c r="Q2145" i="24"/>
  <c r="P2145" i="24"/>
  <c r="N2145" i="24"/>
  <c r="Q2144" i="24"/>
  <c r="P2144" i="24"/>
  <c r="N2144" i="24"/>
  <c r="Q2143" i="24"/>
  <c r="P2143" i="24"/>
  <c r="N2143" i="24"/>
  <c r="Q2142" i="24"/>
  <c r="P2142" i="24"/>
  <c r="N2142" i="24"/>
  <c r="Q2141" i="24"/>
  <c r="P2141" i="24"/>
  <c r="N2141" i="24"/>
  <c r="Q2140" i="24"/>
  <c r="P2140" i="24"/>
  <c r="N2140" i="24"/>
  <c r="Q2139" i="24"/>
  <c r="P2139" i="24"/>
  <c r="N2139" i="24"/>
  <c r="Q2138" i="24"/>
  <c r="P2138" i="24"/>
  <c r="N2138" i="24"/>
  <c r="Q2137" i="24"/>
  <c r="P2137" i="24"/>
  <c r="N2137" i="24"/>
  <c r="Q2136" i="24"/>
  <c r="P2136" i="24"/>
  <c r="N2136" i="24"/>
  <c r="Q2135" i="24"/>
  <c r="P2135" i="24"/>
  <c r="N2135" i="24"/>
  <c r="Q2134" i="24"/>
  <c r="P2134" i="24"/>
  <c r="N2134" i="24"/>
  <c r="Q2133" i="24"/>
  <c r="P2133" i="24"/>
  <c r="N2133" i="24"/>
  <c r="Q2132" i="24"/>
  <c r="P2132" i="24"/>
  <c r="N2132" i="24"/>
  <c r="Q2131" i="24"/>
  <c r="P2131" i="24"/>
  <c r="N2131" i="24"/>
  <c r="Q2130" i="24"/>
  <c r="P2130" i="24"/>
  <c r="N2130" i="24"/>
  <c r="Q2129" i="24"/>
  <c r="P2129" i="24"/>
  <c r="N2129" i="24"/>
  <c r="Q2128" i="24"/>
  <c r="P2128" i="24"/>
  <c r="N2128" i="24"/>
  <c r="Q2127" i="24"/>
  <c r="P2127" i="24"/>
  <c r="N2127" i="24"/>
  <c r="Q2126" i="24"/>
  <c r="P2126" i="24"/>
  <c r="N2126" i="24"/>
  <c r="Q2125" i="24"/>
  <c r="P2125" i="24"/>
  <c r="N2125" i="24"/>
  <c r="Q2124" i="24"/>
  <c r="P2124" i="24"/>
  <c r="N2124" i="24"/>
  <c r="Q2123" i="24"/>
  <c r="P2123" i="24"/>
  <c r="N2123" i="24"/>
  <c r="Q2122" i="24"/>
  <c r="P2122" i="24"/>
  <c r="N2122" i="24"/>
  <c r="Q2121" i="24"/>
  <c r="P2121" i="24"/>
  <c r="N2121" i="24"/>
  <c r="Q2120" i="24"/>
  <c r="P2120" i="24"/>
  <c r="N2120" i="24"/>
  <c r="Q2119" i="24"/>
  <c r="P2119" i="24"/>
  <c r="N2119" i="24"/>
  <c r="Q2118" i="24"/>
  <c r="P2118" i="24"/>
  <c r="N2118" i="24"/>
  <c r="Q2117" i="24"/>
  <c r="P2117" i="24"/>
  <c r="N2117" i="24"/>
  <c r="Q2116" i="24"/>
  <c r="P2116" i="24"/>
  <c r="N2116" i="24"/>
  <c r="Q2115" i="24"/>
  <c r="P2115" i="24"/>
  <c r="N2115" i="24"/>
  <c r="Q2114" i="24"/>
  <c r="P2114" i="24"/>
  <c r="N2114" i="24"/>
  <c r="Q2113" i="24"/>
  <c r="P2113" i="24"/>
  <c r="N2113" i="24"/>
  <c r="Q2112" i="24"/>
  <c r="P2112" i="24"/>
  <c r="N2112" i="24"/>
  <c r="Q2111" i="24"/>
  <c r="P2111" i="24"/>
  <c r="N2111" i="24"/>
  <c r="Q2110" i="24"/>
  <c r="P2110" i="24"/>
  <c r="N2110" i="24"/>
  <c r="Q2109" i="24"/>
  <c r="P2109" i="24"/>
  <c r="N2109" i="24"/>
  <c r="Q2108" i="24"/>
  <c r="P2108" i="24"/>
  <c r="N2108" i="24"/>
  <c r="Q2107" i="24"/>
  <c r="P2107" i="24"/>
  <c r="N2107" i="24"/>
  <c r="Q2106" i="24"/>
  <c r="P2106" i="24"/>
  <c r="N2106" i="24"/>
  <c r="Q2105" i="24"/>
  <c r="P2105" i="24"/>
  <c r="N2105" i="24"/>
  <c r="Q2104" i="24"/>
  <c r="P2104" i="24"/>
  <c r="N2104" i="24"/>
  <c r="Q2103" i="24"/>
  <c r="P2103" i="24"/>
  <c r="N2103" i="24"/>
  <c r="Q2102" i="24"/>
  <c r="P2102" i="24"/>
  <c r="N2102" i="24"/>
  <c r="Q2101" i="24"/>
  <c r="P2101" i="24"/>
  <c r="N2101" i="24"/>
  <c r="Q2100" i="24"/>
  <c r="P2100" i="24"/>
  <c r="N2100" i="24"/>
  <c r="Q2099" i="24"/>
  <c r="P2099" i="24"/>
  <c r="N2099" i="24"/>
  <c r="Q2098" i="24"/>
  <c r="P2098" i="24"/>
  <c r="N2098" i="24"/>
  <c r="Q2097" i="24"/>
  <c r="P2097" i="24"/>
  <c r="N2097" i="24"/>
  <c r="Q2096" i="24"/>
  <c r="P2096" i="24"/>
  <c r="N2096" i="24"/>
  <c r="Q2095" i="24"/>
  <c r="P2095" i="24"/>
  <c r="N2095" i="24"/>
  <c r="Q2094" i="24"/>
  <c r="P2094" i="24"/>
  <c r="N2094" i="24"/>
  <c r="Q2093" i="24"/>
  <c r="P2093" i="24"/>
  <c r="N2093" i="24"/>
  <c r="Q2092" i="24"/>
  <c r="P2092" i="24"/>
  <c r="N2092" i="24"/>
  <c r="Q2091" i="24"/>
  <c r="P2091" i="24"/>
  <c r="N2091" i="24"/>
  <c r="Q2090" i="24"/>
  <c r="P2090" i="24"/>
  <c r="N2090" i="24"/>
  <c r="Q2089" i="24"/>
  <c r="P2089" i="24"/>
  <c r="N2089" i="24"/>
  <c r="Q2088" i="24"/>
  <c r="P2088" i="24"/>
  <c r="N2088" i="24"/>
  <c r="Q2087" i="24"/>
  <c r="P2087" i="24"/>
  <c r="N2087" i="24"/>
  <c r="Q2086" i="24"/>
  <c r="P2086" i="24"/>
  <c r="N2086" i="24"/>
  <c r="Q2085" i="24"/>
  <c r="P2085" i="24"/>
  <c r="N2085" i="24"/>
  <c r="Q2084" i="24"/>
  <c r="P2084" i="24"/>
  <c r="N2084" i="24"/>
  <c r="Q2083" i="24"/>
  <c r="P2083" i="24"/>
  <c r="N2083" i="24"/>
  <c r="Q2082" i="24"/>
  <c r="P2082" i="24"/>
  <c r="N2082" i="24"/>
  <c r="Q2081" i="24"/>
  <c r="P2081" i="24"/>
  <c r="N2081" i="24"/>
  <c r="Q2080" i="24"/>
  <c r="P2080" i="24"/>
  <c r="N2080" i="24"/>
  <c r="Q2079" i="24"/>
  <c r="P2079" i="24"/>
  <c r="N2079" i="24"/>
  <c r="Q2078" i="24"/>
  <c r="P2078" i="24"/>
  <c r="N2078" i="24"/>
  <c r="Q2077" i="24"/>
  <c r="P2077" i="24"/>
  <c r="N2077" i="24"/>
  <c r="Q2076" i="24"/>
  <c r="P2076" i="24"/>
  <c r="N2076" i="24"/>
  <c r="Q2075" i="24"/>
  <c r="P2075" i="24"/>
  <c r="N2075" i="24"/>
  <c r="Q2074" i="24"/>
  <c r="P2074" i="24"/>
  <c r="N2074" i="24"/>
  <c r="Q2073" i="24"/>
  <c r="P2073" i="24"/>
  <c r="N2073" i="24"/>
  <c r="Q2072" i="24"/>
  <c r="P2072" i="24"/>
  <c r="N2072" i="24"/>
  <c r="Q2071" i="24"/>
  <c r="P2071" i="24"/>
  <c r="N2071" i="24"/>
  <c r="Q2070" i="24"/>
  <c r="P2070" i="24"/>
  <c r="N2070" i="24"/>
  <c r="Q2069" i="24"/>
  <c r="P2069" i="24"/>
  <c r="N2069" i="24"/>
  <c r="Q2068" i="24"/>
  <c r="P2068" i="24"/>
  <c r="N2068" i="24"/>
  <c r="Q2067" i="24"/>
  <c r="P2067" i="24"/>
  <c r="N2067" i="24"/>
  <c r="Q2066" i="24"/>
  <c r="P2066" i="24"/>
  <c r="N2066" i="24"/>
  <c r="Q2065" i="24"/>
  <c r="P2065" i="24"/>
  <c r="N2065" i="24"/>
  <c r="Q2064" i="24"/>
  <c r="P2064" i="24"/>
  <c r="N2064" i="24"/>
  <c r="Q2063" i="24"/>
  <c r="P2063" i="24"/>
  <c r="N2063" i="24"/>
  <c r="Q2062" i="24"/>
  <c r="P2062" i="24"/>
  <c r="N2062" i="24"/>
  <c r="Q2061" i="24"/>
  <c r="P2061" i="24"/>
  <c r="N2061" i="24"/>
  <c r="Q2060" i="24"/>
  <c r="P2060" i="24"/>
  <c r="N2060" i="24"/>
  <c r="Q2059" i="24"/>
  <c r="P2059" i="24"/>
  <c r="N2059" i="24"/>
  <c r="Q2058" i="24"/>
  <c r="P2058" i="24"/>
  <c r="N2058" i="24"/>
  <c r="Q2057" i="24"/>
  <c r="P2057" i="24"/>
  <c r="N2057" i="24"/>
  <c r="Q2056" i="24"/>
  <c r="P2056" i="24"/>
  <c r="N2056" i="24"/>
  <c r="Q2055" i="24"/>
  <c r="P2055" i="24"/>
  <c r="N2055" i="24"/>
  <c r="Q2054" i="24"/>
  <c r="P2054" i="24"/>
  <c r="N2054" i="24"/>
  <c r="Q2053" i="24"/>
  <c r="P2053" i="24"/>
  <c r="N2053" i="24"/>
  <c r="Q2052" i="24"/>
  <c r="P2052" i="24"/>
  <c r="N2052" i="24"/>
  <c r="Q2051" i="24"/>
  <c r="P2051" i="24"/>
  <c r="N2051" i="24"/>
  <c r="Q2050" i="24"/>
  <c r="P2050" i="24"/>
  <c r="N2050" i="24"/>
  <c r="Q2049" i="24"/>
  <c r="P2049" i="24"/>
  <c r="N2049" i="24"/>
  <c r="Q2048" i="24"/>
  <c r="P2048" i="24"/>
  <c r="N2048" i="24"/>
  <c r="Q2047" i="24"/>
  <c r="P2047" i="24"/>
  <c r="N2047" i="24"/>
  <c r="Q2046" i="24"/>
  <c r="P2046" i="24"/>
  <c r="N2046" i="24"/>
  <c r="Q2045" i="24"/>
  <c r="P2045" i="24"/>
  <c r="N2045" i="24"/>
  <c r="Q2044" i="24"/>
  <c r="P2044" i="24"/>
  <c r="N2044" i="24"/>
  <c r="Q2043" i="24"/>
  <c r="P2043" i="24"/>
  <c r="N2043" i="24"/>
  <c r="Q2042" i="24"/>
  <c r="P2042" i="24"/>
  <c r="N2042" i="24"/>
  <c r="Q2041" i="24"/>
  <c r="P2041" i="24"/>
  <c r="N2041" i="24"/>
  <c r="Q2040" i="24"/>
  <c r="P2040" i="24"/>
  <c r="N2040" i="24"/>
  <c r="Q2039" i="24"/>
  <c r="P2039" i="24"/>
  <c r="N2039" i="24"/>
  <c r="Q2038" i="24"/>
  <c r="P2038" i="24"/>
  <c r="N2038" i="24"/>
  <c r="Q2037" i="24"/>
  <c r="P2037" i="24"/>
  <c r="N2037" i="24"/>
  <c r="Q2036" i="24"/>
  <c r="P2036" i="24"/>
  <c r="N2036" i="24"/>
  <c r="Q2035" i="24"/>
  <c r="P2035" i="24"/>
  <c r="N2035" i="24"/>
  <c r="Q2034" i="24"/>
  <c r="P2034" i="24"/>
  <c r="N2034" i="24"/>
  <c r="Q2033" i="24"/>
  <c r="P2033" i="24"/>
  <c r="N2033" i="24"/>
  <c r="Q2032" i="24"/>
  <c r="P2032" i="24"/>
  <c r="N2032" i="24"/>
  <c r="Q2031" i="24"/>
  <c r="P2031" i="24"/>
  <c r="N2031" i="24"/>
  <c r="Q2030" i="24"/>
  <c r="P2030" i="24"/>
  <c r="N2030" i="24"/>
  <c r="Q2029" i="24"/>
  <c r="P2029" i="24"/>
  <c r="N2029" i="24"/>
  <c r="Q2028" i="24"/>
  <c r="P2028" i="24"/>
  <c r="N2028" i="24"/>
  <c r="Q2027" i="24"/>
  <c r="P2027" i="24"/>
  <c r="N2027" i="24"/>
  <c r="Q2026" i="24"/>
  <c r="P2026" i="24"/>
  <c r="N2026" i="24"/>
  <c r="Q2025" i="24"/>
  <c r="P2025" i="24"/>
  <c r="N2025" i="24"/>
  <c r="Q2024" i="24"/>
  <c r="P2024" i="24"/>
  <c r="N2024" i="24"/>
  <c r="Q2023" i="24"/>
  <c r="P2023" i="24"/>
  <c r="N2023" i="24"/>
  <c r="Q2022" i="24"/>
  <c r="P2022" i="24"/>
  <c r="N2022" i="24"/>
  <c r="Q2021" i="24"/>
  <c r="P2021" i="24"/>
  <c r="N2021" i="24"/>
  <c r="Q2020" i="24"/>
  <c r="P2020" i="24"/>
  <c r="N2020" i="24"/>
  <c r="Q2019" i="24"/>
  <c r="P2019" i="24"/>
  <c r="N2019" i="24"/>
  <c r="Q2018" i="24"/>
  <c r="P2018" i="24"/>
  <c r="N2018" i="24"/>
  <c r="Q2017" i="24"/>
  <c r="P2017" i="24"/>
  <c r="N2017" i="24"/>
  <c r="Q2016" i="24"/>
  <c r="P2016" i="24"/>
  <c r="N2016" i="24"/>
  <c r="Q2015" i="24"/>
  <c r="P2015" i="24"/>
  <c r="N2015" i="24"/>
  <c r="Q2014" i="24"/>
  <c r="P2014" i="24"/>
  <c r="N2014" i="24"/>
  <c r="Q2013" i="24"/>
  <c r="P2013" i="24"/>
  <c r="N2013" i="24"/>
  <c r="Q2012" i="24"/>
  <c r="P2012" i="24"/>
  <c r="N2012" i="24"/>
  <c r="Q2011" i="24"/>
  <c r="P2011" i="24"/>
  <c r="N2011" i="24"/>
  <c r="Q2010" i="24"/>
  <c r="P2010" i="24"/>
  <c r="N2010" i="24"/>
  <c r="Q2009" i="24"/>
  <c r="P2009" i="24"/>
  <c r="N2009" i="24"/>
  <c r="Q2008" i="24"/>
  <c r="P2008" i="24"/>
  <c r="N2008" i="24"/>
  <c r="Q2007" i="24"/>
  <c r="P2007" i="24"/>
  <c r="N2007" i="24"/>
  <c r="Q2006" i="24"/>
  <c r="P2006" i="24"/>
  <c r="N2006" i="24"/>
  <c r="Q2005" i="24"/>
  <c r="P2005" i="24"/>
  <c r="N2005" i="24"/>
  <c r="Q2004" i="24"/>
  <c r="P2004" i="24"/>
  <c r="N2004" i="24"/>
  <c r="Q2003" i="24"/>
  <c r="P2003" i="24"/>
  <c r="N2003" i="24"/>
  <c r="Q2002" i="24"/>
  <c r="P2002" i="24"/>
  <c r="N2002" i="24"/>
  <c r="Q2001" i="24"/>
  <c r="P2001" i="24"/>
  <c r="N2001" i="24"/>
  <c r="Q2000" i="24"/>
  <c r="P2000" i="24"/>
  <c r="N2000" i="24"/>
  <c r="Q1999" i="24"/>
  <c r="P1999" i="24"/>
  <c r="N1999" i="24"/>
  <c r="Q1998" i="24"/>
  <c r="P1998" i="24"/>
  <c r="N1998" i="24"/>
  <c r="Q1997" i="24"/>
  <c r="P1997" i="24"/>
  <c r="N1997" i="24"/>
  <c r="Q1996" i="24"/>
  <c r="P1996" i="24"/>
  <c r="N1996" i="24"/>
  <c r="Q1995" i="24"/>
  <c r="P1995" i="24"/>
  <c r="N1995" i="24"/>
  <c r="Q1994" i="24"/>
  <c r="P1994" i="24"/>
  <c r="N1994" i="24"/>
  <c r="Q1993" i="24"/>
  <c r="P1993" i="24"/>
  <c r="N1993" i="24"/>
  <c r="Q1992" i="24"/>
  <c r="P1992" i="24"/>
  <c r="N1992" i="24"/>
  <c r="Q1991" i="24"/>
  <c r="P1991" i="24"/>
  <c r="N1991" i="24"/>
  <c r="Q1990" i="24"/>
  <c r="P1990" i="24"/>
  <c r="N1990" i="24"/>
  <c r="Q1989" i="24"/>
  <c r="P1989" i="24"/>
  <c r="N1989" i="24"/>
  <c r="Q1988" i="24"/>
  <c r="P1988" i="24"/>
  <c r="N1988" i="24"/>
  <c r="Q1987" i="24"/>
  <c r="P1987" i="24"/>
  <c r="N1987" i="24"/>
  <c r="Q1986" i="24"/>
  <c r="P1986" i="24"/>
  <c r="N1986" i="24"/>
  <c r="Q1985" i="24"/>
  <c r="P1985" i="24"/>
  <c r="N1985" i="24"/>
  <c r="Q1984" i="24"/>
  <c r="P1984" i="24"/>
  <c r="N1984" i="24"/>
  <c r="Q1983" i="24"/>
  <c r="P1983" i="24"/>
  <c r="N1983" i="24"/>
  <c r="Q1982" i="24"/>
  <c r="P1982" i="24"/>
  <c r="N1982" i="24"/>
  <c r="Q1981" i="24"/>
  <c r="P1981" i="24"/>
  <c r="N1981" i="24"/>
  <c r="Q1980" i="24"/>
  <c r="P1980" i="24"/>
  <c r="N1980" i="24"/>
  <c r="Q1979" i="24"/>
  <c r="P1979" i="24"/>
  <c r="N1979" i="24"/>
  <c r="Q1978" i="24"/>
  <c r="P1978" i="24"/>
  <c r="N1978" i="24"/>
  <c r="Q1977" i="24"/>
  <c r="P1977" i="24"/>
  <c r="N1977" i="24"/>
  <c r="Q1976" i="24"/>
  <c r="P1976" i="24"/>
  <c r="N1976" i="24"/>
  <c r="Q1975" i="24"/>
  <c r="P1975" i="24"/>
  <c r="N1975" i="24"/>
  <c r="Q1974" i="24"/>
  <c r="P1974" i="24"/>
  <c r="N1974" i="24"/>
  <c r="Q1973" i="24"/>
  <c r="P1973" i="24"/>
  <c r="N1973" i="24"/>
  <c r="Q1972" i="24"/>
  <c r="P1972" i="24"/>
  <c r="N1972" i="24"/>
  <c r="Q1971" i="24"/>
  <c r="P1971" i="24"/>
  <c r="N1971" i="24"/>
  <c r="Q1970" i="24"/>
  <c r="P1970" i="24"/>
  <c r="N1970" i="24"/>
  <c r="Q1969" i="24"/>
  <c r="P1969" i="24"/>
  <c r="N1969" i="24"/>
  <c r="Q1968" i="24"/>
  <c r="P1968" i="24"/>
  <c r="N1968" i="24"/>
  <c r="Q1967" i="24"/>
  <c r="P1967" i="24"/>
  <c r="N1967" i="24"/>
  <c r="Q1966" i="24"/>
  <c r="P1966" i="24"/>
  <c r="N1966" i="24"/>
  <c r="Q1965" i="24"/>
  <c r="P1965" i="24"/>
  <c r="N1965" i="24"/>
  <c r="Q1964" i="24"/>
  <c r="P1964" i="24"/>
  <c r="N1964" i="24"/>
  <c r="Q1963" i="24"/>
  <c r="P1963" i="24"/>
  <c r="N1963" i="24"/>
  <c r="Q1962" i="24"/>
  <c r="P1962" i="24"/>
  <c r="N1962" i="24"/>
  <c r="Q1961" i="24"/>
  <c r="P1961" i="24"/>
  <c r="N1961" i="24"/>
  <c r="Q1960" i="24"/>
  <c r="P1960" i="24"/>
  <c r="N1960" i="24"/>
  <c r="Q1959" i="24"/>
  <c r="P1959" i="24"/>
  <c r="N1959" i="24"/>
  <c r="Q1958" i="24"/>
  <c r="P1958" i="24"/>
  <c r="N1958" i="24"/>
  <c r="Q1957" i="24"/>
  <c r="P1957" i="24"/>
  <c r="N1957" i="24"/>
  <c r="Q1956" i="24"/>
  <c r="P1956" i="24"/>
  <c r="N1956" i="24"/>
  <c r="Q1955" i="24"/>
  <c r="P1955" i="24"/>
  <c r="N1955" i="24"/>
  <c r="Q1954" i="24"/>
  <c r="P1954" i="24"/>
  <c r="N1954" i="24"/>
  <c r="Q1953" i="24"/>
  <c r="P1953" i="24"/>
  <c r="N1953" i="24"/>
  <c r="Q1952" i="24"/>
  <c r="P1952" i="24"/>
  <c r="N1952" i="24"/>
  <c r="Q1951" i="24"/>
  <c r="P1951" i="24"/>
  <c r="N1951" i="24"/>
  <c r="Q1950" i="24"/>
  <c r="P1950" i="24"/>
  <c r="N1950" i="24"/>
  <c r="Q1949" i="24"/>
  <c r="P1949" i="24"/>
  <c r="N1949" i="24"/>
  <c r="Q1948" i="24"/>
  <c r="P1948" i="24"/>
  <c r="N1948" i="24"/>
  <c r="Q1947" i="24"/>
  <c r="P1947" i="24"/>
  <c r="N1947" i="24"/>
  <c r="Q1946" i="24"/>
  <c r="P1946" i="24"/>
  <c r="N1946" i="24"/>
  <c r="Q1945" i="24"/>
  <c r="P1945" i="24"/>
  <c r="N1945" i="24"/>
  <c r="Q1944" i="24"/>
  <c r="P1944" i="24"/>
  <c r="N1944" i="24"/>
  <c r="Q1943" i="24"/>
  <c r="P1943" i="24"/>
  <c r="N1943" i="24"/>
  <c r="Q1942" i="24"/>
  <c r="P1942" i="24"/>
  <c r="N1942" i="24"/>
  <c r="Q1941" i="24"/>
  <c r="P1941" i="24"/>
  <c r="N1941" i="24"/>
  <c r="Q1940" i="24"/>
  <c r="P1940" i="24"/>
  <c r="N1940" i="24"/>
  <c r="Q1939" i="24"/>
  <c r="P1939" i="24"/>
  <c r="N1939" i="24"/>
  <c r="Q1938" i="24"/>
  <c r="P1938" i="24"/>
  <c r="N1938" i="24"/>
  <c r="Q1937" i="24"/>
  <c r="P1937" i="24"/>
  <c r="N1937" i="24"/>
  <c r="Q1936" i="24"/>
  <c r="P1936" i="24"/>
  <c r="N1936" i="24"/>
  <c r="Q1935" i="24"/>
  <c r="P1935" i="24"/>
  <c r="N1935" i="24"/>
  <c r="Q1934" i="24"/>
  <c r="P1934" i="24"/>
  <c r="N1934" i="24"/>
  <c r="Q1933" i="24"/>
  <c r="P1933" i="24"/>
  <c r="N1933" i="24"/>
  <c r="Q1932" i="24"/>
  <c r="P1932" i="24"/>
  <c r="N1932" i="24"/>
  <c r="Q1931" i="24"/>
  <c r="P1931" i="24"/>
  <c r="N1931" i="24"/>
  <c r="Q1930" i="24"/>
  <c r="P1930" i="24"/>
  <c r="N1930" i="24"/>
  <c r="Q1929" i="24"/>
  <c r="P1929" i="24"/>
  <c r="N1929" i="24"/>
  <c r="Q1928" i="24"/>
  <c r="P1928" i="24"/>
  <c r="N1928" i="24"/>
  <c r="Q1927" i="24"/>
  <c r="P1927" i="24"/>
  <c r="N1927" i="24"/>
  <c r="Q1926" i="24"/>
  <c r="P1926" i="24"/>
  <c r="N1926" i="24"/>
  <c r="Q1925" i="24"/>
  <c r="P1925" i="24"/>
  <c r="N1925" i="24"/>
  <c r="Q1924" i="24"/>
  <c r="P1924" i="24"/>
  <c r="N1924" i="24"/>
  <c r="Q1923" i="24"/>
  <c r="P1923" i="24"/>
  <c r="N1923" i="24"/>
  <c r="Q1922" i="24"/>
  <c r="P1922" i="24"/>
  <c r="N1922" i="24"/>
  <c r="Q1921" i="24"/>
  <c r="P1921" i="24"/>
  <c r="N1921" i="24"/>
  <c r="Q1920" i="24"/>
  <c r="P1920" i="24"/>
  <c r="N1920" i="24"/>
  <c r="Q1919" i="24"/>
  <c r="P1919" i="24"/>
  <c r="N1919" i="24"/>
  <c r="Q1918" i="24"/>
  <c r="P1918" i="24"/>
  <c r="N1918" i="24"/>
  <c r="Q1917" i="24"/>
  <c r="P1917" i="24"/>
  <c r="N1917" i="24"/>
  <c r="Q1916" i="24"/>
  <c r="P1916" i="24"/>
  <c r="N1916" i="24"/>
  <c r="Q1915" i="24"/>
  <c r="P1915" i="24"/>
  <c r="N1915" i="24"/>
  <c r="Q1914" i="24"/>
  <c r="P1914" i="24"/>
  <c r="N1914" i="24"/>
  <c r="Q1913" i="24"/>
  <c r="P1913" i="24"/>
  <c r="N1913" i="24"/>
  <c r="Q1912" i="24"/>
  <c r="P1912" i="24"/>
  <c r="N1912" i="24"/>
  <c r="Q1911" i="24"/>
  <c r="P1911" i="24"/>
  <c r="N1911" i="24"/>
  <c r="Q1910" i="24"/>
  <c r="P1910" i="24"/>
  <c r="N1910" i="24"/>
  <c r="Q1909" i="24"/>
  <c r="P1909" i="24"/>
  <c r="N1909" i="24"/>
  <c r="Q1908" i="24"/>
  <c r="P1908" i="24"/>
  <c r="N1908" i="24"/>
  <c r="Q1907" i="24"/>
  <c r="P1907" i="24"/>
  <c r="N1907" i="24"/>
  <c r="Q1906" i="24"/>
  <c r="P1906" i="24"/>
  <c r="N1906" i="24"/>
  <c r="Q1905" i="24"/>
  <c r="P1905" i="24"/>
  <c r="N1905" i="24"/>
  <c r="Q1904" i="24"/>
  <c r="P1904" i="24"/>
  <c r="N1904" i="24"/>
  <c r="Q1903" i="24"/>
  <c r="P1903" i="24"/>
  <c r="N1903" i="24"/>
  <c r="Q1902" i="24"/>
  <c r="P1902" i="24"/>
  <c r="N1902" i="24"/>
  <c r="Q1901" i="24"/>
  <c r="P1901" i="24"/>
  <c r="N1901" i="24"/>
  <c r="Q1900" i="24"/>
  <c r="P1900" i="24"/>
  <c r="N1900" i="24"/>
  <c r="Q1899" i="24"/>
  <c r="P1899" i="24"/>
  <c r="N1899" i="24"/>
  <c r="Q1898" i="24"/>
  <c r="P1898" i="24"/>
  <c r="N1898" i="24"/>
  <c r="Q1897" i="24"/>
  <c r="P1897" i="24"/>
  <c r="N1897" i="24"/>
  <c r="Q1896" i="24"/>
  <c r="P1896" i="24"/>
  <c r="N1896" i="24"/>
  <c r="Q1895" i="24"/>
  <c r="P1895" i="24"/>
  <c r="N1895" i="24"/>
  <c r="Q1894" i="24"/>
  <c r="P1894" i="24"/>
  <c r="N1894" i="24"/>
  <c r="Q1893" i="24"/>
  <c r="P1893" i="24"/>
  <c r="N1893" i="24"/>
  <c r="Q1892" i="24"/>
  <c r="P1892" i="24"/>
  <c r="N1892" i="24"/>
  <c r="Q1891" i="24"/>
  <c r="P1891" i="24"/>
  <c r="N1891" i="24"/>
  <c r="Q1890" i="24"/>
  <c r="P1890" i="24"/>
  <c r="N1890" i="24"/>
  <c r="Q1889" i="24"/>
  <c r="P1889" i="24"/>
  <c r="N1889" i="24"/>
  <c r="Q1888" i="24"/>
  <c r="P1888" i="24"/>
  <c r="N1888" i="24"/>
  <c r="Q1887" i="24"/>
  <c r="P1887" i="24"/>
  <c r="N1887" i="24"/>
  <c r="Q1886" i="24"/>
  <c r="P1886" i="24"/>
  <c r="N1886" i="24"/>
  <c r="Q1885" i="24"/>
  <c r="P1885" i="24"/>
  <c r="N1885" i="24"/>
  <c r="Q1884" i="24"/>
  <c r="P1884" i="24"/>
  <c r="N1884" i="24"/>
  <c r="Q1883" i="24"/>
  <c r="P1883" i="24"/>
  <c r="N1883" i="24"/>
  <c r="Q1882" i="24"/>
  <c r="P1882" i="24"/>
  <c r="N1882" i="24"/>
  <c r="Q1881" i="24"/>
  <c r="P1881" i="24"/>
  <c r="N1881" i="24"/>
  <c r="Q1880" i="24"/>
  <c r="P1880" i="24"/>
  <c r="N1880" i="24"/>
  <c r="Q1879" i="24"/>
  <c r="P1879" i="24"/>
  <c r="N1879" i="24"/>
  <c r="Q1878" i="24"/>
  <c r="P1878" i="24"/>
  <c r="N1878" i="24"/>
  <c r="Q1877" i="24"/>
  <c r="P1877" i="24"/>
  <c r="N1877" i="24"/>
  <c r="Q1876" i="24"/>
  <c r="P1876" i="24"/>
  <c r="N1876" i="24"/>
  <c r="Q1875" i="24"/>
  <c r="P1875" i="24"/>
  <c r="N1875" i="24"/>
  <c r="Q1874" i="24"/>
  <c r="P1874" i="24"/>
  <c r="N1874" i="24"/>
  <c r="Q1873" i="24"/>
  <c r="P1873" i="24"/>
  <c r="N1873" i="24"/>
  <c r="Q1872" i="24"/>
  <c r="P1872" i="24"/>
  <c r="N1872" i="24"/>
  <c r="Q1871" i="24"/>
  <c r="P1871" i="24"/>
  <c r="N1871" i="24"/>
  <c r="Q1870" i="24"/>
  <c r="P1870" i="24"/>
  <c r="N1870" i="24"/>
  <c r="Q1869" i="24"/>
  <c r="P1869" i="24"/>
  <c r="N1869" i="24"/>
  <c r="Q1868" i="24"/>
  <c r="P1868" i="24"/>
  <c r="N1868" i="24"/>
  <c r="Q1867" i="24"/>
  <c r="P1867" i="24"/>
  <c r="N1867" i="24"/>
  <c r="Q1866" i="24"/>
  <c r="P1866" i="24"/>
  <c r="N1866" i="24"/>
  <c r="Q1865" i="24"/>
  <c r="P1865" i="24"/>
  <c r="N1865" i="24"/>
  <c r="Q1864" i="24"/>
  <c r="P1864" i="24"/>
  <c r="N1864" i="24"/>
  <c r="Q1863" i="24"/>
  <c r="P1863" i="24"/>
  <c r="N1863" i="24"/>
  <c r="Q1862" i="24"/>
  <c r="P1862" i="24"/>
  <c r="N1862" i="24"/>
  <c r="Q1861" i="24"/>
  <c r="P1861" i="24"/>
  <c r="N1861" i="24"/>
  <c r="Q1860" i="24"/>
  <c r="P1860" i="24"/>
  <c r="N1860" i="24"/>
  <c r="Q1859" i="24"/>
  <c r="P1859" i="24"/>
  <c r="N1859" i="24"/>
  <c r="Q1858" i="24"/>
  <c r="P1858" i="24"/>
  <c r="N1858" i="24"/>
  <c r="Q1857" i="24"/>
  <c r="P1857" i="24"/>
  <c r="N1857" i="24"/>
  <c r="Q1856" i="24"/>
  <c r="P1856" i="24"/>
  <c r="N1856" i="24"/>
  <c r="Q1855" i="24"/>
  <c r="P1855" i="24"/>
  <c r="N1855" i="24"/>
  <c r="Q1854" i="24"/>
  <c r="P1854" i="24"/>
  <c r="N1854" i="24"/>
  <c r="Q1853" i="24"/>
  <c r="P1853" i="24"/>
  <c r="N1853" i="24"/>
  <c r="Q1852" i="24"/>
  <c r="P1852" i="24"/>
  <c r="N1852" i="24"/>
  <c r="Q1851" i="24"/>
  <c r="P1851" i="24"/>
  <c r="N1851" i="24"/>
  <c r="Q1850" i="24"/>
  <c r="P1850" i="24"/>
  <c r="N1850" i="24"/>
  <c r="Q1849" i="24"/>
  <c r="P1849" i="24"/>
  <c r="N1849" i="24"/>
  <c r="Q1848" i="24"/>
  <c r="P1848" i="24"/>
  <c r="N1848" i="24"/>
  <c r="Q1847" i="24"/>
  <c r="P1847" i="24"/>
  <c r="N1847" i="24"/>
  <c r="Q1846" i="24"/>
  <c r="P1846" i="24"/>
  <c r="N1846" i="24"/>
  <c r="Q1845" i="24"/>
  <c r="P1845" i="24"/>
  <c r="N1845" i="24"/>
  <c r="Q1844" i="24"/>
  <c r="P1844" i="24"/>
  <c r="N1844" i="24"/>
  <c r="Q1843" i="24"/>
  <c r="P1843" i="24"/>
  <c r="N1843" i="24"/>
  <c r="Q1842" i="24"/>
  <c r="P1842" i="24"/>
  <c r="N1842" i="24"/>
  <c r="Q1841" i="24"/>
  <c r="P1841" i="24"/>
  <c r="N1841" i="24"/>
  <c r="Q1840" i="24"/>
  <c r="P1840" i="24"/>
  <c r="N1840" i="24"/>
  <c r="Q1839" i="24"/>
  <c r="P1839" i="24"/>
  <c r="N1839" i="24"/>
  <c r="Q1838" i="24"/>
  <c r="P1838" i="24"/>
  <c r="N1838" i="24"/>
  <c r="Q1837" i="24"/>
  <c r="P1837" i="24"/>
  <c r="N1837" i="24"/>
  <c r="Q1836" i="24"/>
  <c r="P1836" i="24"/>
  <c r="N1836" i="24"/>
  <c r="Q1835" i="24"/>
  <c r="P1835" i="24"/>
  <c r="N1835" i="24"/>
  <c r="Q1834" i="24"/>
  <c r="P1834" i="24"/>
  <c r="N1834" i="24"/>
  <c r="Q1833" i="24"/>
  <c r="P1833" i="24"/>
  <c r="N1833" i="24"/>
  <c r="Q1832" i="24"/>
  <c r="P1832" i="24"/>
  <c r="N1832" i="24"/>
  <c r="Q1831" i="24"/>
  <c r="P1831" i="24"/>
  <c r="N1831" i="24"/>
  <c r="Q1830" i="24"/>
  <c r="P1830" i="24"/>
  <c r="N1830" i="24"/>
  <c r="Q1829" i="24"/>
  <c r="P1829" i="24"/>
  <c r="N1829" i="24"/>
  <c r="Q1828" i="24"/>
  <c r="P1828" i="24"/>
  <c r="N1828" i="24"/>
  <c r="Q1827" i="24"/>
  <c r="P1827" i="24"/>
  <c r="N1827" i="24"/>
  <c r="Q1826" i="24"/>
  <c r="P1826" i="24"/>
  <c r="N1826" i="24"/>
  <c r="Q1825" i="24"/>
  <c r="P1825" i="24"/>
  <c r="N1825" i="24"/>
  <c r="Q1824" i="24"/>
  <c r="P1824" i="24"/>
  <c r="N1824" i="24"/>
  <c r="Q1823" i="24"/>
  <c r="P1823" i="24"/>
  <c r="N1823" i="24"/>
  <c r="Q1822" i="24"/>
  <c r="P1822" i="24"/>
  <c r="N1822" i="24"/>
  <c r="Q1821" i="24"/>
  <c r="P1821" i="24"/>
  <c r="N1821" i="24"/>
  <c r="Q1820" i="24"/>
  <c r="P1820" i="24"/>
  <c r="N1820" i="24"/>
  <c r="Q1819" i="24"/>
  <c r="P1819" i="24"/>
  <c r="N1819" i="24"/>
  <c r="Q1818" i="24"/>
  <c r="P1818" i="24"/>
  <c r="N1818" i="24"/>
  <c r="Q1817" i="24"/>
  <c r="P1817" i="24"/>
  <c r="N1817" i="24"/>
  <c r="Q1816" i="24"/>
  <c r="P1816" i="24"/>
  <c r="N1816" i="24"/>
  <c r="Q1815" i="24"/>
  <c r="P1815" i="24"/>
  <c r="N1815" i="24"/>
  <c r="Q1814" i="24"/>
  <c r="P1814" i="24"/>
  <c r="N1814" i="24"/>
  <c r="Q1813" i="24"/>
  <c r="P1813" i="24"/>
  <c r="N1813" i="24"/>
  <c r="Q1812" i="24"/>
  <c r="P1812" i="24"/>
  <c r="N1812" i="24"/>
  <c r="Q1811" i="24"/>
  <c r="P1811" i="24"/>
  <c r="N1811" i="24"/>
  <c r="Q1810" i="24"/>
  <c r="P1810" i="24"/>
  <c r="N1810" i="24"/>
  <c r="Q1809" i="24"/>
  <c r="P1809" i="24"/>
  <c r="N1809" i="24"/>
  <c r="Q1808" i="24"/>
  <c r="P1808" i="24"/>
  <c r="N1808" i="24"/>
  <c r="Q1807" i="24"/>
  <c r="P1807" i="24"/>
  <c r="N1807" i="24"/>
  <c r="Q1806" i="24"/>
  <c r="P1806" i="24"/>
  <c r="N1806" i="24"/>
  <c r="Q1805" i="24"/>
  <c r="P1805" i="24"/>
  <c r="N1805" i="24"/>
  <c r="Q1804" i="24"/>
  <c r="P1804" i="24"/>
  <c r="N1804" i="24"/>
  <c r="Q1803" i="24"/>
  <c r="P1803" i="24"/>
  <c r="N1803" i="24"/>
  <c r="Q1802" i="24"/>
  <c r="P1802" i="24"/>
  <c r="N1802" i="24"/>
  <c r="Q1801" i="24"/>
  <c r="P1801" i="24"/>
  <c r="N1801" i="24"/>
  <c r="Q1800" i="24"/>
  <c r="P1800" i="24"/>
  <c r="N1800" i="24"/>
  <c r="Q1799" i="24"/>
  <c r="P1799" i="24"/>
  <c r="N1799" i="24"/>
  <c r="Q1798" i="24"/>
  <c r="P1798" i="24"/>
  <c r="N1798" i="24"/>
  <c r="Q1797" i="24"/>
  <c r="P1797" i="24"/>
  <c r="N1797" i="24"/>
  <c r="Q1796" i="24"/>
  <c r="P1796" i="24"/>
  <c r="N1796" i="24"/>
  <c r="Q1795" i="24"/>
  <c r="P1795" i="24"/>
  <c r="N1795" i="24"/>
  <c r="Q1794" i="24"/>
  <c r="P1794" i="24"/>
  <c r="N1794" i="24"/>
  <c r="Q1793" i="24"/>
  <c r="P1793" i="24"/>
  <c r="N1793" i="24"/>
  <c r="Q1792" i="24"/>
  <c r="P1792" i="24"/>
  <c r="N1792" i="24"/>
  <c r="Q1791" i="24"/>
  <c r="P1791" i="24"/>
  <c r="N1791" i="24"/>
  <c r="Q1790" i="24"/>
  <c r="P1790" i="24"/>
  <c r="N1790" i="24"/>
  <c r="Q1789" i="24"/>
  <c r="P1789" i="24"/>
  <c r="N1789" i="24"/>
  <c r="Q1788" i="24"/>
  <c r="P1788" i="24"/>
  <c r="N1788" i="24"/>
  <c r="Q1787" i="24"/>
  <c r="P1787" i="24"/>
  <c r="N1787" i="24"/>
  <c r="Q1786" i="24"/>
  <c r="P1786" i="24"/>
  <c r="N1786" i="24"/>
  <c r="Q1785" i="24"/>
  <c r="P1785" i="24"/>
  <c r="N1785" i="24"/>
  <c r="Q1784" i="24"/>
  <c r="P1784" i="24"/>
  <c r="N1784" i="24"/>
  <c r="Q1783" i="24"/>
  <c r="P1783" i="24"/>
  <c r="N1783" i="24"/>
  <c r="Q1782" i="24"/>
  <c r="P1782" i="24"/>
  <c r="N1782" i="24"/>
  <c r="Q1781" i="24"/>
  <c r="P1781" i="24"/>
  <c r="N1781" i="24"/>
  <c r="Q1780" i="24"/>
  <c r="P1780" i="24"/>
  <c r="N1780" i="24"/>
  <c r="Q1779" i="24"/>
  <c r="P1779" i="24"/>
  <c r="N1779" i="24"/>
  <c r="Q1778" i="24"/>
  <c r="P1778" i="24"/>
  <c r="N1778" i="24"/>
  <c r="Q1777" i="24"/>
  <c r="P1777" i="24"/>
  <c r="N1777" i="24"/>
  <c r="Q1776" i="24"/>
  <c r="P1776" i="24"/>
  <c r="N1776" i="24"/>
  <c r="Q1775" i="24"/>
  <c r="P1775" i="24"/>
  <c r="N1775" i="24"/>
  <c r="Q1774" i="24"/>
  <c r="P1774" i="24"/>
  <c r="N1774" i="24"/>
  <c r="Q1773" i="24"/>
  <c r="P1773" i="24"/>
  <c r="N1773" i="24"/>
  <c r="Q1772" i="24"/>
  <c r="P1772" i="24"/>
  <c r="N1772" i="24"/>
  <c r="Q1771" i="24"/>
  <c r="P1771" i="24"/>
  <c r="N1771" i="24"/>
  <c r="Q1770" i="24"/>
  <c r="P1770" i="24"/>
  <c r="N1770" i="24"/>
  <c r="Q1769" i="24"/>
  <c r="P1769" i="24"/>
  <c r="N1769" i="24"/>
  <c r="Q1768" i="24"/>
  <c r="P1768" i="24"/>
  <c r="N1768" i="24"/>
  <c r="Q1767" i="24"/>
  <c r="P1767" i="24"/>
  <c r="N1767" i="24"/>
  <c r="Q1766" i="24"/>
  <c r="P1766" i="24"/>
  <c r="N1766" i="24"/>
  <c r="Q1765" i="24"/>
  <c r="P1765" i="24"/>
  <c r="N1765" i="24"/>
  <c r="Q1764" i="24"/>
  <c r="P1764" i="24"/>
  <c r="N1764" i="24"/>
  <c r="Q1763" i="24"/>
  <c r="P1763" i="24"/>
  <c r="N1763" i="24"/>
  <c r="Q1762" i="24"/>
  <c r="P1762" i="24"/>
  <c r="N1762" i="24"/>
  <c r="Q1761" i="24"/>
  <c r="P1761" i="24"/>
  <c r="N1761" i="24"/>
  <c r="Q1760" i="24"/>
  <c r="P1760" i="24"/>
  <c r="N1760" i="24"/>
  <c r="Q1759" i="24"/>
  <c r="P1759" i="24"/>
  <c r="N1759" i="24"/>
  <c r="Q1758" i="24"/>
  <c r="P1758" i="24"/>
  <c r="N1758" i="24"/>
  <c r="Q1757" i="24"/>
  <c r="P1757" i="24"/>
  <c r="N1757" i="24"/>
  <c r="Q1756" i="24"/>
  <c r="P1756" i="24"/>
  <c r="N1756" i="24"/>
  <c r="Q1755" i="24"/>
  <c r="P1755" i="24"/>
  <c r="N1755" i="24"/>
  <c r="Q1754" i="24"/>
  <c r="P1754" i="24"/>
  <c r="N1754" i="24"/>
  <c r="Q1753" i="24"/>
  <c r="P1753" i="24"/>
  <c r="N1753" i="24"/>
  <c r="Q1752" i="24"/>
  <c r="P1752" i="24"/>
  <c r="N1752" i="24"/>
  <c r="Q1751" i="24"/>
  <c r="P1751" i="24"/>
  <c r="N1751" i="24"/>
  <c r="Q1750" i="24"/>
  <c r="P1750" i="24"/>
  <c r="N1750" i="24"/>
  <c r="Q1749" i="24"/>
  <c r="P1749" i="24"/>
  <c r="N1749" i="24"/>
  <c r="Q1748" i="24"/>
  <c r="P1748" i="24"/>
  <c r="N1748" i="24"/>
  <c r="Q1747" i="24"/>
  <c r="P1747" i="24"/>
  <c r="N1747" i="24"/>
  <c r="Q1746" i="24"/>
  <c r="P1746" i="24"/>
  <c r="N1746" i="24"/>
  <c r="Q1745" i="24"/>
  <c r="P1745" i="24"/>
  <c r="N1745" i="24"/>
  <c r="Q1744" i="24"/>
  <c r="P1744" i="24"/>
  <c r="N1744" i="24"/>
  <c r="Q1743" i="24"/>
  <c r="P1743" i="24"/>
  <c r="N1743" i="24"/>
  <c r="Q1742" i="24"/>
  <c r="P1742" i="24"/>
  <c r="N1742" i="24"/>
  <c r="Q1741" i="24"/>
  <c r="P1741" i="24"/>
  <c r="N1741" i="24"/>
  <c r="Q1740" i="24"/>
  <c r="P1740" i="24"/>
  <c r="N1740" i="24"/>
  <c r="Q1739" i="24"/>
  <c r="P1739" i="24"/>
  <c r="N1739" i="24"/>
  <c r="Q1738" i="24"/>
  <c r="P1738" i="24"/>
  <c r="N1738" i="24"/>
  <c r="Q1737" i="24"/>
  <c r="P1737" i="24"/>
  <c r="N1737" i="24"/>
  <c r="Q1736" i="24"/>
  <c r="P1736" i="24"/>
  <c r="N1736" i="24"/>
  <c r="Q1735" i="24"/>
  <c r="P1735" i="24"/>
  <c r="N1735" i="24"/>
  <c r="Q1734" i="24"/>
  <c r="P1734" i="24"/>
  <c r="N1734" i="24"/>
  <c r="Q1733" i="24"/>
  <c r="P1733" i="24"/>
  <c r="N1733" i="24"/>
  <c r="Q1732" i="24"/>
  <c r="P1732" i="24"/>
  <c r="N1732" i="24"/>
  <c r="Q1731" i="24"/>
  <c r="P1731" i="24"/>
  <c r="N1731" i="24"/>
  <c r="Q1730" i="24"/>
  <c r="P1730" i="24"/>
  <c r="N1730" i="24"/>
  <c r="Q1729" i="24"/>
  <c r="P1729" i="24"/>
  <c r="N1729" i="24"/>
  <c r="Q1728" i="24"/>
  <c r="P1728" i="24"/>
  <c r="N1728" i="24"/>
  <c r="Q1727" i="24"/>
  <c r="P1727" i="24"/>
  <c r="N1727" i="24"/>
  <c r="Q1726" i="24"/>
  <c r="P1726" i="24"/>
  <c r="N1726" i="24"/>
  <c r="Q1725" i="24"/>
  <c r="P1725" i="24"/>
  <c r="N1725" i="24"/>
  <c r="Q1724" i="24"/>
  <c r="P1724" i="24"/>
  <c r="N1724" i="24"/>
  <c r="Q1723" i="24"/>
  <c r="P1723" i="24"/>
  <c r="N1723" i="24"/>
  <c r="Q1722" i="24"/>
  <c r="P1722" i="24"/>
  <c r="N1722" i="24"/>
  <c r="Q1721" i="24"/>
  <c r="P1721" i="24"/>
  <c r="N1721" i="24"/>
  <c r="Q1720" i="24"/>
  <c r="P1720" i="24"/>
  <c r="N1720" i="24"/>
  <c r="Q1719" i="24"/>
  <c r="P1719" i="24"/>
  <c r="N1719" i="24"/>
  <c r="Q1718" i="24"/>
  <c r="P1718" i="24"/>
  <c r="N1718" i="24"/>
  <c r="Q1717" i="24"/>
  <c r="P1717" i="24"/>
  <c r="N1717" i="24"/>
  <c r="Q1716" i="24"/>
  <c r="P1716" i="24"/>
  <c r="N1716" i="24"/>
  <c r="Q1715" i="24"/>
  <c r="P1715" i="24"/>
  <c r="N1715" i="24"/>
  <c r="Q1714" i="24"/>
  <c r="P1714" i="24"/>
  <c r="N1714" i="24"/>
  <c r="Q1713" i="24"/>
  <c r="P1713" i="24"/>
  <c r="N1713" i="24"/>
  <c r="Q1712" i="24"/>
  <c r="P1712" i="24"/>
  <c r="N1712" i="24"/>
  <c r="Q1711" i="24"/>
  <c r="P1711" i="24"/>
  <c r="N1711" i="24"/>
  <c r="Q1710" i="24"/>
  <c r="P1710" i="24"/>
  <c r="N1710" i="24"/>
  <c r="Q1709" i="24"/>
  <c r="P1709" i="24"/>
  <c r="N1709" i="24"/>
  <c r="Q1708" i="24"/>
  <c r="P1708" i="24"/>
  <c r="N1708" i="24"/>
  <c r="Q1707" i="24"/>
  <c r="P1707" i="24"/>
  <c r="N1707" i="24"/>
  <c r="Q1706" i="24"/>
  <c r="P1706" i="24"/>
  <c r="N1706" i="24"/>
  <c r="Q1705" i="24"/>
  <c r="P1705" i="24"/>
  <c r="N1705" i="24"/>
  <c r="Q1704" i="24"/>
  <c r="P1704" i="24"/>
  <c r="N1704" i="24"/>
  <c r="Q1703" i="24"/>
  <c r="P1703" i="24"/>
  <c r="N1703" i="24"/>
  <c r="Q1702" i="24"/>
  <c r="P1702" i="24"/>
  <c r="N1702" i="24"/>
  <c r="Q1701" i="24"/>
  <c r="P1701" i="24"/>
  <c r="N1701" i="24"/>
  <c r="Q1700" i="24"/>
  <c r="P1700" i="24"/>
  <c r="N1700" i="24"/>
  <c r="Q1699" i="24"/>
  <c r="P1699" i="24"/>
  <c r="N1699" i="24"/>
  <c r="Q1698" i="24"/>
  <c r="P1698" i="24"/>
  <c r="N1698" i="24"/>
  <c r="Q1697" i="24"/>
  <c r="P1697" i="24"/>
  <c r="N1697" i="24"/>
  <c r="Q1696" i="24"/>
  <c r="P1696" i="24"/>
  <c r="N1696" i="24"/>
  <c r="Q1695" i="24"/>
  <c r="P1695" i="24"/>
  <c r="N1695" i="24"/>
  <c r="Q1694" i="24"/>
  <c r="P1694" i="24"/>
  <c r="N1694" i="24"/>
  <c r="Q1693" i="24"/>
  <c r="P1693" i="24"/>
  <c r="N1693" i="24"/>
  <c r="Q1692" i="24"/>
  <c r="P1692" i="24"/>
  <c r="N1692" i="24"/>
  <c r="Q1691" i="24"/>
  <c r="P1691" i="24"/>
  <c r="N1691" i="24"/>
  <c r="Q1690" i="24"/>
  <c r="P1690" i="24"/>
  <c r="N1690" i="24"/>
  <c r="Q1689" i="24"/>
  <c r="P1689" i="24"/>
  <c r="N1689" i="24"/>
  <c r="Q1688" i="24"/>
  <c r="P1688" i="24"/>
  <c r="N1688" i="24"/>
  <c r="Q1687" i="24"/>
  <c r="P1687" i="24"/>
  <c r="N1687" i="24"/>
  <c r="Q1686" i="24"/>
  <c r="P1686" i="24"/>
  <c r="N1686" i="24"/>
  <c r="Q1685" i="24"/>
  <c r="P1685" i="24"/>
  <c r="N1685" i="24"/>
  <c r="Q1684" i="24"/>
  <c r="P1684" i="24"/>
  <c r="N1684" i="24"/>
  <c r="Q1683" i="24"/>
  <c r="P1683" i="24"/>
  <c r="N1683" i="24"/>
  <c r="Q1682" i="24"/>
  <c r="P1682" i="24"/>
  <c r="N1682" i="24"/>
  <c r="Q1681" i="24"/>
  <c r="P1681" i="24"/>
  <c r="N1681" i="24"/>
  <c r="Q1680" i="24"/>
  <c r="P1680" i="24"/>
  <c r="N1680" i="24"/>
  <c r="Q1679" i="24"/>
  <c r="P1679" i="24"/>
  <c r="N1679" i="24"/>
  <c r="Q1678" i="24"/>
  <c r="P1678" i="24"/>
  <c r="N1678" i="24"/>
  <c r="Q1677" i="24"/>
  <c r="P1677" i="24"/>
  <c r="N1677" i="24"/>
  <c r="Q1676" i="24"/>
  <c r="P1676" i="24"/>
  <c r="N1676" i="24"/>
  <c r="Q1675" i="24"/>
  <c r="P1675" i="24"/>
  <c r="N1675" i="24"/>
  <c r="Q1674" i="24"/>
  <c r="P1674" i="24"/>
  <c r="N1674" i="24"/>
  <c r="Q1673" i="24"/>
  <c r="P1673" i="24"/>
  <c r="N1673" i="24"/>
  <c r="Q1672" i="24"/>
  <c r="P1672" i="24"/>
  <c r="N1672" i="24"/>
  <c r="Q1671" i="24"/>
  <c r="P1671" i="24"/>
  <c r="N1671" i="24"/>
  <c r="Q1670" i="24"/>
  <c r="P1670" i="24"/>
  <c r="N1670" i="24"/>
  <c r="Q1669" i="24"/>
  <c r="P1669" i="24"/>
  <c r="N1669" i="24"/>
  <c r="Q1668" i="24"/>
  <c r="P1668" i="24"/>
  <c r="N1668" i="24"/>
  <c r="Q1667" i="24"/>
  <c r="P1667" i="24"/>
  <c r="N1667" i="24"/>
  <c r="Q1666" i="24"/>
  <c r="P1666" i="24"/>
  <c r="N1666" i="24"/>
  <c r="Q1665" i="24"/>
  <c r="P1665" i="24"/>
  <c r="N1665" i="24"/>
  <c r="Q1664" i="24"/>
  <c r="P1664" i="24"/>
  <c r="N1664" i="24"/>
  <c r="Q1663" i="24"/>
  <c r="P1663" i="24"/>
  <c r="N1663" i="24"/>
  <c r="Q1662" i="24"/>
  <c r="P1662" i="24"/>
  <c r="N1662" i="24"/>
  <c r="Q1661" i="24"/>
  <c r="P1661" i="24"/>
  <c r="N1661" i="24"/>
  <c r="Q1660" i="24"/>
  <c r="P1660" i="24"/>
  <c r="N1660" i="24"/>
  <c r="Q1659" i="24"/>
  <c r="P1659" i="24"/>
  <c r="N1659" i="24"/>
  <c r="Q1658" i="24"/>
  <c r="P1658" i="24"/>
  <c r="N1658" i="24"/>
  <c r="Q1657" i="24"/>
  <c r="P1657" i="24"/>
  <c r="N1657" i="24"/>
  <c r="Q1656" i="24"/>
  <c r="P1656" i="24"/>
  <c r="N1656" i="24"/>
  <c r="Q1655" i="24"/>
  <c r="P1655" i="24"/>
  <c r="N1655" i="24"/>
  <c r="Q1654" i="24"/>
  <c r="P1654" i="24"/>
  <c r="N1654" i="24"/>
  <c r="Q1653" i="24"/>
  <c r="P1653" i="24"/>
  <c r="N1653" i="24"/>
  <c r="Q1652" i="24"/>
  <c r="P1652" i="24"/>
  <c r="N1652" i="24"/>
  <c r="Q1651" i="24"/>
  <c r="P1651" i="24"/>
  <c r="N1651" i="24"/>
  <c r="Q1650" i="24"/>
  <c r="P1650" i="24"/>
  <c r="N1650" i="24"/>
  <c r="I2259" i="24"/>
  <c r="O2259" i="24" s="1"/>
  <c r="I2258" i="24"/>
  <c r="I2257" i="24"/>
  <c r="I2256" i="24"/>
  <c r="I2255" i="24"/>
  <c r="I2254" i="24"/>
  <c r="I2253" i="24"/>
  <c r="I2252" i="24"/>
  <c r="I2251" i="24"/>
  <c r="I2250" i="24"/>
  <c r="I2249" i="24"/>
  <c r="I2248" i="24"/>
  <c r="I2247" i="24"/>
  <c r="I2246" i="24"/>
  <c r="I2245" i="24"/>
  <c r="I2244" i="24"/>
  <c r="I2242" i="24"/>
  <c r="I2241" i="24"/>
  <c r="I2240" i="24"/>
  <c r="I2239" i="24"/>
  <c r="I2238" i="24"/>
  <c r="I2237" i="24"/>
  <c r="I2236" i="24"/>
  <c r="I2235" i="24"/>
  <c r="I2234" i="24"/>
  <c r="I2233" i="24"/>
  <c r="I2231" i="24"/>
  <c r="I2230" i="24"/>
  <c r="I2229" i="24"/>
  <c r="I2228" i="24"/>
  <c r="I2227" i="24"/>
  <c r="I2226" i="24"/>
  <c r="I2225" i="24"/>
  <c r="O2225" i="24" s="1"/>
  <c r="I2223" i="24"/>
  <c r="I2222" i="24"/>
  <c r="I2221" i="24"/>
  <c r="I2220" i="24"/>
  <c r="I2219" i="24"/>
  <c r="I2218" i="24"/>
  <c r="I2217" i="24"/>
  <c r="O2217" i="24" s="1"/>
  <c r="I2216" i="24"/>
  <c r="I2215" i="24"/>
  <c r="I2214" i="24"/>
  <c r="I2213" i="24"/>
  <c r="I2212" i="24"/>
  <c r="I2211" i="24"/>
  <c r="I2210" i="24"/>
  <c r="I2209" i="24"/>
  <c r="O2209" i="24" s="1"/>
  <c r="I2208" i="24"/>
  <c r="I2207" i="24"/>
  <c r="I2206" i="24"/>
  <c r="I2205" i="24"/>
  <c r="I2204" i="24"/>
  <c r="I2203" i="24"/>
  <c r="I2202" i="24"/>
  <c r="I2201" i="24"/>
  <c r="O2201" i="24" s="1"/>
  <c r="I2200" i="24"/>
  <c r="I2199" i="24"/>
  <c r="I2198" i="24"/>
  <c r="I2197" i="24"/>
  <c r="I2196" i="24"/>
  <c r="I2195" i="24"/>
  <c r="I2194" i="24"/>
  <c r="I2193" i="24"/>
  <c r="O2193" i="24" s="1"/>
  <c r="I2192" i="24"/>
  <c r="I2191" i="24"/>
  <c r="I2190" i="24"/>
  <c r="I2189" i="24"/>
  <c r="I2188" i="24"/>
  <c r="I2187" i="24"/>
  <c r="I2186" i="24"/>
  <c r="I2185" i="24"/>
  <c r="O2185" i="24" s="1"/>
  <c r="I2184" i="24"/>
  <c r="I2183" i="24"/>
  <c r="I2182" i="24"/>
  <c r="I2181" i="24"/>
  <c r="I2180" i="24"/>
  <c r="I2179" i="24"/>
  <c r="I2178" i="24"/>
  <c r="I2177" i="24"/>
  <c r="O2177" i="24" s="1"/>
  <c r="I2176" i="24"/>
  <c r="I2175" i="24"/>
  <c r="I2174" i="24"/>
  <c r="I2173" i="24"/>
  <c r="I2172" i="24"/>
  <c r="I2171" i="24"/>
  <c r="I2170" i="24"/>
  <c r="I2169" i="24"/>
  <c r="O2169" i="24" s="1"/>
  <c r="I2168" i="24"/>
  <c r="I2167" i="24"/>
  <c r="I2166" i="24"/>
  <c r="I2165" i="24"/>
  <c r="I2164" i="24"/>
  <c r="I2163" i="24"/>
  <c r="I2161" i="24"/>
  <c r="O2161" i="24" s="1"/>
  <c r="I2160" i="24"/>
  <c r="I2159" i="24"/>
  <c r="O2159" i="24" s="1"/>
  <c r="I2158" i="24"/>
  <c r="I2157" i="24"/>
  <c r="I2156" i="24"/>
  <c r="I2155" i="24"/>
  <c r="I2154" i="24"/>
  <c r="I2153" i="24"/>
  <c r="O2153" i="24" s="1"/>
  <c r="I2152" i="24"/>
  <c r="I2151" i="24"/>
  <c r="O2151" i="24" s="1"/>
  <c r="I2150" i="24"/>
  <c r="I2149" i="24"/>
  <c r="I2148" i="24"/>
  <c r="I2147" i="24"/>
  <c r="I2146" i="24"/>
  <c r="I2145" i="24"/>
  <c r="O2145" i="24" s="1"/>
  <c r="I2144" i="24"/>
  <c r="I2143" i="24"/>
  <c r="O2143" i="24" s="1"/>
  <c r="I2142" i="24"/>
  <c r="I2141" i="24"/>
  <c r="I2140" i="24"/>
  <c r="I2139" i="24"/>
  <c r="I2138" i="24"/>
  <c r="I2137" i="24"/>
  <c r="O2137" i="24" s="1"/>
  <c r="I2136" i="24"/>
  <c r="I2135" i="24"/>
  <c r="O2135" i="24" s="1"/>
  <c r="I2134" i="24"/>
  <c r="I2133" i="24"/>
  <c r="I2132" i="24"/>
  <c r="I2131" i="24"/>
  <c r="I2130" i="24"/>
  <c r="I2129" i="24"/>
  <c r="O2129" i="24" s="1"/>
  <c r="I2128" i="24"/>
  <c r="I2127" i="24"/>
  <c r="O2127" i="24" s="1"/>
  <c r="I2126" i="24"/>
  <c r="I2125" i="24"/>
  <c r="I2124" i="24"/>
  <c r="I2123" i="24"/>
  <c r="I2122" i="24"/>
  <c r="I2121" i="24"/>
  <c r="I2120" i="24"/>
  <c r="I2119" i="24"/>
  <c r="O2119" i="24" s="1"/>
  <c r="I2118" i="24"/>
  <c r="I2117" i="24"/>
  <c r="I2116" i="24"/>
  <c r="I2115" i="24"/>
  <c r="I2114" i="24"/>
  <c r="I2113" i="24"/>
  <c r="O2113" i="24" s="1"/>
  <c r="I2112" i="24"/>
  <c r="I2111" i="24"/>
  <c r="O2111" i="24" s="1"/>
  <c r="I2110" i="24"/>
  <c r="I2109" i="24"/>
  <c r="I2108" i="24"/>
  <c r="I2107" i="24"/>
  <c r="I2106" i="24"/>
  <c r="I2105" i="24"/>
  <c r="O2105" i="24" s="1"/>
  <c r="I2104" i="24"/>
  <c r="I2103" i="24"/>
  <c r="O2103" i="24" s="1"/>
  <c r="I2102" i="24"/>
  <c r="I2101" i="24"/>
  <c r="I2100" i="24"/>
  <c r="I2099" i="24"/>
  <c r="I2098" i="24"/>
  <c r="I2097" i="24"/>
  <c r="O2097" i="24" s="1"/>
  <c r="I2096" i="24"/>
  <c r="I2095" i="24"/>
  <c r="O2095" i="24" s="1"/>
  <c r="I2094" i="24"/>
  <c r="I2093" i="24"/>
  <c r="I2092" i="24"/>
  <c r="I2091" i="24"/>
  <c r="I2090" i="24"/>
  <c r="I2089" i="24"/>
  <c r="O2089" i="24" s="1"/>
  <c r="I2088" i="24"/>
  <c r="I2087" i="24"/>
  <c r="O2087" i="24" s="1"/>
  <c r="I2086" i="24"/>
  <c r="I2085" i="24"/>
  <c r="I2084" i="24"/>
  <c r="I2083" i="24"/>
  <c r="I2082" i="24"/>
  <c r="I2081" i="24"/>
  <c r="O2081" i="24" s="1"/>
  <c r="I2080" i="24"/>
  <c r="I2079" i="24"/>
  <c r="O2079" i="24" s="1"/>
  <c r="I2078" i="24"/>
  <c r="I2077" i="24"/>
  <c r="I2076" i="24"/>
  <c r="I2075" i="24"/>
  <c r="O2075" i="24" s="1"/>
  <c r="I2074" i="24"/>
  <c r="I2073" i="24"/>
  <c r="I2072" i="24"/>
  <c r="I2071" i="24"/>
  <c r="O2071" i="24" s="1"/>
  <c r="I2070" i="24"/>
  <c r="I2069" i="24"/>
  <c r="I2068" i="24"/>
  <c r="I2067" i="24"/>
  <c r="O2067" i="24" s="1"/>
  <c r="I2066" i="24"/>
  <c r="I2065" i="24"/>
  <c r="I2064" i="24"/>
  <c r="I2063" i="24"/>
  <c r="O2063" i="24" s="1"/>
  <c r="I2062" i="24"/>
  <c r="I2061" i="24"/>
  <c r="I2060" i="24"/>
  <c r="I2059" i="24"/>
  <c r="O2059" i="24" s="1"/>
  <c r="I2058" i="24"/>
  <c r="I2057" i="24"/>
  <c r="I2056" i="24"/>
  <c r="I2055" i="24"/>
  <c r="O2055" i="24" s="1"/>
  <c r="I2054" i="24"/>
  <c r="I2053" i="24"/>
  <c r="I2052" i="24"/>
  <c r="I2051" i="24"/>
  <c r="O2051" i="24" s="1"/>
  <c r="I2050" i="24"/>
  <c r="I2049" i="24"/>
  <c r="I2048" i="24"/>
  <c r="I2047" i="24"/>
  <c r="O2047" i="24" s="1"/>
  <c r="I2046" i="24"/>
  <c r="I2045" i="24"/>
  <c r="I2044" i="24"/>
  <c r="I2043" i="24"/>
  <c r="O2043" i="24" s="1"/>
  <c r="I2042" i="24"/>
  <c r="I2041" i="24"/>
  <c r="I2040" i="24"/>
  <c r="I2039" i="24"/>
  <c r="O2039" i="24" s="1"/>
  <c r="I2038" i="24"/>
  <c r="I2037" i="24"/>
  <c r="I2036" i="24"/>
  <c r="I2035" i="24"/>
  <c r="O2035" i="24" s="1"/>
  <c r="I2034" i="24"/>
  <c r="I2033" i="24"/>
  <c r="I2032" i="24"/>
  <c r="I2031" i="24"/>
  <c r="O2031" i="24" s="1"/>
  <c r="I2030" i="24"/>
  <c r="I2029" i="24"/>
  <c r="I2028" i="24"/>
  <c r="I2027" i="24"/>
  <c r="O2027" i="24" s="1"/>
  <c r="I2026" i="24"/>
  <c r="I2025" i="24"/>
  <c r="I2024" i="24"/>
  <c r="I2023" i="24"/>
  <c r="O2023" i="24" s="1"/>
  <c r="I2022" i="24"/>
  <c r="I2021" i="24"/>
  <c r="I2020" i="24"/>
  <c r="I2019" i="24"/>
  <c r="O2019" i="24" s="1"/>
  <c r="I2018" i="24"/>
  <c r="I2017" i="24"/>
  <c r="I2016" i="24"/>
  <c r="I2015" i="24"/>
  <c r="O2015" i="24" s="1"/>
  <c r="I2014" i="24"/>
  <c r="I2013" i="24"/>
  <c r="I2012" i="24"/>
  <c r="I2011" i="24"/>
  <c r="I2010" i="24"/>
  <c r="I2009" i="24"/>
  <c r="I2008" i="24"/>
  <c r="I2007" i="24"/>
  <c r="O2007" i="24" s="1"/>
  <c r="I2006" i="24"/>
  <c r="I2005" i="24"/>
  <c r="I2004" i="24"/>
  <c r="I2003" i="24"/>
  <c r="O2003" i="24" s="1"/>
  <c r="I2002" i="24"/>
  <c r="I2001" i="24"/>
  <c r="I2000" i="24"/>
  <c r="I1999" i="24"/>
  <c r="O1999" i="24" s="1"/>
  <c r="I1998" i="24"/>
  <c r="I1997" i="24"/>
  <c r="I1996" i="24"/>
  <c r="I1995" i="24"/>
  <c r="O1995" i="24" s="1"/>
  <c r="I1994" i="24"/>
  <c r="I1993" i="24"/>
  <c r="I1992" i="24"/>
  <c r="I1991" i="24"/>
  <c r="O1991" i="24" s="1"/>
  <c r="I1990" i="24"/>
  <c r="I1989" i="24"/>
  <c r="I1988" i="24"/>
  <c r="I1987" i="24"/>
  <c r="O1987" i="24" s="1"/>
  <c r="I1986" i="24"/>
  <c r="I1985" i="24"/>
  <c r="I1984" i="24"/>
  <c r="I1983" i="24"/>
  <c r="O1983" i="24" s="1"/>
  <c r="I1982" i="24"/>
  <c r="I1981" i="24"/>
  <c r="I1980" i="24"/>
  <c r="I1979" i="24"/>
  <c r="O1979" i="24" s="1"/>
  <c r="I1978" i="24"/>
  <c r="I1977" i="24"/>
  <c r="O1977" i="24" s="1"/>
  <c r="I1976" i="24"/>
  <c r="I1975" i="24"/>
  <c r="O1975" i="24" s="1"/>
  <c r="I1974" i="24"/>
  <c r="I1973" i="24"/>
  <c r="I1972" i="24"/>
  <c r="I1971" i="24"/>
  <c r="O1971" i="24" s="1"/>
  <c r="I1970" i="24"/>
  <c r="I1969" i="24"/>
  <c r="O1969" i="24" s="1"/>
  <c r="I1968" i="24"/>
  <c r="I1967" i="24"/>
  <c r="O1967" i="24" s="1"/>
  <c r="I1966" i="24"/>
  <c r="I1965" i="24"/>
  <c r="I1964" i="24"/>
  <c r="I1963" i="24"/>
  <c r="O1963" i="24" s="1"/>
  <c r="I1962" i="24"/>
  <c r="I1961" i="24"/>
  <c r="O1961" i="24" s="1"/>
  <c r="I1960" i="24"/>
  <c r="I1959" i="24"/>
  <c r="O1959" i="24" s="1"/>
  <c r="I1958" i="24"/>
  <c r="I1957" i="24"/>
  <c r="I1956" i="24"/>
  <c r="I1955" i="24"/>
  <c r="O1955" i="24" s="1"/>
  <c r="I1954" i="24"/>
  <c r="I1953" i="24"/>
  <c r="I1952" i="24"/>
  <c r="I1951" i="24"/>
  <c r="O1951" i="24" s="1"/>
  <c r="I1950" i="24"/>
  <c r="I1949" i="24"/>
  <c r="I1948" i="24"/>
  <c r="I1947" i="24"/>
  <c r="O1947" i="24" s="1"/>
  <c r="I1946" i="24"/>
  <c r="I1945" i="24"/>
  <c r="O1945" i="24" s="1"/>
  <c r="I1944" i="24"/>
  <c r="I1943" i="24"/>
  <c r="O1943" i="24" s="1"/>
  <c r="I1942" i="24"/>
  <c r="I1941" i="24"/>
  <c r="I1940" i="24"/>
  <c r="I1939" i="24"/>
  <c r="O1939" i="24" s="1"/>
  <c r="I1938" i="24"/>
  <c r="I1937" i="24"/>
  <c r="O1937" i="24" s="1"/>
  <c r="I1936" i="24"/>
  <c r="I1935" i="24"/>
  <c r="O1935" i="24" s="1"/>
  <c r="I1934" i="24"/>
  <c r="I1933" i="24"/>
  <c r="I1932" i="24"/>
  <c r="I1931" i="24"/>
  <c r="O1931" i="24" s="1"/>
  <c r="I1930" i="24"/>
  <c r="I1929" i="24"/>
  <c r="I1928" i="24"/>
  <c r="I1927" i="24"/>
  <c r="O1927" i="24" s="1"/>
  <c r="I1926" i="24"/>
  <c r="I1925" i="24"/>
  <c r="I1924" i="24"/>
  <c r="I1923" i="24"/>
  <c r="I1922" i="24"/>
  <c r="I1921" i="24"/>
  <c r="I1920" i="24"/>
  <c r="I1919" i="24"/>
  <c r="O1919" i="24" s="1"/>
  <c r="I1918" i="24"/>
  <c r="I1917" i="24"/>
  <c r="I1916" i="24"/>
  <c r="I1915" i="24"/>
  <c r="I1914" i="24"/>
  <c r="I1913" i="24"/>
  <c r="I1912" i="24"/>
  <c r="I1911" i="24"/>
  <c r="O1911" i="24" s="1"/>
  <c r="I1910" i="24"/>
  <c r="I1909" i="24"/>
  <c r="I1908" i="24"/>
  <c r="I1907" i="24"/>
  <c r="I1906" i="24"/>
  <c r="I1905" i="24"/>
  <c r="I1904" i="24"/>
  <c r="I1903" i="24"/>
  <c r="I1902" i="24"/>
  <c r="I1901" i="24"/>
  <c r="I1900" i="24"/>
  <c r="I1899" i="24"/>
  <c r="I1898" i="24"/>
  <c r="I1897" i="24"/>
  <c r="I1896" i="24"/>
  <c r="I1895" i="24"/>
  <c r="O1895" i="24" s="1"/>
  <c r="I1894" i="24"/>
  <c r="I1893" i="24"/>
  <c r="I1892" i="24"/>
  <c r="I1891" i="24"/>
  <c r="O1891" i="24" s="1"/>
  <c r="I1890" i="24"/>
  <c r="I1889" i="24"/>
  <c r="I1888" i="24"/>
  <c r="I1887" i="24"/>
  <c r="O1887" i="24" s="1"/>
  <c r="I1886" i="24"/>
  <c r="I1885" i="24"/>
  <c r="I1884" i="24"/>
  <c r="I1883" i="24"/>
  <c r="O1883" i="24" s="1"/>
  <c r="I1882" i="24"/>
  <c r="I1881" i="24"/>
  <c r="I1880" i="24"/>
  <c r="I1879" i="24"/>
  <c r="O1879" i="24" s="1"/>
  <c r="I1878" i="24"/>
  <c r="I1877" i="24"/>
  <c r="I1876" i="24"/>
  <c r="I1875" i="24"/>
  <c r="I1874" i="24"/>
  <c r="I1873" i="24"/>
  <c r="I1872" i="24"/>
  <c r="I1871" i="24"/>
  <c r="I1870" i="24"/>
  <c r="I1869" i="24"/>
  <c r="I1868" i="24"/>
  <c r="I1867" i="24"/>
  <c r="O1867" i="24" s="1"/>
  <c r="I1866" i="24"/>
  <c r="I1865" i="24"/>
  <c r="I1864" i="24"/>
  <c r="I1863" i="24"/>
  <c r="I1862" i="24"/>
  <c r="I1861" i="24"/>
  <c r="I1860" i="24"/>
  <c r="I1859" i="24"/>
  <c r="O1859" i="24" s="1"/>
  <c r="I1858" i="24"/>
  <c r="I1857" i="24"/>
  <c r="I1856" i="24"/>
  <c r="I1855" i="24"/>
  <c r="O1855" i="24" s="1"/>
  <c r="I1854" i="24"/>
  <c r="I1853" i="24"/>
  <c r="I1852" i="24"/>
  <c r="I1851" i="24"/>
  <c r="O1851" i="24" s="1"/>
  <c r="I1850" i="24"/>
  <c r="I1849" i="24"/>
  <c r="I1848" i="24"/>
  <c r="I1847" i="24"/>
  <c r="O1847" i="24" s="1"/>
  <c r="I1846" i="24"/>
  <c r="I1845" i="24"/>
  <c r="I1844" i="24"/>
  <c r="I1843" i="24"/>
  <c r="O1843" i="24" s="1"/>
  <c r="I1842" i="24"/>
  <c r="I1841" i="24"/>
  <c r="I1840" i="24"/>
  <c r="I1839" i="24"/>
  <c r="I1838" i="24"/>
  <c r="I1837" i="24"/>
  <c r="I1836" i="24"/>
  <c r="I1835" i="24"/>
  <c r="O1835" i="24" s="1"/>
  <c r="I1834" i="24"/>
  <c r="I1833" i="24"/>
  <c r="I1832" i="24"/>
  <c r="I1831" i="24"/>
  <c r="O1831" i="24" s="1"/>
  <c r="I1830" i="24"/>
  <c r="I1829" i="24"/>
  <c r="I1828" i="24"/>
  <c r="I1827" i="24"/>
  <c r="I1826" i="24"/>
  <c r="I1825" i="24"/>
  <c r="I1824" i="24"/>
  <c r="I1823" i="24"/>
  <c r="O1823" i="24" s="1"/>
  <c r="I1822" i="24"/>
  <c r="I1821" i="24"/>
  <c r="I1820" i="24"/>
  <c r="I1819" i="24"/>
  <c r="O1819" i="24" s="1"/>
  <c r="I1818" i="24"/>
  <c r="I1817" i="24"/>
  <c r="I1816" i="24"/>
  <c r="I1815" i="24"/>
  <c r="O1815" i="24" s="1"/>
  <c r="I1814" i="24"/>
  <c r="I1813" i="24"/>
  <c r="I1812" i="24"/>
  <c r="I1811" i="24"/>
  <c r="O1811" i="24" s="1"/>
  <c r="I1810" i="24"/>
  <c r="I1809" i="24"/>
  <c r="I1808" i="24"/>
  <c r="I1807" i="24"/>
  <c r="I1806" i="24"/>
  <c r="I1805" i="24"/>
  <c r="I1804" i="24"/>
  <c r="I1803" i="24"/>
  <c r="O1803" i="24" s="1"/>
  <c r="I1802" i="24"/>
  <c r="I1801" i="24"/>
  <c r="I1800" i="24"/>
  <c r="I1799" i="24"/>
  <c r="I1798" i="24"/>
  <c r="I1797" i="24"/>
  <c r="I1796" i="24"/>
  <c r="I1795" i="24"/>
  <c r="O1795" i="24" s="1"/>
  <c r="I1794" i="24"/>
  <c r="I1793" i="24"/>
  <c r="I1792" i="24"/>
  <c r="I1791" i="24"/>
  <c r="I1790" i="24"/>
  <c r="I1789" i="24"/>
  <c r="I1788" i="24"/>
  <c r="I1787" i="24"/>
  <c r="O1787" i="24" s="1"/>
  <c r="I1786" i="24"/>
  <c r="I1785" i="24"/>
  <c r="I1784" i="24"/>
  <c r="I1783" i="24"/>
  <c r="I1782" i="24"/>
  <c r="I1781" i="24"/>
  <c r="I1780" i="24"/>
  <c r="I1779" i="24"/>
  <c r="O1779" i="24" s="1"/>
  <c r="I1778" i="24"/>
  <c r="I1777" i="24"/>
  <c r="I1776" i="24"/>
  <c r="I1775" i="24"/>
  <c r="I1774" i="24"/>
  <c r="I1773" i="24"/>
  <c r="I1772" i="24"/>
  <c r="I1771" i="24"/>
  <c r="I1770" i="24"/>
  <c r="I1769" i="24"/>
  <c r="I1768" i="24"/>
  <c r="I1767" i="24"/>
  <c r="I1766" i="24"/>
  <c r="I1765" i="24"/>
  <c r="I1764" i="24"/>
  <c r="I1763" i="24"/>
  <c r="I1762" i="24"/>
  <c r="I1761" i="24"/>
  <c r="I1760" i="24"/>
  <c r="I1759" i="24"/>
  <c r="I1758" i="24"/>
  <c r="I1757" i="24"/>
  <c r="I1756" i="24"/>
  <c r="I1755" i="24"/>
  <c r="I1754" i="24"/>
  <c r="I1753" i="24"/>
  <c r="I1752" i="24"/>
  <c r="I1751" i="24"/>
  <c r="I1750" i="24"/>
  <c r="I1749" i="24"/>
  <c r="I1748" i="24"/>
  <c r="I1747" i="24"/>
  <c r="I1746" i="24"/>
  <c r="I1745" i="24"/>
  <c r="I1744" i="24"/>
  <c r="I1743" i="24"/>
  <c r="O1743" i="24" s="1"/>
  <c r="I1742" i="24"/>
  <c r="I1741" i="24"/>
  <c r="I1740" i="24"/>
  <c r="I1739" i="24"/>
  <c r="O1739" i="24" s="1"/>
  <c r="I1738" i="24"/>
  <c r="I1737" i="24"/>
  <c r="I1736" i="24"/>
  <c r="I1735" i="24"/>
  <c r="I1734" i="24"/>
  <c r="I1733" i="24"/>
  <c r="I1732" i="24"/>
  <c r="I1731" i="24"/>
  <c r="I1730" i="24"/>
  <c r="I1729" i="24"/>
  <c r="I1728" i="24"/>
  <c r="I1727" i="24"/>
  <c r="I1726" i="24"/>
  <c r="I1725" i="24"/>
  <c r="I1724" i="24"/>
  <c r="I1723" i="24"/>
  <c r="I1722" i="24"/>
  <c r="I1721" i="24"/>
  <c r="I1720" i="24"/>
  <c r="I1719" i="24"/>
  <c r="I1718" i="24"/>
  <c r="I1717" i="24"/>
  <c r="I1716" i="24"/>
  <c r="I1715" i="24"/>
  <c r="O1715" i="24" s="1"/>
  <c r="I1714" i="24"/>
  <c r="I1713" i="24"/>
  <c r="I1712" i="24"/>
  <c r="I1711" i="24"/>
  <c r="I1710" i="24"/>
  <c r="I1709" i="24"/>
  <c r="I1708" i="24"/>
  <c r="I1707" i="24"/>
  <c r="O1707" i="24" s="1"/>
  <c r="I1706" i="24"/>
  <c r="I1705" i="24"/>
  <c r="I1704" i="24"/>
  <c r="I1703" i="24"/>
  <c r="I1702" i="24"/>
  <c r="I1701" i="24"/>
  <c r="I1700" i="24"/>
  <c r="I1699" i="24"/>
  <c r="I1698" i="24"/>
  <c r="I1697" i="24"/>
  <c r="I1696" i="24"/>
  <c r="I1695" i="24"/>
  <c r="I1694" i="24"/>
  <c r="I1693" i="24"/>
  <c r="I1692" i="24"/>
  <c r="I1691" i="24"/>
  <c r="I1690" i="24"/>
  <c r="I1689" i="24"/>
  <c r="I1688" i="24"/>
  <c r="I1687" i="24"/>
  <c r="I1686" i="24"/>
  <c r="I1685" i="24"/>
  <c r="I1684" i="24"/>
  <c r="I1683" i="24"/>
  <c r="O1683" i="24" s="1"/>
  <c r="I1682" i="24"/>
  <c r="I1681" i="24"/>
  <c r="I1680" i="24"/>
  <c r="I1679" i="24"/>
  <c r="I1678" i="24"/>
  <c r="I1677" i="24"/>
  <c r="I1676" i="24"/>
  <c r="I1675" i="24"/>
  <c r="O1675" i="24" s="1"/>
  <c r="I1674" i="24"/>
  <c r="I1673" i="24"/>
  <c r="I1672" i="24"/>
  <c r="I1671" i="24"/>
  <c r="I1670" i="24"/>
  <c r="I1669" i="24"/>
  <c r="I1668" i="24"/>
  <c r="I1667" i="24"/>
  <c r="I1666" i="24"/>
  <c r="I1665" i="24"/>
  <c r="I1664" i="24"/>
  <c r="I1663" i="24"/>
  <c r="I1662" i="24"/>
  <c r="I1661" i="24"/>
  <c r="I1660" i="24"/>
  <c r="I1659" i="24"/>
  <c r="I1658" i="24"/>
  <c r="I1657" i="24"/>
  <c r="I1656" i="24"/>
  <c r="I1655" i="24"/>
  <c r="I1654" i="24"/>
  <c r="I1653" i="24"/>
  <c r="I1652" i="24"/>
  <c r="I1651" i="24"/>
  <c r="O1651" i="24" s="1"/>
  <c r="I1650" i="24"/>
  <c r="O1736" i="24" l="1"/>
  <c r="O1744" i="24"/>
  <c r="O1808" i="24"/>
  <c r="O1816" i="24"/>
  <c r="O1824" i="24"/>
  <c r="O1840" i="24"/>
  <c r="O1856" i="24"/>
  <c r="O1864" i="24"/>
  <c r="O1872" i="24"/>
  <c r="O1880" i="24"/>
  <c r="O1896" i="24"/>
  <c r="O1904" i="24"/>
  <c r="O1912" i="24"/>
  <c r="O2231" i="24"/>
  <c r="O1650" i="24"/>
  <c r="O1654" i="24"/>
  <c r="O1658" i="24"/>
  <c r="O1662" i="24"/>
  <c r="O1666" i="24"/>
  <c r="O1670" i="24"/>
  <c r="O1674" i="24"/>
  <c r="O1678" i="24"/>
  <c r="O1682" i="24"/>
  <c r="O1690" i="24"/>
  <c r="O1694" i="24"/>
  <c r="O1698" i="24"/>
  <c r="O1702" i="24"/>
  <c r="O1706" i="24"/>
  <c r="O1710" i="24"/>
  <c r="O1714" i="24"/>
  <c r="O1718" i="24"/>
  <c r="O1722" i="24"/>
  <c r="O1726" i="24"/>
  <c r="O1730" i="24"/>
  <c r="O1866" i="24"/>
  <c r="O1874" i="24"/>
  <c r="O1882" i="24"/>
  <c r="O1890" i="24"/>
  <c r="O1906" i="24"/>
  <c r="O1914" i="24"/>
  <c r="O1922" i="24"/>
  <c r="O1925" i="24"/>
  <c r="R1732" i="24"/>
  <c r="R2178" i="24"/>
  <c r="R1921" i="24"/>
  <c r="R1679" i="24"/>
  <c r="R1740" i="24"/>
  <c r="R1788" i="24"/>
  <c r="R1868" i="24"/>
  <c r="R1887" i="24"/>
  <c r="R1895" i="24"/>
  <c r="R1924" i="24"/>
  <c r="R1980" i="24"/>
  <c r="R2114" i="24"/>
  <c r="R1829" i="24"/>
  <c r="O2167" i="24"/>
  <c r="O2175" i="24"/>
  <c r="O2183" i="24"/>
  <c r="O2191" i="24"/>
  <c r="O2199" i="24"/>
  <c r="O2207" i="24"/>
  <c r="O2215" i="24"/>
  <c r="O2223" i="24"/>
  <c r="R1752" i="24"/>
  <c r="R1768" i="24"/>
  <c r="R1776" i="24"/>
  <c r="R1976" i="24"/>
  <c r="R2008" i="24"/>
  <c r="R2048" i="24"/>
  <c r="R2080" i="24"/>
  <c r="O1679" i="24"/>
  <c r="O1687" i="24"/>
  <c r="O1711" i="24"/>
  <c r="O1719" i="24"/>
  <c r="R1665" i="24"/>
  <c r="R1689" i="24"/>
  <c r="R1705" i="24"/>
  <c r="R1721" i="24"/>
  <c r="R1729" i="24"/>
  <c r="R1856" i="24"/>
  <c r="R1896" i="24"/>
  <c r="R1912" i="24"/>
  <c r="R2170" i="24"/>
  <c r="R1758" i="24"/>
  <c r="R1806" i="24"/>
  <c r="R1835" i="24"/>
  <c r="O2179" i="24"/>
  <c r="O2187" i="24"/>
  <c r="O2195" i="24"/>
  <c r="O2203" i="24"/>
  <c r="O2211" i="24"/>
  <c r="O2219" i="24"/>
  <c r="O2227" i="24"/>
  <c r="R1668" i="24"/>
  <c r="R1684" i="24"/>
  <c r="R1841" i="24"/>
  <c r="R1929" i="24"/>
  <c r="R2113" i="24"/>
  <c r="R1815" i="24"/>
  <c r="R1855" i="24"/>
  <c r="O1750" i="24"/>
  <c r="O1758" i="24"/>
  <c r="O1766" i="24"/>
  <c r="O1774" i="24"/>
  <c r="O1782" i="24"/>
  <c r="O1798" i="24"/>
  <c r="O1806" i="24"/>
  <c r="O1814" i="24"/>
  <c r="O1822" i="24"/>
  <c r="O1830" i="24"/>
  <c r="O1838" i="24"/>
  <c r="O1846" i="24"/>
  <c r="O1854" i="24"/>
  <c r="O1862" i="24"/>
  <c r="O1870" i="24"/>
  <c r="O1878" i="24"/>
  <c r="O1886" i="24"/>
  <c r="O1894" i="24"/>
  <c r="O1902" i="24"/>
  <c r="O2255" i="24"/>
  <c r="R1978" i="24"/>
  <c r="R1994" i="24"/>
  <c r="R2002" i="24"/>
  <c r="R2010" i="24"/>
  <c r="R1661" i="24"/>
  <c r="R1685" i="24"/>
  <c r="O1696" i="24"/>
  <c r="R1725" i="24"/>
  <c r="R1762" i="24"/>
  <c r="R1767" i="24"/>
  <c r="R1807" i="24"/>
  <c r="R1839" i="24"/>
  <c r="R1881" i="24"/>
  <c r="R1916" i="24"/>
  <c r="R1982" i="24"/>
  <c r="R2104" i="24"/>
  <c r="R2112" i="24"/>
  <c r="R2120" i="24"/>
  <c r="R2176" i="24"/>
  <c r="O2233" i="24"/>
  <c r="O2241" i="24"/>
  <c r="O2249" i="24"/>
  <c r="R1704" i="24"/>
  <c r="R1712" i="24"/>
  <c r="R1720" i="24"/>
  <c r="R1816" i="24"/>
  <c r="R1824" i="24"/>
  <c r="R1874" i="24"/>
  <c r="R1922" i="24"/>
  <c r="R1927" i="24"/>
  <c r="R1932" i="24"/>
  <c r="R1937" i="24"/>
  <c r="R1940" i="24"/>
  <c r="R1985" i="24"/>
  <c r="R2184" i="24"/>
  <c r="R1710" i="24"/>
  <c r="R1779" i="24"/>
  <c r="R1795" i="24"/>
  <c r="R1811" i="24"/>
  <c r="O1738" i="24"/>
  <c r="O1746" i="24"/>
  <c r="O1754" i="24"/>
  <c r="O1762" i="24"/>
  <c r="O1770" i="24"/>
  <c r="O1778" i="24"/>
  <c r="O1786" i="24"/>
  <c r="O1794" i="24"/>
  <c r="O1810" i="24"/>
  <c r="O1818" i="24"/>
  <c r="O1826" i="24"/>
  <c r="O1834" i="24"/>
  <c r="O1842" i="24"/>
  <c r="O1850" i="24"/>
  <c r="R2177" i="24"/>
  <c r="R2250" i="24"/>
  <c r="M3066" i="12" s="1"/>
  <c r="O2083" i="24"/>
  <c r="O2091" i="24"/>
  <c r="O2099" i="24"/>
  <c r="O2107" i="24"/>
  <c r="O1924" i="24"/>
  <c r="R1844" i="24"/>
  <c r="R1870" i="24"/>
  <c r="R1878" i="24"/>
  <c r="R1886" i="24"/>
  <c r="R1936" i="24"/>
  <c r="R1944" i="24"/>
  <c r="R1981" i="24"/>
  <c r="R1989" i="24"/>
  <c r="R1997" i="24"/>
  <c r="R2077" i="24"/>
  <c r="R2106" i="24"/>
  <c r="O1672" i="24"/>
  <c r="O1680" i="24"/>
  <c r="O1712" i="24"/>
  <c r="O1920" i="24"/>
  <c r="R1656" i="24"/>
  <c r="R1688" i="24"/>
  <c r="O1752" i="24"/>
  <c r="R1831" i="24"/>
  <c r="R1847" i="24"/>
  <c r="R1865" i="24"/>
  <c r="R1889" i="24"/>
  <c r="R1899" i="24"/>
  <c r="R1907" i="24"/>
  <c r="R1977" i="24"/>
  <c r="R2123" i="24"/>
  <c r="R2131" i="24"/>
  <c r="R2139" i="24"/>
  <c r="R2168" i="24"/>
  <c r="O2017" i="24"/>
  <c r="O2025" i="24"/>
  <c r="O2033" i="24"/>
  <c r="O2041" i="24"/>
  <c r="O2049" i="24"/>
  <c r="O2057" i="24"/>
  <c r="O2065" i="24"/>
  <c r="O2073" i="24"/>
  <c r="R1667" i="24"/>
  <c r="R1691" i="24"/>
  <c r="R1744" i="24"/>
  <c r="R1784" i="24"/>
  <c r="R1792" i="24"/>
  <c r="R1834" i="24"/>
  <c r="R1860" i="24"/>
  <c r="R1876" i="24"/>
  <c r="R1884" i="24"/>
  <c r="R1925" i="24"/>
  <c r="R1930" i="24"/>
  <c r="R1951" i="24"/>
  <c r="R1967" i="24"/>
  <c r="R1996" i="24"/>
  <c r="R2009" i="24"/>
  <c r="R2187" i="24"/>
  <c r="R2195" i="24"/>
  <c r="R2203" i="24"/>
  <c r="O1899" i="24"/>
  <c r="O1907" i="24"/>
  <c r="O2115" i="24"/>
  <c r="O2123" i="24"/>
  <c r="O2131" i="24"/>
  <c r="O2139" i="24"/>
  <c r="O2147" i="24"/>
  <c r="O2155" i="24"/>
  <c r="O2163" i="24"/>
  <c r="O2171" i="24"/>
  <c r="R1763" i="24"/>
  <c r="R1787" i="24"/>
  <c r="R1863" i="24"/>
  <c r="R1660" i="24"/>
  <c r="R1713" i="24"/>
  <c r="R1737" i="24"/>
  <c r="R1809" i="24"/>
  <c r="R1819" i="24"/>
  <c r="R1827" i="24"/>
  <c r="R1843" i="24"/>
  <c r="R1851" i="24"/>
  <c r="R1893" i="24"/>
  <c r="R1900" i="24"/>
  <c r="R1908" i="24"/>
  <c r="R2127" i="24"/>
  <c r="R2240" i="24"/>
  <c r="M3056" i="12" s="1"/>
  <c r="R2245" i="24"/>
  <c r="M3061" i="12" s="1"/>
  <c r="R2248" i="24"/>
  <c r="M3064" i="12" s="1"/>
  <c r="R2256" i="24"/>
  <c r="M3072" i="12" s="1"/>
  <c r="R1663" i="24"/>
  <c r="R1695" i="24"/>
  <c r="R1703" i="24"/>
  <c r="R1711" i="24"/>
  <c r="R1719" i="24"/>
  <c r="R1748" i="24"/>
  <c r="R1756" i="24"/>
  <c r="R1764" i="24"/>
  <c r="R1772" i="24"/>
  <c r="R1796" i="24"/>
  <c r="R1804" i="24"/>
  <c r="R1838" i="24"/>
  <c r="R1846" i="24"/>
  <c r="R1880" i="24"/>
  <c r="R1914" i="24"/>
  <c r="R1919" i="24"/>
  <c r="R1947" i="24"/>
  <c r="R1963" i="24"/>
  <c r="R1984" i="24"/>
  <c r="R1992" i="24"/>
  <c r="R2000" i="24"/>
  <c r="R2016" i="24"/>
  <c r="R2122" i="24"/>
  <c r="R2191" i="24"/>
  <c r="R1650" i="24"/>
  <c r="R1658" i="24"/>
  <c r="R1674" i="24"/>
  <c r="R1730" i="24"/>
  <c r="R1751" i="24"/>
  <c r="R1799" i="24"/>
  <c r="R1825" i="24"/>
  <c r="R1833" i="24"/>
  <c r="R1859" i="24"/>
  <c r="R1867" i="24"/>
  <c r="R1883" i="24"/>
  <c r="R1891" i="24"/>
  <c r="R2003" i="24"/>
  <c r="R2019" i="24"/>
  <c r="R2051" i="24"/>
  <c r="R2059" i="24"/>
  <c r="R2186" i="24"/>
  <c r="O2235" i="24"/>
  <c r="O2243" i="24"/>
  <c r="O2251" i="24"/>
  <c r="R2242" i="24"/>
  <c r="M3058" i="12" s="1"/>
  <c r="R2258" i="24"/>
  <c r="M3074" i="12" s="1"/>
  <c r="R2253" i="24"/>
  <c r="M3069" i="12" s="1"/>
  <c r="R2261" i="24"/>
  <c r="M3077" i="12" s="1"/>
  <c r="R2233" i="24"/>
  <c r="M3049" i="12" s="1"/>
  <c r="R2252" i="24"/>
  <c r="M3068" i="12" s="1"/>
  <c r="R2260" i="24"/>
  <c r="M3076" i="12" s="1"/>
  <c r="R2237" i="24"/>
  <c r="M3053" i="12" s="1"/>
  <c r="O2239" i="24"/>
  <c r="R1655" i="24"/>
  <c r="O1663" i="24"/>
  <c r="R1673" i="24"/>
  <c r="R1747" i="24"/>
  <c r="R1780" i="24"/>
  <c r="R1802" i="24"/>
  <c r="R1812" i="24"/>
  <c r="R1832" i="24"/>
  <c r="R1848" i="24"/>
  <c r="R1903" i="24"/>
  <c r="R1913" i="24"/>
  <c r="R1918" i="24"/>
  <c r="R1928" i="24"/>
  <c r="R1946" i="24"/>
  <c r="R1962" i="24"/>
  <c r="R2024" i="24"/>
  <c r="R2040" i="24"/>
  <c r="R2045" i="24"/>
  <c r="R2053" i="24"/>
  <c r="R2056" i="24"/>
  <c r="R2064" i="24"/>
  <c r="R2150" i="24"/>
  <c r="R2158" i="24"/>
  <c r="R2166" i="24"/>
  <c r="R2181" i="24"/>
  <c r="R2194" i="24"/>
  <c r="R2202" i="24"/>
  <c r="R2210" i="24"/>
  <c r="R2218" i="24"/>
  <c r="M3034" i="12" s="1"/>
  <c r="R2226" i="24"/>
  <c r="M3042" i="12" s="1"/>
  <c r="O1742" i="24"/>
  <c r="O1918" i="24"/>
  <c r="O1745" i="24"/>
  <c r="O2054" i="24"/>
  <c r="O2062" i="24"/>
  <c r="O1686" i="24"/>
  <c r="O1734" i="24"/>
  <c r="O1655" i="24"/>
  <c r="O1863" i="24"/>
  <c r="O2247" i="24"/>
  <c r="R1666" i="24"/>
  <c r="R1681" i="24"/>
  <c r="O1689" i="24"/>
  <c r="O1705" i="24"/>
  <c r="R1707" i="24"/>
  <c r="R1717" i="24"/>
  <c r="R1727" i="24"/>
  <c r="R1755" i="24"/>
  <c r="R1783" i="24"/>
  <c r="R1800" i="24"/>
  <c r="R1810" i="24"/>
  <c r="R1854" i="24"/>
  <c r="R1861" i="24"/>
  <c r="R1866" i="24"/>
  <c r="R1871" i="24"/>
  <c r="R1879" i="24"/>
  <c r="R1894" i="24"/>
  <c r="R1911" i="24"/>
  <c r="R1926" i="24"/>
  <c r="R1949" i="24"/>
  <c r="R1957" i="24"/>
  <c r="R1965" i="24"/>
  <c r="R1968" i="24"/>
  <c r="R1999" i="24"/>
  <c r="R2004" i="24"/>
  <c r="R2030" i="24"/>
  <c r="R2038" i="24"/>
  <c r="R2046" i="24"/>
  <c r="R2062" i="24"/>
  <c r="R2070" i="24"/>
  <c r="R2075" i="24"/>
  <c r="R2101" i="24"/>
  <c r="R2109" i="24"/>
  <c r="R2132" i="24"/>
  <c r="R2140" i="24"/>
  <c r="R2145" i="24"/>
  <c r="R2148" i="24"/>
  <c r="R2153" i="24"/>
  <c r="R2161" i="24"/>
  <c r="R2169" i="24"/>
  <c r="R2189" i="24"/>
  <c r="R2192" i="24"/>
  <c r="R2197" i="24"/>
  <c r="R2200" i="24"/>
  <c r="R2208" i="24"/>
  <c r="R2216" i="24"/>
  <c r="M3032" i="12" s="1"/>
  <c r="R2224" i="24"/>
  <c r="M3040" i="12" s="1"/>
  <c r="R2229" i="24"/>
  <c r="M3045" i="12" s="1"/>
  <c r="R2255" i="24"/>
  <c r="M3071" i="12" s="1"/>
  <c r="O1888" i="24"/>
  <c r="O1928" i="24"/>
  <c r="O1720" i="24"/>
  <c r="O1704" i="24"/>
  <c r="O1832" i="24"/>
  <c r="O1848" i="24"/>
  <c r="O1985" i="24"/>
  <c r="O1993" i="24"/>
  <c r="O2001" i="24"/>
  <c r="O2121" i="24"/>
  <c r="O2257" i="24"/>
  <c r="R1687" i="24"/>
  <c r="R1697" i="24"/>
  <c r="R1700" i="24"/>
  <c r="R1738" i="24"/>
  <c r="R1743" i="24"/>
  <c r="R1771" i="24"/>
  <c r="R1791" i="24"/>
  <c r="R1793" i="24"/>
  <c r="R1803" i="24"/>
  <c r="R1820" i="24"/>
  <c r="R1823" i="24"/>
  <c r="R1828" i="24"/>
  <c r="R1842" i="24"/>
  <c r="R1849" i="24"/>
  <c r="R1852" i="24"/>
  <c r="R1882" i="24"/>
  <c r="R1892" i="24"/>
  <c r="R1904" i="24"/>
  <c r="R1950" i="24"/>
  <c r="R1958" i="24"/>
  <c r="R2017" i="24"/>
  <c r="R2020" i="24"/>
  <c r="R2025" i="24"/>
  <c r="R2028" i="24"/>
  <c r="R2033" i="24"/>
  <c r="R2041" i="24"/>
  <c r="R2049" i="24"/>
  <c r="R2052" i="24"/>
  <c r="R2060" i="24"/>
  <c r="R2065" i="24"/>
  <c r="R2068" i="24"/>
  <c r="R2073" i="24"/>
  <c r="R2086" i="24"/>
  <c r="R2094" i="24"/>
  <c r="R2102" i="24"/>
  <c r="R2117" i="24"/>
  <c r="R2130" i="24"/>
  <c r="R2138" i="24"/>
  <c r="R2146" i="24"/>
  <c r="R2154" i="24"/>
  <c r="R2214" i="24"/>
  <c r="R2222" i="24"/>
  <c r="M3038" i="12" s="1"/>
  <c r="R2230" i="24"/>
  <c r="M3046" i="12" s="1"/>
  <c r="R2243" i="24"/>
  <c r="M3059" i="12" s="1"/>
  <c r="O1802" i="24"/>
  <c r="O1858" i="24"/>
  <c r="O1898" i="24"/>
  <c r="O1923" i="24"/>
  <c r="O2011" i="24"/>
  <c r="R1675" i="24"/>
  <c r="R1680" i="24"/>
  <c r="R1698" i="24"/>
  <c r="R1706" i="24"/>
  <c r="R1708" i="24"/>
  <c r="R1759" i="24"/>
  <c r="R1774" i="24"/>
  <c r="R1814" i="24"/>
  <c r="R1836" i="24"/>
  <c r="R1850" i="24"/>
  <c r="R1875" i="24"/>
  <c r="R1890" i="24"/>
  <c r="R1905" i="24"/>
  <c r="R1915" i="24"/>
  <c r="R1920" i="24"/>
  <c r="R1943" i="24"/>
  <c r="R1945" i="24"/>
  <c r="R1956" i="24"/>
  <c r="R1961" i="24"/>
  <c r="R1969" i="24"/>
  <c r="R1987" i="24"/>
  <c r="R1995" i="24"/>
  <c r="R2026" i="24"/>
  <c r="R2034" i="24"/>
  <c r="R2058" i="24"/>
  <c r="R2066" i="24"/>
  <c r="R2084" i="24"/>
  <c r="R2089" i="24"/>
  <c r="R2097" i="24"/>
  <c r="R2105" i="24"/>
  <c r="R2125" i="24"/>
  <c r="R2128" i="24"/>
  <c r="R2133" i="24"/>
  <c r="R2136" i="24"/>
  <c r="R2144" i="24"/>
  <c r="R2152" i="24"/>
  <c r="R2165" i="24"/>
  <c r="R2173" i="24"/>
  <c r="R2196" i="24"/>
  <c r="R2204" i="24"/>
  <c r="R2209" i="24"/>
  <c r="R2212" i="24"/>
  <c r="R2217" i="24"/>
  <c r="M3033" i="12" s="1"/>
  <c r="R2225" i="24"/>
  <c r="M3041" i="12" s="1"/>
  <c r="R2239" i="24"/>
  <c r="M3055" i="12" s="1"/>
  <c r="R2251" i="24"/>
  <c r="M3067" i="12" s="1"/>
  <c r="R2259" i="24"/>
  <c r="M3075" i="12" s="1"/>
  <c r="O1652" i="24"/>
  <c r="O1781" i="24"/>
  <c r="O1836" i="24"/>
  <c r="O1910" i="24"/>
  <c r="O1661" i="24"/>
  <c r="R1676" i="24"/>
  <c r="O1703" i="24"/>
  <c r="O1725" i="24"/>
  <c r="O1741" i="24"/>
  <c r="O1801" i="24"/>
  <c r="O1825" i="24"/>
  <c r="O1865" i="24"/>
  <c r="O1903" i="24"/>
  <c r="O1948" i="24"/>
  <c r="O1994" i="24"/>
  <c r="O2189" i="24"/>
  <c r="R1652" i="24"/>
  <c r="O1659" i="24"/>
  <c r="O1668" i="24"/>
  <c r="O1677" i="24"/>
  <c r="O1681" i="24"/>
  <c r="O1692" i="24"/>
  <c r="R1696" i="24"/>
  <c r="O1701" i="24"/>
  <c r="O1732" i="24"/>
  <c r="O1757" i="24"/>
  <c r="O1768" i="24"/>
  <c r="O1777" i="24"/>
  <c r="O1799" i="24"/>
  <c r="O1821" i="24"/>
  <c r="O1873" i="24"/>
  <c r="O1913" i="24"/>
  <c r="R1948" i="24"/>
  <c r="O1964" i="24"/>
  <c r="O1972" i="24"/>
  <c r="O1772" i="24"/>
  <c r="O2004" i="24"/>
  <c r="O1790" i="24"/>
  <c r="O1653" i="24"/>
  <c r="O1657" i="24"/>
  <c r="R1659" i="24"/>
  <c r="R1670" i="24"/>
  <c r="R1672" i="24"/>
  <c r="R1683" i="24"/>
  <c r="R1692" i="24"/>
  <c r="O1697" i="24"/>
  <c r="O1699" i="24"/>
  <c r="O1708" i="24"/>
  <c r="R1714" i="24"/>
  <c r="R1716" i="24"/>
  <c r="O1723" i="24"/>
  <c r="R1734" i="24"/>
  <c r="R1736" i="24"/>
  <c r="O1755" i="24"/>
  <c r="O1764" i="24"/>
  <c r="R1770" i="24"/>
  <c r="O1775" i="24"/>
  <c r="O1791" i="24"/>
  <c r="O1793" i="24"/>
  <c r="O1797" i="24"/>
  <c r="R1801" i="24"/>
  <c r="O1813" i="24"/>
  <c r="O1817" i="24"/>
  <c r="O1828" i="24"/>
  <c r="R1830" i="24"/>
  <c r="O1839" i="24"/>
  <c r="O1841" i="24"/>
  <c r="R1873" i="24"/>
  <c r="O1921" i="24"/>
  <c r="O1992" i="24"/>
  <c r="O1685" i="24"/>
  <c r="O1953" i="24"/>
  <c r="O2009" i="24"/>
  <c r="R1653" i="24"/>
  <c r="R1657" i="24"/>
  <c r="O1664" i="24"/>
  <c r="O1673" i="24"/>
  <c r="O1688" i="24"/>
  <c r="O1717" i="24"/>
  <c r="O1721" i="24"/>
  <c r="R1723" i="24"/>
  <c r="O1728" i="24"/>
  <c r="O1737" i="24"/>
  <c r="R1739" i="24"/>
  <c r="R1746" i="24"/>
  <c r="O1751" i="24"/>
  <c r="O1753" i="24"/>
  <c r="R1766" i="24"/>
  <c r="O1773" i="24"/>
  <c r="R1775" i="24"/>
  <c r="R1782" i="24"/>
  <c r="R1817" i="24"/>
  <c r="O1833" i="24"/>
  <c r="O1871" i="24"/>
  <c r="O1881" i="24"/>
  <c r="O1926" i="24"/>
  <c r="O1944" i="24"/>
  <c r="O1660" i="24"/>
  <c r="O1671" i="24"/>
  <c r="O1693" i="24"/>
  <c r="O1735" i="24"/>
  <c r="O1760" i="24"/>
  <c r="O1771" i="24"/>
  <c r="O1789" i="24"/>
  <c r="O1897" i="24"/>
  <c r="O1934" i="24"/>
  <c r="O1957" i="24"/>
  <c r="O2021" i="24"/>
  <c r="O1827" i="24"/>
  <c r="O1875" i="24"/>
  <c r="O1915" i="24"/>
  <c r="R1651" i="24"/>
  <c r="R1664" i="24"/>
  <c r="O1669" i="24"/>
  <c r="R1671" i="24"/>
  <c r="R1678" i="24"/>
  <c r="R1693" i="24"/>
  <c r="O1700" i="24"/>
  <c r="O1709" i="24"/>
  <c r="O1713" i="24"/>
  <c r="O1724" i="24"/>
  <c r="R1728" i="24"/>
  <c r="O1733" i="24"/>
  <c r="R1735" i="24"/>
  <c r="O1747" i="24"/>
  <c r="O1749" i="24"/>
  <c r="R1760" i="24"/>
  <c r="O1767" i="24"/>
  <c r="O1769" i="24"/>
  <c r="R1778" i="24"/>
  <c r="O1783" i="24"/>
  <c r="O1785" i="24"/>
  <c r="O1800" i="24"/>
  <c r="R1826" i="24"/>
  <c r="O1857" i="24"/>
  <c r="R1897" i="24"/>
  <c r="R1952" i="24"/>
  <c r="O1960" i="24"/>
  <c r="O1656" i="24"/>
  <c r="O1665" i="24"/>
  <c r="O1667" i="24"/>
  <c r="O1676" i="24"/>
  <c r="R1682" i="24"/>
  <c r="O1691" i="24"/>
  <c r="R1702" i="24"/>
  <c r="R1715" i="24"/>
  <c r="R1724" i="24"/>
  <c r="O1729" i="24"/>
  <c r="O1731" i="24"/>
  <c r="O1756" i="24"/>
  <c r="R1785" i="24"/>
  <c r="O1792" i="24"/>
  <c r="O1796" i="24"/>
  <c r="O1805" i="24"/>
  <c r="O1844" i="24"/>
  <c r="R1857" i="24"/>
  <c r="R1864" i="24"/>
  <c r="R1888" i="24"/>
  <c r="O1905" i="24"/>
  <c r="O1996" i="24"/>
  <c r="O1684" i="24"/>
  <c r="R1690" i="24"/>
  <c r="O1695" i="24"/>
  <c r="R1699" i="24"/>
  <c r="O1716" i="24"/>
  <c r="R1722" i="24"/>
  <c r="O1727" i="24"/>
  <c r="R1731" i="24"/>
  <c r="O1748" i="24"/>
  <c r="R1754" i="24"/>
  <c r="O1763" i="24"/>
  <c r="O1765" i="24"/>
  <c r="O1784" i="24"/>
  <c r="O1788" i="24"/>
  <c r="R1794" i="24"/>
  <c r="R1798" i="24"/>
  <c r="R1808" i="24"/>
  <c r="O1820" i="24"/>
  <c r="O1837" i="24"/>
  <c r="O1845" i="24"/>
  <c r="O1860" i="24"/>
  <c r="O1885" i="24"/>
  <c r="O1900" i="24"/>
  <c r="O1908" i="24"/>
  <c r="R1941" i="24"/>
  <c r="R1955" i="24"/>
  <c r="O1958" i="24"/>
  <c r="R1960" i="24"/>
  <c r="O1965" i="24"/>
  <c r="O1988" i="24"/>
  <c r="O1997" i="24"/>
  <c r="O2002" i="24"/>
  <c r="R2014" i="24"/>
  <c r="R2088" i="24"/>
  <c r="R2098" i="24"/>
  <c r="O2125" i="24"/>
  <c r="R2162" i="24"/>
  <c r="O1740" i="24"/>
  <c r="R1742" i="24"/>
  <c r="R1750" i="24"/>
  <c r="O1759" i="24"/>
  <c r="O1761" i="24"/>
  <c r="O1776" i="24"/>
  <c r="O1780" i="24"/>
  <c r="R1786" i="24"/>
  <c r="R1790" i="24"/>
  <c r="O1807" i="24"/>
  <c r="O1809" i="24"/>
  <c r="R1818" i="24"/>
  <c r="R1822" i="24"/>
  <c r="O1849" i="24"/>
  <c r="R1858" i="24"/>
  <c r="R1862" i="24"/>
  <c r="O1889" i="24"/>
  <c r="R1898" i="24"/>
  <c r="R1902" i="24"/>
  <c r="R1906" i="24"/>
  <c r="R1910" i="24"/>
  <c r="R1923" i="24"/>
  <c r="R1939" i="24"/>
  <c r="O1942" i="24"/>
  <c r="O1949" i="24"/>
  <c r="O1968" i="24"/>
  <c r="R1970" i="24"/>
  <c r="O1986" i="24"/>
  <c r="R1988" i="24"/>
  <c r="O2000" i="24"/>
  <c r="O2012" i="24"/>
  <c r="R2032" i="24"/>
  <c r="R2042" i="24"/>
  <c r="R2096" i="24"/>
  <c r="O2108" i="24"/>
  <c r="O2245" i="24"/>
  <c r="O1853" i="24"/>
  <c r="O1868" i="24"/>
  <c r="O1876" i="24"/>
  <c r="O1893" i="24"/>
  <c r="O1916" i="24"/>
  <c r="O1929" i="24"/>
  <c r="O1933" i="24"/>
  <c r="R1935" i="24"/>
  <c r="R1942" i="24"/>
  <c r="O1973" i="24"/>
  <c r="R1979" i="24"/>
  <c r="O1984" i="24"/>
  <c r="R1986" i="24"/>
  <c r="O2005" i="24"/>
  <c r="O2022" i="24"/>
  <c r="O2076" i="24"/>
  <c r="O2106" i="24"/>
  <c r="R2160" i="24"/>
  <c r="O2180" i="24"/>
  <c r="O2198" i="24"/>
  <c r="O1940" i="24"/>
  <c r="O1952" i="24"/>
  <c r="O1954" i="24"/>
  <c r="O1966" i="24"/>
  <c r="O1982" i="24"/>
  <c r="O1989" i="24"/>
  <c r="O1998" i="24"/>
  <c r="O2050" i="24"/>
  <c r="O2104" i="24"/>
  <c r="O2116" i="24"/>
  <c r="O2126" i="24"/>
  <c r="O2134" i="24"/>
  <c r="O2178" i="24"/>
  <c r="O1861" i="24"/>
  <c r="R1872" i="24"/>
  <c r="O1884" i="24"/>
  <c r="O1901" i="24"/>
  <c r="O1909" i="24"/>
  <c r="R1931" i="24"/>
  <c r="R1933" i="24"/>
  <c r="O1936" i="24"/>
  <c r="O1938" i="24"/>
  <c r="O1950" i="24"/>
  <c r="R1954" i="24"/>
  <c r="R1966" i="24"/>
  <c r="R1973" i="24"/>
  <c r="O1976" i="24"/>
  <c r="O1978" i="24"/>
  <c r="O1980" i="24"/>
  <c r="O2020" i="24"/>
  <c r="O2048" i="24"/>
  <c r="O2053" i="24"/>
  <c r="O2114" i="24"/>
  <c r="O2176" i="24"/>
  <c r="O2236" i="24"/>
  <c r="O2006" i="24"/>
  <c r="O2077" i="24"/>
  <c r="O2112" i="24"/>
  <c r="O1804" i="24"/>
  <c r="O1812" i="24"/>
  <c r="O1829" i="24"/>
  <c r="R1840" i="24"/>
  <c r="O1852" i="24"/>
  <c r="O1869" i="24"/>
  <c r="O1877" i="24"/>
  <c r="O1892" i="24"/>
  <c r="O1917" i="24"/>
  <c r="O1930" i="24"/>
  <c r="O1932" i="24"/>
  <c r="R1934" i="24"/>
  <c r="O1941" i="24"/>
  <c r="O1946" i="24"/>
  <c r="O1962" i="24"/>
  <c r="R1964" i="24"/>
  <c r="R1974" i="24"/>
  <c r="O1990" i="24"/>
  <c r="R2013" i="24"/>
  <c r="O2016" i="24"/>
  <c r="O2018" i="24"/>
  <c r="R2072" i="24"/>
  <c r="O2080" i="24"/>
  <c r="R2090" i="24"/>
  <c r="O2117" i="24"/>
  <c r="O2254" i="24"/>
  <c r="R2001" i="24"/>
  <c r="R2006" i="24"/>
  <c r="O2013" i="24"/>
  <c r="R2015" i="24"/>
  <c r="R2022" i="24"/>
  <c r="R2037" i="24"/>
  <c r="O2040" i="24"/>
  <c r="O2042" i="24"/>
  <c r="O2044" i="24"/>
  <c r="R2057" i="24"/>
  <c r="O2078" i="24"/>
  <c r="R2082" i="24"/>
  <c r="R2093" i="24"/>
  <c r="O2096" i="24"/>
  <c r="O2098" i="24"/>
  <c r="O2100" i="24"/>
  <c r="O2109" i="24"/>
  <c r="R2111" i="24"/>
  <c r="R2115" i="24"/>
  <c r="O2118" i="24"/>
  <c r="R2124" i="24"/>
  <c r="R2137" i="24"/>
  <c r="R2142" i="24"/>
  <c r="R2157" i="24"/>
  <c r="O2160" i="24"/>
  <c r="O2162" i="24"/>
  <c r="O2164" i="24"/>
  <c r="O2173" i="24"/>
  <c r="R2175" i="24"/>
  <c r="R2179" i="24"/>
  <c r="O2182" i="24"/>
  <c r="R2188" i="24"/>
  <c r="R2201" i="24"/>
  <c r="R2206" i="24"/>
  <c r="R2221" i="24"/>
  <c r="M3037" i="12" s="1"/>
  <c r="O2224" i="24"/>
  <c r="O2226" i="24"/>
  <c r="O2228" i="24"/>
  <c r="R2235" i="24"/>
  <c r="M3051" i="12" s="1"/>
  <c r="O2238" i="24"/>
  <c r="R2244" i="24"/>
  <c r="M3060" i="12" s="1"/>
  <c r="R2257" i="24"/>
  <c r="M3073" i="12" s="1"/>
  <c r="O2029" i="24"/>
  <c r="R2035" i="24"/>
  <c r="O2038" i="24"/>
  <c r="R2044" i="24"/>
  <c r="O2056" i="24"/>
  <c r="O2058" i="24"/>
  <c r="O2060" i="24"/>
  <c r="O2069" i="24"/>
  <c r="R2078" i="24"/>
  <c r="O2085" i="24"/>
  <c r="R2091" i="24"/>
  <c r="O2094" i="24"/>
  <c r="R2100" i="24"/>
  <c r="R2118" i="24"/>
  <c r="O2136" i="24"/>
  <c r="O2138" i="24"/>
  <c r="O2140" i="24"/>
  <c r="O2149" i="24"/>
  <c r="R2155" i="24"/>
  <c r="O2158" i="24"/>
  <c r="R2164" i="24"/>
  <c r="R2182" i="24"/>
  <c r="O2200" i="24"/>
  <c r="O2202" i="24"/>
  <c r="O2204" i="24"/>
  <c r="O2213" i="24"/>
  <c r="R2219" i="24"/>
  <c r="M3035" i="12" s="1"/>
  <c r="O2222" i="24"/>
  <c r="R2228" i="24"/>
  <c r="M3044" i="12" s="1"/>
  <c r="R2238" i="24"/>
  <c r="M3054" i="12" s="1"/>
  <c r="O2256" i="24"/>
  <c r="O2258" i="24"/>
  <c r="O2260" i="24"/>
  <c r="R1938" i="24"/>
  <c r="R1953" i="24"/>
  <c r="O1956" i="24"/>
  <c r="R1971" i="24"/>
  <c r="O1974" i="24"/>
  <c r="R1993" i="24"/>
  <c r="R1998" i="24"/>
  <c r="R2011" i="24"/>
  <c r="O2014" i="24"/>
  <c r="R2018" i="24"/>
  <c r="R2029" i="24"/>
  <c r="O2032" i="24"/>
  <c r="O2034" i="24"/>
  <c r="O2036" i="24"/>
  <c r="O2045" i="24"/>
  <c r="R2047" i="24"/>
  <c r="R2054" i="24"/>
  <c r="R2069" i="24"/>
  <c r="O2072" i="24"/>
  <c r="O2074" i="24"/>
  <c r="R2076" i="24"/>
  <c r="R2085" i="24"/>
  <c r="O2088" i="24"/>
  <c r="O2090" i="24"/>
  <c r="O2092" i="24"/>
  <c r="O2101" i="24"/>
  <c r="R2103" i="24"/>
  <c r="R2107" i="24"/>
  <c r="O2110" i="24"/>
  <c r="R2116" i="24"/>
  <c r="R2129" i="24"/>
  <c r="R2134" i="24"/>
  <c r="R2149" i="24"/>
  <c r="O2152" i="24"/>
  <c r="O2154" i="24"/>
  <c r="O2156" i="24"/>
  <c r="O2165" i="24"/>
  <c r="R2167" i="24"/>
  <c r="R2171" i="24"/>
  <c r="O2174" i="24"/>
  <c r="R2180" i="24"/>
  <c r="R2193" i="24"/>
  <c r="R2198" i="24"/>
  <c r="R2213" i="24"/>
  <c r="O2216" i="24"/>
  <c r="O2218" i="24"/>
  <c r="O2220" i="24"/>
  <c r="O2229" i="24"/>
  <c r="R2231" i="24"/>
  <c r="M3047" i="12" s="1"/>
  <c r="O2234" i="24"/>
  <c r="R2236" i="24"/>
  <c r="M3052" i="12" s="1"/>
  <c r="R2249" i="24"/>
  <c r="M3065" i="12" s="1"/>
  <c r="R2254" i="24"/>
  <c r="M3070" i="12" s="1"/>
  <c r="R2027" i="24"/>
  <c r="O2030" i="24"/>
  <c r="R2036" i="24"/>
  <c r="O2052" i="24"/>
  <c r="O2061" i="24"/>
  <c r="R2063" i="24"/>
  <c r="R2067" i="24"/>
  <c r="O2070" i="24"/>
  <c r="R2074" i="24"/>
  <c r="R2083" i="24"/>
  <c r="O2086" i="24"/>
  <c r="R2092" i="24"/>
  <c r="R2110" i="24"/>
  <c r="O2128" i="24"/>
  <c r="O2130" i="24"/>
  <c r="O2132" i="24"/>
  <c r="O2141" i="24"/>
  <c r="R2147" i="24"/>
  <c r="O2150" i="24"/>
  <c r="R2156" i="24"/>
  <c r="R2174" i="24"/>
  <c r="O2192" i="24"/>
  <c r="O2194" i="24"/>
  <c r="O2196" i="24"/>
  <c r="O2205" i="24"/>
  <c r="R2211" i="24"/>
  <c r="O2214" i="24"/>
  <c r="R2220" i="24"/>
  <c r="M3036" i="12" s="1"/>
  <c r="R2234" i="24"/>
  <c r="M3050" i="12" s="1"/>
  <c r="O2248" i="24"/>
  <c r="O2250" i="24"/>
  <c r="O2252" i="24"/>
  <c r="O2168" i="24"/>
  <c r="O2170" i="24"/>
  <c r="O2172" i="24"/>
  <c r="O2181" i="24"/>
  <c r="O2190" i="24"/>
  <c r="O2237" i="24"/>
  <c r="O2246" i="24"/>
  <c r="O1970" i="24"/>
  <c r="R1972" i="24"/>
  <c r="O1981" i="24"/>
  <c r="R1983" i="24"/>
  <c r="R1990" i="24"/>
  <c r="R2005" i="24"/>
  <c r="O2008" i="24"/>
  <c r="O2010" i="24"/>
  <c r="R2012" i="24"/>
  <c r="R2021" i="24"/>
  <c r="O2024" i="24"/>
  <c r="O2026" i="24"/>
  <c r="O2028" i="24"/>
  <c r="O2037" i="24"/>
  <c r="R2039" i="24"/>
  <c r="R2043" i="24"/>
  <c r="O2046" i="24"/>
  <c r="R2050" i="24"/>
  <c r="R2061" i="24"/>
  <c r="O2064" i="24"/>
  <c r="O2066" i="24"/>
  <c r="O2068" i="24"/>
  <c r="R2081" i="24"/>
  <c r="O2084" i="24"/>
  <c r="O2093" i="24"/>
  <c r="R2099" i="24"/>
  <c r="O2102" i="24"/>
  <c r="R2108" i="24"/>
  <c r="R2121" i="24"/>
  <c r="R2126" i="24"/>
  <c r="R2141" i="24"/>
  <c r="O2144" i="24"/>
  <c r="O2146" i="24"/>
  <c r="O2148" i="24"/>
  <c r="O2157" i="24"/>
  <c r="R2163" i="24"/>
  <c r="O2166" i="24"/>
  <c r="R2172" i="24"/>
  <c r="R2185" i="24"/>
  <c r="R2190" i="24"/>
  <c r="R2205" i="24"/>
  <c r="O2208" i="24"/>
  <c r="O2210" i="24"/>
  <c r="O2212" i="24"/>
  <c r="O2221" i="24"/>
  <c r="R2227" i="24"/>
  <c r="M3043" i="12" s="1"/>
  <c r="O2230" i="24"/>
  <c r="R2241" i="24"/>
  <c r="M3057" i="12" s="1"/>
  <c r="R2246" i="24"/>
  <c r="M3062" i="12" s="1"/>
  <c r="O2082" i="24"/>
  <c r="O2120" i="24"/>
  <c r="O2122" i="24"/>
  <c r="O2124" i="24"/>
  <c r="O2133" i="24"/>
  <c r="O2142" i="24"/>
  <c r="O2184" i="24"/>
  <c r="O2186" i="24"/>
  <c r="O2188" i="24"/>
  <c r="O2197" i="24"/>
  <c r="O2206" i="24"/>
  <c r="O2240" i="24"/>
  <c r="O2242" i="24"/>
  <c r="O2244" i="24"/>
  <c r="O2253" i="24"/>
  <c r="R1813" i="24"/>
  <c r="R1845" i="24"/>
  <c r="R1877" i="24"/>
  <c r="R1909" i="24"/>
  <c r="R1821" i="24"/>
  <c r="R1853" i="24"/>
  <c r="R1885" i="24"/>
  <c r="R1917" i="24"/>
  <c r="R1654" i="24"/>
  <c r="R1669" i="24"/>
  <c r="R1686" i="24"/>
  <c r="R1701" i="24"/>
  <c r="R1718" i="24"/>
  <c r="R1733" i="24"/>
  <c r="R1662" i="24"/>
  <c r="R1677" i="24"/>
  <c r="R1694" i="24"/>
  <c r="R1709" i="24"/>
  <c r="R1726" i="24"/>
  <c r="R1741" i="24"/>
  <c r="R1975" i="24"/>
  <c r="R1745" i="24"/>
  <c r="R1749" i="24"/>
  <c r="R1753" i="24"/>
  <c r="R1757" i="24"/>
  <c r="R1761" i="24"/>
  <c r="R1765" i="24"/>
  <c r="R1769" i="24"/>
  <c r="R1773" i="24"/>
  <c r="R1777" i="24"/>
  <c r="R1781" i="24"/>
  <c r="R1789" i="24"/>
  <c r="R1797" i="24"/>
  <c r="R1805" i="24"/>
  <c r="R1837" i="24"/>
  <c r="R1869" i="24"/>
  <c r="R1901" i="24"/>
  <c r="R2079" i="24"/>
  <c r="R2143" i="24"/>
  <c r="R2207" i="24"/>
  <c r="R1991" i="24"/>
  <c r="R2055" i="24"/>
  <c r="R2119" i="24"/>
  <c r="R2183" i="24"/>
  <c r="R2247" i="24"/>
  <c r="M3063" i="12" s="1"/>
  <c r="R1959" i="24"/>
  <c r="R2031" i="24"/>
  <c r="R2095" i="24"/>
  <c r="R2159" i="24"/>
  <c r="R2223" i="24"/>
  <c r="M3039" i="12" s="1"/>
  <c r="R2007" i="24"/>
  <c r="R2071" i="24"/>
  <c r="R2135" i="24"/>
  <c r="R2199" i="24"/>
  <c r="R2023" i="24"/>
  <c r="R2087" i="24"/>
  <c r="R2151" i="24"/>
  <c r="R2215" i="24"/>
  <c r="M3031" i="12" s="1"/>
  <c r="AC3045" i="12" l="1"/>
  <c r="P3057" i="12" l="1"/>
  <c r="H3057" i="12"/>
  <c r="P3053" i="12"/>
  <c r="H3053" i="12"/>
  <c r="P3050" i="12"/>
  <c r="P3051" i="12"/>
  <c r="H3051" i="12"/>
  <c r="H3050" i="12"/>
  <c r="P3033" i="12" l="1"/>
  <c r="H3033" i="12"/>
  <c r="M3009" i="12" l="1"/>
  <c r="M3010" i="12"/>
  <c r="M3011" i="12"/>
  <c r="M3012" i="12"/>
  <c r="M3013" i="12"/>
  <c r="M3014" i="12"/>
  <c r="M3015" i="12"/>
  <c r="M3016" i="12"/>
  <c r="M3017" i="12"/>
  <c r="M3018" i="12"/>
  <c r="M3019" i="12"/>
  <c r="M3020" i="12"/>
  <c r="M3021" i="12"/>
  <c r="M3022" i="12"/>
  <c r="M3023" i="12"/>
  <c r="M3024" i="12"/>
  <c r="M3025" i="12"/>
  <c r="M3026" i="12"/>
  <c r="M3027" i="12"/>
  <c r="M3028" i="12"/>
  <c r="M3029" i="12"/>
  <c r="M3030" i="12"/>
  <c r="P3024" i="12" l="1"/>
  <c r="P3028" i="12"/>
  <c r="P3029" i="12"/>
  <c r="H3029" i="12"/>
  <c r="H3028" i="12"/>
  <c r="H3024" i="12"/>
  <c r="H3017" i="12"/>
  <c r="P3017" i="12"/>
  <c r="P3002" i="12"/>
  <c r="P2997" i="12"/>
  <c r="H2997" i="12"/>
  <c r="Q3243" i="12"/>
  <c r="O3243" i="12"/>
  <c r="K3243" i="12"/>
  <c r="F3243" i="12"/>
  <c r="G3243" i="12" s="1"/>
  <c r="E3243" i="12"/>
  <c r="I3243" i="12" s="1"/>
  <c r="Q3242" i="12"/>
  <c r="O3242" i="12"/>
  <c r="K3242" i="12"/>
  <c r="F3242" i="12"/>
  <c r="G3242" i="12" s="1"/>
  <c r="E3242" i="12"/>
  <c r="I3242" i="12" s="1"/>
  <c r="Q3241" i="12"/>
  <c r="O3241" i="12"/>
  <c r="K3241" i="12"/>
  <c r="F3241" i="12"/>
  <c r="G3241" i="12" s="1"/>
  <c r="E3241" i="12"/>
  <c r="I3241" i="12" s="1"/>
  <c r="Q3240" i="12"/>
  <c r="O3240" i="12"/>
  <c r="K3240" i="12"/>
  <c r="F3240" i="12"/>
  <c r="G3240" i="12" s="1"/>
  <c r="E3240" i="12"/>
  <c r="I3240" i="12" s="1"/>
  <c r="Q3239" i="12"/>
  <c r="O3239" i="12"/>
  <c r="K3239" i="12"/>
  <c r="F3239" i="12"/>
  <c r="G3239" i="12" s="1"/>
  <c r="E3239" i="12"/>
  <c r="I3239" i="12" s="1"/>
  <c r="Q3238" i="12"/>
  <c r="O3238" i="12"/>
  <c r="K3238" i="12"/>
  <c r="F3238" i="12"/>
  <c r="G3238" i="12" s="1"/>
  <c r="E3238" i="12"/>
  <c r="I3238" i="12" s="1"/>
  <c r="Q3237" i="12"/>
  <c r="O3237" i="12"/>
  <c r="K3237" i="12"/>
  <c r="F3237" i="12"/>
  <c r="G3237" i="12" s="1"/>
  <c r="E3237" i="12"/>
  <c r="I3237" i="12" s="1"/>
  <c r="Q3236" i="12"/>
  <c r="O3236" i="12"/>
  <c r="K3236" i="12"/>
  <c r="F3236" i="12"/>
  <c r="G3236" i="12" s="1"/>
  <c r="E3236" i="12"/>
  <c r="I3236" i="12" s="1"/>
  <c r="Q3235" i="12"/>
  <c r="O3235" i="12"/>
  <c r="K3235" i="12"/>
  <c r="F3235" i="12"/>
  <c r="G3235" i="12" s="1"/>
  <c r="E3235" i="12"/>
  <c r="I3235" i="12" s="1"/>
  <c r="Q3234" i="12"/>
  <c r="O3234" i="12"/>
  <c r="K3234" i="12"/>
  <c r="F3234" i="12"/>
  <c r="G3234" i="12" s="1"/>
  <c r="E3234" i="12"/>
  <c r="I3234" i="12" s="1"/>
  <c r="Q3233" i="12"/>
  <c r="O3233" i="12"/>
  <c r="K3233" i="12"/>
  <c r="F3233" i="12"/>
  <c r="G3233" i="12" s="1"/>
  <c r="E3233" i="12"/>
  <c r="I3233" i="12" s="1"/>
  <c r="Q3232" i="12"/>
  <c r="O3232" i="12"/>
  <c r="K3232" i="12"/>
  <c r="F3232" i="12"/>
  <c r="G3232" i="12" s="1"/>
  <c r="E3232" i="12"/>
  <c r="I3232" i="12" s="1"/>
  <c r="Q3231" i="12"/>
  <c r="O3231" i="12"/>
  <c r="K3231" i="12"/>
  <c r="F3231" i="12"/>
  <c r="G3231" i="12" s="1"/>
  <c r="E3231" i="12"/>
  <c r="I3231" i="12" s="1"/>
  <c r="Q3230" i="12"/>
  <c r="O3230" i="12"/>
  <c r="K3230" i="12"/>
  <c r="F3230" i="12"/>
  <c r="G3230" i="12" s="1"/>
  <c r="E3230" i="12"/>
  <c r="I3230" i="12" s="1"/>
  <c r="Q3229" i="12"/>
  <c r="O3229" i="12"/>
  <c r="K3229" i="12"/>
  <c r="F3229" i="12"/>
  <c r="G3229" i="12" s="1"/>
  <c r="E3229" i="12"/>
  <c r="I3229" i="12" s="1"/>
  <c r="Q3228" i="12"/>
  <c r="O3228" i="12"/>
  <c r="K3228" i="12"/>
  <c r="F3228" i="12"/>
  <c r="G3228" i="12" s="1"/>
  <c r="E3228" i="12"/>
  <c r="I3228" i="12" s="1"/>
  <c r="Q3227" i="12"/>
  <c r="O3227" i="12"/>
  <c r="K3227" i="12"/>
  <c r="F3227" i="12"/>
  <c r="G3227" i="12" s="1"/>
  <c r="E3227" i="12"/>
  <c r="I3227" i="12" s="1"/>
  <c r="Q3226" i="12"/>
  <c r="O3226" i="12"/>
  <c r="K3226" i="12"/>
  <c r="F3226" i="12"/>
  <c r="G3226" i="12" s="1"/>
  <c r="E3226" i="12"/>
  <c r="I3226" i="12" s="1"/>
  <c r="Q3225" i="12"/>
  <c r="O3225" i="12"/>
  <c r="K3225" i="12"/>
  <c r="F3225" i="12"/>
  <c r="E3225" i="12"/>
  <c r="I3225" i="12" s="1"/>
  <c r="Q3224" i="12"/>
  <c r="O3224" i="12"/>
  <c r="K3224" i="12"/>
  <c r="F3224" i="12"/>
  <c r="E3224" i="12"/>
  <c r="I3224" i="12" s="1"/>
  <c r="Q3223" i="12"/>
  <c r="O3223" i="12"/>
  <c r="K3223" i="12"/>
  <c r="F3223" i="12"/>
  <c r="G3223" i="12" s="1"/>
  <c r="E3223" i="12"/>
  <c r="I3223" i="12" s="1"/>
  <c r="Q3222" i="12"/>
  <c r="O3222" i="12"/>
  <c r="K3222" i="12"/>
  <c r="F3222" i="12"/>
  <c r="G3222" i="12" s="1"/>
  <c r="E3222" i="12"/>
  <c r="I3222" i="12" s="1"/>
  <c r="Q3221" i="12"/>
  <c r="O3221" i="12"/>
  <c r="K3221" i="12"/>
  <c r="F3221" i="12"/>
  <c r="G3221" i="12" s="1"/>
  <c r="E3221" i="12"/>
  <c r="I3221" i="12" s="1"/>
  <c r="Q3220" i="12"/>
  <c r="O3220" i="12"/>
  <c r="K3220" i="12"/>
  <c r="F3220" i="12"/>
  <c r="G3220" i="12" s="1"/>
  <c r="E3220" i="12"/>
  <c r="I3220" i="12" s="1"/>
  <c r="Q3219" i="12"/>
  <c r="O3219" i="12"/>
  <c r="K3219" i="12"/>
  <c r="F3219" i="12"/>
  <c r="G3219" i="12" s="1"/>
  <c r="E3219" i="12"/>
  <c r="I3219" i="12" s="1"/>
  <c r="Q3212" i="12"/>
  <c r="O3212" i="12"/>
  <c r="K3212" i="12"/>
  <c r="F3212" i="12"/>
  <c r="G3212" i="12" s="1"/>
  <c r="J3212" i="12" s="1"/>
  <c r="E3212" i="12"/>
  <c r="I3212" i="12" s="1"/>
  <c r="Q3218" i="12"/>
  <c r="O3218" i="12"/>
  <c r="K3218" i="12"/>
  <c r="F3218" i="12"/>
  <c r="G3218" i="12" s="1"/>
  <c r="E3218" i="12"/>
  <c r="I3218" i="12" s="1"/>
  <c r="Q3217" i="12"/>
  <c r="O3217" i="12"/>
  <c r="K3217" i="12"/>
  <c r="F3217" i="12"/>
  <c r="G3217" i="12" s="1"/>
  <c r="E3217" i="12"/>
  <c r="I3217" i="12" s="1"/>
  <c r="Q3216" i="12"/>
  <c r="O3216" i="12"/>
  <c r="K3216" i="12"/>
  <c r="F3216" i="12"/>
  <c r="G3216" i="12" s="1"/>
  <c r="E3216" i="12"/>
  <c r="I3216" i="12" s="1"/>
  <c r="Q3213" i="12"/>
  <c r="O3213" i="12"/>
  <c r="K3213" i="12"/>
  <c r="F3213" i="12"/>
  <c r="G3213" i="12" s="1"/>
  <c r="J3213" i="12" s="1"/>
  <c r="E3213" i="12"/>
  <c r="I3213" i="12" s="1"/>
  <c r="Q3211" i="12"/>
  <c r="O3211" i="12"/>
  <c r="K3211" i="12"/>
  <c r="F3211" i="12"/>
  <c r="G3211" i="12" s="1"/>
  <c r="L3211" i="12" s="1"/>
  <c r="E3211" i="12"/>
  <c r="I3211" i="12" s="1"/>
  <c r="Q3210" i="12"/>
  <c r="O3210" i="12"/>
  <c r="K3210" i="12"/>
  <c r="F3210" i="12"/>
  <c r="G3210" i="12" s="1"/>
  <c r="J3210" i="12" s="1"/>
  <c r="E3210" i="12"/>
  <c r="I3210" i="12" s="1"/>
  <c r="Q3209" i="12"/>
  <c r="O3209" i="12"/>
  <c r="K3209" i="12"/>
  <c r="F3209" i="12"/>
  <c r="G3209" i="12" s="1"/>
  <c r="E3209" i="12"/>
  <c r="I3209" i="12" s="1"/>
  <c r="Q3215" i="12"/>
  <c r="O3215" i="12"/>
  <c r="K3215" i="12"/>
  <c r="F3215" i="12"/>
  <c r="G3215" i="12" s="1"/>
  <c r="E3215" i="12"/>
  <c r="I3215" i="12" s="1"/>
  <c r="Q3214" i="12"/>
  <c r="O3214" i="12"/>
  <c r="K3214" i="12"/>
  <c r="F3214" i="12"/>
  <c r="G3214" i="12" s="1"/>
  <c r="E3214" i="12"/>
  <c r="I3214" i="12" s="1"/>
  <c r="Q3208" i="12"/>
  <c r="O3208" i="12"/>
  <c r="K3208" i="12"/>
  <c r="F3208" i="12"/>
  <c r="G3208" i="12" s="1"/>
  <c r="J3208" i="12" s="1"/>
  <c r="E3208" i="12"/>
  <c r="I3208" i="12" s="1"/>
  <c r="Q3207" i="12"/>
  <c r="O3207" i="12"/>
  <c r="K3207" i="12"/>
  <c r="F3207" i="12"/>
  <c r="G3207" i="12" s="1"/>
  <c r="E3207" i="12"/>
  <c r="I3207" i="12" s="1"/>
  <c r="Q3206" i="12"/>
  <c r="O3206" i="12"/>
  <c r="K3206" i="12"/>
  <c r="F3206" i="12"/>
  <c r="G3206" i="12" s="1"/>
  <c r="J3206" i="12" s="1"/>
  <c r="E3206" i="12"/>
  <c r="I3206" i="12" s="1"/>
  <c r="Q3205" i="12"/>
  <c r="O3205" i="12"/>
  <c r="K3205" i="12"/>
  <c r="F3205" i="12"/>
  <c r="G3205" i="12" s="1"/>
  <c r="E3205" i="12"/>
  <c r="I3205" i="12" s="1"/>
  <c r="Q3204" i="12"/>
  <c r="O3204" i="12"/>
  <c r="K3204" i="12"/>
  <c r="F3204" i="12"/>
  <c r="G3204" i="12" s="1"/>
  <c r="E3204" i="12"/>
  <c r="I3204" i="12" s="1"/>
  <c r="Q3203" i="12"/>
  <c r="O3203" i="12"/>
  <c r="K3203" i="12"/>
  <c r="F3203" i="12"/>
  <c r="G3203" i="12" s="1"/>
  <c r="E3203" i="12"/>
  <c r="I3203" i="12" s="1"/>
  <c r="Q3202" i="12"/>
  <c r="O3202" i="12"/>
  <c r="K3202" i="12"/>
  <c r="F3202" i="12"/>
  <c r="G3202" i="12" s="1"/>
  <c r="J3202" i="12" s="1"/>
  <c r="E3202" i="12"/>
  <c r="I3202" i="12" s="1"/>
  <c r="C3202" i="12"/>
  <c r="Q3201" i="12"/>
  <c r="O3201" i="12"/>
  <c r="K3201" i="12"/>
  <c r="F3201" i="12"/>
  <c r="G3201" i="12" s="1"/>
  <c r="E3201" i="12"/>
  <c r="I3201" i="12" s="1"/>
  <c r="C3201" i="12"/>
  <c r="Q3200" i="12"/>
  <c r="O3200" i="12"/>
  <c r="K3200" i="12"/>
  <c r="F3200" i="12"/>
  <c r="G3200" i="12" s="1"/>
  <c r="J3200" i="12" s="1"/>
  <c r="E3200" i="12"/>
  <c r="I3200" i="12" s="1"/>
  <c r="C3200" i="12"/>
  <c r="Q3199" i="12"/>
  <c r="O3199" i="12"/>
  <c r="K3199" i="12"/>
  <c r="F3199" i="12"/>
  <c r="G3199" i="12" s="1"/>
  <c r="L3199" i="12" s="1"/>
  <c r="E3199" i="12"/>
  <c r="I3199" i="12" s="1"/>
  <c r="C3199" i="12"/>
  <c r="Q3198" i="12"/>
  <c r="O3198" i="12"/>
  <c r="K3198" i="12"/>
  <c r="F3198" i="12"/>
  <c r="G3198" i="12" s="1"/>
  <c r="J3198" i="12" s="1"/>
  <c r="E3198" i="12"/>
  <c r="I3198" i="12" s="1"/>
  <c r="C3198" i="12"/>
  <c r="Q3197" i="12"/>
  <c r="O3197" i="12"/>
  <c r="K3197" i="12"/>
  <c r="F3197" i="12"/>
  <c r="G3197" i="12" s="1"/>
  <c r="E3197" i="12"/>
  <c r="I3197" i="12" s="1"/>
  <c r="C3197" i="12"/>
  <c r="Q3196" i="12"/>
  <c r="O3196" i="12"/>
  <c r="K3196" i="12"/>
  <c r="F3196" i="12"/>
  <c r="G3196" i="12" s="1"/>
  <c r="E3196" i="12"/>
  <c r="I3196" i="12" s="1"/>
  <c r="C3196" i="12"/>
  <c r="Q3195" i="12"/>
  <c r="O3195" i="12"/>
  <c r="K3195" i="12"/>
  <c r="F3195" i="12"/>
  <c r="G3195" i="12" s="1"/>
  <c r="E3195" i="12"/>
  <c r="I3195" i="12" s="1"/>
  <c r="C3195" i="12"/>
  <c r="Q3194" i="12"/>
  <c r="O3194" i="12"/>
  <c r="K3194" i="12"/>
  <c r="F3194" i="12"/>
  <c r="G3194" i="12" s="1"/>
  <c r="E3194" i="12"/>
  <c r="I3194" i="12" s="1"/>
  <c r="C3194" i="12"/>
  <c r="Q3193" i="12"/>
  <c r="O3193" i="12"/>
  <c r="K3193" i="12"/>
  <c r="F3193" i="12"/>
  <c r="G3193" i="12" s="1"/>
  <c r="E3193" i="12"/>
  <c r="I3193" i="12" s="1"/>
  <c r="C3193" i="12"/>
  <c r="Q3192" i="12"/>
  <c r="O3192" i="12"/>
  <c r="K3192" i="12"/>
  <c r="F3192" i="12"/>
  <c r="G3192" i="12" s="1"/>
  <c r="E3192" i="12"/>
  <c r="I3192" i="12" s="1"/>
  <c r="C3192" i="12"/>
  <c r="Q3191" i="12"/>
  <c r="O3191" i="12"/>
  <c r="K3191" i="12"/>
  <c r="F3191" i="12"/>
  <c r="G3191" i="12" s="1"/>
  <c r="E3191" i="12"/>
  <c r="I3191" i="12" s="1"/>
  <c r="C3191" i="12"/>
  <c r="Q3190" i="12"/>
  <c r="O3190" i="12"/>
  <c r="K3190" i="12"/>
  <c r="F3190" i="12"/>
  <c r="G3190" i="12" s="1"/>
  <c r="E3190" i="12"/>
  <c r="I3190" i="12" s="1"/>
  <c r="C3190" i="12"/>
  <c r="Q3189" i="12"/>
  <c r="O3189" i="12"/>
  <c r="K3189" i="12"/>
  <c r="F3189" i="12"/>
  <c r="G3189" i="12" s="1"/>
  <c r="E3189" i="12"/>
  <c r="I3189" i="12" s="1"/>
  <c r="C3189" i="12"/>
  <c r="Q3188" i="12"/>
  <c r="O3188" i="12"/>
  <c r="K3188" i="12"/>
  <c r="F3188" i="12"/>
  <c r="G3188" i="12" s="1"/>
  <c r="E3188" i="12"/>
  <c r="I3188" i="12" s="1"/>
  <c r="C3188" i="12"/>
  <c r="Q3187" i="12"/>
  <c r="O3187" i="12"/>
  <c r="K3187" i="12"/>
  <c r="F3187" i="12"/>
  <c r="G3187" i="12" s="1"/>
  <c r="E3187" i="12"/>
  <c r="I3187" i="12" s="1"/>
  <c r="C3187" i="12"/>
  <c r="Q3186" i="12"/>
  <c r="O3186" i="12"/>
  <c r="K3186" i="12"/>
  <c r="F3186" i="12"/>
  <c r="G3186" i="12" s="1"/>
  <c r="E3186" i="12"/>
  <c r="I3186" i="12" s="1"/>
  <c r="C3186" i="12"/>
  <c r="Q3185" i="12"/>
  <c r="O3185" i="12"/>
  <c r="K3185" i="12"/>
  <c r="F3185" i="12"/>
  <c r="G3185" i="12" s="1"/>
  <c r="E3185" i="12"/>
  <c r="I3185" i="12" s="1"/>
  <c r="C3185" i="12"/>
  <c r="Q3184" i="12"/>
  <c r="O3184" i="12"/>
  <c r="K3184" i="12"/>
  <c r="F3184" i="12"/>
  <c r="G3184" i="12" s="1"/>
  <c r="E3184" i="12"/>
  <c r="I3184" i="12" s="1"/>
  <c r="C3184" i="12"/>
  <c r="Q3183" i="12"/>
  <c r="O3183" i="12"/>
  <c r="K3183" i="12"/>
  <c r="F3183" i="12"/>
  <c r="G3183" i="12" s="1"/>
  <c r="E3183" i="12"/>
  <c r="I3183" i="12" s="1"/>
  <c r="C3183" i="12"/>
  <c r="Q3182" i="12"/>
  <c r="O3182" i="12"/>
  <c r="K3182" i="12"/>
  <c r="F3182" i="12"/>
  <c r="G3182" i="12" s="1"/>
  <c r="E3182" i="12"/>
  <c r="I3182" i="12" s="1"/>
  <c r="C3182" i="12"/>
  <c r="Q3181" i="12"/>
  <c r="O3181" i="12"/>
  <c r="K3181" i="12"/>
  <c r="F3181" i="12"/>
  <c r="G3181" i="12" s="1"/>
  <c r="E3181" i="12"/>
  <c r="I3181" i="12" s="1"/>
  <c r="C3181" i="12"/>
  <c r="Q3180" i="12"/>
  <c r="O3180" i="12"/>
  <c r="K3180" i="12"/>
  <c r="F3180" i="12"/>
  <c r="G3180" i="12" s="1"/>
  <c r="E3180" i="12"/>
  <c r="I3180" i="12" s="1"/>
  <c r="C3180" i="12"/>
  <c r="Q3179" i="12"/>
  <c r="O3179" i="12"/>
  <c r="K3179" i="12"/>
  <c r="F3179" i="12"/>
  <c r="G3179" i="12" s="1"/>
  <c r="E3179" i="12"/>
  <c r="I3179" i="12" s="1"/>
  <c r="C3179" i="12"/>
  <c r="Q3178" i="12"/>
  <c r="O3178" i="12"/>
  <c r="K3178" i="12"/>
  <c r="F3178" i="12"/>
  <c r="G3178" i="12" s="1"/>
  <c r="E3178" i="12"/>
  <c r="I3178" i="12" s="1"/>
  <c r="C3178" i="12"/>
  <c r="Q3177" i="12"/>
  <c r="O3177" i="12"/>
  <c r="K3177" i="12"/>
  <c r="F3177" i="12"/>
  <c r="G3177" i="12" s="1"/>
  <c r="E3177" i="12"/>
  <c r="I3177" i="12" s="1"/>
  <c r="C3177" i="12"/>
  <c r="Q3176" i="12"/>
  <c r="O3176" i="12"/>
  <c r="K3176" i="12"/>
  <c r="F3176" i="12"/>
  <c r="G3176" i="12" s="1"/>
  <c r="E3176" i="12"/>
  <c r="I3176" i="12" s="1"/>
  <c r="C3176" i="12"/>
  <c r="Q3175" i="12"/>
  <c r="O3175" i="12"/>
  <c r="K3175" i="12"/>
  <c r="F3175" i="12"/>
  <c r="G3175" i="12" s="1"/>
  <c r="J3175" i="12" s="1"/>
  <c r="E3175" i="12"/>
  <c r="I3175" i="12" s="1"/>
  <c r="C3175" i="12"/>
  <c r="Q3174" i="12"/>
  <c r="O3174" i="12"/>
  <c r="K3174" i="12"/>
  <c r="F3174" i="12"/>
  <c r="G3174" i="12" s="1"/>
  <c r="E3174" i="12"/>
  <c r="I3174" i="12" s="1"/>
  <c r="C3174" i="12"/>
  <c r="Q3173" i="12"/>
  <c r="O3173" i="12"/>
  <c r="K3173" i="12"/>
  <c r="F3173" i="12"/>
  <c r="G3173" i="12" s="1"/>
  <c r="J3173" i="12" s="1"/>
  <c r="E3173" i="12"/>
  <c r="I3173" i="12" s="1"/>
  <c r="C3173" i="12"/>
  <c r="Q3172" i="12"/>
  <c r="O3172" i="12"/>
  <c r="K3172" i="12"/>
  <c r="F3172" i="12"/>
  <c r="G3172" i="12" s="1"/>
  <c r="E3172" i="12"/>
  <c r="I3172" i="12" s="1"/>
  <c r="C3172" i="12"/>
  <c r="Q3171" i="12"/>
  <c r="O3171" i="12"/>
  <c r="K3171" i="12"/>
  <c r="F3171" i="12"/>
  <c r="G3171" i="12" s="1"/>
  <c r="J3171" i="12" s="1"/>
  <c r="E3171" i="12"/>
  <c r="I3171" i="12" s="1"/>
  <c r="C3171" i="12"/>
  <c r="Q3170" i="12"/>
  <c r="O3170" i="12"/>
  <c r="K3170" i="12"/>
  <c r="F3170" i="12"/>
  <c r="G3170" i="12" s="1"/>
  <c r="E3170" i="12"/>
  <c r="I3170" i="12" s="1"/>
  <c r="C3170" i="12"/>
  <c r="Q3169" i="12"/>
  <c r="O3169" i="12"/>
  <c r="K3169" i="12"/>
  <c r="F3169" i="12"/>
  <c r="G3169" i="12" s="1"/>
  <c r="E3169" i="12"/>
  <c r="I3169" i="12" s="1"/>
  <c r="C3169" i="12"/>
  <c r="Q3168" i="12"/>
  <c r="O3168" i="12"/>
  <c r="K3168" i="12"/>
  <c r="F3168" i="12"/>
  <c r="G3168" i="12" s="1"/>
  <c r="E3168" i="12"/>
  <c r="I3168" i="12" s="1"/>
  <c r="C3168" i="12"/>
  <c r="Q3167" i="12"/>
  <c r="O3167" i="12"/>
  <c r="K3167" i="12"/>
  <c r="F3167" i="12"/>
  <c r="G3167" i="12" s="1"/>
  <c r="J3167" i="12" s="1"/>
  <c r="E3167" i="12"/>
  <c r="I3167" i="12" s="1"/>
  <c r="C3167" i="12"/>
  <c r="Q3166" i="12"/>
  <c r="O3166" i="12"/>
  <c r="K3166" i="12"/>
  <c r="F3166" i="12"/>
  <c r="G3166" i="12" s="1"/>
  <c r="E3166" i="12"/>
  <c r="I3166" i="12" s="1"/>
  <c r="C3166" i="12"/>
  <c r="Q3165" i="12"/>
  <c r="O3165" i="12"/>
  <c r="K3165" i="12"/>
  <c r="F3165" i="12"/>
  <c r="G3165" i="12" s="1"/>
  <c r="E3165" i="12"/>
  <c r="I3165" i="12" s="1"/>
  <c r="C3165" i="12"/>
  <c r="Q3164" i="12"/>
  <c r="O3164" i="12"/>
  <c r="K3164" i="12"/>
  <c r="F3164" i="12"/>
  <c r="G3164" i="12" s="1"/>
  <c r="E3164" i="12"/>
  <c r="I3164" i="12" s="1"/>
  <c r="C3164" i="12"/>
  <c r="Q3163" i="12"/>
  <c r="O3163" i="12"/>
  <c r="K3163" i="12"/>
  <c r="F3163" i="12"/>
  <c r="G3163" i="12" s="1"/>
  <c r="E3163" i="12"/>
  <c r="I3163" i="12" s="1"/>
  <c r="C3163" i="12"/>
  <c r="Q3162" i="12"/>
  <c r="O3162" i="12"/>
  <c r="K3162" i="12"/>
  <c r="F3162" i="12"/>
  <c r="G3162" i="12" s="1"/>
  <c r="J3162" i="12" s="1"/>
  <c r="E3162" i="12"/>
  <c r="I3162" i="12" s="1"/>
  <c r="C3162" i="12"/>
  <c r="Q3161" i="12"/>
  <c r="O3161" i="12"/>
  <c r="K3161" i="12"/>
  <c r="F3161" i="12"/>
  <c r="G3161" i="12" s="1"/>
  <c r="E3161" i="12"/>
  <c r="I3161" i="12" s="1"/>
  <c r="C3161" i="12"/>
  <c r="Q3160" i="12"/>
  <c r="O3160" i="12"/>
  <c r="K3160" i="12"/>
  <c r="F3160" i="12"/>
  <c r="G3160" i="12" s="1"/>
  <c r="E3160" i="12"/>
  <c r="I3160" i="12" s="1"/>
  <c r="C3160" i="12"/>
  <c r="Q3159" i="12"/>
  <c r="O3159" i="12"/>
  <c r="K3159" i="12"/>
  <c r="F3159" i="12"/>
  <c r="G3159" i="12" s="1"/>
  <c r="E3159" i="12"/>
  <c r="I3159" i="12" s="1"/>
  <c r="C3159" i="12"/>
  <c r="Q3158" i="12"/>
  <c r="O3158" i="12"/>
  <c r="K3158" i="12"/>
  <c r="F3158" i="12"/>
  <c r="G3158" i="12" s="1"/>
  <c r="E3158" i="12"/>
  <c r="I3158" i="12" s="1"/>
  <c r="C3158" i="12"/>
  <c r="Q3157" i="12"/>
  <c r="O3157" i="12"/>
  <c r="K3157" i="12"/>
  <c r="F3157" i="12"/>
  <c r="G3157" i="12" s="1"/>
  <c r="J3157" i="12" s="1"/>
  <c r="E3157" i="12"/>
  <c r="I3157" i="12" s="1"/>
  <c r="C3157" i="12"/>
  <c r="Q3156" i="12"/>
  <c r="O3156" i="12"/>
  <c r="K3156" i="12"/>
  <c r="F3156" i="12"/>
  <c r="G3156" i="12" s="1"/>
  <c r="E3156" i="12"/>
  <c r="I3156" i="12" s="1"/>
  <c r="C3156" i="12"/>
  <c r="Q3155" i="12"/>
  <c r="O3155" i="12"/>
  <c r="K3155" i="12"/>
  <c r="F3155" i="12"/>
  <c r="G3155" i="12" s="1"/>
  <c r="E3155" i="12"/>
  <c r="I3155" i="12" s="1"/>
  <c r="C3155" i="12"/>
  <c r="Q3154" i="12"/>
  <c r="O3154" i="12"/>
  <c r="K3154" i="12"/>
  <c r="F3154" i="12"/>
  <c r="G3154" i="12" s="1"/>
  <c r="E3154" i="12"/>
  <c r="I3154" i="12" s="1"/>
  <c r="C3154" i="12"/>
  <c r="Q3153" i="12"/>
  <c r="O3153" i="12"/>
  <c r="K3153" i="12"/>
  <c r="F3153" i="12"/>
  <c r="G3153" i="12" s="1"/>
  <c r="E3153" i="12"/>
  <c r="I3153" i="12" s="1"/>
  <c r="C3153" i="12"/>
  <c r="Q3151" i="12"/>
  <c r="O3151" i="12"/>
  <c r="K3151" i="12"/>
  <c r="F3151" i="12"/>
  <c r="G3151" i="12" s="1"/>
  <c r="E3151" i="12"/>
  <c r="I3151" i="12" s="1"/>
  <c r="C3151" i="12"/>
  <c r="Q3150" i="12"/>
  <c r="O3150" i="12"/>
  <c r="K3150" i="12"/>
  <c r="F3150" i="12"/>
  <c r="G3150" i="12" s="1"/>
  <c r="E3150" i="12"/>
  <c r="I3150" i="12" s="1"/>
  <c r="C3150" i="12"/>
  <c r="Q3148" i="12"/>
  <c r="O3148" i="12"/>
  <c r="K3148" i="12"/>
  <c r="F3148" i="12"/>
  <c r="G3148" i="12" s="1"/>
  <c r="E3148" i="12"/>
  <c r="I3148" i="12" s="1"/>
  <c r="C3148" i="12"/>
  <c r="Q3147" i="12"/>
  <c r="O3147" i="12"/>
  <c r="K3147" i="12"/>
  <c r="F3147" i="12"/>
  <c r="G3147" i="12" s="1"/>
  <c r="E3147" i="12"/>
  <c r="I3147" i="12" s="1"/>
  <c r="C3147" i="12"/>
  <c r="Q3146" i="12"/>
  <c r="O3146" i="12"/>
  <c r="K3146" i="12"/>
  <c r="F3146" i="12"/>
  <c r="G3146" i="12" s="1"/>
  <c r="E3146" i="12"/>
  <c r="I3146" i="12" s="1"/>
  <c r="C3146" i="12"/>
  <c r="Q3145" i="12"/>
  <c r="O3145" i="12"/>
  <c r="K3145" i="12"/>
  <c r="F3145" i="12"/>
  <c r="G3145" i="12" s="1"/>
  <c r="E3145" i="12"/>
  <c r="I3145" i="12" s="1"/>
  <c r="C3145" i="12"/>
  <c r="Q3144" i="12"/>
  <c r="O3144" i="12"/>
  <c r="K3144" i="12"/>
  <c r="F3144" i="12"/>
  <c r="G3144" i="12" s="1"/>
  <c r="E3144" i="12"/>
  <c r="I3144" i="12" s="1"/>
  <c r="C3144" i="12"/>
  <c r="Q3143" i="12"/>
  <c r="O3143" i="12"/>
  <c r="K3143" i="12"/>
  <c r="F3143" i="12"/>
  <c r="G3143" i="12" s="1"/>
  <c r="E3143" i="12"/>
  <c r="I3143" i="12" s="1"/>
  <c r="C3143" i="12"/>
  <c r="Q3142" i="12"/>
  <c r="O3142" i="12"/>
  <c r="K3142" i="12"/>
  <c r="F3142" i="12"/>
  <c r="G3142" i="12" s="1"/>
  <c r="E3142" i="12"/>
  <c r="I3142" i="12" s="1"/>
  <c r="C3142" i="12"/>
  <c r="Q3141" i="12"/>
  <c r="O3141" i="12"/>
  <c r="K3141" i="12"/>
  <c r="F3141" i="12"/>
  <c r="G3141" i="12" s="1"/>
  <c r="E3141" i="12"/>
  <c r="I3141" i="12" s="1"/>
  <c r="C3141" i="12"/>
  <c r="Q3140" i="12"/>
  <c r="O3140" i="12"/>
  <c r="K3140" i="12"/>
  <c r="F3140" i="12"/>
  <c r="G3140" i="12" s="1"/>
  <c r="E3140" i="12"/>
  <c r="I3140" i="12" s="1"/>
  <c r="C3140" i="12"/>
  <c r="Q3139" i="12"/>
  <c r="O3139" i="12"/>
  <c r="K3139" i="12"/>
  <c r="F3139" i="12"/>
  <c r="G3139" i="12" s="1"/>
  <c r="E3139" i="12"/>
  <c r="I3139" i="12" s="1"/>
  <c r="C3139" i="12"/>
  <c r="Q3138" i="12"/>
  <c r="O3138" i="12"/>
  <c r="K3138" i="12"/>
  <c r="F3138" i="12"/>
  <c r="G3138" i="12" s="1"/>
  <c r="E3138" i="12"/>
  <c r="I3138" i="12" s="1"/>
  <c r="C3138" i="12"/>
  <c r="Q3137" i="12"/>
  <c r="O3137" i="12"/>
  <c r="K3137" i="12"/>
  <c r="F3137" i="12"/>
  <c r="G3137" i="12" s="1"/>
  <c r="E3137" i="12"/>
  <c r="I3137" i="12" s="1"/>
  <c r="C3137" i="12"/>
  <c r="Q3136" i="12"/>
  <c r="O3136" i="12"/>
  <c r="K3136" i="12"/>
  <c r="F3136" i="12"/>
  <c r="G3136" i="12" s="1"/>
  <c r="E3136" i="12"/>
  <c r="I3136" i="12" s="1"/>
  <c r="C3136" i="12"/>
  <c r="Q3135" i="12"/>
  <c r="O3135" i="12"/>
  <c r="K3135" i="12"/>
  <c r="F3135" i="12"/>
  <c r="G3135" i="12" s="1"/>
  <c r="E3135" i="12"/>
  <c r="I3135" i="12" s="1"/>
  <c r="C3135" i="12"/>
  <c r="Q3134" i="12"/>
  <c r="O3134" i="12"/>
  <c r="K3134" i="12"/>
  <c r="F3134" i="12"/>
  <c r="G3134" i="12" s="1"/>
  <c r="E3134" i="12"/>
  <c r="I3134" i="12" s="1"/>
  <c r="C3134" i="12"/>
  <c r="Q3133" i="12"/>
  <c r="O3133" i="12"/>
  <c r="K3133" i="12"/>
  <c r="F3133" i="12"/>
  <c r="G3133" i="12" s="1"/>
  <c r="E3133" i="12"/>
  <c r="I3133" i="12" s="1"/>
  <c r="C3133" i="12"/>
  <c r="Q3132" i="12"/>
  <c r="O3132" i="12"/>
  <c r="K3132" i="12"/>
  <c r="F3132" i="12"/>
  <c r="G3132" i="12" s="1"/>
  <c r="E3132" i="12"/>
  <c r="I3132" i="12" s="1"/>
  <c r="C3132" i="12"/>
  <c r="Q3131" i="12"/>
  <c r="O3131" i="12"/>
  <c r="K3131" i="12"/>
  <c r="F3131" i="12"/>
  <c r="G3131" i="12" s="1"/>
  <c r="E3131" i="12"/>
  <c r="I3131" i="12" s="1"/>
  <c r="C3131" i="12"/>
  <c r="Q3130" i="12"/>
  <c r="O3130" i="12"/>
  <c r="K3130" i="12"/>
  <c r="F3130" i="12"/>
  <c r="G3130" i="12" s="1"/>
  <c r="E3130" i="12"/>
  <c r="I3130" i="12" s="1"/>
  <c r="C3130" i="12"/>
  <c r="Q3129" i="12"/>
  <c r="O3129" i="12"/>
  <c r="K3129" i="12"/>
  <c r="F3129" i="12"/>
  <c r="G3129" i="12" s="1"/>
  <c r="E3129" i="12"/>
  <c r="I3129" i="12" s="1"/>
  <c r="C3129" i="12"/>
  <c r="Q3128" i="12"/>
  <c r="O3128" i="12"/>
  <c r="K3128" i="12"/>
  <c r="F3128" i="12"/>
  <c r="G3128" i="12" s="1"/>
  <c r="E3128" i="12"/>
  <c r="I3128" i="12" s="1"/>
  <c r="C3128" i="12"/>
  <c r="Q3127" i="12"/>
  <c r="O3127" i="12"/>
  <c r="K3127" i="12"/>
  <c r="F3127" i="12"/>
  <c r="G3127" i="12" s="1"/>
  <c r="E3127" i="12"/>
  <c r="I3127" i="12" s="1"/>
  <c r="C3127" i="12"/>
  <c r="Q3126" i="12"/>
  <c r="O3126" i="12"/>
  <c r="K3126" i="12"/>
  <c r="F3126" i="12"/>
  <c r="G3126" i="12" s="1"/>
  <c r="E3126" i="12"/>
  <c r="I3126" i="12" s="1"/>
  <c r="C3126" i="12"/>
  <c r="Q3125" i="12"/>
  <c r="O3125" i="12"/>
  <c r="K3125" i="12"/>
  <c r="F3125" i="12"/>
  <c r="G3125" i="12" s="1"/>
  <c r="E3125" i="12"/>
  <c r="I3125" i="12" s="1"/>
  <c r="C3125" i="12"/>
  <c r="Q3124" i="12"/>
  <c r="O3124" i="12"/>
  <c r="K3124" i="12"/>
  <c r="F3124" i="12"/>
  <c r="G3124" i="12" s="1"/>
  <c r="E3124" i="12"/>
  <c r="I3124" i="12" s="1"/>
  <c r="C3124" i="12"/>
  <c r="Q3123" i="12"/>
  <c r="O3123" i="12"/>
  <c r="K3123" i="12"/>
  <c r="F3123" i="12"/>
  <c r="G3123" i="12" s="1"/>
  <c r="E3123" i="12"/>
  <c r="I3123" i="12" s="1"/>
  <c r="C3123" i="12"/>
  <c r="Q3122" i="12"/>
  <c r="O3122" i="12"/>
  <c r="K3122" i="12"/>
  <c r="F3122" i="12"/>
  <c r="G3122" i="12" s="1"/>
  <c r="E3122" i="12"/>
  <c r="I3122" i="12" s="1"/>
  <c r="C3122" i="12"/>
  <c r="Q3121" i="12"/>
  <c r="O3121" i="12"/>
  <c r="K3121" i="12"/>
  <c r="F3121" i="12"/>
  <c r="G3121" i="12" s="1"/>
  <c r="E3121" i="12"/>
  <c r="I3121" i="12" s="1"/>
  <c r="C3121" i="12"/>
  <c r="Q3120" i="12"/>
  <c r="O3120" i="12"/>
  <c r="K3120" i="12"/>
  <c r="F3120" i="12"/>
  <c r="G3120" i="12" s="1"/>
  <c r="E3120" i="12"/>
  <c r="I3120" i="12" s="1"/>
  <c r="C3120" i="12"/>
  <c r="Q3118" i="12"/>
  <c r="O3118" i="12"/>
  <c r="K3118" i="12"/>
  <c r="F3118" i="12"/>
  <c r="G3118" i="12" s="1"/>
  <c r="E3118" i="12"/>
  <c r="I3118" i="12" s="1"/>
  <c r="C3118" i="12"/>
  <c r="Q3117" i="12"/>
  <c r="O3117" i="12"/>
  <c r="K3117" i="12"/>
  <c r="F3117" i="12"/>
  <c r="G3117" i="12" s="1"/>
  <c r="E3117" i="12"/>
  <c r="I3117" i="12" s="1"/>
  <c r="C3117" i="12"/>
  <c r="Q3116" i="12"/>
  <c r="O3116" i="12"/>
  <c r="K3116" i="12"/>
  <c r="F3116" i="12"/>
  <c r="G3116" i="12" s="1"/>
  <c r="E3116" i="12"/>
  <c r="I3116" i="12" s="1"/>
  <c r="C3116" i="12"/>
  <c r="Q3115" i="12"/>
  <c r="O3115" i="12"/>
  <c r="K3115" i="12"/>
  <c r="F3115" i="12"/>
  <c r="G3115" i="12" s="1"/>
  <c r="E3115" i="12"/>
  <c r="I3115" i="12" s="1"/>
  <c r="C3115" i="12"/>
  <c r="Q3113" i="12"/>
  <c r="O3113" i="12"/>
  <c r="K3113" i="12"/>
  <c r="F3113" i="12"/>
  <c r="G3113" i="12" s="1"/>
  <c r="E3113" i="12"/>
  <c r="I3113" i="12" s="1"/>
  <c r="C3113" i="12"/>
  <c r="Q3112" i="12"/>
  <c r="O3112" i="12"/>
  <c r="K3112" i="12"/>
  <c r="F3112" i="12"/>
  <c r="G3112" i="12" s="1"/>
  <c r="E3112" i="12"/>
  <c r="I3112" i="12" s="1"/>
  <c r="C3112" i="12"/>
  <c r="Q3111" i="12"/>
  <c r="O3111" i="12"/>
  <c r="K3111" i="12"/>
  <c r="F3111" i="12"/>
  <c r="G3111" i="12" s="1"/>
  <c r="J3111" i="12" s="1"/>
  <c r="E3111" i="12"/>
  <c r="I3111" i="12" s="1"/>
  <c r="C3111" i="12"/>
  <c r="Q3110" i="12"/>
  <c r="O3110" i="12"/>
  <c r="K3110" i="12"/>
  <c r="F3110" i="12"/>
  <c r="G3110" i="12" s="1"/>
  <c r="E3110" i="12"/>
  <c r="I3110" i="12" s="1"/>
  <c r="C3110" i="12"/>
  <c r="Q3108" i="12"/>
  <c r="O3108" i="12"/>
  <c r="K3108" i="12"/>
  <c r="F3108" i="12"/>
  <c r="G3108" i="12" s="1"/>
  <c r="E3108" i="12"/>
  <c r="I3108" i="12" s="1"/>
  <c r="C3108" i="12"/>
  <c r="Q3107" i="12"/>
  <c r="O3107" i="12"/>
  <c r="K3107" i="12"/>
  <c r="F3107" i="12"/>
  <c r="G3107" i="12" s="1"/>
  <c r="E3107" i="12"/>
  <c r="I3107" i="12" s="1"/>
  <c r="C3107" i="12"/>
  <c r="Q3106" i="12"/>
  <c r="O3106" i="12"/>
  <c r="K3106" i="12"/>
  <c r="F3106" i="12"/>
  <c r="G3106" i="12" s="1"/>
  <c r="J3106" i="12" s="1"/>
  <c r="E3106" i="12"/>
  <c r="I3106" i="12" s="1"/>
  <c r="C3106" i="12"/>
  <c r="Q3105" i="12"/>
  <c r="O3105" i="12"/>
  <c r="K3105" i="12"/>
  <c r="F3105" i="12"/>
  <c r="G3105" i="12" s="1"/>
  <c r="E3105" i="12"/>
  <c r="I3105" i="12" s="1"/>
  <c r="C3105" i="12"/>
  <c r="Q3104" i="12"/>
  <c r="O3104" i="12"/>
  <c r="K3104" i="12"/>
  <c r="F3104" i="12"/>
  <c r="G3104" i="12" s="1"/>
  <c r="E3104" i="12"/>
  <c r="I3104" i="12" s="1"/>
  <c r="C3104" i="12"/>
  <c r="Q3103" i="12"/>
  <c r="O3103" i="12"/>
  <c r="K3103" i="12"/>
  <c r="F3103" i="12"/>
  <c r="G3103" i="12" s="1"/>
  <c r="E3103" i="12"/>
  <c r="I3103" i="12" s="1"/>
  <c r="C3103" i="12"/>
  <c r="Q3102" i="12"/>
  <c r="O3102" i="12"/>
  <c r="K3102" i="12"/>
  <c r="F3102" i="12"/>
  <c r="G3102" i="12" s="1"/>
  <c r="L3102" i="12" s="1"/>
  <c r="E3102" i="12"/>
  <c r="I3102" i="12" s="1"/>
  <c r="C3102" i="12"/>
  <c r="Q3101" i="12"/>
  <c r="O3101" i="12"/>
  <c r="K3101" i="12"/>
  <c r="F3101" i="12"/>
  <c r="G3101" i="12" s="1"/>
  <c r="J3101" i="12" s="1"/>
  <c r="E3101" i="12"/>
  <c r="I3101" i="12" s="1"/>
  <c r="C3101" i="12"/>
  <c r="Q3100" i="12"/>
  <c r="O3100" i="12"/>
  <c r="K3100" i="12"/>
  <c r="F3100" i="12"/>
  <c r="G3100" i="12" s="1"/>
  <c r="E3100" i="12"/>
  <c r="I3100" i="12" s="1"/>
  <c r="C3100" i="12"/>
  <c r="Q3099" i="12"/>
  <c r="O3099" i="12"/>
  <c r="K3099" i="12"/>
  <c r="F3099" i="12"/>
  <c r="G3099" i="12" s="1"/>
  <c r="E3099" i="12"/>
  <c r="I3099" i="12" s="1"/>
  <c r="C3099" i="12"/>
  <c r="Q3098" i="12"/>
  <c r="O3098" i="12"/>
  <c r="K3098" i="12"/>
  <c r="F3098" i="12"/>
  <c r="G3098" i="12" s="1"/>
  <c r="E3098" i="12"/>
  <c r="I3098" i="12" s="1"/>
  <c r="C3098" i="12"/>
  <c r="Q3097" i="12"/>
  <c r="O3097" i="12"/>
  <c r="K3097" i="12"/>
  <c r="F3097" i="12"/>
  <c r="G3097" i="12" s="1"/>
  <c r="J3097" i="12" s="1"/>
  <c r="E3097" i="12"/>
  <c r="I3097" i="12" s="1"/>
  <c r="C3097" i="12"/>
  <c r="Q3096" i="12"/>
  <c r="O3096" i="12"/>
  <c r="K3096" i="12"/>
  <c r="F3096" i="12"/>
  <c r="G3096" i="12" s="1"/>
  <c r="E3096" i="12"/>
  <c r="I3096" i="12" s="1"/>
  <c r="C3096" i="12"/>
  <c r="Q3095" i="12"/>
  <c r="O3095" i="12"/>
  <c r="K3095" i="12"/>
  <c r="F3095" i="12"/>
  <c r="E3095" i="12"/>
  <c r="I3095" i="12" s="1"/>
  <c r="C3095" i="12"/>
  <c r="Q3094" i="12"/>
  <c r="O3094" i="12"/>
  <c r="K3094" i="12"/>
  <c r="F3094" i="12"/>
  <c r="G3094" i="12" s="1"/>
  <c r="E3094" i="12"/>
  <c r="I3094" i="12" s="1"/>
  <c r="C3094" i="12"/>
  <c r="Q3093" i="12"/>
  <c r="O3093" i="12"/>
  <c r="K3093" i="12"/>
  <c r="F3093" i="12"/>
  <c r="G3093" i="12" s="1"/>
  <c r="E3093" i="12"/>
  <c r="I3093" i="12" s="1"/>
  <c r="C3093" i="12"/>
  <c r="Q3092" i="12"/>
  <c r="O3092" i="12"/>
  <c r="K3092" i="12"/>
  <c r="F3092" i="12"/>
  <c r="G3092" i="12" s="1"/>
  <c r="E3092" i="12"/>
  <c r="I3092" i="12" s="1"/>
  <c r="C3092" i="12"/>
  <c r="Q3091" i="12"/>
  <c r="O3091" i="12"/>
  <c r="K3091" i="12"/>
  <c r="F3091" i="12"/>
  <c r="G3091" i="12" s="1"/>
  <c r="J3091" i="12" s="1"/>
  <c r="E3091" i="12"/>
  <c r="I3091" i="12" s="1"/>
  <c r="C3091" i="12"/>
  <c r="Q3090" i="12"/>
  <c r="O3090" i="12"/>
  <c r="K3090" i="12"/>
  <c r="F3090" i="12"/>
  <c r="G3090" i="12" s="1"/>
  <c r="E3090" i="12"/>
  <c r="I3090" i="12" s="1"/>
  <c r="C3090" i="12"/>
  <c r="Q3089" i="12"/>
  <c r="O3089" i="12"/>
  <c r="K3089" i="12"/>
  <c r="F3089" i="12"/>
  <c r="G3089" i="12" s="1"/>
  <c r="J3089" i="12" s="1"/>
  <c r="E3089" i="12"/>
  <c r="I3089" i="12" s="1"/>
  <c r="C3089" i="12"/>
  <c r="Q3088" i="12"/>
  <c r="O3088" i="12"/>
  <c r="K3088" i="12"/>
  <c r="F3088" i="12"/>
  <c r="G3088" i="12" s="1"/>
  <c r="E3088" i="12"/>
  <c r="I3088" i="12" s="1"/>
  <c r="C3088" i="12"/>
  <c r="Q3087" i="12"/>
  <c r="O3087" i="12"/>
  <c r="K3087" i="12"/>
  <c r="F3087" i="12"/>
  <c r="G3087" i="12" s="1"/>
  <c r="E3087" i="12"/>
  <c r="I3087" i="12" s="1"/>
  <c r="C3087" i="12"/>
  <c r="Q3086" i="12"/>
  <c r="O3086" i="12"/>
  <c r="K3086" i="12"/>
  <c r="F3086" i="12"/>
  <c r="G3086" i="12" s="1"/>
  <c r="E3086" i="12"/>
  <c r="I3086" i="12" s="1"/>
  <c r="C3086" i="12"/>
  <c r="Q3085" i="12"/>
  <c r="O3085" i="12"/>
  <c r="K3085" i="12"/>
  <c r="F3085" i="12"/>
  <c r="G3085" i="12" s="1"/>
  <c r="J3085" i="12" s="1"/>
  <c r="E3085" i="12"/>
  <c r="I3085" i="12" s="1"/>
  <c r="C3085" i="12"/>
  <c r="Q3084" i="12"/>
  <c r="O3084" i="12"/>
  <c r="K3084" i="12"/>
  <c r="F3084" i="12"/>
  <c r="G3084" i="12" s="1"/>
  <c r="E3084" i="12"/>
  <c r="I3084" i="12" s="1"/>
  <c r="C3084" i="12"/>
  <c r="Q3083" i="12"/>
  <c r="O3083" i="12"/>
  <c r="K3083" i="12"/>
  <c r="F3083" i="12"/>
  <c r="G3083" i="12" s="1"/>
  <c r="J3083" i="12" s="1"/>
  <c r="E3083" i="12"/>
  <c r="I3083" i="12" s="1"/>
  <c r="C3083" i="12"/>
  <c r="Q3082" i="12"/>
  <c r="O3082" i="12"/>
  <c r="K3082" i="12"/>
  <c r="F3082" i="12"/>
  <c r="G3082" i="12" s="1"/>
  <c r="E3082" i="12"/>
  <c r="I3082" i="12" s="1"/>
  <c r="C3082" i="12"/>
  <c r="Q3081" i="12"/>
  <c r="O3081" i="12"/>
  <c r="K3081" i="12"/>
  <c r="F3081" i="12"/>
  <c r="G3081" i="12" s="1"/>
  <c r="E3081" i="12"/>
  <c r="I3081" i="12" s="1"/>
  <c r="C3081" i="12"/>
  <c r="Q3080" i="12"/>
  <c r="O3080" i="12"/>
  <c r="K3080" i="12"/>
  <c r="F3080" i="12"/>
  <c r="G3080" i="12" s="1"/>
  <c r="E3080" i="12"/>
  <c r="I3080" i="12" s="1"/>
  <c r="C3080" i="12"/>
  <c r="Q3079" i="12"/>
  <c r="O3079" i="12"/>
  <c r="K3079" i="12"/>
  <c r="F3079" i="12"/>
  <c r="G3079" i="12" s="1"/>
  <c r="E3079" i="12"/>
  <c r="I3079" i="12" s="1"/>
  <c r="C3079" i="12"/>
  <c r="Q3078" i="12"/>
  <c r="O3078" i="12"/>
  <c r="K3078" i="12"/>
  <c r="F3078" i="12"/>
  <c r="G3078" i="12" s="1"/>
  <c r="E3078" i="12"/>
  <c r="I3078" i="12" s="1"/>
  <c r="C3078" i="12"/>
  <c r="Q3043" i="12"/>
  <c r="O3043" i="12"/>
  <c r="K3043" i="12"/>
  <c r="F3043" i="12"/>
  <c r="G3043" i="12" s="1"/>
  <c r="E3043" i="12"/>
  <c r="I3043" i="12" s="1"/>
  <c r="C3043" i="12"/>
  <c r="Q3042" i="12"/>
  <c r="O3042" i="12"/>
  <c r="K3042" i="12"/>
  <c r="F3042" i="12"/>
  <c r="G3042" i="12" s="1"/>
  <c r="E3042" i="12"/>
  <c r="I3042" i="12" s="1"/>
  <c r="C3042" i="12"/>
  <c r="Q3055" i="12"/>
  <c r="O3055" i="12"/>
  <c r="K3055" i="12"/>
  <c r="F3055" i="12"/>
  <c r="G3055" i="12" s="1"/>
  <c r="E3055" i="12"/>
  <c r="I3055" i="12" s="1"/>
  <c r="C3055" i="12"/>
  <c r="Q3054" i="12"/>
  <c r="O3054" i="12"/>
  <c r="K3054" i="12"/>
  <c r="F3054" i="12"/>
  <c r="G3054" i="12" s="1"/>
  <c r="E3054" i="12"/>
  <c r="I3054" i="12" s="1"/>
  <c r="C3054" i="12"/>
  <c r="Q3053" i="12"/>
  <c r="O3053" i="12"/>
  <c r="K3053" i="12"/>
  <c r="F3053" i="12"/>
  <c r="G3053" i="12" s="1"/>
  <c r="E3053" i="12"/>
  <c r="I3053" i="12" s="1"/>
  <c r="C3053" i="12"/>
  <c r="Q3052" i="12"/>
  <c r="O3052" i="12"/>
  <c r="K3052" i="12"/>
  <c r="F3052" i="12"/>
  <c r="G3052" i="12" s="1"/>
  <c r="E3052" i="12"/>
  <c r="I3052" i="12" s="1"/>
  <c r="C3052" i="12"/>
  <c r="Q3051" i="12"/>
  <c r="O3051" i="12"/>
  <c r="K3051" i="12"/>
  <c r="F3051" i="12"/>
  <c r="G3051" i="12" s="1"/>
  <c r="E3051" i="12"/>
  <c r="I3051" i="12" s="1"/>
  <c r="C3051" i="12"/>
  <c r="Q3050" i="12"/>
  <c r="O3050" i="12"/>
  <c r="K3050" i="12"/>
  <c r="F3050" i="12"/>
  <c r="G3050" i="12" s="1"/>
  <c r="E3050" i="12"/>
  <c r="I3050" i="12" s="1"/>
  <c r="C3050" i="12"/>
  <c r="Q3049" i="12"/>
  <c r="O3049" i="12"/>
  <c r="K3049" i="12"/>
  <c r="F3049" i="12"/>
  <c r="G3049" i="12" s="1"/>
  <c r="E3049" i="12"/>
  <c r="I3049" i="12" s="1"/>
  <c r="C3049" i="12"/>
  <c r="Q3048" i="12"/>
  <c r="O3048" i="12"/>
  <c r="K3048" i="12"/>
  <c r="F3048" i="12"/>
  <c r="G3048" i="12" s="1"/>
  <c r="E3048" i="12"/>
  <c r="I3048" i="12" s="1"/>
  <c r="C3048" i="12"/>
  <c r="Q3047" i="12"/>
  <c r="O3047" i="12"/>
  <c r="K3047" i="12"/>
  <c r="F3047" i="12"/>
  <c r="G3047" i="12" s="1"/>
  <c r="E3047" i="12"/>
  <c r="I3047" i="12" s="1"/>
  <c r="C3047" i="12"/>
  <c r="Q3046" i="12"/>
  <c r="O3046" i="12"/>
  <c r="K3046" i="12"/>
  <c r="F3046" i="12"/>
  <c r="G3046" i="12" s="1"/>
  <c r="E3046" i="12"/>
  <c r="I3046" i="12" s="1"/>
  <c r="C3046" i="12"/>
  <c r="Q3045" i="12"/>
  <c r="O3045" i="12"/>
  <c r="K3045" i="12"/>
  <c r="F3045" i="12"/>
  <c r="G3045" i="12" s="1"/>
  <c r="E3045" i="12"/>
  <c r="I3045" i="12" s="1"/>
  <c r="C3045" i="12"/>
  <c r="Q3044" i="12"/>
  <c r="O3044" i="12"/>
  <c r="K3044" i="12"/>
  <c r="F3044" i="12"/>
  <c r="G3044" i="12" s="1"/>
  <c r="E3044" i="12"/>
  <c r="I3044" i="12" s="1"/>
  <c r="C3044" i="12"/>
  <c r="Q3041" i="12"/>
  <c r="O3041" i="12"/>
  <c r="K3041" i="12"/>
  <c r="F3041" i="12"/>
  <c r="G3041" i="12" s="1"/>
  <c r="E3041" i="12"/>
  <c r="I3041" i="12" s="1"/>
  <c r="C3041" i="12"/>
  <c r="C3015" i="12"/>
  <c r="E3015" i="12"/>
  <c r="I3015" i="12" s="1"/>
  <c r="F3015" i="12"/>
  <c r="K3015" i="12"/>
  <c r="O3015" i="12"/>
  <c r="Q3015" i="12"/>
  <c r="C3009" i="12"/>
  <c r="E3009" i="12"/>
  <c r="I3009" i="12" s="1"/>
  <c r="F3009" i="12"/>
  <c r="G3009" i="12" s="1"/>
  <c r="K3009" i="12"/>
  <c r="O3009" i="12"/>
  <c r="Q3009" i="12"/>
  <c r="C3016" i="12"/>
  <c r="E3016" i="12"/>
  <c r="I3016" i="12" s="1"/>
  <c r="F3016" i="12"/>
  <c r="G3016" i="12" s="1"/>
  <c r="L3016" i="12" s="1"/>
  <c r="K3016" i="12"/>
  <c r="O3016" i="12"/>
  <c r="Q3016" i="12"/>
  <c r="C3017" i="12"/>
  <c r="E3017" i="12"/>
  <c r="I3017" i="12" s="1"/>
  <c r="F3017" i="12"/>
  <c r="G3017" i="12" s="1"/>
  <c r="K3017" i="12"/>
  <c r="C3018" i="12"/>
  <c r="E3018" i="12"/>
  <c r="I3018" i="12" s="1"/>
  <c r="F3018" i="12"/>
  <c r="G3018" i="12" s="1"/>
  <c r="J3018" i="12" s="1"/>
  <c r="K3018" i="12"/>
  <c r="O3018" i="12"/>
  <c r="Q3018" i="12"/>
  <c r="C3019" i="12"/>
  <c r="E3019" i="12"/>
  <c r="I3019" i="12" s="1"/>
  <c r="F3019" i="12"/>
  <c r="G3019" i="12" s="1"/>
  <c r="J3019" i="12" s="1"/>
  <c r="K3019" i="12"/>
  <c r="O3019" i="12"/>
  <c r="Q3019" i="12"/>
  <c r="C3020" i="12"/>
  <c r="E3020" i="12"/>
  <c r="I3020" i="12" s="1"/>
  <c r="F3020" i="12"/>
  <c r="G3020" i="12" s="1"/>
  <c r="J3020" i="12" s="1"/>
  <c r="K3020" i="12"/>
  <c r="O3020" i="12"/>
  <c r="Q3020" i="12"/>
  <c r="C3021" i="12"/>
  <c r="E3021" i="12"/>
  <c r="I3021" i="12" s="1"/>
  <c r="F3021" i="12"/>
  <c r="G3021" i="12" s="1"/>
  <c r="K3021" i="12"/>
  <c r="O3021" i="12"/>
  <c r="Q3021" i="12"/>
  <c r="C3022" i="12"/>
  <c r="E3022" i="12"/>
  <c r="I3022" i="12" s="1"/>
  <c r="F3022" i="12"/>
  <c r="G3022" i="12" s="1"/>
  <c r="K3022" i="12"/>
  <c r="O3022" i="12"/>
  <c r="Q3022" i="12"/>
  <c r="C3023" i="12"/>
  <c r="E3023" i="12"/>
  <c r="I3023" i="12" s="1"/>
  <c r="F3023" i="12"/>
  <c r="G3023" i="12" s="1"/>
  <c r="K3023" i="12"/>
  <c r="O3023" i="12"/>
  <c r="Q3023" i="12"/>
  <c r="C3024" i="12"/>
  <c r="E3024" i="12"/>
  <c r="I3024" i="12" s="1"/>
  <c r="F3024" i="12"/>
  <c r="G3024" i="12" s="1"/>
  <c r="K3024" i="12"/>
  <c r="Q3024" i="12"/>
  <c r="C3025" i="12"/>
  <c r="E3025" i="12"/>
  <c r="I3025" i="12" s="1"/>
  <c r="F3025" i="12"/>
  <c r="G3025" i="12" s="1"/>
  <c r="K3025" i="12"/>
  <c r="O3025" i="12"/>
  <c r="Q3025" i="12"/>
  <c r="C3026" i="12"/>
  <c r="E3026" i="12"/>
  <c r="I3026" i="12" s="1"/>
  <c r="F3026" i="12"/>
  <c r="G3026" i="12" s="1"/>
  <c r="J3026" i="12" s="1"/>
  <c r="K3026" i="12"/>
  <c r="O3026" i="12"/>
  <c r="Q3026" i="12"/>
  <c r="C3027" i="12"/>
  <c r="E3027" i="12"/>
  <c r="I3027" i="12" s="1"/>
  <c r="F3027" i="12"/>
  <c r="G3027" i="12" s="1"/>
  <c r="K3027" i="12"/>
  <c r="O3027" i="12"/>
  <c r="Q3027" i="12"/>
  <c r="C3028" i="12"/>
  <c r="E3028" i="12"/>
  <c r="I3028" i="12" s="1"/>
  <c r="F3028" i="12"/>
  <c r="G3028" i="12" s="1"/>
  <c r="K3028" i="12"/>
  <c r="Q3028" i="12"/>
  <c r="C3029" i="12"/>
  <c r="E3029" i="12"/>
  <c r="F3029" i="12"/>
  <c r="G3029" i="12" s="1"/>
  <c r="K3029" i="12"/>
  <c r="C3030" i="12"/>
  <c r="E3030" i="12"/>
  <c r="I3030" i="12" s="1"/>
  <c r="F3030" i="12"/>
  <c r="G3030" i="12" s="1"/>
  <c r="K3030" i="12"/>
  <c r="O3030" i="12"/>
  <c r="Q3030" i="12"/>
  <c r="C3056" i="12"/>
  <c r="E3056" i="12"/>
  <c r="I3056" i="12" s="1"/>
  <c r="F3056" i="12"/>
  <c r="G3056" i="12" s="1"/>
  <c r="K3056" i="12"/>
  <c r="O3056" i="12"/>
  <c r="Q3056" i="12"/>
  <c r="C3057" i="12"/>
  <c r="E3057" i="12"/>
  <c r="I3057" i="12" s="1"/>
  <c r="F3057" i="12"/>
  <c r="G3057" i="12" s="1"/>
  <c r="J3057" i="12" s="1"/>
  <c r="K3057" i="12"/>
  <c r="O3057" i="12"/>
  <c r="Q3057" i="12"/>
  <c r="C3058" i="12"/>
  <c r="E3058" i="12"/>
  <c r="I3058" i="12" s="1"/>
  <c r="F3058" i="12"/>
  <c r="G3058" i="12" s="1"/>
  <c r="K3058" i="12"/>
  <c r="O3058" i="12"/>
  <c r="Q3058" i="12"/>
  <c r="C3059" i="12"/>
  <c r="E3059" i="12"/>
  <c r="I3059" i="12" s="1"/>
  <c r="F3059" i="12"/>
  <c r="G3059" i="12" s="1"/>
  <c r="J3059" i="12" s="1"/>
  <c r="K3059" i="12"/>
  <c r="O3059" i="12"/>
  <c r="Q3059" i="12"/>
  <c r="C3060" i="12"/>
  <c r="E3060" i="12"/>
  <c r="I3060" i="12" s="1"/>
  <c r="F3060" i="12"/>
  <c r="G3060" i="12" s="1"/>
  <c r="K3060" i="12"/>
  <c r="O3060" i="12"/>
  <c r="Q3060" i="12"/>
  <c r="C3061" i="12"/>
  <c r="E3061" i="12"/>
  <c r="I3061" i="12" s="1"/>
  <c r="F3061" i="12"/>
  <c r="G3061" i="12" s="1"/>
  <c r="K3061" i="12"/>
  <c r="O3061" i="12"/>
  <c r="Q3061" i="12"/>
  <c r="C3062" i="12"/>
  <c r="E3062" i="12"/>
  <c r="I3062" i="12" s="1"/>
  <c r="F3062" i="12"/>
  <c r="G3062" i="12" s="1"/>
  <c r="J3062" i="12" s="1"/>
  <c r="K3062" i="12"/>
  <c r="O3062" i="12"/>
  <c r="Q3062" i="12"/>
  <c r="C3063" i="12"/>
  <c r="E3063" i="12"/>
  <c r="I3063" i="12" s="1"/>
  <c r="F3063" i="12"/>
  <c r="G3063" i="12" s="1"/>
  <c r="K3063" i="12"/>
  <c r="O3063" i="12"/>
  <c r="Q3063" i="12"/>
  <c r="C3064" i="12"/>
  <c r="E3064" i="12"/>
  <c r="I3064" i="12" s="1"/>
  <c r="F3064" i="12"/>
  <c r="G3064" i="12" s="1"/>
  <c r="J3064" i="12" s="1"/>
  <c r="K3064" i="12"/>
  <c r="O3064" i="12"/>
  <c r="Q3064" i="12"/>
  <c r="C3065" i="12"/>
  <c r="E3065" i="12"/>
  <c r="I3065" i="12" s="1"/>
  <c r="F3065" i="12"/>
  <c r="G3065" i="12" s="1"/>
  <c r="L3065" i="12" s="1"/>
  <c r="K3065" i="12"/>
  <c r="O3065" i="12"/>
  <c r="Q3065" i="12"/>
  <c r="C3066" i="12"/>
  <c r="E3066" i="12"/>
  <c r="I3066" i="12" s="1"/>
  <c r="F3066" i="12"/>
  <c r="G3066" i="12" s="1"/>
  <c r="K3066" i="12"/>
  <c r="O3066" i="12"/>
  <c r="Q3066" i="12"/>
  <c r="C3067" i="12"/>
  <c r="E3067" i="12"/>
  <c r="I3067" i="12" s="1"/>
  <c r="F3067" i="12"/>
  <c r="G3067" i="12" s="1"/>
  <c r="K3067" i="12"/>
  <c r="O3067" i="12"/>
  <c r="Q3067" i="12"/>
  <c r="C3068" i="12"/>
  <c r="E3068" i="12"/>
  <c r="I3068" i="12" s="1"/>
  <c r="F3068" i="12"/>
  <c r="G3068" i="12" s="1"/>
  <c r="K3068" i="12"/>
  <c r="O3068" i="12"/>
  <c r="Q3068" i="12"/>
  <c r="C3069" i="12"/>
  <c r="E3069" i="12"/>
  <c r="I3069" i="12" s="1"/>
  <c r="F3069" i="12"/>
  <c r="G3069" i="12" s="1"/>
  <c r="J3069" i="12" s="1"/>
  <c r="K3069" i="12"/>
  <c r="O3069" i="12"/>
  <c r="Q3069" i="12"/>
  <c r="C3070" i="12"/>
  <c r="E3070" i="12"/>
  <c r="I3070" i="12" s="1"/>
  <c r="F3070" i="12"/>
  <c r="G3070" i="12" s="1"/>
  <c r="K3070" i="12"/>
  <c r="O3070" i="12"/>
  <c r="Q3070" i="12"/>
  <c r="C3071" i="12"/>
  <c r="E3071" i="12"/>
  <c r="I3071" i="12" s="1"/>
  <c r="F3071" i="12"/>
  <c r="G3071" i="12" s="1"/>
  <c r="J3071" i="12" s="1"/>
  <c r="K3071" i="12"/>
  <c r="O3071" i="12"/>
  <c r="Q3071" i="12"/>
  <c r="C3072" i="12"/>
  <c r="E3072" i="12"/>
  <c r="I3072" i="12" s="1"/>
  <c r="F3072" i="12"/>
  <c r="G3072" i="12" s="1"/>
  <c r="K3072" i="12"/>
  <c r="O3072" i="12"/>
  <c r="Q3072" i="12"/>
  <c r="C3073" i="12"/>
  <c r="E3073" i="12"/>
  <c r="I3073" i="12" s="1"/>
  <c r="F3073" i="12"/>
  <c r="G3073" i="12" s="1"/>
  <c r="K3073" i="12"/>
  <c r="O3073" i="12"/>
  <c r="Q3073" i="12"/>
  <c r="C3074" i="12"/>
  <c r="E3074" i="12"/>
  <c r="I3074" i="12" s="1"/>
  <c r="F3074" i="12"/>
  <c r="G3074" i="12" s="1"/>
  <c r="K3074" i="12"/>
  <c r="O3074" i="12"/>
  <c r="Q3074" i="12"/>
  <c r="C3075" i="12"/>
  <c r="E3075" i="12"/>
  <c r="I3075" i="12" s="1"/>
  <c r="F3075" i="12"/>
  <c r="G3075" i="12" s="1"/>
  <c r="J3075" i="12" s="1"/>
  <c r="K3075" i="12"/>
  <c r="O3075" i="12"/>
  <c r="Q3075" i="12"/>
  <c r="C3076" i="12"/>
  <c r="E3076" i="12"/>
  <c r="I3076" i="12" s="1"/>
  <c r="F3076" i="12"/>
  <c r="G3076" i="12" s="1"/>
  <c r="K3076" i="12"/>
  <c r="O3076" i="12"/>
  <c r="Q3076" i="12"/>
  <c r="C3077" i="12"/>
  <c r="E3077" i="12"/>
  <c r="I3077" i="12" s="1"/>
  <c r="F3077" i="12"/>
  <c r="G3077" i="12" s="1"/>
  <c r="J3077" i="12" s="1"/>
  <c r="K3077" i="12"/>
  <c r="O3077" i="12"/>
  <c r="Q3077" i="12"/>
  <c r="C3031" i="12"/>
  <c r="E3031" i="12"/>
  <c r="I3031" i="12" s="1"/>
  <c r="F3031" i="12"/>
  <c r="G3031" i="12" s="1"/>
  <c r="K3031" i="12"/>
  <c r="O3031" i="12"/>
  <c r="Q3031" i="12"/>
  <c r="C3032" i="12"/>
  <c r="E3032" i="12"/>
  <c r="I3032" i="12" s="1"/>
  <c r="F3032" i="12"/>
  <c r="G3032" i="12" s="1"/>
  <c r="K3032" i="12"/>
  <c r="O3032" i="12"/>
  <c r="Q3032" i="12"/>
  <c r="C3033" i="12"/>
  <c r="E3033" i="12"/>
  <c r="I3033" i="12" s="1"/>
  <c r="F3033" i="12"/>
  <c r="G3033" i="12" s="1"/>
  <c r="K3033" i="12"/>
  <c r="O3033" i="12"/>
  <c r="Q3033" i="12"/>
  <c r="C3034" i="12"/>
  <c r="E3034" i="12"/>
  <c r="I3034" i="12" s="1"/>
  <c r="F3034" i="12"/>
  <c r="G3034" i="12" s="1"/>
  <c r="K3034" i="12"/>
  <c r="O3034" i="12"/>
  <c r="Q3034" i="12"/>
  <c r="C3035" i="12"/>
  <c r="E3035" i="12"/>
  <c r="I3035" i="12" s="1"/>
  <c r="F3035" i="12"/>
  <c r="G3035" i="12" s="1"/>
  <c r="K3035" i="12"/>
  <c r="O3035" i="12"/>
  <c r="Q3035" i="12"/>
  <c r="C3036" i="12"/>
  <c r="E3036" i="12"/>
  <c r="I3036" i="12" s="1"/>
  <c r="F3036" i="12"/>
  <c r="G3036" i="12" s="1"/>
  <c r="J3036" i="12" s="1"/>
  <c r="K3036" i="12"/>
  <c r="O3036" i="12"/>
  <c r="Q3036" i="12"/>
  <c r="C3037" i="12"/>
  <c r="E3037" i="12"/>
  <c r="I3037" i="12" s="1"/>
  <c r="F3037" i="12"/>
  <c r="G3037" i="12" s="1"/>
  <c r="K3037" i="12"/>
  <c r="O3037" i="12"/>
  <c r="Q3037" i="12"/>
  <c r="C3038" i="12"/>
  <c r="E3038" i="12"/>
  <c r="I3038" i="12" s="1"/>
  <c r="F3038" i="12"/>
  <c r="G3038" i="12" s="1"/>
  <c r="K3038" i="12"/>
  <c r="O3038" i="12"/>
  <c r="Q3038" i="12"/>
  <c r="C3039" i="12"/>
  <c r="E3039" i="12"/>
  <c r="I3039" i="12" s="1"/>
  <c r="F3039" i="12"/>
  <c r="G3039" i="12" s="1"/>
  <c r="K3039" i="12"/>
  <c r="O3039" i="12"/>
  <c r="Q3039" i="12"/>
  <c r="C3040" i="12"/>
  <c r="E3040" i="12"/>
  <c r="I3040" i="12" s="1"/>
  <c r="F3040" i="12"/>
  <c r="G3040" i="12" s="1"/>
  <c r="J3040" i="12" s="1"/>
  <c r="K3040" i="12"/>
  <c r="O3040" i="12"/>
  <c r="Q3040" i="12"/>
  <c r="G3225" i="12" l="1"/>
  <c r="J3225" i="12" s="1"/>
  <c r="L3225" i="12" s="1"/>
  <c r="G3224" i="12"/>
  <c r="J3224" i="12" s="1"/>
  <c r="L3224" i="12" s="1"/>
  <c r="G3095" i="12"/>
  <c r="J3095" i="12" s="1"/>
  <c r="L3095" i="12" s="1"/>
  <c r="I3029" i="12"/>
  <c r="O3017" i="12"/>
  <c r="Q3029" i="12"/>
  <c r="Q3017" i="12"/>
  <c r="O3029" i="12"/>
  <c r="O3028" i="12"/>
  <c r="O3024" i="12"/>
  <c r="J3056" i="12"/>
  <c r="L3056" i="12" s="1"/>
  <c r="G3015" i="12"/>
  <c r="J3076" i="12"/>
  <c r="L3076" i="12" s="1"/>
  <c r="J3035" i="12"/>
  <c r="L3035" i="12" s="1"/>
  <c r="J3161" i="12"/>
  <c r="L3161" i="12" s="1"/>
  <c r="L3210" i="12"/>
  <c r="J3061" i="12"/>
  <c r="L3061" i="12" s="1"/>
  <c r="J3211" i="12"/>
  <c r="J3038" i="12"/>
  <c r="L3038" i="12" s="1"/>
  <c r="J3039" i="12"/>
  <c r="L3039" i="12" s="1"/>
  <c r="J3068" i="12"/>
  <c r="L3068" i="12" s="1"/>
  <c r="J3199" i="12"/>
  <c r="L3206" i="12"/>
  <c r="J3219" i="12"/>
  <c r="L3219" i="12" s="1"/>
  <c r="J3063" i="12"/>
  <c r="L3063" i="12" s="1"/>
  <c r="J3156" i="12"/>
  <c r="L3156" i="12" s="1"/>
  <c r="J3074" i="12"/>
  <c r="L3074" i="12" s="1"/>
  <c r="L3198" i="12"/>
  <c r="J3201" i="12"/>
  <c r="L3201" i="12" s="1"/>
  <c r="J3207" i="12"/>
  <c r="L3207" i="12" s="1"/>
  <c r="L3212" i="12"/>
  <c r="J3178" i="12"/>
  <c r="L3178" i="12" s="1"/>
  <c r="J3180" i="12"/>
  <c r="L3180" i="12" s="1"/>
  <c r="J3182" i="12"/>
  <c r="L3182" i="12" s="1"/>
  <c r="J3184" i="12"/>
  <c r="L3184" i="12" s="1"/>
  <c r="J3186" i="12"/>
  <c r="L3186" i="12" s="1"/>
  <c r="J3188" i="12"/>
  <c r="L3188" i="12" s="1"/>
  <c r="J3190" i="12"/>
  <c r="L3190" i="12" s="1"/>
  <c r="J3192" i="12"/>
  <c r="L3192" i="12" s="1"/>
  <c r="J3194" i="12"/>
  <c r="L3194" i="12" s="1"/>
  <c r="J3196" i="12"/>
  <c r="L3196" i="12" s="1"/>
  <c r="J3176" i="12"/>
  <c r="L3176" i="12" s="1"/>
  <c r="J3179" i="12"/>
  <c r="L3179" i="12" s="1"/>
  <c r="J3181" i="12"/>
  <c r="L3181" i="12" s="1"/>
  <c r="J3183" i="12"/>
  <c r="L3183" i="12" s="1"/>
  <c r="J3185" i="12"/>
  <c r="L3185" i="12" s="1"/>
  <c r="J3189" i="12"/>
  <c r="L3189" i="12" s="1"/>
  <c r="J3191" i="12"/>
  <c r="L3191" i="12" s="1"/>
  <c r="J3193" i="12"/>
  <c r="L3193" i="12" s="1"/>
  <c r="J3195" i="12"/>
  <c r="L3195" i="12" s="1"/>
  <c r="J3187" i="12"/>
  <c r="L3187" i="12" s="1"/>
  <c r="J3037" i="12"/>
  <c r="L3037" i="12" s="1"/>
  <c r="J3094" i="12"/>
  <c r="L3094" i="12" s="1"/>
  <c r="J3104" i="12"/>
  <c r="L3104" i="12" s="1"/>
  <c r="J3172" i="12"/>
  <c r="L3172" i="12" s="1"/>
  <c r="J3174" i="12"/>
  <c r="L3174" i="12" s="1"/>
  <c r="J3070" i="12"/>
  <c r="L3070" i="12" s="1"/>
  <c r="J3058" i="12"/>
  <c r="L3058" i="12" s="1"/>
  <c r="J3166" i="12"/>
  <c r="L3166" i="12" s="1"/>
  <c r="J3088" i="12"/>
  <c r="L3088" i="12" s="1"/>
  <c r="L3026" i="12"/>
  <c r="L3018" i="12"/>
  <c r="L3020" i="12"/>
  <c r="J3044" i="12"/>
  <c r="L3044" i="12" s="1"/>
  <c r="J3042" i="12"/>
  <c r="L3042" i="12" s="1"/>
  <c r="J3080" i="12"/>
  <c r="L3080" i="12" s="1"/>
  <c r="L3041" i="12"/>
  <c r="J3041" i="12"/>
  <c r="J3047" i="12"/>
  <c r="L3047" i="12" s="1"/>
  <c r="J3079" i="12"/>
  <c r="L3079" i="12" s="1"/>
  <c r="J3099" i="12"/>
  <c r="L3099" i="12" s="1"/>
  <c r="J3108" i="12"/>
  <c r="L3108" i="12" s="1"/>
  <c r="J3046" i="12"/>
  <c r="L3046" i="12" s="1"/>
  <c r="J3050" i="12"/>
  <c r="L3050" i="12" s="1"/>
  <c r="J3054" i="12"/>
  <c r="L3054" i="12" s="1"/>
  <c r="J3078" i="12"/>
  <c r="L3078" i="12" s="1"/>
  <c r="J3082" i="12"/>
  <c r="L3082" i="12" s="1"/>
  <c r="J3045" i="12"/>
  <c r="L3045" i="12" s="1"/>
  <c r="J3049" i="12"/>
  <c r="L3049" i="12" s="1"/>
  <c r="J3053" i="12"/>
  <c r="L3053" i="12" s="1"/>
  <c r="J3043" i="12"/>
  <c r="L3043" i="12" s="1"/>
  <c r="J3081" i="12"/>
  <c r="L3081" i="12" s="1"/>
  <c r="J3093" i="12"/>
  <c r="L3093" i="12" s="1"/>
  <c r="J3103" i="12"/>
  <c r="L3103" i="12" s="1"/>
  <c r="J3113" i="12"/>
  <c r="L3113" i="12" s="1"/>
  <c r="J3048" i="12"/>
  <c r="L3048" i="12" s="1"/>
  <c r="J3052" i="12"/>
  <c r="L3052" i="12" s="1"/>
  <c r="J3051" i="12"/>
  <c r="L3051" i="12" s="1"/>
  <c r="J3055" i="12"/>
  <c r="L3055" i="12" s="1"/>
  <c r="J3087" i="12"/>
  <c r="L3087" i="12" s="1"/>
  <c r="J3135" i="12"/>
  <c r="L3135" i="12" s="1"/>
  <c r="J3139" i="12"/>
  <c r="L3139" i="12" s="1"/>
  <c r="J3142" i="12"/>
  <c r="L3142" i="12" s="1"/>
  <c r="L3147" i="12"/>
  <c r="J3147" i="12"/>
  <c r="J3177" i="12"/>
  <c r="L3177" i="12" s="1"/>
  <c r="J3221" i="12"/>
  <c r="L3221" i="12" s="1"/>
  <c r="J3227" i="12"/>
  <c r="L3227" i="12" s="1"/>
  <c r="J3231" i="12"/>
  <c r="L3231" i="12" s="1"/>
  <c r="J3235" i="12"/>
  <c r="L3235" i="12" s="1"/>
  <c r="J3239" i="12"/>
  <c r="L3239" i="12" s="1"/>
  <c r="J3242" i="12"/>
  <c r="L3242" i="12" s="1"/>
  <c r="L3083" i="12"/>
  <c r="J3084" i="12"/>
  <c r="L3084" i="12" s="1"/>
  <c r="L3089" i="12"/>
  <c r="J3090" i="12"/>
  <c r="L3090" i="12" s="1"/>
  <c r="J3096" i="12"/>
  <c r="L3096" i="12" s="1"/>
  <c r="J3100" i="12"/>
  <c r="L3100" i="12" s="1"/>
  <c r="J3105" i="12"/>
  <c r="L3105" i="12" s="1"/>
  <c r="J3110" i="12"/>
  <c r="L3110" i="12" s="1"/>
  <c r="J3117" i="12"/>
  <c r="L3117" i="12" s="1"/>
  <c r="J3121" i="12"/>
  <c r="L3121" i="12" s="1"/>
  <c r="J3125" i="12"/>
  <c r="L3125" i="12" s="1"/>
  <c r="J3128" i="12"/>
  <c r="L3128" i="12" s="1"/>
  <c r="J3132" i="12"/>
  <c r="L3132" i="12" s="1"/>
  <c r="J3134" i="12"/>
  <c r="L3134" i="12" s="1"/>
  <c r="J3138" i="12"/>
  <c r="L3138" i="12" s="1"/>
  <c r="J3141" i="12"/>
  <c r="L3141" i="12"/>
  <c r="J3146" i="12"/>
  <c r="L3146" i="12" s="1"/>
  <c r="J3150" i="12"/>
  <c r="L3150" i="12" s="1"/>
  <c r="J3153" i="12"/>
  <c r="L3153" i="12" s="1"/>
  <c r="J3122" i="12"/>
  <c r="L3122" i="12" s="1"/>
  <c r="L3129" i="12"/>
  <c r="J3129" i="12"/>
  <c r="J3086" i="12"/>
  <c r="L3086" i="12" s="1"/>
  <c r="J3092" i="12"/>
  <c r="L3092" i="12" s="1"/>
  <c r="J3098" i="12"/>
  <c r="L3098" i="12" s="1"/>
  <c r="J3102" i="12"/>
  <c r="J3107" i="12"/>
  <c r="L3107" i="12" s="1"/>
  <c r="J3112" i="12"/>
  <c r="L3112" i="12" s="1"/>
  <c r="L3116" i="12"/>
  <c r="J3116" i="12"/>
  <c r="J3120" i="12"/>
  <c r="L3120" i="12" s="1"/>
  <c r="J3124" i="12"/>
  <c r="L3124" i="12" s="1"/>
  <c r="J3127" i="12"/>
  <c r="L3127" i="12" s="1"/>
  <c r="J3131" i="12"/>
  <c r="L3131" i="12" s="1"/>
  <c r="J3133" i="12"/>
  <c r="L3133" i="12" s="1"/>
  <c r="J3137" i="12"/>
  <c r="L3137" i="12" s="1"/>
  <c r="L3140" i="12"/>
  <c r="J3140" i="12"/>
  <c r="J3144" i="12"/>
  <c r="L3144" i="12" s="1"/>
  <c r="J3145" i="12"/>
  <c r="L3145" i="12" s="1"/>
  <c r="J3160" i="12"/>
  <c r="L3160" i="12" s="1"/>
  <c r="J3165" i="12"/>
  <c r="L3165" i="12" s="1"/>
  <c r="J3170" i="12"/>
  <c r="L3170" i="12" s="1"/>
  <c r="J3118" i="12"/>
  <c r="L3118" i="12" s="1"/>
  <c r="L3126" i="12"/>
  <c r="J3126" i="12"/>
  <c r="L3085" i="12"/>
  <c r="L3091" i="12"/>
  <c r="L3097" i="12"/>
  <c r="L3101" i="12"/>
  <c r="L3106" i="12"/>
  <c r="L3111" i="12"/>
  <c r="J3115" i="12"/>
  <c r="L3115" i="12" s="1"/>
  <c r="J3123" i="12"/>
  <c r="L3123" i="12" s="1"/>
  <c r="J3130" i="12"/>
  <c r="L3130" i="12"/>
  <c r="J3136" i="12"/>
  <c r="L3136" i="12" s="1"/>
  <c r="J3143" i="12"/>
  <c r="L3143" i="12" s="1"/>
  <c r="J3148" i="12"/>
  <c r="L3148" i="12" s="1"/>
  <c r="J3155" i="12"/>
  <c r="L3155" i="12" s="1"/>
  <c r="J3159" i="12"/>
  <c r="L3159" i="12" s="1"/>
  <c r="J3164" i="12"/>
  <c r="L3164" i="12" s="1"/>
  <c r="J3169" i="12"/>
  <c r="L3169" i="12" s="1"/>
  <c r="L3171" i="12"/>
  <c r="J3151" i="12"/>
  <c r="L3151" i="12" s="1"/>
  <c r="J3154" i="12"/>
  <c r="L3154" i="12" s="1"/>
  <c r="J3158" i="12"/>
  <c r="L3158" i="12" s="1"/>
  <c r="J3163" i="12"/>
  <c r="L3163" i="12" s="1"/>
  <c r="J3168" i="12"/>
  <c r="L3168" i="12" s="1"/>
  <c r="L3173" i="12"/>
  <c r="L3175" i="12"/>
  <c r="J3197" i="12"/>
  <c r="L3197" i="12" s="1"/>
  <c r="J3205" i="12"/>
  <c r="L3205" i="12" s="1"/>
  <c r="J3209" i="12"/>
  <c r="L3209" i="12" s="1"/>
  <c r="L3218" i="12"/>
  <c r="J3218" i="12"/>
  <c r="L3157" i="12"/>
  <c r="L3162" i="12"/>
  <c r="L3167" i="12"/>
  <c r="J3204" i="12"/>
  <c r="L3204" i="12" s="1"/>
  <c r="J3215" i="12"/>
  <c r="L3215" i="12" s="1"/>
  <c r="J3217" i="12"/>
  <c r="L3217" i="12" s="1"/>
  <c r="L3200" i="12"/>
  <c r="J3203" i="12"/>
  <c r="L3203" i="12" s="1"/>
  <c r="L3208" i="12"/>
  <c r="J3214" i="12"/>
  <c r="L3214" i="12" s="1"/>
  <c r="L3213" i="12"/>
  <c r="J3216" i="12"/>
  <c r="L3216" i="12" s="1"/>
  <c r="J3220" i="12"/>
  <c r="L3220" i="12" s="1"/>
  <c r="J3226" i="12"/>
  <c r="L3226" i="12" s="1"/>
  <c r="J3230" i="12"/>
  <c r="L3230" i="12" s="1"/>
  <c r="J3234" i="12"/>
  <c r="L3234" i="12" s="1"/>
  <c r="J3238" i="12"/>
  <c r="L3238" i="12" s="1"/>
  <c r="J3241" i="12"/>
  <c r="L3241" i="12" s="1"/>
  <c r="L3202" i="12"/>
  <c r="J3223" i="12"/>
  <c r="L3223" i="12" s="1"/>
  <c r="J3229" i="12"/>
  <c r="L3229" i="12" s="1"/>
  <c r="J3233" i="12"/>
  <c r="L3233" i="12" s="1"/>
  <c r="J3237" i="12"/>
  <c r="L3237" i="12" s="1"/>
  <c r="J3240" i="12"/>
  <c r="L3240" i="12" s="1"/>
  <c r="J3222" i="12"/>
  <c r="L3222" i="12" s="1"/>
  <c r="J3228" i="12"/>
  <c r="L3228" i="12" s="1"/>
  <c r="J3232" i="12"/>
  <c r="L3232" i="12" s="1"/>
  <c r="J3236" i="12"/>
  <c r="L3236" i="12" s="1"/>
  <c r="J3243" i="12"/>
  <c r="L3243" i="12" s="1"/>
  <c r="J3028" i="12"/>
  <c r="L3028" i="12" s="1"/>
  <c r="J3025" i="12"/>
  <c r="L3025" i="12"/>
  <c r="J3073" i="12"/>
  <c r="L3073" i="12" s="1"/>
  <c r="J3023" i="12"/>
  <c r="L3023" i="12" s="1"/>
  <c r="J3032" i="12"/>
  <c r="L3032" i="12" s="1"/>
  <c r="J3066" i="12"/>
  <c r="L3066" i="12" s="1"/>
  <c r="J3021" i="12"/>
  <c r="L3021" i="12" s="1"/>
  <c r="J3017" i="12"/>
  <c r="L3017" i="12" s="1"/>
  <c r="J3034" i="12"/>
  <c r="L3034" i="12"/>
  <c r="J3030" i="12"/>
  <c r="L3030" i="12" s="1"/>
  <c r="J3033" i="12"/>
  <c r="L3033" i="12" s="1"/>
  <c r="L3077" i="12"/>
  <c r="L3071" i="12"/>
  <c r="J3067" i="12"/>
  <c r="L3067" i="12" s="1"/>
  <c r="L3064" i="12"/>
  <c r="L3059" i="12"/>
  <c r="J3029" i="12"/>
  <c r="L3029" i="12" s="1"/>
  <c r="J3024" i="12"/>
  <c r="L3024" i="12" s="1"/>
  <c r="L3036" i="12"/>
  <c r="J3031" i="12"/>
  <c r="L3031" i="12" s="1"/>
  <c r="L3075" i="12"/>
  <c r="J3072" i="12"/>
  <c r="L3072" i="12" s="1"/>
  <c r="L3069" i="12"/>
  <c r="J3065" i="12"/>
  <c r="L3062" i="12"/>
  <c r="J3060" i="12"/>
  <c r="L3060" i="12" s="1"/>
  <c r="L3057" i="12"/>
  <c r="J3027" i="12"/>
  <c r="L3027" i="12" s="1"/>
  <c r="J3022" i="12"/>
  <c r="L3022" i="12" s="1"/>
  <c r="J3016" i="12"/>
  <c r="L3040" i="12"/>
  <c r="L3019" i="12"/>
  <c r="J3009" i="12"/>
  <c r="L3009" i="12" s="1"/>
  <c r="H3002" i="12"/>
  <c r="P2985" i="12"/>
  <c r="H2985" i="12"/>
  <c r="J3015" i="12" l="1"/>
  <c r="L3015" i="12" s="1"/>
  <c r="O2984" i="12"/>
  <c r="Q2984" i="12"/>
  <c r="S2780" i="12" l="1"/>
  <c r="S2433" i="12"/>
  <c r="S2389" i="12"/>
  <c r="S2925" i="12"/>
  <c r="H2967" i="12" l="1"/>
  <c r="P2967" i="12"/>
  <c r="P2966" i="12"/>
  <c r="H2966" i="12"/>
  <c r="H2977" i="12"/>
  <c r="P2977" i="12"/>
  <c r="P2972" i="12"/>
  <c r="H2972" i="12"/>
  <c r="M2973" i="12" l="1"/>
  <c r="M2977" i="12"/>
  <c r="M2981" i="12"/>
  <c r="M2983" i="12"/>
  <c r="M2991" i="12"/>
  <c r="I2261" i="24"/>
  <c r="O2261" i="24" s="1"/>
  <c r="I2262" i="24"/>
  <c r="N2262" i="24"/>
  <c r="P2262" i="24"/>
  <c r="Q2262" i="24"/>
  <c r="I2263" i="24"/>
  <c r="N2263" i="24"/>
  <c r="P2263" i="24"/>
  <c r="Q2263" i="24"/>
  <c r="I2264" i="24"/>
  <c r="N2264" i="24"/>
  <c r="P2264" i="24"/>
  <c r="Q2264" i="24"/>
  <c r="I2265" i="24"/>
  <c r="N2265" i="24"/>
  <c r="P2265" i="24"/>
  <c r="Q2265" i="24"/>
  <c r="I2266" i="24"/>
  <c r="N2266" i="24"/>
  <c r="P2266" i="24"/>
  <c r="Q2266" i="24"/>
  <c r="P2267" i="24"/>
  <c r="Q2267" i="24"/>
  <c r="I2268" i="24"/>
  <c r="N2268" i="24"/>
  <c r="P2268" i="24"/>
  <c r="Q2268" i="24"/>
  <c r="I2269" i="24"/>
  <c r="N2269" i="24"/>
  <c r="P2269" i="24"/>
  <c r="Q2269" i="24"/>
  <c r="I2270" i="24"/>
  <c r="N2270" i="24"/>
  <c r="P2270" i="24"/>
  <c r="Q2270" i="24"/>
  <c r="I2271" i="24"/>
  <c r="N2271" i="24"/>
  <c r="P2271" i="24"/>
  <c r="Q2271" i="24"/>
  <c r="I2272" i="24"/>
  <c r="N2272" i="24"/>
  <c r="P2272" i="24"/>
  <c r="Q2272" i="24"/>
  <c r="I2273" i="24"/>
  <c r="N2273" i="24"/>
  <c r="P2273" i="24"/>
  <c r="Q2273" i="24"/>
  <c r="I2274" i="24"/>
  <c r="N2274" i="24"/>
  <c r="P2274" i="24"/>
  <c r="Q2274" i="24"/>
  <c r="I2275" i="24"/>
  <c r="N2275" i="24"/>
  <c r="P2275" i="24"/>
  <c r="Q2275" i="24"/>
  <c r="I2276" i="24"/>
  <c r="N2276" i="24"/>
  <c r="P2276" i="24"/>
  <c r="Q2276" i="24"/>
  <c r="I2277" i="24"/>
  <c r="N2277" i="24"/>
  <c r="P2277" i="24"/>
  <c r="Q2277" i="24"/>
  <c r="I2278" i="24"/>
  <c r="N2278" i="24"/>
  <c r="P2278" i="24"/>
  <c r="Q2278" i="24"/>
  <c r="I2279" i="24"/>
  <c r="N2279" i="24"/>
  <c r="P2279" i="24"/>
  <c r="Q2279" i="24"/>
  <c r="I2280" i="24"/>
  <c r="N2280" i="24"/>
  <c r="P2280" i="24"/>
  <c r="Q2280" i="24"/>
  <c r="I2281" i="24"/>
  <c r="N2281" i="24"/>
  <c r="P2281" i="24"/>
  <c r="Q2281" i="24"/>
  <c r="I2282" i="24"/>
  <c r="N2282" i="24"/>
  <c r="P2282" i="24"/>
  <c r="Q2282" i="24"/>
  <c r="I2283" i="24"/>
  <c r="N2283" i="24"/>
  <c r="P2283" i="24"/>
  <c r="Q2283" i="24"/>
  <c r="I2284" i="24"/>
  <c r="N2284" i="24"/>
  <c r="P2284" i="24"/>
  <c r="Q2284" i="24"/>
  <c r="I2285" i="24"/>
  <c r="N2285" i="24"/>
  <c r="P2285" i="24"/>
  <c r="Q2285" i="24"/>
  <c r="I2232" i="24"/>
  <c r="N2232" i="24"/>
  <c r="P2232" i="24"/>
  <c r="Q2232" i="24"/>
  <c r="I2286" i="24"/>
  <c r="N2286" i="24"/>
  <c r="P2286" i="24"/>
  <c r="Q2286" i="24"/>
  <c r="I2287" i="24"/>
  <c r="N2287" i="24"/>
  <c r="P2287" i="24"/>
  <c r="Q2287" i="24"/>
  <c r="I2288" i="24"/>
  <c r="N2288" i="24"/>
  <c r="P2288" i="24"/>
  <c r="Q2288" i="24"/>
  <c r="I2289" i="24"/>
  <c r="N2289" i="24"/>
  <c r="P2289" i="24"/>
  <c r="Q2289" i="24"/>
  <c r="I2290" i="24"/>
  <c r="N2290" i="24"/>
  <c r="P2290" i="24"/>
  <c r="Q2290" i="24"/>
  <c r="I2291" i="24"/>
  <c r="N2291" i="24"/>
  <c r="P2291" i="24"/>
  <c r="Q2291" i="24"/>
  <c r="I2292" i="24"/>
  <c r="N2292" i="24"/>
  <c r="P2292" i="24"/>
  <c r="Q2292" i="24"/>
  <c r="I2293" i="24"/>
  <c r="N2293" i="24"/>
  <c r="P2293" i="24"/>
  <c r="Q2293" i="24"/>
  <c r="I2294" i="24"/>
  <c r="N2294" i="24"/>
  <c r="P2294" i="24"/>
  <c r="Q2294" i="24"/>
  <c r="I2295" i="24"/>
  <c r="N2295" i="24"/>
  <c r="P2295" i="24"/>
  <c r="Q2295" i="24"/>
  <c r="I2296" i="24"/>
  <c r="N2296" i="24"/>
  <c r="P2296" i="24"/>
  <c r="Q2296" i="24"/>
  <c r="I2297" i="24"/>
  <c r="N2297" i="24"/>
  <c r="P2297" i="24"/>
  <c r="Q2297" i="24"/>
  <c r="I2298" i="24"/>
  <c r="N2298" i="24"/>
  <c r="P2298" i="24"/>
  <c r="Q2298" i="24"/>
  <c r="I2299" i="24"/>
  <c r="N2299" i="24"/>
  <c r="P2299" i="24"/>
  <c r="Q2299" i="24"/>
  <c r="I2300" i="24"/>
  <c r="N2300" i="24"/>
  <c r="P2300" i="24"/>
  <c r="Q2300" i="24"/>
  <c r="I2301" i="24"/>
  <c r="N2301" i="24"/>
  <c r="P2301" i="24"/>
  <c r="Q2301" i="24"/>
  <c r="I2302" i="24"/>
  <c r="N2302" i="24"/>
  <c r="P2302" i="24"/>
  <c r="Q2302" i="24"/>
  <c r="I2303" i="24"/>
  <c r="N2303" i="24"/>
  <c r="P2303" i="24"/>
  <c r="Q2303" i="24"/>
  <c r="I2304" i="24"/>
  <c r="N2304" i="24"/>
  <c r="P2304" i="24"/>
  <c r="Q2304" i="24"/>
  <c r="I2306" i="24"/>
  <c r="N2306" i="24"/>
  <c r="P2306" i="24"/>
  <c r="Q2306" i="24"/>
  <c r="I2307" i="24"/>
  <c r="N2307" i="24"/>
  <c r="P2307" i="24"/>
  <c r="Q2307" i="24"/>
  <c r="I2308" i="24"/>
  <c r="N2308" i="24"/>
  <c r="P2308" i="24"/>
  <c r="Q2308" i="24"/>
  <c r="I2309" i="24"/>
  <c r="N2309" i="24"/>
  <c r="P2309" i="24"/>
  <c r="Q2309" i="24"/>
  <c r="I2310" i="24"/>
  <c r="N2310" i="24"/>
  <c r="P2310" i="24"/>
  <c r="Q2310" i="24"/>
  <c r="I2311" i="24"/>
  <c r="N2311" i="24"/>
  <c r="P2311" i="24"/>
  <c r="Q2311" i="24"/>
  <c r="I2312" i="24"/>
  <c r="N2312" i="24"/>
  <c r="P2312" i="24"/>
  <c r="Q2312" i="24"/>
  <c r="I2313" i="24"/>
  <c r="N2313" i="24"/>
  <c r="P2313" i="24"/>
  <c r="Q2313" i="24"/>
  <c r="I2314" i="24"/>
  <c r="N2314" i="24"/>
  <c r="P2314" i="24"/>
  <c r="Q2314" i="24"/>
  <c r="I2315" i="24"/>
  <c r="N2315" i="24"/>
  <c r="P2315" i="24"/>
  <c r="Q2315" i="24"/>
  <c r="I2316" i="24"/>
  <c r="N2316" i="24"/>
  <c r="P2316" i="24"/>
  <c r="Q2316" i="24"/>
  <c r="I2317" i="24"/>
  <c r="N2317" i="24"/>
  <c r="P2317" i="24"/>
  <c r="Q2317" i="24"/>
  <c r="I2318" i="24"/>
  <c r="N2318" i="24"/>
  <c r="P2318" i="24"/>
  <c r="Q2318" i="24"/>
  <c r="I2319" i="24"/>
  <c r="N2319" i="24"/>
  <c r="P2319" i="24"/>
  <c r="Q2319" i="24"/>
  <c r="I2320" i="24"/>
  <c r="N2320" i="24"/>
  <c r="P2320" i="24"/>
  <c r="Q2320" i="24"/>
  <c r="I2321" i="24"/>
  <c r="N2321" i="24"/>
  <c r="P2321" i="24"/>
  <c r="Q2321" i="24"/>
  <c r="I2322" i="24"/>
  <c r="N2322" i="24"/>
  <c r="P2322" i="24"/>
  <c r="Q2322" i="24"/>
  <c r="I2323" i="24"/>
  <c r="N2323" i="24"/>
  <c r="P2323" i="24"/>
  <c r="Q2323" i="24"/>
  <c r="I2324" i="24"/>
  <c r="N2324" i="24"/>
  <c r="P2324" i="24"/>
  <c r="Q2324" i="24"/>
  <c r="I2325" i="24"/>
  <c r="N2325" i="24"/>
  <c r="P2325" i="24"/>
  <c r="Q2325" i="24"/>
  <c r="I2326" i="24"/>
  <c r="N2326" i="24"/>
  <c r="P2326" i="24"/>
  <c r="Q2326" i="24"/>
  <c r="I2327" i="24"/>
  <c r="N2327" i="24"/>
  <c r="P2327" i="24"/>
  <c r="Q2327" i="24"/>
  <c r="I2328" i="24"/>
  <c r="N2328" i="24"/>
  <c r="P2328" i="24"/>
  <c r="Q2328" i="24"/>
  <c r="I2330" i="24"/>
  <c r="N2330" i="24"/>
  <c r="P2330" i="24"/>
  <c r="Q2330" i="24"/>
  <c r="I2331" i="24"/>
  <c r="N2331" i="24"/>
  <c r="P2331" i="24"/>
  <c r="Q2331" i="24"/>
  <c r="I2332" i="24"/>
  <c r="N2332" i="24"/>
  <c r="P2332" i="24"/>
  <c r="Q2332" i="24"/>
  <c r="I2333" i="24"/>
  <c r="N2333" i="24"/>
  <c r="P2333" i="24"/>
  <c r="Q2333" i="24"/>
  <c r="I2334" i="24"/>
  <c r="N2334" i="24"/>
  <c r="P2334" i="24"/>
  <c r="Q2334" i="24"/>
  <c r="I2335" i="24"/>
  <c r="N2335" i="24"/>
  <c r="P2335" i="24"/>
  <c r="Q2335" i="24"/>
  <c r="I2336" i="24"/>
  <c r="N2336" i="24"/>
  <c r="P2336" i="24"/>
  <c r="Q2336" i="24"/>
  <c r="I2337" i="24"/>
  <c r="N2337" i="24"/>
  <c r="P2337" i="24"/>
  <c r="Q2337" i="24"/>
  <c r="I2338" i="24"/>
  <c r="N2338" i="24"/>
  <c r="P2338" i="24"/>
  <c r="Q2338" i="24"/>
  <c r="I2339" i="24"/>
  <c r="N2339" i="24"/>
  <c r="P2339" i="24"/>
  <c r="Q2339" i="24"/>
  <c r="I2340" i="24"/>
  <c r="N2340" i="24"/>
  <c r="P2340" i="24"/>
  <c r="Q2340" i="24"/>
  <c r="I2341" i="24"/>
  <c r="N2341" i="24"/>
  <c r="P2341" i="24"/>
  <c r="Q2341" i="24"/>
  <c r="I2342" i="24"/>
  <c r="N2342" i="24"/>
  <c r="P2342" i="24"/>
  <c r="Q2342" i="24"/>
  <c r="I2343" i="24"/>
  <c r="N2343" i="24"/>
  <c r="P2343" i="24"/>
  <c r="Q2343" i="24"/>
  <c r="I2344" i="24"/>
  <c r="N2344" i="24"/>
  <c r="P2344" i="24"/>
  <c r="Q2344" i="24"/>
  <c r="I2345" i="24"/>
  <c r="N2345" i="24"/>
  <c r="P2345" i="24"/>
  <c r="Q2345" i="24"/>
  <c r="I2346" i="24"/>
  <c r="N2346" i="24"/>
  <c r="P2346" i="24"/>
  <c r="Q2346" i="24"/>
  <c r="I2347" i="24"/>
  <c r="N2347" i="24"/>
  <c r="P2347" i="24"/>
  <c r="Q2347" i="24"/>
  <c r="I2348" i="24"/>
  <c r="N2348" i="24"/>
  <c r="P2348" i="24"/>
  <c r="Q2348" i="24"/>
  <c r="I2349" i="24"/>
  <c r="N2349" i="24"/>
  <c r="P2349" i="24"/>
  <c r="Q2349" i="24"/>
  <c r="I2350" i="24"/>
  <c r="N2350" i="24"/>
  <c r="P2350" i="24"/>
  <c r="Q2350" i="24"/>
  <c r="I2351" i="24"/>
  <c r="N2351" i="24"/>
  <c r="P2351" i="24"/>
  <c r="Q2351" i="24"/>
  <c r="I2352" i="24"/>
  <c r="N2352" i="24"/>
  <c r="P2352" i="24"/>
  <c r="Q2352" i="24"/>
  <c r="I2353" i="24"/>
  <c r="N2353" i="24"/>
  <c r="P2353" i="24"/>
  <c r="Q2353" i="24"/>
  <c r="I2354" i="24"/>
  <c r="N2354" i="24"/>
  <c r="P2354" i="24"/>
  <c r="Q2354" i="24"/>
  <c r="I2355" i="24"/>
  <c r="N2355" i="24"/>
  <c r="P2355" i="24"/>
  <c r="Q2355" i="24"/>
  <c r="I2356" i="24"/>
  <c r="N2356" i="24"/>
  <c r="P2356" i="24"/>
  <c r="Q2356" i="24"/>
  <c r="I2357" i="24"/>
  <c r="N2357" i="24"/>
  <c r="P2357" i="24"/>
  <c r="Q2357" i="24"/>
  <c r="I2358" i="24"/>
  <c r="N2358" i="24"/>
  <c r="P2358" i="24"/>
  <c r="Q2358" i="24"/>
  <c r="I2359" i="24"/>
  <c r="N2359" i="24"/>
  <c r="P2359" i="24"/>
  <c r="Q2359" i="24"/>
  <c r="I2360" i="24"/>
  <c r="N2360" i="24"/>
  <c r="P2360" i="24"/>
  <c r="Q2360" i="24"/>
  <c r="I2361" i="24"/>
  <c r="N2361" i="24"/>
  <c r="P2361" i="24"/>
  <c r="Q2361" i="24"/>
  <c r="I2362" i="24"/>
  <c r="N2362" i="24"/>
  <c r="P2362" i="24"/>
  <c r="Q2362" i="24"/>
  <c r="I2363" i="24"/>
  <c r="N2363" i="24"/>
  <c r="P2363" i="24"/>
  <c r="Q2363" i="24"/>
  <c r="I2364" i="24"/>
  <c r="N2364" i="24"/>
  <c r="P2364" i="24"/>
  <c r="Q2364" i="24"/>
  <c r="I2365" i="24"/>
  <c r="N2365" i="24"/>
  <c r="P2365" i="24"/>
  <c r="Q2365" i="24"/>
  <c r="I2366" i="24"/>
  <c r="N2366" i="24"/>
  <c r="P2366" i="24"/>
  <c r="Q2366" i="24"/>
  <c r="I2367" i="24"/>
  <c r="N2367" i="24"/>
  <c r="P2367" i="24"/>
  <c r="Q2367" i="24"/>
  <c r="I2368" i="24"/>
  <c r="N2368" i="24"/>
  <c r="P2368" i="24"/>
  <c r="Q2368" i="24"/>
  <c r="I2369" i="24"/>
  <c r="N2369" i="24"/>
  <c r="P2369" i="24"/>
  <c r="Q2369" i="24"/>
  <c r="I2370" i="24"/>
  <c r="N2370" i="24"/>
  <c r="P2370" i="24"/>
  <c r="Q2370" i="24"/>
  <c r="I2371" i="24"/>
  <c r="N2371" i="24"/>
  <c r="P2371" i="24"/>
  <c r="Q2371" i="24"/>
  <c r="I2372" i="24"/>
  <c r="N2372" i="24"/>
  <c r="P2372" i="24"/>
  <c r="Q2372" i="24"/>
  <c r="I2373" i="24"/>
  <c r="N2373" i="24"/>
  <c r="P2373" i="24"/>
  <c r="Q2373" i="24"/>
  <c r="I2374" i="24"/>
  <c r="N2374" i="24"/>
  <c r="P2374" i="24"/>
  <c r="Q2374" i="24"/>
  <c r="I2375" i="24"/>
  <c r="N2375" i="24"/>
  <c r="P2375" i="24"/>
  <c r="Q2375" i="24"/>
  <c r="I2376" i="24"/>
  <c r="N2376" i="24"/>
  <c r="P2376" i="24"/>
  <c r="Q2376" i="24"/>
  <c r="I2377" i="24"/>
  <c r="N2377" i="24"/>
  <c r="P2377" i="24"/>
  <c r="Q2377" i="24"/>
  <c r="I2378" i="24"/>
  <c r="N2378" i="24"/>
  <c r="P2378" i="24"/>
  <c r="Q2378" i="24"/>
  <c r="I2379" i="24"/>
  <c r="N2379" i="24"/>
  <c r="P2379" i="24"/>
  <c r="Q2379" i="24"/>
  <c r="I2380" i="24"/>
  <c r="N2380" i="24"/>
  <c r="P2380" i="24"/>
  <c r="Q2380" i="24"/>
  <c r="I2381" i="24"/>
  <c r="N2381" i="24"/>
  <c r="P2381" i="24"/>
  <c r="Q2381" i="24"/>
  <c r="I2382" i="24"/>
  <c r="N2382" i="24"/>
  <c r="P2382" i="24"/>
  <c r="Q2382" i="24"/>
  <c r="I2383" i="24"/>
  <c r="N2383" i="24"/>
  <c r="P2383" i="24"/>
  <c r="Q2383" i="24"/>
  <c r="I2384" i="24"/>
  <c r="N2384" i="24"/>
  <c r="P2384" i="24"/>
  <c r="Q2384" i="24"/>
  <c r="I2385" i="24"/>
  <c r="N2385" i="24"/>
  <c r="P2385" i="24"/>
  <c r="Q2385" i="24"/>
  <c r="N2386" i="24"/>
  <c r="P2386" i="24"/>
  <c r="Q2386" i="24"/>
  <c r="I2387" i="24"/>
  <c r="N2387" i="24"/>
  <c r="P2387" i="24"/>
  <c r="Q2387" i="24"/>
  <c r="I2388" i="24"/>
  <c r="N2388" i="24"/>
  <c r="P2388" i="24"/>
  <c r="Q2388" i="24"/>
  <c r="I2389" i="24"/>
  <c r="N2389" i="24"/>
  <c r="P2389" i="24"/>
  <c r="Q2389" i="24"/>
  <c r="I2390" i="24"/>
  <c r="N2390" i="24"/>
  <c r="P2390" i="24"/>
  <c r="Q2390" i="24"/>
  <c r="I2391" i="24"/>
  <c r="N2391" i="24"/>
  <c r="P2391" i="24"/>
  <c r="Q2391" i="24"/>
  <c r="I2392" i="24"/>
  <c r="N2392" i="24"/>
  <c r="P2392" i="24"/>
  <c r="Q2392" i="24"/>
  <c r="I2393" i="24"/>
  <c r="N2393" i="24"/>
  <c r="P2393" i="24"/>
  <c r="Q2393" i="24"/>
  <c r="I2394" i="24"/>
  <c r="N2394" i="24"/>
  <c r="P2394" i="24"/>
  <c r="Q2394" i="24"/>
  <c r="I2395" i="24"/>
  <c r="N2395" i="24"/>
  <c r="P2395" i="24"/>
  <c r="Q2395" i="24"/>
  <c r="I2396" i="24"/>
  <c r="N2396" i="24"/>
  <c r="P2396" i="24"/>
  <c r="Q2396" i="24"/>
  <c r="I2397" i="24"/>
  <c r="N2397" i="24"/>
  <c r="P2397" i="24"/>
  <c r="Q2397" i="24"/>
  <c r="I2398" i="24"/>
  <c r="N2398" i="24"/>
  <c r="P2398" i="24"/>
  <c r="Q2398" i="24"/>
  <c r="I2399" i="24"/>
  <c r="N2399" i="24"/>
  <c r="P2399" i="24"/>
  <c r="Q2399" i="24"/>
  <c r="I2400" i="24"/>
  <c r="N2400" i="24"/>
  <c r="P2400" i="24"/>
  <c r="Q2400" i="24"/>
  <c r="I2401" i="24"/>
  <c r="N2401" i="24"/>
  <c r="P2401" i="24"/>
  <c r="Q2401" i="24"/>
  <c r="I2402" i="24"/>
  <c r="N2402" i="24"/>
  <c r="P2402" i="24"/>
  <c r="Q2402" i="24"/>
  <c r="I2403" i="24"/>
  <c r="N2403" i="24"/>
  <c r="P2403" i="24"/>
  <c r="Q2403" i="24"/>
  <c r="I2404" i="24"/>
  <c r="N2404" i="24"/>
  <c r="P2404" i="24"/>
  <c r="Q2404" i="24"/>
  <c r="I2405" i="24"/>
  <c r="N2405" i="24"/>
  <c r="P2405" i="24"/>
  <c r="Q2405" i="24"/>
  <c r="I2406" i="24"/>
  <c r="N2406" i="24"/>
  <c r="P2406" i="24"/>
  <c r="Q2406" i="24"/>
  <c r="I2407" i="24"/>
  <c r="N2407" i="24"/>
  <c r="P2407" i="24"/>
  <c r="Q2407" i="24"/>
  <c r="I2408" i="24"/>
  <c r="N2408" i="24"/>
  <c r="P2408" i="24"/>
  <c r="Q2408" i="24"/>
  <c r="I2409" i="24"/>
  <c r="N2409" i="24"/>
  <c r="P2409" i="24"/>
  <c r="Q2409" i="24"/>
  <c r="I2410" i="24"/>
  <c r="N2410" i="24"/>
  <c r="P2410" i="24"/>
  <c r="Q2410" i="24"/>
  <c r="I2411" i="24"/>
  <c r="N2411" i="24"/>
  <c r="P2411" i="24"/>
  <c r="Q2411" i="24"/>
  <c r="I2412" i="24"/>
  <c r="N2412" i="24"/>
  <c r="P2412" i="24"/>
  <c r="Q2412" i="24"/>
  <c r="I2413" i="24"/>
  <c r="N2413" i="24"/>
  <c r="P2413" i="24"/>
  <c r="Q2413" i="24"/>
  <c r="I2414" i="24"/>
  <c r="N2414" i="24"/>
  <c r="P2414" i="24"/>
  <c r="Q2414" i="24"/>
  <c r="I2415" i="24"/>
  <c r="N2415" i="24"/>
  <c r="P2415" i="24"/>
  <c r="Q2415" i="24"/>
  <c r="I2416" i="24"/>
  <c r="N2416" i="24"/>
  <c r="P2416" i="24"/>
  <c r="Q2416" i="24"/>
  <c r="I2417" i="24"/>
  <c r="N2417" i="24"/>
  <c r="P2417" i="24"/>
  <c r="Q2417" i="24"/>
  <c r="I2418" i="24"/>
  <c r="N2418" i="24"/>
  <c r="P2418" i="24"/>
  <c r="Q2418" i="24"/>
  <c r="I2419" i="24"/>
  <c r="N2419" i="24"/>
  <c r="P2419" i="24"/>
  <c r="Q2419" i="24"/>
  <c r="I2420" i="24"/>
  <c r="N2420" i="24"/>
  <c r="P2420" i="24"/>
  <c r="Q2420" i="24"/>
  <c r="I2421" i="24"/>
  <c r="N2421" i="24"/>
  <c r="P2421" i="24"/>
  <c r="Q2421" i="24"/>
  <c r="I2422" i="24"/>
  <c r="N2422" i="24"/>
  <c r="P2422" i="24"/>
  <c r="Q2422" i="24"/>
  <c r="I2423" i="24"/>
  <c r="N2423" i="24"/>
  <c r="P2423" i="24"/>
  <c r="Q2423" i="24"/>
  <c r="I2424" i="24"/>
  <c r="N2424" i="24"/>
  <c r="P2424" i="24"/>
  <c r="Q2424" i="24"/>
  <c r="I2425" i="24"/>
  <c r="N2425" i="24"/>
  <c r="P2425" i="24"/>
  <c r="Q2425" i="24"/>
  <c r="I2426" i="24"/>
  <c r="N2426" i="24"/>
  <c r="P2426" i="24"/>
  <c r="Q2426" i="24"/>
  <c r="I2427" i="24"/>
  <c r="N2427" i="24"/>
  <c r="P2427" i="24"/>
  <c r="Q2427" i="24"/>
  <c r="I2428" i="24"/>
  <c r="N2428" i="24"/>
  <c r="P2428" i="24"/>
  <c r="Q2428" i="24"/>
  <c r="I2429" i="24"/>
  <c r="N2429" i="24"/>
  <c r="P2429" i="24"/>
  <c r="Q2429" i="24"/>
  <c r="I2430" i="24"/>
  <c r="N2430" i="24"/>
  <c r="P2430" i="24"/>
  <c r="Q2430" i="24"/>
  <c r="I2431" i="24"/>
  <c r="N2431" i="24"/>
  <c r="P2431" i="24"/>
  <c r="Q2431" i="24"/>
  <c r="I2432" i="24"/>
  <c r="N2432" i="24"/>
  <c r="P2432" i="24"/>
  <c r="Q2432" i="24"/>
  <c r="I2433" i="24"/>
  <c r="N2433" i="24"/>
  <c r="P2433" i="24"/>
  <c r="Q2433" i="24"/>
  <c r="I2434" i="24"/>
  <c r="N2434" i="24"/>
  <c r="P2434" i="24"/>
  <c r="Q2434" i="24"/>
  <c r="I2435" i="24"/>
  <c r="N2435" i="24"/>
  <c r="P2435" i="24"/>
  <c r="Q2435" i="24"/>
  <c r="I2436" i="24"/>
  <c r="N2436" i="24"/>
  <c r="P2436" i="24"/>
  <c r="Q2436" i="24"/>
  <c r="I2437" i="24"/>
  <c r="N2437" i="24"/>
  <c r="P2437" i="24"/>
  <c r="Q2437" i="24"/>
  <c r="I2438" i="24"/>
  <c r="N2438" i="24"/>
  <c r="P2438" i="24"/>
  <c r="Q2438" i="24"/>
  <c r="I2439" i="24"/>
  <c r="N2439" i="24"/>
  <c r="P2439" i="24"/>
  <c r="Q2439" i="24"/>
  <c r="I2440" i="24"/>
  <c r="N2440" i="24"/>
  <c r="P2440" i="24"/>
  <c r="Q2440" i="24"/>
  <c r="I2441" i="24"/>
  <c r="N2441" i="24"/>
  <c r="P2441" i="24"/>
  <c r="Q2441" i="24"/>
  <c r="I2442" i="24"/>
  <c r="N2442" i="24"/>
  <c r="P2442" i="24"/>
  <c r="Q2442" i="24"/>
  <c r="I2443" i="24"/>
  <c r="N2443" i="24"/>
  <c r="P2443" i="24"/>
  <c r="Q2443" i="24"/>
  <c r="I2444" i="24"/>
  <c r="N2444" i="24"/>
  <c r="P2444" i="24"/>
  <c r="Q2444" i="24"/>
  <c r="I2445" i="24"/>
  <c r="N2445" i="24"/>
  <c r="P2445" i="24"/>
  <c r="Q2445" i="24"/>
  <c r="I2446" i="24"/>
  <c r="N2446" i="24"/>
  <c r="P2446" i="24"/>
  <c r="Q2446" i="24"/>
  <c r="I2447" i="24"/>
  <c r="N2447" i="24"/>
  <c r="P2447" i="24"/>
  <c r="Q2447" i="24"/>
  <c r="I2448" i="24"/>
  <c r="N2448" i="24"/>
  <c r="P2448" i="24"/>
  <c r="Q2448" i="24"/>
  <c r="I2449" i="24"/>
  <c r="N2449" i="24"/>
  <c r="P2449" i="24"/>
  <c r="Q2449" i="24"/>
  <c r="I2450" i="24"/>
  <c r="N2450" i="24"/>
  <c r="P2450" i="24"/>
  <c r="Q2450" i="24"/>
  <c r="I2451" i="24"/>
  <c r="N2451" i="24"/>
  <c r="P2451" i="24"/>
  <c r="Q2451" i="24"/>
  <c r="I2452" i="24"/>
  <c r="N2452" i="24"/>
  <c r="P2452" i="24"/>
  <c r="Q2452" i="24"/>
  <c r="I2453" i="24"/>
  <c r="N2453" i="24"/>
  <c r="P2453" i="24"/>
  <c r="Q2453" i="24"/>
  <c r="I2454" i="24"/>
  <c r="N2454" i="24"/>
  <c r="P2454" i="24"/>
  <c r="Q2454" i="24"/>
  <c r="I2455" i="24"/>
  <c r="N2455" i="24"/>
  <c r="P2455" i="24"/>
  <c r="Q2455" i="24"/>
  <c r="I2456" i="24"/>
  <c r="N2456" i="24"/>
  <c r="P2456" i="24"/>
  <c r="Q2456" i="24"/>
  <c r="I2457" i="24"/>
  <c r="N2457" i="24"/>
  <c r="P2457" i="24"/>
  <c r="Q2457" i="24"/>
  <c r="I2458" i="24"/>
  <c r="N2458" i="24"/>
  <c r="P2458" i="24"/>
  <c r="Q2458" i="24"/>
  <c r="I2459" i="24"/>
  <c r="N2459" i="24"/>
  <c r="P2459" i="24"/>
  <c r="Q2459" i="24"/>
  <c r="I2460" i="24"/>
  <c r="N2460" i="24"/>
  <c r="P2460" i="24"/>
  <c r="Q2460" i="24"/>
  <c r="I2461" i="24"/>
  <c r="N2461" i="24"/>
  <c r="P2461" i="24"/>
  <c r="Q2461" i="24"/>
  <c r="I2462" i="24"/>
  <c r="N2462" i="24"/>
  <c r="P2462" i="24"/>
  <c r="Q2462" i="24"/>
  <c r="I2463" i="24"/>
  <c r="N2463" i="24"/>
  <c r="P2463" i="24"/>
  <c r="Q2463" i="24"/>
  <c r="I2464" i="24"/>
  <c r="N2464" i="24"/>
  <c r="P2464" i="24"/>
  <c r="Q2464" i="24"/>
  <c r="I2465" i="24"/>
  <c r="N2465" i="24"/>
  <c r="P2465" i="24"/>
  <c r="Q2465" i="24"/>
  <c r="I2466" i="24"/>
  <c r="N2466" i="24"/>
  <c r="P2466" i="24"/>
  <c r="Q2466" i="24"/>
  <c r="I2467" i="24"/>
  <c r="N2467" i="24"/>
  <c r="P2467" i="24"/>
  <c r="Q2467" i="24"/>
  <c r="I2468" i="24"/>
  <c r="N2468" i="24"/>
  <c r="P2468" i="24"/>
  <c r="Q2468" i="24"/>
  <c r="I2469" i="24"/>
  <c r="N2469" i="24"/>
  <c r="P2469" i="24"/>
  <c r="Q2469" i="24"/>
  <c r="I2470" i="24"/>
  <c r="N2470" i="24"/>
  <c r="P2470" i="24"/>
  <c r="Q2470" i="24"/>
  <c r="I2471" i="24"/>
  <c r="N2471" i="24"/>
  <c r="P2471" i="24"/>
  <c r="Q2471" i="24"/>
  <c r="I2472" i="24"/>
  <c r="N2472" i="24"/>
  <c r="P2472" i="24"/>
  <c r="Q2472" i="24"/>
  <c r="I2473" i="24"/>
  <c r="N2473" i="24"/>
  <c r="P2473" i="24"/>
  <c r="Q2473" i="24"/>
  <c r="I2474" i="24"/>
  <c r="N2474" i="24"/>
  <c r="P2474" i="24"/>
  <c r="Q2474" i="24"/>
  <c r="I2475" i="24"/>
  <c r="N2475" i="24"/>
  <c r="P2475" i="24"/>
  <c r="Q2475" i="24"/>
  <c r="I2476" i="24"/>
  <c r="N2476" i="24"/>
  <c r="P2476" i="24"/>
  <c r="Q2476" i="24"/>
  <c r="I2477" i="24"/>
  <c r="N2477" i="24"/>
  <c r="P2477" i="24"/>
  <c r="Q2477" i="24"/>
  <c r="I2478" i="24"/>
  <c r="N2478" i="24"/>
  <c r="P2478" i="24"/>
  <c r="Q2478" i="24"/>
  <c r="I2479" i="24"/>
  <c r="N2479" i="24"/>
  <c r="P2479" i="24"/>
  <c r="Q2479" i="24"/>
  <c r="I2480" i="24"/>
  <c r="N2480" i="24"/>
  <c r="P2480" i="24"/>
  <c r="Q2480" i="24"/>
  <c r="I2481" i="24"/>
  <c r="N2481" i="24"/>
  <c r="P2481" i="24"/>
  <c r="Q2481" i="24"/>
  <c r="I2482" i="24"/>
  <c r="N2482" i="24"/>
  <c r="P2482" i="24"/>
  <c r="Q2482" i="24"/>
  <c r="I2483" i="24"/>
  <c r="N2483" i="24"/>
  <c r="P2483" i="24"/>
  <c r="Q2483" i="24"/>
  <c r="I2484" i="24"/>
  <c r="N2484" i="24"/>
  <c r="P2484" i="24"/>
  <c r="Q2484" i="24"/>
  <c r="I2485" i="24"/>
  <c r="N2485" i="24"/>
  <c r="P2485" i="24"/>
  <c r="Q2485" i="24"/>
  <c r="I2486" i="24"/>
  <c r="N2486" i="24"/>
  <c r="P2486" i="24"/>
  <c r="Q2486" i="24"/>
  <c r="I2487" i="24"/>
  <c r="N2487" i="24"/>
  <c r="P2487" i="24"/>
  <c r="Q2487" i="24"/>
  <c r="I2488" i="24"/>
  <c r="N2488" i="24"/>
  <c r="P2488" i="24"/>
  <c r="Q2488" i="24"/>
  <c r="I2489" i="24"/>
  <c r="N2489" i="24"/>
  <c r="P2489" i="24"/>
  <c r="Q2489" i="24"/>
  <c r="I2490" i="24"/>
  <c r="N2490" i="24"/>
  <c r="P2490" i="24"/>
  <c r="Q2490" i="24"/>
  <c r="I2491" i="24"/>
  <c r="N2491" i="24"/>
  <c r="P2491" i="24"/>
  <c r="Q2491" i="24"/>
  <c r="I2492" i="24"/>
  <c r="N2492" i="24"/>
  <c r="P2492" i="24"/>
  <c r="Q2492" i="24"/>
  <c r="I2493" i="24"/>
  <c r="N2493" i="24"/>
  <c r="P2493" i="24"/>
  <c r="Q2493" i="24"/>
  <c r="I2494" i="24"/>
  <c r="N2494" i="24"/>
  <c r="P2494" i="24"/>
  <c r="Q2494" i="24"/>
  <c r="I2495" i="24"/>
  <c r="N2495" i="24"/>
  <c r="P2495" i="24"/>
  <c r="Q2495" i="24"/>
  <c r="I2496" i="24"/>
  <c r="N2496" i="24"/>
  <c r="P2496" i="24"/>
  <c r="Q2496" i="24"/>
  <c r="I2497" i="24"/>
  <c r="N2497" i="24"/>
  <c r="P2497" i="24"/>
  <c r="Q2497" i="24"/>
  <c r="I2498" i="24"/>
  <c r="N2498" i="24"/>
  <c r="P2498" i="24"/>
  <c r="Q2498" i="24"/>
  <c r="I2499" i="24"/>
  <c r="N2499" i="24"/>
  <c r="P2499" i="24"/>
  <c r="Q2499" i="24"/>
  <c r="I2500" i="24"/>
  <c r="N2500" i="24"/>
  <c r="P2500" i="24"/>
  <c r="Q2500" i="24"/>
  <c r="I2501" i="24"/>
  <c r="N2501" i="24"/>
  <c r="P2501" i="24"/>
  <c r="Q2501" i="24"/>
  <c r="I2502" i="24"/>
  <c r="N2502" i="24"/>
  <c r="P2502" i="24"/>
  <c r="Q2502" i="24"/>
  <c r="I2503" i="24"/>
  <c r="N2503" i="24"/>
  <c r="P2503" i="24"/>
  <c r="Q2503" i="24"/>
  <c r="I2504" i="24"/>
  <c r="N2504" i="24"/>
  <c r="P2504" i="24"/>
  <c r="Q2504" i="24"/>
  <c r="I2505" i="24"/>
  <c r="N2505" i="24"/>
  <c r="P2505" i="24"/>
  <c r="Q2505" i="24"/>
  <c r="I2506" i="24"/>
  <c r="N2506" i="24"/>
  <c r="P2506" i="24"/>
  <c r="Q2506" i="24"/>
  <c r="I2507" i="24"/>
  <c r="N2507" i="24"/>
  <c r="P2507" i="24"/>
  <c r="Q2507" i="24"/>
  <c r="I2508" i="24"/>
  <c r="N2508" i="24"/>
  <c r="P2508" i="24"/>
  <c r="Q2508" i="24"/>
  <c r="I2509" i="24"/>
  <c r="N2509" i="24"/>
  <c r="P2509" i="24"/>
  <c r="Q2509" i="24"/>
  <c r="I2510" i="24"/>
  <c r="N2510" i="24"/>
  <c r="P2510" i="24"/>
  <c r="Q2510" i="24"/>
  <c r="I2511" i="24"/>
  <c r="N2511" i="24"/>
  <c r="P2511" i="24"/>
  <c r="Q2511" i="24"/>
  <c r="I2512" i="24"/>
  <c r="N2512" i="24"/>
  <c r="P2512" i="24"/>
  <c r="Q2512" i="24"/>
  <c r="I2513" i="24"/>
  <c r="N2513" i="24"/>
  <c r="P2513" i="24"/>
  <c r="Q2513" i="24"/>
  <c r="I2514" i="24"/>
  <c r="N2514" i="24"/>
  <c r="P2514" i="24"/>
  <c r="Q2514" i="24"/>
  <c r="I2515" i="24"/>
  <c r="N2515" i="24"/>
  <c r="P2515" i="24"/>
  <c r="Q2515" i="24"/>
  <c r="I2516" i="24"/>
  <c r="N2516" i="24"/>
  <c r="P2516" i="24"/>
  <c r="Q2516" i="24"/>
  <c r="I2517" i="24"/>
  <c r="N2517" i="24"/>
  <c r="P2517" i="24"/>
  <c r="Q2517" i="24"/>
  <c r="I2518" i="24"/>
  <c r="N2518" i="24"/>
  <c r="P2518" i="24"/>
  <c r="Q2518" i="24"/>
  <c r="I2519" i="24"/>
  <c r="N2519" i="24"/>
  <c r="P2519" i="24"/>
  <c r="Q2519" i="24"/>
  <c r="I2520" i="24"/>
  <c r="N2520" i="24"/>
  <c r="P2520" i="24"/>
  <c r="Q2520" i="24"/>
  <c r="I2521" i="24"/>
  <c r="N2521" i="24"/>
  <c r="P2521" i="24"/>
  <c r="Q2521" i="24"/>
  <c r="I2522" i="24"/>
  <c r="N2522" i="24"/>
  <c r="P2522" i="24"/>
  <c r="Q2522" i="24"/>
  <c r="I2523" i="24"/>
  <c r="N2523" i="24"/>
  <c r="P2523" i="24"/>
  <c r="Q2523" i="24"/>
  <c r="I2524" i="24"/>
  <c r="N2524" i="24"/>
  <c r="P2524" i="24"/>
  <c r="Q2524" i="24"/>
  <c r="P2525" i="24"/>
  <c r="Q2525" i="24"/>
  <c r="P2526" i="24"/>
  <c r="Q2526" i="24"/>
  <c r="I2527" i="24"/>
  <c r="N2527" i="24"/>
  <c r="P2527" i="24"/>
  <c r="Q2527" i="24"/>
  <c r="I2528" i="24"/>
  <c r="N2528" i="24"/>
  <c r="P2528" i="24"/>
  <c r="Q2528" i="24"/>
  <c r="I2529" i="24"/>
  <c r="N2529" i="24"/>
  <c r="P2529" i="24"/>
  <c r="Q2529" i="24"/>
  <c r="P2530" i="24"/>
  <c r="Q2530" i="24"/>
  <c r="I2531" i="24"/>
  <c r="N2531" i="24"/>
  <c r="P2531" i="24"/>
  <c r="Q2531" i="24"/>
  <c r="I2532" i="24"/>
  <c r="N2532" i="24"/>
  <c r="P2532" i="24"/>
  <c r="Q2532" i="24"/>
  <c r="I2533" i="24"/>
  <c r="N2533" i="24"/>
  <c r="P2533" i="24"/>
  <c r="Q2533" i="24"/>
  <c r="I2534" i="24"/>
  <c r="N2534" i="24"/>
  <c r="P2534" i="24"/>
  <c r="Q2534" i="24"/>
  <c r="I2535" i="24"/>
  <c r="N2535" i="24"/>
  <c r="P2535" i="24"/>
  <c r="Q2535" i="24"/>
  <c r="I2536" i="24"/>
  <c r="N2536" i="24"/>
  <c r="P2536" i="24"/>
  <c r="Q2536" i="24"/>
  <c r="I2537" i="24"/>
  <c r="N2537" i="24"/>
  <c r="P2537" i="24"/>
  <c r="Q2537" i="24"/>
  <c r="I2538" i="24"/>
  <c r="N2538" i="24"/>
  <c r="P2538" i="24"/>
  <c r="Q2538" i="24"/>
  <c r="I2539" i="24"/>
  <c r="N2539" i="24"/>
  <c r="P2539" i="24"/>
  <c r="Q2539" i="24"/>
  <c r="I2540" i="24"/>
  <c r="N2540" i="24"/>
  <c r="P2540" i="24"/>
  <c r="Q2540" i="24"/>
  <c r="I2541" i="24"/>
  <c r="N2541" i="24"/>
  <c r="P2541" i="24"/>
  <c r="Q2541" i="24"/>
  <c r="I2542" i="24"/>
  <c r="N2542" i="24"/>
  <c r="P2542" i="24"/>
  <c r="Q2542" i="24"/>
  <c r="I2543" i="24"/>
  <c r="N2543" i="24"/>
  <c r="P2543" i="24"/>
  <c r="Q2543" i="24"/>
  <c r="I2544" i="24"/>
  <c r="N2544" i="24"/>
  <c r="P2544" i="24"/>
  <c r="Q2544" i="24"/>
  <c r="I2545" i="24"/>
  <c r="N2545" i="24"/>
  <c r="P2545" i="24"/>
  <c r="Q2545" i="24"/>
  <c r="I2546" i="24"/>
  <c r="N2546" i="24"/>
  <c r="P2546" i="24"/>
  <c r="Q2546" i="24"/>
  <c r="I2547" i="24"/>
  <c r="N2547" i="24"/>
  <c r="P2547" i="24"/>
  <c r="Q2547" i="24"/>
  <c r="I2548" i="24"/>
  <c r="N2548" i="24"/>
  <c r="P2548" i="24"/>
  <c r="Q2548" i="24"/>
  <c r="I2549" i="24"/>
  <c r="N2549" i="24"/>
  <c r="P2549" i="24"/>
  <c r="Q2549" i="24"/>
  <c r="I2550" i="24"/>
  <c r="N2550" i="24"/>
  <c r="P2550" i="24"/>
  <c r="Q2550" i="24"/>
  <c r="I2551" i="24"/>
  <c r="N2551" i="24"/>
  <c r="P2551" i="24"/>
  <c r="Q2551" i="24"/>
  <c r="I2552" i="24"/>
  <c r="N2552" i="24"/>
  <c r="P2552" i="24"/>
  <c r="Q2552" i="24"/>
  <c r="I2553" i="24"/>
  <c r="N2553" i="24"/>
  <c r="P2553" i="24"/>
  <c r="Q2553" i="24"/>
  <c r="I2554" i="24"/>
  <c r="N2554" i="24"/>
  <c r="P2554" i="24"/>
  <c r="Q2554" i="24"/>
  <c r="I2555" i="24"/>
  <c r="N2555" i="24"/>
  <c r="P2555" i="24"/>
  <c r="Q2555" i="24"/>
  <c r="I2556" i="24"/>
  <c r="N2556" i="24"/>
  <c r="P2556" i="24"/>
  <c r="Q2556" i="24"/>
  <c r="I2557" i="24"/>
  <c r="N2557" i="24"/>
  <c r="P2557" i="24"/>
  <c r="Q2557" i="24"/>
  <c r="I2558" i="24"/>
  <c r="N2558" i="24"/>
  <c r="P2558" i="24"/>
  <c r="Q2558" i="24"/>
  <c r="I2559" i="24"/>
  <c r="N2559" i="24"/>
  <c r="P2559" i="24"/>
  <c r="Q2559" i="24"/>
  <c r="I2560" i="24"/>
  <c r="N2560" i="24"/>
  <c r="P2560" i="24"/>
  <c r="Q2560" i="24"/>
  <c r="I2561" i="24"/>
  <c r="N2561" i="24"/>
  <c r="P2561" i="24"/>
  <c r="Q2561" i="24"/>
  <c r="I2562" i="24"/>
  <c r="N2562" i="24"/>
  <c r="P2562" i="24"/>
  <c r="Q2562" i="24"/>
  <c r="I2563" i="24"/>
  <c r="N2563" i="24"/>
  <c r="P2563" i="24"/>
  <c r="Q2563" i="24"/>
  <c r="I2564" i="24"/>
  <c r="N2564" i="24"/>
  <c r="P2564" i="24"/>
  <c r="Q2564" i="24"/>
  <c r="I2565" i="24"/>
  <c r="N2565" i="24"/>
  <c r="P2565" i="24"/>
  <c r="Q2565" i="24"/>
  <c r="I2566" i="24"/>
  <c r="N2566" i="24"/>
  <c r="P2566" i="24"/>
  <c r="Q2566" i="24"/>
  <c r="R2492" i="24" l="1"/>
  <c r="M3305" i="12" s="1"/>
  <c r="R2406" i="24"/>
  <c r="M3219" i="12" s="1"/>
  <c r="R2312" i="24"/>
  <c r="M3125" i="12" s="1"/>
  <c r="R2404" i="24"/>
  <c r="M3217" i="12" s="1"/>
  <c r="O2320" i="24"/>
  <c r="R2566" i="24"/>
  <c r="R2534" i="24"/>
  <c r="M3347" i="12" s="1"/>
  <c r="R2528" i="24"/>
  <c r="M3341" i="12" s="1"/>
  <c r="R2514" i="24"/>
  <c r="M3327" i="12" s="1"/>
  <c r="R2500" i="24"/>
  <c r="M3313" i="12" s="1"/>
  <c r="O2424" i="24"/>
  <c r="O2400" i="24"/>
  <c r="O2396" i="24"/>
  <c r="O2392" i="24"/>
  <c r="O2368" i="24"/>
  <c r="O2364" i="24"/>
  <c r="O2360" i="24"/>
  <c r="O2401" i="24"/>
  <c r="O2399" i="24"/>
  <c r="O2369" i="24"/>
  <c r="O2367" i="24"/>
  <c r="O2359" i="24"/>
  <c r="O2321" i="24"/>
  <c r="R2384" i="24"/>
  <c r="M3197" i="12" s="1"/>
  <c r="R2374" i="24"/>
  <c r="M3187" i="12" s="1"/>
  <c r="R2346" i="24"/>
  <c r="M3159" i="12" s="1"/>
  <c r="R2342" i="24"/>
  <c r="M3155" i="12" s="1"/>
  <c r="R2330" i="24"/>
  <c r="M3143" i="12" s="1"/>
  <c r="R2298" i="24"/>
  <c r="M3111" i="12" s="1"/>
  <c r="R2296" i="24"/>
  <c r="M3109" i="12" s="1"/>
  <c r="R2263" i="24"/>
  <c r="O2524" i="24"/>
  <c r="O2520" i="24"/>
  <c r="O2462" i="24"/>
  <c r="O2452" i="24"/>
  <c r="O2446" i="24"/>
  <c r="O2436" i="24"/>
  <c r="O2262" i="24"/>
  <c r="O2479" i="24"/>
  <c r="O2481" i="24"/>
  <c r="R2442" i="24"/>
  <c r="M3255" i="12" s="1"/>
  <c r="O2487" i="24"/>
  <c r="R2476" i="24"/>
  <c r="M3289" i="12" s="1"/>
  <c r="R2452" i="24"/>
  <c r="M3265" i="12" s="1"/>
  <c r="R2448" i="24"/>
  <c r="M3261" i="12" s="1"/>
  <c r="R2493" i="24"/>
  <c r="M3306" i="12" s="1"/>
  <c r="O2488" i="24"/>
  <c r="O2480" i="24"/>
  <c r="O2472" i="24"/>
  <c r="O2406" i="24"/>
  <c r="M2982" i="12"/>
  <c r="R2317" i="24"/>
  <c r="M3130" i="12" s="1"/>
  <c r="O2293" i="24"/>
  <c r="O2289" i="24"/>
  <c r="O2232" i="24"/>
  <c r="O2278" i="24"/>
  <c r="O2274" i="24"/>
  <c r="O2270" i="24"/>
  <c r="O2565" i="24"/>
  <c r="O2561" i="24"/>
  <c r="O2549" i="24"/>
  <c r="O2545" i="24"/>
  <c r="O2541" i="24"/>
  <c r="O2537" i="24"/>
  <c r="O2504" i="24"/>
  <c r="R2468" i="24"/>
  <c r="M3281" i="12" s="1"/>
  <c r="R2466" i="24"/>
  <c r="M3279" i="12" s="1"/>
  <c r="R2436" i="24"/>
  <c r="M3249" i="12" s="1"/>
  <c r="O2423" i="24"/>
  <c r="O2388" i="24"/>
  <c r="O2382" i="24"/>
  <c r="O2374" i="24"/>
  <c r="O2342" i="24"/>
  <c r="O2324" i="24"/>
  <c r="R2294" i="24"/>
  <c r="M3107" i="12" s="1"/>
  <c r="R2293" i="24"/>
  <c r="M3106" i="12" s="1"/>
  <c r="R2292" i="24"/>
  <c r="M3105" i="12" s="1"/>
  <c r="R2290" i="24"/>
  <c r="M3103" i="12" s="1"/>
  <c r="R2289" i="24"/>
  <c r="M3102" i="12" s="1"/>
  <c r="R2286" i="24"/>
  <c r="M3099" i="12" s="1"/>
  <c r="R2232" i="24"/>
  <c r="M3048" i="12" s="1"/>
  <c r="R2285" i="24"/>
  <c r="M3098" i="12" s="1"/>
  <c r="R2283" i="24"/>
  <c r="M3096" i="12" s="1"/>
  <c r="R2279" i="24"/>
  <c r="M3092" i="12" s="1"/>
  <c r="R2278" i="24"/>
  <c r="M3091" i="12" s="1"/>
  <c r="R2277" i="24"/>
  <c r="M3090" i="12" s="1"/>
  <c r="R2275" i="24"/>
  <c r="M3088" i="12" s="1"/>
  <c r="R2274" i="24"/>
  <c r="M3087" i="12" s="1"/>
  <c r="R2271" i="24"/>
  <c r="M3084" i="12" s="1"/>
  <c r="R2270" i="24"/>
  <c r="M3083" i="12" s="1"/>
  <c r="R2269" i="24"/>
  <c r="M3082" i="12" s="1"/>
  <c r="O2311" i="24"/>
  <c r="O2309" i="24"/>
  <c r="O2296" i="24"/>
  <c r="R2558" i="24"/>
  <c r="M3370" i="12" s="1"/>
  <c r="R2557" i="24"/>
  <c r="M3369" i="12" s="1"/>
  <c r="R2556" i="24"/>
  <c r="M3368" i="12" s="1"/>
  <c r="R2554" i="24"/>
  <c r="M3366" i="12" s="1"/>
  <c r="R2553" i="24"/>
  <c r="M3365" i="12" s="1"/>
  <c r="R2550" i="24"/>
  <c r="M3362" i="12" s="1"/>
  <c r="R2549" i="24"/>
  <c r="M3361" i="12" s="1"/>
  <c r="R2548" i="24"/>
  <c r="M3360" i="12" s="1"/>
  <c r="R2546" i="24"/>
  <c r="M3358" i="12" s="1"/>
  <c r="R2545" i="24"/>
  <c r="M3357" i="12" s="1"/>
  <c r="R2512" i="24"/>
  <c r="M3325" i="12" s="1"/>
  <c r="R2511" i="24"/>
  <c r="M3324" i="12" s="1"/>
  <c r="R2508" i="24"/>
  <c r="M3321" i="12" s="1"/>
  <c r="R2507" i="24"/>
  <c r="M3320" i="12" s="1"/>
  <c r="O2471" i="24"/>
  <c r="R2410" i="24"/>
  <c r="M3223" i="12" s="1"/>
  <c r="O2441" i="24"/>
  <c r="O2440" i="24"/>
  <c r="O2439" i="24"/>
  <c r="R2402" i="24"/>
  <c r="M3215" i="12" s="1"/>
  <c r="R2401" i="24"/>
  <c r="M3214" i="12" s="1"/>
  <c r="R2398" i="24"/>
  <c r="M3211" i="12" s="1"/>
  <c r="R2396" i="24"/>
  <c r="M3209" i="12" s="1"/>
  <c r="R2372" i="24"/>
  <c r="M3185" i="12" s="1"/>
  <c r="R2370" i="24"/>
  <c r="M3183" i="12" s="1"/>
  <c r="R2369" i="24"/>
  <c r="M3182" i="12" s="1"/>
  <c r="R2366" i="24"/>
  <c r="M3179" i="12" s="1"/>
  <c r="R2364" i="24"/>
  <c r="M3177" i="12" s="1"/>
  <c r="R2560" i="24"/>
  <c r="M3372" i="12" s="1"/>
  <c r="R2542" i="24"/>
  <c r="M3354" i="12" s="1"/>
  <c r="R2536" i="24"/>
  <c r="O2533" i="24"/>
  <c r="O2529" i="24"/>
  <c r="O2517" i="24"/>
  <c r="O2515" i="24"/>
  <c r="O2513" i="24"/>
  <c r="O2506" i="24"/>
  <c r="R2503" i="24"/>
  <c r="M3316" i="12" s="1"/>
  <c r="R2502" i="24"/>
  <c r="M3315" i="12" s="1"/>
  <c r="R2486" i="24"/>
  <c r="M3299" i="12" s="1"/>
  <c r="R2480" i="24"/>
  <c r="M3293" i="12" s="1"/>
  <c r="O2468" i="24"/>
  <c r="R2465" i="24"/>
  <c r="M3278" i="12" s="1"/>
  <c r="R2458" i="24"/>
  <c r="M3271" i="12" s="1"/>
  <c r="R2457" i="24"/>
  <c r="M3270" i="12" s="1"/>
  <c r="R2438" i="24"/>
  <c r="M3251" i="12" s="1"/>
  <c r="O2432" i="24"/>
  <c r="O2431" i="24"/>
  <c r="O2428" i="24"/>
  <c r="O2420" i="24"/>
  <c r="O2414" i="24"/>
  <c r="R2409" i="24"/>
  <c r="M3222" i="12" s="1"/>
  <c r="R2408" i="24"/>
  <c r="M3221" i="12" s="1"/>
  <c r="R2394" i="24"/>
  <c r="M3207" i="12" s="1"/>
  <c r="O2391" i="24"/>
  <c r="O2377" i="24"/>
  <c r="O2376" i="24"/>
  <c r="O2356" i="24"/>
  <c r="O2350" i="24"/>
  <c r="R2345" i="24"/>
  <c r="M3158" i="12" s="1"/>
  <c r="R2344" i="24"/>
  <c r="M3157" i="12" s="1"/>
  <c r="R2340" i="24"/>
  <c r="M3153" i="12" s="1"/>
  <c r="R2338" i="24"/>
  <c r="M3151" i="12" s="1"/>
  <c r="R2337" i="24"/>
  <c r="M3150" i="12" s="1"/>
  <c r="R2334" i="24"/>
  <c r="M3147" i="12" s="1"/>
  <c r="R2332" i="24"/>
  <c r="M3145" i="12" s="1"/>
  <c r="R2324" i="24"/>
  <c r="M3137" i="12" s="1"/>
  <c r="O2312" i="24"/>
  <c r="O2306" i="24"/>
  <c r="O2301" i="24"/>
  <c r="O2281" i="24"/>
  <c r="O2265" i="24"/>
  <c r="R2262" i="24"/>
  <c r="O2556" i="24"/>
  <c r="O2552" i="24"/>
  <c r="R2526" i="24"/>
  <c r="M3339" i="12" s="1"/>
  <c r="R2525" i="24"/>
  <c r="M3338" i="12" s="1"/>
  <c r="R2524" i="24"/>
  <c r="M3337" i="12" s="1"/>
  <c r="R2522" i="24"/>
  <c r="M3335" i="12" s="1"/>
  <c r="R2521" i="24"/>
  <c r="M3334" i="12" s="1"/>
  <c r="R2518" i="24"/>
  <c r="M3331" i="12" s="1"/>
  <c r="R2517" i="24"/>
  <c r="M3330" i="12" s="1"/>
  <c r="R2516" i="24"/>
  <c r="M3329" i="12" s="1"/>
  <c r="O2502" i="24"/>
  <c r="O2501" i="24"/>
  <c r="O2495" i="24"/>
  <c r="O2494" i="24"/>
  <c r="O2465" i="24"/>
  <c r="O2464" i="24"/>
  <c r="O2457" i="24"/>
  <c r="O2456" i="24"/>
  <c r="O2455" i="24"/>
  <c r="R2434" i="24"/>
  <c r="M3247" i="12" s="1"/>
  <c r="R2433" i="24"/>
  <c r="M3246" i="12" s="1"/>
  <c r="R2430" i="24"/>
  <c r="M3243" i="12" s="1"/>
  <c r="R2428" i="24"/>
  <c r="M3241" i="12" s="1"/>
  <c r="R2420" i="24"/>
  <c r="R2416" i="24"/>
  <c r="M3228" i="12" s="1"/>
  <c r="O2409" i="24"/>
  <c r="R2388" i="24"/>
  <c r="M3201" i="12" s="1"/>
  <c r="R2378" i="24"/>
  <c r="M3191" i="12" s="1"/>
  <c r="R2377" i="24"/>
  <c r="M3190" i="12" s="1"/>
  <c r="R2376" i="24"/>
  <c r="M3189" i="12" s="1"/>
  <c r="R2356" i="24"/>
  <c r="M3169" i="12" s="1"/>
  <c r="R2352" i="24"/>
  <c r="M3165" i="12" s="1"/>
  <c r="O2345" i="24"/>
  <c r="O2337" i="24"/>
  <c r="O2336" i="24"/>
  <c r="O2335" i="24"/>
  <c r="O2332" i="24"/>
  <c r="O2325" i="24"/>
  <c r="O2315" i="24"/>
  <c r="R2311" i="24"/>
  <c r="M3124" i="12" s="1"/>
  <c r="R2307" i="24"/>
  <c r="M3120" i="12" s="1"/>
  <c r="R2306" i="24"/>
  <c r="M3119" i="12" s="1"/>
  <c r="R2302" i="24"/>
  <c r="M3115" i="12" s="1"/>
  <c r="R2301" i="24"/>
  <c r="M3114" i="12" s="1"/>
  <c r="R2300" i="24"/>
  <c r="M3113" i="12" s="1"/>
  <c r="R2281" i="24"/>
  <c r="M3094" i="12" s="1"/>
  <c r="R2267" i="24"/>
  <c r="M3080" i="12" s="1"/>
  <c r="R2265" i="24"/>
  <c r="M3078" i="12" s="1"/>
  <c r="M3007" i="12"/>
  <c r="M3001" i="12"/>
  <c r="M2998" i="12"/>
  <c r="M2999" i="12"/>
  <c r="M2997" i="12"/>
  <c r="M2994" i="12"/>
  <c r="M2995" i="12"/>
  <c r="M2985" i="12"/>
  <c r="O2553" i="24"/>
  <c r="O2548" i="24"/>
  <c r="O2544" i="24"/>
  <c r="R2541" i="24"/>
  <c r="M3353" i="12" s="1"/>
  <c r="R2540" i="24"/>
  <c r="M3352" i="12" s="1"/>
  <c r="R2538" i="24"/>
  <c r="M3350" i="12" s="1"/>
  <c r="R2537" i="24"/>
  <c r="M3349" i="12" s="1"/>
  <c r="O2521" i="24"/>
  <c r="O2516" i="24"/>
  <c r="R2498" i="24"/>
  <c r="M3311" i="12" s="1"/>
  <c r="R2497" i="24"/>
  <c r="M3310" i="12" s="1"/>
  <c r="R2496" i="24"/>
  <c r="M3309" i="12" s="1"/>
  <c r="R2495" i="24"/>
  <c r="M3308" i="12" s="1"/>
  <c r="R2494" i="24"/>
  <c r="M3307" i="12" s="1"/>
  <c r="O2476" i="24"/>
  <c r="O2473" i="24"/>
  <c r="O2470" i="24"/>
  <c r="R2464" i="24"/>
  <c r="M3277" i="12" s="1"/>
  <c r="O2463" i="24"/>
  <c r="O2460" i="24"/>
  <c r="O2454" i="24"/>
  <c r="R2450" i="24"/>
  <c r="M3263" i="12" s="1"/>
  <c r="R2449" i="24"/>
  <c r="M3262" i="12" s="1"/>
  <c r="R2446" i="24"/>
  <c r="M3259" i="12" s="1"/>
  <c r="R2444" i="24"/>
  <c r="M3257" i="12" s="1"/>
  <c r="O2433" i="24"/>
  <c r="R2362" i="24"/>
  <c r="M3175" i="12" s="1"/>
  <c r="O2344" i="24"/>
  <c r="O2557" i="24"/>
  <c r="R2565" i="24"/>
  <c r="R2564" i="24"/>
  <c r="R2562" i="24"/>
  <c r="R2561" i="24"/>
  <c r="M3373" i="12" s="1"/>
  <c r="R2552" i="24"/>
  <c r="M3364" i="12" s="1"/>
  <c r="O2540" i="24"/>
  <c r="O2536" i="24"/>
  <c r="R2533" i="24"/>
  <c r="M3346" i="12" s="1"/>
  <c r="R2532" i="24"/>
  <c r="M3345" i="12" s="1"/>
  <c r="R2530" i="24"/>
  <c r="M3343" i="12" s="1"/>
  <c r="R2529" i="24"/>
  <c r="M3342" i="12" s="1"/>
  <c r="R2520" i="24"/>
  <c r="M3333" i="12" s="1"/>
  <c r="R2506" i="24"/>
  <c r="M3319" i="12" s="1"/>
  <c r="O2496" i="24"/>
  <c r="R2491" i="24"/>
  <c r="M3304" i="12" s="1"/>
  <c r="R2484" i="24"/>
  <c r="M3297" i="12" s="1"/>
  <c r="R2482" i="24"/>
  <c r="M3295" i="12" s="1"/>
  <c r="R2481" i="24"/>
  <c r="M3294" i="12" s="1"/>
  <c r="R2441" i="24"/>
  <c r="M3254" i="12" s="1"/>
  <c r="R2440" i="24"/>
  <c r="M3253" i="12" s="1"/>
  <c r="O2564" i="24"/>
  <c r="O2560" i="24"/>
  <c r="R2544" i="24"/>
  <c r="M3356" i="12" s="1"/>
  <c r="O2532" i="24"/>
  <c r="O2528" i="24"/>
  <c r="O2512" i="24"/>
  <c r="O2510" i="24"/>
  <c r="R2501" i="24"/>
  <c r="M3314" i="12" s="1"/>
  <c r="O2490" i="24"/>
  <c r="O2486" i="24"/>
  <c r="O2484" i="24"/>
  <c r="O2478" i="24"/>
  <c r="R2474" i="24"/>
  <c r="M3287" i="12" s="1"/>
  <c r="R2473" i="24"/>
  <c r="M3286" i="12" s="1"/>
  <c r="R2470" i="24"/>
  <c r="M3283" i="12" s="1"/>
  <c r="R2460" i="24"/>
  <c r="M3273" i="12" s="1"/>
  <c r="R2454" i="24"/>
  <c r="M3267" i="12" s="1"/>
  <c r="O2449" i="24"/>
  <c r="O2438" i="24"/>
  <c r="R2426" i="24"/>
  <c r="M3239" i="12" s="1"/>
  <c r="O2408" i="24"/>
  <c r="O2448" i="24"/>
  <c r="O2447" i="24"/>
  <c r="O2444" i="24"/>
  <c r="R2432" i="24"/>
  <c r="M3245" i="12" s="1"/>
  <c r="O2425" i="24"/>
  <c r="O2422" i="24"/>
  <c r="R2418" i="24"/>
  <c r="M3230" i="12" s="1"/>
  <c r="R2417" i="24"/>
  <c r="M3229" i="12" s="1"/>
  <c r="R2414" i="24"/>
  <c r="M3226" i="12" s="1"/>
  <c r="R2412" i="24"/>
  <c r="M3225" i="12" s="1"/>
  <c r="O2407" i="24"/>
  <c r="O2404" i="24"/>
  <c r="O2398" i="24"/>
  <c r="R2393" i="24"/>
  <c r="M3206" i="12" s="1"/>
  <c r="R2392" i="24"/>
  <c r="M3205" i="12" s="1"/>
  <c r="R2390" i="24"/>
  <c r="M3203" i="12" s="1"/>
  <c r="O2385" i="24"/>
  <c r="O2384" i="24"/>
  <c r="O2383" i="24"/>
  <c r="O2380" i="24"/>
  <c r="R2368" i="24"/>
  <c r="M3181" i="12" s="1"/>
  <c r="O2361" i="24"/>
  <c r="O2358" i="24"/>
  <c r="R2354" i="24"/>
  <c r="M3167" i="12" s="1"/>
  <c r="R2353" i="24"/>
  <c r="M3166" i="12" s="1"/>
  <c r="R2350" i="24"/>
  <c r="M3163" i="12" s="1"/>
  <c r="R2348" i="24"/>
  <c r="M3161" i="12" s="1"/>
  <c r="O2343" i="24"/>
  <c r="O2340" i="24"/>
  <c r="O2334" i="24"/>
  <c r="R2328" i="24"/>
  <c r="M3141" i="12" s="1"/>
  <c r="R2326" i="24"/>
  <c r="M3139" i="12" s="1"/>
  <c r="O2319" i="24"/>
  <c r="R2316" i="24"/>
  <c r="M3129" i="12" s="1"/>
  <c r="R2315" i="24"/>
  <c r="M3128" i="12" s="1"/>
  <c r="R2314" i="24"/>
  <c r="M3127" i="12" s="1"/>
  <c r="R2313" i="24"/>
  <c r="M3126" i="12" s="1"/>
  <c r="O2304" i="24"/>
  <c r="O2300" i="24"/>
  <c r="R2297" i="24"/>
  <c r="M3110" i="12" s="1"/>
  <c r="R2288" i="24"/>
  <c r="M3101" i="12" s="1"/>
  <c r="O2282" i="24"/>
  <c r="O2277" i="24"/>
  <c r="O2273" i="24"/>
  <c r="O2269" i="24"/>
  <c r="R2266" i="24"/>
  <c r="M3079" i="12" s="1"/>
  <c r="M2990" i="12"/>
  <c r="M2989" i="12"/>
  <c r="M2987" i="12"/>
  <c r="M2986" i="12"/>
  <c r="O2430" i="24"/>
  <c r="R2425" i="24"/>
  <c r="M3238" i="12" s="1"/>
  <c r="R2424" i="24"/>
  <c r="M3237" i="12" s="1"/>
  <c r="R2422" i="24"/>
  <c r="M3235" i="12" s="1"/>
  <c r="O2417" i="24"/>
  <c r="O2416" i="24"/>
  <c r="O2415" i="24"/>
  <c r="O2412" i="24"/>
  <c r="R2400" i="24"/>
  <c r="M3213" i="12" s="1"/>
  <c r="O2393" i="24"/>
  <c r="O2390" i="24"/>
  <c r="R2386" i="24"/>
  <c r="M3199" i="12" s="1"/>
  <c r="R2385" i="24"/>
  <c r="M3198" i="12" s="1"/>
  <c r="R2382" i="24"/>
  <c r="M3195" i="12" s="1"/>
  <c r="R2380" i="24"/>
  <c r="M3193" i="12" s="1"/>
  <c r="O2375" i="24"/>
  <c r="O2372" i="24"/>
  <c r="O2366" i="24"/>
  <c r="R2361" i="24"/>
  <c r="M3174" i="12" s="1"/>
  <c r="R2360" i="24"/>
  <c r="M3173" i="12" s="1"/>
  <c r="R2358" i="24"/>
  <c r="M3171" i="12" s="1"/>
  <c r="O2353" i="24"/>
  <c r="O2352" i="24"/>
  <c r="O2351" i="24"/>
  <c r="O2348" i="24"/>
  <c r="R2336" i="24"/>
  <c r="M3149" i="12" s="1"/>
  <c r="O2328" i="24"/>
  <c r="R2319" i="24"/>
  <c r="M3132" i="12" s="1"/>
  <c r="R2310" i="24"/>
  <c r="M3123" i="12" s="1"/>
  <c r="R2304" i="24"/>
  <c r="M3117" i="12" s="1"/>
  <c r="O2297" i="24"/>
  <c r="O2292" i="24"/>
  <c r="O2288" i="24"/>
  <c r="O2285" i="24"/>
  <c r="R2282" i="24"/>
  <c r="M3095" i="12" s="1"/>
  <c r="R2273" i="24"/>
  <c r="M3086" i="12" s="1"/>
  <c r="O2266" i="24"/>
  <c r="M3006" i="12"/>
  <c r="M3005" i="12"/>
  <c r="M3003" i="12"/>
  <c r="M3002" i="12"/>
  <c r="M2993" i="12"/>
  <c r="O2563" i="24"/>
  <c r="O2562" i="24"/>
  <c r="R2559" i="24"/>
  <c r="M3371" i="12" s="1"/>
  <c r="O2555" i="24"/>
  <c r="O2554" i="24"/>
  <c r="R2551" i="24"/>
  <c r="M3363" i="12" s="1"/>
  <c r="O2547" i="24"/>
  <c r="O2546" i="24"/>
  <c r="R2543" i="24"/>
  <c r="M3355" i="12" s="1"/>
  <c r="O2539" i="24"/>
  <c r="O2538" i="24"/>
  <c r="R2535" i="24"/>
  <c r="M3348" i="12" s="1"/>
  <c r="O2531" i="24"/>
  <c r="O2530" i="24"/>
  <c r="R2527" i="24"/>
  <c r="M3340" i="12" s="1"/>
  <c r="O2523" i="24"/>
  <c r="O2522" i="24"/>
  <c r="R2519" i="24"/>
  <c r="M3332" i="12" s="1"/>
  <c r="O2514" i="24"/>
  <c r="R2510" i="24"/>
  <c r="M3323" i="12" s="1"/>
  <c r="R2509" i="24"/>
  <c r="M3322" i="12" s="1"/>
  <c r="R2490" i="24"/>
  <c r="M3303" i="12" s="1"/>
  <c r="R2478" i="24"/>
  <c r="M3291" i="12" s="1"/>
  <c r="R2456" i="24"/>
  <c r="M3269" i="12" s="1"/>
  <c r="O2566" i="24"/>
  <c r="R2563" i="24"/>
  <c r="O2559" i="24"/>
  <c r="O2558" i="24"/>
  <c r="R2555" i="24"/>
  <c r="M3367" i="12" s="1"/>
  <c r="O2551" i="24"/>
  <c r="O2550" i="24"/>
  <c r="R2547" i="24"/>
  <c r="M3359" i="12" s="1"/>
  <c r="O2543" i="24"/>
  <c r="O2542" i="24"/>
  <c r="R2539" i="24"/>
  <c r="M3351" i="12" s="1"/>
  <c r="O2535" i="24"/>
  <c r="O2534" i="24"/>
  <c r="R2531" i="24"/>
  <c r="M3344" i="12" s="1"/>
  <c r="O2527" i="24"/>
  <c r="O2526" i="24"/>
  <c r="R2523" i="24"/>
  <c r="M3336" i="12" s="1"/>
  <c r="O2519" i="24"/>
  <c r="O2518" i="24"/>
  <c r="R2515" i="24"/>
  <c r="M3328" i="12" s="1"/>
  <c r="O2511" i="24"/>
  <c r="O2500" i="24"/>
  <c r="R2472" i="24"/>
  <c r="M3285" i="12" s="1"/>
  <c r="R2462" i="24"/>
  <c r="M3275" i="12" s="1"/>
  <c r="R2513" i="24"/>
  <c r="M3326" i="12" s="1"/>
  <c r="O2509" i="24"/>
  <c r="O2508" i="24"/>
  <c r="R2505" i="24"/>
  <c r="M3318" i="12" s="1"/>
  <c r="R2504" i="24"/>
  <c r="M3317" i="12" s="1"/>
  <c r="O2503" i="24"/>
  <c r="R2499" i="24"/>
  <c r="M3312" i="12" s="1"/>
  <c r="R2485" i="24"/>
  <c r="M3298" i="12" s="1"/>
  <c r="O2483" i="24"/>
  <c r="O2482" i="24"/>
  <c r="O2477" i="24"/>
  <c r="R2469" i="24"/>
  <c r="M3282" i="12" s="1"/>
  <c r="O2467" i="24"/>
  <c r="O2466" i="24"/>
  <c r="O2461" i="24"/>
  <c r="R2453" i="24"/>
  <c r="M3266" i="12" s="1"/>
  <c r="O2451" i="24"/>
  <c r="O2450" i="24"/>
  <c r="O2445" i="24"/>
  <c r="R2437" i="24"/>
  <c r="M3250" i="12" s="1"/>
  <c r="O2435" i="24"/>
  <c r="O2434" i="24"/>
  <c r="O2429" i="24"/>
  <c r="R2421" i="24"/>
  <c r="M3234" i="12" s="1"/>
  <c r="O2419" i="24"/>
  <c r="O2418" i="24"/>
  <c r="O2413" i="24"/>
  <c r="R2405" i="24"/>
  <c r="M3218" i="12" s="1"/>
  <c r="O2403" i="24"/>
  <c r="O2402" i="24"/>
  <c r="O2397" i="24"/>
  <c r="R2389" i="24"/>
  <c r="M3202" i="12" s="1"/>
  <c r="O2387" i="24"/>
  <c r="O2386" i="24"/>
  <c r="O2381" i="24"/>
  <c r="R2373" i="24"/>
  <c r="M3186" i="12" s="1"/>
  <c r="O2371" i="24"/>
  <c r="O2370" i="24"/>
  <c r="O2365" i="24"/>
  <c r="R2357" i="24"/>
  <c r="M3170" i="12" s="1"/>
  <c r="O2355" i="24"/>
  <c r="O2354" i="24"/>
  <c r="O2349" i="24"/>
  <c r="R2341" i="24"/>
  <c r="M3154" i="12" s="1"/>
  <c r="O2339" i="24"/>
  <c r="O2338" i="24"/>
  <c r="O2333" i="24"/>
  <c r="R2325" i="24"/>
  <c r="M3138" i="12" s="1"/>
  <c r="O2323" i="24"/>
  <c r="R2309" i="24"/>
  <c r="M3122" i="12" s="1"/>
  <c r="R2308" i="24"/>
  <c r="M3121" i="12" s="1"/>
  <c r="O2303" i="24"/>
  <c r="O2302" i="24"/>
  <c r="O2498" i="24"/>
  <c r="O2493" i="24"/>
  <c r="O2492" i="24"/>
  <c r="R2489" i="24"/>
  <c r="M3302" i="12" s="1"/>
  <c r="R2488" i="24"/>
  <c r="M3301" i="12" s="1"/>
  <c r="O2485" i="24"/>
  <c r="R2477" i="24"/>
  <c r="M3290" i="12" s="1"/>
  <c r="O2475" i="24"/>
  <c r="O2474" i="24"/>
  <c r="O2469" i="24"/>
  <c r="R2461" i="24"/>
  <c r="M3274" i="12" s="1"/>
  <c r="O2459" i="24"/>
  <c r="O2458" i="24"/>
  <c r="O2453" i="24"/>
  <c r="R2445" i="24"/>
  <c r="M3258" i="12" s="1"/>
  <c r="O2443" i="24"/>
  <c r="O2442" i="24"/>
  <c r="O2437" i="24"/>
  <c r="R2429" i="24"/>
  <c r="M3242" i="12" s="1"/>
  <c r="O2427" i="24"/>
  <c r="O2426" i="24"/>
  <c r="O2421" i="24"/>
  <c r="R2413" i="24"/>
  <c r="O2411" i="24"/>
  <c r="O2410" i="24"/>
  <c r="O2405" i="24"/>
  <c r="R2397" i="24"/>
  <c r="M3210" i="12" s="1"/>
  <c r="O2395" i="24"/>
  <c r="O2394" i="24"/>
  <c r="O2389" i="24"/>
  <c r="R2381" i="24"/>
  <c r="M3194" i="12" s="1"/>
  <c r="O2379" i="24"/>
  <c r="O2378" i="24"/>
  <c r="O2373" i="24"/>
  <c r="R2365" i="24"/>
  <c r="M3178" i="12" s="1"/>
  <c r="O2363" i="24"/>
  <c r="O2362" i="24"/>
  <c r="O2357" i="24"/>
  <c r="R2349" i="24"/>
  <c r="M3162" i="12" s="1"/>
  <c r="O2347" i="24"/>
  <c r="O2346" i="24"/>
  <c r="O2341" i="24"/>
  <c r="R2333" i="24"/>
  <c r="M3146" i="12" s="1"/>
  <c r="O2331" i="24"/>
  <c r="O2330" i="24"/>
  <c r="R2322" i="24"/>
  <c r="M3135" i="12" s="1"/>
  <c r="R2321" i="24"/>
  <c r="M3134" i="12" s="1"/>
  <c r="R2320" i="24"/>
  <c r="M3133" i="12" s="1"/>
  <c r="O2318" i="24"/>
  <c r="O2317" i="24"/>
  <c r="O2310" i="24"/>
  <c r="O2327" i="24"/>
  <c r="O2326" i="24"/>
  <c r="O2322" i="24"/>
  <c r="O2314" i="24"/>
  <c r="O2313" i="24"/>
  <c r="O2308" i="24"/>
  <c r="O2307" i="24"/>
  <c r="R2303" i="24"/>
  <c r="M3116" i="12" s="1"/>
  <c r="O2299" i="24"/>
  <c r="O2298" i="24"/>
  <c r="R2295" i="24"/>
  <c r="M3108" i="12" s="1"/>
  <c r="O2291" i="24"/>
  <c r="O2290" i="24"/>
  <c r="R2287" i="24"/>
  <c r="M3100" i="12" s="1"/>
  <c r="O2284" i="24"/>
  <c r="O2283" i="24"/>
  <c r="R2280" i="24"/>
  <c r="M3093" i="12" s="1"/>
  <c r="O2276" i="24"/>
  <c r="O2275" i="24"/>
  <c r="R2272" i="24"/>
  <c r="M3085" i="12" s="1"/>
  <c r="O2268" i="24"/>
  <c r="O2267" i="24"/>
  <c r="R2264" i="24"/>
  <c r="M3008" i="12"/>
  <c r="M3000" i="12"/>
  <c r="M2992" i="12"/>
  <c r="M2984" i="12"/>
  <c r="M2980" i="12"/>
  <c r="M2979" i="12"/>
  <c r="M2978" i="12"/>
  <c r="M2975" i="12"/>
  <c r="M2974" i="12"/>
  <c r="R2299" i="24"/>
  <c r="M3112" i="12" s="1"/>
  <c r="O2295" i="24"/>
  <c r="O2294" i="24"/>
  <c r="R2291" i="24"/>
  <c r="M3104" i="12" s="1"/>
  <c r="O2287" i="24"/>
  <c r="O2286" i="24"/>
  <c r="R2284" i="24"/>
  <c r="M3097" i="12" s="1"/>
  <c r="O2280" i="24"/>
  <c r="O2279" i="24"/>
  <c r="R2276" i="24"/>
  <c r="M3089" i="12" s="1"/>
  <c r="O2272" i="24"/>
  <c r="O2271" i="24"/>
  <c r="R2268" i="24"/>
  <c r="M3081" i="12" s="1"/>
  <c r="O2264" i="24"/>
  <c r="O2263" i="24"/>
  <c r="M3004" i="12"/>
  <c r="M2996" i="12"/>
  <c r="M2988" i="12"/>
  <c r="M2976" i="12"/>
  <c r="M2972" i="12"/>
  <c r="O2505" i="24"/>
  <c r="R2483" i="24"/>
  <c r="M3296" i="12" s="1"/>
  <c r="R2475" i="24"/>
  <c r="M3288" i="12" s="1"/>
  <c r="R2467" i="24"/>
  <c r="M3280" i="12" s="1"/>
  <c r="R2455" i="24"/>
  <c r="M3268" i="12" s="1"/>
  <c r="R2451" i="24"/>
  <c r="M3264" i="12" s="1"/>
  <c r="R2447" i="24"/>
  <c r="M3260" i="12" s="1"/>
  <c r="R2443" i="24"/>
  <c r="M3256" i="12" s="1"/>
  <c r="R2439" i="24"/>
  <c r="M3252" i="12" s="1"/>
  <c r="R2435" i="24"/>
  <c r="M3248" i="12" s="1"/>
  <c r="R2431" i="24"/>
  <c r="M3244" i="12" s="1"/>
  <c r="R2427" i="24"/>
  <c r="M3240" i="12" s="1"/>
  <c r="R2423" i="24"/>
  <c r="M3236" i="12" s="1"/>
  <c r="R2419" i="24"/>
  <c r="M3231" i="12" s="1"/>
  <c r="R2415" i="24"/>
  <c r="M3227" i="12" s="1"/>
  <c r="R2411" i="24"/>
  <c r="M3224" i="12" s="1"/>
  <c r="R2407" i="24"/>
  <c r="M3220" i="12" s="1"/>
  <c r="R2403" i="24"/>
  <c r="M3216" i="12" s="1"/>
  <c r="R2399" i="24"/>
  <c r="M3212" i="12" s="1"/>
  <c r="R2395" i="24"/>
  <c r="M3208" i="12" s="1"/>
  <c r="R2391" i="24"/>
  <c r="M3204" i="12" s="1"/>
  <c r="R2387" i="24"/>
  <c r="M3200" i="12" s="1"/>
  <c r="R2383" i="24"/>
  <c r="M3196" i="12" s="1"/>
  <c r="R2379" i="24"/>
  <c r="M3192" i="12" s="1"/>
  <c r="R2375" i="24"/>
  <c r="M3188" i="12" s="1"/>
  <c r="R2371" i="24"/>
  <c r="M3184" i="12" s="1"/>
  <c r="R2367" i="24"/>
  <c r="M3180" i="12" s="1"/>
  <c r="R2363" i="24"/>
  <c r="M3176" i="12" s="1"/>
  <c r="R2359" i="24"/>
  <c r="M3172" i="12" s="1"/>
  <c r="R2355" i="24"/>
  <c r="M3168" i="12" s="1"/>
  <c r="R2351" i="24"/>
  <c r="M3164" i="12" s="1"/>
  <c r="R2347" i="24"/>
  <c r="M3160" i="12" s="1"/>
  <c r="R2343" i="24"/>
  <c r="M3156" i="12" s="1"/>
  <c r="R2339" i="24"/>
  <c r="M3152" i="12" s="1"/>
  <c r="R2335" i="24"/>
  <c r="M3148" i="12" s="1"/>
  <c r="R2331" i="24"/>
  <c r="M3144" i="12" s="1"/>
  <c r="R2327" i="24"/>
  <c r="M3140" i="12" s="1"/>
  <c r="R2323" i="24"/>
  <c r="M3136" i="12" s="1"/>
  <c r="O2497" i="24"/>
  <c r="O2489" i="24"/>
  <c r="R2487" i="24"/>
  <c r="M3300" i="12" s="1"/>
  <c r="R2479" i="24"/>
  <c r="M3292" i="12" s="1"/>
  <c r="R2471" i="24"/>
  <c r="M3284" i="12" s="1"/>
  <c r="R2463" i="24"/>
  <c r="M3276" i="12" s="1"/>
  <c r="R2459" i="24"/>
  <c r="M3272" i="12" s="1"/>
  <c r="O2507" i="24"/>
  <c r="O2499" i="24"/>
  <c r="O2491" i="24"/>
  <c r="R2318" i="24"/>
  <c r="M3131" i="12" s="1"/>
  <c r="O2316" i="24"/>
  <c r="H2914" i="12"/>
  <c r="P2914" i="12"/>
  <c r="P2958" i="12"/>
  <c r="H2958" i="12"/>
  <c r="P2943" i="12"/>
  <c r="P2941" i="12"/>
  <c r="P2953" i="12"/>
  <c r="P2948" i="12"/>
  <c r="M3232" i="12" l="1"/>
  <c r="M3233" i="12"/>
  <c r="H2953" i="12"/>
  <c r="H2948" i="12"/>
  <c r="H2943" i="12"/>
  <c r="H2941" i="12"/>
  <c r="H2942" i="12"/>
  <c r="P2929" i="12"/>
  <c r="P2928" i="12"/>
  <c r="H2929" i="12"/>
  <c r="H2928" i="12"/>
  <c r="O2928" i="12" l="1"/>
  <c r="Q2928" i="12"/>
  <c r="P2904" i="12" l="1"/>
  <c r="H2904" i="12"/>
  <c r="P2899" i="12"/>
  <c r="H2899" i="12"/>
  <c r="P2918" i="12"/>
  <c r="H2918" i="12"/>
  <c r="P2912" i="12"/>
  <c r="H2912" i="12"/>
  <c r="P2875" i="12" l="1"/>
  <c r="P2884" i="12"/>
  <c r="H2884" i="12"/>
  <c r="H2875" i="12"/>
  <c r="P2891" i="12"/>
  <c r="H2891" i="12"/>
  <c r="P2839" i="12" l="1"/>
  <c r="P2837" i="12"/>
  <c r="P2850" i="12"/>
  <c r="H2850" i="12"/>
  <c r="P2845" i="12"/>
  <c r="H2845" i="12"/>
  <c r="H2853" i="12"/>
  <c r="P2853" i="12"/>
  <c r="H2865" i="12"/>
  <c r="P2865" i="12"/>
  <c r="P2864" i="12"/>
  <c r="H2864" i="12"/>
  <c r="H2839" i="12" l="1"/>
  <c r="H2837" i="12"/>
  <c r="M2820" i="12" l="1"/>
  <c r="M2828" i="12"/>
  <c r="M2844" i="12"/>
  <c r="M2871" i="12"/>
  <c r="M2898" i="12"/>
  <c r="M2894" i="12"/>
  <c r="M2890" i="12"/>
  <c r="M2887" i="12"/>
  <c r="M2882" i="12"/>
  <c r="M2878" i="12"/>
  <c r="M2874" i="12"/>
  <c r="M2870" i="12"/>
  <c r="M2817" i="12"/>
  <c r="M2825" i="12"/>
  <c r="M2833" i="12"/>
  <c r="M2892" i="12"/>
  <c r="M2888" i="12"/>
  <c r="M2876" i="12"/>
  <c r="M2872" i="12"/>
  <c r="M2906" i="12"/>
  <c r="M2903" i="12"/>
  <c r="M2902" i="12"/>
  <c r="M2886" i="12"/>
  <c r="M2857" i="12"/>
  <c r="M2849" i="12"/>
  <c r="M2845" i="12"/>
  <c r="M2821" i="12"/>
  <c r="M2829" i="12"/>
  <c r="M2842" i="12"/>
  <c r="M2908" i="12"/>
  <c r="M2904" i="12"/>
  <c r="M2816" i="12"/>
  <c r="M2824" i="12"/>
  <c r="M2832" i="12"/>
  <c r="M2843" i="12"/>
  <c r="M2899" i="12"/>
  <c r="M2893" i="12"/>
  <c r="M2889" i="12"/>
  <c r="M2866" i="12"/>
  <c r="M2859" i="12"/>
  <c r="M2855" i="12"/>
  <c r="M2850" i="12"/>
  <c r="M2846" i="12"/>
  <c r="M2909" i="12"/>
  <c r="M2905" i="12"/>
  <c r="M2883" i="12"/>
  <c r="M2877" i="12"/>
  <c r="M2873" i="12"/>
  <c r="M2841" i="12"/>
  <c r="M2836" i="12"/>
  <c r="M2897" i="12"/>
  <c r="M2907" i="12"/>
  <c r="M2901" i="12"/>
  <c r="M2900" i="12"/>
  <c r="M2891" i="12"/>
  <c r="M2885" i="12"/>
  <c r="M2884" i="12"/>
  <c r="M2875" i="12"/>
  <c r="M2869" i="12"/>
  <c r="M2864" i="12"/>
  <c r="M2860" i="12"/>
  <c r="M2848" i="12"/>
  <c r="M2815" i="12"/>
  <c r="M2818" i="12"/>
  <c r="M2819" i="12"/>
  <c r="M2822" i="12"/>
  <c r="M2823" i="12"/>
  <c r="M2826" i="12"/>
  <c r="M2827" i="12"/>
  <c r="M2830" i="12"/>
  <c r="M2831" i="12"/>
  <c r="M2834" i="12"/>
  <c r="M2835" i="12"/>
  <c r="M2837" i="12"/>
  <c r="M2895" i="12"/>
  <c r="M2879" i="12"/>
  <c r="M2839" i="12"/>
  <c r="M2896" i="12"/>
  <c r="M2881" i="12"/>
  <c r="M2880" i="12"/>
  <c r="M2865" i="12"/>
  <c r="M2863" i="12"/>
  <c r="M2868" i="12"/>
  <c r="M2867" i="12"/>
  <c r="M2861" i="12"/>
  <c r="M2858" i="12"/>
  <c r="M2862" i="12"/>
  <c r="M2853" i="12"/>
  <c r="M2854" i="12"/>
  <c r="M2856" i="12"/>
  <c r="M2852" i="12"/>
  <c r="M2851" i="12"/>
  <c r="M2847" i="12"/>
  <c r="M2840" i="12"/>
  <c r="M2838" i="12"/>
  <c r="P2824" i="12"/>
  <c r="H2828" i="12"/>
  <c r="H2824" i="12"/>
  <c r="M2790" i="12" l="1"/>
  <c r="M2791" i="12"/>
  <c r="M2792" i="12"/>
  <c r="M2793" i="12"/>
  <c r="M2794" i="12"/>
  <c r="M2795" i="12"/>
  <c r="M2796" i="12"/>
  <c r="M2797" i="12"/>
  <c r="M2798" i="12"/>
  <c r="M2799" i="12"/>
  <c r="M2800" i="12"/>
  <c r="M2801" i="12"/>
  <c r="M2802" i="12"/>
  <c r="M2803" i="12"/>
  <c r="M2804" i="12"/>
  <c r="M2805" i="12"/>
  <c r="M2806" i="12"/>
  <c r="M2807" i="12"/>
  <c r="M2808" i="12"/>
  <c r="M2809" i="12"/>
  <c r="M2810" i="12"/>
  <c r="M2811" i="12"/>
  <c r="M2812" i="12"/>
  <c r="M2813" i="12"/>
  <c r="M2814" i="12"/>
  <c r="P2805" i="12" l="1"/>
  <c r="H2805" i="12"/>
  <c r="P2798" i="12"/>
  <c r="H2798" i="12"/>
  <c r="P2792" i="12"/>
  <c r="H2792" i="12"/>
  <c r="Q2813" i="12"/>
  <c r="O2813" i="12"/>
  <c r="K2813" i="12"/>
  <c r="F2813" i="12"/>
  <c r="E2813" i="12"/>
  <c r="I2813" i="12" s="1"/>
  <c r="C2813" i="12"/>
  <c r="E2790" i="12"/>
  <c r="M2961" i="12" l="1"/>
  <c r="M2929" i="12"/>
  <c r="M2913" i="12"/>
  <c r="M2942" i="12"/>
  <c r="M2957" i="12"/>
  <c r="M2953" i="12"/>
  <c r="M2952" i="12"/>
  <c r="M2951" i="12"/>
  <c r="M2950" i="12"/>
  <c r="M2949" i="12"/>
  <c r="M2945" i="12"/>
  <c r="M2927" i="12"/>
  <c r="M2925" i="12"/>
  <c r="M2919" i="12"/>
  <c r="M2969" i="12"/>
  <c r="M2968" i="12"/>
  <c r="M2967" i="12"/>
  <c r="M2966" i="12"/>
  <c r="M2965" i="12"/>
  <c r="M2937" i="12"/>
  <c r="M2936" i="12"/>
  <c r="M2935" i="12"/>
  <c r="M2934" i="12"/>
  <c r="M2933" i="12"/>
  <c r="M2911" i="12"/>
  <c r="M2964" i="12"/>
  <c r="M2960" i="12"/>
  <c r="M2959" i="12"/>
  <c r="M2958" i="12"/>
  <c r="M2944" i="12"/>
  <c r="M2943" i="12"/>
  <c r="M2941" i="12"/>
  <c r="M2928" i="12"/>
  <c r="M2963" i="12"/>
  <c r="M2971" i="12"/>
  <c r="M2970" i="12"/>
  <c r="M2956" i="12"/>
  <c r="M2955" i="12"/>
  <c r="M2954" i="12"/>
  <c r="M2940" i="12"/>
  <c r="M2939" i="12"/>
  <c r="M2938" i="12"/>
  <c r="M2922" i="12"/>
  <c r="M2921" i="12"/>
  <c r="M2920" i="12"/>
  <c r="M2917" i="12"/>
  <c r="M2914" i="12"/>
  <c r="M2962" i="12"/>
  <c r="M2948" i="12"/>
  <c r="M2947" i="12"/>
  <c r="M2946" i="12"/>
  <c r="M2932" i="12"/>
  <c r="M2931" i="12"/>
  <c r="M2930" i="12"/>
  <c r="M2912" i="12"/>
  <c r="M2924" i="12"/>
  <c r="M2923" i="12"/>
  <c r="M2918" i="12"/>
  <c r="M2926" i="12"/>
  <c r="M2916" i="12"/>
  <c r="M2915" i="12"/>
  <c r="M2910" i="12"/>
  <c r="G2813" i="12"/>
  <c r="J2813" i="12" s="1"/>
  <c r="L2813" i="12" s="1"/>
  <c r="H2789" i="12"/>
  <c r="H2788" i="12"/>
  <c r="P2788" i="12"/>
  <c r="P2770" i="12"/>
  <c r="H2770" i="12"/>
  <c r="M2767" i="12" l="1"/>
  <c r="M2768" i="12"/>
  <c r="M2769" i="12"/>
  <c r="M2770" i="12"/>
  <c r="M2771" i="12"/>
  <c r="M2772" i="12"/>
  <c r="M2773" i="12"/>
  <c r="M2774" i="12"/>
  <c r="M2775" i="12"/>
  <c r="M2776" i="12"/>
  <c r="M2777" i="12"/>
  <c r="M2778" i="12"/>
  <c r="M2779" i="12"/>
  <c r="M2780" i="12"/>
  <c r="M2781" i="12"/>
  <c r="M2782" i="12"/>
  <c r="M2783" i="12"/>
  <c r="M2784" i="12"/>
  <c r="M2785" i="12"/>
  <c r="M2789" i="12"/>
  <c r="P2765" i="12" l="1"/>
  <c r="H2765" i="12"/>
  <c r="P2757" i="12"/>
  <c r="H2757" i="12"/>
  <c r="P2747" i="12" l="1"/>
  <c r="H2747" i="12"/>
  <c r="P2746" i="12"/>
  <c r="H2746" i="12"/>
  <c r="M2745" i="12"/>
  <c r="M2746" i="12"/>
  <c r="M2747" i="12"/>
  <c r="M2750" i="12"/>
  <c r="M2751" i="12"/>
  <c r="M2752" i="12"/>
  <c r="M2753" i="12"/>
  <c r="M2754" i="12"/>
  <c r="M2755" i="12"/>
  <c r="M2756" i="12"/>
  <c r="M2757" i="12"/>
  <c r="M2758" i="12"/>
  <c r="M2759" i="12"/>
  <c r="M2760" i="12"/>
  <c r="M2761" i="12"/>
  <c r="M2762" i="12"/>
  <c r="C2759" i="12" l="1"/>
  <c r="E2759" i="12"/>
  <c r="I2759" i="12" s="1"/>
  <c r="F2759" i="12"/>
  <c r="G2759" i="12" s="1"/>
  <c r="K2759" i="12"/>
  <c r="O2759" i="12"/>
  <c r="Q2759" i="12"/>
  <c r="C2760" i="12"/>
  <c r="E2760" i="12"/>
  <c r="I2760" i="12" s="1"/>
  <c r="F2760" i="12"/>
  <c r="G2760" i="12" s="1"/>
  <c r="K2760" i="12"/>
  <c r="O2760" i="12"/>
  <c r="Q2760" i="12"/>
  <c r="C2761" i="12"/>
  <c r="E2761" i="12"/>
  <c r="I2761" i="12" s="1"/>
  <c r="F2761" i="12"/>
  <c r="G2761" i="12" s="1"/>
  <c r="K2761" i="12"/>
  <c r="O2761" i="12"/>
  <c r="Q2761" i="12"/>
  <c r="C2762" i="12"/>
  <c r="E2762" i="12"/>
  <c r="I2762" i="12" s="1"/>
  <c r="F2762" i="12"/>
  <c r="G2762" i="12" s="1"/>
  <c r="K2762" i="12"/>
  <c r="O2762" i="12"/>
  <c r="Q2762" i="12"/>
  <c r="C2763" i="12"/>
  <c r="E2763" i="12"/>
  <c r="I2763" i="12" s="1"/>
  <c r="F2763" i="12"/>
  <c r="G2763" i="12" s="1"/>
  <c r="K2763" i="12"/>
  <c r="O2763" i="12"/>
  <c r="Q2763" i="12"/>
  <c r="C2764" i="12"/>
  <c r="E2764" i="12"/>
  <c r="I2764" i="12" s="1"/>
  <c r="F2764" i="12"/>
  <c r="G2764" i="12" s="1"/>
  <c r="K2764" i="12"/>
  <c r="O2764" i="12"/>
  <c r="Q2764" i="12"/>
  <c r="C2765" i="12"/>
  <c r="E2765" i="12"/>
  <c r="I2765" i="12" s="1"/>
  <c r="F2765" i="12"/>
  <c r="G2765" i="12" s="1"/>
  <c r="K2765" i="12"/>
  <c r="O2765" i="12"/>
  <c r="Q2765" i="12"/>
  <c r="C2766" i="12"/>
  <c r="E2766" i="12"/>
  <c r="I2766" i="12" s="1"/>
  <c r="F2766" i="12"/>
  <c r="G2766" i="12" s="1"/>
  <c r="K2766" i="12"/>
  <c r="O2766" i="12"/>
  <c r="Q2766" i="12"/>
  <c r="C2767" i="12"/>
  <c r="E2767" i="12"/>
  <c r="I2767" i="12" s="1"/>
  <c r="F2767" i="12"/>
  <c r="G2767" i="12" s="1"/>
  <c r="K2767" i="12"/>
  <c r="O2767" i="12"/>
  <c r="Q2767" i="12"/>
  <c r="C2768" i="12"/>
  <c r="E2768" i="12"/>
  <c r="I2768" i="12" s="1"/>
  <c r="F2768" i="12"/>
  <c r="G2768" i="12" s="1"/>
  <c r="K2768" i="12"/>
  <c r="O2768" i="12"/>
  <c r="Q2768" i="12"/>
  <c r="C2769" i="12"/>
  <c r="E2769" i="12"/>
  <c r="I2769" i="12" s="1"/>
  <c r="F2769" i="12"/>
  <c r="G2769" i="12" s="1"/>
  <c r="K2769" i="12"/>
  <c r="O2769" i="12"/>
  <c r="Q2769" i="12"/>
  <c r="C2770" i="12"/>
  <c r="E2770" i="12"/>
  <c r="I2770" i="12" s="1"/>
  <c r="F2770" i="12"/>
  <c r="G2770" i="12" s="1"/>
  <c r="K2770" i="12"/>
  <c r="O2770" i="12"/>
  <c r="Q2770" i="12"/>
  <c r="C2771" i="12"/>
  <c r="E2771" i="12"/>
  <c r="I2771" i="12" s="1"/>
  <c r="F2771" i="12"/>
  <c r="G2771" i="12" s="1"/>
  <c r="K2771" i="12"/>
  <c r="O2771" i="12"/>
  <c r="Q2771" i="12"/>
  <c r="C2772" i="12"/>
  <c r="E2772" i="12"/>
  <c r="I2772" i="12" s="1"/>
  <c r="F2772" i="12"/>
  <c r="G2772" i="12" s="1"/>
  <c r="K2772" i="12"/>
  <c r="O2772" i="12"/>
  <c r="Q2772" i="12"/>
  <c r="C2773" i="12"/>
  <c r="E2773" i="12"/>
  <c r="I2773" i="12" s="1"/>
  <c r="F2773" i="12"/>
  <c r="G2773" i="12" s="1"/>
  <c r="K2773" i="12"/>
  <c r="O2773" i="12"/>
  <c r="Q2773" i="12"/>
  <c r="C2774" i="12"/>
  <c r="E2774" i="12"/>
  <c r="I2774" i="12" s="1"/>
  <c r="F2774" i="12"/>
  <c r="G2774" i="12" s="1"/>
  <c r="K2774" i="12"/>
  <c r="O2774" i="12"/>
  <c r="Q2774" i="12"/>
  <c r="C2775" i="12"/>
  <c r="E2775" i="12"/>
  <c r="I2775" i="12" s="1"/>
  <c r="F2775" i="12"/>
  <c r="G2775" i="12" s="1"/>
  <c r="K2775" i="12"/>
  <c r="O2775" i="12"/>
  <c r="Q2775" i="12"/>
  <c r="C2776" i="12"/>
  <c r="E2776" i="12"/>
  <c r="I2776" i="12" s="1"/>
  <c r="F2776" i="12"/>
  <c r="G2776" i="12" s="1"/>
  <c r="K2776" i="12"/>
  <c r="O2776" i="12"/>
  <c r="Q2776" i="12"/>
  <c r="C2777" i="12"/>
  <c r="E2777" i="12"/>
  <c r="I2777" i="12" s="1"/>
  <c r="F2777" i="12"/>
  <c r="G2777" i="12" s="1"/>
  <c r="K2777" i="12"/>
  <c r="O2777" i="12"/>
  <c r="Q2777" i="12"/>
  <c r="C2778" i="12"/>
  <c r="E2778" i="12"/>
  <c r="I2778" i="12" s="1"/>
  <c r="F2778" i="12"/>
  <c r="G2778" i="12" s="1"/>
  <c r="K2778" i="12"/>
  <c r="O2778" i="12"/>
  <c r="Q2778" i="12"/>
  <c r="C2779" i="12"/>
  <c r="E2779" i="12"/>
  <c r="I2779" i="12" s="1"/>
  <c r="F2779" i="12"/>
  <c r="G2779" i="12" s="1"/>
  <c r="K2779" i="12"/>
  <c r="O2779" i="12"/>
  <c r="Q2779" i="12"/>
  <c r="C2780" i="12"/>
  <c r="E2780" i="12"/>
  <c r="I2780" i="12" s="1"/>
  <c r="F2780" i="12"/>
  <c r="G2780" i="12" s="1"/>
  <c r="K2780" i="12"/>
  <c r="O2780" i="12"/>
  <c r="Q2780" i="12"/>
  <c r="C2781" i="12"/>
  <c r="E2781" i="12"/>
  <c r="I2781" i="12" s="1"/>
  <c r="F2781" i="12"/>
  <c r="G2781" i="12" s="1"/>
  <c r="K2781" i="12"/>
  <c r="O2781" i="12"/>
  <c r="Q2781" i="12"/>
  <c r="C2782" i="12"/>
  <c r="E2782" i="12"/>
  <c r="I2782" i="12" s="1"/>
  <c r="F2782" i="12"/>
  <c r="G2782" i="12" s="1"/>
  <c r="J2782" i="12" s="1"/>
  <c r="K2782" i="12"/>
  <c r="O2782" i="12"/>
  <c r="Q2782" i="12"/>
  <c r="C2783" i="12"/>
  <c r="E2783" i="12"/>
  <c r="I2783" i="12" s="1"/>
  <c r="F2783" i="12"/>
  <c r="G2783" i="12" s="1"/>
  <c r="K2783" i="12"/>
  <c r="O2783" i="12"/>
  <c r="Q2783" i="12"/>
  <c r="C2784" i="12"/>
  <c r="E2784" i="12"/>
  <c r="I2784" i="12" s="1"/>
  <c r="F2784" i="12"/>
  <c r="G2784" i="12" s="1"/>
  <c r="K2784" i="12"/>
  <c r="O2784" i="12"/>
  <c r="Q2784" i="12"/>
  <c r="C2785" i="12"/>
  <c r="E2785" i="12"/>
  <c r="I2785" i="12" s="1"/>
  <c r="F2785" i="12"/>
  <c r="G2785" i="12" s="1"/>
  <c r="K2785" i="12"/>
  <c r="O2785" i="12"/>
  <c r="Q2785" i="12"/>
  <c r="C2786" i="12"/>
  <c r="E2786" i="12"/>
  <c r="I2786" i="12" s="1"/>
  <c r="F2786" i="12"/>
  <c r="G2786" i="12" s="1"/>
  <c r="K2786" i="12"/>
  <c r="O2786" i="12"/>
  <c r="Q2786" i="12"/>
  <c r="C2787" i="12"/>
  <c r="E2787" i="12"/>
  <c r="I2787" i="12" s="1"/>
  <c r="F2787" i="12"/>
  <c r="G2787" i="12" s="1"/>
  <c r="J2787" i="12" s="1"/>
  <c r="K2787" i="12"/>
  <c r="O2787" i="12"/>
  <c r="Q2787" i="12"/>
  <c r="C2788" i="12"/>
  <c r="E2788" i="12"/>
  <c r="I2788" i="12" s="1"/>
  <c r="F2788" i="12"/>
  <c r="G2788" i="12" s="1"/>
  <c r="K2788" i="12"/>
  <c r="O2788" i="12"/>
  <c r="Q2788" i="12"/>
  <c r="C2789" i="12"/>
  <c r="E2789" i="12"/>
  <c r="I2789" i="12" s="1"/>
  <c r="F2789" i="12"/>
  <c r="K2789" i="12"/>
  <c r="O2789" i="12"/>
  <c r="Q2789" i="12"/>
  <c r="C2790" i="12"/>
  <c r="I2790" i="12"/>
  <c r="F2790" i="12"/>
  <c r="G2790" i="12" s="1"/>
  <c r="K2790" i="12"/>
  <c r="O2790" i="12"/>
  <c r="Q2790" i="12"/>
  <c r="C2791" i="12"/>
  <c r="E2791" i="12"/>
  <c r="I2791" i="12" s="1"/>
  <c r="F2791" i="12"/>
  <c r="G2791" i="12" s="1"/>
  <c r="K2791" i="12"/>
  <c r="O2791" i="12"/>
  <c r="Q2791" i="12"/>
  <c r="C2792" i="12"/>
  <c r="E2792" i="12"/>
  <c r="I2792" i="12" s="1"/>
  <c r="F2792" i="12"/>
  <c r="G2792" i="12" s="1"/>
  <c r="K2792" i="12"/>
  <c r="O2792" i="12"/>
  <c r="Q2792" i="12"/>
  <c r="C2793" i="12"/>
  <c r="E2793" i="12"/>
  <c r="I2793" i="12" s="1"/>
  <c r="F2793" i="12"/>
  <c r="G2793" i="12" s="1"/>
  <c r="K2793" i="12"/>
  <c r="O2793" i="12"/>
  <c r="Q2793" i="12"/>
  <c r="C2794" i="12"/>
  <c r="E2794" i="12"/>
  <c r="I2794" i="12" s="1"/>
  <c r="F2794" i="12"/>
  <c r="G2794" i="12" s="1"/>
  <c r="K2794" i="12"/>
  <c r="O2794" i="12"/>
  <c r="Q2794" i="12"/>
  <c r="C2795" i="12"/>
  <c r="E2795" i="12"/>
  <c r="I2795" i="12" s="1"/>
  <c r="F2795" i="12"/>
  <c r="G2795" i="12" s="1"/>
  <c r="K2795" i="12"/>
  <c r="O2795" i="12"/>
  <c r="Q2795" i="12"/>
  <c r="C2796" i="12"/>
  <c r="E2796" i="12"/>
  <c r="I2796" i="12" s="1"/>
  <c r="F2796" i="12"/>
  <c r="G2796" i="12" s="1"/>
  <c r="K2796" i="12"/>
  <c r="O2796" i="12"/>
  <c r="Q2796" i="12"/>
  <c r="C2797" i="12"/>
  <c r="E2797" i="12"/>
  <c r="I2797" i="12" s="1"/>
  <c r="F2797" i="12"/>
  <c r="G2797" i="12" s="1"/>
  <c r="K2797" i="12"/>
  <c r="O2797" i="12"/>
  <c r="Q2797" i="12"/>
  <c r="C2798" i="12"/>
  <c r="E2798" i="12"/>
  <c r="I2798" i="12" s="1"/>
  <c r="F2798" i="12"/>
  <c r="G2798" i="12" s="1"/>
  <c r="J2798" i="12" s="1"/>
  <c r="K2798" i="12"/>
  <c r="O2798" i="12"/>
  <c r="Q2798" i="12"/>
  <c r="C2799" i="12"/>
  <c r="E2799" i="12"/>
  <c r="I2799" i="12" s="1"/>
  <c r="F2799" i="12"/>
  <c r="G2799" i="12" s="1"/>
  <c r="K2799" i="12"/>
  <c r="O2799" i="12"/>
  <c r="Q2799" i="12"/>
  <c r="C2800" i="12"/>
  <c r="E2800" i="12"/>
  <c r="I2800" i="12" s="1"/>
  <c r="F2800" i="12"/>
  <c r="G2800" i="12" s="1"/>
  <c r="K2800" i="12"/>
  <c r="O2800" i="12"/>
  <c r="Q2800" i="12"/>
  <c r="C2801" i="12"/>
  <c r="E2801" i="12"/>
  <c r="I2801" i="12" s="1"/>
  <c r="F2801" i="12"/>
  <c r="K2801" i="12"/>
  <c r="O2801" i="12"/>
  <c r="Q2801" i="12"/>
  <c r="C2802" i="12"/>
  <c r="E2802" i="12"/>
  <c r="I2802" i="12" s="1"/>
  <c r="F2802" i="12"/>
  <c r="G2802" i="12" s="1"/>
  <c r="K2802" i="12"/>
  <c r="O2802" i="12"/>
  <c r="Q2802" i="12"/>
  <c r="C2803" i="12"/>
  <c r="E2803" i="12"/>
  <c r="I2803" i="12" s="1"/>
  <c r="F2803" i="12"/>
  <c r="G2803" i="12" s="1"/>
  <c r="K2803" i="12"/>
  <c r="O2803" i="12"/>
  <c r="Q2803" i="12"/>
  <c r="C2804" i="12"/>
  <c r="E2804" i="12"/>
  <c r="I2804" i="12" s="1"/>
  <c r="F2804" i="12"/>
  <c r="G2804" i="12" s="1"/>
  <c r="K2804" i="12"/>
  <c r="O2804" i="12"/>
  <c r="Q2804" i="12"/>
  <c r="C2805" i="12"/>
  <c r="E2805" i="12"/>
  <c r="I2805" i="12" s="1"/>
  <c r="F2805" i="12"/>
  <c r="G2805" i="12" s="1"/>
  <c r="K2805" i="12"/>
  <c r="O2805" i="12"/>
  <c r="Q2805" i="12"/>
  <c r="C2806" i="12"/>
  <c r="E2806" i="12"/>
  <c r="I2806" i="12" s="1"/>
  <c r="F2806" i="12"/>
  <c r="G2806" i="12" s="1"/>
  <c r="K2806" i="12"/>
  <c r="O2806" i="12"/>
  <c r="Q2806" i="12"/>
  <c r="C2807" i="12"/>
  <c r="E2807" i="12"/>
  <c r="I2807" i="12" s="1"/>
  <c r="F2807" i="12"/>
  <c r="G2807" i="12" s="1"/>
  <c r="K2807" i="12"/>
  <c r="O2807" i="12"/>
  <c r="Q2807" i="12"/>
  <c r="C2808" i="12"/>
  <c r="E2808" i="12"/>
  <c r="I2808" i="12" s="1"/>
  <c r="F2808" i="12"/>
  <c r="G2808" i="12" s="1"/>
  <c r="K2808" i="12"/>
  <c r="O2808" i="12"/>
  <c r="Q2808" i="12"/>
  <c r="C2809" i="12"/>
  <c r="E2809" i="12"/>
  <c r="I2809" i="12" s="1"/>
  <c r="F2809" i="12"/>
  <c r="G2809" i="12" s="1"/>
  <c r="J2809" i="12" s="1"/>
  <c r="K2809" i="12"/>
  <c r="O2809" i="12"/>
  <c r="Q2809" i="12"/>
  <c r="C2810" i="12"/>
  <c r="E2810" i="12"/>
  <c r="I2810" i="12" s="1"/>
  <c r="F2810" i="12"/>
  <c r="G2810" i="12" s="1"/>
  <c r="K2810" i="12"/>
  <c r="O2810" i="12"/>
  <c r="Q2810" i="12"/>
  <c r="C2811" i="12"/>
  <c r="E2811" i="12"/>
  <c r="I2811" i="12" s="1"/>
  <c r="F2811" i="12"/>
  <c r="G2811" i="12" s="1"/>
  <c r="K2811" i="12"/>
  <c r="O2811" i="12"/>
  <c r="Q2811" i="12"/>
  <c r="C2812" i="12"/>
  <c r="E2812" i="12"/>
  <c r="I2812" i="12" s="1"/>
  <c r="F2812" i="12"/>
  <c r="G2812" i="12" s="1"/>
  <c r="K2812" i="12"/>
  <c r="O2812" i="12"/>
  <c r="Q2812" i="12"/>
  <c r="C2814" i="12"/>
  <c r="E2814" i="12"/>
  <c r="I2814" i="12" s="1"/>
  <c r="F2814" i="12"/>
  <c r="G2814" i="12" s="1"/>
  <c r="K2814" i="12"/>
  <c r="O2814" i="12"/>
  <c r="Q2814" i="12"/>
  <c r="C2815" i="12"/>
  <c r="E2815" i="12"/>
  <c r="I2815" i="12" s="1"/>
  <c r="F2815" i="12"/>
  <c r="G2815" i="12" s="1"/>
  <c r="K2815" i="12"/>
  <c r="O2815" i="12"/>
  <c r="Q2815" i="12"/>
  <c r="C2816" i="12"/>
  <c r="E2816" i="12"/>
  <c r="I2816" i="12" s="1"/>
  <c r="F2816" i="12"/>
  <c r="G2816" i="12" s="1"/>
  <c r="K2816" i="12"/>
  <c r="O2816" i="12"/>
  <c r="Q2816" i="12"/>
  <c r="C2817" i="12"/>
  <c r="E2817" i="12"/>
  <c r="I2817" i="12" s="1"/>
  <c r="F2817" i="12"/>
  <c r="G2817" i="12" s="1"/>
  <c r="K2817" i="12"/>
  <c r="O2817" i="12"/>
  <c r="Q2817" i="12"/>
  <c r="C2818" i="12"/>
  <c r="E2818" i="12"/>
  <c r="I2818" i="12" s="1"/>
  <c r="F2818" i="12"/>
  <c r="G2818" i="12" s="1"/>
  <c r="K2818" i="12"/>
  <c r="O2818" i="12"/>
  <c r="Q2818" i="12"/>
  <c r="C2819" i="12"/>
  <c r="E2819" i="12"/>
  <c r="I2819" i="12" s="1"/>
  <c r="F2819" i="12"/>
  <c r="G2819" i="12" s="1"/>
  <c r="K2819" i="12"/>
  <c r="O2819" i="12"/>
  <c r="Q2819" i="12"/>
  <c r="C2820" i="12"/>
  <c r="E2820" i="12"/>
  <c r="I2820" i="12" s="1"/>
  <c r="F2820" i="12"/>
  <c r="G2820" i="12" s="1"/>
  <c r="K2820" i="12"/>
  <c r="O2820" i="12"/>
  <c r="Q2820" i="12"/>
  <c r="C2821" i="12"/>
  <c r="E2821" i="12"/>
  <c r="I2821" i="12" s="1"/>
  <c r="F2821" i="12"/>
  <c r="G2821" i="12" s="1"/>
  <c r="K2821" i="12"/>
  <c r="O2821" i="12"/>
  <c r="Q2821" i="12"/>
  <c r="C2822" i="12"/>
  <c r="E2822" i="12"/>
  <c r="I2822" i="12" s="1"/>
  <c r="F2822" i="12"/>
  <c r="G2822" i="12" s="1"/>
  <c r="J2822" i="12" s="1"/>
  <c r="K2822" i="12"/>
  <c r="O2822" i="12"/>
  <c r="Q2822" i="12"/>
  <c r="C2823" i="12"/>
  <c r="E2823" i="12"/>
  <c r="I2823" i="12" s="1"/>
  <c r="F2823" i="12"/>
  <c r="G2823" i="12" s="1"/>
  <c r="K2823" i="12"/>
  <c r="O2823" i="12"/>
  <c r="Q2823" i="12"/>
  <c r="C2824" i="12"/>
  <c r="E2824" i="12"/>
  <c r="I2824" i="12" s="1"/>
  <c r="F2824" i="12"/>
  <c r="G2824" i="12" s="1"/>
  <c r="K2824" i="12"/>
  <c r="O2824" i="12"/>
  <c r="Q2824" i="12"/>
  <c r="C2825" i="12"/>
  <c r="E2825" i="12"/>
  <c r="I2825" i="12" s="1"/>
  <c r="F2825" i="12"/>
  <c r="G2825" i="12" s="1"/>
  <c r="K2825" i="12"/>
  <c r="O2825" i="12"/>
  <c r="Q2825" i="12"/>
  <c r="C2826" i="12"/>
  <c r="E2826" i="12"/>
  <c r="I2826" i="12" s="1"/>
  <c r="F2826" i="12"/>
  <c r="G2826" i="12" s="1"/>
  <c r="K2826" i="12"/>
  <c r="O2826" i="12"/>
  <c r="Q2826" i="12"/>
  <c r="C2827" i="12"/>
  <c r="E2827" i="12"/>
  <c r="I2827" i="12" s="1"/>
  <c r="F2827" i="12"/>
  <c r="G2827" i="12" s="1"/>
  <c r="K2827" i="12"/>
  <c r="O2827" i="12"/>
  <c r="Q2827" i="12"/>
  <c r="C2828" i="12"/>
  <c r="E2828" i="12"/>
  <c r="I2828" i="12" s="1"/>
  <c r="F2828" i="12"/>
  <c r="G2828" i="12" s="1"/>
  <c r="K2828" i="12"/>
  <c r="O2828" i="12"/>
  <c r="Q2828" i="12"/>
  <c r="C2829" i="12"/>
  <c r="E2829" i="12"/>
  <c r="I2829" i="12" s="1"/>
  <c r="F2829" i="12"/>
  <c r="G2829" i="12" s="1"/>
  <c r="K2829" i="12"/>
  <c r="O2829" i="12"/>
  <c r="Q2829" i="12"/>
  <c r="C2830" i="12"/>
  <c r="E2830" i="12"/>
  <c r="I2830" i="12" s="1"/>
  <c r="F2830" i="12"/>
  <c r="G2830" i="12" s="1"/>
  <c r="K2830" i="12"/>
  <c r="O2830" i="12"/>
  <c r="Q2830" i="12"/>
  <c r="C2831" i="12"/>
  <c r="E2831" i="12"/>
  <c r="I2831" i="12" s="1"/>
  <c r="F2831" i="12"/>
  <c r="G2831" i="12" s="1"/>
  <c r="K2831" i="12"/>
  <c r="O2831" i="12"/>
  <c r="Q2831" i="12"/>
  <c r="C2832" i="12"/>
  <c r="E2832" i="12"/>
  <c r="I2832" i="12" s="1"/>
  <c r="F2832" i="12"/>
  <c r="G2832" i="12" s="1"/>
  <c r="J2832" i="12" s="1"/>
  <c r="K2832" i="12"/>
  <c r="O2832" i="12"/>
  <c r="Q2832" i="12"/>
  <c r="C2833" i="12"/>
  <c r="E2833" i="12"/>
  <c r="I2833" i="12" s="1"/>
  <c r="F2833" i="12"/>
  <c r="G2833" i="12" s="1"/>
  <c r="K2833" i="12"/>
  <c r="O2833" i="12"/>
  <c r="Q2833" i="12"/>
  <c r="C2834" i="12"/>
  <c r="E2834" i="12"/>
  <c r="I2834" i="12" s="1"/>
  <c r="F2834" i="12"/>
  <c r="G2834" i="12" s="1"/>
  <c r="K2834" i="12"/>
  <c r="O2834" i="12"/>
  <c r="Q2834" i="12"/>
  <c r="C2837" i="12"/>
  <c r="E2837" i="12"/>
  <c r="I2837" i="12" s="1"/>
  <c r="F2837" i="12"/>
  <c r="G2837" i="12" s="1"/>
  <c r="K2837" i="12"/>
  <c r="O2837" i="12"/>
  <c r="Q2837" i="12"/>
  <c r="C2838" i="12"/>
  <c r="E2838" i="12"/>
  <c r="I2838" i="12" s="1"/>
  <c r="F2838" i="12"/>
  <c r="G2838" i="12" s="1"/>
  <c r="K2838" i="12"/>
  <c r="O2838" i="12"/>
  <c r="Q2838" i="12"/>
  <c r="C2839" i="12"/>
  <c r="E2839" i="12"/>
  <c r="I2839" i="12" s="1"/>
  <c r="F2839" i="12"/>
  <c r="G2839" i="12" s="1"/>
  <c r="K2839" i="12"/>
  <c r="O2839" i="12"/>
  <c r="Q2839" i="12"/>
  <c r="C2840" i="12"/>
  <c r="E2840" i="12"/>
  <c r="I2840" i="12" s="1"/>
  <c r="F2840" i="12"/>
  <c r="G2840" i="12" s="1"/>
  <c r="K2840" i="12"/>
  <c r="O2840" i="12"/>
  <c r="Q2840" i="12"/>
  <c r="C2841" i="12"/>
  <c r="E2841" i="12"/>
  <c r="I2841" i="12" s="1"/>
  <c r="F2841" i="12"/>
  <c r="G2841" i="12" s="1"/>
  <c r="K2841" i="12"/>
  <c r="O2841" i="12"/>
  <c r="Q2841" i="12"/>
  <c r="C2842" i="12"/>
  <c r="E2842" i="12"/>
  <c r="I2842" i="12" s="1"/>
  <c r="F2842" i="12"/>
  <c r="G2842" i="12" s="1"/>
  <c r="K2842" i="12"/>
  <c r="O2842" i="12"/>
  <c r="Q2842" i="12"/>
  <c r="C2843" i="12"/>
  <c r="E2843" i="12"/>
  <c r="I2843" i="12" s="1"/>
  <c r="F2843" i="12"/>
  <c r="G2843" i="12" s="1"/>
  <c r="K2843" i="12"/>
  <c r="O2843" i="12"/>
  <c r="Q2843" i="12"/>
  <c r="C2844" i="12"/>
  <c r="E2844" i="12"/>
  <c r="I2844" i="12" s="1"/>
  <c r="F2844" i="12"/>
  <c r="G2844" i="12" s="1"/>
  <c r="K2844" i="12"/>
  <c r="O2844" i="12"/>
  <c r="Q2844" i="12"/>
  <c r="C2835" i="12"/>
  <c r="E2835" i="12"/>
  <c r="I2835" i="12" s="1"/>
  <c r="F2835" i="12"/>
  <c r="G2835" i="12" s="1"/>
  <c r="K2835" i="12"/>
  <c r="O2835" i="12"/>
  <c r="Q2835" i="12"/>
  <c r="C2836" i="12"/>
  <c r="E2836" i="12"/>
  <c r="I2836" i="12" s="1"/>
  <c r="F2836" i="12"/>
  <c r="G2836" i="12" s="1"/>
  <c r="K2836" i="12"/>
  <c r="O2836" i="12"/>
  <c r="Q2836" i="12"/>
  <c r="C2845" i="12"/>
  <c r="E2845" i="12"/>
  <c r="I2845" i="12" s="1"/>
  <c r="F2845" i="12"/>
  <c r="G2845" i="12" s="1"/>
  <c r="K2845" i="12"/>
  <c r="O2845" i="12"/>
  <c r="Q2845" i="12"/>
  <c r="C2846" i="12"/>
  <c r="E2846" i="12"/>
  <c r="I2846" i="12" s="1"/>
  <c r="F2846" i="12"/>
  <c r="G2846" i="12" s="1"/>
  <c r="J2846" i="12" s="1"/>
  <c r="K2846" i="12"/>
  <c r="O2846" i="12"/>
  <c r="Q2846" i="12"/>
  <c r="C2847" i="12"/>
  <c r="E2847" i="12"/>
  <c r="I2847" i="12" s="1"/>
  <c r="F2847" i="12"/>
  <c r="G2847" i="12" s="1"/>
  <c r="K2847" i="12"/>
  <c r="O2847" i="12"/>
  <c r="Q2847" i="12"/>
  <c r="C2848" i="12"/>
  <c r="E2848" i="12"/>
  <c r="I2848" i="12" s="1"/>
  <c r="F2848" i="12"/>
  <c r="G2848" i="12" s="1"/>
  <c r="K2848" i="12"/>
  <c r="O2848" i="12"/>
  <c r="Q2848" i="12"/>
  <c r="C2849" i="12"/>
  <c r="E2849" i="12"/>
  <c r="I2849" i="12" s="1"/>
  <c r="F2849" i="12"/>
  <c r="G2849" i="12" s="1"/>
  <c r="K2849" i="12"/>
  <c r="O2849" i="12"/>
  <c r="Q2849" i="12"/>
  <c r="C2850" i="12"/>
  <c r="E2850" i="12"/>
  <c r="I2850" i="12" s="1"/>
  <c r="F2850" i="12"/>
  <c r="G2850" i="12" s="1"/>
  <c r="K2850" i="12"/>
  <c r="O2850" i="12"/>
  <c r="Q2850" i="12"/>
  <c r="C2851" i="12"/>
  <c r="E2851" i="12"/>
  <c r="I2851" i="12" s="1"/>
  <c r="F2851" i="12"/>
  <c r="G2851" i="12" s="1"/>
  <c r="K2851" i="12"/>
  <c r="O2851" i="12"/>
  <c r="Q2851" i="12"/>
  <c r="C2852" i="12"/>
  <c r="E2852" i="12"/>
  <c r="I2852" i="12" s="1"/>
  <c r="F2852" i="12"/>
  <c r="G2852" i="12" s="1"/>
  <c r="K2852" i="12"/>
  <c r="O2852" i="12"/>
  <c r="Q2852" i="12"/>
  <c r="C2853" i="12"/>
  <c r="E2853" i="12"/>
  <c r="I2853" i="12" s="1"/>
  <c r="F2853" i="12"/>
  <c r="G2853" i="12" s="1"/>
  <c r="K2853" i="12"/>
  <c r="O2853" i="12"/>
  <c r="Q2853" i="12"/>
  <c r="C2854" i="12"/>
  <c r="E2854" i="12"/>
  <c r="I2854" i="12" s="1"/>
  <c r="F2854" i="12"/>
  <c r="G2854" i="12" s="1"/>
  <c r="K2854" i="12"/>
  <c r="O2854" i="12"/>
  <c r="Q2854" i="12"/>
  <c r="C2855" i="12"/>
  <c r="E2855" i="12"/>
  <c r="I2855" i="12" s="1"/>
  <c r="F2855" i="12"/>
  <c r="G2855" i="12" s="1"/>
  <c r="K2855" i="12"/>
  <c r="O2855" i="12"/>
  <c r="Q2855" i="12"/>
  <c r="C2856" i="12"/>
  <c r="E2856" i="12"/>
  <c r="I2856" i="12" s="1"/>
  <c r="F2856" i="12"/>
  <c r="G2856" i="12" s="1"/>
  <c r="J2856" i="12" s="1"/>
  <c r="K2856" i="12"/>
  <c r="O2856" i="12"/>
  <c r="Q2856" i="12"/>
  <c r="C2857" i="12"/>
  <c r="E2857" i="12"/>
  <c r="I2857" i="12" s="1"/>
  <c r="F2857" i="12"/>
  <c r="G2857" i="12" s="1"/>
  <c r="K2857" i="12"/>
  <c r="O2857" i="12"/>
  <c r="Q2857" i="12"/>
  <c r="C2858" i="12"/>
  <c r="E2858" i="12"/>
  <c r="I2858" i="12" s="1"/>
  <c r="F2858" i="12"/>
  <c r="G2858" i="12" s="1"/>
  <c r="K2858" i="12"/>
  <c r="O2858" i="12"/>
  <c r="Q2858" i="12"/>
  <c r="C2859" i="12"/>
  <c r="E2859" i="12"/>
  <c r="I2859" i="12" s="1"/>
  <c r="F2859" i="12"/>
  <c r="G2859" i="12" s="1"/>
  <c r="K2859" i="12"/>
  <c r="O2859" i="12"/>
  <c r="Q2859" i="12"/>
  <c r="C2860" i="12"/>
  <c r="E2860" i="12"/>
  <c r="I2860" i="12" s="1"/>
  <c r="F2860" i="12"/>
  <c r="G2860" i="12" s="1"/>
  <c r="K2860" i="12"/>
  <c r="O2860" i="12"/>
  <c r="Q2860" i="12"/>
  <c r="C2861" i="12"/>
  <c r="E2861" i="12"/>
  <c r="I2861" i="12" s="1"/>
  <c r="F2861" i="12"/>
  <c r="G2861" i="12" s="1"/>
  <c r="K2861" i="12"/>
  <c r="O2861" i="12"/>
  <c r="Q2861" i="12"/>
  <c r="C2862" i="12"/>
  <c r="E2862" i="12"/>
  <c r="I2862" i="12" s="1"/>
  <c r="F2862" i="12"/>
  <c r="G2862" i="12" s="1"/>
  <c r="K2862" i="12"/>
  <c r="O2862" i="12"/>
  <c r="Q2862" i="12"/>
  <c r="C2863" i="12"/>
  <c r="E2863" i="12"/>
  <c r="I2863" i="12" s="1"/>
  <c r="F2863" i="12"/>
  <c r="G2863" i="12" s="1"/>
  <c r="K2863" i="12"/>
  <c r="O2863" i="12"/>
  <c r="Q2863" i="12"/>
  <c r="C2864" i="12"/>
  <c r="E2864" i="12"/>
  <c r="I2864" i="12" s="1"/>
  <c r="F2864" i="12"/>
  <c r="G2864" i="12" s="1"/>
  <c r="K2864" i="12"/>
  <c r="O2864" i="12"/>
  <c r="Q2864" i="12"/>
  <c r="C2865" i="12"/>
  <c r="E2865" i="12"/>
  <c r="I2865" i="12" s="1"/>
  <c r="F2865" i="12"/>
  <c r="G2865" i="12" s="1"/>
  <c r="K2865" i="12"/>
  <c r="O2865" i="12"/>
  <c r="Q2865" i="12"/>
  <c r="C2866" i="12"/>
  <c r="E2866" i="12"/>
  <c r="I2866" i="12" s="1"/>
  <c r="F2866" i="12"/>
  <c r="G2866" i="12" s="1"/>
  <c r="J2866" i="12" s="1"/>
  <c r="K2866" i="12"/>
  <c r="O2866" i="12"/>
  <c r="Q2866" i="12"/>
  <c r="C2867" i="12"/>
  <c r="E2867" i="12"/>
  <c r="I2867" i="12" s="1"/>
  <c r="F2867" i="12"/>
  <c r="G2867" i="12" s="1"/>
  <c r="K2867" i="12"/>
  <c r="O2867" i="12"/>
  <c r="Q2867" i="12"/>
  <c r="C2868" i="12"/>
  <c r="E2868" i="12"/>
  <c r="I2868" i="12" s="1"/>
  <c r="F2868" i="12"/>
  <c r="G2868" i="12" s="1"/>
  <c r="K2868" i="12"/>
  <c r="O2868" i="12"/>
  <c r="Q2868" i="12"/>
  <c r="C2869" i="12"/>
  <c r="E2869" i="12"/>
  <c r="I2869" i="12" s="1"/>
  <c r="F2869" i="12"/>
  <c r="G2869" i="12" s="1"/>
  <c r="K2869" i="12"/>
  <c r="O2869" i="12"/>
  <c r="Q2869" i="12"/>
  <c r="C2870" i="12"/>
  <c r="E2870" i="12"/>
  <c r="I2870" i="12" s="1"/>
  <c r="F2870" i="12"/>
  <c r="G2870" i="12" s="1"/>
  <c r="K2870" i="12"/>
  <c r="O2870" i="12"/>
  <c r="Q2870" i="12"/>
  <c r="C2871" i="12"/>
  <c r="E2871" i="12"/>
  <c r="I2871" i="12" s="1"/>
  <c r="F2871" i="12"/>
  <c r="G2871" i="12" s="1"/>
  <c r="K2871" i="12"/>
  <c r="O2871" i="12"/>
  <c r="Q2871" i="12"/>
  <c r="C2872" i="12"/>
  <c r="E2872" i="12"/>
  <c r="I2872" i="12" s="1"/>
  <c r="F2872" i="12"/>
  <c r="G2872" i="12" s="1"/>
  <c r="K2872" i="12"/>
  <c r="O2872" i="12"/>
  <c r="Q2872" i="12"/>
  <c r="C2873" i="12"/>
  <c r="E2873" i="12"/>
  <c r="I2873" i="12" s="1"/>
  <c r="F2873" i="12"/>
  <c r="G2873" i="12" s="1"/>
  <c r="K2873" i="12"/>
  <c r="O2873" i="12"/>
  <c r="Q2873" i="12"/>
  <c r="C2874" i="12"/>
  <c r="E2874" i="12"/>
  <c r="I2874" i="12" s="1"/>
  <c r="F2874" i="12"/>
  <c r="G2874" i="12" s="1"/>
  <c r="K2874" i="12"/>
  <c r="O2874" i="12"/>
  <c r="Q2874" i="12"/>
  <c r="C2875" i="12"/>
  <c r="E2875" i="12"/>
  <c r="I2875" i="12" s="1"/>
  <c r="F2875" i="12"/>
  <c r="G2875" i="12" s="1"/>
  <c r="K2875" i="12"/>
  <c r="O2875" i="12"/>
  <c r="Q2875" i="12"/>
  <c r="C2876" i="12"/>
  <c r="E2876" i="12"/>
  <c r="I2876" i="12" s="1"/>
  <c r="F2876" i="12"/>
  <c r="G2876" i="12" s="1"/>
  <c r="K2876" i="12"/>
  <c r="O2876" i="12"/>
  <c r="Q2876" i="12"/>
  <c r="C2877" i="12"/>
  <c r="E2877" i="12"/>
  <c r="I2877" i="12" s="1"/>
  <c r="F2877" i="12"/>
  <c r="G2877" i="12" s="1"/>
  <c r="K2877" i="12"/>
  <c r="O2877" i="12"/>
  <c r="Q2877" i="12"/>
  <c r="C2878" i="12"/>
  <c r="E2878" i="12"/>
  <c r="I2878" i="12" s="1"/>
  <c r="F2878" i="12"/>
  <c r="G2878" i="12" s="1"/>
  <c r="K2878" i="12"/>
  <c r="O2878" i="12"/>
  <c r="Q2878" i="12"/>
  <c r="C2879" i="12"/>
  <c r="E2879" i="12"/>
  <c r="I2879" i="12" s="1"/>
  <c r="F2879" i="12"/>
  <c r="G2879" i="12" s="1"/>
  <c r="K2879" i="12"/>
  <c r="O2879" i="12"/>
  <c r="Q2879" i="12"/>
  <c r="C2882" i="12"/>
  <c r="E2882" i="12"/>
  <c r="I2882" i="12" s="1"/>
  <c r="F2882" i="12"/>
  <c r="G2882" i="12" s="1"/>
  <c r="K2882" i="12"/>
  <c r="O2882" i="12"/>
  <c r="Q2882" i="12"/>
  <c r="C2883" i="12"/>
  <c r="E2883" i="12"/>
  <c r="I2883" i="12" s="1"/>
  <c r="F2883" i="12"/>
  <c r="G2883" i="12" s="1"/>
  <c r="K2883" i="12"/>
  <c r="O2883" i="12"/>
  <c r="Q2883" i="12"/>
  <c r="C2884" i="12"/>
  <c r="E2884" i="12"/>
  <c r="I2884" i="12" s="1"/>
  <c r="F2884" i="12"/>
  <c r="G2884" i="12" s="1"/>
  <c r="K2884" i="12"/>
  <c r="O2884" i="12"/>
  <c r="Q2884" i="12"/>
  <c r="C2885" i="12"/>
  <c r="E2885" i="12"/>
  <c r="I2885" i="12" s="1"/>
  <c r="F2885" i="12"/>
  <c r="G2885" i="12" s="1"/>
  <c r="K2885" i="12"/>
  <c r="O2885" i="12"/>
  <c r="Q2885" i="12"/>
  <c r="C2886" i="12"/>
  <c r="E2886" i="12"/>
  <c r="I2886" i="12" s="1"/>
  <c r="F2886" i="12"/>
  <c r="G2886" i="12" s="1"/>
  <c r="K2886" i="12"/>
  <c r="O2886" i="12"/>
  <c r="Q2886" i="12"/>
  <c r="C2887" i="12"/>
  <c r="E2887" i="12"/>
  <c r="I2887" i="12" s="1"/>
  <c r="F2887" i="12"/>
  <c r="G2887" i="12" s="1"/>
  <c r="K2887" i="12"/>
  <c r="O2887" i="12"/>
  <c r="Q2887" i="12"/>
  <c r="C2888" i="12"/>
  <c r="E2888" i="12"/>
  <c r="I2888" i="12" s="1"/>
  <c r="F2888" i="12"/>
  <c r="G2888" i="12" s="1"/>
  <c r="K2888" i="12"/>
  <c r="O2888" i="12"/>
  <c r="Q2888" i="12"/>
  <c r="C2889" i="12"/>
  <c r="E2889" i="12"/>
  <c r="I2889" i="12" s="1"/>
  <c r="F2889" i="12"/>
  <c r="G2889" i="12" s="1"/>
  <c r="K2889" i="12"/>
  <c r="O2889" i="12"/>
  <c r="Q2889" i="12"/>
  <c r="C2890" i="12"/>
  <c r="E2890" i="12"/>
  <c r="I2890" i="12" s="1"/>
  <c r="F2890" i="12"/>
  <c r="G2890" i="12" s="1"/>
  <c r="L2890" i="12" s="1"/>
  <c r="K2890" i="12"/>
  <c r="O2890" i="12"/>
  <c r="Q2890" i="12"/>
  <c r="C2891" i="12"/>
  <c r="E2891" i="12"/>
  <c r="I2891" i="12" s="1"/>
  <c r="F2891" i="12"/>
  <c r="G2891" i="12" s="1"/>
  <c r="K2891" i="12"/>
  <c r="O2891" i="12"/>
  <c r="Q2891" i="12"/>
  <c r="C2892" i="12"/>
  <c r="E2892" i="12"/>
  <c r="I2892" i="12" s="1"/>
  <c r="F2892" i="12"/>
  <c r="G2892" i="12" s="1"/>
  <c r="K2892" i="12"/>
  <c r="O2892" i="12"/>
  <c r="Q2892" i="12"/>
  <c r="C2893" i="12"/>
  <c r="E2893" i="12"/>
  <c r="I2893" i="12" s="1"/>
  <c r="F2893" i="12"/>
  <c r="G2893" i="12" s="1"/>
  <c r="K2893" i="12"/>
  <c r="O2893" i="12"/>
  <c r="Q2893" i="12"/>
  <c r="C2894" i="12"/>
  <c r="E2894" i="12"/>
  <c r="I2894" i="12" s="1"/>
  <c r="F2894" i="12"/>
  <c r="G2894" i="12" s="1"/>
  <c r="K2894" i="12"/>
  <c r="O2894" i="12"/>
  <c r="Q2894" i="12"/>
  <c r="C2895" i="12"/>
  <c r="E2895" i="12"/>
  <c r="I2895" i="12" s="1"/>
  <c r="F2895" i="12"/>
  <c r="G2895" i="12" s="1"/>
  <c r="K2895" i="12"/>
  <c r="O2895" i="12"/>
  <c r="Q2895" i="12"/>
  <c r="C2896" i="12"/>
  <c r="E2896" i="12"/>
  <c r="I2896" i="12" s="1"/>
  <c r="F2896" i="12"/>
  <c r="G2896" i="12" s="1"/>
  <c r="K2896" i="12"/>
  <c r="O2896" i="12"/>
  <c r="Q2896" i="12"/>
  <c r="C2880" i="12"/>
  <c r="E2880" i="12"/>
  <c r="I2880" i="12" s="1"/>
  <c r="F2880" i="12"/>
  <c r="G2880" i="12" s="1"/>
  <c r="K2880" i="12"/>
  <c r="O2880" i="12"/>
  <c r="Q2880" i="12"/>
  <c r="C2881" i="12"/>
  <c r="E2881" i="12"/>
  <c r="I2881" i="12" s="1"/>
  <c r="F2881" i="12"/>
  <c r="G2881" i="12" s="1"/>
  <c r="K2881" i="12"/>
  <c r="O2881" i="12"/>
  <c r="Q2881" i="12"/>
  <c r="C2897" i="12"/>
  <c r="E2897" i="12"/>
  <c r="I2897" i="12" s="1"/>
  <c r="F2897" i="12"/>
  <c r="G2897" i="12" s="1"/>
  <c r="J2897" i="12" s="1"/>
  <c r="K2897" i="12"/>
  <c r="O2897" i="12"/>
  <c r="Q2897" i="12"/>
  <c r="C2898" i="12"/>
  <c r="E2898" i="12"/>
  <c r="I2898" i="12" s="1"/>
  <c r="F2898" i="12"/>
  <c r="G2898" i="12" s="1"/>
  <c r="K2898" i="12"/>
  <c r="O2898" i="12"/>
  <c r="Q2898" i="12"/>
  <c r="C2899" i="12"/>
  <c r="E2899" i="12"/>
  <c r="I2899" i="12" s="1"/>
  <c r="F2899" i="12"/>
  <c r="G2899" i="12" s="1"/>
  <c r="K2899" i="12"/>
  <c r="O2899" i="12"/>
  <c r="Q2899" i="12"/>
  <c r="C2900" i="12"/>
  <c r="E2900" i="12"/>
  <c r="I2900" i="12" s="1"/>
  <c r="F2900" i="12"/>
  <c r="G2900" i="12" s="1"/>
  <c r="J2900" i="12" s="1"/>
  <c r="K2900" i="12"/>
  <c r="O2900" i="12"/>
  <c r="Q2900" i="12"/>
  <c r="C2901" i="12"/>
  <c r="E2901" i="12"/>
  <c r="I2901" i="12" s="1"/>
  <c r="F2901" i="12"/>
  <c r="G2901" i="12" s="1"/>
  <c r="J2901" i="12" s="1"/>
  <c r="K2901" i="12"/>
  <c r="O2901" i="12"/>
  <c r="Q2901" i="12"/>
  <c r="C2902" i="12"/>
  <c r="E2902" i="12"/>
  <c r="I2902" i="12" s="1"/>
  <c r="F2902" i="12"/>
  <c r="G2902" i="12" s="1"/>
  <c r="K2902" i="12"/>
  <c r="O2902" i="12"/>
  <c r="Q2902" i="12"/>
  <c r="C2903" i="12"/>
  <c r="E2903" i="12"/>
  <c r="I2903" i="12" s="1"/>
  <c r="F2903" i="12"/>
  <c r="G2903" i="12" s="1"/>
  <c r="J2903" i="12" s="1"/>
  <c r="K2903" i="12"/>
  <c r="O2903" i="12"/>
  <c r="Q2903" i="12"/>
  <c r="C2904" i="12"/>
  <c r="E2904" i="12"/>
  <c r="I2904" i="12" s="1"/>
  <c r="F2904" i="12"/>
  <c r="G2904" i="12" s="1"/>
  <c r="K2904" i="12"/>
  <c r="O2904" i="12"/>
  <c r="Q2904" i="12"/>
  <c r="C2905" i="12"/>
  <c r="E2905" i="12"/>
  <c r="I2905" i="12" s="1"/>
  <c r="F2905" i="12"/>
  <c r="G2905" i="12" s="1"/>
  <c r="K2905" i="12"/>
  <c r="O2905" i="12"/>
  <c r="Q2905" i="12"/>
  <c r="C2906" i="12"/>
  <c r="E2906" i="12"/>
  <c r="I2906" i="12" s="1"/>
  <c r="F2906" i="12"/>
  <c r="G2906" i="12" s="1"/>
  <c r="J2906" i="12" s="1"/>
  <c r="K2906" i="12"/>
  <c r="O2906" i="12"/>
  <c r="Q2906" i="12"/>
  <c r="C2907" i="12"/>
  <c r="E2907" i="12"/>
  <c r="I2907" i="12" s="1"/>
  <c r="F2907" i="12"/>
  <c r="G2907" i="12" s="1"/>
  <c r="K2907" i="12"/>
  <c r="O2907" i="12"/>
  <c r="Q2907" i="12"/>
  <c r="C2908" i="12"/>
  <c r="E2908" i="12"/>
  <c r="I2908" i="12" s="1"/>
  <c r="F2908" i="12"/>
  <c r="G2908" i="12" s="1"/>
  <c r="K2908" i="12"/>
  <c r="O2908" i="12"/>
  <c r="Q2908" i="12"/>
  <c r="C2909" i="12"/>
  <c r="E2909" i="12"/>
  <c r="I2909" i="12" s="1"/>
  <c r="F2909" i="12"/>
  <c r="G2909" i="12" s="1"/>
  <c r="J2909" i="12" s="1"/>
  <c r="K2909" i="12"/>
  <c r="O2909" i="12"/>
  <c r="Q2909" i="12"/>
  <c r="C2910" i="12"/>
  <c r="E2910" i="12"/>
  <c r="I2910" i="12" s="1"/>
  <c r="F2910" i="12"/>
  <c r="G2910" i="12" s="1"/>
  <c r="K2910" i="12"/>
  <c r="O2910" i="12"/>
  <c r="Q2910" i="12"/>
  <c r="C2911" i="12"/>
  <c r="E2911" i="12"/>
  <c r="I2911" i="12" s="1"/>
  <c r="F2911" i="12"/>
  <c r="G2911" i="12" s="1"/>
  <c r="K2911" i="12"/>
  <c r="O2911" i="12"/>
  <c r="Q2911" i="12"/>
  <c r="C2912" i="12"/>
  <c r="E2912" i="12"/>
  <c r="I2912" i="12" s="1"/>
  <c r="F2912" i="12"/>
  <c r="G2912" i="12" s="1"/>
  <c r="J2912" i="12" s="1"/>
  <c r="K2912" i="12"/>
  <c r="O2912" i="12"/>
  <c r="Q2912" i="12"/>
  <c r="C2913" i="12"/>
  <c r="E2913" i="12"/>
  <c r="I2913" i="12" s="1"/>
  <c r="F2913" i="12"/>
  <c r="G2913" i="12" s="1"/>
  <c r="K2913" i="12"/>
  <c r="O2913" i="12"/>
  <c r="Q2913" i="12"/>
  <c r="C2914" i="12"/>
  <c r="E2914" i="12"/>
  <c r="I2914" i="12" s="1"/>
  <c r="F2914" i="12"/>
  <c r="G2914" i="12" s="1"/>
  <c r="K2914" i="12"/>
  <c r="O2914" i="12"/>
  <c r="Q2914" i="12"/>
  <c r="C2915" i="12"/>
  <c r="E2915" i="12"/>
  <c r="I2915" i="12" s="1"/>
  <c r="F2915" i="12"/>
  <c r="G2915" i="12" s="1"/>
  <c r="J2915" i="12" s="1"/>
  <c r="K2915" i="12"/>
  <c r="O2915" i="12"/>
  <c r="Q2915" i="12"/>
  <c r="C2916" i="12"/>
  <c r="E2916" i="12"/>
  <c r="I2916" i="12" s="1"/>
  <c r="F2916" i="12"/>
  <c r="G2916" i="12" s="1"/>
  <c r="K2916" i="12"/>
  <c r="O2916" i="12"/>
  <c r="Q2916" i="12"/>
  <c r="C2917" i="12"/>
  <c r="E2917" i="12"/>
  <c r="I2917" i="12" s="1"/>
  <c r="F2917" i="12"/>
  <c r="G2917" i="12" s="1"/>
  <c r="K2917" i="12"/>
  <c r="O2917" i="12"/>
  <c r="Q2917" i="12"/>
  <c r="C2918" i="12"/>
  <c r="E2918" i="12"/>
  <c r="I2918" i="12" s="1"/>
  <c r="F2918" i="12"/>
  <c r="G2918" i="12" s="1"/>
  <c r="K2918" i="12"/>
  <c r="O2918" i="12"/>
  <c r="Q2918" i="12"/>
  <c r="C2919" i="12"/>
  <c r="E2919" i="12"/>
  <c r="I2919" i="12" s="1"/>
  <c r="F2919" i="12"/>
  <c r="G2919" i="12" s="1"/>
  <c r="K2919" i="12"/>
  <c r="O2919" i="12"/>
  <c r="Q2919" i="12"/>
  <c r="C2920" i="12"/>
  <c r="E2920" i="12"/>
  <c r="I2920" i="12" s="1"/>
  <c r="F2920" i="12"/>
  <c r="G2920" i="12" s="1"/>
  <c r="K2920" i="12"/>
  <c r="O2920" i="12"/>
  <c r="Q2920" i="12"/>
  <c r="C2921" i="12"/>
  <c r="E2921" i="12"/>
  <c r="I2921" i="12" s="1"/>
  <c r="F2921" i="12"/>
  <c r="G2921" i="12" s="1"/>
  <c r="K2921" i="12"/>
  <c r="O2921" i="12"/>
  <c r="Q2921" i="12"/>
  <c r="C2922" i="12"/>
  <c r="E2922" i="12"/>
  <c r="I2922" i="12" s="1"/>
  <c r="F2922" i="12"/>
  <c r="G2922" i="12" s="1"/>
  <c r="K2922" i="12"/>
  <c r="O2922" i="12"/>
  <c r="Q2922" i="12"/>
  <c r="C2923" i="12"/>
  <c r="E2923" i="12"/>
  <c r="I2923" i="12" s="1"/>
  <c r="F2923" i="12"/>
  <c r="G2923" i="12" s="1"/>
  <c r="K2923" i="12"/>
  <c r="O2923" i="12"/>
  <c r="Q2923" i="12"/>
  <c r="C2924" i="12"/>
  <c r="E2924" i="12"/>
  <c r="I2924" i="12" s="1"/>
  <c r="F2924" i="12"/>
  <c r="G2924" i="12" s="1"/>
  <c r="K2924" i="12"/>
  <c r="O2924" i="12"/>
  <c r="Q2924" i="12"/>
  <c r="C2925" i="12"/>
  <c r="E2925" i="12"/>
  <c r="I2925" i="12" s="1"/>
  <c r="F2925" i="12"/>
  <c r="G2925" i="12" s="1"/>
  <c r="K2925" i="12"/>
  <c r="O2925" i="12"/>
  <c r="Q2925" i="12"/>
  <c r="C2926" i="12"/>
  <c r="E2926" i="12"/>
  <c r="I2926" i="12" s="1"/>
  <c r="F2926" i="12"/>
  <c r="G2926" i="12" s="1"/>
  <c r="K2926" i="12"/>
  <c r="O2926" i="12"/>
  <c r="Q2926" i="12"/>
  <c r="C2927" i="12"/>
  <c r="E2927" i="12"/>
  <c r="I2927" i="12" s="1"/>
  <c r="F2927" i="12"/>
  <c r="G2927" i="12" s="1"/>
  <c r="K2927" i="12"/>
  <c r="O2927" i="12"/>
  <c r="Q2927" i="12"/>
  <c r="C2928" i="12"/>
  <c r="E2928" i="12"/>
  <c r="I2928" i="12" s="1"/>
  <c r="F2928" i="12"/>
  <c r="G2928" i="12" s="1"/>
  <c r="K2928" i="12"/>
  <c r="C2929" i="12"/>
  <c r="E2929" i="12"/>
  <c r="I2929" i="12" s="1"/>
  <c r="F2929" i="12"/>
  <c r="G2929" i="12" s="1"/>
  <c r="K2929" i="12"/>
  <c r="O2929" i="12"/>
  <c r="Q2929" i="12"/>
  <c r="C2930" i="12"/>
  <c r="E2930" i="12"/>
  <c r="I2930" i="12" s="1"/>
  <c r="F2930" i="12"/>
  <c r="G2930" i="12" s="1"/>
  <c r="K2930" i="12"/>
  <c r="O2930" i="12"/>
  <c r="Q2930" i="12"/>
  <c r="C2931" i="12"/>
  <c r="E2931" i="12"/>
  <c r="I2931" i="12" s="1"/>
  <c r="F2931" i="12"/>
  <c r="G2931" i="12" s="1"/>
  <c r="K2931" i="12"/>
  <c r="O2931" i="12"/>
  <c r="Q2931" i="12"/>
  <c r="C2932" i="12"/>
  <c r="E2932" i="12"/>
  <c r="I2932" i="12" s="1"/>
  <c r="F2932" i="12"/>
  <c r="G2932" i="12" s="1"/>
  <c r="K2932" i="12"/>
  <c r="O2932" i="12"/>
  <c r="Q2932" i="12"/>
  <c r="C2935" i="12"/>
  <c r="E2935" i="12"/>
  <c r="I2935" i="12" s="1"/>
  <c r="F2935" i="12"/>
  <c r="G2935" i="12" s="1"/>
  <c r="K2935" i="12"/>
  <c r="O2935" i="12"/>
  <c r="Q2935" i="12"/>
  <c r="C2936" i="12"/>
  <c r="E2936" i="12"/>
  <c r="I2936" i="12" s="1"/>
  <c r="F2936" i="12"/>
  <c r="G2936" i="12" s="1"/>
  <c r="K2936" i="12"/>
  <c r="O2936" i="12"/>
  <c r="Q2936" i="12"/>
  <c r="C2937" i="12"/>
  <c r="E2937" i="12"/>
  <c r="I2937" i="12" s="1"/>
  <c r="F2937" i="12"/>
  <c r="G2937" i="12" s="1"/>
  <c r="K2937" i="12"/>
  <c r="O2937" i="12"/>
  <c r="Q2937" i="12"/>
  <c r="C2938" i="12"/>
  <c r="E2938" i="12"/>
  <c r="I2938" i="12" s="1"/>
  <c r="F2938" i="12"/>
  <c r="G2938" i="12" s="1"/>
  <c r="K2938" i="12"/>
  <c r="O2938" i="12"/>
  <c r="Q2938" i="12"/>
  <c r="C2939" i="12"/>
  <c r="E2939" i="12"/>
  <c r="I2939" i="12" s="1"/>
  <c r="F2939" i="12"/>
  <c r="G2939" i="12" s="1"/>
  <c r="K2939" i="12"/>
  <c r="O2939" i="12"/>
  <c r="Q2939" i="12"/>
  <c r="C2940" i="12"/>
  <c r="E2940" i="12"/>
  <c r="I2940" i="12" s="1"/>
  <c r="F2940" i="12"/>
  <c r="G2940" i="12" s="1"/>
  <c r="K2940" i="12"/>
  <c r="O2940" i="12"/>
  <c r="Q2940" i="12"/>
  <c r="C2942" i="12"/>
  <c r="E2942" i="12"/>
  <c r="I2942" i="12" s="1"/>
  <c r="F2942" i="12"/>
  <c r="G2942" i="12" s="1"/>
  <c r="K2942" i="12"/>
  <c r="O2942" i="12"/>
  <c r="Q2942" i="12"/>
  <c r="C2941" i="12"/>
  <c r="E2941" i="12"/>
  <c r="I2941" i="12" s="1"/>
  <c r="F2941" i="12"/>
  <c r="G2941" i="12" s="1"/>
  <c r="K2941" i="12"/>
  <c r="O2941" i="12"/>
  <c r="Q2941" i="12"/>
  <c r="C2943" i="12"/>
  <c r="E2943" i="12"/>
  <c r="I2943" i="12" s="1"/>
  <c r="F2943" i="12"/>
  <c r="G2943" i="12" s="1"/>
  <c r="K2943" i="12"/>
  <c r="O2943" i="12"/>
  <c r="Q2943" i="12"/>
  <c r="C2944" i="12"/>
  <c r="E2944" i="12"/>
  <c r="I2944" i="12" s="1"/>
  <c r="F2944" i="12"/>
  <c r="G2944" i="12" s="1"/>
  <c r="K2944" i="12"/>
  <c r="O2944" i="12"/>
  <c r="Q2944" i="12"/>
  <c r="C2945" i="12"/>
  <c r="E2945" i="12"/>
  <c r="I2945" i="12" s="1"/>
  <c r="F2945" i="12"/>
  <c r="G2945" i="12" s="1"/>
  <c r="K2945" i="12"/>
  <c r="O2945" i="12"/>
  <c r="Q2945" i="12"/>
  <c r="C2946" i="12"/>
  <c r="E2946" i="12"/>
  <c r="I2946" i="12" s="1"/>
  <c r="F2946" i="12"/>
  <c r="G2946" i="12" s="1"/>
  <c r="K2946" i="12"/>
  <c r="O2946" i="12"/>
  <c r="Q2946" i="12"/>
  <c r="C2947" i="12"/>
  <c r="E2947" i="12"/>
  <c r="I2947" i="12" s="1"/>
  <c r="F2947" i="12"/>
  <c r="G2947" i="12" s="1"/>
  <c r="K2947" i="12"/>
  <c r="O2947" i="12"/>
  <c r="Q2947" i="12"/>
  <c r="C2948" i="12"/>
  <c r="E2948" i="12"/>
  <c r="I2948" i="12" s="1"/>
  <c r="F2948" i="12"/>
  <c r="G2948" i="12" s="1"/>
  <c r="K2948" i="12"/>
  <c r="O2948" i="12"/>
  <c r="Q2948" i="12"/>
  <c r="C2949" i="12"/>
  <c r="E2949" i="12"/>
  <c r="I2949" i="12" s="1"/>
  <c r="F2949" i="12"/>
  <c r="G2949" i="12" s="1"/>
  <c r="K2949" i="12"/>
  <c r="O2949" i="12"/>
  <c r="Q2949" i="12"/>
  <c r="C2950" i="12"/>
  <c r="E2950" i="12"/>
  <c r="I2950" i="12" s="1"/>
  <c r="F2950" i="12"/>
  <c r="G2950" i="12" s="1"/>
  <c r="K2950" i="12"/>
  <c r="O2950" i="12"/>
  <c r="Q2950" i="12"/>
  <c r="C2951" i="12"/>
  <c r="E2951" i="12"/>
  <c r="I2951" i="12" s="1"/>
  <c r="F2951" i="12"/>
  <c r="G2951" i="12" s="1"/>
  <c r="K2951" i="12"/>
  <c r="O2951" i="12"/>
  <c r="Q2951" i="12"/>
  <c r="C2952" i="12"/>
  <c r="E2952" i="12"/>
  <c r="I2952" i="12" s="1"/>
  <c r="F2952" i="12"/>
  <c r="G2952" i="12" s="1"/>
  <c r="J2952" i="12" s="1"/>
  <c r="K2952" i="12"/>
  <c r="O2952" i="12"/>
  <c r="Q2952" i="12"/>
  <c r="C2953" i="12"/>
  <c r="E2953" i="12"/>
  <c r="I2953" i="12" s="1"/>
  <c r="F2953" i="12"/>
  <c r="G2953" i="12" s="1"/>
  <c r="K2953" i="12"/>
  <c r="O2953" i="12"/>
  <c r="Q2953" i="12"/>
  <c r="C2954" i="12"/>
  <c r="E2954" i="12"/>
  <c r="I2954" i="12" s="1"/>
  <c r="F2954" i="12"/>
  <c r="G2954" i="12" s="1"/>
  <c r="K2954" i="12"/>
  <c r="O2954" i="12"/>
  <c r="Q2954" i="12"/>
  <c r="C2955" i="12"/>
  <c r="E2955" i="12"/>
  <c r="I2955" i="12" s="1"/>
  <c r="F2955" i="12"/>
  <c r="G2955" i="12" s="1"/>
  <c r="K2955" i="12"/>
  <c r="O2955" i="12"/>
  <c r="Q2955" i="12"/>
  <c r="C2956" i="12"/>
  <c r="E2956" i="12"/>
  <c r="I2956" i="12" s="1"/>
  <c r="F2956" i="12"/>
  <c r="G2956" i="12" s="1"/>
  <c r="K2956" i="12"/>
  <c r="O2956" i="12"/>
  <c r="Q2956" i="12"/>
  <c r="C2957" i="12"/>
  <c r="E2957" i="12"/>
  <c r="I2957" i="12" s="1"/>
  <c r="F2957" i="12"/>
  <c r="G2957" i="12" s="1"/>
  <c r="J2957" i="12" s="1"/>
  <c r="K2957" i="12"/>
  <c r="O2957" i="12"/>
  <c r="Q2957" i="12"/>
  <c r="C2958" i="12"/>
  <c r="E2958" i="12"/>
  <c r="I2958" i="12" s="1"/>
  <c r="F2958" i="12"/>
  <c r="G2958" i="12" s="1"/>
  <c r="K2958" i="12"/>
  <c r="O2958" i="12"/>
  <c r="Q2958" i="12"/>
  <c r="C2959" i="12"/>
  <c r="E2959" i="12"/>
  <c r="I2959" i="12" s="1"/>
  <c r="F2959" i="12"/>
  <c r="G2959" i="12" s="1"/>
  <c r="K2959" i="12"/>
  <c r="O2959" i="12"/>
  <c r="Q2959" i="12"/>
  <c r="C2960" i="12"/>
  <c r="E2960" i="12"/>
  <c r="I2960" i="12" s="1"/>
  <c r="F2960" i="12"/>
  <c r="G2960" i="12" s="1"/>
  <c r="K2960" i="12"/>
  <c r="O2960" i="12"/>
  <c r="Q2960" i="12"/>
  <c r="C2961" i="12"/>
  <c r="E2961" i="12"/>
  <c r="I2961" i="12" s="1"/>
  <c r="F2961" i="12"/>
  <c r="G2961" i="12" s="1"/>
  <c r="J2961" i="12" s="1"/>
  <c r="K2961" i="12"/>
  <c r="O2961" i="12"/>
  <c r="Q2961" i="12"/>
  <c r="C2962" i="12"/>
  <c r="E2962" i="12"/>
  <c r="I2962" i="12" s="1"/>
  <c r="F2962" i="12"/>
  <c r="G2962" i="12" s="1"/>
  <c r="K2962" i="12"/>
  <c r="O2962" i="12"/>
  <c r="Q2962" i="12"/>
  <c r="C2933" i="12"/>
  <c r="E2933" i="12"/>
  <c r="I2933" i="12" s="1"/>
  <c r="F2933" i="12"/>
  <c r="G2933" i="12" s="1"/>
  <c r="K2933" i="12"/>
  <c r="O2933" i="12"/>
  <c r="Q2933" i="12"/>
  <c r="C2934" i="12"/>
  <c r="E2934" i="12"/>
  <c r="I2934" i="12" s="1"/>
  <c r="F2934" i="12"/>
  <c r="G2934" i="12" s="1"/>
  <c r="K2934" i="12"/>
  <c r="O2934" i="12"/>
  <c r="Q2934" i="12"/>
  <c r="C2963" i="12"/>
  <c r="E2963" i="12"/>
  <c r="I2963" i="12" s="1"/>
  <c r="F2963" i="12"/>
  <c r="G2963" i="12" s="1"/>
  <c r="J2963" i="12" s="1"/>
  <c r="K2963" i="12"/>
  <c r="O2963" i="12"/>
  <c r="Q2963" i="12"/>
  <c r="C2964" i="12"/>
  <c r="E2964" i="12"/>
  <c r="I2964" i="12" s="1"/>
  <c r="F2964" i="12"/>
  <c r="G2964" i="12" s="1"/>
  <c r="K2964" i="12"/>
  <c r="O2964" i="12"/>
  <c r="Q2964" i="12"/>
  <c r="C2965" i="12"/>
  <c r="E2965" i="12"/>
  <c r="I2965" i="12" s="1"/>
  <c r="F2965" i="12"/>
  <c r="G2965" i="12" s="1"/>
  <c r="K2965" i="12"/>
  <c r="O2965" i="12"/>
  <c r="Q2965" i="12"/>
  <c r="C2966" i="12"/>
  <c r="E2966" i="12"/>
  <c r="I2966" i="12" s="1"/>
  <c r="F2966" i="12"/>
  <c r="G2966" i="12" s="1"/>
  <c r="K2966" i="12"/>
  <c r="O2966" i="12"/>
  <c r="Q2966" i="12"/>
  <c r="C2967" i="12"/>
  <c r="E2967" i="12"/>
  <c r="I2967" i="12" s="1"/>
  <c r="F2967" i="12"/>
  <c r="G2967" i="12" s="1"/>
  <c r="K2967" i="12"/>
  <c r="O2967" i="12"/>
  <c r="Q2967" i="12"/>
  <c r="C2968" i="12"/>
  <c r="E2968" i="12"/>
  <c r="I2968" i="12" s="1"/>
  <c r="F2968" i="12"/>
  <c r="G2968" i="12" s="1"/>
  <c r="J2968" i="12" s="1"/>
  <c r="K2968" i="12"/>
  <c r="O2968" i="12"/>
  <c r="Q2968" i="12"/>
  <c r="C2969" i="12"/>
  <c r="E2969" i="12"/>
  <c r="I2969" i="12" s="1"/>
  <c r="F2969" i="12"/>
  <c r="G2969" i="12" s="1"/>
  <c r="K2969" i="12"/>
  <c r="O2969" i="12"/>
  <c r="Q2969" i="12"/>
  <c r="C2970" i="12"/>
  <c r="E2970" i="12"/>
  <c r="I2970" i="12" s="1"/>
  <c r="F2970" i="12"/>
  <c r="G2970" i="12" s="1"/>
  <c r="K2970" i="12"/>
  <c r="O2970" i="12"/>
  <c r="Q2970" i="12"/>
  <c r="C2971" i="12"/>
  <c r="E2971" i="12"/>
  <c r="I2971" i="12" s="1"/>
  <c r="F2971" i="12"/>
  <c r="G2971" i="12" s="1"/>
  <c r="K2971" i="12"/>
  <c r="O2971" i="12"/>
  <c r="Q2971" i="12"/>
  <c r="C2972" i="12"/>
  <c r="E2972" i="12"/>
  <c r="I2972" i="12" s="1"/>
  <c r="F2972" i="12"/>
  <c r="G2972" i="12" s="1"/>
  <c r="K2972" i="12"/>
  <c r="O2972" i="12"/>
  <c r="Q2972" i="12"/>
  <c r="C2973" i="12"/>
  <c r="E2973" i="12"/>
  <c r="I2973" i="12" s="1"/>
  <c r="F2973" i="12"/>
  <c r="G2973" i="12" s="1"/>
  <c r="J2973" i="12" s="1"/>
  <c r="K2973" i="12"/>
  <c r="O2973" i="12"/>
  <c r="Q2973" i="12"/>
  <c r="C2974" i="12"/>
  <c r="E2974" i="12"/>
  <c r="I2974" i="12" s="1"/>
  <c r="F2974" i="12"/>
  <c r="G2974" i="12" s="1"/>
  <c r="K2974" i="12"/>
  <c r="O2974" i="12"/>
  <c r="Q2974" i="12"/>
  <c r="C2975" i="12"/>
  <c r="E2975" i="12"/>
  <c r="I2975" i="12" s="1"/>
  <c r="F2975" i="12"/>
  <c r="G2975" i="12" s="1"/>
  <c r="K2975" i="12"/>
  <c r="O2975" i="12"/>
  <c r="Q2975" i="12"/>
  <c r="C2976" i="12"/>
  <c r="E2976" i="12"/>
  <c r="I2976" i="12" s="1"/>
  <c r="F2976" i="12"/>
  <c r="G2976" i="12" s="1"/>
  <c r="K2976" i="12"/>
  <c r="O2976" i="12"/>
  <c r="Q2976" i="12"/>
  <c r="C2977" i="12"/>
  <c r="E2977" i="12"/>
  <c r="I2977" i="12" s="1"/>
  <c r="F2977" i="12"/>
  <c r="G2977" i="12" s="1"/>
  <c r="K2977" i="12"/>
  <c r="O2977" i="12"/>
  <c r="Q2977" i="12"/>
  <c r="C2978" i="12"/>
  <c r="E2978" i="12"/>
  <c r="I2978" i="12" s="1"/>
  <c r="F2978" i="12"/>
  <c r="G2978" i="12" s="1"/>
  <c r="K2978" i="12"/>
  <c r="O2978" i="12"/>
  <c r="Q2978" i="12"/>
  <c r="C2979" i="12"/>
  <c r="E2979" i="12"/>
  <c r="I2979" i="12" s="1"/>
  <c r="F2979" i="12"/>
  <c r="G2979" i="12" s="1"/>
  <c r="K2979" i="12"/>
  <c r="O2979" i="12"/>
  <c r="Q2979" i="12"/>
  <c r="C2981" i="12"/>
  <c r="E2981" i="12"/>
  <c r="I2981" i="12" s="1"/>
  <c r="F2981" i="12"/>
  <c r="G2981" i="12" s="1"/>
  <c r="K2981" i="12"/>
  <c r="O2981" i="12"/>
  <c r="Q2981" i="12"/>
  <c r="C2982" i="12"/>
  <c r="E2982" i="12"/>
  <c r="I2982" i="12" s="1"/>
  <c r="F2982" i="12"/>
  <c r="G2982" i="12" s="1"/>
  <c r="K2982" i="12"/>
  <c r="O2982" i="12"/>
  <c r="Q2982" i="12"/>
  <c r="C2983" i="12"/>
  <c r="E2983" i="12"/>
  <c r="I2983" i="12" s="1"/>
  <c r="F2983" i="12"/>
  <c r="G2983" i="12" s="1"/>
  <c r="K2983" i="12"/>
  <c r="O2983" i="12"/>
  <c r="Q2983" i="12"/>
  <c r="C2980" i="12"/>
  <c r="E2980" i="12"/>
  <c r="I2980" i="12" s="1"/>
  <c r="F2980" i="12"/>
  <c r="G2980" i="12" s="1"/>
  <c r="K2980" i="12"/>
  <c r="O2980" i="12"/>
  <c r="Q2980" i="12"/>
  <c r="C2984" i="12"/>
  <c r="E2984" i="12"/>
  <c r="I2984" i="12" s="1"/>
  <c r="F2984" i="12"/>
  <c r="G2984" i="12" s="1"/>
  <c r="K2984" i="12"/>
  <c r="C2985" i="12"/>
  <c r="E2985" i="12"/>
  <c r="I2985" i="12" s="1"/>
  <c r="F2985" i="12"/>
  <c r="G2985" i="12" s="1"/>
  <c r="K2985" i="12"/>
  <c r="O2985" i="12"/>
  <c r="Q2985" i="12"/>
  <c r="C2986" i="12"/>
  <c r="E2986" i="12"/>
  <c r="I2986" i="12" s="1"/>
  <c r="F2986" i="12"/>
  <c r="G2986" i="12" s="1"/>
  <c r="K2986" i="12"/>
  <c r="O2986" i="12"/>
  <c r="Q2986" i="12"/>
  <c r="C2987" i="12"/>
  <c r="E2987" i="12"/>
  <c r="I2987" i="12" s="1"/>
  <c r="F2987" i="12"/>
  <c r="G2987" i="12" s="1"/>
  <c r="K2987" i="12"/>
  <c r="O2987" i="12"/>
  <c r="Q2987" i="12"/>
  <c r="C2988" i="12"/>
  <c r="E2988" i="12"/>
  <c r="I2988" i="12" s="1"/>
  <c r="F2988" i="12"/>
  <c r="G2988" i="12" s="1"/>
  <c r="K2988" i="12"/>
  <c r="O2988" i="12"/>
  <c r="Q2988" i="12"/>
  <c r="C2989" i="12"/>
  <c r="E2989" i="12"/>
  <c r="I2989" i="12" s="1"/>
  <c r="F2989" i="12"/>
  <c r="G2989" i="12" s="1"/>
  <c r="K2989" i="12"/>
  <c r="O2989" i="12"/>
  <c r="Q2989" i="12"/>
  <c r="C2990" i="12"/>
  <c r="E2990" i="12"/>
  <c r="I2990" i="12" s="1"/>
  <c r="F2990" i="12"/>
  <c r="G2990" i="12" s="1"/>
  <c r="K2990" i="12"/>
  <c r="O2990" i="12"/>
  <c r="Q2990" i="12"/>
  <c r="C2991" i="12"/>
  <c r="E2991" i="12"/>
  <c r="I2991" i="12" s="1"/>
  <c r="F2991" i="12"/>
  <c r="G2991" i="12" s="1"/>
  <c r="K2991" i="12"/>
  <c r="O2991" i="12"/>
  <c r="Q2991" i="12"/>
  <c r="C2992" i="12"/>
  <c r="E2992" i="12"/>
  <c r="I2992" i="12" s="1"/>
  <c r="F2992" i="12"/>
  <c r="G2992" i="12" s="1"/>
  <c r="K2992" i="12"/>
  <c r="O2992" i="12"/>
  <c r="Q2992" i="12"/>
  <c r="C2993" i="12"/>
  <c r="E2993" i="12"/>
  <c r="I2993" i="12" s="1"/>
  <c r="F2993" i="12"/>
  <c r="G2993" i="12" s="1"/>
  <c r="K2993" i="12"/>
  <c r="O2993" i="12"/>
  <c r="Q2993" i="12"/>
  <c r="C2994" i="12"/>
  <c r="E2994" i="12"/>
  <c r="I2994" i="12" s="1"/>
  <c r="F2994" i="12"/>
  <c r="G2994" i="12" s="1"/>
  <c r="K2994" i="12"/>
  <c r="O2994" i="12"/>
  <c r="Q2994" i="12"/>
  <c r="C2995" i="12"/>
  <c r="E2995" i="12"/>
  <c r="I2995" i="12" s="1"/>
  <c r="F2995" i="12"/>
  <c r="G2995" i="12" s="1"/>
  <c r="K2995" i="12"/>
  <c r="O2995" i="12"/>
  <c r="Q2995" i="12"/>
  <c r="C2996" i="12"/>
  <c r="E2996" i="12"/>
  <c r="I2996" i="12" s="1"/>
  <c r="F2996" i="12"/>
  <c r="G2996" i="12" s="1"/>
  <c r="K2996" i="12"/>
  <c r="O2996" i="12"/>
  <c r="Q2996" i="12"/>
  <c r="C2997" i="12"/>
  <c r="E2997" i="12"/>
  <c r="I2997" i="12" s="1"/>
  <c r="F2997" i="12"/>
  <c r="G2997" i="12" s="1"/>
  <c r="K2997" i="12"/>
  <c r="O2997" i="12"/>
  <c r="Q2997" i="12"/>
  <c r="C2998" i="12"/>
  <c r="E2998" i="12"/>
  <c r="I2998" i="12" s="1"/>
  <c r="F2998" i="12"/>
  <c r="G2998" i="12" s="1"/>
  <c r="K2998" i="12"/>
  <c r="O2998" i="12"/>
  <c r="Q2998" i="12"/>
  <c r="C2999" i="12"/>
  <c r="E2999" i="12"/>
  <c r="I2999" i="12" s="1"/>
  <c r="F2999" i="12"/>
  <c r="G2999" i="12" s="1"/>
  <c r="K2999" i="12"/>
  <c r="O2999" i="12"/>
  <c r="Q2999" i="12"/>
  <c r="C3000" i="12"/>
  <c r="E3000" i="12"/>
  <c r="I3000" i="12" s="1"/>
  <c r="F3000" i="12"/>
  <c r="G3000" i="12" s="1"/>
  <c r="K3000" i="12"/>
  <c r="O3000" i="12"/>
  <c r="Q3000" i="12"/>
  <c r="C3001" i="12"/>
  <c r="E3001" i="12"/>
  <c r="I3001" i="12" s="1"/>
  <c r="F3001" i="12"/>
  <c r="G3001" i="12" s="1"/>
  <c r="K3001" i="12"/>
  <c r="O3001" i="12"/>
  <c r="Q3001" i="12"/>
  <c r="C3002" i="12"/>
  <c r="E3002" i="12"/>
  <c r="I3002" i="12" s="1"/>
  <c r="F3002" i="12"/>
  <c r="G3002" i="12" s="1"/>
  <c r="K3002" i="12"/>
  <c r="O3002" i="12"/>
  <c r="Q3002" i="12"/>
  <c r="C3003" i="12"/>
  <c r="E3003" i="12"/>
  <c r="I3003" i="12" s="1"/>
  <c r="F3003" i="12"/>
  <c r="G3003" i="12" s="1"/>
  <c r="K3003" i="12"/>
  <c r="O3003" i="12"/>
  <c r="Q3003" i="12"/>
  <c r="C3004" i="12"/>
  <c r="E3004" i="12"/>
  <c r="I3004" i="12" s="1"/>
  <c r="F3004" i="12"/>
  <c r="G3004" i="12" s="1"/>
  <c r="K3004" i="12"/>
  <c r="O3004" i="12"/>
  <c r="Q3004" i="12"/>
  <c r="C3005" i="12"/>
  <c r="E3005" i="12"/>
  <c r="I3005" i="12" s="1"/>
  <c r="F3005" i="12"/>
  <c r="G3005" i="12" s="1"/>
  <c r="K3005" i="12"/>
  <c r="O3005" i="12"/>
  <c r="Q3005" i="12"/>
  <c r="C3006" i="12"/>
  <c r="E3006" i="12"/>
  <c r="I3006" i="12" s="1"/>
  <c r="F3006" i="12"/>
  <c r="G3006" i="12" s="1"/>
  <c r="K3006" i="12"/>
  <c r="O3006" i="12"/>
  <c r="Q3006" i="12"/>
  <c r="C3007" i="12"/>
  <c r="E3007" i="12"/>
  <c r="I3007" i="12" s="1"/>
  <c r="F3007" i="12"/>
  <c r="G3007" i="12" s="1"/>
  <c r="K3007" i="12"/>
  <c r="O3007" i="12"/>
  <c r="Q3007" i="12"/>
  <c r="C3008" i="12"/>
  <c r="E3008" i="12"/>
  <c r="I3008" i="12" s="1"/>
  <c r="F3008" i="12"/>
  <c r="G3008" i="12" s="1"/>
  <c r="K3008" i="12"/>
  <c r="O3008" i="12"/>
  <c r="Q3008" i="12"/>
  <c r="C3010" i="12"/>
  <c r="E3010" i="12"/>
  <c r="I3010" i="12" s="1"/>
  <c r="F3010" i="12"/>
  <c r="G3010" i="12" s="1"/>
  <c r="K3010" i="12"/>
  <c r="O3010" i="12"/>
  <c r="Q3010" i="12"/>
  <c r="C3011" i="12"/>
  <c r="E3011" i="12"/>
  <c r="I3011" i="12" s="1"/>
  <c r="F3011" i="12"/>
  <c r="G3011" i="12" s="1"/>
  <c r="K3011" i="12"/>
  <c r="O3011" i="12"/>
  <c r="Q3011" i="12"/>
  <c r="C3012" i="12"/>
  <c r="E3012" i="12"/>
  <c r="I3012" i="12" s="1"/>
  <c r="F3012" i="12"/>
  <c r="G3012" i="12" s="1"/>
  <c r="K3012" i="12"/>
  <c r="O3012" i="12"/>
  <c r="Q3012" i="12"/>
  <c r="C3013" i="12"/>
  <c r="E3013" i="12"/>
  <c r="I3013" i="12" s="1"/>
  <c r="F3013" i="12"/>
  <c r="G3013" i="12" s="1"/>
  <c r="K3013" i="12"/>
  <c r="O3013" i="12"/>
  <c r="Q3013" i="12"/>
  <c r="C3014" i="12"/>
  <c r="E3014" i="12"/>
  <c r="I3014" i="12" s="1"/>
  <c r="F3014" i="12"/>
  <c r="G3014" i="12" s="1"/>
  <c r="K3014" i="12"/>
  <c r="O3014" i="12"/>
  <c r="Q3014" i="12"/>
  <c r="G2801" i="12" l="1"/>
  <c r="J2801" i="12" s="1"/>
  <c r="L2801" i="12" s="1"/>
  <c r="G2789" i="12"/>
  <c r="J2789" i="12" s="1"/>
  <c r="L2789" i="12" s="1"/>
  <c r="J2863" i="12"/>
  <c r="L2863" i="12" s="1"/>
  <c r="J2960" i="12"/>
  <c r="L2960" i="12" s="1"/>
  <c r="J2819" i="12"/>
  <c r="L2819" i="12" s="1"/>
  <c r="J2835" i="12"/>
  <c r="L2835" i="12" s="1"/>
  <c r="J2793" i="12"/>
  <c r="L2793" i="12" s="1"/>
  <c r="J2953" i="12"/>
  <c r="L2953" i="12" s="1"/>
  <c r="L2787" i="12"/>
  <c r="L2782" i="12"/>
  <c r="J2913" i="12"/>
  <c r="L2913" i="12" s="1"/>
  <c r="L2901" i="12"/>
  <c r="J2843" i="12"/>
  <c r="L2843" i="12" s="1"/>
  <c r="J2905" i="12"/>
  <c r="L2905" i="12" s="1"/>
  <c r="J2974" i="12"/>
  <c r="L2974" i="12" s="1"/>
  <c r="J2969" i="12"/>
  <c r="L2969" i="12" s="1"/>
  <c r="J2947" i="12"/>
  <c r="L2947" i="12" s="1"/>
  <c r="J2825" i="12"/>
  <c r="L2825" i="12" s="1"/>
  <c r="J2783" i="12"/>
  <c r="L2783" i="12" s="1"/>
  <c r="J2958" i="12"/>
  <c r="L2958" i="12" s="1"/>
  <c r="J2949" i="12"/>
  <c r="L2949" i="12" s="1"/>
  <c r="J2853" i="12"/>
  <c r="L2853" i="12" s="1"/>
  <c r="J2829" i="12"/>
  <c r="L2829" i="12" s="1"/>
  <c r="J2812" i="12"/>
  <c r="L2812" i="12" s="1"/>
  <c r="J2880" i="12"/>
  <c r="L2880" i="12" s="1"/>
  <c r="J2818" i="12"/>
  <c r="L2818" i="12" s="1"/>
  <c r="J2895" i="12"/>
  <c r="L2895" i="12" s="1"/>
  <c r="J2893" i="12"/>
  <c r="L2893" i="12" s="1"/>
  <c r="J2885" i="12"/>
  <c r="L2885" i="12" s="1"/>
  <c r="J2878" i="12"/>
  <c r="L2878" i="12" s="1"/>
  <c r="J2872" i="12"/>
  <c r="L2872" i="12" s="1"/>
  <c r="J2851" i="12"/>
  <c r="L2851" i="12" s="1"/>
  <c r="J2804" i="12"/>
  <c r="L2804" i="12" s="1"/>
  <c r="J2889" i="12"/>
  <c r="L2889" i="12" s="1"/>
  <c r="J2861" i="12"/>
  <c r="L2861" i="12" s="1"/>
  <c r="J2840" i="12"/>
  <c r="L2840" i="12" s="1"/>
  <c r="J2887" i="12"/>
  <c r="L2887" i="12" s="1"/>
  <c r="J2874" i="12"/>
  <c r="L2874" i="12" s="1"/>
  <c r="J2790" i="12"/>
  <c r="L2790" i="12" s="1"/>
  <c r="J2964" i="12"/>
  <c r="L2964" i="12" s="1"/>
  <c r="J2911" i="12"/>
  <c r="L2911" i="12" s="1"/>
  <c r="J2899" i="12"/>
  <c r="L2899" i="12" s="1"/>
  <c r="J2891" i="12"/>
  <c r="L2891" i="12" s="1"/>
  <c r="J2883" i="12"/>
  <c r="L2883" i="12" s="1"/>
  <c r="J2876" i="12"/>
  <c r="L2876" i="12" s="1"/>
  <c r="J2870" i="12"/>
  <c r="L2870" i="12" s="1"/>
  <c r="J2791" i="12"/>
  <c r="L2791" i="12" s="1"/>
  <c r="J2907" i="12"/>
  <c r="L2907" i="12" s="1"/>
  <c r="J2858" i="12"/>
  <c r="L2858" i="12" s="1"/>
  <c r="J2848" i="12"/>
  <c r="L2848" i="12" s="1"/>
  <c r="J2837" i="12"/>
  <c r="L2837" i="12" s="1"/>
  <c r="J2826" i="12"/>
  <c r="L2826" i="12" s="1"/>
  <c r="J2815" i="12"/>
  <c r="L2815" i="12" s="1"/>
  <c r="J2788" i="12"/>
  <c r="L2788" i="12" s="1"/>
  <c r="L2866" i="12"/>
  <c r="L2856" i="12"/>
  <c r="L2846" i="12"/>
  <c r="L2832" i="12"/>
  <c r="L2822" i="12"/>
  <c r="L2809" i="12"/>
  <c r="L2798" i="12"/>
  <c r="J3011" i="12"/>
  <c r="L3011" i="12" s="1"/>
  <c r="J3006" i="12"/>
  <c r="L3006" i="12" s="1"/>
  <c r="J3003" i="12"/>
  <c r="L3003" i="12" s="1"/>
  <c r="J2996" i="12"/>
  <c r="L2996" i="12" s="1"/>
  <c r="J2986" i="12"/>
  <c r="L2986" i="12" s="1"/>
  <c r="J2979" i="12"/>
  <c r="L2979" i="12" s="1"/>
  <c r="J2975" i="12"/>
  <c r="L2975" i="12" s="1"/>
  <c r="J2971" i="12"/>
  <c r="L2971" i="12" s="1"/>
  <c r="J2954" i="12"/>
  <c r="L2954" i="12" s="1"/>
  <c r="J3000" i="12"/>
  <c r="L3000" i="12" s="1"/>
  <c r="J2993" i="12"/>
  <c r="L2993" i="12" s="1"/>
  <c r="J2987" i="12"/>
  <c r="L2987" i="12"/>
  <c r="J3013" i="12"/>
  <c r="L3013" i="12" s="1"/>
  <c r="J3008" i="12"/>
  <c r="L3008" i="12" s="1"/>
  <c r="J3004" i="12"/>
  <c r="L3004" i="12" s="1"/>
  <c r="J3001" i="12"/>
  <c r="L3001" i="12" s="1"/>
  <c r="J2997" i="12"/>
  <c r="L2997" i="12" s="1"/>
  <c r="J2994" i="12"/>
  <c r="L2994" i="12" s="1"/>
  <c r="J2990" i="12"/>
  <c r="L2990" i="12" s="1"/>
  <c r="J2988" i="12"/>
  <c r="L2988" i="12" s="1"/>
  <c r="J2984" i="12"/>
  <c r="L2984" i="12" s="1"/>
  <c r="J2977" i="12"/>
  <c r="L2977" i="12" s="1"/>
  <c r="J2966" i="12"/>
  <c r="L2966" i="12" s="1"/>
  <c r="J2959" i="12"/>
  <c r="L2959" i="12" s="1"/>
  <c r="J2955" i="12"/>
  <c r="L2955" i="12" s="1"/>
  <c r="J2948" i="12"/>
  <c r="L2948" i="12" s="1"/>
  <c r="J2999" i="12"/>
  <c r="L2999" i="12" s="1"/>
  <c r="J2992" i="12"/>
  <c r="L2992" i="12" s="1"/>
  <c r="J2933" i="12"/>
  <c r="L2933" i="12" s="1"/>
  <c r="J2950" i="12"/>
  <c r="L2950" i="12" s="1"/>
  <c r="J3012" i="12"/>
  <c r="L3012" i="12" s="1"/>
  <c r="J3007" i="12"/>
  <c r="L3007" i="12" s="1"/>
  <c r="J2980" i="12"/>
  <c r="L2980" i="12" s="1"/>
  <c r="J2983" i="12"/>
  <c r="L2983" i="12" s="1"/>
  <c r="J2981" i="12"/>
  <c r="L2981" i="12" s="1"/>
  <c r="J3014" i="12"/>
  <c r="L3014" i="12" s="1"/>
  <c r="J3010" i="12"/>
  <c r="L3010" i="12" s="1"/>
  <c r="J3005" i="12"/>
  <c r="L3005" i="12" s="1"/>
  <c r="J3002" i="12"/>
  <c r="L3002" i="12" s="1"/>
  <c r="J2998" i="12"/>
  <c r="L2998" i="12" s="1"/>
  <c r="J2995" i="12"/>
  <c r="L2995" i="12" s="1"/>
  <c r="J2991" i="12"/>
  <c r="L2991" i="12" s="1"/>
  <c r="J2989" i="12"/>
  <c r="L2989" i="12" s="1"/>
  <c r="J2985" i="12"/>
  <c r="L2985" i="12" s="1"/>
  <c r="J2982" i="12"/>
  <c r="L2982" i="12" s="1"/>
  <c r="J2978" i="12"/>
  <c r="L2978" i="12" s="1"/>
  <c r="J2945" i="12"/>
  <c r="L2945" i="12" s="1"/>
  <c r="J2930" i="12"/>
  <c r="L2930" i="12" s="1"/>
  <c r="J2926" i="12"/>
  <c r="L2926" i="12" s="1"/>
  <c r="J2922" i="12"/>
  <c r="L2922" i="12" s="1"/>
  <c r="J2919" i="12"/>
  <c r="L2919" i="12" s="1"/>
  <c r="J2785" i="12"/>
  <c r="L2785" i="12"/>
  <c r="J2777" i="12"/>
  <c r="L2777" i="12" s="1"/>
  <c r="J2770" i="12"/>
  <c r="L2770" i="12" s="1"/>
  <c r="J2766" i="12"/>
  <c r="L2766" i="12" s="1"/>
  <c r="J2762" i="12"/>
  <c r="L2762" i="12" s="1"/>
  <c r="J2972" i="12"/>
  <c r="L2972" i="12" s="1"/>
  <c r="J2967" i="12"/>
  <c r="L2967" i="12" s="1"/>
  <c r="J2934" i="12"/>
  <c r="L2934" i="12" s="1"/>
  <c r="L2961" i="12"/>
  <c r="J2956" i="12"/>
  <c r="L2956" i="12" s="1"/>
  <c r="J2951" i="12"/>
  <c r="L2951" i="12" s="1"/>
  <c r="J2946" i="12"/>
  <c r="L2946" i="12" s="1"/>
  <c r="J2941" i="12"/>
  <c r="L2941" i="12" s="1"/>
  <c r="J2938" i="12"/>
  <c r="L2938" i="12" s="1"/>
  <c r="J2931" i="12"/>
  <c r="L2931" i="12" s="1"/>
  <c r="J2927" i="12"/>
  <c r="L2927" i="12" s="1"/>
  <c r="J2923" i="12"/>
  <c r="L2923" i="12" s="1"/>
  <c r="J2920" i="12"/>
  <c r="L2920" i="12" s="1"/>
  <c r="J2865" i="12"/>
  <c r="L2865" i="12" s="1"/>
  <c r="J2855" i="12"/>
  <c r="L2855" i="12" s="1"/>
  <c r="J2845" i="12"/>
  <c r="L2845" i="12" s="1"/>
  <c r="L2831" i="12"/>
  <c r="J2831" i="12"/>
  <c r="L2821" i="12"/>
  <c r="J2821" i="12"/>
  <c r="J2808" i="12"/>
  <c r="L2808" i="12" s="1"/>
  <c r="J2797" i="12"/>
  <c r="L2797" i="12" s="1"/>
  <c r="J2976" i="12"/>
  <c r="L2976" i="12" s="1"/>
  <c r="J2970" i="12"/>
  <c r="L2970" i="12" s="1"/>
  <c r="J2965" i="12"/>
  <c r="L2965" i="12" s="1"/>
  <c r="J2962" i="12"/>
  <c r="L2962" i="12" s="1"/>
  <c r="J2943" i="12"/>
  <c r="L2943" i="12" s="1"/>
  <c r="J2939" i="12"/>
  <c r="L2939" i="12" s="1"/>
  <c r="J2935" i="12"/>
  <c r="L2935" i="12" s="1"/>
  <c r="J2932" i="12"/>
  <c r="L2932" i="12" s="1"/>
  <c r="J2928" i="12"/>
  <c r="L2928" i="12" s="1"/>
  <c r="J2924" i="12"/>
  <c r="L2924" i="12" s="1"/>
  <c r="J2921" i="12"/>
  <c r="L2921" i="12" s="1"/>
  <c r="J2917" i="12"/>
  <c r="L2917" i="12"/>
  <c r="L2915" i="12"/>
  <c r="L2912" i="12"/>
  <c r="L2909" i="12"/>
  <c r="L2906" i="12"/>
  <c r="L2903" i="12"/>
  <c r="L2900" i="12"/>
  <c r="L2897" i="12"/>
  <c r="J2942" i="12"/>
  <c r="L2942" i="12" s="1"/>
  <c r="J2937" i="12"/>
  <c r="L2937" i="12" s="1"/>
  <c r="L2973" i="12"/>
  <c r="L2968" i="12"/>
  <c r="L2963" i="12"/>
  <c r="L2957" i="12"/>
  <c r="L2952" i="12"/>
  <c r="J2944" i="12"/>
  <c r="L2944" i="12" s="1"/>
  <c r="J2940" i="12"/>
  <c r="L2940" i="12" s="1"/>
  <c r="J2936" i="12"/>
  <c r="L2936" i="12" s="1"/>
  <c r="J2929" i="12"/>
  <c r="L2929" i="12" s="1"/>
  <c r="J2925" i="12"/>
  <c r="L2925" i="12" s="1"/>
  <c r="J2918" i="12"/>
  <c r="L2918" i="12" s="1"/>
  <c r="J2914" i="12"/>
  <c r="L2914" i="12" s="1"/>
  <c r="J2908" i="12"/>
  <c r="L2908" i="12" s="1"/>
  <c r="J2902" i="12"/>
  <c r="L2902" i="12" s="1"/>
  <c r="J2881" i="12"/>
  <c r="L2881" i="12" s="1"/>
  <c r="J2896" i="12"/>
  <c r="L2896" i="12" s="1"/>
  <c r="J2892" i="12"/>
  <c r="L2892" i="12" s="1"/>
  <c r="J2888" i="12"/>
  <c r="L2888" i="12" s="1"/>
  <c r="J2884" i="12"/>
  <c r="L2884" i="12" s="1"/>
  <c r="J2877" i="12"/>
  <c r="L2877" i="12" s="1"/>
  <c r="J2871" i="12"/>
  <c r="L2871" i="12" s="1"/>
  <c r="J2916" i="12"/>
  <c r="L2916" i="12" s="1"/>
  <c r="J2910" i="12"/>
  <c r="L2910" i="12" s="1"/>
  <c r="J2904" i="12"/>
  <c r="L2904" i="12" s="1"/>
  <c r="J2898" i="12"/>
  <c r="L2898" i="12" s="1"/>
  <c r="J2894" i="12"/>
  <c r="L2894" i="12" s="1"/>
  <c r="J2890" i="12"/>
  <c r="J2886" i="12"/>
  <c r="L2886" i="12" s="1"/>
  <c r="J2882" i="12"/>
  <c r="L2882" i="12" s="1"/>
  <c r="J2879" i="12"/>
  <c r="L2879" i="12" s="1"/>
  <c r="J2875" i="12"/>
  <c r="L2875" i="12" s="1"/>
  <c r="J2873" i="12"/>
  <c r="L2873" i="12" s="1"/>
  <c r="J2869" i="12"/>
  <c r="L2869" i="12" s="1"/>
  <c r="J2868" i="12"/>
  <c r="L2868" i="12" s="1"/>
  <c r="J2859" i="12"/>
  <c r="L2859" i="12" s="1"/>
  <c r="J2849" i="12"/>
  <c r="L2849" i="12"/>
  <c r="J2842" i="12"/>
  <c r="L2842" i="12" s="1"/>
  <c r="J2838" i="12"/>
  <c r="L2838" i="12" s="1"/>
  <c r="J2827" i="12"/>
  <c r="L2827" i="12" s="1"/>
  <c r="J2816" i="12"/>
  <c r="L2816" i="12"/>
  <c r="J2814" i="12"/>
  <c r="L2814" i="12" s="1"/>
  <c r="J2806" i="12"/>
  <c r="L2806" i="12" s="1"/>
  <c r="J2802" i="12"/>
  <c r="L2802" i="12" s="1"/>
  <c r="J2795" i="12"/>
  <c r="L2795" i="12" s="1"/>
  <c r="J2860" i="12"/>
  <c r="L2860" i="12" s="1"/>
  <c r="J2850" i="12"/>
  <c r="L2850" i="12" s="1"/>
  <c r="J2839" i="12"/>
  <c r="L2839" i="12" s="1"/>
  <c r="J2828" i="12"/>
  <c r="L2828" i="12" s="1"/>
  <c r="J2817" i="12"/>
  <c r="L2817" i="12" s="1"/>
  <c r="J2803" i="12"/>
  <c r="L2803" i="12" s="1"/>
  <c r="J2864" i="12"/>
  <c r="L2864" i="12" s="1"/>
  <c r="J2854" i="12"/>
  <c r="L2854" i="12" s="1"/>
  <c r="J2836" i="12"/>
  <c r="L2836" i="12" s="1"/>
  <c r="J2844" i="12"/>
  <c r="L2844" i="12" s="1"/>
  <c r="J2834" i="12"/>
  <c r="L2834" i="12" s="1"/>
  <c r="J2830" i="12"/>
  <c r="L2830" i="12"/>
  <c r="J2824" i="12"/>
  <c r="L2824" i="12" s="1"/>
  <c r="J2820" i="12"/>
  <c r="L2820" i="12" s="1"/>
  <c r="J2811" i="12"/>
  <c r="L2811" i="12" s="1"/>
  <c r="J2807" i="12"/>
  <c r="L2807" i="12" s="1"/>
  <c r="J2800" i="12"/>
  <c r="L2800" i="12" s="1"/>
  <c r="J2796" i="12"/>
  <c r="L2796" i="12" s="1"/>
  <c r="J2867" i="12"/>
  <c r="L2867" i="12" s="1"/>
  <c r="J2862" i="12"/>
  <c r="L2862" i="12" s="1"/>
  <c r="J2857" i="12"/>
  <c r="L2857" i="12" s="1"/>
  <c r="J2852" i="12"/>
  <c r="L2852" i="12" s="1"/>
  <c r="J2847" i="12"/>
  <c r="L2847" i="12" s="1"/>
  <c r="J2841" i="12"/>
  <c r="L2841" i="12" s="1"/>
  <c r="J2833" i="12"/>
  <c r="L2833" i="12" s="1"/>
  <c r="J2823" i="12"/>
  <c r="L2823" i="12" s="1"/>
  <c r="J2810" i="12"/>
  <c r="L2810" i="12" s="1"/>
  <c r="J2805" i="12"/>
  <c r="L2805" i="12" s="1"/>
  <c r="J2799" i="12"/>
  <c r="L2799" i="12" s="1"/>
  <c r="J2779" i="12"/>
  <c r="L2779" i="12" s="1"/>
  <c r="J2778" i="12"/>
  <c r="L2778" i="12" s="1"/>
  <c r="J2774" i="12"/>
  <c r="L2774" i="12" s="1"/>
  <c r="J2771" i="12"/>
  <c r="L2771" i="12" s="1"/>
  <c r="J2767" i="12"/>
  <c r="L2767" i="12" s="1"/>
  <c r="J2763" i="12"/>
  <c r="L2763" i="12" s="1"/>
  <c r="J2759" i="12"/>
  <c r="L2759" i="12" s="1"/>
  <c r="J2794" i="12"/>
  <c r="L2794" i="12" s="1"/>
  <c r="J2792" i="12"/>
  <c r="L2792" i="12" s="1"/>
  <c r="J2780" i="12"/>
  <c r="L2780" i="12" s="1"/>
  <c r="J2775" i="12"/>
  <c r="L2775" i="12" s="1"/>
  <c r="J2772" i="12"/>
  <c r="L2772" i="12" s="1"/>
  <c r="J2768" i="12"/>
  <c r="L2768" i="12" s="1"/>
  <c r="J2764" i="12"/>
  <c r="L2764" i="12" s="1"/>
  <c r="J2760" i="12"/>
  <c r="L2760" i="12" s="1"/>
  <c r="J2786" i="12"/>
  <c r="L2786" i="12" s="1"/>
  <c r="J2784" i="12"/>
  <c r="L2784" i="12" s="1"/>
  <c r="J2781" i="12"/>
  <c r="L2781" i="12" s="1"/>
  <c r="J2776" i="12"/>
  <c r="L2776" i="12" s="1"/>
  <c r="J2773" i="12"/>
  <c r="L2773" i="12" s="1"/>
  <c r="L2769" i="12"/>
  <c r="J2769" i="12"/>
  <c r="J2765" i="12"/>
  <c r="L2765" i="12" s="1"/>
  <c r="J2761" i="12"/>
  <c r="L2761" i="12" s="1"/>
  <c r="P2742" i="12" l="1"/>
  <c r="H2742" i="12"/>
  <c r="P2725" i="12"/>
  <c r="P2731" i="12"/>
  <c r="P2733" i="12"/>
  <c r="H2733" i="12"/>
  <c r="H2731" i="12"/>
  <c r="P2724" i="12"/>
  <c r="P2728" i="12"/>
  <c r="P2727" i="12"/>
  <c r="H2728" i="12"/>
  <c r="H2727" i="12"/>
  <c r="H2725" i="12"/>
  <c r="H2724" i="12"/>
  <c r="P2692" i="12"/>
  <c r="H2691" i="12"/>
  <c r="P2691" i="12"/>
  <c r="P2688" i="12"/>
  <c r="M2715" i="12"/>
  <c r="M2716" i="12"/>
  <c r="M2717" i="12"/>
  <c r="M2718" i="12"/>
  <c r="M2719" i="12"/>
  <c r="M2720" i="12"/>
  <c r="M2721" i="12"/>
  <c r="M2722" i="12"/>
  <c r="M2723" i="12"/>
  <c r="M2724" i="12"/>
  <c r="M2725" i="12"/>
  <c r="M2726" i="12"/>
  <c r="M2727" i="12"/>
  <c r="M2728" i="12"/>
  <c r="M2729" i="12"/>
  <c r="M2730" i="12"/>
  <c r="M2731" i="12"/>
  <c r="M2732" i="12"/>
  <c r="M2733" i="12"/>
  <c r="M2734" i="12"/>
  <c r="M2735" i="12"/>
  <c r="M2736" i="12"/>
  <c r="M2737" i="12"/>
  <c r="M2738" i="12"/>
  <c r="M2739" i="12"/>
  <c r="M2740" i="12"/>
  <c r="M2741" i="12"/>
  <c r="M2742" i="12"/>
  <c r="M2743" i="12"/>
  <c r="M2744" i="12"/>
  <c r="O2690" i="12" l="1"/>
  <c r="Q2690" i="12"/>
  <c r="P2713" i="12"/>
  <c r="H2713" i="12"/>
  <c r="H2708" i="12"/>
  <c r="P2708" i="12"/>
  <c r="H2705" i="12"/>
  <c r="P2705" i="12"/>
  <c r="H2692" i="12"/>
  <c r="P2557" i="12"/>
  <c r="H2557" i="12"/>
  <c r="P2458" i="12"/>
  <c r="P2427" i="12"/>
  <c r="P2021" i="12"/>
  <c r="P1959" i="12"/>
  <c r="P1930" i="12"/>
  <c r="H1930" i="12"/>
  <c r="P1929" i="12"/>
  <c r="H2688" i="12" l="1"/>
  <c r="P2676" i="12"/>
  <c r="H2676" i="12"/>
  <c r="H2670" i="12"/>
  <c r="P2670" i="12"/>
  <c r="M2766" i="12" l="1"/>
  <c r="P2649" i="12"/>
  <c r="H2649" i="12"/>
  <c r="M2704" i="12" l="1"/>
  <c r="M2710" i="12"/>
  <c r="M2712" i="12"/>
  <c r="M2699" i="12"/>
  <c r="M2763" i="12"/>
  <c r="M2765" i="12"/>
  <c r="M2698" i="12"/>
  <c r="M2694" i="12"/>
  <c r="M2702" i="12"/>
  <c r="M2701" i="12"/>
  <c r="M2696" i="12"/>
  <c r="M2706" i="12"/>
  <c r="M2707" i="12"/>
  <c r="M2709" i="12"/>
  <c r="M2714" i="12"/>
  <c r="M2749" i="12"/>
  <c r="M2690" i="12"/>
  <c r="M2691" i="12"/>
  <c r="M2693" i="12"/>
  <c r="M2786" i="12"/>
  <c r="M2787" i="12"/>
  <c r="M2692" i="12"/>
  <c r="M2700" i="12"/>
  <c r="M2708" i="12"/>
  <c r="M2748" i="12"/>
  <c r="M2764" i="12"/>
  <c r="M2788" i="12"/>
  <c r="M2665" i="12"/>
  <c r="M2666" i="12"/>
  <c r="M2667" i="12"/>
  <c r="M2672" i="12"/>
  <c r="M2673" i="12"/>
  <c r="M2675" i="12"/>
  <c r="M2677" i="12"/>
  <c r="M2681" i="12"/>
  <c r="M2682" i="12"/>
  <c r="M2687" i="12"/>
  <c r="M2689" i="12"/>
  <c r="M2695" i="12"/>
  <c r="M2697" i="12"/>
  <c r="M2703" i="12"/>
  <c r="M2705" i="12"/>
  <c r="M2711" i="12"/>
  <c r="M2713" i="12"/>
  <c r="M2685" i="12"/>
  <c r="M2683" i="12"/>
  <c r="M2679" i="12"/>
  <c r="M2686" i="12"/>
  <c r="M2668" i="12"/>
  <c r="M2669" i="12"/>
  <c r="M2670" i="12"/>
  <c r="M2674" i="12"/>
  <c r="M2678" i="12"/>
  <c r="M2676" i="12"/>
  <c r="M2680" i="12"/>
  <c r="M2671" i="12"/>
  <c r="M2688" i="12"/>
  <c r="M2684" i="12"/>
  <c r="P2630" i="12"/>
  <c r="H2630" i="12"/>
  <c r="P2628" i="12"/>
  <c r="H2628" i="12"/>
  <c r="P2640" i="12"/>
  <c r="H2640" i="12"/>
  <c r="M2663" i="12" l="1"/>
  <c r="M2664" i="12"/>
  <c r="M2652" i="12"/>
  <c r="M2650" i="12"/>
  <c r="M2648" i="12"/>
  <c r="M2647" i="12"/>
  <c r="M2645" i="12"/>
  <c r="M2643" i="12"/>
  <c r="M2639" i="12"/>
  <c r="M2637" i="12"/>
  <c r="M2631" i="12"/>
  <c r="M2629" i="12"/>
  <c r="M2627" i="12"/>
  <c r="M2623" i="12"/>
  <c r="M2621" i="12"/>
  <c r="M2644" i="12"/>
  <c r="M2628" i="12"/>
  <c r="M2636" i="12"/>
  <c r="M2634" i="12"/>
  <c r="M2632" i="12"/>
  <c r="M2661" i="12"/>
  <c r="M2659" i="12"/>
  <c r="M2655" i="12"/>
  <c r="M2653" i="12"/>
  <c r="M2620" i="12"/>
  <c r="M2660" i="12"/>
  <c r="M2658" i="12"/>
  <c r="M2656" i="12"/>
  <c r="M2651" i="12"/>
  <c r="M2642" i="12"/>
  <c r="M2640" i="12"/>
  <c r="M2635" i="12"/>
  <c r="M2626" i="12"/>
  <c r="M2624" i="12"/>
  <c r="M2662" i="12"/>
  <c r="M2657" i="12"/>
  <c r="M2654" i="12"/>
  <c r="M2649" i="12"/>
  <c r="M2646" i="12"/>
  <c r="M2641" i="12"/>
  <c r="M2638" i="12"/>
  <c r="M2633" i="12"/>
  <c r="M2630" i="12"/>
  <c r="M2625" i="12"/>
  <c r="M2622" i="12"/>
  <c r="C2555" i="12"/>
  <c r="E2555" i="12"/>
  <c r="I2555" i="12" s="1"/>
  <c r="F2555" i="12"/>
  <c r="G2555" i="12" s="1"/>
  <c r="K2555" i="12"/>
  <c r="O2555" i="12"/>
  <c r="Q2555" i="12"/>
  <c r="J2555" i="12" l="1"/>
  <c r="L2555" i="12" s="1"/>
  <c r="M2602" i="12" l="1"/>
  <c r="M2603" i="12"/>
  <c r="M2604" i="12"/>
  <c r="M2605" i="12"/>
  <c r="M2606" i="12"/>
  <c r="M2607" i="12"/>
  <c r="M2608" i="12"/>
  <c r="M2609" i="12"/>
  <c r="M2610" i="12"/>
  <c r="M2611" i="12"/>
  <c r="M2612" i="12"/>
  <c r="M2613" i="12"/>
  <c r="M2614" i="12"/>
  <c r="M2615" i="12"/>
  <c r="M2616" i="12"/>
  <c r="M2617" i="12"/>
  <c r="M2618" i="12"/>
  <c r="P2604" i="12" l="1"/>
  <c r="H2604" i="12"/>
  <c r="H2597" i="12"/>
  <c r="P2597" i="12"/>
  <c r="P2596" i="12"/>
  <c r="H2596" i="12"/>
  <c r="Q2758" i="12"/>
  <c r="O2758" i="12"/>
  <c r="K2758" i="12"/>
  <c r="F2758" i="12"/>
  <c r="G2758" i="12" s="1"/>
  <c r="E2758" i="12"/>
  <c r="I2758" i="12" s="1"/>
  <c r="C2758" i="12"/>
  <c r="Q2757" i="12"/>
  <c r="O2757" i="12"/>
  <c r="K2757" i="12"/>
  <c r="F2757" i="12"/>
  <c r="G2757" i="12" s="1"/>
  <c r="E2757" i="12"/>
  <c r="I2757" i="12" s="1"/>
  <c r="C2757" i="12"/>
  <c r="Q2756" i="12"/>
  <c r="O2756" i="12"/>
  <c r="K2756" i="12"/>
  <c r="F2756" i="12"/>
  <c r="G2756" i="12" s="1"/>
  <c r="E2756" i="12"/>
  <c r="I2756" i="12" s="1"/>
  <c r="C2756" i="12"/>
  <c r="Q2755" i="12"/>
  <c r="O2755" i="12"/>
  <c r="K2755" i="12"/>
  <c r="F2755" i="12"/>
  <c r="G2755" i="12" s="1"/>
  <c r="E2755" i="12"/>
  <c r="I2755" i="12" s="1"/>
  <c r="C2755" i="12"/>
  <c r="Q2754" i="12"/>
  <c r="O2754" i="12"/>
  <c r="K2754" i="12"/>
  <c r="F2754" i="12"/>
  <c r="G2754" i="12" s="1"/>
  <c r="E2754" i="12"/>
  <c r="I2754" i="12" s="1"/>
  <c r="C2754" i="12"/>
  <c r="Q2753" i="12"/>
  <c r="O2753" i="12"/>
  <c r="K2753" i="12"/>
  <c r="F2753" i="12"/>
  <c r="G2753" i="12" s="1"/>
  <c r="E2753" i="12"/>
  <c r="I2753" i="12" s="1"/>
  <c r="C2753" i="12"/>
  <c r="Q2752" i="12"/>
  <c r="O2752" i="12"/>
  <c r="K2752" i="12"/>
  <c r="F2752" i="12"/>
  <c r="G2752" i="12" s="1"/>
  <c r="E2752" i="12"/>
  <c r="I2752" i="12" s="1"/>
  <c r="C2752" i="12"/>
  <c r="Q2751" i="12"/>
  <c r="O2751" i="12"/>
  <c r="K2751" i="12"/>
  <c r="F2751" i="12"/>
  <c r="G2751" i="12" s="1"/>
  <c r="J2751" i="12" s="1"/>
  <c r="E2751" i="12"/>
  <c r="I2751" i="12" s="1"/>
  <c r="C2751" i="12"/>
  <c r="Q2750" i="12"/>
  <c r="O2750" i="12"/>
  <c r="K2750" i="12"/>
  <c r="F2750" i="12"/>
  <c r="G2750" i="12" s="1"/>
  <c r="E2750" i="12"/>
  <c r="I2750" i="12" s="1"/>
  <c r="C2750" i="12"/>
  <c r="Q2749" i="12"/>
  <c r="O2749" i="12"/>
  <c r="K2749" i="12"/>
  <c r="F2749" i="12"/>
  <c r="G2749" i="12" s="1"/>
  <c r="E2749" i="12"/>
  <c r="I2749" i="12" s="1"/>
  <c r="C2749" i="12"/>
  <c r="Q2748" i="12"/>
  <c r="O2748" i="12"/>
  <c r="K2748" i="12"/>
  <c r="F2748" i="12"/>
  <c r="G2748" i="12" s="1"/>
  <c r="E2748" i="12"/>
  <c r="I2748" i="12" s="1"/>
  <c r="C2748" i="12"/>
  <c r="Q2747" i="12"/>
  <c r="O2747" i="12"/>
  <c r="K2747" i="12"/>
  <c r="F2747" i="12"/>
  <c r="G2747" i="12" s="1"/>
  <c r="E2747" i="12"/>
  <c r="I2747" i="12" s="1"/>
  <c r="C2747" i="12"/>
  <c r="Q2746" i="12"/>
  <c r="O2746" i="12"/>
  <c r="K2746" i="12"/>
  <c r="F2746" i="12"/>
  <c r="G2746" i="12" s="1"/>
  <c r="E2746" i="12"/>
  <c r="I2746" i="12" s="1"/>
  <c r="C2746" i="12"/>
  <c r="Q2745" i="12"/>
  <c r="O2745" i="12"/>
  <c r="K2745" i="12"/>
  <c r="F2745" i="12"/>
  <c r="G2745" i="12" s="1"/>
  <c r="E2745" i="12"/>
  <c r="I2745" i="12" s="1"/>
  <c r="C2745" i="12"/>
  <c r="Q2740" i="12"/>
  <c r="O2740" i="12"/>
  <c r="K2740" i="12"/>
  <c r="F2740" i="12"/>
  <c r="G2740" i="12" s="1"/>
  <c r="E2740" i="12"/>
  <c r="I2740" i="12" s="1"/>
  <c r="C2740" i="12"/>
  <c r="Q2744" i="12"/>
  <c r="O2744" i="12"/>
  <c r="K2744" i="12"/>
  <c r="F2744" i="12"/>
  <c r="G2744" i="12" s="1"/>
  <c r="E2744" i="12"/>
  <c r="I2744" i="12" s="1"/>
  <c r="C2744" i="12"/>
  <c r="Q2743" i="12"/>
  <c r="O2743" i="12"/>
  <c r="K2743" i="12"/>
  <c r="F2743" i="12"/>
  <c r="G2743" i="12" s="1"/>
  <c r="E2743" i="12"/>
  <c r="I2743" i="12" s="1"/>
  <c r="C2743" i="12"/>
  <c r="Q2742" i="12"/>
  <c r="O2742" i="12"/>
  <c r="K2742" i="12"/>
  <c r="F2742" i="12"/>
  <c r="G2742" i="12" s="1"/>
  <c r="J2742" i="12" s="1"/>
  <c r="E2742" i="12"/>
  <c r="I2742" i="12" s="1"/>
  <c r="C2742" i="12"/>
  <c r="Q2741" i="12"/>
  <c r="O2741" i="12"/>
  <c r="K2741" i="12"/>
  <c r="F2741" i="12"/>
  <c r="G2741" i="12" s="1"/>
  <c r="E2741" i="12"/>
  <c r="I2741" i="12" s="1"/>
  <c r="C2741" i="12"/>
  <c r="Q2739" i="12"/>
  <c r="O2739" i="12"/>
  <c r="K2739" i="12"/>
  <c r="F2739" i="12"/>
  <c r="G2739" i="12" s="1"/>
  <c r="J2739" i="12" s="1"/>
  <c r="E2739" i="12"/>
  <c r="I2739" i="12" s="1"/>
  <c r="C2739" i="12"/>
  <c r="Q2738" i="12"/>
  <c r="O2738" i="12"/>
  <c r="K2738" i="12"/>
  <c r="F2738" i="12"/>
  <c r="G2738" i="12" s="1"/>
  <c r="E2738" i="12"/>
  <c r="I2738" i="12" s="1"/>
  <c r="C2738" i="12"/>
  <c r="Q2737" i="12"/>
  <c r="O2737" i="12"/>
  <c r="K2737" i="12"/>
  <c r="F2737" i="12"/>
  <c r="G2737" i="12" s="1"/>
  <c r="E2737" i="12"/>
  <c r="I2737" i="12" s="1"/>
  <c r="C2737" i="12"/>
  <c r="Q2736" i="12"/>
  <c r="O2736" i="12"/>
  <c r="K2736" i="12"/>
  <c r="F2736" i="12"/>
  <c r="G2736" i="12" s="1"/>
  <c r="E2736" i="12"/>
  <c r="I2736" i="12" s="1"/>
  <c r="C2736" i="12"/>
  <c r="Q2735" i="12"/>
  <c r="O2735" i="12"/>
  <c r="K2735" i="12"/>
  <c r="F2735" i="12"/>
  <c r="G2735" i="12" s="1"/>
  <c r="J2735" i="12" s="1"/>
  <c r="E2735" i="12"/>
  <c r="I2735" i="12" s="1"/>
  <c r="C2735" i="12"/>
  <c r="Q2734" i="12"/>
  <c r="O2734" i="12"/>
  <c r="K2734" i="12"/>
  <c r="F2734" i="12"/>
  <c r="G2734" i="12" s="1"/>
  <c r="E2734" i="12"/>
  <c r="I2734" i="12" s="1"/>
  <c r="C2734" i="12"/>
  <c r="Q2733" i="12"/>
  <c r="O2733" i="12"/>
  <c r="K2733" i="12"/>
  <c r="F2733" i="12"/>
  <c r="G2733" i="12" s="1"/>
  <c r="E2733" i="12"/>
  <c r="I2733" i="12" s="1"/>
  <c r="C2733" i="12"/>
  <c r="Q2732" i="12"/>
  <c r="O2732" i="12"/>
  <c r="K2732" i="12"/>
  <c r="F2732" i="12"/>
  <c r="G2732" i="12" s="1"/>
  <c r="E2732" i="12"/>
  <c r="I2732" i="12" s="1"/>
  <c r="C2732" i="12"/>
  <c r="Q2731" i="12"/>
  <c r="O2731" i="12"/>
  <c r="K2731" i="12"/>
  <c r="F2731" i="12"/>
  <c r="G2731" i="12" s="1"/>
  <c r="E2731" i="12"/>
  <c r="I2731" i="12" s="1"/>
  <c r="C2731" i="12"/>
  <c r="Q2730" i="12"/>
  <c r="O2730" i="12"/>
  <c r="K2730" i="12"/>
  <c r="F2730" i="12"/>
  <c r="G2730" i="12" s="1"/>
  <c r="J2730" i="12" s="1"/>
  <c r="E2730" i="12"/>
  <c r="I2730" i="12" s="1"/>
  <c r="C2730" i="12"/>
  <c r="Q2729" i="12"/>
  <c r="O2729" i="12"/>
  <c r="K2729" i="12"/>
  <c r="F2729" i="12"/>
  <c r="G2729" i="12" s="1"/>
  <c r="E2729" i="12"/>
  <c r="I2729" i="12" s="1"/>
  <c r="C2729" i="12"/>
  <c r="Q2728" i="12"/>
  <c r="O2728" i="12"/>
  <c r="K2728" i="12"/>
  <c r="F2728" i="12"/>
  <c r="G2728" i="12" s="1"/>
  <c r="E2728" i="12"/>
  <c r="I2728" i="12" s="1"/>
  <c r="C2728" i="12"/>
  <c r="Q2727" i="12"/>
  <c r="O2727" i="12"/>
  <c r="K2727" i="12"/>
  <c r="F2727" i="12"/>
  <c r="G2727" i="12" s="1"/>
  <c r="E2727" i="12"/>
  <c r="I2727" i="12" s="1"/>
  <c r="C2727" i="12"/>
  <c r="Q2726" i="12"/>
  <c r="O2726" i="12"/>
  <c r="K2726" i="12"/>
  <c r="F2726" i="12"/>
  <c r="G2726" i="12" s="1"/>
  <c r="E2726" i="12"/>
  <c r="I2726" i="12" s="1"/>
  <c r="C2726" i="12"/>
  <c r="Q2725" i="12"/>
  <c r="O2725" i="12"/>
  <c r="K2725" i="12"/>
  <c r="F2725" i="12"/>
  <c r="G2725" i="12" s="1"/>
  <c r="E2725" i="12"/>
  <c r="I2725" i="12" s="1"/>
  <c r="C2725" i="12"/>
  <c r="Q2724" i="12"/>
  <c r="O2724" i="12"/>
  <c r="K2724" i="12"/>
  <c r="F2724" i="12"/>
  <c r="G2724" i="12" s="1"/>
  <c r="E2724" i="12"/>
  <c r="I2724" i="12" s="1"/>
  <c r="C2724" i="12"/>
  <c r="Q2723" i="12"/>
  <c r="O2723" i="12"/>
  <c r="K2723" i="12"/>
  <c r="F2723" i="12"/>
  <c r="G2723" i="12" s="1"/>
  <c r="E2723" i="12"/>
  <c r="I2723" i="12" s="1"/>
  <c r="C2723" i="12"/>
  <c r="Q2722" i="12"/>
  <c r="O2722" i="12"/>
  <c r="K2722" i="12"/>
  <c r="F2722" i="12"/>
  <c r="G2722" i="12" s="1"/>
  <c r="E2722" i="12"/>
  <c r="I2722" i="12" s="1"/>
  <c r="C2722" i="12"/>
  <c r="Q2721" i="12"/>
  <c r="O2721" i="12"/>
  <c r="K2721" i="12"/>
  <c r="F2721" i="12"/>
  <c r="G2721" i="12" s="1"/>
  <c r="E2721" i="12"/>
  <c r="I2721" i="12" s="1"/>
  <c r="C2721" i="12"/>
  <c r="Q2720" i="12"/>
  <c r="O2720" i="12"/>
  <c r="K2720" i="12"/>
  <c r="F2720" i="12"/>
  <c r="G2720" i="12" s="1"/>
  <c r="E2720" i="12"/>
  <c r="I2720" i="12" s="1"/>
  <c r="C2720" i="12"/>
  <c r="Q2719" i="12"/>
  <c r="O2719" i="12"/>
  <c r="K2719" i="12"/>
  <c r="F2719" i="12"/>
  <c r="G2719" i="12" s="1"/>
  <c r="E2719" i="12"/>
  <c r="I2719" i="12" s="1"/>
  <c r="C2719" i="12"/>
  <c r="Q2718" i="12"/>
  <c r="O2718" i="12"/>
  <c r="K2718" i="12"/>
  <c r="F2718" i="12"/>
  <c r="G2718" i="12" s="1"/>
  <c r="E2718" i="12"/>
  <c r="I2718" i="12" s="1"/>
  <c r="C2718" i="12"/>
  <c r="Q2717" i="12"/>
  <c r="O2717" i="12"/>
  <c r="K2717" i="12"/>
  <c r="F2717" i="12"/>
  <c r="G2717" i="12" s="1"/>
  <c r="E2717" i="12"/>
  <c r="I2717" i="12" s="1"/>
  <c r="C2717" i="12"/>
  <c r="Q2716" i="12"/>
  <c r="O2716" i="12"/>
  <c r="K2716" i="12"/>
  <c r="F2716" i="12"/>
  <c r="G2716" i="12" s="1"/>
  <c r="E2716" i="12"/>
  <c r="I2716" i="12" s="1"/>
  <c r="C2716" i="12"/>
  <c r="Q2715" i="12"/>
  <c r="O2715" i="12"/>
  <c r="K2715" i="12"/>
  <c r="F2715" i="12"/>
  <c r="G2715" i="12" s="1"/>
  <c r="E2715" i="12"/>
  <c r="I2715" i="12" s="1"/>
  <c r="C2715" i="12"/>
  <c r="Q2714" i="12"/>
  <c r="O2714" i="12"/>
  <c r="K2714" i="12"/>
  <c r="F2714" i="12"/>
  <c r="G2714" i="12" s="1"/>
  <c r="E2714" i="12"/>
  <c r="I2714" i="12" s="1"/>
  <c r="C2714" i="12"/>
  <c r="Q2713" i="12"/>
  <c r="O2713" i="12"/>
  <c r="K2713" i="12"/>
  <c r="F2713" i="12"/>
  <c r="G2713" i="12" s="1"/>
  <c r="E2713" i="12"/>
  <c r="I2713" i="12" s="1"/>
  <c r="C2713" i="12"/>
  <c r="Q2712" i="12"/>
  <c r="O2712" i="12"/>
  <c r="K2712" i="12"/>
  <c r="F2712" i="12"/>
  <c r="G2712" i="12" s="1"/>
  <c r="E2712" i="12"/>
  <c r="I2712" i="12" s="1"/>
  <c r="C2712" i="12"/>
  <c r="Q2711" i="12"/>
  <c r="O2711" i="12"/>
  <c r="K2711" i="12"/>
  <c r="F2711" i="12"/>
  <c r="G2711" i="12" s="1"/>
  <c r="E2711" i="12"/>
  <c r="I2711" i="12" s="1"/>
  <c r="C2711" i="12"/>
  <c r="Q2710" i="12"/>
  <c r="O2710" i="12"/>
  <c r="K2710" i="12"/>
  <c r="F2710" i="12"/>
  <c r="G2710" i="12" s="1"/>
  <c r="E2710" i="12"/>
  <c r="I2710" i="12" s="1"/>
  <c r="C2710" i="12"/>
  <c r="Q2709" i="12"/>
  <c r="O2709" i="12"/>
  <c r="K2709" i="12"/>
  <c r="F2709" i="12"/>
  <c r="G2709" i="12" s="1"/>
  <c r="E2709" i="12"/>
  <c r="I2709" i="12" s="1"/>
  <c r="C2709" i="12"/>
  <c r="Q2708" i="12"/>
  <c r="O2708" i="12"/>
  <c r="K2708" i="12"/>
  <c r="F2708" i="12"/>
  <c r="G2708" i="12" s="1"/>
  <c r="E2708" i="12"/>
  <c r="I2708" i="12" s="1"/>
  <c r="C2708" i="12"/>
  <c r="Q2707" i="12"/>
  <c r="O2707" i="12"/>
  <c r="K2707" i="12"/>
  <c r="F2707" i="12"/>
  <c r="G2707" i="12" s="1"/>
  <c r="E2707" i="12"/>
  <c r="I2707" i="12" s="1"/>
  <c r="C2707" i="12"/>
  <c r="Q2706" i="12"/>
  <c r="O2706" i="12"/>
  <c r="K2706" i="12"/>
  <c r="F2706" i="12"/>
  <c r="G2706" i="12" s="1"/>
  <c r="E2706" i="12"/>
  <c r="I2706" i="12" s="1"/>
  <c r="C2706" i="12"/>
  <c r="Q2705" i="12"/>
  <c r="O2705" i="12"/>
  <c r="K2705" i="12"/>
  <c r="F2705" i="12"/>
  <c r="G2705" i="12" s="1"/>
  <c r="E2705" i="12"/>
  <c r="I2705" i="12" s="1"/>
  <c r="C2705" i="12"/>
  <c r="Q2704" i="12"/>
  <c r="O2704" i="12"/>
  <c r="K2704" i="12"/>
  <c r="F2704" i="12"/>
  <c r="G2704" i="12" s="1"/>
  <c r="E2704" i="12"/>
  <c r="I2704" i="12" s="1"/>
  <c r="C2704" i="12"/>
  <c r="Q2703" i="12"/>
  <c r="O2703" i="12"/>
  <c r="K2703" i="12"/>
  <c r="F2703" i="12"/>
  <c r="G2703" i="12" s="1"/>
  <c r="E2703" i="12"/>
  <c r="I2703" i="12" s="1"/>
  <c r="C2703" i="12"/>
  <c r="Q2702" i="12"/>
  <c r="O2702" i="12"/>
  <c r="K2702" i="12"/>
  <c r="F2702" i="12"/>
  <c r="G2702" i="12" s="1"/>
  <c r="E2702" i="12"/>
  <c r="I2702" i="12" s="1"/>
  <c r="C2702" i="12"/>
  <c r="Q2701" i="12"/>
  <c r="O2701" i="12"/>
  <c r="K2701" i="12"/>
  <c r="F2701" i="12"/>
  <c r="G2701" i="12" s="1"/>
  <c r="E2701" i="12"/>
  <c r="I2701" i="12" s="1"/>
  <c r="C2701" i="12"/>
  <c r="Q2700" i="12"/>
  <c r="O2700" i="12"/>
  <c r="K2700" i="12"/>
  <c r="F2700" i="12"/>
  <c r="G2700" i="12" s="1"/>
  <c r="E2700" i="12"/>
  <c r="I2700" i="12" s="1"/>
  <c r="C2700" i="12"/>
  <c r="Q2699" i="12"/>
  <c r="O2699" i="12"/>
  <c r="K2699" i="12"/>
  <c r="F2699" i="12"/>
  <c r="G2699" i="12" s="1"/>
  <c r="E2699" i="12"/>
  <c r="I2699" i="12" s="1"/>
  <c r="C2699" i="12"/>
  <c r="Q2698" i="12"/>
  <c r="O2698" i="12"/>
  <c r="K2698" i="12"/>
  <c r="F2698" i="12"/>
  <c r="E2698" i="12"/>
  <c r="I2698" i="12" s="1"/>
  <c r="C2698" i="12"/>
  <c r="Q2697" i="12"/>
  <c r="O2697" i="12"/>
  <c r="K2697" i="12"/>
  <c r="F2697" i="12"/>
  <c r="G2697" i="12" s="1"/>
  <c r="E2697" i="12"/>
  <c r="I2697" i="12" s="1"/>
  <c r="C2697" i="12"/>
  <c r="Q2696" i="12"/>
  <c r="O2696" i="12"/>
  <c r="K2696" i="12"/>
  <c r="F2696" i="12"/>
  <c r="G2696" i="12" s="1"/>
  <c r="E2696" i="12"/>
  <c r="I2696" i="12" s="1"/>
  <c r="C2696" i="12"/>
  <c r="Q2695" i="12"/>
  <c r="O2695" i="12"/>
  <c r="K2695" i="12"/>
  <c r="F2695" i="12"/>
  <c r="G2695" i="12" s="1"/>
  <c r="E2695" i="12"/>
  <c r="I2695" i="12" s="1"/>
  <c r="C2695" i="12"/>
  <c r="Q2694" i="12"/>
  <c r="O2694" i="12"/>
  <c r="K2694" i="12"/>
  <c r="F2694" i="12"/>
  <c r="G2694" i="12" s="1"/>
  <c r="E2694" i="12"/>
  <c r="I2694" i="12" s="1"/>
  <c r="C2694" i="12"/>
  <c r="Q2693" i="12"/>
  <c r="O2693" i="12"/>
  <c r="K2693" i="12"/>
  <c r="F2693" i="12"/>
  <c r="G2693" i="12" s="1"/>
  <c r="E2693" i="12"/>
  <c r="I2693" i="12" s="1"/>
  <c r="C2693" i="12"/>
  <c r="Q2692" i="12"/>
  <c r="O2692" i="12"/>
  <c r="K2692" i="12"/>
  <c r="F2692" i="12"/>
  <c r="G2692" i="12" s="1"/>
  <c r="E2692" i="12"/>
  <c r="I2692" i="12" s="1"/>
  <c r="C2692" i="12"/>
  <c r="Q2691" i="12"/>
  <c r="O2691" i="12"/>
  <c r="K2691" i="12"/>
  <c r="F2691" i="12"/>
  <c r="G2691" i="12" s="1"/>
  <c r="J2691" i="12" s="1"/>
  <c r="E2691" i="12"/>
  <c r="I2691" i="12" s="1"/>
  <c r="C2691" i="12"/>
  <c r="K2690" i="12"/>
  <c r="F2690" i="12"/>
  <c r="G2690" i="12" s="1"/>
  <c r="E2690" i="12"/>
  <c r="I2690" i="12" s="1"/>
  <c r="C2690" i="12"/>
  <c r="Q2689" i="12"/>
  <c r="O2689" i="12"/>
  <c r="K2689" i="12"/>
  <c r="F2689" i="12"/>
  <c r="G2689" i="12" s="1"/>
  <c r="E2689" i="12"/>
  <c r="I2689" i="12" s="1"/>
  <c r="C2689" i="12"/>
  <c r="Q2688" i="12"/>
  <c r="O2688" i="12"/>
  <c r="K2688" i="12"/>
  <c r="F2688" i="12"/>
  <c r="G2688" i="12" s="1"/>
  <c r="E2688" i="12"/>
  <c r="I2688" i="12" s="1"/>
  <c r="C2688" i="12"/>
  <c r="Q2687" i="12"/>
  <c r="O2687" i="12"/>
  <c r="K2687" i="12"/>
  <c r="F2687" i="12"/>
  <c r="G2687" i="12" s="1"/>
  <c r="J2687" i="12" s="1"/>
  <c r="E2687" i="12"/>
  <c r="I2687" i="12" s="1"/>
  <c r="C2687" i="12"/>
  <c r="Q2686" i="12"/>
  <c r="O2686" i="12"/>
  <c r="K2686" i="12"/>
  <c r="F2686" i="12"/>
  <c r="G2686" i="12" s="1"/>
  <c r="E2686" i="12"/>
  <c r="I2686" i="12" s="1"/>
  <c r="C2686" i="12"/>
  <c r="Q2685" i="12"/>
  <c r="O2685" i="12"/>
  <c r="K2685" i="12"/>
  <c r="F2685" i="12"/>
  <c r="G2685" i="12" s="1"/>
  <c r="E2685" i="12"/>
  <c r="I2685" i="12" s="1"/>
  <c r="C2685" i="12"/>
  <c r="Q2684" i="12"/>
  <c r="O2684" i="12"/>
  <c r="K2684" i="12"/>
  <c r="F2684" i="12"/>
  <c r="G2684" i="12" s="1"/>
  <c r="E2684" i="12"/>
  <c r="I2684" i="12" s="1"/>
  <c r="C2684" i="12"/>
  <c r="Q2683" i="12"/>
  <c r="O2683" i="12"/>
  <c r="K2683" i="12"/>
  <c r="F2683" i="12"/>
  <c r="G2683" i="12" s="1"/>
  <c r="J2683" i="12" s="1"/>
  <c r="E2683" i="12"/>
  <c r="I2683" i="12" s="1"/>
  <c r="C2683" i="12"/>
  <c r="Q2682" i="12"/>
  <c r="O2682" i="12"/>
  <c r="K2682" i="12"/>
  <c r="F2682" i="12"/>
  <c r="G2682" i="12" s="1"/>
  <c r="E2682" i="12"/>
  <c r="I2682" i="12" s="1"/>
  <c r="C2682" i="12"/>
  <c r="Q2681" i="12"/>
  <c r="O2681" i="12"/>
  <c r="K2681" i="12"/>
  <c r="F2681" i="12"/>
  <c r="G2681" i="12" s="1"/>
  <c r="E2681" i="12"/>
  <c r="I2681" i="12" s="1"/>
  <c r="C2681" i="12"/>
  <c r="Q2680" i="12"/>
  <c r="O2680" i="12"/>
  <c r="K2680" i="12"/>
  <c r="F2680" i="12"/>
  <c r="G2680" i="12" s="1"/>
  <c r="E2680" i="12"/>
  <c r="I2680" i="12" s="1"/>
  <c r="C2680" i="12"/>
  <c r="Q2679" i="12"/>
  <c r="O2679" i="12"/>
  <c r="K2679" i="12"/>
  <c r="F2679" i="12"/>
  <c r="G2679" i="12" s="1"/>
  <c r="J2679" i="12" s="1"/>
  <c r="E2679" i="12"/>
  <c r="I2679" i="12" s="1"/>
  <c r="C2679" i="12"/>
  <c r="Q2678" i="12"/>
  <c r="O2678" i="12"/>
  <c r="K2678" i="12"/>
  <c r="F2678" i="12"/>
  <c r="E2678" i="12"/>
  <c r="I2678" i="12" s="1"/>
  <c r="C2678" i="12"/>
  <c r="Q2677" i="12"/>
  <c r="O2677" i="12"/>
  <c r="K2677" i="12"/>
  <c r="F2677" i="12"/>
  <c r="G2677" i="12" s="1"/>
  <c r="E2677" i="12"/>
  <c r="I2677" i="12" s="1"/>
  <c r="C2677" i="12"/>
  <c r="Q2676" i="12"/>
  <c r="O2676" i="12"/>
  <c r="K2676" i="12"/>
  <c r="F2676" i="12"/>
  <c r="G2676" i="12" s="1"/>
  <c r="E2676" i="12"/>
  <c r="I2676" i="12" s="1"/>
  <c r="C2676" i="12"/>
  <c r="Q2675" i="12"/>
  <c r="O2675" i="12"/>
  <c r="K2675" i="12"/>
  <c r="F2675" i="12"/>
  <c r="G2675" i="12" s="1"/>
  <c r="E2675" i="12"/>
  <c r="I2675" i="12" s="1"/>
  <c r="C2675" i="12"/>
  <c r="Q2674" i="12"/>
  <c r="O2674" i="12"/>
  <c r="K2674" i="12"/>
  <c r="F2674" i="12"/>
  <c r="G2674" i="12" s="1"/>
  <c r="E2674" i="12"/>
  <c r="I2674" i="12" s="1"/>
  <c r="C2674" i="12"/>
  <c r="Q2673" i="12"/>
  <c r="O2673" i="12"/>
  <c r="K2673" i="12"/>
  <c r="F2673" i="12"/>
  <c r="G2673" i="12" s="1"/>
  <c r="E2673" i="12"/>
  <c r="I2673" i="12" s="1"/>
  <c r="C2673" i="12"/>
  <c r="Q2672" i="12"/>
  <c r="O2672" i="12"/>
  <c r="K2672" i="12"/>
  <c r="F2672" i="12"/>
  <c r="G2672" i="12" s="1"/>
  <c r="E2672" i="12"/>
  <c r="I2672" i="12" s="1"/>
  <c r="C2672" i="12"/>
  <c r="Q2671" i="12"/>
  <c r="O2671" i="12"/>
  <c r="K2671" i="12"/>
  <c r="F2671" i="12"/>
  <c r="G2671" i="12" s="1"/>
  <c r="E2671" i="12"/>
  <c r="I2671" i="12" s="1"/>
  <c r="C2671" i="12"/>
  <c r="Q2670" i="12"/>
  <c r="O2670" i="12"/>
  <c r="K2670" i="12"/>
  <c r="F2670" i="12"/>
  <c r="G2670" i="12" s="1"/>
  <c r="E2670" i="12"/>
  <c r="I2670" i="12" s="1"/>
  <c r="C2670" i="12"/>
  <c r="Q2669" i="12"/>
  <c r="O2669" i="12"/>
  <c r="K2669" i="12"/>
  <c r="F2669" i="12"/>
  <c r="G2669" i="12" s="1"/>
  <c r="E2669" i="12"/>
  <c r="I2669" i="12" s="1"/>
  <c r="C2669" i="12"/>
  <c r="Q2668" i="12"/>
  <c r="O2668" i="12"/>
  <c r="K2668" i="12"/>
  <c r="F2668" i="12"/>
  <c r="G2668" i="12" s="1"/>
  <c r="E2668" i="12"/>
  <c r="I2668" i="12" s="1"/>
  <c r="C2668" i="12"/>
  <c r="Q2667" i="12"/>
  <c r="O2667" i="12"/>
  <c r="K2667" i="12"/>
  <c r="F2667" i="12"/>
  <c r="G2667" i="12" s="1"/>
  <c r="E2667" i="12"/>
  <c r="I2667" i="12" s="1"/>
  <c r="C2667" i="12"/>
  <c r="Q2666" i="12"/>
  <c r="O2666" i="12"/>
  <c r="K2666" i="12"/>
  <c r="F2666" i="12"/>
  <c r="E2666" i="12"/>
  <c r="I2666" i="12" s="1"/>
  <c r="C2666" i="12"/>
  <c r="Q2665" i="12"/>
  <c r="O2665" i="12"/>
  <c r="K2665" i="12"/>
  <c r="F2665" i="12"/>
  <c r="G2665" i="12" s="1"/>
  <c r="E2665" i="12"/>
  <c r="I2665" i="12" s="1"/>
  <c r="C2665" i="12"/>
  <c r="Q2664" i="12"/>
  <c r="O2664" i="12"/>
  <c r="K2664" i="12"/>
  <c r="F2664" i="12"/>
  <c r="G2664" i="12" s="1"/>
  <c r="E2664" i="12"/>
  <c r="I2664" i="12" s="1"/>
  <c r="C2664" i="12"/>
  <c r="Q2663" i="12"/>
  <c r="O2663" i="12"/>
  <c r="K2663" i="12"/>
  <c r="F2663" i="12"/>
  <c r="G2663" i="12" s="1"/>
  <c r="E2663" i="12"/>
  <c r="I2663" i="12" s="1"/>
  <c r="C2663" i="12"/>
  <c r="Q2662" i="12"/>
  <c r="O2662" i="12"/>
  <c r="K2662" i="12"/>
  <c r="F2662" i="12"/>
  <c r="G2662" i="12" s="1"/>
  <c r="E2662" i="12"/>
  <c r="I2662" i="12" s="1"/>
  <c r="C2662" i="12"/>
  <c r="Q2661" i="12"/>
  <c r="O2661" i="12"/>
  <c r="K2661" i="12"/>
  <c r="F2661" i="12"/>
  <c r="G2661" i="12" s="1"/>
  <c r="E2661" i="12"/>
  <c r="I2661" i="12" s="1"/>
  <c r="C2661" i="12"/>
  <c r="Q2660" i="12"/>
  <c r="O2660" i="12"/>
  <c r="K2660" i="12"/>
  <c r="F2660" i="12"/>
  <c r="G2660" i="12" s="1"/>
  <c r="E2660" i="12"/>
  <c r="I2660" i="12" s="1"/>
  <c r="C2660" i="12"/>
  <c r="Q2659" i="12"/>
  <c r="O2659" i="12"/>
  <c r="K2659" i="12"/>
  <c r="F2659" i="12"/>
  <c r="G2659" i="12" s="1"/>
  <c r="E2659" i="12"/>
  <c r="I2659" i="12" s="1"/>
  <c r="C2659" i="12"/>
  <c r="Q2658" i="12"/>
  <c r="O2658" i="12"/>
  <c r="K2658" i="12"/>
  <c r="F2658" i="12"/>
  <c r="G2658" i="12" s="1"/>
  <c r="E2658" i="12"/>
  <c r="I2658" i="12" s="1"/>
  <c r="C2658" i="12"/>
  <c r="Q2657" i="12"/>
  <c r="O2657" i="12"/>
  <c r="K2657" i="12"/>
  <c r="F2657" i="12"/>
  <c r="G2657" i="12" s="1"/>
  <c r="E2657" i="12"/>
  <c r="I2657" i="12" s="1"/>
  <c r="C2657" i="12"/>
  <c r="Q2656" i="12"/>
  <c r="O2656" i="12"/>
  <c r="K2656" i="12"/>
  <c r="F2656" i="12"/>
  <c r="G2656" i="12" s="1"/>
  <c r="E2656" i="12"/>
  <c r="I2656" i="12" s="1"/>
  <c r="C2656" i="12"/>
  <c r="Q2655" i="12"/>
  <c r="O2655" i="12"/>
  <c r="K2655" i="12"/>
  <c r="F2655" i="12"/>
  <c r="G2655" i="12" s="1"/>
  <c r="E2655" i="12"/>
  <c r="I2655" i="12" s="1"/>
  <c r="C2655" i="12"/>
  <c r="Q2654" i="12"/>
  <c r="O2654" i="12"/>
  <c r="K2654" i="12"/>
  <c r="F2654" i="12"/>
  <c r="G2654" i="12" s="1"/>
  <c r="E2654" i="12"/>
  <c r="I2654" i="12" s="1"/>
  <c r="C2654" i="12"/>
  <c r="Q2653" i="12"/>
  <c r="O2653" i="12"/>
  <c r="K2653" i="12"/>
  <c r="F2653" i="12"/>
  <c r="G2653" i="12" s="1"/>
  <c r="E2653" i="12"/>
  <c r="I2653" i="12" s="1"/>
  <c r="C2653" i="12"/>
  <c r="Q2652" i="12"/>
  <c r="O2652" i="12"/>
  <c r="K2652" i="12"/>
  <c r="F2652" i="12"/>
  <c r="G2652" i="12" s="1"/>
  <c r="E2652" i="12"/>
  <c r="I2652" i="12" s="1"/>
  <c r="C2652" i="12"/>
  <c r="Q2651" i="12"/>
  <c r="O2651" i="12"/>
  <c r="K2651" i="12"/>
  <c r="F2651" i="12"/>
  <c r="G2651" i="12" s="1"/>
  <c r="E2651" i="12"/>
  <c r="I2651" i="12" s="1"/>
  <c r="C2651" i="12"/>
  <c r="Q2650" i="12"/>
  <c r="O2650" i="12"/>
  <c r="K2650" i="12"/>
  <c r="F2650" i="12"/>
  <c r="G2650" i="12" s="1"/>
  <c r="E2650" i="12"/>
  <c r="I2650" i="12" s="1"/>
  <c r="C2650" i="12"/>
  <c r="Q2649" i="12"/>
  <c r="O2649" i="12"/>
  <c r="K2649" i="12"/>
  <c r="F2649" i="12"/>
  <c r="G2649" i="12" s="1"/>
  <c r="E2649" i="12"/>
  <c r="I2649" i="12" s="1"/>
  <c r="C2649" i="12"/>
  <c r="Q2648" i="12"/>
  <c r="O2648" i="12"/>
  <c r="K2648" i="12"/>
  <c r="F2648" i="12"/>
  <c r="G2648" i="12" s="1"/>
  <c r="E2648" i="12"/>
  <c r="I2648" i="12" s="1"/>
  <c r="C2648" i="12"/>
  <c r="Q2647" i="12"/>
  <c r="O2647" i="12"/>
  <c r="K2647" i="12"/>
  <c r="F2647" i="12"/>
  <c r="G2647" i="12" s="1"/>
  <c r="E2647" i="12"/>
  <c r="I2647" i="12" s="1"/>
  <c r="C2647" i="12"/>
  <c r="Q2646" i="12"/>
  <c r="O2646" i="12"/>
  <c r="K2646" i="12"/>
  <c r="F2646" i="12"/>
  <c r="G2646" i="12" s="1"/>
  <c r="E2646" i="12"/>
  <c r="I2646" i="12" s="1"/>
  <c r="C2646" i="12"/>
  <c r="Q2645" i="12"/>
  <c r="O2645" i="12"/>
  <c r="K2645" i="12"/>
  <c r="F2645" i="12"/>
  <c r="G2645" i="12" s="1"/>
  <c r="E2645" i="12"/>
  <c r="I2645" i="12" s="1"/>
  <c r="C2645" i="12"/>
  <c r="Q2644" i="12"/>
  <c r="O2644" i="12"/>
  <c r="K2644" i="12"/>
  <c r="F2644" i="12"/>
  <c r="G2644" i="12" s="1"/>
  <c r="E2644" i="12"/>
  <c r="I2644" i="12" s="1"/>
  <c r="C2644" i="12"/>
  <c r="Q2643" i="12"/>
  <c r="O2643" i="12"/>
  <c r="K2643" i="12"/>
  <c r="F2643" i="12"/>
  <c r="G2643" i="12" s="1"/>
  <c r="E2643" i="12"/>
  <c r="I2643" i="12" s="1"/>
  <c r="C2643" i="12"/>
  <c r="Q2642" i="12"/>
  <c r="O2642" i="12"/>
  <c r="K2642" i="12"/>
  <c r="F2642" i="12"/>
  <c r="G2642" i="12" s="1"/>
  <c r="E2642" i="12"/>
  <c r="I2642" i="12" s="1"/>
  <c r="C2642" i="12"/>
  <c r="Q2641" i="12"/>
  <c r="O2641" i="12"/>
  <c r="K2641" i="12"/>
  <c r="F2641" i="12"/>
  <c r="G2641" i="12" s="1"/>
  <c r="E2641" i="12"/>
  <c r="I2641" i="12" s="1"/>
  <c r="C2641" i="12"/>
  <c r="Q2640" i="12"/>
  <c r="O2640" i="12"/>
  <c r="K2640" i="12"/>
  <c r="F2640" i="12"/>
  <c r="G2640" i="12" s="1"/>
  <c r="E2640" i="12"/>
  <c r="I2640" i="12" s="1"/>
  <c r="C2640" i="12"/>
  <c r="Q2639" i="12"/>
  <c r="O2639" i="12"/>
  <c r="K2639" i="12"/>
  <c r="F2639" i="12"/>
  <c r="G2639" i="12" s="1"/>
  <c r="E2639" i="12"/>
  <c r="I2639" i="12" s="1"/>
  <c r="C2639" i="12"/>
  <c r="Q2638" i="12"/>
  <c r="O2638" i="12"/>
  <c r="K2638" i="12"/>
  <c r="F2638" i="12"/>
  <c r="G2638" i="12" s="1"/>
  <c r="E2638" i="12"/>
  <c r="I2638" i="12" s="1"/>
  <c r="C2638" i="12"/>
  <c r="Q2637" i="12"/>
  <c r="O2637" i="12"/>
  <c r="K2637" i="12"/>
  <c r="F2637" i="12"/>
  <c r="G2637" i="12" s="1"/>
  <c r="E2637" i="12"/>
  <c r="I2637" i="12" s="1"/>
  <c r="C2637" i="12"/>
  <c r="Q2636" i="12"/>
  <c r="O2636" i="12"/>
  <c r="K2636" i="12"/>
  <c r="F2636" i="12"/>
  <c r="G2636" i="12" s="1"/>
  <c r="E2636" i="12"/>
  <c r="I2636" i="12" s="1"/>
  <c r="C2636" i="12"/>
  <c r="Q2635" i="12"/>
  <c r="O2635" i="12"/>
  <c r="K2635" i="12"/>
  <c r="F2635" i="12"/>
  <c r="G2635" i="12" s="1"/>
  <c r="E2635" i="12"/>
  <c r="I2635" i="12" s="1"/>
  <c r="C2635" i="12"/>
  <c r="Q2634" i="12"/>
  <c r="O2634" i="12"/>
  <c r="K2634" i="12"/>
  <c r="F2634" i="12"/>
  <c r="G2634" i="12" s="1"/>
  <c r="E2634" i="12"/>
  <c r="I2634" i="12" s="1"/>
  <c r="C2634" i="12"/>
  <c r="Q2633" i="12"/>
  <c r="O2633" i="12"/>
  <c r="K2633" i="12"/>
  <c r="F2633" i="12"/>
  <c r="G2633" i="12" s="1"/>
  <c r="E2633" i="12"/>
  <c r="I2633" i="12" s="1"/>
  <c r="C2633" i="12"/>
  <c r="Q2632" i="12"/>
  <c r="O2632" i="12"/>
  <c r="K2632" i="12"/>
  <c r="F2632" i="12"/>
  <c r="G2632" i="12" s="1"/>
  <c r="E2632" i="12"/>
  <c r="I2632" i="12" s="1"/>
  <c r="C2632" i="12"/>
  <c r="Q2631" i="12"/>
  <c r="O2631" i="12"/>
  <c r="K2631" i="12"/>
  <c r="F2631" i="12"/>
  <c r="G2631" i="12" s="1"/>
  <c r="E2631" i="12"/>
  <c r="I2631" i="12" s="1"/>
  <c r="C2631" i="12"/>
  <c r="Q2630" i="12"/>
  <c r="O2630" i="12"/>
  <c r="K2630" i="12"/>
  <c r="F2630" i="12"/>
  <c r="G2630" i="12" s="1"/>
  <c r="E2630" i="12"/>
  <c r="I2630" i="12" s="1"/>
  <c r="C2630" i="12"/>
  <c r="Q2629" i="12"/>
  <c r="O2629" i="12"/>
  <c r="K2629" i="12"/>
  <c r="F2629" i="12"/>
  <c r="G2629" i="12" s="1"/>
  <c r="E2629" i="12"/>
  <c r="I2629" i="12" s="1"/>
  <c r="C2629" i="12"/>
  <c r="Q2628" i="12"/>
  <c r="O2628" i="12"/>
  <c r="K2628" i="12"/>
  <c r="F2628" i="12"/>
  <c r="G2628" i="12" s="1"/>
  <c r="E2628" i="12"/>
  <c r="I2628" i="12" s="1"/>
  <c r="C2628" i="12"/>
  <c r="Q2627" i="12"/>
  <c r="O2627" i="12"/>
  <c r="K2627" i="12"/>
  <c r="F2627" i="12"/>
  <c r="G2627" i="12" s="1"/>
  <c r="E2627" i="12"/>
  <c r="I2627" i="12" s="1"/>
  <c r="C2627" i="12"/>
  <c r="Q2626" i="12"/>
  <c r="O2626" i="12"/>
  <c r="K2626" i="12"/>
  <c r="F2626" i="12"/>
  <c r="G2626" i="12" s="1"/>
  <c r="E2626" i="12"/>
  <c r="I2626" i="12" s="1"/>
  <c r="C2626" i="12"/>
  <c r="Q2625" i="12"/>
  <c r="O2625" i="12"/>
  <c r="K2625" i="12"/>
  <c r="F2625" i="12"/>
  <c r="G2625" i="12" s="1"/>
  <c r="E2625" i="12"/>
  <c r="I2625" i="12" s="1"/>
  <c r="C2625" i="12"/>
  <c r="Q2624" i="12"/>
  <c r="O2624" i="12"/>
  <c r="K2624" i="12"/>
  <c r="F2624" i="12"/>
  <c r="G2624" i="12" s="1"/>
  <c r="E2624" i="12"/>
  <c r="I2624" i="12" s="1"/>
  <c r="C2624" i="12"/>
  <c r="Q2623" i="12"/>
  <c r="O2623" i="12"/>
  <c r="K2623" i="12"/>
  <c r="F2623" i="12"/>
  <c r="G2623" i="12" s="1"/>
  <c r="E2623" i="12"/>
  <c r="I2623" i="12" s="1"/>
  <c r="C2623" i="12"/>
  <c r="Q2622" i="12"/>
  <c r="O2622" i="12"/>
  <c r="K2622" i="12"/>
  <c r="F2622" i="12"/>
  <c r="G2622" i="12" s="1"/>
  <c r="E2622" i="12"/>
  <c r="I2622" i="12" s="1"/>
  <c r="C2622" i="12"/>
  <c r="G2698" i="12" l="1"/>
  <c r="J2698" i="12" s="1"/>
  <c r="L2698" i="12" s="1"/>
  <c r="G2666" i="12"/>
  <c r="J2666" i="12" s="1"/>
  <c r="L2666" i="12" s="1"/>
  <c r="G2678" i="12"/>
  <c r="J2678" i="12" s="1"/>
  <c r="L2678" i="12" s="1"/>
  <c r="J2738" i="12"/>
  <c r="L2738" i="12" s="1"/>
  <c r="L2687" i="12"/>
  <c r="J2733" i="12"/>
  <c r="L2733" i="12" s="1"/>
  <c r="J2673" i="12"/>
  <c r="L2673" i="12" s="1"/>
  <c r="J2741" i="12"/>
  <c r="L2741" i="12" s="1"/>
  <c r="J2734" i="12"/>
  <c r="L2734" i="12" s="1"/>
  <c r="J2672" i="12"/>
  <c r="L2672" i="12" s="1"/>
  <c r="J2692" i="12"/>
  <c r="L2692" i="12" s="1"/>
  <c r="J2745" i="12"/>
  <c r="L2745" i="12" s="1"/>
  <c r="J2758" i="12"/>
  <c r="L2758" i="12" s="1"/>
  <c r="J2740" i="12"/>
  <c r="L2740" i="12" s="1"/>
  <c r="J2750" i="12"/>
  <c r="L2750" i="12" s="1"/>
  <c r="J2757" i="12"/>
  <c r="L2757" i="12" s="1"/>
  <c r="J2749" i="12"/>
  <c r="L2749" i="12" s="1"/>
  <c r="J2754" i="12"/>
  <c r="L2754" i="12" s="1"/>
  <c r="J2756" i="12"/>
  <c r="L2756" i="12" s="1"/>
  <c r="J2753" i="12"/>
  <c r="L2753" i="12" s="1"/>
  <c r="J2755" i="12"/>
  <c r="L2755" i="12" s="1"/>
  <c r="J2748" i="12"/>
  <c r="L2748" i="12" s="1"/>
  <c r="J2752" i="12"/>
  <c r="L2752" i="12" s="1"/>
  <c r="J2747" i="12"/>
  <c r="L2747" i="12" s="1"/>
  <c r="L2751" i="12"/>
  <c r="J2746" i="12"/>
  <c r="L2746" i="12" s="1"/>
  <c r="J2627" i="12"/>
  <c r="L2627" i="12"/>
  <c r="J2632" i="12"/>
  <c r="L2632" i="12" s="1"/>
  <c r="J2663" i="12"/>
  <c r="L2663" i="12" s="1"/>
  <c r="J2625" i="12"/>
  <c r="L2625" i="12" s="1"/>
  <c r="J2631" i="12"/>
  <c r="L2631" i="12" s="1"/>
  <c r="J2658" i="12"/>
  <c r="L2658" i="12" s="1"/>
  <c r="J2662" i="12"/>
  <c r="L2662" i="12" s="1"/>
  <c r="J2693" i="12"/>
  <c r="L2693" i="12" s="1"/>
  <c r="J2650" i="12"/>
  <c r="L2650" i="12" s="1"/>
  <c r="J2657" i="12"/>
  <c r="L2657" i="12" s="1"/>
  <c r="J2637" i="12"/>
  <c r="L2637" i="12" s="1"/>
  <c r="J2649" i="12"/>
  <c r="L2649" i="12" s="1"/>
  <c r="J2653" i="12"/>
  <c r="L2653" i="12" s="1"/>
  <c r="J2656" i="12"/>
  <c r="L2656" i="12" s="1"/>
  <c r="J2667" i="12"/>
  <c r="L2667" i="12" s="1"/>
  <c r="J2671" i="12"/>
  <c r="L2671" i="12"/>
  <c r="J2622" i="12"/>
  <c r="L2622" i="12" s="1"/>
  <c r="J2626" i="12"/>
  <c r="L2626" i="12" s="1"/>
  <c r="J2640" i="12"/>
  <c r="L2640" i="12" s="1"/>
  <c r="J2639" i="12"/>
  <c r="L2639" i="12" s="1"/>
  <c r="J2644" i="12"/>
  <c r="L2644" i="12" s="1"/>
  <c r="J2638" i="12"/>
  <c r="L2638" i="12" s="1"/>
  <c r="J2661" i="12"/>
  <c r="L2661" i="12" s="1"/>
  <c r="J2675" i="12"/>
  <c r="L2675" i="12"/>
  <c r="J2630" i="12"/>
  <c r="L2630" i="12" s="1"/>
  <c r="J2636" i="12"/>
  <c r="L2636" i="12" s="1"/>
  <c r="J2648" i="12"/>
  <c r="L2648" i="12" s="1"/>
  <c r="J2652" i="12"/>
  <c r="L2652" i="12" s="1"/>
  <c r="J2655" i="12"/>
  <c r="L2655" i="12" s="1"/>
  <c r="J2660" i="12"/>
  <c r="L2660" i="12" s="1"/>
  <c r="J2645" i="12"/>
  <c r="L2645" i="12" s="1"/>
  <c r="J2624" i="12"/>
  <c r="L2624" i="12" s="1"/>
  <c r="J2629" i="12"/>
  <c r="L2629" i="12" s="1"/>
  <c r="J2635" i="12"/>
  <c r="L2635" i="12" s="1"/>
  <c r="J2643" i="12"/>
  <c r="L2643" i="12" s="1"/>
  <c r="J2647" i="12"/>
  <c r="L2647" i="12" s="1"/>
  <c r="J2651" i="12"/>
  <c r="L2651" i="12" s="1"/>
  <c r="J2654" i="12"/>
  <c r="L2654" i="12" s="1"/>
  <c r="J2659" i="12"/>
  <c r="L2659" i="12" s="1"/>
  <c r="J2665" i="12"/>
  <c r="L2665" i="12" s="1"/>
  <c r="J2670" i="12"/>
  <c r="L2670" i="12" s="1"/>
  <c r="J2623" i="12"/>
  <c r="L2623" i="12" s="1"/>
  <c r="J2628" i="12"/>
  <c r="L2628" i="12" s="1"/>
  <c r="J2634" i="12"/>
  <c r="L2634" i="12" s="1"/>
  <c r="J2642" i="12"/>
  <c r="L2642" i="12" s="1"/>
  <c r="J2669" i="12"/>
  <c r="L2669" i="12" s="1"/>
  <c r="J2633" i="12"/>
  <c r="L2633" i="12" s="1"/>
  <c r="J2646" i="12"/>
  <c r="L2646" i="12" s="1"/>
  <c r="J2664" i="12"/>
  <c r="L2664" i="12" s="1"/>
  <c r="J2677" i="12"/>
  <c r="L2677" i="12" s="1"/>
  <c r="J2685" i="12"/>
  <c r="L2685" i="12" s="1"/>
  <c r="J2641" i="12"/>
  <c r="L2641" i="12"/>
  <c r="J2681" i="12"/>
  <c r="L2681" i="12" s="1"/>
  <c r="L2686" i="12"/>
  <c r="J2686" i="12"/>
  <c r="J2689" i="12"/>
  <c r="L2689" i="12" s="1"/>
  <c r="J2697" i="12"/>
  <c r="L2697" i="12" s="1"/>
  <c r="J2702" i="12"/>
  <c r="L2702" i="12" s="1"/>
  <c r="J2709" i="12"/>
  <c r="L2709" i="12" s="1"/>
  <c r="J2712" i="12"/>
  <c r="L2712" i="12" s="1"/>
  <c r="J2720" i="12"/>
  <c r="L2720" i="12" s="1"/>
  <c r="J2728" i="12"/>
  <c r="L2728" i="12" s="1"/>
  <c r="J2736" i="12"/>
  <c r="L2736" i="12" s="1"/>
  <c r="J2668" i="12"/>
  <c r="L2668" i="12" s="1"/>
  <c r="J2688" i="12"/>
  <c r="L2688" i="12" s="1"/>
  <c r="L2691" i="12"/>
  <c r="J2696" i="12"/>
  <c r="L2696" i="12" s="1"/>
  <c r="J2701" i="12"/>
  <c r="L2701" i="12" s="1"/>
  <c r="J2708" i="12"/>
  <c r="L2708" i="12" s="1"/>
  <c r="J2711" i="12"/>
  <c r="L2711" i="12" s="1"/>
  <c r="J2719" i="12"/>
  <c r="L2719" i="12" s="1"/>
  <c r="J2727" i="12"/>
  <c r="L2727" i="12" s="1"/>
  <c r="J2682" i="12"/>
  <c r="L2682" i="12" s="1"/>
  <c r="J2684" i="12"/>
  <c r="L2684" i="12" s="1"/>
  <c r="J2695" i="12"/>
  <c r="L2695" i="12" s="1"/>
  <c r="J2707" i="12"/>
  <c r="L2707" i="12" s="1"/>
  <c r="J2726" i="12"/>
  <c r="L2726" i="12" s="1"/>
  <c r="J2732" i="12"/>
  <c r="L2732" i="12" s="1"/>
  <c r="J2674" i="12"/>
  <c r="L2674" i="12" s="1"/>
  <c r="J2700" i="12"/>
  <c r="L2700" i="12" s="1"/>
  <c r="J2710" i="12"/>
  <c r="L2710" i="12" s="1"/>
  <c r="J2718" i="12"/>
  <c r="L2718" i="12" s="1"/>
  <c r="J2676" i="12"/>
  <c r="L2676" i="12" s="1"/>
  <c r="J2680" i="12"/>
  <c r="L2680" i="12" s="1"/>
  <c r="L2683" i="12"/>
  <c r="J2717" i="12"/>
  <c r="L2717" i="12" s="1"/>
  <c r="J2725" i="12"/>
  <c r="L2725" i="12" s="1"/>
  <c r="J2731" i="12"/>
  <c r="L2731" i="12" s="1"/>
  <c r="L2679" i="12"/>
  <c r="J2706" i="12"/>
  <c r="L2706" i="12" s="1"/>
  <c r="J2716" i="12"/>
  <c r="L2716" i="12" s="1"/>
  <c r="J2724" i="12"/>
  <c r="L2724" i="12" s="1"/>
  <c r="J2729" i="12"/>
  <c r="L2729" i="12" s="1"/>
  <c r="J2705" i="12"/>
  <c r="L2705" i="12" s="1"/>
  <c r="J2715" i="12"/>
  <c r="L2715" i="12" s="1"/>
  <c r="J2723" i="12"/>
  <c r="L2723" i="12" s="1"/>
  <c r="J2744" i="12"/>
  <c r="L2744" i="12" s="1"/>
  <c r="J2694" i="12"/>
  <c r="L2694" i="12" s="1"/>
  <c r="J2699" i="12"/>
  <c r="L2699" i="12" s="1"/>
  <c r="J2704" i="12"/>
  <c r="L2704" i="12" s="1"/>
  <c r="J2714" i="12"/>
  <c r="L2714" i="12" s="1"/>
  <c r="J2722" i="12"/>
  <c r="L2722" i="12" s="1"/>
  <c r="J2743" i="12"/>
  <c r="L2743" i="12" s="1"/>
  <c r="J2690" i="12"/>
  <c r="L2690" i="12" s="1"/>
  <c r="J2703" i="12"/>
  <c r="L2703" i="12" s="1"/>
  <c r="J2713" i="12"/>
  <c r="L2713" i="12" s="1"/>
  <c r="J2721" i="12"/>
  <c r="L2721" i="12" s="1"/>
  <c r="J2737" i="12"/>
  <c r="L2737" i="12" s="1"/>
  <c r="L2730" i="12"/>
  <c r="L2735" i="12"/>
  <c r="L2739" i="12"/>
  <c r="L2742" i="12"/>
  <c r="P2585" i="12" l="1"/>
  <c r="P2583" i="12"/>
  <c r="H2585" i="12"/>
  <c r="H2583" i="12"/>
  <c r="P2578" i="12"/>
  <c r="H2578" i="12"/>
  <c r="H2572" i="12"/>
  <c r="P2572" i="12"/>
  <c r="P2568" i="12"/>
  <c r="H2568" i="12"/>
  <c r="P2564" i="12" l="1"/>
  <c r="P2562" i="12"/>
  <c r="H2564" i="12" l="1"/>
  <c r="H2562" i="12"/>
  <c r="P2553" i="12"/>
  <c r="H2553" i="12"/>
  <c r="H2545" i="12"/>
  <c r="H2534" i="12"/>
  <c r="P2531" i="12"/>
  <c r="H2531" i="12"/>
  <c r="P2524" i="12"/>
  <c r="P2502" i="12"/>
  <c r="H2502" i="12"/>
  <c r="P2487" i="12"/>
  <c r="H2487" i="12"/>
  <c r="H2524" i="12" l="1"/>
  <c r="P2520" i="12"/>
  <c r="H2520" i="12"/>
  <c r="P2512" i="12"/>
  <c r="H2512" i="12"/>
  <c r="P2501" i="12"/>
  <c r="H2501" i="12"/>
  <c r="P2489" i="12"/>
  <c r="H2489" i="12"/>
  <c r="P2386" i="12"/>
  <c r="P2387" i="12"/>
  <c r="H2386" i="12"/>
  <c r="M2599" i="12" l="1"/>
  <c r="M2577" i="12"/>
  <c r="M2567" i="12"/>
  <c r="M2543" i="12"/>
  <c r="M2533" i="12"/>
  <c r="M2593" i="12"/>
  <c r="M2591" i="12"/>
  <c r="M2585" i="12"/>
  <c r="M2561" i="12"/>
  <c r="M2557" i="12"/>
  <c r="M2551" i="12"/>
  <c r="M2601" i="12"/>
  <c r="M2583" i="12"/>
  <c r="M2541" i="12"/>
  <c r="M2535" i="12"/>
  <c r="M2575" i="12"/>
  <c r="M2569" i="12"/>
  <c r="M2549" i="12"/>
  <c r="M2598" i="12"/>
  <c r="M2597" i="12"/>
  <c r="M2596" i="12"/>
  <c r="M2582" i="12"/>
  <c r="M2581" i="12"/>
  <c r="M2580" i="12"/>
  <c r="M2566" i="12"/>
  <c r="M2564" i="12"/>
  <c r="M2548" i="12"/>
  <c r="M2547" i="12"/>
  <c r="M2546" i="12"/>
  <c r="M2531" i="12"/>
  <c r="M2530" i="12"/>
  <c r="M2498" i="12"/>
  <c r="M2590" i="12"/>
  <c r="M2589" i="12"/>
  <c r="M2588" i="12"/>
  <c r="M2574" i="12"/>
  <c r="M2573" i="12"/>
  <c r="M2572" i="12"/>
  <c r="M2556" i="12"/>
  <c r="M2555" i="12"/>
  <c r="M2554" i="12"/>
  <c r="M2553" i="12"/>
  <c r="M2540" i="12"/>
  <c r="M2539" i="12"/>
  <c r="M2538" i="12"/>
  <c r="M2537" i="12"/>
  <c r="M2595" i="12"/>
  <c r="M2579" i="12"/>
  <c r="M2563" i="12"/>
  <c r="M2545" i="12"/>
  <c r="M2529" i="12"/>
  <c r="M2587" i="12"/>
  <c r="M2571" i="12"/>
  <c r="M2578" i="12"/>
  <c r="M2570" i="12"/>
  <c r="M2562" i="12"/>
  <c r="M2536" i="12"/>
  <c r="M2586" i="12"/>
  <c r="M2552" i="12"/>
  <c r="M2544" i="12"/>
  <c r="M2528" i="12"/>
  <c r="M2600" i="12"/>
  <c r="M2592" i="12"/>
  <c r="M2584" i="12"/>
  <c r="M2576" i="12"/>
  <c r="M2568" i="12"/>
  <c r="M2560" i="12"/>
  <c r="M2550" i="12"/>
  <c r="M2542" i="12"/>
  <c r="M2534" i="12"/>
  <c r="M2594" i="12"/>
  <c r="M2532" i="12"/>
  <c r="M2497" i="12"/>
  <c r="M2500" i="12"/>
  <c r="M2499" i="12"/>
  <c r="P2471" i="12" l="1"/>
  <c r="H2471" i="12"/>
  <c r="C2494" i="12"/>
  <c r="C2490" i="12"/>
  <c r="P2456" i="12" l="1"/>
  <c r="H2456" i="12"/>
  <c r="P2460" i="12" l="1"/>
  <c r="H2458" i="12"/>
  <c r="H2460" i="12"/>
  <c r="P2448" i="12"/>
  <c r="P2447" i="12"/>
  <c r="H2448" i="12"/>
  <c r="H2447" i="12"/>
  <c r="M2428" i="12" l="1"/>
  <c r="H2427" i="12"/>
  <c r="Q2428" i="12"/>
  <c r="O2428" i="12"/>
  <c r="K2428" i="12"/>
  <c r="F2428" i="12"/>
  <c r="G2428" i="12" s="1"/>
  <c r="E2428" i="12"/>
  <c r="I2428" i="12" s="1"/>
  <c r="C2428" i="12"/>
  <c r="P2445" i="12"/>
  <c r="H2445" i="12"/>
  <c r="P2432" i="12"/>
  <c r="H2432" i="12"/>
  <c r="J2428" i="12" l="1"/>
  <c r="L2428" i="12" s="1"/>
  <c r="O2388" i="12" l="1"/>
  <c r="Q2388" i="12"/>
  <c r="P2418" i="12"/>
  <c r="H2418" i="12"/>
  <c r="P2410" i="12"/>
  <c r="P2411" i="12"/>
  <c r="H2411" i="12"/>
  <c r="H2410" i="12"/>
  <c r="P2404" i="12"/>
  <c r="H2404" i="12"/>
  <c r="P2397" i="12"/>
  <c r="H2397" i="12"/>
  <c r="P2362" i="12" l="1"/>
  <c r="P2370" i="12" l="1"/>
  <c r="H2370" i="12"/>
  <c r="P2358" i="12"/>
  <c r="P2359" i="12"/>
  <c r="P2364" i="12"/>
  <c r="H2364" i="12"/>
  <c r="H2359" i="12"/>
  <c r="H2358" i="12"/>
  <c r="P2304" i="12" l="1"/>
  <c r="H2304" i="12"/>
  <c r="P2351" i="12"/>
  <c r="H2351" i="12"/>
  <c r="P2343" i="12"/>
  <c r="H2343" i="12"/>
  <c r="P2338" i="12"/>
  <c r="P2339" i="12"/>
  <c r="H2339" i="12"/>
  <c r="H2338" i="12"/>
  <c r="H2332" i="12"/>
  <c r="P2332" i="12"/>
  <c r="H1654" i="12" l="1"/>
  <c r="P2318" i="12" l="1"/>
  <c r="P2328" i="12"/>
  <c r="H2328" i="12" l="1"/>
  <c r="P2321" i="12"/>
  <c r="H2321" i="12"/>
  <c r="H2318" i="12"/>
  <c r="P2309" i="12"/>
  <c r="H2309" i="12"/>
  <c r="H2307" i="12"/>
  <c r="P2307" i="12"/>
  <c r="H2300" i="12"/>
  <c r="P2300" i="12"/>
  <c r="P2298" i="12"/>
  <c r="H2298" i="12"/>
  <c r="D2309" i="12"/>
  <c r="Q2310" i="12"/>
  <c r="O2310" i="12"/>
  <c r="K2310" i="12"/>
  <c r="F2310" i="12"/>
  <c r="G2310" i="12" s="1"/>
  <c r="E2310" i="12"/>
  <c r="I2310" i="12" s="1"/>
  <c r="C2310" i="12"/>
  <c r="M2310" i="12" l="1"/>
  <c r="L2310" i="12"/>
  <c r="J2310" i="12"/>
  <c r="H2243" i="12" l="1"/>
  <c r="H2297" i="12"/>
  <c r="Q2297" i="12" s="1"/>
  <c r="P2289" i="12"/>
  <c r="H2289" i="12"/>
  <c r="H2281" i="12"/>
  <c r="P2281" i="12"/>
  <c r="P2278" i="12"/>
  <c r="H2278" i="12"/>
  <c r="P2276" i="12"/>
  <c r="H2276" i="12"/>
  <c r="Q2621" i="12"/>
  <c r="O2621" i="12"/>
  <c r="K2621" i="12"/>
  <c r="F2621" i="12"/>
  <c r="G2621" i="12" s="1"/>
  <c r="E2621" i="12"/>
  <c r="I2621" i="12" s="1"/>
  <c r="C2621" i="12"/>
  <c r="Q2620" i="12"/>
  <c r="O2620" i="12"/>
  <c r="K2620" i="12"/>
  <c r="F2620" i="12"/>
  <c r="G2620" i="12" s="1"/>
  <c r="E2620" i="12"/>
  <c r="I2620" i="12" s="1"/>
  <c r="C2620" i="12"/>
  <c r="Q2619" i="12"/>
  <c r="O2619" i="12"/>
  <c r="K2619" i="12"/>
  <c r="F2619" i="12"/>
  <c r="G2619" i="12" s="1"/>
  <c r="E2619" i="12"/>
  <c r="I2619" i="12" s="1"/>
  <c r="C2619" i="12"/>
  <c r="Q2618" i="12"/>
  <c r="O2618" i="12"/>
  <c r="K2618" i="12"/>
  <c r="F2618" i="12"/>
  <c r="G2618" i="12" s="1"/>
  <c r="E2618" i="12"/>
  <c r="I2618" i="12" s="1"/>
  <c r="C2618" i="12"/>
  <c r="Q2617" i="12"/>
  <c r="O2617" i="12"/>
  <c r="K2617" i="12"/>
  <c r="F2617" i="12"/>
  <c r="G2617" i="12" s="1"/>
  <c r="E2617" i="12"/>
  <c r="I2617" i="12" s="1"/>
  <c r="C2617" i="12"/>
  <c r="Q2616" i="12"/>
  <c r="O2616" i="12"/>
  <c r="K2616" i="12"/>
  <c r="F2616" i="12"/>
  <c r="G2616" i="12" s="1"/>
  <c r="E2616" i="12"/>
  <c r="I2616" i="12" s="1"/>
  <c r="C2616" i="12"/>
  <c r="Q2615" i="12"/>
  <c r="O2615" i="12"/>
  <c r="K2615" i="12"/>
  <c r="F2615" i="12"/>
  <c r="G2615" i="12" s="1"/>
  <c r="E2615" i="12"/>
  <c r="I2615" i="12" s="1"/>
  <c r="C2615" i="12"/>
  <c r="Q2614" i="12"/>
  <c r="O2614" i="12"/>
  <c r="K2614" i="12"/>
  <c r="F2614" i="12"/>
  <c r="G2614" i="12" s="1"/>
  <c r="E2614" i="12"/>
  <c r="I2614" i="12" s="1"/>
  <c r="C2614" i="12"/>
  <c r="Q2613" i="12"/>
  <c r="O2613" i="12"/>
  <c r="K2613" i="12"/>
  <c r="F2613" i="12"/>
  <c r="G2613" i="12" s="1"/>
  <c r="E2613" i="12"/>
  <c r="I2613" i="12" s="1"/>
  <c r="C2613" i="12"/>
  <c r="Q2612" i="12"/>
  <c r="O2612" i="12"/>
  <c r="K2612" i="12"/>
  <c r="F2612" i="12"/>
  <c r="G2612" i="12" s="1"/>
  <c r="E2612" i="12"/>
  <c r="I2612" i="12" s="1"/>
  <c r="C2612" i="12"/>
  <c r="Q2611" i="12"/>
  <c r="O2611" i="12"/>
  <c r="K2611" i="12"/>
  <c r="F2611" i="12"/>
  <c r="G2611" i="12" s="1"/>
  <c r="E2611" i="12"/>
  <c r="I2611" i="12" s="1"/>
  <c r="C2611" i="12"/>
  <c r="Q2610" i="12"/>
  <c r="O2610" i="12"/>
  <c r="K2610" i="12"/>
  <c r="F2610" i="12"/>
  <c r="G2610" i="12" s="1"/>
  <c r="E2610" i="12"/>
  <c r="I2610" i="12" s="1"/>
  <c r="C2610" i="12"/>
  <c r="Q2609" i="12"/>
  <c r="O2609" i="12"/>
  <c r="K2609" i="12"/>
  <c r="F2609" i="12"/>
  <c r="G2609" i="12" s="1"/>
  <c r="E2609" i="12"/>
  <c r="I2609" i="12" s="1"/>
  <c r="C2609" i="12"/>
  <c r="Q2608" i="12"/>
  <c r="O2608" i="12"/>
  <c r="K2608" i="12"/>
  <c r="F2608" i="12"/>
  <c r="G2608" i="12" s="1"/>
  <c r="E2608" i="12"/>
  <c r="I2608" i="12" s="1"/>
  <c r="C2608" i="12"/>
  <c r="Q2607" i="12"/>
  <c r="O2607" i="12"/>
  <c r="K2607" i="12"/>
  <c r="F2607" i="12"/>
  <c r="G2607" i="12" s="1"/>
  <c r="E2607" i="12"/>
  <c r="I2607" i="12" s="1"/>
  <c r="C2607" i="12"/>
  <c r="Q2606" i="12"/>
  <c r="O2606" i="12"/>
  <c r="K2606" i="12"/>
  <c r="F2606" i="12"/>
  <c r="G2606" i="12" s="1"/>
  <c r="E2606" i="12"/>
  <c r="I2606" i="12" s="1"/>
  <c r="C2606" i="12"/>
  <c r="Q2605" i="12"/>
  <c r="O2605" i="12"/>
  <c r="K2605" i="12"/>
  <c r="F2605" i="12"/>
  <c r="G2605" i="12" s="1"/>
  <c r="E2605" i="12"/>
  <c r="I2605" i="12" s="1"/>
  <c r="C2605" i="12"/>
  <c r="Q2604" i="12"/>
  <c r="O2604" i="12"/>
  <c r="K2604" i="12"/>
  <c r="F2604" i="12"/>
  <c r="G2604" i="12" s="1"/>
  <c r="E2604" i="12"/>
  <c r="I2604" i="12" s="1"/>
  <c r="C2604" i="12"/>
  <c r="Q2603" i="12"/>
  <c r="O2603" i="12"/>
  <c r="K2603" i="12"/>
  <c r="F2603" i="12"/>
  <c r="G2603" i="12" s="1"/>
  <c r="E2603" i="12"/>
  <c r="I2603" i="12" s="1"/>
  <c r="C2603" i="12"/>
  <c r="Q2602" i="12"/>
  <c r="O2602" i="12"/>
  <c r="K2602" i="12"/>
  <c r="F2602" i="12"/>
  <c r="G2602" i="12" s="1"/>
  <c r="E2602" i="12"/>
  <c r="I2602" i="12" s="1"/>
  <c r="C2602" i="12"/>
  <c r="Q2601" i="12"/>
  <c r="O2601" i="12"/>
  <c r="K2601" i="12"/>
  <c r="F2601" i="12"/>
  <c r="G2601" i="12" s="1"/>
  <c r="E2601" i="12"/>
  <c r="I2601" i="12" s="1"/>
  <c r="C2601" i="12"/>
  <c r="Q2600" i="12"/>
  <c r="O2600" i="12"/>
  <c r="K2600" i="12"/>
  <c r="F2600" i="12"/>
  <c r="G2600" i="12" s="1"/>
  <c r="E2600" i="12"/>
  <c r="I2600" i="12" s="1"/>
  <c r="C2600" i="12"/>
  <c r="Q2599" i="12"/>
  <c r="O2599" i="12"/>
  <c r="K2599" i="12"/>
  <c r="F2599" i="12"/>
  <c r="G2599" i="12" s="1"/>
  <c r="E2599" i="12"/>
  <c r="I2599" i="12" s="1"/>
  <c r="C2599" i="12"/>
  <c r="Q2598" i="12"/>
  <c r="O2598" i="12"/>
  <c r="K2598" i="12"/>
  <c r="F2598" i="12"/>
  <c r="G2598" i="12" s="1"/>
  <c r="E2598" i="12"/>
  <c r="I2598" i="12" s="1"/>
  <c r="C2598" i="12"/>
  <c r="Q2597" i="12"/>
  <c r="O2597" i="12"/>
  <c r="K2597" i="12"/>
  <c r="F2597" i="12"/>
  <c r="G2597" i="12" s="1"/>
  <c r="E2597" i="12"/>
  <c r="I2597" i="12" s="1"/>
  <c r="C2597" i="12"/>
  <c r="Q2596" i="12"/>
  <c r="O2596" i="12"/>
  <c r="K2596" i="12"/>
  <c r="F2596" i="12"/>
  <c r="G2596" i="12" s="1"/>
  <c r="E2596" i="12"/>
  <c r="I2596" i="12" s="1"/>
  <c r="C2596" i="12"/>
  <c r="Q2595" i="12"/>
  <c r="O2595" i="12"/>
  <c r="K2595" i="12"/>
  <c r="F2595" i="12"/>
  <c r="G2595" i="12" s="1"/>
  <c r="E2595" i="12"/>
  <c r="I2595" i="12" s="1"/>
  <c r="C2595" i="12"/>
  <c r="Q2594" i="12"/>
  <c r="O2594" i="12"/>
  <c r="K2594" i="12"/>
  <c r="F2594" i="12"/>
  <c r="G2594" i="12" s="1"/>
  <c r="E2594" i="12"/>
  <c r="I2594" i="12" s="1"/>
  <c r="C2594" i="12"/>
  <c r="Q2593" i="12"/>
  <c r="O2593" i="12"/>
  <c r="K2593" i="12"/>
  <c r="F2593" i="12"/>
  <c r="G2593" i="12" s="1"/>
  <c r="E2593" i="12"/>
  <c r="I2593" i="12" s="1"/>
  <c r="C2593" i="12"/>
  <c r="Q2592" i="12"/>
  <c r="O2592" i="12"/>
  <c r="K2592" i="12"/>
  <c r="F2592" i="12"/>
  <c r="G2592" i="12" s="1"/>
  <c r="E2592" i="12"/>
  <c r="I2592" i="12" s="1"/>
  <c r="C2592" i="12"/>
  <c r="Q2559" i="12"/>
  <c r="O2559" i="12"/>
  <c r="K2559" i="12"/>
  <c r="F2559" i="12"/>
  <c r="G2559" i="12" s="1"/>
  <c r="E2559" i="12"/>
  <c r="I2559" i="12" s="1"/>
  <c r="C2559" i="12"/>
  <c r="Q2558" i="12"/>
  <c r="O2558" i="12"/>
  <c r="K2558" i="12"/>
  <c r="F2558" i="12"/>
  <c r="G2558" i="12" s="1"/>
  <c r="E2558" i="12"/>
  <c r="I2558" i="12" s="1"/>
  <c r="C2558" i="12"/>
  <c r="Q2591" i="12"/>
  <c r="O2591" i="12"/>
  <c r="K2591" i="12"/>
  <c r="F2591" i="12"/>
  <c r="G2591" i="12" s="1"/>
  <c r="E2591" i="12"/>
  <c r="I2591" i="12" s="1"/>
  <c r="C2591" i="12"/>
  <c r="Q2590" i="12"/>
  <c r="O2590" i="12"/>
  <c r="K2590" i="12"/>
  <c r="F2590" i="12"/>
  <c r="G2590" i="12" s="1"/>
  <c r="E2590" i="12"/>
  <c r="I2590" i="12" s="1"/>
  <c r="C2590" i="12"/>
  <c r="Q2589" i="12"/>
  <c r="O2589" i="12"/>
  <c r="K2589" i="12"/>
  <c r="F2589" i="12"/>
  <c r="G2589" i="12" s="1"/>
  <c r="E2589" i="12"/>
  <c r="I2589" i="12" s="1"/>
  <c r="C2589" i="12"/>
  <c r="Q2588" i="12"/>
  <c r="O2588" i="12"/>
  <c r="K2588" i="12"/>
  <c r="F2588" i="12"/>
  <c r="G2588" i="12" s="1"/>
  <c r="E2588" i="12"/>
  <c r="I2588" i="12" s="1"/>
  <c r="C2588" i="12"/>
  <c r="Q2587" i="12"/>
  <c r="O2587" i="12"/>
  <c r="K2587" i="12"/>
  <c r="F2587" i="12"/>
  <c r="G2587" i="12" s="1"/>
  <c r="E2587" i="12"/>
  <c r="I2587" i="12" s="1"/>
  <c r="C2587" i="12"/>
  <c r="Q2586" i="12"/>
  <c r="O2586" i="12"/>
  <c r="K2586" i="12"/>
  <c r="F2586" i="12"/>
  <c r="G2586" i="12" s="1"/>
  <c r="E2586" i="12"/>
  <c r="I2586" i="12" s="1"/>
  <c r="C2586" i="12"/>
  <c r="Q2585" i="12"/>
  <c r="O2585" i="12"/>
  <c r="K2585" i="12"/>
  <c r="F2585" i="12"/>
  <c r="G2585" i="12" s="1"/>
  <c r="E2585" i="12"/>
  <c r="I2585" i="12" s="1"/>
  <c r="C2585" i="12"/>
  <c r="Q2584" i="12"/>
  <c r="O2584" i="12"/>
  <c r="K2584" i="12"/>
  <c r="F2584" i="12"/>
  <c r="G2584" i="12" s="1"/>
  <c r="E2584" i="12"/>
  <c r="I2584" i="12" s="1"/>
  <c r="C2584" i="12"/>
  <c r="Q2583" i="12"/>
  <c r="O2583" i="12"/>
  <c r="K2583" i="12"/>
  <c r="F2583" i="12"/>
  <c r="G2583" i="12" s="1"/>
  <c r="E2583" i="12"/>
  <c r="I2583" i="12" s="1"/>
  <c r="C2583" i="12"/>
  <c r="Q2582" i="12"/>
  <c r="O2582" i="12"/>
  <c r="K2582" i="12"/>
  <c r="F2582" i="12"/>
  <c r="G2582" i="12" s="1"/>
  <c r="E2582" i="12"/>
  <c r="I2582" i="12" s="1"/>
  <c r="C2582" i="12"/>
  <c r="Q2581" i="12"/>
  <c r="O2581" i="12"/>
  <c r="K2581" i="12"/>
  <c r="F2581" i="12"/>
  <c r="G2581" i="12" s="1"/>
  <c r="E2581" i="12"/>
  <c r="I2581" i="12" s="1"/>
  <c r="C2581" i="12"/>
  <c r="Q2580" i="12"/>
  <c r="O2580" i="12"/>
  <c r="K2580" i="12"/>
  <c r="F2580" i="12"/>
  <c r="G2580" i="12" s="1"/>
  <c r="E2580" i="12"/>
  <c r="I2580" i="12" s="1"/>
  <c r="C2580" i="12"/>
  <c r="Q2579" i="12"/>
  <c r="O2579" i="12"/>
  <c r="K2579" i="12"/>
  <c r="F2579" i="12"/>
  <c r="G2579" i="12" s="1"/>
  <c r="E2579" i="12"/>
  <c r="I2579" i="12" s="1"/>
  <c r="C2579" i="12"/>
  <c r="Q2578" i="12"/>
  <c r="O2578" i="12"/>
  <c r="K2578" i="12"/>
  <c r="F2578" i="12"/>
  <c r="G2578" i="12" s="1"/>
  <c r="E2578" i="12"/>
  <c r="I2578" i="12" s="1"/>
  <c r="C2578" i="12"/>
  <c r="Q2577" i="12"/>
  <c r="O2577" i="12"/>
  <c r="K2577" i="12"/>
  <c r="F2577" i="12"/>
  <c r="G2577" i="12" s="1"/>
  <c r="E2577" i="12"/>
  <c r="I2577" i="12" s="1"/>
  <c r="C2577" i="12"/>
  <c r="Q2576" i="12"/>
  <c r="O2576" i="12"/>
  <c r="K2576" i="12"/>
  <c r="F2576" i="12"/>
  <c r="G2576" i="12" s="1"/>
  <c r="E2576" i="12"/>
  <c r="I2576" i="12" s="1"/>
  <c r="C2576" i="12"/>
  <c r="Q2575" i="12"/>
  <c r="O2575" i="12"/>
  <c r="K2575" i="12"/>
  <c r="F2575" i="12"/>
  <c r="E2575" i="12"/>
  <c r="I2575" i="12" s="1"/>
  <c r="C2575" i="12"/>
  <c r="Q2574" i="12"/>
  <c r="O2574" i="12"/>
  <c r="K2574" i="12"/>
  <c r="F2574" i="12"/>
  <c r="G2574" i="12" s="1"/>
  <c r="E2574" i="12"/>
  <c r="I2574" i="12" s="1"/>
  <c r="C2574" i="12"/>
  <c r="Q2573" i="12"/>
  <c r="O2573" i="12"/>
  <c r="K2573" i="12"/>
  <c r="F2573" i="12"/>
  <c r="G2573" i="12" s="1"/>
  <c r="E2573" i="12"/>
  <c r="I2573" i="12" s="1"/>
  <c r="C2573" i="12"/>
  <c r="Q2572" i="12"/>
  <c r="O2572" i="12"/>
  <c r="K2572" i="12"/>
  <c r="F2572" i="12"/>
  <c r="G2572" i="12" s="1"/>
  <c r="E2572" i="12"/>
  <c r="I2572" i="12" s="1"/>
  <c r="C2572" i="12"/>
  <c r="Q2571" i="12"/>
  <c r="O2571" i="12"/>
  <c r="K2571" i="12"/>
  <c r="F2571" i="12"/>
  <c r="G2571" i="12" s="1"/>
  <c r="E2571" i="12"/>
  <c r="I2571" i="12" s="1"/>
  <c r="C2571" i="12"/>
  <c r="Q2570" i="12"/>
  <c r="O2570" i="12"/>
  <c r="K2570" i="12"/>
  <c r="F2570" i="12"/>
  <c r="G2570" i="12" s="1"/>
  <c r="E2570" i="12"/>
  <c r="I2570" i="12" s="1"/>
  <c r="C2570" i="12"/>
  <c r="Q2569" i="12"/>
  <c r="O2569" i="12"/>
  <c r="K2569" i="12"/>
  <c r="F2569" i="12"/>
  <c r="G2569" i="12" s="1"/>
  <c r="E2569" i="12"/>
  <c r="I2569" i="12" s="1"/>
  <c r="C2569" i="12"/>
  <c r="Q2568" i="12"/>
  <c r="O2568" i="12"/>
  <c r="K2568" i="12"/>
  <c r="F2568" i="12"/>
  <c r="G2568" i="12" s="1"/>
  <c r="E2568" i="12"/>
  <c r="I2568" i="12" s="1"/>
  <c r="C2568" i="12"/>
  <c r="Q2567" i="12"/>
  <c r="O2567" i="12"/>
  <c r="K2567" i="12"/>
  <c r="F2567" i="12"/>
  <c r="G2567" i="12" s="1"/>
  <c r="E2567" i="12"/>
  <c r="I2567" i="12" s="1"/>
  <c r="C2567" i="12"/>
  <c r="Q2566" i="12"/>
  <c r="O2566" i="12"/>
  <c r="K2566" i="12"/>
  <c r="F2566" i="12"/>
  <c r="G2566" i="12" s="1"/>
  <c r="E2566" i="12"/>
  <c r="I2566" i="12" s="1"/>
  <c r="C2566" i="12"/>
  <c r="Q2542" i="12"/>
  <c r="O2542" i="12"/>
  <c r="K2542" i="12"/>
  <c r="F2542" i="12"/>
  <c r="G2542" i="12" s="1"/>
  <c r="E2542" i="12"/>
  <c r="I2542" i="12" s="1"/>
  <c r="C2542" i="12"/>
  <c r="Q2541" i="12"/>
  <c r="O2541" i="12"/>
  <c r="K2541" i="12"/>
  <c r="F2541" i="12"/>
  <c r="G2541" i="12" s="1"/>
  <c r="E2541" i="12"/>
  <c r="I2541" i="12" s="1"/>
  <c r="C2541" i="12"/>
  <c r="Q2565" i="12"/>
  <c r="O2565" i="12"/>
  <c r="K2565" i="12"/>
  <c r="F2565" i="12"/>
  <c r="G2565" i="12" s="1"/>
  <c r="E2565" i="12"/>
  <c r="I2565" i="12" s="1"/>
  <c r="C2565" i="12"/>
  <c r="Q2564" i="12"/>
  <c r="O2564" i="12"/>
  <c r="K2564" i="12"/>
  <c r="F2564" i="12"/>
  <c r="G2564" i="12" s="1"/>
  <c r="E2564" i="12"/>
  <c r="I2564" i="12" s="1"/>
  <c r="C2564" i="12"/>
  <c r="Q2563" i="12"/>
  <c r="O2563" i="12"/>
  <c r="K2563" i="12"/>
  <c r="F2563" i="12"/>
  <c r="G2563" i="12" s="1"/>
  <c r="E2563" i="12"/>
  <c r="I2563" i="12" s="1"/>
  <c r="C2563" i="12"/>
  <c r="Q2562" i="12"/>
  <c r="O2562" i="12"/>
  <c r="K2562" i="12"/>
  <c r="F2562" i="12"/>
  <c r="G2562" i="12" s="1"/>
  <c r="E2562" i="12"/>
  <c r="I2562" i="12" s="1"/>
  <c r="C2562" i="12"/>
  <c r="Q2561" i="12"/>
  <c r="O2561" i="12"/>
  <c r="K2561" i="12"/>
  <c r="F2561" i="12"/>
  <c r="G2561" i="12" s="1"/>
  <c r="E2561" i="12"/>
  <c r="I2561" i="12" s="1"/>
  <c r="C2561" i="12"/>
  <c r="Q2560" i="12"/>
  <c r="O2560" i="12"/>
  <c r="K2560" i="12"/>
  <c r="F2560" i="12"/>
  <c r="G2560" i="12" s="1"/>
  <c r="E2560" i="12"/>
  <c r="I2560" i="12" s="1"/>
  <c r="C2560" i="12"/>
  <c r="Q2557" i="12"/>
  <c r="O2557" i="12"/>
  <c r="K2557" i="12"/>
  <c r="F2557" i="12"/>
  <c r="G2557" i="12" s="1"/>
  <c r="E2557" i="12"/>
  <c r="I2557" i="12" s="1"/>
  <c r="C2557" i="12"/>
  <c r="Q2556" i="12"/>
  <c r="O2556" i="12"/>
  <c r="K2556" i="12"/>
  <c r="F2556" i="12"/>
  <c r="G2556" i="12" s="1"/>
  <c r="E2556" i="12"/>
  <c r="I2556" i="12" s="1"/>
  <c r="C2556" i="12"/>
  <c r="Q2554" i="12"/>
  <c r="O2554" i="12"/>
  <c r="K2554" i="12"/>
  <c r="F2554" i="12"/>
  <c r="G2554" i="12" s="1"/>
  <c r="E2554" i="12"/>
  <c r="I2554" i="12" s="1"/>
  <c r="C2554" i="12"/>
  <c r="Q2553" i="12"/>
  <c r="O2553" i="12"/>
  <c r="K2553" i="12"/>
  <c r="F2553" i="12"/>
  <c r="G2553" i="12" s="1"/>
  <c r="E2553" i="12"/>
  <c r="I2553" i="12" s="1"/>
  <c r="C2553" i="12"/>
  <c r="Q2552" i="12"/>
  <c r="O2552" i="12"/>
  <c r="K2552" i="12"/>
  <c r="F2552" i="12"/>
  <c r="G2552" i="12" s="1"/>
  <c r="E2552" i="12"/>
  <c r="I2552" i="12" s="1"/>
  <c r="C2552" i="12"/>
  <c r="Q2551" i="12"/>
  <c r="O2551" i="12"/>
  <c r="K2551" i="12"/>
  <c r="F2551" i="12"/>
  <c r="G2551" i="12" s="1"/>
  <c r="E2551" i="12"/>
  <c r="I2551" i="12" s="1"/>
  <c r="C2551" i="12"/>
  <c r="Q2550" i="12"/>
  <c r="O2550" i="12"/>
  <c r="K2550" i="12"/>
  <c r="F2550" i="12"/>
  <c r="G2550" i="12" s="1"/>
  <c r="E2550" i="12"/>
  <c r="I2550" i="12" s="1"/>
  <c r="C2550" i="12"/>
  <c r="Q2549" i="12"/>
  <c r="O2549" i="12"/>
  <c r="K2549" i="12"/>
  <c r="F2549" i="12"/>
  <c r="E2549" i="12"/>
  <c r="I2549" i="12" s="1"/>
  <c r="C2549" i="12"/>
  <c r="Q2548" i="12"/>
  <c r="O2548" i="12"/>
  <c r="K2548" i="12"/>
  <c r="F2548" i="12"/>
  <c r="G2548" i="12" s="1"/>
  <c r="E2548" i="12"/>
  <c r="I2548" i="12" s="1"/>
  <c r="C2548" i="12"/>
  <c r="Q2547" i="12"/>
  <c r="O2547" i="12"/>
  <c r="K2547" i="12"/>
  <c r="F2547" i="12"/>
  <c r="G2547" i="12" s="1"/>
  <c r="E2547" i="12"/>
  <c r="I2547" i="12" s="1"/>
  <c r="C2547" i="12"/>
  <c r="Q2546" i="12"/>
  <c r="O2546" i="12"/>
  <c r="K2546" i="12"/>
  <c r="F2546" i="12"/>
  <c r="G2546" i="12" s="1"/>
  <c r="E2546" i="12"/>
  <c r="I2546" i="12" s="1"/>
  <c r="C2546" i="12"/>
  <c r="Q2545" i="12"/>
  <c r="O2545" i="12"/>
  <c r="K2545" i="12"/>
  <c r="F2545" i="12"/>
  <c r="G2545" i="12" s="1"/>
  <c r="E2545" i="12"/>
  <c r="I2545" i="12" s="1"/>
  <c r="C2545" i="12"/>
  <c r="Q2544" i="12"/>
  <c r="O2544" i="12"/>
  <c r="K2544" i="12"/>
  <c r="F2544" i="12"/>
  <c r="G2544" i="12" s="1"/>
  <c r="E2544" i="12"/>
  <c r="I2544" i="12" s="1"/>
  <c r="C2544" i="12"/>
  <c r="Q2543" i="12"/>
  <c r="O2543" i="12"/>
  <c r="K2543" i="12"/>
  <c r="F2543" i="12"/>
  <c r="G2543" i="12" s="1"/>
  <c r="E2543" i="12"/>
  <c r="I2543" i="12" s="1"/>
  <c r="C2543" i="12"/>
  <c r="Q2540" i="12"/>
  <c r="O2540" i="12"/>
  <c r="K2540" i="12"/>
  <c r="F2540" i="12"/>
  <c r="G2540" i="12" s="1"/>
  <c r="E2540" i="12"/>
  <c r="I2540" i="12" s="1"/>
  <c r="C2540" i="12"/>
  <c r="Q2539" i="12"/>
  <c r="O2539" i="12"/>
  <c r="K2539" i="12"/>
  <c r="F2539" i="12"/>
  <c r="G2539" i="12" s="1"/>
  <c r="E2539" i="12"/>
  <c r="I2539" i="12" s="1"/>
  <c r="C2539" i="12"/>
  <c r="Q2538" i="12"/>
  <c r="O2538" i="12"/>
  <c r="K2538" i="12"/>
  <c r="F2538" i="12"/>
  <c r="G2538" i="12" s="1"/>
  <c r="E2538" i="12"/>
  <c r="I2538" i="12" s="1"/>
  <c r="C2538" i="12"/>
  <c r="Q2537" i="12"/>
  <c r="O2537" i="12"/>
  <c r="K2537" i="12"/>
  <c r="F2537" i="12"/>
  <c r="G2537" i="12" s="1"/>
  <c r="E2537" i="12"/>
  <c r="I2537" i="12" s="1"/>
  <c r="C2537" i="12"/>
  <c r="Q2536" i="12"/>
  <c r="O2536" i="12"/>
  <c r="K2536" i="12"/>
  <c r="F2536" i="12"/>
  <c r="G2536" i="12" s="1"/>
  <c r="E2536" i="12"/>
  <c r="I2536" i="12" s="1"/>
  <c r="C2536" i="12"/>
  <c r="Q2535" i="12"/>
  <c r="O2535" i="12"/>
  <c r="K2535" i="12"/>
  <c r="F2535" i="12"/>
  <c r="G2535" i="12" s="1"/>
  <c r="E2535" i="12"/>
  <c r="I2535" i="12" s="1"/>
  <c r="C2535" i="12"/>
  <c r="Q2534" i="12"/>
  <c r="O2534" i="12"/>
  <c r="K2534" i="12"/>
  <c r="F2534" i="12"/>
  <c r="G2534" i="12" s="1"/>
  <c r="E2534" i="12"/>
  <c r="I2534" i="12" s="1"/>
  <c r="C2534" i="12"/>
  <c r="Q2533" i="12"/>
  <c r="O2533" i="12"/>
  <c r="K2533" i="12"/>
  <c r="F2533" i="12"/>
  <c r="G2533" i="12" s="1"/>
  <c r="E2533" i="12"/>
  <c r="I2533" i="12" s="1"/>
  <c r="C2533" i="12"/>
  <c r="Q2532" i="12"/>
  <c r="O2532" i="12"/>
  <c r="K2532" i="12"/>
  <c r="F2532" i="12"/>
  <c r="G2532" i="12" s="1"/>
  <c r="E2532" i="12"/>
  <c r="I2532" i="12" s="1"/>
  <c r="C2532" i="12"/>
  <c r="Q2531" i="12"/>
  <c r="O2531" i="12"/>
  <c r="K2531" i="12"/>
  <c r="F2531" i="12"/>
  <c r="G2531" i="12" s="1"/>
  <c r="E2531" i="12"/>
  <c r="I2531" i="12" s="1"/>
  <c r="C2531" i="12"/>
  <c r="Q2530" i="12"/>
  <c r="O2530" i="12"/>
  <c r="K2530" i="12"/>
  <c r="F2530" i="12"/>
  <c r="G2530" i="12" s="1"/>
  <c r="E2530" i="12"/>
  <c r="I2530" i="12" s="1"/>
  <c r="C2530" i="12"/>
  <c r="Q2529" i="12"/>
  <c r="O2529" i="12"/>
  <c r="K2529" i="12"/>
  <c r="F2529" i="12"/>
  <c r="G2529" i="12" s="1"/>
  <c r="E2529" i="12"/>
  <c r="I2529" i="12" s="1"/>
  <c r="C2529" i="12"/>
  <c r="Q2509" i="12"/>
  <c r="O2509" i="12"/>
  <c r="K2509" i="12"/>
  <c r="F2509" i="12"/>
  <c r="G2509" i="12" s="1"/>
  <c r="J2509" i="12" s="1"/>
  <c r="E2509" i="12"/>
  <c r="I2509" i="12" s="1"/>
  <c r="C2509" i="12"/>
  <c r="Q2528" i="12"/>
  <c r="O2528" i="12"/>
  <c r="K2528" i="12"/>
  <c r="F2528" i="12"/>
  <c r="G2528" i="12" s="1"/>
  <c r="E2528" i="12"/>
  <c r="I2528" i="12" s="1"/>
  <c r="C2528" i="12"/>
  <c r="Q2527" i="12"/>
  <c r="O2527" i="12"/>
  <c r="K2527" i="12"/>
  <c r="F2527" i="12"/>
  <c r="G2527" i="12" s="1"/>
  <c r="E2527" i="12"/>
  <c r="I2527" i="12" s="1"/>
  <c r="C2527" i="12"/>
  <c r="Q2526" i="12"/>
  <c r="O2526" i="12"/>
  <c r="K2526" i="12"/>
  <c r="F2526" i="12"/>
  <c r="G2526" i="12" s="1"/>
  <c r="E2526" i="12"/>
  <c r="I2526" i="12" s="1"/>
  <c r="C2526" i="12"/>
  <c r="Q2525" i="12"/>
  <c r="O2525" i="12"/>
  <c r="K2525" i="12"/>
  <c r="F2525" i="12"/>
  <c r="G2525" i="12" s="1"/>
  <c r="E2525" i="12"/>
  <c r="I2525" i="12" s="1"/>
  <c r="C2525" i="12"/>
  <c r="Q2524" i="12"/>
  <c r="O2524" i="12"/>
  <c r="K2524" i="12"/>
  <c r="F2524" i="12"/>
  <c r="G2524" i="12" s="1"/>
  <c r="E2524" i="12"/>
  <c r="I2524" i="12" s="1"/>
  <c r="C2524" i="12"/>
  <c r="Q2523" i="12"/>
  <c r="O2523" i="12"/>
  <c r="K2523" i="12"/>
  <c r="F2523" i="12"/>
  <c r="G2523" i="12" s="1"/>
  <c r="E2523" i="12"/>
  <c r="I2523" i="12" s="1"/>
  <c r="C2523" i="12"/>
  <c r="Q2522" i="12"/>
  <c r="O2522" i="12"/>
  <c r="K2522" i="12"/>
  <c r="F2522" i="12"/>
  <c r="G2522" i="12" s="1"/>
  <c r="E2522" i="12"/>
  <c r="I2522" i="12" s="1"/>
  <c r="C2522" i="12"/>
  <c r="Q2521" i="12"/>
  <c r="O2521" i="12"/>
  <c r="K2521" i="12"/>
  <c r="F2521" i="12"/>
  <c r="G2521" i="12" s="1"/>
  <c r="E2521" i="12"/>
  <c r="I2521" i="12" s="1"/>
  <c r="C2521" i="12"/>
  <c r="Q2520" i="12"/>
  <c r="O2520" i="12"/>
  <c r="K2520" i="12"/>
  <c r="F2520" i="12"/>
  <c r="G2520" i="12" s="1"/>
  <c r="E2520" i="12"/>
  <c r="I2520" i="12" s="1"/>
  <c r="C2520" i="12"/>
  <c r="Q2519" i="12"/>
  <c r="O2519" i="12"/>
  <c r="K2519" i="12"/>
  <c r="F2519" i="12"/>
  <c r="G2519" i="12" s="1"/>
  <c r="E2519" i="12"/>
  <c r="I2519" i="12" s="1"/>
  <c r="C2519" i="12"/>
  <c r="Q2518" i="12"/>
  <c r="O2518" i="12"/>
  <c r="K2518" i="12"/>
  <c r="F2518" i="12"/>
  <c r="G2518" i="12" s="1"/>
  <c r="E2518" i="12"/>
  <c r="I2518" i="12" s="1"/>
  <c r="C2518" i="12"/>
  <c r="Q2517" i="12"/>
  <c r="O2517" i="12"/>
  <c r="K2517" i="12"/>
  <c r="F2517" i="12"/>
  <c r="G2517" i="12" s="1"/>
  <c r="E2517" i="12"/>
  <c r="I2517" i="12" s="1"/>
  <c r="C2517" i="12"/>
  <c r="Q2516" i="12"/>
  <c r="O2516" i="12"/>
  <c r="K2516" i="12"/>
  <c r="F2516" i="12"/>
  <c r="G2516" i="12" s="1"/>
  <c r="E2516" i="12"/>
  <c r="I2516" i="12" s="1"/>
  <c r="C2516" i="12"/>
  <c r="Q2515" i="12"/>
  <c r="O2515" i="12"/>
  <c r="K2515" i="12"/>
  <c r="F2515" i="12"/>
  <c r="E2515" i="12"/>
  <c r="I2515" i="12" s="1"/>
  <c r="C2515" i="12"/>
  <c r="Q2514" i="12"/>
  <c r="O2514" i="12"/>
  <c r="K2514" i="12"/>
  <c r="F2514" i="12"/>
  <c r="G2514" i="12" s="1"/>
  <c r="E2514" i="12"/>
  <c r="I2514" i="12" s="1"/>
  <c r="C2514" i="12"/>
  <c r="Q2513" i="12"/>
  <c r="O2513" i="12"/>
  <c r="K2513" i="12"/>
  <c r="F2513" i="12"/>
  <c r="G2513" i="12" s="1"/>
  <c r="J2513" i="12" s="1"/>
  <c r="E2513" i="12"/>
  <c r="I2513" i="12" s="1"/>
  <c r="C2513" i="12"/>
  <c r="Q2512" i="12"/>
  <c r="O2512" i="12"/>
  <c r="K2512" i="12"/>
  <c r="F2512" i="12"/>
  <c r="G2512" i="12" s="1"/>
  <c r="E2512" i="12"/>
  <c r="I2512" i="12" s="1"/>
  <c r="C2512" i="12"/>
  <c r="Q2511" i="12"/>
  <c r="O2511" i="12"/>
  <c r="K2511" i="12"/>
  <c r="F2511" i="12"/>
  <c r="G2511" i="12" s="1"/>
  <c r="E2511" i="12"/>
  <c r="I2511" i="12" s="1"/>
  <c r="C2511" i="12"/>
  <c r="Q2510" i="12"/>
  <c r="O2510" i="12"/>
  <c r="K2510" i="12"/>
  <c r="F2510" i="12"/>
  <c r="G2510" i="12" s="1"/>
  <c r="E2510" i="12"/>
  <c r="I2510" i="12" s="1"/>
  <c r="C2510" i="12"/>
  <c r="Q2508" i="12"/>
  <c r="O2508" i="12"/>
  <c r="K2508" i="12"/>
  <c r="F2508" i="12"/>
  <c r="G2508" i="12" s="1"/>
  <c r="E2508" i="12"/>
  <c r="I2508" i="12" s="1"/>
  <c r="C2508" i="12"/>
  <c r="Q2507" i="12"/>
  <c r="O2507" i="12"/>
  <c r="K2507" i="12"/>
  <c r="F2507" i="12"/>
  <c r="G2507" i="12" s="1"/>
  <c r="E2507" i="12"/>
  <c r="I2507" i="12" s="1"/>
  <c r="C2507" i="12"/>
  <c r="Q2506" i="12"/>
  <c r="O2506" i="12"/>
  <c r="K2506" i="12"/>
  <c r="F2506" i="12"/>
  <c r="G2506" i="12" s="1"/>
  <c r="E2506" i="12"/>
  <c r="I2506" i="12" s="1"/>
  <c r="C2506" i="12"/>
  <c r="Q2505" i="12"/>
  <c r="O2505" i="12"/>
  <c r="K2505" i="12"/>
  <c r="F2505" i="12"/>
  <c r="G2505" i="12" s="1"/>
  <c r="E2505" i="12"/>
  <c r="I2505" i="12" s="1"/>
  <c r="C2505" i="12"/>
  <c r="Q2504" i="12"/>
  <c r="O2504" i="12"/>
  <c r="K2504" i="12"/>
  <c r="F2504" i="12"/>
  <c r="G2504" i="12" s="1"/>
  <c r="E2504" i="12"/>
  <c r="I2504" i="12" s="1"/>
  <c r="C2504" i="12"/>
  <c r="Q2503" i="12"/>
  <c r="O2503" i="12"/>
  <c r="K2503" i="12"/>
  <c r="F2503" i="12"/>
  <c r="G2503" i="12" s="1"/>
  <c r="E2503" i="12"/>
  <c r="I2503" i="12" s="1"/>
  <c r="C2503" i="12"/>
  <c r="Q2502" i="12"/>
  <c r="O2502" i="12"/>
  <c r="K2502" i="12"/>
  <c r="F2502" i="12"/>
  <c r="G2502" i="12" s="1"/>
  <c r="E2502" i="12"/>
  <c r="I2502" i="12" s="1"/>
  <c r="C2502" i="12"/>
  <c r="Q2501" i="12"/>
  <c r="O2501" i="12"/>
  <c r="K2501" i="12"/>
  <c r="F2501" i="12"/>
  <c r="G2501" i="12" s="1"/>
  <c r="E2501" i="12"/>
  <c r="I2501" i="12" s="1"/>
  <c r="C2501" i="12"/>
  <c r="Q2500" i="12"/>
  <c r="O2500" i="12"/>
  <c r="K2500" i="12"/>
  <c r="F2500" i="12"/>
  <c r="G2500" i="12" s="1"/>
  <c r="J2500" i="12" s="1"/>
  <c r="E2500" i="12"/>
  <c r="I2500" i="12" s="1"/>
  <c r="C2500" i="12"/>
  <c r="Q2499" i="12"/>
  <c r="O2499" i="12"/>
  <c r="K2499" i="12"/>
  <c r="F2499" i="12"/>
  <c r="G2499" i="12" s="1"/>
  <c r="E2499" i="12"/>
  <c r="I2499" i="12" s="1"/>
  <c r="C2499" i="12"/>
  <c r="Q2498" i="12"/>
  <c r="O2498" i="12"/>
  <c r="K2498" i="12"/>
  <c r="F2498" i="12"/>
  <c r="G2498" i="12" s="1"/>
  <c r="E2498" i="12"/>
  <c r="I2498" i="12" s="1"/>
  <c r="C2498" i="12"/>
  <c r="Q2497" i="12"/>
  <c r="O2497" i="12"/>
  <c r="K2497" i="12"/>
  <c r="F2497" i="12"/>
  <c r="G2497" i="12" s="1"/>
  <c r="E2497" i="12"/>
  <c r="I2497" i="12" s="1"/>
  <c r="C2497" i="12"/>
  <c r="Q2484" i="12"/>
  <c r="O2484" i="12"/>
  <c r="K2484" i="12"/>
  <c r="F2484" i="12"/>
  <c r="G2484" i="12" s="1"/>
  <c r="E2484" i="12"/>
  <c r="I2484" i="12" s="1"/>
  <c r="C2484" i="12"/>
  <c r="Q2483" i="12"/>
  <c r="O2483" i="12"/>
  <c r="K2483" i="12"/>
  <c r="F2483" i="12"/>
  <c r="G2483" i="12" s="1"/>
  <c r="E2483" i="12"/>
  <c r="I2483" i="12" s="1"/>
  <c r="C2483" i="12"/>
  <c r="Q2494" i="12"/>
  <c r="O2494" i="12"/>
  <c r="K2494" i="12"/>
  <c r="F2494" i="12"/>
  <c r="E2494" i="12"/>
  <c r="I2494" i="12" s="1"/>
  <c r="Q2491" i="12"/>
  <c r="O2491" i="12"/>
  <c r="K2491" i="12"/>
  <c r="F2491" i="12"/>
  <c r="G2491" i="12" s="1"/>
  <c r="E2491" i="12"/>
  <c r="I2491" i="12" s="1"/>
  <c r="C2491" i="12"/>
  <c r="Q2496" i="12"/>
  <c r="O2496" i="12"/>
  <c r="K2496" i="12"/>
  <c r="F2496" i="12"/>
  <c r="G2496" i="12" s="1"/>
  <c r="J2496" i="12" s="1"/>
  <c r="E2496" i="12"/>
  <c r="I2496" i="12" s="1"/>
  <c r="C2496" i="12"/>
  <c r="Q2495" i="12"/>
  <c r="O2495" i="12"/>
  <c r="K2495" i="12"/>
  <c r="F2495" i="12"/>
  <c r="G2495" i="12" s="1"/>
  <c r="E2495" i="12"/>
  <c r="I2495" i="12" s="1"/>
  <c r="C2495" i="12"/>
  <c r="Q2493" i="12"/>
  <c r="O2493" i="12"/>
  <c r="K2493" i="12"/>
  <c r="F2493" i="12"/>
  <c r="E2493" i="12"/>
  <c r="I2493" i="12" s="1"/>
  <c r="C2493" i="12"/>
  <c r="Q2492" i="12"/>
  <c r="O2492" i="12"/>
  <c r="K2492" i="12"/>
  <c r="F2492" i="12"/>
  <c r="G2492" i="12" s="1"/>
  <c r="E2492" i="12"/>
  <c r="I2492" i="12" s="1"/>
  <c r="C2492" i="12"/>
  <c r="Q2490" i="12"/>
  <c r="O2490" i="12"/>
  <c r="K2490" i="12"/>
  <c r="F2490" i="12"/>
  <c r="G2490" i="12" s="1"/>
  <c r="J2490" i="12" s="1"/>
  <c r="E2490" i="12"/>
  <c r="I2490" i="12" s="1"/>
  <c r="Q2489" i="12"/>
  <c r="O2489" i="12"/>
  <c r="K2489" i="12"/>
  <c r="F2489" i="12"/>
  <c r="G2489" i="12" s="1"/>
  <c r="E2489" i="12"/>
  <c r="I2489" i="12" s="1"/>
  <c r="C2489" i="12"/>
  <c r="Q2488" i="12"/>
  <c r="O2488" i="12"/>
  <c r="K2488" i="12"/>
  <c r="F2488" i="12"/>
  <c r="G2488" i="12" s="1"/>
  <c r="E2488" i="12"/>
  <c r="I2488" i="12" s="1"/>
  <c r="C2488" i="12"/>
  <c r="Q2487" i="12"/>
  <c r="O2487" i="12"/>
  <c r="K2487" i="12"/>
  <c r="F2487" i="12"/>
  <c r="G2487" i="12" s="1"/>
  <c r="E2487" i="12"/>
  <c r="I2487" i="12" s="1"/>
  <c r="C2487" i="12"/>
  <c r="Q2486" i="12"/>
  <c r="O2486" i="12"/>
  <c r="K2486" i="12"/>
  <c r="F2486" i="12"/>
  <c r="G2486" i="12" s="1"/>
  <c r="J2486" i="12" s="1"/>
  <c r="E2486" i="12"/>
  <c r="I2486" i="12" s="1"/>
  <c r="C2486" i="12"/>
  <c r="Q2485" i="12"/>
  <c r="O2485" i="12"/>
  <c r="K2485" i="12"/>
  <c r="F2485" i="12"/>
  <c r="G2485" i="12" s="1"/>
  <c r="E2485" i="12"/>
  <c r="I2485" i="12" s="1"/>
  <c r="C2485" i="12"/>
  <c r="Q2482" i="12"/>
  <c r="O2482" i="12"/>
  <c r="K2482" i="12"/>
  <c r="F2482" i="12"/>
  <c r="G2482" i="12" s="1"/>
  <c r="E2482" i="12"/>
  <c r="I2482" i="12" s="1"/>
  <c r="C2482" i="12"/>
  <c r="Q2481" i="12"/>
  <c r="O2481" i="12"/>
  <c r="K2481" i="12"/>
  <c r="F2481" i="12"/>
  <c r="G2481" i="12" s="1"/>
  <c r="E2481" i="12"/>
  <c r="I2481" i="12" s="1"/>
  <c r="C2481" i="12"/>
  <c r="Q2480" i="12"/>
  <c r="O2480" i="12"/>
  <c r="K2480" i="12"/>
  <c r="F2480" i="12"/>
  <c r="G2480" i="12" s="1"/>
  <c r="E2480" i="12"/>
  <c r="I2480" i="12" s="1"/>
  <c r="C2480" i="12"/>
  <c r="Q2479" i="12"/>
  <c r="O2479" i="12"/>
  <c r="K2479" i="12"/>
  <c r="F2479" i="12"/>
  <c r="G2479" i="12" s="1"/>
  <c r="E2479" i="12"/>
  <c r="I2479" i="12" s="1"/>
  <c r="C2479" i="12"/>
  <c r="Q2478" i="12"/>
  <c r="O2478" i="12"/>
  <c r="K2478" i="12"/>
  <c r="F2478" i="12"/>
  <c r="G2478" i="12" s="1"/>
  <c r="E2478" i="12"/>
  <c r="I2478" i="12" s="1"/>
  <c r="C2478" i="12"/>
  <c r="Q2477" i="12"/>
  <c r="O2477" i="12"/>
  <c r="K2477" i="12"/>
  <c r="F2477" i="12"/>
  <c r="G2477" i="12" s="1"/>
  <c r="E2477" i="12"/>
  <c r="I2477" i="12" s="1"/>
  <c r="C2477" i="12"/>
  <c r="Q2476" i="12"/>
  <c r="O2476" i="12"/>
  <c r="K2476" i="12"/>
  <c r="F2476" i="12"/>
  <c r="G2476" i="12" s="1"/>
  <c r="J2476" i="12" s="1"/>
  <c r="E2476" i="12"/>
  <c r="I2476" i="12" s="1"/>
  <c r="C2476" i="12"/>
  <c r="Q2475" i="12"/>
  <c r="O2475" i="12"/>
  <c r="K2475" i="12"/>
  <c r="F2475" i="12"/>
  <c r="G2475" i="12" s="1"/>
  <c r="E2475" i="12"/>
  <c r="I2475" i="12" s="1"/>
  <c r="C2475" i="12"/>
  <c r="Q2474" i="12"/>
  <c r="O2474" i="12"/>
  <c r="K2474" i="12"/>
  <c r="F2474" i="12"/>
  <c r="G2474" i="12" s="1"/>
  <c r="E2474" i="12"/>
  <c r="I2474" i="12" s="1"/>
  <c r="C2474" i="12"/>
  <c r="Q2473" i="12"/>
  <c r="O2473" i="12"/>
  <c r="K2473" i="12"/>
  <c r="F2473" i="12"/>
  <c r="G2473" i="12" s="1"/>
  <c r="E2473" i="12"/>
  <c r="I2473" i="12" s="1"/>
  <c r="C2473" i="12"/>
  <c r="Q2472" i="12"/>
  <c r="O2472" i="12"/>
  <c r="K2472" i="12"/>
  <c r="F2472" i="12"/>
  <c r="G2472" i="12" s="1"/>
  <c r="E2472" i="12"/>
  <c r="I2472" i="12" s="1"/>
  <c r="C2472" i="12"/>
  <c r="Q2471" i="12"/>
  <c r="O2471" i="12"/>
  <c r="K2471" i="12"/>
  <c r="F2471" i="12"/>
  <c r="G2471" i="12" s="1"/>
  <c r="E2471" i="12"/>
  <c r="I2471" i="12" s="1"/>
  <c r="C2471" i="12"/>
  <c r="Q2470" i="12"/>
  <c r="O2470" i="12"/>
  <c r="K2470" i="12"/>
  <c r="F2470" i="12"/>
  <c r="G2470" i="12" s="1"/>
  <c r="E2470" i="12"/>
  <c r="I2470" i="12" s="1"/>
  <c r="C2470" i="12"/>
  <c r="Q2469" i="12"/>
  <c r="O2469" i="12"/>
  <c r="K2469" i="12"/>
  <c r="F2469" i="12"/>
  <c r="G2469" i="12" s="1"/>
  <c r="J2469" i="12" s="1"/>
  <c r="E2469" i="12"/>
  <c r="I2469" i="12" s="1"/>
  <c r="C2469" i="12"/>
  <c r="Q2468" i="12"/>
  <c r="O2468" i="12"/>
  <c r="K2468" i="12"/>
  <c r="F2468" i="12"/>
  <c r="G2468" i="12" s="1"/>
  <c r="E2468" i="12"/>
  <c r="I2468" i="12" s="1"/>
  <c r="C2468" i="12"/>
  <c r="Q2467" i="12"/>
  <c r="O2467" i="12"/>
  <c r="K2467" i="12"/>
  <c r="F2467" i="12"/>
  <c r="G2467" i="12" s="1"/>
  <c r="E2467" i="12"/>
  <c r="I2467" i="12" s="1"/>
  <c r="C2467" i="12"/>
  <c r="Q2466" i="12"/>
  <c r="O2466" i="12"/>
  <c r="K2466" i="12"/>
  <c r="F2466" i="12"/>
  <c r="G2466" i="12" s="1"/>
  <c r="E2466" i="12"/>
  <c r="I2466" i="12" s="1"/>
  <c r="C2466" i="12"/>
  <c r="Q2465" i="12"/>
  <c r="O2465" i="12"/>
  <c r="K2465" i="12"/>
  <c r="F2465" i="12"/>
  <c r="G2465" i="12" s="1"/>
  <c r="J2465" i="12" s="1"/>
  <c r="E2465" i="12"/>
  <c r="I2465" i="12" s="1"/>
  <c r="C2465" i="12"/>
  <c r="Q2464" i="12"/>
  <c r="O2464" i="12"/>
  <c r="K2464" i="12"/>
  <c r="F2464" i="12"/>
  <c r="G2464" i="12" s="1"/>
  <c r="E2464" i="12"/>
  <c r="I2464" i="12" s="1"/>
  <c r="C2464" i="12"/>
  <c r="Q2463" i="12"/>
  <c r="O2463" i="12"/>
  <c r="K2463" i="12"/>
  <c r="F2463" i="12"/>
  <c r="G2463" i="12" s="1"/>
  <c r="J2463" i="12" s="1"/>
  <c r="E2463" i="12"/>
  <c r="I2463" i="12" s="1"/>
  <c r="C2463" i="12"/>
  <c r="Q2462" i="12"/>
  <c r="O2462" i="12"/>
  <c r="K2462" i="12"/>
  <c r="F2462" i="12"/>
  <c r="G2462" i="12" s="1"/>
  <c r="J2462" i="12" s="1"/>
  <c r="E2462" i="12"/>
  <c r="I2462" i="12" s="1"/>
  <c r="C2462" i="12"/>
  <c r="Q2461" i="12"/>
  <c r="O2461" i="12"/>
  <c r="K2461" i="12"/>
  <c r="F2461" i="12"/>
  <c r="G2461" i="12" s="1"/>
  <c r="E2461" i="12"/>
  <c r="I2461" i="12" s="1"/>
  <c r="C2461" i="12"/>
  <c r="Q2460" i="12"/>
  <c r="O2460" i="12"/>
  <c r="K2460" i="12"/>
  <c r="F2460" i="12"/>
  <c r="G2460" i="12" s="1"/>
  <c r="E2460" i="12"/>
  <c r="I2460" i="12" s="1"/>
  <c r="C2460" i="12"/>
  <c r="Q2459" i="12"/>
  <c r="O2459" i="12"/>
  <c r="K2459" i="12"/>
  <c r="F2459" i="12"/>
  <c r="G2459" i="12" s="1"/>
  <c r="E2459" i="12"/>
  <c r="I2459" i="12" s="1"/>
  <c r="C2459" i="12"/>
  <c r="Q2458" i="12"/>
  <c r="O2458" i="12"/>
  <c r="K2458" i="12"/>
  <c r="F2458" i="12"/>
  <c r="G2458" i="12" s="1"/>
  <c r="E2458" i="12"/>
  <c r="I2458" i="12" s="1"/>
  <c r="C2458" i="12"/>
  <c r="Q2457" i="12"/>
  <c r="O2457" i="12"/>
  <c r="K2457" i="12"/>
  <c r="F2457" i="12"/>
  <c r="G2457" i="12" s="1"/>
  <c r="E2457" i="12"/>
  <c r="I2457" i="12" s="1"/>
  <c r="C2457" i="12"/>
  <c r="Q2456" i="12"/>
  <c r="O2456" i="12"/>
  <c r="K2456" i="12"/>
  <c r="F2456" i="12"/>
  <c r="E2456" i="12"/>
  <c r="I2456" i="12" s="1"/>
  <c r="C2456" i="12"/>
  <c r="Q2455" i="12"/>
  <c r="O2455" i="12"/>
  <c r="K2455" i="12"/>
  <c r="F2455" i="12"/>
  <c r="G2455" i="12" s="1"/>
  <c r="E2455" i="12"/>
  <c r="I2455" i="12" s="1"/>
  <c r="C2455" i="12"/>
  <c r="Q2454" i="12"/>
  <c r="O2454" i="12"/>
  <c r="K2454" i="12"/>
  <c r="F2454" i="12"/>
  <c r="G2454" i="12" s="1"/>
  <c r="E2454" i="12"/>
  <c r="I2454" i="12" s="1"/>
  <c r="C2454" i="12"/>
  <c r="Q2453" i="12"/>
  <c r="O2453" i="12"/>
  <c r="K2453" i="12"/>
  <c r="F2453" i="12"/>
  <c r="G2453" i="12" s="1"/>
  <c r="E2453" i="12"/>
  <c r="I2453" i="12" s="1"/>
  <c r="C2453" i="12"/>
  <c r="Q2452" i="12"/>
  <c r="O2452" i="12"/>
  <c r="K2452" i="12"/>
  <c r="F2452" i="12"/>
  <c r="G2452" i="12" s="1"/>
  <c r="J2452" i="12" s="1"/>
  <c r="E2452" i="12"/>
  <c r="I2452" i="12" s="1"/>
  <c r="C2452" i="12"/>
  <c r="Q2451" i="12"/>
  <c r="O2451" i="12"/>
  <c r="K2451" i="12"/>
  <c r="F2451" i="12"/>
  <c r="G2451" i="12" s="1"/>
  <c r="J2451" i="12" s="1"/>
  <c r="E2451" i="12"/>
  <c r="I2451" i="12" s="1"/>
  <c r="C2451" i="12"/>
  <c r="Q2450" i="12"/>
  <c r="O2450" i="12"/>
  <c r="K2450" i="12"/>
  <c r="F2450" i="12"/>
  <c r="E2450" i="12"/>
  <c r="I2450" i="12" s="1"/>
  <c r="C2450" i="12"/>
  <c r="Q2449" i="12"/>
  <c r="O2449" i="12"/>
  <c r="K2449" i="12"/>
  <c r="F2449" i="12"/>
  <c r="G2449" i="12" s="1"/>
  <c r="E2449" i="12"/>
  <c r="I2449" i="12" s="1"/>
  <c r="C2449" i="12"/>
  <c r="Q2448" i="12"/>
  <c r="O2448" i="12"/>
  <c r="K2448" i="12"/>
  <c r="F2448" i="12"/>
  <c r="G2448" i="12" s="1"/>
  <c r="E2448" i="12"/>
  <c r="I2448" i="12" s="1"/>
  <c r="C2448" i="12"/>
  <c r="Q2447" i="12"/>
  <c r="O2447" i="12"/>
  <c r="K2447" i="12"/>
  <c r="F2447" i="12"/>
  <c r="G2447" i="12" s="1"/>
  <c r="E2447" i="12"/>
  <c r="I2447" i="12" s="1"/>
  <c r="C2447" i="12"/>
  <c r="Q2446" i="12"/>
  <c r="O2446" i="12"/>
  <c r="K2446" i="12"/>
  <c r="F2446" i="12"/>
  <c r="G2446" i="12" s="1"/>
  <c r="E2446" i="12"/>
  <c r="I2446" i="12" s="1"/>
  <c r="C2446" i="12"/>
  <c r="Q2445" i="12"/>
  <c r="O2445" i="12"/>
  <c r="K2445" i="12"/>
  <c r="F2445" i="12"/>
  <c r="E2445" i="12"/>
  <c r="I2445" i="12" s="1"/>
  <c r="C2445" i="12"/>
  <c r="Q2444" i="12"/>
  <c r="O2444" i="12"/>
  <c r="K2444" i="12"/>
  <c r="F2444" i="12"/>
  <c r="G2444" i="12" s="1"/>
  <c r="E2444" i="12"/>
  <c r="I2444" i="12" s="1"/>
  <c r="C2444" i="12"/>
  <c r="Q2443" i="12"/>
  <c r="O2443" i="12"/>
  <c r="K2443" i="12"/>
  <c r="F2443" i="12"/>
  <c r="G2443" i="12" s="1"/>
  <c r="J2443" i="12" s="1"/>
  <c r="E2443" i="12"/>
  <c r="I2443" i="12" s="1"/>
  <c r="C2443" i="12"/>
  <c r="Q2442" i="12"/>
  <c r="O2442" i="12"/>
  <c r="K2442" i="12"/>
  <c r="F2442" i="12"/>
  <c r="G2442" i="12" s="1"/>
  <c r="E2442" i="12"/>
  <c r="I2442" i="12" s="1"/>
  <c r="C2442" i="12"/>
  <c r="Q2441" i="12"/>
  <c r="O2441" i="12"/>
  <c r="K2441" i="12"/>
  <c r="F2441" i="12"/>
  <c r="G2441" i="12" s="1"/>
  <c r="E2441" i="12"/>
  <c r="I2441" i="12" s="1"/>
  <c r="C2441" i="12"/>
  <c r="Q2440" i="12"/>
  <c r="O2440" i="12"/>
  <c r="K2440" i="12"/>
  <c r="F2440" i="12"/>
  <c r="G2440" i="12" s="1"/>
  <c r="J2440" i="12" s="1"/>
  <c r="E2440" i="12"/>
  <c r="I2440" i="12" s="1"/>
  <c r="C2440" i="12"/>
  <c r="Q2439" i="12"/>
  <c r="O2439" i="12"/>
  <c r="K2439" i="12"/>
  <c r="F2439" i="12"/>
  <c r="G2439" i="12" s="1"/>
  <c r="J2439" i="12" s="1"/>
  <c r="E2439" i="12"/>
  <c r="I2439" i="12" s="1"/>
  <c r="C2439" i="12"/>
  <c r="Q2438" i="12"/>
  <c r="O2438" i="12"/>
  <c r="K2438" i="12"/>
  <c r="F2438" i="12"/>
  <c r="G2438" i="12" s="1"/>
  <c r="J2438" i="12" s="1"/>
  <c r="E2438" i="12"/>
  <c r="I2438" i="12" s="1"/>
  <c r="C2438" i="12"/>
  <c r="Q2437" i="12"/>
  <c r="O2437" i="12"/>
  <c r="K2437" i="12"/>
  <c r="F2437" i="12"/>
  <c r="G2437" i="12" s="1"/>
  <c r="E2437" i="12"/>
  <c r="I2437" i="12" s="1"/>
  <c r="C2437" i="12"/>
  <c r="Q2436" i="12"/>
  <c r="O2436" i="12"/>
  <c r="K2436" i="12"/>
  <c r="F2436" i="12"/>
  <c r="G2436" i="12" s="1"/>
  <c r="E2436" i="12"/>
  <c r="I2436" i="12" s="1"/>
  <c r="C2436" i="12"/>
  <c r="Q2435" i="12"/>
  <c r="O2435" i="12"/>
  <c r="K2435" i="12"/>
  <c r="F2435" i="12"/>
  <c r="G2435" i="12" s="1"/>
  <c r="E2435" i="12"/>
  <c r="I2435" i="12" s="1"/>
  <c r="C2435" i="12"/>
  <c r="Q2434" i="12"/>
  <c r="O2434" i="12"/>
  <c r="K2434" i="12"/>
  <c r="F2434" i="12"/>
  <c r="G2434" i="12" s="1"/>
  <c r="J2434" i="12" s="1"/>
  <c r="E2434" i="12"/>
  <c r="I2434" i="12" s="1"/>
  <c r="C2434" i="12"/>
  <c r="Q2433" i="12"/>
  <c r="O2433" i="12"/>
  <c r="K2433" i="12"/>
  <c r="F2433" i="12"/>
  <c r="G2433" i="12" s="1"/>
  <c r="E2433" i="12"/>
  <c r="I2433" i="12" s="1"/>
  <c r="C2433" i="12"/>
  <c r="Q2432" i="12"/>
  <c r="O2432" i="12"/>
  <c r="K2432" i="12"/>
  <c r="F2432" i="12"/>
  <c r="G2432" i="12" s="1"/>
  <c r="E2432" i="12"/>
  <c r="I2432" i="12" s="1"/>
  <c r="C2432" i="12"/>
  <c r="Q2431" i="12"/>
  <c r="O2431" i="12"/>
  <c r="K2431" i="12"/>
  <c r="F2431" i="12"/>
  <c r="G2431" i="12" s="1"/>
  <c r="E2431" i="12"/>
  <c r="I2431" i="12" s="1"/>
  <c r="C2431" i="12"/>
  <c r="Q2430" i="12"/>
  <c r="O2430" i="12"/>
  <c r="K2430" i="12"/>
  <c r="F2430" i="12"/>
  <c r="G2430" i="12" s="1"/>
  <c r="E2430" i="12"/>
  <c r="I2430" i="12" s="1"/>
  <c r="C2430" i="12"/>
  <c r="Q2429" i="12"/>
  <c r="O2429" i="12"/>
  <c r="K2429" i="12"/>
  <c r="F2429" i="12"/>
  <c r="G2429" i="12" s="1"/>
  <c r="J2429" i="12" s="1"/>
  <c r="E2429" i="12"/>
  <c r="I2429" i="12" s="1"/>
  <c r="C2429" i="12"/>
  <c r="Q2427" i="12"/>
  <c r="O2427" i="12"/>
  <c r="K2427" i="12"/>
  <c r="F2427" i="12"/>
  <c r="G2427" i="12" s="1"/>
  <c r="E2427" i="12"/>
  <c r="I2427" i="12" s="1"/>
  <c r="C2427" i="12"/>
  <c r="Q2426" i="12"/>
  <c r="O2426" i="12"/>
  <c r="K2426" i="12"/>
  <c r="F2426" i="12"/>
  <c r="G2426" i="12" s="1"/>
  <c r="E2426" i="12"/>
  <c r="I2426" i="12" s="1"/>
  <c r="C2426" i="12"/>
  <c r="Q2425" i="12"/>
  <c r="O2425" i="12"/>
  <c r="K2425" i="12"/>
  <c r="F2425" i="12"/>
  <c r="G2425" i="12" s="1"/>
  <c r="E2425" i="12"/>
  <c r="I2425" i="12" s="1"/>
  <c r="C2425" i="12"/>
  <c r="Q2424" i="12"/>
  <c r="O2424" i="12"/>
  <c r="K2424" i="12"/>
  <c r="F2424" i="12"/>
  <c r="G2424" i="12" s="1"/>
  <c r="J2424" i="12" s="1"/>
  <c r="E2424" i="12"/>
  <c r="I2424" i="12" s="1"/>
  <c r="C2424" i="12"/>
  <c r="Q2423" i="12"/>
  <c r="O2423" i="12"/>
  <c r="K2423" i="12"/>
  <c r="F2423" i="12"/>
  <c r="G2423" i="12" s="1"/>
  <c r="J2423" i="12" s="1"/>
  <c r="E2423" i="12"/>
  <c r="I2423" i="12" s="1"/>
  <c r="C2423" i="12"/>
  <c r="Q2416" i="12"/>
  <c r="O2416" i="12"/>
  <c r="K2416" i="12"/>
  <c r="F2416" i="12"/>
  <c r="G2416" i="12" s="1"/>
  <c r="E2416" i="12"/>
  <c r="I2416" i="12" s="1"/>
  <c r="C2416" i="12"/>
  <c r="Q2415" i="12"/>
  <c r="O2415" i="12"/>
  <c r="K2415" i="12"/>
  <c r="F2415" i="12"/>
  <c r="G2415" i="12" s="1"/>
  <c r="E2415" i="12"/>
  <c r="I2415" i="12" s="1"/>
  <c r="C2415" i="12"/>
  <c r="Q2422" i="12"/>
  <c r="O2422" i="12"/>
  <c r="K2422" i="12"/>
  <c r="F2422" i="12"/>
  <c r="G2422" i="12" s="1"/>
  <c r="J2422" i="12" s="1"/>
  <c r="E2422" i="12"/>
  <c r="I2422" i="12" s="1"/>
  <c r="C2422" i="12"/>
  <c r="Q2421" i="12"/>
  <c r="O2421" i="12"/>
  <c r="K2421" i="12"/>
  <c r="F2421" i="12"/>
  <c r="G2421" i="12" s="1"/>
  <c r="E2421" i="12"/>
  <c r="I2421" i="12" s="1"/>
  <c r="C2421" i="12"/>
  <c r="Q2420" i="12"/>
  <c r="O2420" i="12"/>
  <c r="K2420" i="12"/>
  <c r="F2420" i="12"/>
  <c r="G2420" i="12" s="1"/>
  <c r="E2420" i="12"/>
  <c r="I2420" i="12" s="1"/>
  <c r="C2420" i="12"/>
  <c r="Q2419" i="12"/>
  <c r="O2419" i="12"/>
  <c r="K2419" i="12"/>
  <c r="F2419" i="12"/>
  <c r="G2419" i="12" s="1"/>
  <c r="J2419" i="12" s="1"/>
  <c r="E2419" i="12"/>
  <c r="I2419" i="12" s="1"/>
  <c r="C2419" i="12"/>
  <c r="Q2418" i="12"/>
  <c r="O2418" i="12"/>
  <c r="K2418" i="12"/>
  <c r="F2418" i="12"/>
  <c r="G2418" i="12" s="1"/>
  <c r="J2418" i="12" s="1"/>
  <c r="E2418" i="12"/>
  <c r="I2418" i="12" s="1"/>
  <c r="C2418" i="12"/>
  <c r="Q2417" i="12"/>
  <c r="O2417" i="12"/>
  <c r="K2417" i="12"/>
  <c r="F2417" i="12"/>
  <c r="G2417" i="12" s="1"/>
  <c r="E2417" i="12"/>
  <c r="I2417" i="12" s="1"/>
  <c r="C2417" i="12"/>
  <c r="Q2414" i="12"/>
  <c r="O2414" i="12"/>
  <c r="K2414" i="12"/>
  <c r="F2414" i="12"/>
  <c r="G2414" i="12" s="1"/>
  <c r="E2414" i="12"/>
  <c r="I2414" i="12" s="1"/>
  <c r="C2414" i="12"/>
  <c r="Q2413" i="12"/>
  <c r="O2413" i="12"/>
  <c r="K2413" i="12"/>
  <c r="F2413" i="12"/>
  <c r="G2413" i="12" s="1"/>
  <c r="E2413" i="12"/>
  <c r="I2413" i="12" s="1"/>
  <c r="C2413" i="12"/>
  <c r="Q2412" i="12"/>
  <c r="O2412" i="12"/>
  <c r="K2412" i="12"/>
  <c r="F2412" i="12"/>
  <c r="G2412" i="12" s="1"/>
  <c r="J2412" i="12" s="1"/>
  <c r="E2412" i="12"/>
  <c r="I2412" i="12" s="1"/>
  <c r="C2412" i="12"/>
  <c r="Q2411" i="12"/>
  <c r="O2411" i="12"/>
  <c r="K2411" i="12"/>
  <c r="F2411" i="12"/>
  <c r="G2411" i="12" s="1"/>
  <c r="E2411" i="12"/>
  <c r="I2411" i="12" s="1"/>
  <c r="C2411" i="12"/>
  <c r="Q2410" i="12"/>
  <c r="O2410" i="12"/>
  <c r="K2410" i="12"/>
  <c r="F2410" i="12"/>
  <c r="G2410" i="12" s="1"/>
  <c r="E2410" i="12"/>
  <c r="I2410" i="12" s="1"/>
  <c r="C2410" i="12"/>
  <c r="Q2409" i="12"/>
  <c r="O2409" i="12"/>
  <c r="K2409" i="12"/>
  <c r="F2409" i="12"/>
  <c r="G2409" i="12" s="1"/>
  <c r="L2409" i="12" s="1"/>
  <c r="E2409" i="12"/>
  <c r="I2409" i="12" s="1"/>
  <c r="C2409" i="12"/>
  <c r="Q2408" i="12"/>
  <c r="O2408" i="12"/>
  <c r="K2408" i="12"/>
  <c r="F2408" i="12"/>
  <c r="G2408" i="12" s="1"/>
  <c r="J2408" i="12" s="1"/>
  <c r="E2408" i="12"/>
  <c r="I2408" i="12" s="1"/>
  <c r="C2408" i="12"/>
  <c r="Q2407" i="12"/>
  <c r="O2407" i="12"/>
  <c r="K2407" i="12"/>
  <c r="F2407" i="12"/>
  <c r="E2407" i="12"/>
  <c r="I2407" i="12" s="1"/>
  <c r="C2407" i="12"/>
  <c r="Q2406" i="12"/>
  <c r="O2406" i="12"/>
  <c r="K2406" i="12"/>
  <c r="F2406" i="12"/>
  <c r="G2406" i="12" s="1"/>
  <c r="E2406" i="12"/>
  <c r="I2406" i="12" s="1"/>
  <c r="C2406" i="12"/>
  <c r="Q2405" i="12"/>
  <c r="O2405" i="12"/>
  <c r="K2405" i="12"/>
  <c r="F2405" i="12"/>
  <c r="G2405" i="12" s="1"/>
  <c r="E2405" i="12"/>
  <c r="I2405" i="12" s="1"/>
  <c r="C2405" i="12"/>
  <c r="Q2404" i="12"/>
  <c r="O2404" i="12"/>
  <c r="K2404" i="12"/>
  <c r="F2404" i="12"/>
  <c r="G2404" i="12" s="1"/>
  <c r="J2404" i="12" s="1"/>
  <c r="E2404" i="12"/>
  <c r="I2404" i="12" s="1"/>
  <c r="C2404" i="12"/>
  <c r="Q2403" i="12"/>
  <c r="O2403" i="12"/>
  <c r="K2403" i="12"/>
  <c r="F2403" i="12"/>
  <c r="G2403" i="12" s="1"/>
  <c r="E2403" i="12"/>
  <c r="I2403" i="12" s="1"/>
  <c r="C2403" i="12"/>
  <c r="Q2402" i="12"/>
  <c r="O2402" i="12"/>
  <c r="K2402" i="12"/>
  <c r="F2402" i="12"/>
  <c r="G2402" i="12" s="1"/>
  <c r="E2402" i="12"/>
  <c r="I2402" i="12" s="1"/>
  <c r="C2402" i="12"/>
  <c r="Q2401" i="12"/>
  <c r="O2401" i="12"/>
  <c r="K2401" i="12"/>
  <c r="F2401" i="12"/>
  <c r="G2401" i="12" s="1"/>
  <c r="E2401" i="12"/>
  <c r="I2401" i="12" s="1"/>
  <c r="C2401" i="12"/>
  <c r="Q2400" i="12"/>
  <c r="O2400" i="12"/>
  <c r="K2400" i="12"/>
  <c r="F2400" i="12"/>
  <c r="G2400" i="12" s="1"/>
  <c r="E2400" i="12"/>
  <c r="I2400" i="12" s="1"/>
  <c r="C2400" i="12"/>
  <c r="Q2399" i="12"/>
  <c r="O2399" i="12"/>
  <c r="K2399" i="12"/>
  <c r="F2399" i="12"/>
  <c r="G2399" i="12" s="1"/>
  <c r="J2399" i="12" s="1"/>
  <c r="E2399" i="12"/>
  <c r="I2399" i="12" s="1"/>
  <c r="C2399" i="12"/>
  <c r="Q2398" i="12"/>
  <c r="O2398" i="12"/>
  <c r="K2398" i="12"/>
  <c r="F2398" i="12"/>
  <c r="G2398" i="12" s="1"/>
  <c r="E2398" i="12"/>
  <c r="I2398" i="12" s="1"/>
  <c r="C2398" i="12"/>
  <c r="Q2397" i="12"/>
  <c r="O2397" i="12"/>
  <c r="K2397" i="12"/>
  <c r="F2397" i="12"/>
  <c r="G2397" i="12" s="1"/>
  <c r="E2397" i="12"/>
  <c r="I2397" i="12" s="1"/>
  <c r="C2397" i="12"/>
  <c r="Q2396" i="12"/>
  <c r="O2396" i="12"/>
  <c r="K2396" i="12"/>
  <c r="F2396" i="12"/>
  <c r="G2396" i="12" s="1"/>
  <c r="E2396" i="12"/>
  <c r="I2396" i="12" s="1"/>
  <c r="C2396" i="12"/>
  <c r="Q2395" i="12"/>
  <c r="O2395" i="12"/>
  <c r="K2395" i="12"/>
  <c r="F2395" i="12"/>
  <c r="E2395" i="12"/>
  <c r="I2395" i="12" s="1"/>
  <c r="C2395" i="12"/>
  <c r="Q2394" i="12"/>
  <c r="O2394" i="12"/>
  <c r="K2394" i="12"/>
  <c r="F2394" i="12"/>
  <c r="G2394" i="12" s="1"/>
  <c r="E2394" i="12"/>
  <c r="I2394" i="12" s="1"/>
  <c r="C2394" i="12"/>
  <c r="Q2393" i="12"/>
  <c r="O2393" i="12"/>
  <c r="K2393" i="12"/>
  <c r="F2393" i="12"/>
  <c r="G2393" i="12" s="1"/>
  <c r="E2393" i="12"/>
  <c r="I2393" i="12" s="1"/>
  <c r="C2393" i="12"/>
  <c r="Q2392" i="12"/>
  <c r="O2392" i="12"/>
  <c r="K2392" i="12"/>
  <c r="F2392" i="12"/>
  <c r="G2392" i="12" s="1"/>
  <c r="E2392" i="12"/>
  <c r="I2392" i="12" s="1"/>
  <c r="C2392" i="12"/>
  <c r="Q2391" i="12"/>
  <c r="O2391" i="12"/>
  <c r="K2391" i="12"/>
  <c r="F2391" i="12"/>
  <c r="G2391" i="12" s="1"/>
  <c r="J2391" i="12" s="1"/>
  <c r="E2391" i="12"/>
  <c r="I2391" i="12" s="1"/>
  <c r="C2391" i="12"/>
  <c r="Q2390" i="12"/>
  <c r="O2390" i="12"/>
  <c r="K2390" i="12"/>
  <c r="F2390" i="12"/>
  <c r="G2390" i="12" s="1"/>
  <c r="E2390" i="12"/>
  <c r="I2390" i="12" s="1"/>
  <c r="C2390" i="12"/>
  <c r="Q2389" i="12"/>
  <c r="O2389" i="12"/>
  <c r="K2389" i="12"/>
  <c r="F2389" i="12"/>
  <c r="G2389" i="12" s="1"/>
  <c r="E2389" i="12"/>
  <c r="I2389" i="12" s="1"/>
  <c r="C2389" i="12"/>
  <c r="K2388" i="12"/>
  <c r="F2388" i="12"/>
  <c r="G2388" i="12" s="1"/>
  <c r="E2388" i="12"/>
  <c r="I2388" i="12" s="1"/>
  <c r="C2388" i="12"/>
  <c r="Q2374" i="12"/>
  <c r="O2374" i="12"/>
  <c r="K2374" i="12"/>
  <c r="F2374" i="12"/>
  <c r="G2374" i="12" s="1"/>
  <c r="J2374" i="12" s="1"/>
  <c r="E2374" i="12"/>
  <c r="I2374" i="12" s="1"/>
  <c r="C2374" i="12"/>
  <c r="Q2373" i="12"/>
  <c r="O2373" i="12"/>
  <c r="K2373" i="12"/>
  <c r="F2373" i="12"/>
  <c r="G2373" i="12" s="1"/>
  <c r="E2373" i="12"/>
  <c r="I2373" i="12" s="1"/>
  <c r="C2373" i="12"/>
  <c r="Q2387" i="12"/>
  <c r="O2387" i="12"/>
  <c r="K2387" i="12"/>
  <c r="F2387" i="12"/>
  <c r="G2387" i="12" s="1"/>
  <c r="E2387" i="12"/>
  <c r="I2387" i="12" s="1"/>
  <c r="C2387" i="12"/>
  <c r="Q2386" i="12"/>
  <c r="O2386" i="12"/>
  <c r="K2386" i="12"/>
  <c r="F2386" i="12"/>
  <c r="G2386" i="12" s="1"/>
  <c r="J2386" i="12" s="1"/>
  <c r="E2386" i="12"/>
  <c r="I2386" i="12" s="1"/>
  <c r="C2386" i="12"/>
  <c r="Q2385" i="12"/>
  <c r="O2385" i="12"/>
  <c r="K2385" i="12"/>
  <c r="F2385" i="12"/>
  <c r="G2385" i="12" s="1"/>
  <c r="E2385" i="12"/>
  <c r="I2385" i="12" s="1"/>
  <c r="C2385" i="12"/>
  <c r="Q2384" i="12"/>
  <c r="O2384" i="12"/>
  <c r="K2384" i="12"/>
  <c r="F2384" i="12"/>
  <c r="G2384" i="12" s="1"/>
  <c r="E2384" i="12"/>
  <c r="I2384" i="12" s="1"/>
  <c r="C2384" i="12"/>
  <c r="Q2383" i="12"/>
  <c r="O2383" i="12"/>
  <c r="K2383" i="12"/>
  <c r="F2383" i="12"/>
  <c r="G2383" i="12" s="1"/>
  <c r="E2383" i="12"/>
  <c r="I2383" i="12" s="1"/>
  <c r="C2383" i="12"/>
  <c r="Q2382" i="12"/>
  <c r="O2382" i="12"/>
  <c r="K2382" i="12"/>
  <c r="F2382" i="12"/>
  <c r="G2382" i="12" s="1"/>
  <c r="J2382" i="12" s="1"/>
  <c r="E2382" i="12"/>
  <c r="I2382" i="12" s="1"/>
  <c r="C2382" i="12"/>
  <c r="Q2381" i="12"/>
  <c r="O2381" i="12"/>
  <c r="K2381" i="12"/>
  <c r="F2381" i="12"/>
  <c r="G2381" i="12" s="1"/>
  <c r="E2381" i="12"/>
  <c r="I2381" i="12" s="1"/>
  <c r="C2381" i="12"/>
  <c r="Q2380" i="12"/>
  <c r="O2380" i="12"/>
  <c r="K2380" i="12"/>
  <c r="F2380" i="12"/>
  <c r="G2380" i="12" s="1"/>
  <c r="J2380" i="12" s="1"/>
  <c r="E2380" i="12"/>
  <c r="I2380" i="12" s="1"/>
  <c r="C2380" i="12"/>
  <c r="Q2379" i="12"/>
  <c r="O2379" i="12"/>
  <c r="K2379" i="12"/>
  <c r="F2379" i="12"/>
  <c r="G2379" i="12" s="1"/>
  <c r="E2379" i="12"/>
  <c r="I2379" i="12" s="1"/>
  <c r="C2379" i="12"/>
  <c r="Q2378" i="12"/>
  <c r="O2378" i="12"/>
  <c r="K2378" i="12"/>
  <c r="F2378" i="12"/>
  <c r="G2378" i="12" s="1"/>
  <c r="E2378" i="12"/>
  <c r="I2378" i="12" s="1"/>
  <c r="C2378" i="12"/>
  <c r="Q2377" i="12"/>
  <c r="O2377" i="12"/>
  <c r="K2377" i="12"/>
  <c r="F2377" i="12"/>
  <c r="G2377" i="12" s="1"/>
  <c r="E2377" i="12"/>
  <c r="I2377" i="12" s="1"/>
  <c r="C2377" i="12"/>
  <c r="Q2376" i="12"/>
  <c r="O2376" i="12"/>
  <c r="K2376" i="12"/>
  <c r="F2376" i="12"/>
  <c r="G2376" i="12" s="1"/>
  <c r="E2376" i="12"/>
  <c r="I2376" i="12" s="1"/>
  <c r="C2376" i="12"/>
  <c r="Q2375" i="12"/>
  <c r="O2375" i="12"/>
  <c r="K2375" i="12"/>
  <c r="F2375" i="12"/>
  <c r="G2375" i="12" s="1"/>
  <c r="E2375" i="12"/>
  <c r="I2375" i="12" s="1"/>
  <c r="C2375" i="12"/>
  <c r="Q2372" i="12"/>
  <c r="O2372" i="12"/>
  <c r="K2372" i="12"/>
  <c r="F2372" i="12"/>
  <c r="G2372" i="12" s="1"/>
  <c r="E2372" i="12"/>
  <c r="I2372" i="12" s="1"/>
  <c r="C2372" i="12"/>
  <c r="Q2371" i="12"/>
  <c r="O2371" i="12"/>
  <c r="K2371" i="12"/>
  <c r="F2371" i="12"/>
  <c r="G2371" i="12" s="1"/>
  <c r="E2371" i="12"/>
  <c r="I2371" i="12" s="1"/>
  <c r="C2371" i="12"/>
  <c r="Q2370" i="12"/>
  <c r="O2370" i="12"/>
  <c r="K2370" i="12"/>
  <c r="F2370" i="12"/>
  <c r="G2370" i="12" s="1"/>
  <c r="E2370" i="12"/>
  <c r="I2370" i="12" s="1"/>
  <c r="C2370" i="12"/>
  <c r="Q2369" i="12"/>
  <c r="O2369" i="12"/>
  <c r="K2369" i="12"/>
  <c r="F2369" i="12"/>
  <c r="G2369" i="12" s="1"/>
  <c r="E2369" i="12"/>
  <c r="I2369" i="12" s="1"/>
  <c r="C2369" i="12"/>
  <c r="Q2368" i="12"/>
  <c r="O2368" i="12"/>
  <c r="K2368" i="12"/>
  <c r="F2368" i="12"/>
  <c r="G2368" i="12" s="1"/>
  <c r="E2368" i="12"/>
  <c r="I2368" i="12" s="1"/>
  <c r="C2368" i="12"/>
  <c r="Q2367" i="12"/>
  <c r="O2367" i="12"/>
  <c r="K2367" i="12"/>
  <c r="F2367" i="12"/>
  <c r="G2367" i="12" s="1"/>
  <c r="J2367" i="12" s="1"/>
  <c r="E2367" i="12"/>
  <c r="I2367" i="12" s="1"/>
  <c r="C2367" i="12"/>
  <c r="Q2366" i="12"/>
  <c r="O2366" i="12"/>
  <c r="K2366" i="12"/>
  <c r="F2366" i="12"/>
  <c r="G2366" i="12" s="1"/>
  <c r="J2366" i="12" s="1"/>
  <c r="E2366" i="12"/>
  <c r="I2366" i="12" s="1"/>
  <c r="C2366" i="12"/>
  <c r="Q2365" i="12"/>
  <c r="O2365" i="12"/>
  <c r="K2365" i="12"/>
  <c r="F2365" i="12"/>
  <c r="G2365" i="12" s="1"/>
  <c r="E2365" i="12"/>
  <c r="I2365" i="12" s="1"/>
  <c r="C2365" i="12"/>
  <c r="Q2364" i="12"/>
  <c r="O2364" i="12"/>
  <c r="K2364" i="12"/>
  <c r="F2364" i="12"/>
  <c r="G2364" i="12" s="1"/>
  <c r="E2364" i="12"/>
  <c r="I2364" i="12" s="1"/>
  <c r="C2364" i="12"/>
  <c r="Q2363" i="12"/>
  <c r="O2363" i="12"/>
  <c r="K2363" i="12"/>
  <c r="F2363" i="12"/>
  <c r="G2363" i="12" s="1"/>
  <c r="E2363" i="12"/>
  <c r="I2363" i="12" s="1"/>
  <c r="C2363" i="12"/>
  <c r="Q2362" i="12"/>
  <c r="O2362" i="12"/>
  <c r="K2362" i="12"/>
  <c r="F2362" i="12"/>
  <c r="G2362" i="12" s="1"/>
  <c r="E2362" i="12"/>
  <c r="I2362" i="12" s="1"/>
  <c r="C2362" i="12"/>
  <c r="Q2361" i="12"/>
  <c r="O2361" i="12"/>
  <c r="K2361" i="12"/>
  <c r="F2361" i="12"/>
  <c r="G2361" i="12" s="1"/>
  <c r="E2361" i="12"/>
  <c r="I2361" i="12" s="1"/>
  <c r="C2361" i="12"/>
  <c r="Q2360" i="12"/>
  <c r="O2360" i="12"/>
  <c r="K2360" i="12"/>
  <c r="F2360" i="12"/>
  <c r="G2360" i="12" s="1"/>
  <c r="E2360" i="12"/>
  <c r="I2360" i="12" s="1"/>
  <c r="C2360" i="12"/>
  <c r="Q2359" i="12"/>
  <c r="O2359" i="12"/>
  <c r="K2359" i="12"/>
  <c r="F2359" i="12"/>
  <c r="G2359" i="12" s="1"/>
  <c r="E2359" i="12"/>
  <c r="I2359" i="12" s="1"/>
  <c r="C2359" i="12"/>
  <c r="Q2358" i="12"/>
  <c r="O2358" i="12"/>
  <c r="K2358" i="12"/>
  <c r="F2358" i="12"/>
  <c r="G2358" i="12" s="1"/>
  <c r="J2358" i="12" s="1"/>
  <c r="E2358" i="12"/>
  <c r="I2358" i="12" s="1"/>
  <c r="C2358" i="12"/>
  <c r="Q2347" i="12"/>
  <c r="O2347" i="12"/>
  <c r="K2347" i="12"/>
  <c r="F2347" i="12"/>
  <c r="G2347" i="12" s="1"/>
  <c r="E2347" i="12"/>
  <c r="I2347" i="12" s="1"/>
  <c r="C2347" i="12"/>
  <c r="Q2357" i="12"/>
  <c r="O2357" i="12"/>
  <c r="K2357" i="12"/>
  <c r="F2357" i="12"/>
  <c r="G2357" i="12" s="1"/>
  <c r="E2357" i="12"/>
  <c r="I2357" i="12" s="1"/>
  <c r="C2357" i="12"/>
  <c r="Q2356" i="12"/>
  <c r="O2356" i="12"/>
  <c r="K2356" i="12"/>
  <c r="F2356" i="12"/>
  <c r="G2356" i="12" s="1"/>
  <c r="E2356" i="12"/>
  <c r="I2356" i="12" s="1"/>
  <c r="C2356" i="12"/>
  <c r="Q2355" i="12"/>
  <c r="O2355" i="12"/>
  <c r="K2355" i="12"/>
  <c r="F2355" i="12"/>
  <c r="G2355" i="12" s="1"/>
  <c r="E2355" i="12"/>
  <c r="I2355" i="12" s="1"/>
  <c r="C2355" i="12"/>
  <c r="Q2354" i="12"/>
  <c r="O2354" i="12"/>
  <c r="K2354" i="12"/>
  <c r="F2354" i="12"/>
  <c r="G2354" i="12" s="1"/>
  <c r="E2354" i="12"/>
  <c r="I2354" i="12" s="1"/>
  <c r="C2354" i="12"/>
  <c r="Q2353" i="12"/>
  <c r="O2353" i="12"/>
  <c r="K2353" i="12"/>
  <c r="F2353" i="12"/>
  <c r="G2353" i="12" s="1"/>
  <c r="E2353" i="12"/>
  <c r="I2353" i="12" s="1"/>
  <c r="C2353" i="12"/>
  <c r="Q2352" i="12"/>
  <c r="O2352" i="12"/>
  <c r="K2352" i="12"/>
  <c r="F2352" i="12"/>
  <c r="G2352" i="12" s="1"/>
  <c r="E2352" i="12"/>
  <c r="I2352" i="12" s="1"/>
  <c r="C2352" i="12"/>
  <c r="Q2351" i="12"/>
  <c r="O2351" i="12"/>
  <c r="K2351" i="12"/>
  <c r="F2351" i="12"/>
  <c r="G2351" i="12" s="1"/>
  <c r="E2351" i="12"/>
  <c r="I2351" i="12" s="1"/>
  <c r="C2351" i="12"/>
  <c r="Q2350" i="12"/>
  <c r="O2350" i="12"/>
  <c r="K2350" i="12"/>
  <c r="F2350" i="12"/>
  <c r="G2350" i="12" s="1"/>
  <c r="E2350" i="12"/>
  <c r="I2350" i="12" s="1"/>
  <c r="C2350" i="12"/>
  <c r="Q2349" i="12"/>
  <c r="O2349" i="12"/>
  <c r="K2349" i="12"/>
  <c r="F2349" i="12"/>
  <c r="G2349" i="12" s="1"/>
  <c r="J2349" i="12" s="1"/>
  <c r="E2349" i="12"/>
  <c r="I2349" i="12" s="1"/>
  <c r="C2349" i="12"/>
  <c r="Q2348" i="12"/>
  <c r="O2348" i="12"/>
  <c r="K2348" i="12"/>
  <c r="F2348" i="12"/>
  <c r="G2348" i="12" s="1"/>
  <c r="E2348" i="12"/>
  <c r="I2348" i="12" s="1"/>
  <c r="C2348" i="12"/>
  <c r="Q2346" i="12"/>
  <c r="O2346" i="12"/>
  <c r="K2346" i="12"/>
  <c r="F2346" i="12"/>
  <c r="G2346" i="12" s="1"/>
  <c r="E2346" i="12"/>
  <c r="I2346" i="12" s="1"/>
  <c r="C2346" i="12"/>
  <c r="Q2345" i="12"/>
  <c r="O2345" i="12"/>
  <c r="K2345" i="12"/>
  <c r="F2345" i="12"/>
  <c r="G2345" i="12" s="1"/>
  <c r="E2345" i="12"/>
  <c r="I2345" i="12" s="1"/>
  <c r="C2345" i="12"/>
  <c r="Q2344" i="12"/>
  <c r="O2344" i="12"/>
  <c r="K2344" i="12"/>
  <c r="F2344" i="12"/>
  <c r="G2344" i="12" s="1"/>
  <c r="E2344" i="12"/>
  <c r="I2344" i="12" s="1"/>
  <c r="C2344" i="12"/>
  <c r="Q2343" i="12"/>
  <c r="O2343" i="12"/>
  <c r="K2343" i="12"/>
  <c r="F2343" i="12"/>
  <c r="G2343" i="12" s="1"/>
  <c r="J2343" i="12" s="1"/>
  <c r="E2343" i="12"/>
  <c r="I2343" i="12" s="1"/>
  <c r="C2343" i="12"/>
  <c r="Q2342" i="12"/>
  <c r="O2342" i="12"/>
  <c r="K2342" i="12"/>
  <c r="F2342" i="12"/>
  <c r="G2342" i="12" s="1"/>
  <c r="E2342" i="12"/>
  <c r="I2342" i="12" s="1"/>
  <c r="C2342" i="12"/>
  <c r="Q2341" i="12"/>
  <c r="O2341" i="12"/>
  <c r="K2341" i="12"/>
  <c r="F2341" i="12"/>
  <c r="G2341" i="12" s="1"/>
  <c r="E2341" i="12"/>
  <c r="I2341" i="12" s="1"/>
  <c r="C2341" i="12"/>
  <c r="Q2340" i="12"/>
  <c r="O2340" i="12"/>
  <c r="K2340" i="12"/>
  <c r="F2340" i="12"/>
  <c r="E2340" i="12"/>
  <c r="I2340" i="12" s="1"/>
  <c r="C2340" i="12"/>
  <c r="Q2339" i="12"/>
  <c r="O2339" i="12"/>
  <c r="K2339" i="12"/>
  <c r="F2339" i="12"/>
  <c r="G2339" i="12" s="1"/>
  <c r="E2339" i="12"/>
  <c r="I2339" i="12" s="1"/>
  <c r="C2339" i="12"/>
  <c r="Q2338" i="12"/>
  <c r="O2338" i="12"/>
  <c r="K2338" i="12"/>
  <c r="F2338" i="12"/>
  <c r="G2338" i="12" s="1"/>
  <c r="J2338" i="12" s="1"/>
  <c r="E2338" i="12"/>
  <c r="I2338" i="12" s="1"/>
  <c r="C2338" i="12"/>
  <c r="Q2337" i="12"/>
  <c r="O2337" i="12"/>
  <c r="K2337" i="12"/>
  <c r="F2337" i="12"/>
  <c r="G2337" i="12" s="1"/>
  <c r="E2337" i="12"/>
  <c r="I2337" i="12" s="1"/>
  <c r="C2337" i="12"/>
  <c r="Q2336" i="12"/>
  <c r="O2336" i="12"/>
  <c r="K2336" i="12"/>
  <c r="F2336" i="12"/>
  <c r="G2336" i="12" s="1"/>
  <c r="J2336" i="12" s="1"/>
  <c r="E2336" i="12"/>
  <c r="I2336" i="12" s="1"/>
  <c r="C2336" i="12"/>
  <c r="Q2335" i="12"/>
  <c r="O2335" i="12"/>
  <c r="K2335" i="12"/>
  <c r="F2335" i="12"/>
  <c r="G2335" i="12" s="1"/>
  <c r="E2335" i="12"/>
  <c r="I2335" i="12" s="1"/>
  <c r="C2335" i="12"/>
  <c r="Q2334" i="12"/>
  <c r="O2334" i="12"/>
  <c r="K2334" i="12"/>
  <c r="F2334" i="12"/>
  <c r="G2334" i="12" s="1"/>
  <c r="E2334" i="12"/>
  <c r="I2334" i="12" s="1"/>
  <c r="C2334" i="12"/>
  <c r="Q2325" i="12"/>
  <c r="O2325" i="12"/>
  <c r="K2325" i="12"/>
  <c r="F2325" i="12"/>
  <c r="G2325" i="12" s="1"/>
  <c r="E2325" i="12"/>
  <c r="I2325" i="12" s="1"/>
  <c r="C2325" i="12"/>
  <c r="Q2333" i="12"/>
  <c r="O2333" i="12"/>
  <c r="K2333" i="12"/>
  <c r="F2333" i="12"/>
  <c r="G2333" i="12" s="1"/>
  <c r="J2333" i="12" s="1"/>
  <c r="E2333" i="12"/>
  <c r="I2333" i="12" s="1"/>
  <c r="C2333" i="12"/>
  <c r="Q2332" i="12"/>
  <c r="O2332" i="12"/>
  <c r="K2332" i="12"/>
  <c r="F2332" i="12"/>
  <c r="G2332" i="12" s="1"/>
  <c r="E2332" i="12"/>
  <c r="I2332" i="12" s="1"/>
  <c r="C2332" i="12"/>
  <c r="Q2331" i="12"/>
  <c r="O2331" i="12"/>
  <c r="K2331" i="12"/>
  <c r="F2331" i="12"/>
  <c r="G2331" i="12" s="1"/>
  <c r="E2331" i="12"/>
  <c r="I2331" i="12" s="1"/>
  <c r="C2331" i="12"/>
  <c r="Q2330" i="12"/>
  <c r="O2330" i="12"/>
  <c r="K2330" i="12"/>
  <c r="F2330" i="12"/>
  <c r="G2330" i="12" s="1"/>
  <c r="E2330" i="12"/>
  <c r="I2330" i="12" s="1"/>
  <c r="C2330" i="12"/>
  <c r="Q2329" i="12"/>
  <c r="O2329" i="12"/>
  <c r="K2329" i="12"/>
  <c r="F2329" i="12"/>
  <c r="G2329" i="12" s="1"/>
  <c r="J2329" i="12" s="1"/>
  <c r="E2329" i="12"/>
  <c r="I2329" i="12" s="1"/>
  <c r="C2329" i="12"/>
  <c r="Q2328" i="12"/>
  <c r="O2328" i="12"/>
  <c r="K2328" i="12"/>
  <c r="F2328" i="12"/>
  <c r="G2328" i="12" s="1"/>
  <c r="E2328" i="12"/>
  <c r="I2328" i="12" s="1"/>
  <c r="C2328" i="12"/>
  <c r="Q2327" i="12"/>
  <c r="O2327" i="12"/>
  <c r="K2327" i="12"/>
  <c r="F2327" i="12"/>
  <c r="G2327" i="12" s="1"/>
  <c r="E2327" i="12"/>
  <c r="I2327" i="12" s="1"/>
  <c r="C2327" i="12"/>
  <c r="Q2326" i="12"/>
  <c r="O2326" i="12"/>
  <c r="K2326" i="12"/>
  <c r="F2326" i="12"/>
  <c r="G2326" i="12" s="1"/>
  <c r="E2326" i="12"/>
  <c r="I2326" i="12" s="1"/>
  <c r="C2326" i="12"/>
  <c r="Q2324" i="12"/>
  <c r="O2324" i="12"/>
  <c r="K2324" i="12"/>
  <c r="F2324" i="12"/>
  <c r="G2324" i="12" s="1"/>
  <c r="E2324" i="12"/>
  <c r="I2324" i="12" s="1"/>
  <c r="C2324" i="12"/>
  <c r="Q2323" i="12"/>
  <c r="O2323" i="12"/>
  <c r="K2323" i="12"/>
  <c r="F2323" i="12"/>
  <c r="G2323" i="12" s="1"/>
  <c r="J2323" i="12" s="1"/>
  <c r="E2323" i="12"/>
  <c r="I2323" i="12" s="1"/>
  <c r="C2323" i="12"/>
  <c r="Q2322" i="12"/>
  <c r="O2322" i="12"/>
  <c r="K2322" i="12"/>
  <c r="F2322" i="12"/>
  <c r="G2322" i="12" s="1"/>
  <c r="E2322" i="12"/>
  <c r="I2322" i="12" s="1"/>
  <c r="C2322" i="12"/>
  <c r="Q2321" i="12"/>
  <c r="O2321" i="12"/>
  <c r="K2321" i="12"/>
  <c r="F2321" i="12"/>
  <c r="G2321" i="12" s="1"/>
  <c r="E2321" i="12"/>
  <c r="I2321" i="12" s="1"/>
  <c r="C2321" i="12"/>
  <c r="Q2320" i="12"/>
  <c r="O2320" i="12"/>
  <c r="K2320" i="12"/>
  <c r="F2320" i="12"/>
  <c r="G2320" i="12" s="1"/>
  <c r="E2320" i="12"/>
  <c r="I2320" i="12" s="1"/>
  <c r="C2320" i="12"/>
  <c r="Q2319" i="12"/>
  <c r="O2319" i="12"/>
  <c r="K2319" i="12"/>
  <c r="F2319" i="12"/>
  <c r="G2319" i="12" s="1"/>
  <c r="J2319" i="12" s="1"/>
  <c r="E2319" i="12"/>
  <c r="I2319" i="12" s="1"/>
  <c r="C2319" i="12"/>
  <c r="Q2318" i="12"/>
  <c r="O2318" i="12"/>
  <c r="K2318" i="12"/>
  <c r="F2318" i="12"/>
  <c r="G2318" i="12" s="1"/>
  <c r="J2318" i="12" s="1"/>
  <c r="E2318" i="12"/>
  <c r="I2318" i="12" s="1"/>
  <c r="C2318" i="12"/>
  <c r="Q2317" i="12"/>
  <c r="O2317" i="12"/>
  <c r="K2317" i="12"/>
  <c r="F2317" i="12"/>
  <c r="G2317" i="12" s="1"/>
  <c r="E2317" i="12"/>
  <c r="I2317" i="12" s="1"/>
  <c r="C2317" i="12"/>
  <c r="Q2316" i="12"/>
  <c r="O2316" i="12"/>
  <c r="K2316" i="12"/>
  <c r="F2316" i="12"/>
  <c r="G2316" i="12" s="1"/>
  <c r="E2316" i="12"/>
  <c r="I2316" i="12" s="1"/>
  <c r="C2316" i="12"/>
  <c r="Q2315" i="12"/>
  <c r="O2315" i="12"/>
  <c r="K2315" i="12"/>
  <c r="F2315" i="12"/>
  <c r="G2315" i="12" s="1"/>
  <c r="E2315" i="12"/>
  <c r="I2315" i="12" s="1"/>
  <c r="C2315" i="12"/>
  <c r="Q2314" i="12"/>
  <c r="O2314" i="12"/>
  <c r="K2314" i="12"/>
  <c r="F2314" i="12"/>
  <c r="G2314" i="12" s="1"/>
  <c r="J2314" i="12" s="1"/>
  <c r="E2314" i="12"/>
  <c r="I2314" i="12" s="1"/>
  <c r="C2314" i="12"/>
  <c r="Q2313" i="12"/>
  <c r="O2313" i="12"/>
  <c r="K2313" i="12"/>
  <c r="F2313" i="12"/>
  <c r="G2313" i="12" s="1"/>
  <c r="E2313" i="12"/>
  <c r="I2313" i="12" s="1"/>
  <c r="C2313" i="12"/>
  <c r="Q2312" i="12"/>
  <c r="O2312" i="12"/>
  <c r="K2312" i="12"/>
  <c r="F2312" i="12"/>
  <c r="G2312" i="12" s="1"/>
  <c r="E2312" i="12"/>
  <c r="I2312" i="12" s="1"/>
  <c r="C2312" i="12"/>
  <c r="Q2311" i="12"/>
  <c r="O2311" i="12"/>
  <c r="K2311" i="12"/>
  <c r="F2311" i="12"/>
  <c r="G2311" i="12" s="1"/>
  <c r="E2311" i="12"/>
  <c r="I2311" i="12" s="1"/>
  <c r="C2311" i="12"/>
  <c r="Q2309" i="12"/>
  <c r="O2309" i="12"/>
  <c r="K2309" i="12"/>
  <c r="F2309" i="12"/>
  <c r="G2309" i="12" s="1"/>
  <c r="E2309" i="12"/>
  <c r="I2309" i="12" s="1"/>
  <c r="C2309" i="12"/>
  <c r="Q2308" i="12"/>
  <c r="O2308" i="12"/>
  <c r="K2308" i="12"/>
  <c r="F2308" i="12"/>
  <c r="G2308" i="12" s="1"/>
  <c r="J2308" i="12" s="1"/>
  <c r="E2308" i="12"/>
  <c r="I2308" i="12" s="1"/>
  <c r="C2308" i="12"/>
  <c r="Q2307" i="12"/>
  <c r="O2307" i="12"/>
  <c r="K2307" i="12"/>
  <c r="F2307" i="12"/>
  <c r="G2307" i="12" s="1"/>
  <c r="E2307" i="12"/>
  <c r="I2307" i="12" s="1"/>
  <c r="C2307" i="12"/>
  <c r="Q2306" i="12"/>
  <c r="O2306" i="12"/>
  <c r="K2306" i="12"/>
  <c r="F2306" i="12"/>
  <c r="G2306" i="12" s="1"/>
  <c r="E2306" i="12"/>
  <c r="I2306" i="12" s="1"/>
  <c r="C2306" i="12"/>
  <c r="Q2305" i="12"/>
  <c r="O2305" i="12"/>
  <c r="K2305" i="12"/>
  <c r="F2305" i="12"/>
  <c r="G2305" i="12" s="1"/>
  <c r="E2305" i="12"/>
  <c r="I2305" i="12" s="1"/>
  <c r="C2305" i="12"/>
  <c r="Q2304" i="12"/>
  <c r="O2304" i="12"/>
  <c r="K2304" i="12"/>
  <c r="F2304" i="12"/>
  <c r="E2304" i="12"/>
  <c r="I2304" i="12" s="1"/>
  <c r="C2304" i="12"/>
  <c r="Q2303" i="12"/>
  <c r="O2303" i="12"/>
  <c r="K2303" i="12"/>
  <c r="F2303" i="12"/>
  <c r="G2303" i="12" s="1"/>
  <c r="E2303" i="12"/>
  <c r="I2303" i="12" s="1"/>
  <c r="C2303" i="12"/>
  <c r="Q2302" i="12"/>
  <c r="O2302" i="12"/>
  <c r="K2302" i="12"/>
  <c r="F2302" i="12"/>
  <c r="G2302" i="12" s="1"/>
  <c r="E2302" i="12"/>
  <c r="I2302" i="12" s="1"/>
  <c r="C2302" i="12"/>
  <c r="Q2301" i="12"/>
  <c r="O2301" i="12"/>
  <c r="K2301" i="12"/>
  <c r="F2301" i="12"/>
  <c r="G2301" i="12" s="1"/>
  <c r="E2301" i="12"/>
  <c r="I2301" i="12" s="1"/>
  <c r="C2301" i="12"/>
  <c r="Q2300" i="12"/>
  <c r="O2300" i="12"/>
  <c r="K2300" i="12"/>
  <c r="F2300" i="12"/>
  <c r="G2300" i="12" s="1"/>
  <c r="E2300" i="12"/>
  <c r="I2300" i="12" s="1"/>
  <c r="C2300" i="12"/>
  <c r="Q2299" i="12"/>
  <c r="O2299" i="12"/>
  <c r="K2299" i="12"/>
  <c r="F2299" i="12"/>
  <c r="G2299" i="12" s="1"/>
  <c r="E2299" i="12"/>
  <c r="I2299" i="12" s="1"/>
  <c r="C2299" i="12"/>
  <c r="Q2298" i="12"/>
  <c r="O2298" i="12"/>
  <c r="K2298" i="12"/>
  <c r="F2298" i="12"/>
  <c r="G2298" i="12" s="1"/>
  <c r="E2298" i="12"/>
  <c r="I2298" i="12" s="1"/>
  <c r="C2298" i="12"/>
  <c r="E2292" i="12"/>
  <c r="I2292" i="12" s="1"/>
  <c r="F2292" i="12"/>
  <c r="G2292" i="12" s="1"/>
  <c r="K2292" i="12"/>
  <c r="O2292" i="12"/>
  <c r="Q2292" i="12"/>
  <c r="E2293" i="12"/>
  <c r="I2293" i="12" s="1"/>
  <c r="F2293" i="12"/>
  <c r="G2293" i="12" s="1"/>
  <c r="K2293" i="12"/>
  <c r="O2293" i="12"/>
  <c r="Q2293" i="12"/>
  <c r="E2294" i="12"/>
  <c r="I2294" i="12" s="1"/>
  <c r="F2294" i="12"/>
  <c r="G2294" i="12" s="1"/>
  <c r="J2294" i="12" s="1"/>
  <c r="K2294" i="12"/>
  <c r="O2294" i="12"/>
  <c r="Q2294" i="12"/>
  <c r="E2295" i="12"/>
  <c r="I2295" i="12" s="1"/>
  <c r="F2295" i="12"/>
  <c r="G2295" i="12" s="1"/>
  <c r="K2295" i="12"/>
  <c r="O2295" i="12"/>
  <c r="Q2295" i="12"/>
  <c r="E2296" i="12"/>
  <c r="I2296" i="12" s="1"/>
  <c r="F2296" i="12"/>
  <c r="G2296" i="12" s="1"/>
  <c r="K2296" i="12"/>
  <c r="O2296" i="12"/>
  <c r="Q2296" i="12"/>
  <c r="E2297" i="12"/>
  <c r="I2297" i="12" s="1"/>
  <c r="F2297" i="12"/>
  <c r="G2297" i="12" s="1"/>
  <c r="K2297" i="12"/>
  <c r="O2297" i="12"/>
  <c r="C2292" i="12"/>
  <c r="C2293" i="12"/>
  <c r="C2294" i="12"/>
  <c r="C2295" i="12"/>
  <c r="C2296" i="12"/>
  <c r="C2297" i="12"/>
  <c r="G2549" i="12" l="1"/>
  <c r="G2575" i="12"/>
  <c r="J2575" i="12" s="1"/>
  <c r="L2575" i="12" s="1"/>
  <c r="G2494" i="12"/>
  <c r="J2494" i="12" s="1"/>
  <c r="L2494" i="12" s="1"/>
  <c r="G2515" i="12"/>
  <c r="J2515" i="12" s="1"/>
  <c r="L2515" i="12" s="1"/>
  <c r="G2493" i="12"/>
  <c r="J2493" i="12" s="1"/>
  <c r="L2493" i="12" s="1"/>
  <c r="G2450" i="12"/>
  <c r="J2450" i="12" s="1"/>
  <c r="L2450" i="12" s="1"/>
  <c r="G2456" i="12"/>
  <c r="J2456" i="12" s="1"/>
  <c r="L2456" i="12" s="1"/>
  <c r="G2445" i="12"/>
  <c r="J2445" i="12" s="1"/>
  <c r="L2445" i="12" s="1"/>
  <c r="G2395" i="12"/>
  <c r="J2395" i="12" s="1"/>
  <c r="L2395" i="12" s="1"/>
  <c r="G2407" i="12"/>
  <c r="J2407" i="12" s="1"/>
  <c r="L2407" i="12" s="1"/>
  <c r="G2340" i="12"/>
  <c r="J2340" i="12" s="1"/>
  <c r="L2340" i="12" s="1"/>
  <c r="G2304" i="12"/>
  <c r="J2304" i="12" s="1"/>
  <c r="L2304" i="12" s="1"/>
  <c r="L2408" i="12"/>
  <c r="L2333" i="12"/>
  <c r="J2413" i="12"/>
  <c r="L2413" i="12" s="1"/>
  <c r="J2431" i="12"/>
  <c r="L2431" i="12" s="1"/>
  <c r="J2477" i="12"/>
  <c r="L2477" i="12" s="1"/>
  <c r="J2492" i="12"/>
  <c r="L2492" i="12" s="1"/>
  <c r="L2438" i="12"/>
  <c r="L2380" i="12"/>
  <c r="L2440" i="12"/>
  <c r="J2297" i="12"/>
  <c r="L2297" i="12" s="1"/>
  <c r="J2523" i="12"/>
  <c r="L2523" i="12" s="1"/>
  <c r="J2527" i="12"/>
  <c r="L2527" i="12" s="1"/>
  <c r="J2532" i="12"/>
  <c r="L2532" i="12" s="1"/>
  <c r="J2539" i="12"/>
  <c r="L2539" i="12" s="1"/>
  <c r="J2309" i="12"/>
  <c r="L2309" i="12" s="1"/>
  <c r="J2405" i="12"/>
  <c r="L2405" i="12" s="1"/>
  <c r="L2338" i="12"/>
  <c r="L2418" i="12"/>
  <c r="L2422" i="12"/>
  <c r="J2435" i="12"/>
  <c r="L2435" i="12" s="1"/>
  <c r="L2319" i="12"/>
  <c r="J2325" i="12"/>
  <c r="L2325" i="12" s="1"/>
  <c r="L2386" i="12"/>
  <c r="L2423" i="12"/>
  <c r="L2509" i="12"/>
  <c r="J2392" i="12"/>
  <c r="L2392" i="12" s="1"/>
  <c r="J2403" i="12"/>
  <c r="L2403" i="12" s="1"/>
  <c r="J2354" i="12"/>
  <c r="L2354" i="12" s="1"/>
  <c r="J2520" i="12"/>
  <c r="L2520" i="12" s="1"/>
  <c r="J2383" i="12"/>
  <c r="L2383" i="12" s="1"/>
  <c r="J2371" i="12"/>
  <c r="L2371" i="12" s="1"/>
  <c r="J2388" i="12"/>
  <c r="L2388" i="12" s="1"/>
  <c r="J2398" i="12"/>
  <c r="L2398" i="12"/>
  <c r="J2484" i="12"/>
  <c r="L2484" i="12" s="1"/>
  <c r="J2526" i="12"/>
  <c r="L2526" i="12" s="1"/>
  <c r="J2538" i="12"/>
  <c r="L2538" i="12" s="1"/>
  <c r="J2441" i="12"/>
  <c r="L2441" i="12" s="1"/>
  <c r="J2362" i="12"/>
  <c r="L2362" i="12" s="1"/>
  <c r="L2374" i="12"/>
  <c r="J2409" i="12"/>
  <c r="J2427" i="12"/>
  <c r="L2427" i="12" s="1"/>
  <c r="J2432" i="12"/>
  <c r="L2432" i="12" s="1"/>
  <c r="J2535" i="12"/>
  <c r="L2535" i="12" s="1"/>
  <c r="L2336" i="12"/>
  <c r="J2376" i="12"/>
  <c r="L2376" i="12" s="1"/>
  <c r="J2377" i="12"/>
  <c r="L2377" i="12" s="1"/>
  <c r="J2411" i="12"/>
  <c r="L2411" i="12" s="1"/>
  <c r="J2396" i="12"/>
  <c r="L2396" i="12" s="1"/>
  <c r="J2473" i="12"/>
  <c r="L2473" i="12" s="1"/>
  <c r="J2421" i="12"/>
  <c r="L2421" i="12" s="1"/>
  <c r="J2311" i="12"/>
  <c r="L2311" i="12" s="1"/>
  <c r="J2387" i="12"/>
  <c r="L2387" i="12" s="1"/>
  <c r="J2400" i="12"/>
  <c r="L2400" i="12" s="1"/>
  <c r="J2415" i="12"/>
  <c r="L2415" i="12" s="1"/>
  <c r="J2454" i="12"/>
  <c r="L2454" i="12" s="1"/>
  <c r="J2481" i="12"/>
  <c r="L2481" i="12" s="1"/>
  <c r="J2531" i="12"/>
  <c r="L2531" i="12" s="1"/>
  <c r="J2372" i="12"/>
  <c r="L2372" i="12" s="1"/>
  <c r="J2480" i="12"/>
  <c r="L2480" i="12" s="1"/>
  <c r="L2343" i="12"/>
  <c r="J2425" i="12"/>
  <c r="L2425" i="12" s="1"/>
  <c r="L2399" i="12"/>
  <c r="L2463" i="12"/>
  <c r="J2504" i="12"/>
  <c r="L2504" i="12" s="1"/>
  <c r="J2510" i="12"/>
  <c r="L2510" i="12" s="1"/>
  <c r="J2453" i="12"/>
  <c r="L2453" i="12" s="1"/>
  <c r="J2466" i="12"/>
  <c r="L2466" i="12" s="1"/>
  <c r="J2501" i="12"/>
  <c r="L2501" i="12" s="1"/>
  <c r="L2452" i="12"/>
  <c r="J2457" i="12"/>
  <c r="L2457" i="12" s="1"/>
  <c r="L2465" i="12"/>
  <c r="L2496" i="12"/>
  <c r="L2500" i="12"/>
  <c r="L2424" i="12"/>
  <c r="L2439" i="12"/>
  <c r="J2444" i="12"/>
  <c r="L2444" i="12" s="1"/>
  <c r="J2467" i="12"/>
  <c r="L2467" i="12" s="1"/>
  <c r="J2487" i="12"/>
  <c r="L2487" i="12" s="1"/>
  <c r="L2513" i="12"/>
  <c r="J2521" i="12"/>
  <c r="L2521" i="12" s="1"/>
  <c r="J2420" i="12"/>
  <c r="L2420" i="12" s="1"/>
  <c r="J2307" i="12"/>
  <c r="L2307" i="12" s="1"/>
  <c r="J2351" i="12"/>
  <c r="L2351" i="12" s="1"/>
  <c r="J2389" i="12"/>
  <c r="L2389" i="12" s="1"/>
  <c r="J2410" i="12"/>
  <c r="L2410" i="12" s="1"/>
  <c r="J2360" i="12"/>
  <c r="L2360" i="12" s="1"/>
  <c r="L2369" i="12"/>
  <c r="J2369" i="12"/>
  <c r="J2317" i="12"/>
  <c r="L2317" i="12" s="1"/>
  <c r="L2356" i="12"/>
  <c r="J2356" i="12"/>
  <c r="J2364" i="12"/>
  <c r="L2364" i="12" s="1"/>
  <c r="J2417" i="12"/>
  <c r="L2417" i="12" s="1"/>
  <c r="J2316" i="12"/>
  <c r="L2316" i="12" s="1"/>
  <c r="J2393" i="12"/>
  <c r="L2393" i="12" s="1"/>
  <c r="J2327" i="12"/>
  <c r="L2327" i="12" s="1"/>
  <c r="J2378" i="12"/>
  <c r="L2378" i="12" s="1"/>
  <c r="J2402" i="12"/>
  <c r="L2402" i="12" s="1"/>
  <c r="J2384" i="12"/>
  <c r="L2384" i="12" s="1"/>
  <c r="J2414" i="12"/>
  <c r="L2414" i="12" s="1"/>
  <c r="J2436" i="12"/>
  <c r="L2436" i="12" s="1"/>
  <c r="J2313" i="12"/>
  <c r="L2313" i="12" s="1"/>
  <c r="J2458" i="12"/>
  <c r="L2458" i="12" s="1"/>
  <c r="J2552" i="12"/>
  <c r="L2552" i="12" s="1"/>
  <c r="J2560" i="12"/>
  <c r="L2560" i="12" s="1"/>
  <c r="J2542" i="12"/>
  <c r="L2542" i="12" s="1"/>
  <c r="J2602" i="12"/>
  <c r="L2602" i="12" s="1"/>
  <c r="J2330" i="12"/>
  <c r="L2330" i="12" s="1"/>
  <c r="J2361" i="12"/>
  <c r="L2361" i="12" s="1"/>
  <c r="J2471" i="12"/>
  <c r="L2471" i="12" s="1"/>
  <c r="L2516" i="12"/>
  <c r="J2516" i="12"/>
  <c r="L2314" i="12"/>
  <c r="J2322" i="12"/>
  <c r="L2322" i="12" s="1"/>
  <c r="J2326" i="12"/>
  <c r="L2326" i="12" s="1"/>
  <c r="L2329" i="12"/>
  <c r="J2346" i="12"/>
  <c r="L2346" i="12" s="1"/>
  <c r="J2350" i="12"/>
  <c r="L2350" i="12" s="1"/>
  <c r="J2381" i="12"/>
  <c r="L2381" i="12" s="1"/>
  <c r="L2419" i="12"/>
  <c r="J2446" i="12"/>
  <c r="L2446" i="12" s="1"/>
  <c r="J2478" i="12"/>
  <c r="L2478" i="12" s="1"/>
  <c r="J2488" i="12"/>
  <c r="L2488" i="12" s="1"/>
  <c r="J2508" i="12"/>
  <c r="L2508" i="12" s="1"/>
  <c r="J2331" i="12"/>
  <c r="L2331" i="12" s="1"/>
  <c r="J2397" i="12"/>
  <c r="L2397" i="12" s="1"/>
  <c r="J2447" i="12"/>
  <c r="L2447" i="12" s="1"/>
  <c r="J2472" i="12"/>
  <c r="L2472" i="12" s="1"/>
  <c r="J2518" i="12"/>
  <c r="L2518" i="12" s="1"/>
  <c r="J2544" i="12"/>
  <c r="L2544" i="12" s="1"/>
  <c r="J2596" i="12"/>
  <c r="L2596" i="12" s="1"/>
  <c r="J2315" i="12"/>
  <c r="L2315" i="12" s="1"/>
  <c r="J2517" i="12"/>
  <c r="L2517" i="12" s="1"/>
  <c r="J2321" i="12"/>
  <c r="L2321" i="12" s="1"/>
  <c r="J2324" i="12"/>
  <c r="L2324" i="12" s="1"/>
  <c r="J2342" i="12"/>
  <c r="L2342" i="12" s="1"/>
  <c r="J2345" i="12"/>
  <c r="L2345" i="12" s="1"/>
  <c r="L2349" i="12"/>
  <c r="J2347" i="12"/>
  <c r="L2347" i="12" s="1"/>
  <c r="J2359" i="12"/>
  <c r="L2359" i="12" s="1"/>
  <c r="J2368" i="12"/>
  <c r="L2368" i="12" s="1"/>
  <c r="L2382" i="12"/>
  <c r="J2470" i="12"/>
  <c r="L2470" i="12" s="1"/>
  <c r="J2328" i="12"/>
  <c r="L2328" i="12" s="1"/>
  <c r="J2352" i="12"/>
  <c r="L2352" i="12" s="1"/>
  <c r="J2370" i="12"/>
  <c r="L2370" i="12" s="1"/>
  <c r="J2385" i="12"/>
  <c r="L2385" i="12" s="1"/>
  <c r="J2489" i="12"/>
  <c r="L2489" i="12" s="1"/>
  <c r="J2592" i="12"/>
  <c r="L2592" i="12" s="1"/>
  <c r="J2606" i="12"/>
  <c r="L2606" i="12" s="1"/>
  <c r="J2312" i="12"/>
  <c r="L2312" i="12" s="1"/>
  <c r="J2348" i="12"/>
  <c r="L2348" i="12" s="1"/>
  <c r="J2394" i="12"/>
  <c r="L2394" i="12" s="1"/>
  <c r="L2318" i="12"/>
  <c r="J2320" i="12"/>
  <c r="L2320" i="12" s="1"/>
  <c r="L2323" i="12"/>
  <c r="J2341" i="12"/>
  <c r="L2341" i="12" s="1"/>
  <c r="J2344" i="12"/>
  <c r="L2344" i="12" s="1"/>
  <c r="L2358" i="12"/>
  <c r="L2367" i="12"/>
  <c r="J2379" i="12"/>
  <c r="L2379" i="12" s="1"/>
  <c r="L2390" i="12"/>
  <c r="J2390" i="12"/>
  <c r="L2391" i="12"/>
  <c r="L2412" i="12"/>
  <c r="J2430" i="12"/>
  <c r="L2430" i="12" s="1"/>
  <c r="J2433" i="12"/>
  <c r="L2433" i="12" s="1"/>
  <c r="J2442" i="12"/>
  <c r="L2442" i="12" s="1"/>
  <c r="J2455" i="12"/>
  <c r="L2455" i="12" s="1"/>
  <c r="J2464" i="12"/>
  <c r="L2464" i="12" s="1"/>
  <c r="J2475" i="12"/>
  <c r="L2475" i="12" s="1"/>
  <c r="J2507" i="12"/>
  <c r="L2507" i="12" s="1"/>
  <c r="J2468" i="12"/>
  <c r="L2468" i="12" s="1"/>
  <c r="J2499" i="12"/>
  <c r="L2499" i="12" s="1"/>
  <c r="J2416" i="12"/>
  <c r="L2416" i="12" s="1"/>
  <c r="J2337" i="12"/>
  <c r="L2337" i="12" s="1"/>
  <c r="J2357" i="12"/>
  <c r="L2357" i="12" s="1"/>
  <c r="J2365" i="12"/>
  <c r="L2365" i="12" s="1"/>
  <c r="J2406" i="12"/>
  <c r="L2406" i="12" s="1"/>
  <c r="L2308" i="12"/>
  <c r="J2335" i="12"/>
  <c r="L2335" i="12" s="1"/>
  <c r="J2339" i="12"/>
  <c r="L2339" i="12" s="1"/>
  <c r="L2366" i="12"/>
  <c r="J2375" i="12"/>
  <c r="L2375" i="12" s="1"/>
  <c r="J2373" i="12"/>
  <c r="L2373" i="12" s="1"/>
  <c r="L2404" i="12"/>
  <c r="J2448" i="12"/>
  <c r="L2448" i="12" s="1"/>
  <c r="J2459" i="12"/>
  <c r="L2459" i="12" s="1"/>
  <c r="J2497" i="12"/>
  <c r="L2497" i="12" s="1"/>
  <c r="J2332" i="12"/>
  <c r="L2332" i="12" s="1"/>
  <c r="J2334" i="12"/>
  <c r="L2334" i="12" s="1"/>
  <c r="J2353" i="12"/>
  <c r="L2353" i="12" s="1"/>
  <c r="J2355" i="12"/>
  <c r="L2355" i="12" s="1"/>
  <c r="J2363" i="12"/>
  <c r="L2363" i="12" s="1"/>
  <c r="J2401" i="12"/>
  <c r="L2401" i="12" s="1"/>
  <c r="J2426" i="12"/>
  <c r="L2426" i="12" s="1"/>
  <c r="L2429" i="12"/>
  <c r="L2434" i="12"/>
  <c r="L2443" i="12"/>
  <c r="L2469" i="12"/>
  <c r="L2476" i="12"/>
  <c r="L2490" i="12"/>
  <c r="J2498" i="12"/>
  <c r="L2498" i="12" s="1"/>
  <c r="J2474" i="12"/>
  <c r="L2474" i="12" s="1"/>
  <c r="J2506" i="12"/>
  <c r="L2506" i="12" s="1"/>
  <c r="J2514" i="12"/>
  <c r="L2514" i="12" s="1"/>
  <c r="J2461" i="12"/>
  <c r="L2461" i="12" s="1"/>
  <c r="J2483" i="12"/>
  <c r="L2483" i="12" s="1"/>
  <c r="J2505" i="12"/>
  <c r="L2505" i="12" s="1"/>
  <c r="J2437" i="12"/>
  <c r="L2437" i="12" s="1"/>
  <c r="J2449" i="12"/>
  <c r="L2449" i="12" s="1"/>
  <c r="J2460" i="12"/>
  <c r="L2460" i="12" s="1"/>
  <c r="J2485" i="12"/>
  <c r="L2485" i="12" s="1"/>
  <c r="J2512" i="12"/>
  <c r="L2512" i="12" s="1"/>
  <c r="J2525" i="12"/>
  <c r="L2525" i="12" s="1"/>
  <c r="J2530" i="12"/>
  <c r="L2530" i="12" s="1"/>
  <c r="J2534" i="12"/>
  <c r="L2534" i="12" s="1"/>
  <c r="L2537" i="12"/>
  <c r="J2537" i="12"/>
  <c r="L2451" i="12"/>
  <c r="L2462" i="12"/>
  <c r="J2482" i="12"/>
  <c r="L2482" i="12" s="1"/>
  <c r="L2486" i="12"/>
  <c r="J2491" i="12"/>
  <c r="L2491" i="12" s="1"/>
  <c r="J2503" i="12"/>
  <c r="L2503" i="12" s="1"/>
  <c r="J2511" i="12"/>
  <c r="L2511" i="12" s="1"/>
  <c r="J2522" i="12"/>
  <c r="L2522" i="12" s="1"/>
  <c r="J2524" i="12"/>
  <c r="L2524" i="12" s="1"/>
  <c r="L2528" i="12"/>
  <c r="J2528" i="12"/>
  <c r="J2529" i="12"/>
  <c r="L2529" i="12" s="1"/>
  <c r="J2533" i="12"/>
  <c r="L2533" i="12" s="1"/>
  <c r="J2536" i="12"/>
  <c r="L2536" i="12" s="1"/>
  <c r="J2540" i="12"/>
  <c r="L2540" i="12" s="1"/>
  <c r="J2479" i="12"/>
  <c r="L2479" i="12" s="1"/>
  <c r="L2495" i="12"/>
  <c r="J2495" i="12"/>
  <c r="J2502" i="12"/>
  <c r="L2502" i="12" s="1"/>
  <c r="J2519" i="12"/>
  <c r="L2519" i="12" s="1"/>
  <c r="J2545" i="12"/>
  <c r="L2545" i="12" s="1"/>
  <c r="J2553" i="12"/>
  <c r="L2553" i="12" s="1"/>
  <c r="L2561" i="12"/>
  <c r="J2561" i="12"/>
  <c r="J2543" i="12"/>
  <c r="L2543" i="12" s="1"/>
  <c r="J2551" i="12"/>
  <c r="L2551" i="12" s="1"/>
  <c r="J2557" i="12"/>
  <c r="L2557" i="12" s="1"/>
  <c r="J2541" i="12"/>
  <c r="L2541" i="12" s="1"/>
  <c r="J2559" i="12"/>
  <c r="L2559" i="12" s="1"/>
  <c r="J2613" i="12"/>
  <c r="L2613" i="12" s="1"/>
  <c r="J2550" i="12"/>
  <c r="L2550" i="12"/>
  <c r="J2586" i="12"/>
  <c r="L2586" i="12" s="1"/>
  <c r="J2558" i="12"/>
  <c r="L2558" i="12" s="1"/>
  <c r="J2612" i="12"/>
  <c r="L2612" i="12" s="1"/>
  <c r="J2618" i="12"/>
  <c r="L2618" i="12" s="1"/>
  <c r="J2549" i="12"/>
  <c r="L2549" i="12" s="1"/>
  <c r="J2565" i="12"/>
  <c r="L2565" i="12" s="1"/>
  <c r="J2570" i="12"/>
  <c r="L2570" i="12" s="1"/>
  <c r="J2580" i="12"/>
  <c r="L2580" i="12" s="1"/>
  <c r="J2585" i="12"/>
  <c r="L2585" i="12" s="1"/>
  <c r="J2591" i="12"/>
  <c r="L2591" i="12" s="1"/>
  <c r="J2601" i="12"/>
  <c r="L2601" i="12" s="1"/>
  <c r="J2611" i="12"/>
  <c r="L2611" i="12" s="1"/>
  <c r="J2617" i="12"/>
  <c r="L2617" i="12" s="1"/>
  <c r="J2548" i="12"/>
  <c r="L2548" i="12" s="1"/>
  <c r="J2556" i="12"/>
  <c r="L2556" i="12" s="1"/>
  <c r="J2564" i="12"/>
  <c r="L2564" i="12" s="1"/>
  <c r="J2569" i="12"/>
  <c r="L2569" i="12" s="1"/>
  <c r="J2574" i="12"/>
  <c r="L2574" i="12" s="1"/>
  <c r="J2579" i="12"/>
  <c r="L2579" i="12" s="1"/>
  <c r="J2584" i="12"/>
  <c r="L2584" i="12" s="1"/>
  <c r="J2590" i="12"/>
  <c r="L2590" i="12" s="1"/>
  <c r="J2600" i="12"/>
  <c r="L2600" i="12" s="1"/>
  <c r="J2610" i="12"/>
  <c r="L2610" i="12" s="1"/>
  <c r="J2616" i="12"/>
  <c r="L2616" i="12" s="1"/>
  <c r="J2621" i="12"/>
  <c r="L2621" i="12" s="1"/>
  <c r="J2547" i="12"/>
  <c r="L2547" i="12" s="1"/>
  <c r="J2563" i="12"/>
  <c r="L2563" i="12" s="1"/>
  <c r="J2568" i="12"/>
  <c r="L2568" i="12" s="1"/>
  <c r="J2573" i="12"/>
  <c r="L2573" i="12" s="1"/>
  <c r="J2578" i="12"/>
  <c r="L2578" i="12" s="1"/>
  <c r="J2583" i="12"/>
  <c r="L2583" i="12" s="1"/>
  <c r="J2589" i="12"/>
  <c r="L2589" i="12" s="1"/>
  <c r="J2595" i="12"/>
  <c r="L2595" i="12" s="1"/>
  <c r="J2599" i="12"/>
  <c r="L2599" i="12" s="1"/>
  <c r="J2605" i="12"/>
  <c r="L2605" i="12" s="1"/>
  <c r="J2609" i="12"/>
  <c r="L2609" i="12" s="1"/>
  <c r="J2615" i="12"/>
  <c r="L2615" i="12" s="1"/>
  <c r="J2620" i="12"/>
  <c r="L2620" i="12" s="1"/>
  <c r="J2546" i="12"/>
  <c r="L2546" i="12" s="1"/>
  <c r="J2554" i="12"/>
  <c r="L2554" i="12" s="1"/>
  <c r="J2562" i="12"/>
  <c r="L2562" i="12" s="1"/>
  <c r="J2567" i="12"/>
  <c r="L2567" i="12"/>
  <c r="J2572" i="12"/>
  <c r="L2572" i="12" s="1"/>
  <c r="J2577" i="12"/>
  <c r="L2577" i="12" s="1"/>
  <c r="J2582" i="12"/>
  <c r="L2582" i="12" s="1"/>
  <c r="J2588" i="12"/>
  <c r="L2588" i="12" s="1"/>
  <c r="J2594" i="12"/>
  <c r="L2594" i="12" s="1"/>
  <c r="J2598" i="12"/>
  <c r="L2598" i="12" s="1"/>
  <c r="J2604" i="12"/>
  <c r="L2604" i="12" s="1"/>
  <c r="J2608" i="12"/>
  <c r="L2608" i="12" s="1"/>
  <c r="J2614" i="12"/>
  <c r="L2614" i="12" s="1"/>
  <c r="J2619" i="12"/>
  <c r="L2619" i="12" s="1"/>
  <c r="J2566" i="12"/>
  <c r="L2566" i="12" s="1"/>
  <c r="J2571" i="12"/>
  <c r="L2571" i="12" s="1"/>
  <c r="J2576" i="12"/>
  <c r="L2576" i="12" s="1"/>
  <c r="J2581" i="12"/>
  <c r="L2581" i="12" s="1"/>
  <c r="J2587" i="12"/>
  <c r="L2587" i="12" s="1"/>
  <c r="J2593" i="12"/>
  <c r="L2593" i="12" s="1"/>
  <c r="J2597" i="12"/>
  <c r="L2597" i="12" s="1"/>
  <c r="J2603" i="12"/>
  <c r="L2603" i="12" s="1"/>
  <c r="J2607" i="12"/>
  <c r="L2607" i="12" s="1"/>
  <c r="J2303" i="12"/>
  <c r="L2303" i="12" s="1"/>
  <c r="J2301" i="12"/>
  <c r="L2301" i="12" s="1"/>
  <c r="J2306" i="12"/>
  <c r="L2306" i="12" s="1"/>
  <c r="J2298" i="12"/>
  <c r="L2298" i="12" s="1"/>
  <c r="J2302" i="12"/>
  <c r="L2302" i="12" s="1"/>
  <c r="J2300" i="12"/>
  <c r="L2300" i="12" s="1"/>
  <c r="J2299" i="12"/>
  <c r="L2299" i="12" s="1"/>
  <c r="J2305" i="12"/>
  <c r="L2305" i="12" s="1"/>
  <c r="L2294" i="12"/>
  <c r="J2296" i="12"/>
  <c r="L2296" i="12" s="1"/>
  <c r="J2293" i="12"/>
  <c r="L2293" i="12"/>
  <c r="J2292" i="12"/>
  <c r="L2292" i="12" s="1"/>
  <c r="J2295" i="12"/>
  <c r="L2295" i="12" s="1"/>
  <c r="P2264" i="12"/>
  <c r="M2266" i="12" l="1"/>
  <c r="Q2266" i="12"/>
  <c r="O2266" i="12"/>
  <c r="K2266" i="12"/>
  <c r="F2266" i="12"/>
  <c r="G2266" i="12" s="1"/>
  <c r="E2266" i="12"/>
  <c r="I2266" i="12" s="1"/>
  <c r="C2266" i="12"/>
  <c r="H2264" i="12"/>
  <c r="P2252" i="12"/>
  <c r="H2252" i="12"/>
  <c r="P2245" i="12"/>
  <c r="L2266" i="12" l="1"/>
  <c r="J2266" i="12"/>
  <c r="H2245" i="12" l="1"/>
  <c r="H2235" i="12"/>
  <c r="P2235" i="12"/>
  <c r="P2234" i="12"/>
  <c r="H2234" i="12"/>
  <c r="H2231" i="12"/>
  <c r="P2231" i="12"/>
  <c r="P2222" i="12"/>
  <c r="H2222" i="12"/>
  <c r="P2152" i="12" l="1"/>
  <c r="P2219" i="12" l="1"/>
  <c r="P2217" i="12"/>
  <c r="H2219" i="12"/>
  <c r="H2217" i="12"/>
  <c r="H2206" i="12"/>
  <c r="P2206" i="12"/>
  <c r="H2202" i="12"/>
  <c r="P2202" i="12"/>
  <c r="H2201" i="12"/>
  <c r="H2199" i="12"/>
  <c r="P2199" i="12"/>
  <c r="P2197" i="12"/>
  <c r="H2197" i="12"/>
  <c r="H2194" i="12" l="1"/>
  <c r="P2185" i="12"/>
  <c r="H2185" i="12"/>
  <c r="H2182" i="12"/>
  <c r="H2181" i="12"/>
  <c r="P2177" i="12"/>
  <c r="P2176" i="12"/>
  <c r="H2176" i="12"/>
  <c r="H2175" i="12"/>
  <c r="P2175" i="12"/>
  <c r="M2418" i="12" l="1"/>
  <c r="M2422" i="12"/>
  <c r="M2426" i="12"/>
  <c r="M2488" i="12"/>
  <c r="M2492" i="12"/>
  <c r="M2510" i="12"/>
  <c r="M2514" i="12"/>
  <c r="M2518" i="12"/>
  <c r="M2522" i="12"/>
  <c r="M2526" i="12"/>
  <c r="M2336" i="12"/>
  <c r="M2478" i="12"/>
  <c r="M2482" i="12"/>
  <c r="M2304" i="12"/>
  <c r="M2313" i="12"/>
  <c r="M2325" i="12"/>
  <c r="M2362" i="12"/>
  <c r="M2447" i="12"/>
  <c r="M2451" i="12"/>
  <c r="M2455" i="12"/>
  <c r="M2459" i="12"/>
  <c r="M2463" i="12"/>
  <c r="M2466" i="12"/>
  <c r="M2386" i="12"/>
  <c r="M2394" i="12"/>
  <c r="M2197" i="12"/>
  <c r="M2225" i="12"/>
  <c r="M2279" i="12"/>
  <c r="M2295" i="12"/>
  <c r="M2337" i="12"/>
  <c r="M2341" i="12"/>
  <c r="M2345" i="12"/>
  <c r="M2349" i="12"/>
  <c r="M2395" i="12"/>
  <c r="M2399" i="12"/>
  <c r="M2403" i="12"/>
  <c r="M2407" i="12"/>
  <c r="M2467" i="12"/>
  <c r="M2471" i="12"/>
  <c r="M2363" i="12"/>
  <c r="M2367" i="12"/>
  <c r="M2371" i="12"/>
  <c r="M2375" i="12"/>
  <c r="M2427" i="12"/>
  <c r="M2432" i="12"/>
  <c r="M2436" i="12"/>
  <c r="M2440" i="12"/>
  <c r="M2503" i="12"/>
  <c r="M2249" i="12"/>
  <c r="M2251" i="12"/>
  <c r="M2353" i="12"/>
  <c r="M2379" i="12"/>
  <c r="M2383" i="12"/>
  <c r="M2387" i="12"/>
  <c r="M2411" i="12"/>
  <c r="M2415" i="12"/>
  <c r="M2444" i="12"/>
  <c r="M2448" i="12"/>
  <c r="M2475" i="12"/>
  <c r="M2479" i="12"/>
  <c r="M2507" i="12"/>
  <c r="M2511" i="12"/>
  <c r="M2272" i="12"/>
  <c r="M2280" i="12"/>
  <c r="M2303" i="12"/>
  <c r="M2333" i="12"/>
  <c r="M2344" i="12"/>
  <c r="M2359" i="12"/>
  <c r="M2370" i="12"/>
  <c r="M2391" i="12"/>
  <c r="M2402" i="12"/>
  <c r="M2419" i="12"/>
  <c r="M2423" i="12"/>
  <c r="M2431" i="12"/>
  <c r="M2435" i="12"/>
  <c r="M2452" i="12"/>
  <c r="M2456" i="12"/>
  <c r="M2485" i="12"/>
  <c r="M2489" i="12"/>
  <c r="M2515" i="12"/>
  <c r="M2519" i="12"/>
  <c r="M2187" i="12"/>
  <c r="M2190" i="12"/>
  <c r="M2222" i="12"/>
  <c r="M2226" i="12"/>
  <c r="M2230" i="12"/>
  <c r="M2352" i="12"/>
  <c r="M2378" i="12"/>
  <c r="M2410" i="12"/>
  <c r="M2439" i="12"/>
  <c r="M2443" i="12"/>
  <c r="M2460" i="12"/>
  <c r="M2470" i="12"/>
  <c r="M2474" i="12"/>
  <c r="M2493" i="12"/>
  <c r="M2502" i="12"/>
  <c r="M2506" i="12"/>
  <c r="M2523" i="12"/>
  <c r="M2527" i="12"/>
  <c r="M2328" i="12"/>
  <c r="M2329" i="12"/>
  <c r="M2321" i="12"/>
  <c r="M2320" i="12"/>
  <c r="M2317" i="12"/>
  <c r="M2312" i="12"/>
  <c r="M2308" i="12"/>
  <c r="M2300" i="12"/>
  <c r="M2296" i="12"/>
  <c r="M2292" i="12"/>
  <c r="M2288" i="12"/>
  <c r="M2287" i="12"/>
  <c r="M2284" i="12"/>
  <c r="M2276" i="12"/>
  <c r="M2268" i="12"/>
  <c r="M2271" i="12"/>
  <c r="M2263" i="12"/>
  <c r="M2262" i="12"/>
  <c r="M2259" i="12"/>
  <c r="M2255" i="12"/>
  <c r="M2250" i="12"/>
  <c r="M2254" i="12"/>
  <c r="M2246" i="12"/>
  <c r="M2245" i="12"/>
  <c r="M2234" i="12"/>
  <c r="M2237" i="12"/>
  <c r="M2238" i="12"/>
  <c r="M2242" i="12"/>
  <c r="M2241" i="12"/>
  <c r="M2229" i="12"/>
  <c r="M2233" i="12"/>
  <c r="M2221" i="12"/>
  <c r="M2218" i="12"/>
  <c r="M2217" i="12"/>
  <c r="M2210" i="12"/>
  <c r="M2213" i="12"/>
  <c r="M2214" i="12"/>
  <c r="M2206" i="12"/>
  <c r="M2209" i="12"/>
  <c r="M2204" i="12"/>
  <c r="M2203" i="12"/>
  <c r="M2201" i="12"/>
  <c r="M2198" i="12"/>
  <c r="M2194" i="12"/>
  <c r="M2193" i="12"/>
  <c r="M2189" i="12"/>
  <c r="M2185" i="12"/>
  <c r="M2191" i="12"/>
  <c r="M2192" i="12"/>
  <c r="M2199" i="12"/>
  <c r="M2200" i="12"/>
  <c r="M2202" i="12"/>
  <c r="M2188" i="12"/>
  <c r="M2195" i="12"/>
  <c r="M2196" i="12"/>
  <c r="M2205" i="12"/>
  <c r="M2207" i="12"/>
  <c r="M2208" i="12"/>
  <c r="M2215" i="12"/>
  <c r="M2216" i="12"/>
  <c r="M2223" i="12"/>
  <c r="M2224" i="12"/>
  <c r="M2231" i="12"/>
  <c r="M2232" i="12"/>
  <c r="M2239" i="12"/>
  <c r="M2240" i="12"/>
  <c r="M2247" i="12"/>
  <c r="M2248" i="12"/>
  <c r="M2253" i="12"/>
  <c r="M2256" i="12"/>
  <c r="M2261" i="12"/>
  <c r="M2264" i="12"/>
  <c r="M2270" i="12"/>
  <c r="M2273" i="12"/>
  <c r="M2278" i="12"/>
  <c r="M2281" i="12"/>
  <c r="M2286" i="12"/>
  <c r="M2289" i="12"/>
  <c r="M2294" i="12"/>
  <c r="M2297" i="12"/>
  <c r="M2302" i="12"/>
  <c r="M2305" i="12"/>
  <c r="M2311" i="12"/>
  <c r="M2314" i="12"/>
  <c r="M2319" i="12"/>
  <c r="M2322" i="12"/>
  <c r="M2327" i="12"/>
  <c r="M2330" i="12"/>
  <c r="M2335" i="12"/>
  <c r="M2338" i="12"/>
  <c r="M2343" i="12"/>
  <c r="M2346" i="12"/>
  <c r="M2351" i="12"/>
  <c r="M2354" i="12"/>
  <c r="M2211" i="12"/>
  <c r="M2212" i="12"/>
  <c r="M2219" i="12"/>
  <c r="M2220" i="12"/>
  <c r="M2227" i="12"/>
  <c r="M2228" i="12"/>
  <c r="M2235" i="12"/>
  <c r="M2236" i="12"/>
  <c r="M2243" i="12"/>
  <c r="M2244" i="12"/>
  <c r="M2257" i="12"/>
  <c r="M2265" i="12"/>
  <c r="M2274" i="12"/>
  <c r="M2282" i="12"/>
  <c r="M2290" i="12"/>
  <c r="M2298" i="12"/>
  <c r="M2306" i="12"/>
  <c r="M2315" i="12"/>
  <c r="M2323" i="12"/>
  <c r="M2331" i="12"/>
  <c r="M2339" i="12"/>
  <c r="M2347" i="12"/>
  <c r="M2355" i="12"/>
  <c r="M2361" i="12"/>
  <c r="M2369" i="12"/>
  <c r="M2377" i="12"/>
  <c r="M2385" i="12"/>
  <c r="M2393" i="12"/>
  <c r="M2401" i="12"/>
  <c r="M2409" i="12"/>
  <c r="M2417" i="12"/>
  <c r="M2420" i="12"/>
  <c r="M2425" i="12"/>
  <c r="M2429" i="12"/>
  <c r="M2434" i="12"/>
  <c r="M2437" i="12"/>
  <c r="M2442" i="12"/>
  <c r="M2445" i="12"/>
  <c r="M2450" i="12"/>
  <c r="M2453" i="12"/>
  <c r="M2458" i="12"/>
  <c r="M2461" i="12"/>
  <c r="M2465" i="12"/>
  <c r="M2468" i="12"/>
  <c r="M2473" i="12"/>
  <c r="M2476" i="12"/>
  <c r="M2481" i="12"/>
  <c r="M2486" i="12"/>
  <c r="M2491" i="12"/>
  <c r="M2494" i="12"/>
  <c r="M2505" i="12"/>
  <c r="M2508" i="12"/>
  <c r="M2513" i="12"/>
  <c r="M2516" i="12"/>
  <c r="M2521" i="12"/>
  <c r="M2524" i="12"/>
  <c r="M2357" i="12"/>
  <c r="M2360" i="12"/>
  <c r="M2365" i="12"/>
  <c r="M2368" i="12"/>
  <c r="M2373" i="12"/>
  <c r="M2376" i="12"/>
  <c r="M2381" i="12"/>
  <c r="M2384" i="12"/>
  <c r="M2389" i="12"/>
  <c r="M2392" i="12"/>
  <c r="M2397" i="12"/>
  <c r="M2400" i="12"/>
  <c r="M2405" i="12"/>
  <c r="M2408" i="12"/>
  <c r="M2413" i="12"/>
  <c r="M2416" i="12"/>
  <c r="M2421" i="12"/>
  <c r="M2424" i="12"/>
  <c r="M2430" i="12"/>
  <c r="M2433" i="12"/>
  <c r="M2438" i="12"/>
  <c r="M2441" i="12"/>
  <c r="M2446" i="12"/>
  <c r="M2449" i="12"/>
  <c r="M2454" i="12"/>
  <c r="M2457" i="12"/>
  <c r="M2462" i="12"/>
  <c r="M2464" i="12"/>
  <c r="M2469" i="12"/>
  <c r="M2472" i="12"/>
  <c r="M2477" i="12"/>
  <c r="M2480" i="12"/>
  <c r="M2487" i="12"/>
  <c r="M2490" i="12"/>
  <c r="M2501" i="12"/>
  <c r="M2504" i="12"/>
  <c r="M2509" i="12"/>
  <c r="M2512" i="12"/>
  <c r="M2517" i="12"/>
  <c r="M2520" i="12"/>
  <c r="M2525" i="12"/>
  <c r="M2186" i="12"/>
  <c r="M2184" i="12"/>
  <c r="M2183" i="12"/>
  <c r="M2252" i="12"/>
  <c r="M2258" i="12"/>
  <c r="M2267" i="12"/>
  <c r="M2275" i="12"/>
  <c r="M2283" i="12"/>
  <c r="M2291" i="12"/>
  <c r="M2299" i="12"/>
  <c r="M2307" i="12"/>
  <c r="M2316" i="12"/>
  <c r="M2324" i="12"/>
  <c r="M2332" i="12"/>
  <c r="M2340" i="12"/>
  <c r="M2348" i="12"/>
  <c r="M2356" i="12"/>
  <c r="M2364" i="12"/>
  <c r="M2372" i="12"/>
  <c r="M2380" i="12"/>
  <c r="M2388" i="12"/>
  <c r="M2396" i="12"/>
  <c r="M2404" i="12"/>
  <c r="M2412" i="12"/>
  <c r="M2260" i="12"/>
  <c r="M2269" i="12"/>
  <c r="M2277" i="12"/>
  <c r="M2285" i="12"/>
  <c r="M2293" i="12"/>
  <c r="M2301" i="12"/>
  <c r="M2309" i="12"/>
  <c r="M2318" i="12"/>
  <c r="M2326" i="12"/>
  <c r="M2334" i="12"/>
  <c r="M2342" i="12"/>
  <c r="M2350" i="12"/>
  <c r="M2358" i="12"/>
  <c r="M2366" i="12"/>
  <c r="M2374" i="12"/>
  <c r="M2382" i="12"/>
  <c r="M2390" i="12"/>
  <c r="M2398" i="12"/>
  <c r="M2406" i="12"/>
  <c r="M2414" i="12"/>
  <c r="O2145" i="12"/>
  <c r="Q2145" i="12"/>
  <c r="P2172" i="12"/>
  <c r="H2172" i="12"/>
  <c r="P2165" i="12"/>
  <c r="H2165" i="12"/>
  <c r="H2161" i="12"/>
  <c r="P2157" i="12"/>
  <c r="H2157" i="12"/>
  <c r="P2153" i="12"/>
  <c r="H2153" i="12"/>
  <c r="O2130" i="12" l="1"/>
  <c r="Q2130" i="12"/>
  <c r="P2126" i="12"/>
  <c r="P2129" i="12"/>
  <c r="P2142" i="12"/>
  <c r="H2142" i="12"/>
  <c r="H2137" i="12"/>
  <c r="P2137" i="12"/>
  <c r="Q2291" i="12"/>
  <c r="O2291" i="12"/>
  <c r="K2291" i="12"/>
  <c r="F2291" i="12"/>
  <c r="G2291" i="12" s="1"/>
  <c r="E2291" i="12"/>
  <c r="I2291" i="12" s="1"/>
  <c r="C2291" i="12"/>
  <c r="Q2290" i="12"/>
  <c r="O2290" i="12"/>
  <c r="K2290" i="12"/>
  <c r="F2290" i="12"/>
  <c r="G2290" i="12" s="1"/>
  <c r="E2290" i="12"/>
  <c r="I2290" i="12" s="1"/>
  <c r="C2290" i="12"/>
  <c r="Q2289" i="12"/>
  <c r="O2289" i="12"/>
  <c r="K2289" i="12"/>
  <c r="F2289" i="12"/>
  <c r="G2289" i="12" s="1"/>
  <c r="E2289" i="12"/>
  <c r="I2289" i="12" s="1"/>
  <c r="C2289" i="12"/>
  <c r="Q2288" i="12"/>
  <c r="O2288" i="12"/>
  <c r="K2288" i="12"/>
  <c r="F2288" i="12"/>
  <c r="G2288" i="12" s="1"/>
  <c r="E2288" i="12"/>
  <c r="I2288" i="12" s="1"/>
  <c r="C2288" i="12"/>
  <c r="Q2287" i="12"/>
  <c r="O2287" i="12"/>
  <c r="K2287" i="12"/>
  <c r="F2287" i="12"/>
  <c r="G2287" i="12" s="1"/>
  <c r="E2287" i="12"/>
  <c r="I2287" i="12" s="1"/>
  <c r="C2287" i="12"/>
  <c r="Q2286" i="12"/>
  <c r="O2286" i="12"/>
  <c r="K2286" i="12"/>
  <c r="F2286" i="12"/>
  <c r="G2286" i="12" s="1"/>
  <c r="E2286" i="12"/>
  <c r="I2286" i="12" s="1"/>
  <c r="C2286" i="12"/>
  <c r="Q2285" i="12"/>
  <c r="O2285" i="12"/>
  <c r="K2285" i="12"/>
  <c r="F2285" i="12"/>
  <c r="G2285" i="12" s="1"/>
  <c r="E2285" i="12"/>
  <c r="I2285" i="12" s="1"/>
  <c r="C2285" i="12"/>
  <c r="Q2284" i="12"/>
  <c r="O2284" i="12"/>
  <c r="K2284" i="12"/>
  <c r="F2284" i="12"/>
  <c r="G2284" i="12" s="1"/>
  <c r="E2284" i="12"/>
  <c r="I2284" i="12" s="1"/>
  <c r="C2284" i="12"/>
  <c r="Q2283" i="12"/>
  <c r="O2283" i="12"/>
  <c r="K2283" i="12"/>
  <c r="F2283" i="12"/>
  <c r="G2283" i="12" s="1"/>
  <c r="E2283" i="12"/>
  <c r="I2283" i="12" s="1"/>
  <c r="C2283" i="12"/>
  <c r="Q2282" i="12"/>
  <c r="O2282" i="12"/>
  <c r="K2282" i="12"/>
  <c r="F2282" i="12"/>
  <c r="G2282" i="12" s="1"/>
  <c r="E2282" i="12"/>
  <c r="I2282" i="12" s="1"/>
  <c r="C2282" i="12"/>
  <c r="Q2281" i="12"/>
  <c r="O2281" i="12"/>
  <c r="K2281" i="12"/>
  <c r="F2281" i="12"/>
  <c r="G2281" i="12" s="1"/>
  <c r="E2281" i="12"/>
  <c r="I2281" i="12" s="1"/>
  <c r="C2281" i="12"/>
  <c r="Q2280" i="12"/>
  <c r="O2280" i="12"/>
  <c r="K2280" i="12"/>
  <c r="F2280" i="12"/>
  <c r="G2280" i="12" s="1"/>
  <c r="E2280" i="12"/>
  <c r="I2280" i="12" s="1"/>
  <c r="C2280" i="12"/>
  <c r="Q2279" i="12"/>
  <c r="O2279" i="12"/>
  <c r="K2279" i="12"/>
  <c r="F2279" i="12"/>
  <c r="G2279" i="12" s="1"/>
  <c r="E2279" i="12"/>
  <c r="I2279" i="12" s="1"/>
  <c r="C2279" i="12"/>
  <c r="Q2278" i="12"/>
  <c r="O2278" i="12"/>
  <c r="K2278" i="12"/>
  <c r="F2278" i="12"/>
  <c r="G2278" i="12" s="1"/>
  <c r="E2278" i="12"/>
  <c r="I2278" i="12" s="1"/>
  <c r="C2278" i="12"/>
  <c r="Q2277" i="12"/>
  <c r="O2277" i="12"/>
  <c r="K2277" i="12"/>
  <c r="F2277" i="12"/>
  <c r="G2277" i="12" s="1"/>
  <c r="E2277" i="12"/>
  <c r="I2277" i="12" s="1"/>
  <c r="C2277" i="12"/>
  <c r="Q2276" i="12"/>
  <c r="O2276" i="12"/>
  <c r="K2276" i="12"/>
  <c r="F2276" i="12"/>
  <c r="G2276" i="12" s="1"/>
  <c r="E2276" i="12"/>
  <c r="I2276" i="12" s="1"/>
  <c r="C2276" i="12"/>
  <c r="Q2275" i="12"/>
  <c r="O2275" i="12"/>
  <c r="K2275" i="12"/>
  <c r="F2275" i="12"/>
  <c r="G2275" i="12" s="1"/>
  <c r="E2275" i="12"/>
  <c r="I2275" i="12" s="1"/>
  <c r="C2275" i="12"/>
  <c r="Q2274" i="12"/>
  <c r="O2274" i="12"/>
  <c r="K2274" i="12"/>
  <c r="F2274" i="12"/>
  <c r="G2274" i="12" s="1"/>
  <c r="E2274" i="12"/>
  <c r="I2274" i="12" s="1"/>
  <c r="C2274" i="12"/>
  <c r="Q2273" i="12"/>
  <c r="O2273" i="12"/>
  <c r="K2273" i="12"/>
  <c r="F2273" i="12"/>
  <c r="G2273" i="12" s="1"/>
  <c r="E2273" i="12"/>
  <c r="I2273" i="12" s="1"/>
  <c r="C2273" i="12"/>
  <c r="Q2272" i="12"/>
  <c r="O2272" i="12"/>
  <c r="K2272" i="12"/>
  <c r="F2272" i="12"/>
  <c r="G2272" i="12" s="1"/>
  <c r="E2272" i="12"/>
  <c r="I2272" i="12" s="1"/>
  <c r="C2272" i="12"/>
  <c r="Q2271" i="12"/>
  <c r="O2271" i="12"/>
  <c r="K2271" i="12"/>
  <c r="F2271" i="12"/>
  <c r="G2271" i="12" s="1"/>
  <c r="E2271" i="12"/>
  <c r="I2271" i="12" s="1"/>
  <c r="C2271" i="12"/>
  <c r="Q2270" i="12"/>
  <c r="O2270" i="12"/>
  <c r="K2270" i="12"/>
  <c r="F2270" i="12"/>
  <c r="G2270" i="12" s="1"/>
  <c r="E2270" i="12"/>
  <c r="I2270" i="12" s="1"/>
  <c r="C2270" i="12"/>
  <c r="Q2269" i="12"/>
  <c r="O2269" i="12"/>
  <c r="K2269" i="12"/>
  <c r="F2269" i="12"/>
  <c r="G2269" i="12" s="1"/>
  <c r="E2269" i="12"/>
  <c r="I2269" i="12" s="1"/>
  <c r="C2269" i="12"/>
  <c r="Q2268" i="12"/>
  <c r="O2268" i="12"/>
  <c r="K2268" i="12"/>
  <c r="F2268" i="12"/>
  <c r="G2268" i="12" s="1"/>
  <c r="E2268" i="12"/>
  <c r="I2268" i="12" s="1"/>
  <c r="C2268" i="12"/>
  <c r="Q2267" i="12"/>
  <c r="O2267" i="12"/>
  <c r="K2267" i="12"/>
  <c r="F2267" i="12"/>
  <c r="G2267" i="12" s="1"/>
  <c r="E2267" i="12"/>
  <c r="I2267" i="12" s="1"/>
  <c r="C2267" i="12"/>
  <c r="Q2265" i="12"/>
  <c r="O2265" i="12"/>
  <c r="K2265" i="12"/>
  <c r="F2265" i="12"/>
  <c r="G2265" i="12" s="1"/>
  <c r="E2265" i="12"/>
  <c r="I2265" i="12" s="1"/>
  <c r="C2265" i="12"/>
  <c r="Q2264" i="12"/>
  <c r="O2264" i="12"/>
  <c r="K2264" i="12"/>
  <c r="F2264" i="12"/>
  <c r="G2264" i="12" s="1"/>
  <c r="E2264" i="12"/>
  <c r="I2264" i="12" s="1"/>
  <c r="C2264" i="12"/>
  <c r="Q2263" i="12"/>
  <c r="O2263" i="12"/>
  <c r="K2263" i="12"/>
  <c r="F2263" i="12"/>
  <c r="G2263" i="12" s="1"/>
  <c r="E2263" i="12"/>
  <c r="I2263" i="12" s="1"/>
  <c r="C2263" i="12"/>
  <c r="Q2262" i="12"/>
  <c r="O2262" i="12"/>
  <c r="K2262" i="12"/>
  <c r="F2262" i="12"/>
  <c r="G2262" i="12" s="1"/>
  <c r="E2262" i="12"/>
  <c r="I2262" i="12" s="1"/>
  <c r="C2262" i="12"/>
  <c r="Q2261" i="12"/>
  <c r="O2261" i="12"/>
  <c r="K2261" i="12"/>
  <c r="F2261" i="12"/>
  <c r="G2261" i="12" s="1"/>
  <c r="E2261" i="12"/>
  <c r="I2261" i="12" s="1"/>
  <c r="C2261" i="12"/>
  <c r="Q2260" i="12"/>
  <c r="O2260" i="12"/>
  <c r="K2260" i="12"/>
  <c r="F2260" i="12"/>
  <c r="G2260" i="12" s="1"/>
  <c r="E2260" i="12"/>
  <c r="I2260" i="12" s="1"/>
  <c r="C2260" i="12"/>
  <c r="Q2259" i="12"/>
  <c r="O2259" i="12"/>
  <c r="K2259" i="12"/>
  <c r="F2259" i="12"/>
  <c r="G2259" i="12" s="1"/>
  <c r="E2259" i="12"/>
  <c r="I2259" i="12" s="1"/>
  <c r="C2259" i="12"/>
  <c r="Q2258" i="12"/>
  <c r="O2258" i="12"/>
  <c r="K2258" i="12"/>
  <c r="F2258" i="12"/>
  <c r="G2258" i="12" s="1"/>
  <c r="E2258" i="12"/>
  <c r="I2258" i="12" s="1"/>
  <c r="C2258" i="12"/>
  <c r="Q2257" i="12"/>
  <c r="O2257" i="12"/>
  <c r="K2257" i="12"/>
  <c r="F2257" i="12"/>
  <c r="G2257" i="12" s="1"/>
  <c r="E2257" i="12"/>
  <c r="I2257" i="12" s="1"/>
  <c r="C2257" i="12"/>
  <c r="Q2256" i="12"/>
  <c r="O2256" i="12"/>
  <c r="K2256" i="12"/>
  <c r="F2256" i="12"/>
  <c r="G2256" i="12" s="1"/>
  <c r="E2256" i="12"/>
  <c r="I2256" i="12" s="1"/>
  <c r="C2256" i="12"/>
  <c r="Q2255" i="12"/>
  <c r="O2255" i="12"/>
  <c r="K2255" i="12"/>
  <c r="F2255" i="12"/>
  <c r="G2255" i="12" s="1"/>
  <c r="E2255" i="12"/>
  <c r="I2255" i="12" s="1"/>
  <c r="C2255" i="12"/>
  <c r="Q2254" i="12"/>
  <c r="O2254" i="12"/>
  <c r="K2254" i="12"/>
  <c r="F2254" i="12"/>
  <c r="G2254" i="12" s="1"/>
  <c r="E2254" i="12"/>
  <c r="I2254" i="12" s="1"/>
  <c r="C2254" i="12"/>
  <c r="Q2253" i="12"/>
  <c r="O2253" i="12"/>
  <c r="K2253" i="12"/>
  <c r="F2253" i="12"/>
  <c r="G2253" i="12" s="1"/>
  <c r="E2253" i="12"/>
  <c r="I2253" i="12" s="1"/>
  <c r="C2253" i="12"/>
  <c r="Q2252" i="12"/>
  <c r="O2252" i="12"/>
  <c r="K2252" i="12"/>
  <c r="F2252" i="12"/>
  <c r="G2252" i="12" s="1"/>
  <c r="E2252" i="12"/>
  <c r="I2252" i="12" s="1"/>
  <c r="C2252" i="12"/>
  <c r="Q2251" i="12"/>
  <c r="O2251" i="12"/>
  <c r="K2251" i="12"/>
  <c r="F2251" i="12"/>
  <c r="G2251" i="12" s="1"/>
  <c r="E2251" i="12"/>
  <c r="I2251" i="12" s="1"/>
  <c r="C2251" i="12"/>
  <c r="Q2250" i="12"/>
  <c r="O2250" i="12"/>
  <c r="K2250" i="12"/>
  <c r="F2250" i="12"/>
  <c r="G2250" i="12" s="1"/>
  <c r="E2250" i="12"/>
  <c r="I2250" i="12" s="1"/>
  <c r="C2250" i="12"/>
  <c r="Q2249" i="12"/>
  <c r="O2249" i="12"/>
  <c r="K2249" i="12"/>
  <c r="F2249" i="12"/>
  <c r="G2249" i="12" s="1"/>
  <c r="E2249" i="12"/>
  <c r="I2249" i="12" s="1"/>
  <c r="C2249" i="12"/>
  <c r="Q2248" i="12"/>
  <c r="O2248" i="12"/>
  <c r="K2248" i="12"/>
  <c r="F2248" i="12"/>
  <c r="G2248" i="12" s="1"/>
  <c r="E2248" i="12"/>
  <c r="I2248" i="12" s="1"/>
  <c r="C2248" i="12"/>
  <c r="Q2247" i="12"/>
  <c r="O2247" i="12"/>
  <c r="K2247" i="12"/>
  <c r="F2247" i="12"/>
  <c r="G2247" i="12" s="1"/>
  <c r="E2247" i="12"/>
  <c r="I2247" i="12" s="1"/>
  <c r="C2247" i="12"/>
  <c r="Q2246" i="12"/>
  <c r="O2246" i="12"/>
  <c r="K2246" i="12"/>
  <c r="F2246" i="12"/>
  <c r="G2246" i="12" s="1"/>
  <c r="E2246" i="12"/>
  <c r="I2246" i="12" s="1"/>
  <c r="C2246" i="12"/>
  <c r="Q2245" i="12"/>
  <c r="O2245" i="12"/>
  <c r="K2245" i="12"/>
  <c r="F2245" i="12"/>
  <c r="G2245" i="12" s="1"/>
  <c r="E2245" i="12"/>
  <c r="I2245" i="12" s="1"/>
  <c r="C2245" i="12"/>
  <c r="Q2244" i="12"/>
  <c r="O2244" i="12"/>
  <c r="K2244" i="12"/>
  <c r="F2244" i="12"/>
  <c r="G2244" i="12" s="1"/>
  <c r="E2244" i="12"/>
  <c r="I2244" i="12" s="1"/>
  <c r="C2244" i="12"/>
  <c r="Q2243" i="12"/>
  <c r="O2243" i="12"/>
  <c r="K2243" i="12"/>
  <c r="F2243" i="12"/>
  <c r="G2243" i="12" s="1"/>
  <c r="E2243" i="12"/>
  <c r="I2243" i="12" s="1"/>
  <c r="C2243" i="12"/>
  <c r="Q2242" i="12"/>
  <c r="O2242" i="12"/>
  <c r="K2242" i="12"/>
  <c r="F2242" i="12"/>
  <c r="G2242" i="12" s="1"/>
  <c r="E2242" i="12"/>
  <c r="I2242" i="12" s="1"/>
  <c r="C2242" i="12"/>
  <c r="Q2241" i="12"/>
  <c r="O2241" i="12"/>
  <c r="K2241" i="12"/>
  <c r="F2241" i="12"/>
  <c r="G2241" i="12" s="1"/>
  <c r="E2241" i="12"/>
  <c r="I2241" i="12" s="1"/>
  <c r="C2241" i="12"/>
  <c r="Q2240" i="12"/>
  <c r="O2240" i="12"/>
  <c r="K2240" i="12"/>
  <c r="F2240" i="12"/>
  <c r="G2240" i="12" s="1"/>
  <c r="E2240" i="12"/>
  <c r="I2240" i="12" s="1"/>
  <c r="C2240" i="12"/>
  <c r="Q2239" i="12"/>
  <c r="O2239" i="12"/>
  <c r="K2239" i="12"/>
  <c r="F2239" i="12"/>
  <c r="G2239" i="12" s="1"/>
  <c r="E2239" i="12"/>
  <c r="I2239" i="12" s="1"/>
  <c r="C2239" i="12"/>
  <c r="Q2238" i="12"/>
  <c r="O2238" i="12"/>
  <c r="K2238" i="12"/>
  <c r="F2238" i="12"/>
  <c r="G2238" i="12" s="1"/>
  <c r="E2238" i="12"/>
  <c r="I2238" i="12" s="1"/>
  <c r="C2238" i="12"/>
  <c r="Q2237" i="12"/>
  <c r="O2237" i="12"/>
  <c r="K2237" i="12"/>
  <c r="F2237" i="12"/>
  <c r="G2237" i="12" s="1"/>
  <c r="E2237" i="12"/>
  <c r="I2237" i="12" s="1"/>
  <c r="C2237" i="12"/>
  <c r="Q2236" i="12"/>
  <c r="O2236" i="12"/>
  <c r="K2236" i="12"/>
  <c r="F2236" i="12"/>
  <c r="G2236" i="12" s="1"/>
  <c r="E2236" i="12"/>
  <c r="I2236" i="12" s="1"/>
  <c r="C2236" i="12"/>
  <c r="Q2235" i="12"/>
  <c r="O2235" i="12"/>
  <c r="K2235" i="12"/>
  <c r="F2235" i="12"/>
  <c r="G2235" i="12" s="1"/>
  <c r="E2235" i="12"/>
  <c r="I2235" i="12" s="1"/>
  <c r="C2235" i="12"/>
  <c r="Q2234" i="12"/>
  <c r="O2234" i="12"/>
  <c r="K2234" i="12"/>
  <c r="F2234" i="12"/>
  <c r="G2234" i="12" s="1"/>
  <c r="E2234" i="12"/>
  <c r="I2234" i="12" s="1"/>
  <c r="C2234" i="12"/>
  <c r="Q2233" i="12"/>
  <c r="O2233" i="12"/>
  <c r="K2233" i="12"/>
  <c r="F2233" i="12"/>
  <c r="G2233" i="12" s="1"/>
  <c r="E2233" i="12"/>
  <c r="I2233" i="12" s="1"/>
  <c r="C2233" i="12"/>
  <c r="Q2232" i="12"/>
  <c r="O2232" i="12"/>
  <c r="K2232" i="12"/>
  <c r="F2232" i="12"/>
  <c r="G2232" i="12" s="1"/>
  <c r="E2232" i="12"/>
  <c r="I2232" i="12" s="1"/>
  <c r="C2232" i="12"/>
  <c r="Q2231" i="12"/>
  <c r="O2231" i="12"/>
  <c r="K2231" i="12"/>
  <c r="F2231" i="12"/>
  <c r="G2231" i="12" s="1"/>
  <c r="E2231" i="12"/>
  <c r="I2231" i="12" s="1"/>
  <c r="C2231" i="12"/>
  <c r="Q2230" i="12"/>
  <c r="O2230" i="12"/>
  <c r="K2230" i="12"/>
  <c r="F2230" i="12"/>
  <c r="G2230" i="12" s="1"/>
  <c r="E2230" i="12"/>
  <c r="I2230" i="12" s="1"/>
  <c r="C2230" i="12"/>
  <c r="Q2229" i="12"/>
  <c r="O2229" i="12"/>
  <c r="K2229" i="12"/>
  <c r="F2229" i="12"/>
  <c r="G2229" i="12" s="1"/>
  <c r="E2229" i="12"/>
  <c r="I2229" i="12" s="1"/>
  <c r="C2229" i="12"/>
  <c r="Q2228" i="12"/>
  <c r="O2228" i="12"/>
  <c r="K2228" i="12"/>
  <c r="F2228" i="12"/>
  <c r="G2228" i="12" s="1"/>
  <c r="E2228" i="12"/>
  <c r="I2228" i="12" s="1"/>
  <c r="C2228" i="12"/>
  <c r="Q2227" i="12"/>
  <c r="O2227" i="12"/>
  <c r="K2227" i="12"/>
  <c r="F2227" i="12"/>
  <c r="G2227" i="12" s="1"/>
  <c r="E2227" i="12"/>
  <c r="I2227" i="12" s="1"/>
  <c r="C2227" i="12"/>
  <c r="Q2226" i="12"/>
  <c r="O2226" i="12"/>
  <c r="K2226" i="12"/>
  <c r="F2226" i="12"/>
  <c r="G2226" i="12" s="1"/>
  <c r="E2226" i="12"/>
  <c r="I2226" i="12" s="1"/>
  <c r="C2226" i="12"/>
  <c r="Q2225" i="12"/>
  <c r="O2225" i="12"/>
  <c r="K2225" i="12"/>
  <c r="F2225" i="12"/>
  <c r="G2225" i="12" s="1"/>
  <c r="E2225" i="12"/>
  <c r="I2225" i="12" s="1"/>
  <c r="C2225" i="12"/>
  <c r="Q2224" i="12"/>
  <c r="O2224" i="12"/>
  <c r="K2224" i="12"/>
  <c r="F2224" i="12"/>
  <c r="G2224" i="12" s="1"/>
  <c r="E2224" i="12"/>
  <c r="I2224" i="12" s="1"/>
  <c r="C2224" i="12"/>
  <c r="Q2223" i="12"/>
  <c r="O2223" i="12"/>
  <c r="K2223" i="12"/>
  <c r="F2223" i="12"/>
  <c r="G2223" i="12" s="1"/>
  <c r="J2223" i="12" s="1"/>
  <c r="E2223" i="12"/>
  <c r="I2223" i="12" s="1"/>
  <c r="C2223" i="12"/>
  <c r="Q2222" i="12"/>
  <c r="O2222" i="12"/>
  <c r="K2222" i="12"/>
  <c r="F2222" i="12"/>
  <c r="G2222" i="12" s="1"/>
  <c r="E2222" i="12"/>
  <c r="I2222" i="12" s="1"/>
  <c r="C2222" i="12"/>
  <c r="Q2221" i="12"/>
  <c r="O2221" i="12"/>
  <c r="K2221" i="12"/>
  <c r="F2221" i="12"/>
  <c r="G2221" i="12" s="1"/>
  <c r="J2221" i="12" s="1"/>
  <c r="E2221" i="12"/>
  <c r="I2221" i="12" s="1"/>
  <c r="C2221" i="12"/>
  <c r="Q2220" i="12"/>
  <c r="O2220" i="12"/>
  <c r="K2220" i="12"/>
  <c r="F2220" i="12"/>
  <c r="G2220" i="12" s="1"/>
  <c r="E2220" i="12"/>
  <c r="I2220" i="12" s="1"/>
  <c r="C2220" i="12"/>
  <c r="Q2219" i="12"/>
  <c r="O2219" i="12"/>
  <c r="K2219" i="12"/>
  <c r="F2219" i="12"/>
  <c r="G2219" i="12" s="1"/>
  <c r="E2219" i="12"/>
  <c r="I2219" i="12" s="1"/>
  <c r="C2219" i="12"/>
  <c r="Q2218" i="12"/>
  <c r="O2218" i="12"/>
  <c r="K2218" i="12"/>
  <c r="F2218" i="12"/>
  <c r="G2218" i="12" s="1"/>
  <c r="E2218" i="12"/>
  <c r="I2218" i="12" s="1"/>
  <c r="C2218" i="12"/>
  <c r="Q2217" i="12"/>
  <c r="O2217" i="12"/>
  <c r="K2217" i="12"/>
  <c r="F2217" i="12"/>
  <c r="G2217" i="12" s="1"/>
  <c r="E2217" i="12"/>
  <c r="I2217" i="12" s="1"/>
  <c r="C2217" i="12"/>
  <c r="Q2216" i="12"/>
  <c r="O2216" i="12"/>
  <c r="K2216" i="12"/>
  <c r="F2216" i="12"/>
  <c r="G2216" i="12" s="1"/>
  <c r="E2216" i="12"/>
  <c r="I2216" i="12" s="1"/>
  <c r="C2216" i="12"/>
  <c r="Q2215" i="12"/>
  <c r="O2215" i="12"/>
  <c r="K2215" i="12"/>
  <c r="F2215" i="12"/>
  <c r="G2215" i="12" s="1"/>
  <c r="J2215" i="12" s="1"/>
  <c r="E2215" i="12"/>
  <c r="I2215" i="12" s="1"/>
  <c r="C2215" i="12"/>
  <c r="Q2214" i="12"/>
  <c r="O2214" i="12"/>
  <c r="K2214" i="12"/>
  <c r="F2214" i="12"/>
  <c r="G2214" i="12" s="1"/>
  <c r="E2214" i="12"/>
  <c r="I2214" i="12" s="1"/>
  <c r="C2214" i="12"/>
  <c r="Q2213" i="12"/>
  <c r="O2213" i="12"/>
  <c r="K2213" i="12"/>
  <c r="F2213" i="12"/>
  <c r="G2213" i="12" s="1"/>
  <c r="E2213" i="12"/>
  <c r="I2213" i="12" s="1"/>
  <c r="C2213" i="12"/>
  <c r="Q2212" i="12"/>
  <c r="O2212" i="12"/>
  <c r="K2212" i="12"/>
  <c r="F2212" i="12"/>
  <c r="G2212" i="12" s="1"/>
  <c r="E2212" i="12"/>
  <c r="I2212" i="12" s="1"/>
  <c r="C2212" i="12"/>
  <c r="Q2211" i="12"/>
  <c r="O2211" i="12"/>
  <c r="K2211" i="12"/>
  <c r="F2211" i="12"/>
  <c r="G2211" i="12" s="1"/>
  <c r="E2211" i="12"/>
  <c r="I2211" i="12" s="1"/>
  <c r="C2211" i="12"/>
  <c r="Q2210" i="12"/>
  <c r="O2210" i="12"/>
  <c r="K2210" i="12"/>
  <c r="F2210" i="12"/>
  <c r="G2210" i="12" s="1"/>
  <c r="E2210" i="12"/>
  <c r="I2210" i="12" s="1"/>
  <c r="C2210" i="12"/>
  <c r="Q2209" i="12"/>
  <c r="O2209" i="12"/>
  <c r="K2209" i="12"/>
  <c r="F2209" i="12"/>
  <c r="G2209" i="12" s="1"/>
  <c r="E2209" i="12"/>
  <c r="I2209" i="12" s="1"/>
  <c r="C2209" i="12"/>
  <c r="Q2208" i="12"/>
  <c r="O2208" i="12"/>
  <c r="K2208" i="12"/>
  <c r="F2208" i="12"/>
  <c r="G2208" i="12" s="1"/>
  <c r="E2208" i="12"/>
  <c r="I2208" i="12" s="1"/>
  <c r="C2208" i="12"/>
  <c r="Q2207" i="12"/>
  <c r="O2207" i="12"/>
  <c r="K2207" i="12"/>
  <c r="F2207" i="12"/>
  <c r="G2207" i="12" s="1"/>
  <c r="E2207" i="12"/>
  <c r="I2207" i="12" s="1"/>
  <c r="C2207" i="12"/>
  <c r="Q2206" i="12"/>
  <c r="O2206" i="12"/>
  <c r="K2206" i="12"/>
  <c r="F2206" i="12"/>
  <c r="G2206" i="12" s="1"/>
  <c r="E2206" i="12"/>
  <c r="I2206" i="12" s="1"/>
  <c r="C2206" i="12"/>
  <c r="Q2205" i="12"/>
  <c r="O2205" i="12"/>
  <c r="K2205" i="12"/>
  <c r="F2205" i="12"/>
  <c r="G2205" i="12" s="1"/>
  <c r="E2205" i="12"/>
  <c r="I2205" i="12" s="1"/>
  <c r="C2205" i="12"/>
  <c r="Q2204" i="12"/>
  <c r="O2204" i="12"/>
  <c r="K2204" i="12"/>
  <c r="F2204" i="12"/>
  <c r="G2204" i="12" s="1"/>
  <c r="E2204" i="12"/>
  <c r="I2204" i="12" s="1"/>
  <c r="C2204" i="12"/>
  <c r="Q2203" i="12"/>
  <c r="O2203" i="12"/>
  <c r="K2203" i="12"/>
  <c r="F2203" i="12"/>
  <c r="G2203" i="12" s="1"/>
  <c r="E2203" i="12"/>
  <c r="I2203" i="12" s="1"/>
  <c r="C2203" i="12"/>
  <c r="Q2202" i="12"/>
  <c r="O2202" i="12"/>
  <c r="K2202" i="12"/>
  <c r="F2202" i="12"/>
  <c r="G2202" i="12" s="1"/>
  <c r="E2202" i="12"/>
  <c r="I2202" i="12" s="1"/>
  <c r="C2202" i="12"/>
  <c r="Q2201" i="12"/>
  <c r="O2201" i="12"/>
  <c r="K2201" i="12"/>
  <c r="F2201" i="12"/>
  <c r="G2201" i="12" s="1"/>
  <c r="E2201" i="12"/>
  <c r="I2201" i="12" s="1"/>
  <c r="C2201" i="12"/>
  <c r="Q2200" i="12"/>
  <c r="O2200" i="12"/>
  <c r="K2200" i="12"/>
  <c r="F2200" i="12"/>
  <c r="E2200" i="12"/>
  <c r="I2200" i="12" s="1"/>
  <c r="C2200" i="12"/>
  <c r="Q2199" i="12"/>
  <c r="O2199" i="12"/>
  <c r="K2199" i="12"/>
  <c r="F2199" i="12"/>
  <c r="G2199" i="12" s="1"/>
  <c r="E2199" i="12"/>
  <c r="I2199" i="12" s="1"/>
  <c r="C2199" i="12"/>
  <c r="Q2198" i="12"/>
  <c r="O2198" i="12"/>
  <c r="K2198" i="12"/>
  <c r="F2198" i="12"/>
  <c r="G2198" i="12" s="1"/>
  <c r="E2198" i="12"/>
  <c r="I2198" i="12" s="1"/>
  <c r="C2198" i="12"/>
  <c r="Q2197" i="12"/>
  <c r="O2197" i="12"/>
  <c r="K2197" i="12"/>
  <c r="F2197" i="12"/>
  <c r="G2197" i="12" s="1"/>
  <c r="E2197" i="12"/>
  <c r="I2197" i="12" s="1"/>
  <c r="C2197" i="12"/>
  <c r="Q2196" i="12"/>
  <c r="O2196" i="12"/>
  <c r="K2196" i="12"/>
  <c r="F2196" i="12"/>
  <c r="G2196" i="12" s="1"/>
  <c r="E2196" i="12"/>
  <c r="I2196" i="12" s="1"/>
  <c r="C2196" i="12"/>
  <c r="Q2195" i="12"/>
  <c r="O2195" i="12"/>
  <c r="K2195" i="12"/>
  <c r="F2195" i="12"/>
  <c r="G2195" i="12" s="1"/>
  <c r="E2195" i="12"/>
  <c r="I2195" i="12" s="1"/>
  <c r="C2195" i="12"/>
  <c r="Q2194" i="12"/>
  <c r="O2194" i="12"/>
  <c r="K2194" i="12"/>
  <c r="F2194" i="12"/>
  <c r="G2194" i="12" s="1"/>
  <c r="E2194" i="12"/>
  <c r="I2194" i="12" s="1"/>
  <c r="C2194" i="12"/>
  <c r="Q2193" i="12"/>
  <c r="O2193" i="12"/>
  <c r="K2193" i="12"/>
  <c r="F2193" i="12"/>
  <c r="G2193" i="12" s="1"/>
  <c r="E2193" i="12"/>
  <c r="I2193" i="12" s="1"/>
  <c r="C2193" i="12"/>
  <c r="Q2192" i="12"/>
  <c r="O2192" i="12"/>
  <c r="K2192" i="12"/>
  <c r="F2192" i="12"/>
  <c r="G2192" i="12" s="1"/>
  <c r="E2192" i="12"/>
  <c r="I2192" i="12" s="1"/>
  <c r="C2192" i="12"/>
  <c r="Q2191" i="12"/>
  <c r="O2191" i="12"/>
  <c r="K2191" i="12"/>
  <c r="F2191" i="12"/>
  <c r="G2191" i="12" s="1"/>
  <c r="E2191" i="12"/>
  <c r="I2191" i="12" s="1"/>
  <c r="C2191" i="12"/>
  <c r="Q2190" i="12"/>
  <c r="O2190" i="12"/>
  <c r="K2190" i="12"/>
  <c r="F2190" i="12"/>
  <c r="G2190" i="12" s="1"/>
  <c r="E2190" i="12"/>
  <c r="I2190" i="12" s="1"/>
  <c r="C2190" i="12"/>
  <c r="Q2189" i="12"/>
  <c r="O2189" i="12"/>
  <c r="K2189" i="12"/>
  <c r="F2189" i="12"/>
  <c r="G2189" i="12" s="1"/>
  <c r="E2189" i="12"/>
  <c r="I2189" i="12" s="1"/>
  <c r="C2189" i="12"/>
  <c r="Q2188" i="12"/>
  <c r="O2188" i="12"/>
  <c r="K2188" i="12"/>
  <c r="F2188" i="12"/>
  <c r="G2188" i="12" s="1"/>
  <c r="E2188" i="12"/>
  <c r="I2188" i="12" s="1"/>
  <c r="C2188" i="12"/>
  <c r="Q2187" i="12"/>
  <c r="O2187" i="12"/>
  <c r="K2187" i="12"/>
  <c r="F2187" i="12"/>
  <c r="G2187" i="12" s="1"/>
  <c r="E2187" i="12"/>
  <c r="I2187" i="12" s="1"/>
  <c r="C2187" i="12"/>
  <c r="Q2186" i="12"/>
  <c r="O2186" i="12"/>
  <c r="K2186" i="12"/>
  <c r="F2186" i="12"/>
  <c r="G2186" i="12" s="1"/>
  <c r="E2186" i="12"/>
  <c r="I2186" i="12" s="1"/>
  <c r="C2186" i="12"/>
  <c r="Q2185" i="12"/>
  <c r="O2185" i="12"/>
  <c r="K2185" i="12"/>
  <c r="F2185" i="12"/>
  <c r="G2185" i="12" s="1"/>
  <c r="E2185" i="12"/>
  <c r="I2185" i="12" s="1"/>
  <c r="C2185" i="12"/>
  <c r="Q2184" i="12"/>
  <c r="O2184" i="12"/>
  <c r="K2184" i="12"/>
  <c r="F2184" i="12"/>
  <c r="G2184" i="12" s="1"/>
  <c r="E2184" i="12"/>
  <c r="I2184" i="12" s="1"/>
  <c r="C2184" i="12"/>
  <c r="Q2183" i="12"/>
  <c r="O2183" i="12"/>
  <c r="K2183" i="12"/>
  <c r="F2183" i="12"/>
  <c r="G2183" i="12" s="1"/>
  <c r="E2183" i="12"/>
  <c r="I2183" i="12" s="1"/>
  <c r="C2183" i="12"/>
  <c r="Q2182" i="12"/>
  <c r="O2182" i="12"/>
  <c r="K2182" i="12"/>
  <c r="F2182" i="12"/>
  <c r="G2182" i="12" s="1"/>
  <c r="E2182" i="12"/>
  <c r="I2182" i="12" s="1"/>
  <c r="C2182" i="12"/>
  <c r="Q2181" i="12"/>
  <c r="O2181" i="12"/>
  <c r="K2181" i="12"/>
  <c r="F2181" i="12"/>
  <c r="G2181" i="12" s="1"/>
  <c r="E2181" i="12"/>
  <c r="I2181" i="12" s="1"/>
  <c r="C2181" i="12"/>
  <c r="Q2180" i="12"/>
  <c r="O2180" i="12"/>
  <c r="K2180" i="12"/>
  <c r="F2180" i="12"/>
  <c r="G2180" i="12" s="1"/>
  <c r="E2180" i="12"/>
  <c r="I2180" i="12" s="1"/>
  <c r="C2180" i="12"/>
  <c r="Q2179" i="12"/>
  <c r="O2179" i="12"/>
  <c r="K2179" i="12"/>
  <c r="F2179" i="12"/>
  <c r="G2179" i="12" s="1"/>
  <c r="E2179" i="12"/>
  <c r="I2179" i="12" s="1"/>
  <c r="C2179" i="12"/>
  <c r="Q2178" i="12"/>
  <c r="O2178" i="12"/>
  <c r="K2178" i="12"/>
  <c r="F2178" i="12"/>
  <c r="G2178" i="12" s="1"/>
  <c r="E2178" i="12"/>
  <c r="I2178" i="12" s="1"/>
  <c r="C2178" i="12"/>
  <c r="Q2158" i="12"/>
  <c r="O2158" i="12"/>
  <c r="K2158" i="12"/>
  <c r="F2158" i="12"/>
  <c r="G2158" i="12" s="1"/>
  <c r="E2158" i="12"/>
  <c r="I2158" i="12" s="1"/>
  <c r="C2158" i="12"/>
  <c r="Q2177" i="12"/>
  <c r="O2177" i="12"/>
  <c r="K2177" i="12"/>
  <c r="F2177" i="12"/>
  <c r="G2177" i="12" s="1"/>
  <c r="E2177" i="12"/>
  <c r="I2177" i="12" s="1"/>
  <c r="C2177" i="12"/>
  <c r="Q2176" i="12"/>
  <c r="O2176" i="12"/>
  <c r="K2176" i="12"/>
  <c r="F2176" i="12"/>
  <c r="G2176" i="12" s="1"/>
  <c r="E2176" i="12"/>
  <c r="I2176" i="12" s="1"/>
  <c r="C2176" i="12"/>
  <c r="Q2175" i="12"/>
  <c r="O2175" i="12"/>
  <c r="K2175" i="12"/>
  <c r="F2175" i="12"/>
  <c r="G2175" i="12" s="1"/>
  <c r="E2175" i="12"/>
  <c r="I2175" i="12" s="1"/>
  <c r="C2175" i="12"/>
  <c r="Q2174" i="12"/>
  <c r="O2174" i="12"/>
  <c r="K2174" i="12"/>
  <c r="F2174" i="12"/>
  <c r="G2174" i="12" s="1"/>
  <c r="E2174" i="12"/>
  <c r="I2174" i="12" s="1"/>
  <c r="C2174" i="12"/>
  <c r="Q2173" i="12"/>
  <c r="O2173" i="12"/>
  <c r="K2173" i="12"/>
  <c r="F2173" i="12"/>
  <c r="G2173" i="12" s="1"/>
  <c r="E2173" i="12"/>
  <c r="I2173" i="12" s="1"/>
  <c r="C2173" i="12"/>
  <c r="Q2172" i="12"/>
  <c r="O2172" i="12"/>
  <c r="K2172" i="12"/>
  <c r="F2172" i="12"/>
  <c r="G2172" i="12" s="1"/>
  <c r="E2172" i="12"/>
  <c r="I2172" i="12" s="1"/>
  <c r="C2172" i="12"/>
  <c r="Q2171" i="12"/>
  <c r="O2171" i="12"/>
  <c r="K2171" i="12"/>
  <c r="F2171" i="12"/>
  <c r="G2171" i="12" s="1"/>
  <c r="E2171" i="12"/>
  <c r="I2171" i="12" s="1"/>
  <c r="C2171" i="12"/>
  <c r="Q2170" i="12"/>
  <c r="O2170" i="12"/>
  <c r="K2170" i="12"/>
  <c r="F2170" i="12"/>
  <c r="G2170" i="12" s="1"/>
  <c r="E2170" i="12"/>
  <c r="I2170" i="12" s="1"/>
  <c r="C2170" i="12"/>
  <c r="Q2169" i="12"/>
  <c r="O2169" i="12"/>
  <c r="K2169" i="12"/>
  <c r="F2169" i="12"/>
  <c r="G2169" i="12" s="1"/>
  <c r="E2169" i="12"/>
  <c r="I2169" i="12" s="1"/>
  <c r="C2169" i="12"/>
  <c r="Q2168" i="12"/>
  <c r="O2168" i="12"/>
  <c r="K2168" i="12"/>
  <c r="F2168" i="12"/>
  <c r="G2168" i="12" s="1"/>
  <c r="E2168" i="12"/>
  <c r="I2168" i="12" s="1"/>
  <c r="C2168" i="12"/>
  <c r="Q2167" i="12"/>
  <c r="O2167" i="12"/>
  <c r="K2167" i="12"/>
  <c r="F2167" i="12"/>
  <c r="G2167" i="12" s="1"/>
  <c r="E2167" i="12"/>
  <c r="I2167" i="12" s="1"/>
  <c r="C2167" i="12"/>
  <c r="Q2166" i="12"/>
  <c r="O2166" i="12"/>
  <c r="K2166" i="12"/>
  <c r="F2166" i="12"/>
  <c r="G2166" i="12" s="1"/>
  <c r="E2166" i="12"/>
  <c r="I2166" i="12" s="1"/>
  <c r="C2166" i="12"/>
  <c r="Q2165" i="12"/>
  <c r="O2165" i="12"/>
  <c r="K2165" i="12"/>
  <c r="F2165" i="12"/>
  <c r="G2165" i="12" s="1"/>
  <c r="E2165" i="12"/>
  <c r="I2165" i="12" s="1"/>
  <c r="C2165" i="12"/>
  <c r="Q2164" i="12"/>
  <c r="O2164" i="12"/>
  <c r="K2164" i="12"/>
  <c r="F2164" i="12"/>
  <c r="G2164" i="12" s="1"/>
  <c r="E2164" i="12"/>
  <c r="I2164" i="12" s="1"/>
  <c r="C2164" i="12"/>
  <c r="Q2163" i="12"/>
  <c r="O2163" i="12"/>
  <c r="K2163" i="12"/>
  <c r="F2163" i="12"/>
  <c r="G2163" i="12" s="1"/>
  <c r="E2163" i="12"/>
  <c r="I2163" i="12" s="1"/>
  <c r="C2163" i="12"/>
  <c r="Q2162" i="12"/>
  <c r="O2162" i="12"/>
  <c r="K2162" i="12"/>
  <c r="F2162" i="12"/>
  <c r="G2162" i="12" s="1"/>
  <c r="E2162" i="12"/>
  <c r="I2162" i="12" s="1"/>
  <c r="C2162" i="12"/>
  <c r="Q2161" i="12"/>
  <c r="O2161" i="12"/>
  <c r="K2161" i="12"/>
  <c r="F2161" i="12"/>
  <c r="G2161" i="12" s="1"/>
  <c r="E2161" i="12"/>
  <c r="I2161" i="12" s="1"/>
  <c r="C2161" i="12"/>
  <c r="Q2160" i="12"/>
  <c r="O2160" i="12"/>
  <c r="K2160" i="12"/>
  <c r="F2160" i="12"/>
  <c r="G2160" i="12" s="1"/>
  <c r="E2160" i="12"/>
  <c r="I2160" i="12" s="1"/>
  <c r="C2160" i="12"/>
  <c r="Q2159" i="12"/>
  <c r="O2159" i="12"/>
  <c r="K2159" i="12"/>
  <c r="F2159" i="12"/>
  <c r="G2159" i="12" s="1"/>
  <c r="E2159" i="12"/>
  <c r="I2159" i="12" s="1"/>
  <c r="C2159" i="12"/>
  <c r="Q2157" i="12"/>
  <c r="O2157" i="12"/>
  <c r="K2157" i="12"/>
  <c r="F2157" i="12"/>
  <c r="G2157" i="12" s="1"/>
  <c r="E2157" i="12"/>
  <c r="I2157" i="12" s="1"/>
  <c r="C2157" i="12"/>
  <c r="Q2156" i="12"/>
  <c r="O2156" i="12"/>
  <c r="K2156" i="12"/>
  <c r="F2156" i="12"/>
  <c r="G2156" i="12" s="1"/>
  <c r="E2156" i="12"/>
  <c r="I2156" i="12" s="1"/>
  <c r="C2156" i="12"/>
  <c r="Q2155" i="12"/>
  <c r="O2155" i="12"/>
  <c r="K2155" i="12"/>
  <c r="F2155" i="12"/>
  <c r="G2155" i="12" s="1"/>
  <c r="E2155" i="12"/>
  <c r="I2155" i="12" s="1"/>
  <c r="C2155" i="12"/>
  <c r="Q2154" i="12"/>
  <c r="O2154" i="12"/>
  <c r="K2154" i="12"/>
  <c r="F2154" i="12"/>
  <c r="G2154" i="12" s="1"/>
  <c r="E2154" i="12"/>
  <c r="I2154" i="12" s="1"/>
  <c r="C2154" i="12"/>
  <c r="Q2153" i="12"/>
  <c r="O2153" i="12"/>
  <c r="K2153" i="12"/>
  <c r="F2153" i="12"/>
  <c r="G2153" i="12" s="1"/>
  <c r="E2153" i="12"/>
  <c r="I2153" i="12" s="1"/>
  <c r="C2153" i="12"/>
  <c r="Q2152" i="12"/>
  <c r="O2152" i="12"/>
  <c r="K2152" i="12"/>
  <c r="F2152" i="12"/>
  <c r="G2152" i="12" s="1"/>
  <c r="E2152" i="12"/>
  <c r="I2152" i="12" s="1"/>
  <c r="C2152" i="12"/>
  <c r="Q2151" i="12"/>
  <c r="O2151" i="12"/>
  <c r="K2151" i="12"/>
  <c r="F2151" i="12"/>
  <c r="G2151" i="12" s="1"/>
  <c r="E2151" i="12"/>
  <c r="I2151" i="12" s="1"/>
  <c r="C2151" i="12"/>
  <c r="Q2150" i="12"/>
  <c r="O2150" i="12"/>
  <c r="K2150" i="12"/>
  <c r="F2150" i="12"/>
  <c r="G2150" i="12" s="1"/>
  <c r="E2150" i="12"/>
  <c r="I2150" i="12" s="1"/>
  <c r="C2150" i="12"/>
  <c r="Q2149" i="12"/>
  <c r="O2149" i="12"/>
  <c r="K2149" i="12"/>
  <c r="F2149" i="12"/>
  <c r="G2149" i="12" s="1"/>
  <c r="E2149" i="12"/>
  <c r="I2149" i="12" s="1"/>
  <c r="C2149" i="12"/>
  <c r="Q2148" i="12"/>
  <c r="O2148" i="12"/>
  <c r="K2148" i="12"/>
  <c r="F2148" i="12"/>
  <c r="G2148" i="12" s="1"/>
  <c r="E2148" i="12"/>
  <c r="I2148" i="12" s="1"/>
  <c r="C2148" i="12"/>
  <c r="Q2147" i="12"/>
  <c r="O2147" i="12"/>
  <c r="K2147" i="12"/>
  <c r="F2147" i="12"/>
  <c r="G2147" i="12" s="1"/>
  <c r="E2147" i="12"/>
  <c r="I2147" i="12" s="1"/>
  <c r="C2147" i="12"/>
  <c r="Q2146" i="12"/>
  <c r="O2146" i="12"/>
  <c r="K2146" i="12"/>
  <c r="F2146" i="12"/>
  <c r="G2146" i="12" s="1"/>
  <c r="E2146" i="12"/>
  <c r="I2146" i="12" s="1"/>
  <c r="C2146" i="12"/>
  <c r="K2145" i="12"/>
  <c r="F2145" i="12"/>
  <c r="G2145" i="12" s="1"/>
  <c r="E2145" i="12"/>
  <c r="I2145" i="12" s="1"/>
  <c r="C2145" i="12"/>
  <c r="Q2144" i="12"/>
  <c r="O2144" i="12"/>
  <c r="K2144" i="12"/>
  <c r="F2144" i="12"/>
  <c r="G2144" i="12" s="1"/>
  <c r="E2144" i="12"/>
  <c r="I2144" i="12" s="1"/>
  <c r="C2144" i="12"/>
  <c r="Q2143" i="12"/>
  <c r="O2143" i="12"/>
  <c r="K2143" i="12"/>
  <c r="F2143" i="12"/>
  <c r="G2143" i="12" s="1"/>
  <c r="E2143" i="12"/>
  <c r="I2143" i="12" s="1"/>
  <c r="C2143" i="12"/>
  <c r="K2142" i="12"/>
  <c r="F2142" i="12"/>
  <c r="G2142" i="12" s="1"/>
  <c r="E2142" i="12"/>
  <c r="I2142" i="12" s="1"/>
  <c r="C2142" i="12"/>
  <c r="Q2141" i="12"/>
  <c r="O2141" i="12"/>
  <c r="K2141" i="12"/>
  <c r="F2141" i="12"/>
  <c r="G2141" i="12" s="1"/>
  <c r="E2141" i="12"/>
  <c r="I2141" i="12" s="1"/>
  <c r="C2141" i="12"/>
  <c r="Q2140" i="12"/>
  <c r="O2140" i="12"/>
  <c r="K2140" i="12"/>
  <c r="F2140" i="12"/>
  <c r="G2140" i="12" s="1"/>
  <c r="E2140" i="12"/>
  <c r="I2140" i="12" s="1"/>
  <c r="C2140" i="12"/>
  <c r="Q2139" i="12"/>
  <c r="O2139" i="12"/>
  <c r="K2139" i="12"/>
  <c r="F2139" i="12"/>
  <c r="G2139" i="12" s="1"/>
  <c r="E2139" i="12"/>
  <c r="I2139" i="12" s="1"/>
  <c r="C2139" i="12"/>
  <c r="Q2138" i="12"/>
  <c r="O2138" i="12"/>
  <c r="K2138" i="12"/>
  <c r="F2138" i="12"/>
  <c r="G2138" i="12" s="1"/>
  <c r="E2138" i="12"/>
  <c r="I2138" i="12" s="1"/>
  <c r="C2138" i="12"/>
  <c r="G2200" i="12" l="1"/>
  <c r="J2200" i="12" s="1"/>
  <c r="L2200" i="12" s="1"/>
  <c r="O2142" i="12"/>
  <c r="Q2142" i="12"/>
  <c r="J2210" i="12"/>
  <c r="L2210" i="12" s="1"/>
  <c r="J2222" i="12"/>
  <c r="L2222" i="12" s="1"/>
  <c r="J2224" i="12"/>
  <c r="L2224" i="12" s="1"/>
  <c r="J2216" i="12"/>
  <c r="L2216" i="12" s="1"/>
  <c r="L2221" i="12"/>
  <c r="J2167" i="12"/>
  <c r="L2167" i="12" s="1"/>
  <c r="J2194" i="12"/>
  <c r="L2194" i="12" s="1"/>
  <c r="J2197" i="12"/>
  <c r="L2197" i="12" s="1"/>
  <c r="J2202" i="12"/>
  <c r="L2202" i="12" s="1"/>
  <c r="J2206" i="12"/>
  <c r="L2206" i="12" s="1"/>
  <c r="J2214" i="12"/>
  <c r="L2214" i="12" s="1"/>
  <c r="J2219" i="12"/>
  <c r="L2219" i="12" s="1"/>
  <c r="J2227" i="12"/>
  <c r="L2227" i="12" s="1"/>
  <c r="J2233" i="12"/>
  <c r="L2233" i="12" s="1"/>
  <c r="J2138" i="12"/>
  <c r="L2138" i="12" s="1"/>
  <c r="J2143" i="12"/>
  <c r="L2143" i="12" s="1"/>
  <c r="J2147" i="12"/>
  <c r="L2147" i="12" s="1"/>
  <c r="J2151" i="12"/>
  <c r="L2151" i="12" s="1"/>
  <c r="J2155" i="12"/>
  <c r="L2155" i="12" s="1"/>
  <c r="J2161" i="12"/>
  <c r="L2161" i="12" s="1"/>
  <c r="J2166" i="12"/>
  <c r="L2166" i="12"/>
  <c r="J2172" i="12"/>
  <c r="L2172" i="12" s="1"/>
  <c r="J2176" i="12"/>
  <c r="L2176" i="12" s="1"/>
  <c r="J2179" i="12"/>
  <c r="L2179" i="12" s="1"/>
  <c r="J2184" i="12"/>
  <c r="L2184" i="12" s="1"/>
  <c r="J2189" i="12"/>
  <c r="L2189" i="12" s="1"/>
  <c r="J2193" i="12"/>
  <c r="L2193" i="12" s="1"/>
  <c r="J2196" i="12"/>
  <c r="L2196" i="12" s="1"/>
  <c r="J2201" i="12"/>
  <c r="L2201" i="12" s="1"/>
  <c r="J2205" i="12"/>
  <c r="L2205" i="12" s="1"/>
  <c r="J2209" i="12"/>
  <c r="L2209" i="12" s="1"/>
  <c r="J2213" i="12"/>
  <c r="L2213" i="12" s="1"/>
  <c r="L2215" i="12"/>
  <c r="J2217" i="12"/>
  <c r="L2217" i="12" s="1"/>
  <c r="J2140" i="12"/>
  <c r="L2140" i="12" s="1"/>
  <c r="J2152" i="12"/>
  <c r="L2152" i="12" s="1"/>
  <c r="J2162" i="12"/>
  <c r="L2162" i="12" s="1"/>
  <c r="J2185" i="12"/>
  <c r="L2185" i="12" s="1"/>
  <c r="J2190" i="12"/>
  <c r="L2190" i="12" s="1"/>
  <c r="J2225" i="12"/>
  <c r="L2225" i="12" s="1"/>
  <c r="J2231" i="12"/>
  <c r="L2231" i="12" s="1"/>
  <c r="J2142" i="12"/>
  <c r="L2142" i="12" s="1"/>
  <c r="L2146" i="12"/>
  <c r="J2146" i="12"/>
  <c r="J2150" i="12"/>
  <c r="L2150" i="12" s="1"/>
  <c r="J2154" i="12"/>
  <c r="L2154" i="12" s="1"/>
  <c r="J2160" i="12"/>
  <c r="L2160" i="12" s="1"/>
  <c r="J2165" i="12"/>
  <c r="L2165" i="12" s="1"/>
  <c r="J2169" i="12"/>
  <c r="L2169" i="12" s="1"/>
  <c r="J2171" i="12"/>
  <c r="L2171" i="12" s="1"/>
  <c r="J2175" i="12"/>
  <c r="L2175" i="12" s="1"/>
  <c r="J2178" i="12"/>
  <c r="L2178" i="12" s="1"/>
  <c r="J2182" i="12"/>
  <c r="L2182" i="12" s="1"/>
  <c r="J2183" i="12"/>
  <c r="L2183" i="12" s="1"/>
  <c r="L2187" i="12"/>
  <c r="J2187" i="12"/>
  <c r="J2188" i="12"/>
  <c r="L2188" i="12" s="1"/>
  <c r="J2192" i="12"/>
  <c r="L2192" i="12" s="1"/>
  <c r="J2199" i="12"/>
  <c r="L2199" i="12" s="1"/>
  <c r="J2204" i="12"/>
  <c r="L2204" i="12" s="1"/>
  <c r="J2208" i="12"/>
  <c r="L2208" i="12" s="1"/>
  <c r="J2211" i="12"/>
  <c r="L2211" i="12" s="1"/>
  <c r="J2139" i="12"/>
  <c r="L2139" i="12" s="1"/>
  <c r="J2144" i="12"/>
  <c r="L2144" i="12" s="1"/>
  <c r="J2148" i="12"/>
  <c r="L2148" i="12" s="1"/>
  <c r="J2156" i="12"/>
  <c r="L2156" i="12" s="1"/>
  <c r="J2173" i="12"/>
  <c r="L2173" i="12" s="1"/>
  <c r="J2177" i="12"/>
  <c r="L2177" i="12" s="1"/>
  <c r="L2180" i="12"/>
  <c r="J2180" i="12"/>
  <c r="J2141" i="12"/>
  <c r="L2141" i="12" s="1"/>
  <c r="J2145" i="12"/>
  <c r="L2145" i="12" s="1"/>
  <c r="J2149" i="12"/>
  <c r="L2149" i="12" s="1"/>
  <c r="J2153" i="12"/>
  <c r="L2153" i="12" s="1"/>
  <c r="J2157" i="12"/>
  <c r="L2157" i="12" s="1"/>
  <c r="J2159" i="12"/>
  <c r="L2159" i="12" s="1"/>
  <c r="J2163" i="12"/>
  <c r="L2163" i="12" s="1"/>
  <c r="J2164" i="12"/>
  <c r="L2164" i="12" s="1"/>
  <c r="J2168" i="12"/>
  <c r="L2168" i="12" s="1"/>
  <c r="J2170" i="12"/>
  <c r="L2170" i="12" s="1"/>
  <c r="J2174" i="12"/>
  <c r="L2174" i="12" s="1"/>
  <c r="J2158" i="12"/>
  <c r="L2158" i="12" s="1"/>
  <c r="J2181" i="12"/>
  <c r="L2181" i="12" s="1"/>
  <c r="J2186" i="12"/>
  <c r="L2186" i="12" s="1"/>
  <c r="J2191" i="12"/>
  <c r="L2191" i="12" s="1"/>
  <c r="J2195" i="12"/>
  <c r="L2195" i="12" s="1"/>
  <c r="J2198" i="12"/>
  <c r="L2198" i="12" s="1"/>
  <c r="J2203" i="12"/>
  <c r="L2203" i="12" s="1"/>
  <c r="J2207" i="12"/>
  <c r="L2207" i="12" s="1"/>
  <c r="J2220" i="12"/>
  <c r="L2220" i="12" s="1"/>
  <c r="J2237" i="12"/>
  <c r="L2237" i="12" s="1"/>
  <c r="J2241" i="12"/>
  <c r="L2241" i="12" s="1"/>
  <c r="J2243" i="12"/>
  <c r="L2243" i="12" s="1"/>
  <c r="J2247" i="12"/>
  <c r="L2247" i="12" s="1"/>
  <c r="J2251" i="12"/>
  <c r="L2251" i="12" s="1"/>
  <c r="J2255" i="12"/>
  <c r="L2255" i="12" s="1"/>
  <c r="J2257" i="12"/>
  <c r="L2257" i="12" s="1"/>
  <c r="J2262" i="12"/>
  <c r="L2262" i="12" s="1"/>
  <c r="J2267" i="12"/>
  <c r="L2267" i="12" s="1"/>
  <c r="J2271" i="12"/>
  <c r="L2271" i="12" s="1"/>
  <c r="J2277" i="12"/>
  <c r="L2277" i="12" s="1"/>
  <c r="J2283" i="12"/>
  <c r="L2283" i="12" s="1"/>
  <c r="J2289" i="12"/>
  <c r="L2289" i="12" s="1"/>
  <c r="J2212" i="12"/>
  <c r="L2212" i="12" s="1"/>
  <c r="J2218" i="12"/>
  <c r="L2218" i="12" s="1"/>
  <c r="L2223" i="12"/>
  <c r="J2230" i="12"/>
  <c r="L2230" i="12" s="1"/>
  <c r="J2236" i="12"/>
  <c r="L2236" i="12" s="1"/>
  <c r="J2240" i="12"/>
  <c r="L2240" i="12" s="1"/>
  <c r="J2246" i="12"/>
  <c r="L2246" i="12" s="1"/>
  <c r="J2229" i="12"/>
  <c r="L2229" i="12" s="1"/>
  <c r="J2235" i="12"/>
  <c r="L2235" i="12" s="1"/>
  <c r="J2239" i="12"/>
  <c r="L2239" i="12" s="1"/>
  <c r="J2245" i="12"/>
  <c r="L2245" i="12" s="1"/>
  <c r="J2226" i="12"/>
  <c r="L2226" i="12" s="1"/>
  <c r="J2228" i="12"/>
  <c r="L2228" i="12" s="1"/>
  <c r="J2232" i="12"/>
  <c r="L2232" i="12" s="1"/>
  <c r="J2234" i="12"/>
  <c r="L2234" i="12" s="1"/>
  <c r="J2238" i="12"/>
  <c r="L2238" i="12" s="1"/>
  <c r="J2242" i="12"/>
  <c r="L2242" i="12" s="1"/>
  <c r="J2244" i="12"/>
  <c r="L2244" i="12" s="1"/>
  <c r="J2250" i="12"/>
  <c r="L2250" i="12" s="1"/>
  <c r="J2254" i="12"/>
  <c r="L2254" i="12" s="1"/>
  <c r="J2256" i="12"/>
  <c r="L2256" i="12" s="1"/>
  <c r="J2260" i="12"/>
  <c r="L2260" i="12" s="1"/>
  <c r="J2261" i="12"/>
  <c r="L2261" i="12" s="1"/>
  <c r="J2265" i="12"/>
  <c r="L2265" i="12" s="1"/>
  <c r="J2270" i="12"/>
  <c r="L2270" i="12" s="1"/>
  <c r="J2276" i="12"/>
  <c r="L2276" i="12" s="1"/>
  <c r="J2282" i="12"/>
  <c r="L2282" i="12" s="1"/>
  <c r="L2288" i="12"/>
  <c r="J2288" i="12"/>
  <c r="J2249" i="12"/>
  <c r="L2249" i="12" s="1"/>
  <c r="J2253" i="12"/>
  <c r="L2253" i="12" s="1"/>
  <c r="J2259" i="12"/>
  <c r="L2259" i="12" s="1"/>
  <c r="J2264" i="12"/>
  <c r="L2264" i="12" s="1"/>
  <c r="J2269" i="12"/>
  <c r="L2269" i="12"/>
  <c r="J2273" i="12"/>
  <c r="L2273" i="12"/>
  <c r="J2275" i="12"/>
  <c r="L2275" i="12" s="1"/>
  <c r="J2279" i="12"/>
  <c r="L2279" i="12" s="1"/>
  <c r="J2281" i="12"/>
  <c r="L2281" i="12" s="1"/>
  <c r="J2285" i="12"/>
  <c r="L2285" i="12" s="1"/>
  <c r="J2287" i="12"/>
  <c r="L2287" i="12" s="1"/>
  <c r="J2291" i="12"/>
  <c r="L2291" i="12" s="1"/>
  <c r="J2248" i="12"/>
  <c r="L2248" i="12" s="1"/>
  <c r="J2252" i="12"/>
  <c r="L2252" i="12" s="1"/>
  <c r="J2258" i="12"/>
  <c r="L2258" i="12" s="1"/>
  <c r="J2263" i="12"/>
  <c r="L2263" i="12" s="1"/>
  <c r="J2268" i="12"/>
  <c r="L2268" i="12" s="1"/>
  <c r="J2272" i="12"/>
  <c r="L2272" i="12" s="1"/>
  <c r="J2274" i="12"/>
  <c r="L2274" i="12" s="1"/>
  <c r="J2278" i="12"/>
  <c r="L2278" i="12" s="1"/>
  <c r="J2280" i="12"/>
  <c r="L2280" i="12" s="1"/>
  <c r="J2284" i="12"/>
  <c r="L2284" i="12" s="1"/>
  <c r="J2286" i="12"/>
  <c r="L2286" i="12" s="1"/>
  <c r="J2290" i="12"/>
  <c r="L2290" i="12" s="1"/>
  <c r="Q2128" i="12"/>
  <c r="H2129" i="12"/>
  <c r="H2126" i="12"/>
  <c r="H2122" i="12"/>
  <c r="P2122" i="12"/>
  <c r="P2121" i="12"/>
  <c r="H2121" i="12"/>
  <c r="P2118" i="12"/>
  <c r="H2118" i="12"/>
  <c r="P2114" i="12"/>
  <c r="H2114" i="12"/>
  <c r="H2090" i="12" l="1"/>
  <c r="P2090" i="12"/>
  <c r="P2089" i="12"/>
  <c r="P2102" i="12" l="1"/>
  <c r="H2102" i="12"/>
  <c r="P2094" i="12"/>
  <c r="H2094" i="12"/>
  <c r="H2089" i="12"/>
  <c r="P2085" i="12"/>
  <c r="H2085" i="12"/>
  <c r="P2071" i="12" l="1"/>
  <c r="H2071" i="12"/>
  <c r="P2068" i="12"/>
  <c r="H2068" i="12"/>
  <c r="P2066" i="12"/>
  <c r="H2066" i="12"/>
  <c r="H2043" i="12" l="1"/>
  <c r="P2043" i="12"/>
  <c r="H2030" i="12"/>
  <c r="P2030" i="12"/>
  <c r="P2029" i="12"/>
  <c r="H2029" i="12"/>
  <c r="P2027" i="12"/>
  <c r="H2027" i="12"/>
  <c r="O2027" i="12" l="1"/>
  <c r="Q2027" i="12"/>
  <c r="E2040" i="12"/>
  <c r="I2040" i="12" s="1"/>
  <c r="F2040" i="12"/>
  <c r="G2040" i="12" s="1"/>
  <c r="K2040" i="12"/>
  <c r="O2040" i="12"/>
  <c r="Q2040" i="12"/>
  <c r="E2041" i="12"/>
  <c r="I2041" i="12" s="1"/>
  <c r="F2041" i="12"/>
  <c r="G2041" i="12" s="1"/>
  <c r="K2041" i="12"/>
  <c r="O2041" i="12"/>
  <c r="Q2041" i="12"/>
  <c r="E2042" i="12"/>
  <c r="I2042" i="12" s="1"/>
  <c r="F2042" i="12"/>
  <c r="G2042" i="12" s="1"/>
  <c r="K2042" i="12"/>
  <c r="O2042" i="12"/>
  <c r="Q2042" i="12"/>
  <c r="E2043" i="12"/>
  <c r="I2043" i="12" s="1"/>
  <c r="F2043" i="12"/>
  <c r="G2043" i="12" s="1"/>
  <c r="K2043" i="12"/>
  <c r="O2043" i="12"/>
  <c r="Q2043" i="12"/>
  <c r="E2044" i="12"/>
  <c r="I2044" i="12" s="1"/>
  <c r="F2044" i="12"/>
  <c r="G2044" i="12" s="1"/>
  <c r="K2044" i="12"/>
  <c r="O2044" i="12"/>
  <c r="Q2044" i="12"/>
  <c r="E2045" i="12"/>
  <c r="I2045" i="12" s="1"/>
  <c r="F2045" i="12"/>
  <c r="G2045" i="12" s="1"/>
  <c r="J2045" i="12" s="1"/>
  <c r="K2045" i="12"/>
  <c r="O2045" i="12"/>
  <c r="Q2045" i="12"/>
  <c r="E2046" i="12"/>
  <c r="I2046" i="12" s="1"/>
  <c r="F2046" i="12"/>
  <c r="G2046" i="12" s="1"/>
  <c r="K2046" i="12"/>
  <c r="O2046" i="12"/>
  <c r="Q2046" i="12"/>
  <c r="E2047" i="12"/>
  <c r="I2047" i="12" s="1"/>
  <c r="F2047" i="12"/>
  <c r="G2047" i="12" s="1"/>
  <c r="J2047" i="12" s="1"/>
  <c r="K2047" i="12"/>
  <c r="O2047" i="12"/>
  <c r="Q2047" i="12"/>
  <c r="E2048" i="12"/>
  <c r="I2048" i="12" s="1"/>
  <c r="F2048" i="12"/>
  <c r="G2048" i="12" s="1"/>
  <c r="K2048" i="12"/>
  <c r="O2048" i="12"/>
  <c r="Q2048" i="12"/>
  <c r="E2049" i="12"/>
  <c r="I2049" i="12" s="1"/>
  <c r="F2049" i="12"/>
  <c r="G2049" i="12" s="1"/>
  <c r="K2049" i="12"/>
  <c r="O2049" i="12"/>
  <c r="Q2049" i="12"/>
  <c r="E2050" i="12"/>
  <c r="I2050" i="12" s="1"/>
  <c r="F2050" i="12"/>
  <c r="G2050" i="12" s="1"/>
  <c r="K2050" i="12"/>
  <c r="O2050" i="12"/>
  <c r="Q2050" i="12"/>
  <c r="E2051" i="12"/>
  <c r="I2051" i="12" s="1"/>
  <c r="F2051" i="12"/>
  <c r="G2051" i="12" s="1"/>
  <c r="J2051" i="12" s="1"/>
  <c r="K2051" i="12"/>
  <c r="O2051" i="12"/>
  <c r="Q2051" i="12"/>
  <c r="E2052" i="12"/>
  <c r="I2052" i="12" s="1"/>
  <c r="F2052" i="12"/>
  <c r="G2052" i="12" s="1"/>
  <c r="K2052" i="12"/>
  <c r="O2052" i="12"/>
  <c r="Q2052" i="12"/>
  <c r="E2053" i="12"/>
  <c r="I2053" i="12" s="1"/>
  <c r="F2053" i="12"/>
  <c r="G2053" i="12" s="1"/>
  <c r="J2053" i="12" s="1"/>
  <c r="K2053" i="12"/>
  <c r="O2053" i="12"/>
  <c r="Q2053" i="12"/>
  <c r="E2054" i="12"/>
  <c r="I2054" i="12" s="1"/>
  <c r="F2054" i="12"/>
  <c r="G2054" i="12" s="1"/>
  <c r="K2054" i="12"/>
  <c r="O2054" i="12"/>
  <c r="Q2054" i="12"/>
  <c r="E2055" i="12"/>
  <c r="I2055" i="12" s="1"/>
  <c r="F2055" i="12"/>
  <c r="G2055" i="12" s="1"/>
  <c r="J2055" i="12" s="1"/>
  <c r="K2055" i="12"/>
  <c r="O2055" i="12"/>
  <c r="Q2055" i="12"/>
  <c r="E2056" i="12"/>
  <c r="I2056" i="12" s="1"/>
  <c r="F2056" i="12"/>
  <c r="G2056" i="12" s="1"/>
  <c r="K2056" i="12"/>
  <c r="O2056" i="12"/>
  <c r="Q2056" i="12"/>
  <c r="E2057" i="12"/>
  <c r="I2057" i="12" s="1"/>
  <c r="F2057" i="12"/>
  <c r="G2057" i="12" s="1"/>
  <c r="K2057" i="12"/>
  <c r="O2057" i="12"/>
  <c r="Q2057" i="12"/>
  <c r="E2058" i="12"/>
  <c r="I2058" i="12" s="1"/>
  <c r="F2058" i="12"/>
  <c r="G2058" i="12" s="1"/>
  <c r="K2058" i="12"/>
  <c r="O2058" i="12"/>
  <c r="Q2058" i="12"/>
  <c r="E2059" i="12"/>
  <c r="I2059" i="12" s="1"/>
  <c r="F2059" i="12"/>
  <c r="G2059" i="12" s="1"/>
  <c r="K2059" i="12"/>
  <c r="O2059" i="12"/>
  <c r="Q2059" i="12"/>
  <c r="E2060" i="12"/>
  <c r="I2060" i="12" s="1"/>
  <c r="F2060" i="12"/>
  <c r="G2060" i="12" s="1"/>
  <c r="K2060" i="12"/>
  <c r="O2060" i="12"/>
  <c r="Q2060" i="12"/>
  <c r="E2061" i="12"/>
  <c r="I2061" i="12" s="1"/>
  <c r="F2061" i="12"/>
  <c r="G2061" i="12" s="1"/>
  <c r="K2061" i="12"/>
  <c r="O2061" i="12"/>
  <c r="Q2061" i="12"/>
  <c r="E2062" i="12"/>
  <c r="I2062" i="12" s="1"/>
  <c r="F2062" i="12"/>
  <c r="G2062" i="12" s="1"/>
  <c r="K2062" i="12"/>
  <c r="O2062" i="12"/>
  <c r="Q2062" i="12"/>
  <c r="E2064" i="12"/>
  <c r="I2064" i="12" s="1"/>
  <c r="F2064" i="12"/>
  <c r="G2064" i="12" s="1"/>
  <c r="J2064" i="12" s="1"/>
  <c r="K2064" i="12"/>
  <c r="O2064" i="12"/>
  <c r="Q2064" i="12"/>
  <c r="E2065" i="12"/>
  <c r="I2065" i="12" s="1"/>
  <c r="F2065" i="12"/>
  <c r="G2065" i="12" s="1"/>
  <c r="K2065" i="12"/>
  <c r="O2065" i="12"/>
  <c r="Q2065" i="12"/>
  <c r="E2066" i="12"/>
  <c r="I2066" i="12" s="1"/>
  <c r="F2066" i="12"/>
  <c r="G2066" i="12" s="1"/>
  <c r="K2066" i="12"/>
  <c r="O2066" i="12"/>
  <c r="Q2066" i="12"/>
  <c r="E2067" i="12"/>
  <c r="I2067" i="12" s="1"/>
  <c r="F2067" i="12"/>
  <c r="G2067" i="12" s="1"/>
  <c r="K2067" i="12"/>
  <c r="O2067" i="12"/>
  <c r="Q2067" i="12"/>
  <c r="E2068" i="12"/>
  <c r="I2068" i="12" s="1"/>
  <c r="F2068" i="12"/>
  <c r="G2068" i="12" s="1"/>
  <c r="J2068" i="12" s="1"/>
  <c r="K2068" i="12"/>
  <c r="O2068" i="12"/>
  <c r="Q2068" i="12"/>
  <c r="E2069" i="12"/>
  <c r="I2069" i="12" s="1"/>
  <c r="F2069" i="12"/>
  <c r="G2069" i="12" s="1"/>
  <c r="K2069" i="12"/>
  <c r="O2069" i="12"/>
  <c r="Q2069" i="12"/>
  <c r="E2070" i="12"/>
  <c r="I2070" i="12" s="1"/>
  <c r="F2070" i="12"/>
  <c r="G2070" i="12" s="1"/>
  <c r="K2070" i="12"/>
  <c r="O2070" i="12"/>
  <c r="Q2070" i="12"/>
  <c r="E2071" i="12"/>
  <c r="I2071" i="12" s="1"/>
  <c r="F2071" i="12"/>
  <c r="K2071" i="12"/>
  <c r="O2071" i="12"/>
  <c r="Q2071" i="12"/>
  <c r="E2072" i="12"/>
  <c r="I2072" i="12" s="1"/>
  <c r="F2072" i="12"/>
  <c r="G2072" i="12" s="1"/>
  <c r="K2072" i="12"/>
  <c r="O2072" i="12"/>
  <c r="Q2072" i="12"/>
  <c r="E2073" i="12"/>
  <c r="I2073" i="12" s="1"/>
  <c r="F2073" i="12"/>
  <c r="G2073" i="12" s="1"/>
  <c r="J2073" i="12" s="1"/>
  <c r="K2073" i="12"/>
  <c r="O2073" i="12"/>
  <c r="Q2073" i="12"/>
  <c r="E2074" i="12"/>
  <c r="I2074" i="12" s="1"/>
  <c r="F2074" i="12"/>
  <c r="G2074" i="12" s="1"/>
  <c r="K2074" i="12"/>
  <c r="O2074" i="12"/>
  <c r="Q2074" i="12"/>
  <c r="E2075" i="12"/>
  <c r="I2075" i="12" s="1"/>
  <c r="F2075" i="12"/>
  <c r="G2075" i="12" s="1"/>
  <c r="K2075" i="12"/>
  <c r="O2075" i="12"/>
  <c r="Q2075" i="12"/>
  <c r="E2076" i="12"/>
  <c r="I2076" i="12" s="1"/>
  <c r="F2076" i="12"/>
  <c r="G2076" i="12" s="1"/>
  <c r="K2076" i="12"/>
  <c r="O2076" i="12"/>
  <c r="Q2076" i="12"/>
  <c r="E2077" i="12"/>
  <c r="I2077" i="12" s="1"/>
  <c r="F2077" i="12"/>
  <c r="G2077" i="12" s="1"/>
  <c r="K2077" i="12"/>
  <c r="O2077" i="12"/>
  <c r="Q2077" i="12"/>
  <c r="E2078" i="12"/>
  <c r="I2078" i="12" s="1"/>
  <c r="F2078" i="12"/>
  <c r="G2078" i="12" s="1"/>
  <c r="K2078" i="12"/>
  <c r="O2078" i="12"/>
  <c r="Q2078" i="12"/>
  <c r="E2079" i="12"/>
  <c r="I2079" i="12" s="1"/>
  <c r="F2079" i="12"/>
  <c r="G2079" i="12" s="1"/>
  <c r="J2079" i="12" s="1"/>
  <c r="K2079" i="12"/>
  <c r="O2079" i="12"/>
  <c r="Q2079" i="12"/>
  <c r="E2080" i="12"/>
  <c r="I2080" i="12" s="1"/>
  <c r="F2080" i="12"/>
  <c r="G2080" i="12" s="1"/>
  <c r="K2080" i="12"/>
  <c r="O2080" i="12"/>
  <c r="Q2080" i="12"/>
  <c r="E2081" i="12"/>
  <c r="I2081" i="12" s="1"/>
  <c r="F2081" i="12"/>
  <c r="G2081" i="12" s="1"/>
  <c r="K2081" i="12"/>
  <c r="O2081" i="12"/>
  <c r="Q2081" i="12"/>
  <c r="E2082" i="12"/>
  <c r="I2082" i="12" s="1"/>
  <c r="F2082" i="12"/>
  <c r="G2082" i="12" s="1"/>
  <c r="K2082" i="12"/>
  <c r="O2082" i="12"/>
  <c r="Q2082" i="12"/>
  <c r="E2063" i="12"/>
  <c r="I2063" i="12" s="1"/>
  <c r="F2063" i="12"/>
  <c r="G2063" i="12" s="1"/>
  <c r="K2063" i="12"/>
  <c r="O2063" i="12"/>
  <c r="Q2063" i="12"/>
  <c r="E2083" i="12"/>
  <c r="I2083" i="12" s="1"/>
  <c r="F2083" i="12"/>
  <c r="G2083" i="12" s="1"/>
  <c r="K2083" i="12"/>
  <c r="O2083" i="12"/>
  <c r="Q2083" i="12"/>
  <c r="E2084" i="12"/>
  <c r="I2084" i="12" s="1"/>
  <c r="F2084" i="12"/>
  <c r="G2084" i="12" s="1"/>
  <c r="K2084" i="12"/>
  <c r="O2084" i="12"/>
  <c r="Q2084" i="12"/>
  <c r="E2085" i="12"/>
  <c r="I2085" i="12" s="1"/>
  <c r="F2085" i="12"/>
  <c r="G2085" i="12" s="1"/>
  <c r="K2085" i="12"/>
  <c r="O2085" i="12"/>
  <c r="Q2085" i="12"/>
  <c r="E2086" i="12"/>
  <c r="I2086" i="12" s="1"/>
  <c r="F2086" i="12"/>
  <c r="G2086" i="12" s="1"/>
  <c r="K2086" i="12"/>
  <c r="O2086" i="12"/>
  <c r="Q2086" i="12"/>
  <c r="E2087" i="12"/>
  <c r="I2087" i="12" s="1"/>
  <c r="F2087" i="12"/>
  <c r="G2087" i="12" s="1"/>
  <c r="K2087" i="12"/>
  <c r="O2087" i="12"/>
  <c r="Q2087" i="12"/>
  <c r="E2088" i="12"/>
  <c r="I2088" i="12" s="1"/>
  <c r="F2088" i="12"/>
  <c r="G2088" i="12" s="1"/>
  <c r="K2088" i="12"/>
  <c r="O2088" i="12"/>
  <c r="Q2088" i="12"/>
  <c r="E2089" i="12"/>
  <c r="I2089" i="12" s="1"/>
  <c r="F2089" i="12"/>
  <c r="G2089" i="12" s="1"/>
  <c r="K2089" i="12"/>
  <c r="O2089" i="12"/>
  <c r="Q2089" i="12"/>
  <c r="E2090" i="12"/>
  <c r="I2090" i="12" s="1"/>
  <c r="F2090" i="12"/>
  <c r="K2090" i="12"/>
  <c r="O2090" i="12"/>
  <c r="Q2090" i="12"/>
  <c r="E2091" i="12"/>
  <c r="I2091" i="12" s="1"/>
  <c r="F2091" i="12"/>
  <c r="G2091" i="12" s="1"/>
  <c r="K2091" i="12"/>
  <c r="O2091" i="12"/>
  <c r="Q2091" i="12"/>
  <c r="E2092" i="12"/>
  <c r="I2092" i="12" s="1"/>
  <c r="F2092" i="12"/>
  <c r="G2092" i="12" s="1"/>
  <c r="K2092" i="12"/>
  <c r="O2092" i="12"/>
  <c r="Q2092" i="12"/>
  <c r="E2093" i="12"/>
  <c r="I2093" i="12" s="1"/>
  <c r="F2093" i="12"/>
  <c r="G2093" i="12" s="1"/>
  <c r="K2093" i="12"/>
  <c r="O2093" i="12"/>
  <c r="Q2093" i="12"/>
  <c r="E2094" i="12"/>
  <c r="I2094" i="12" s="1"/>
  <c r="F2094" i="12"/>
  <c r="G2094" i="12" s="1"/>
  <c r="K2094" i="12"/>
  <c r="O2094" i="12"/>
  <c r="Q2094" i="12"/>
  <c r="E2095" i="12"/>
  <c r="I2095" i="12" s="1"/>
  <c r="F2095" i="12"/>
  <c r="G2095" i="12" s="1"/>
  <c r="K2095" i="12"/>
  <c r="O2095" i="12"/>
  <c r="Q2095" i="12"/>
  <c r="E2096" i="12"/>
  <c r="I2096" i="12" s="1"/>
  <c r="F2096" i="12"/>
  <c r="G2096" i="12" s="1"/>
  <c r="K2096" i="12"/>
  <c r="O2096" i="12"/>
  <c r="Q2096" i="12"/>
  <c r="E2097" i="12"/>
  <c r="I2097" i="12" s="1"/>
  <c r="F2097" i="12"/>
  <c r="G2097" i="12" s="1"/>
  <c r="K2097" i="12"/>
  <c r="O2097" i="12"/>
  <c r="Q2097" i="12"/>
  <c r="E2098" i="12"/>
  <c r="I2098" i="12" s="1"/>
  <c r="F2098" i="12"/>
  <c r="G2098" i="12" s="1"/>
  <c r="K2098" i="12"/>
  <c r="O2098" i="12"/>
  <c r="Q2098" i="12"/>
  <c r="E2099" i="12"/>
  <c r="I2099" i="12" s="1"/>
  <c r="F2099" i="12"/>
  <c r="G2099" i="12" s="1"/>
  <c r="K2099" i="12"/>
  <c r="O2099" i="12"/>
  <c r="Q2099" i="12"/>
  <c r="E2100" i="12"/>
  <c r="I2100" i="12" s="1"/>
  <c r="F2100" i="12"/>
  <c r="G2100" i="12" s="1"/>
  <c r="J2100" i="12" s="1"/>
  <c r="K2100" i="12"/>
  <c r="O2100" i="12"/>
  <c r="Q2100" i="12"/>
  <c r="E2101" i="12"/>
  <c r="I2101" i="12" s="1"/>
  <c r="F2101" i="12"/>
  <c r="G2101" i="12" s="1"/>
  <c r="J2101" i="12" s="1"/>
  <c r="K2101" i="12"/>
  <c r="O2101" i="12"/>
  <c r="Q2101" i="12"/>
  <c r="E2102" i="12"/>
  <c r="I2102" i="12" s="1"/>
  <c r="F2102" i="12"/>
  <c r="G2102" i="12" s="1"/>
  <c r="K2102" i="12"/>
  <c r="O2102" i="12"/>
  <c r="Q2102" i="12"/>
  <c r="E2103" i="12"/>
  <c r="I2103" i="12" s="1"/>
  <c r="F2103" i="12"/>
  <c r="G2103" i="12" s="1"/>
  <c r="K2103" i="12"/>
  <c r="O2103" i="12"/>
  <c r="Q2103" i="12"/>
  <c r="E2104" i="12"/>
  <c r="I2104" i="12" s="1"/>
  <c r="F2104" i="12"/>
  <c r="G2104" i="12" s="1"/>
  <c r="K2104" i="12"/>
  <c r="O2104" i="12"/>
  <c r="Q2104" i="12"/>
  <c r="E2105" i="12"/>
  <c r="I2105" i="12" s="1"/>
  <c r="F2105" i="12"/>
  <c r="G2105" i="12" s="1"/>
  <c r="K2105" i="12"/>
  <c r="O2105" i="12"/>
  <c r="Q2105" i="12"/>
  <c r="E2106" i="12"/>
  <c r="I2106" i="12" s="1"/>
  <c r="F2106" i="12"/>
  <c r="G2106" i="12" s="1"/>
  <c r="J2106" i="12" s="1"/>
  <c r="K2106" i="12"/>
  <c r="O2106" i="12"/>
  <c r="Q2106" i="12"/>
  <c r="E2107" i="12"/>
  <c r="I2107" i="12" s="1"/>
  <c r="F2107" i="12"/>
  <c r="G2107" i="12" s="1"/>
  <c r="J2107" i="12" s="1"/>
  <c r="K2107" i="12"/>
  <c r="O2107" i="12"/>
  <c r="Q2107" i="12"/>
  <c r="E2108" i="12"/>
  <c r="I2108" i="12" s="1"/>
  <c r="F2108" i="12"/>
  <c r="G2108" i="12" s="1"/>
  <c r="K2108" i="12"/>
  <c r="O2108" i="12"/>
  <c r="Q2108" i="12"/>
  <c r="E2109" i="12"/>
  <c r="I2109" i="12" s="1"/>
  <c r="F2109" i="12"/>
  <c r="G2109" i="12" s="1"/>
  <c r="K2109" i="12"/>
  <c r="O2109" i="12"/>
  <c r="Q2109" i="12"/>
  <c r="E2110" i="12"/>
  <c r="I2110" i="12" s="1"/>
  <c r="F2110" i="12"/>
  <c r="G2110" i="12" s="1"/>
  <c r="K2110" i="12"/>
  <c r="O2110" i="12"/>
  <c r="Q2110" i="12"/>
  <c r="E2111" i="12"/>
  <c r="I2111" i="12" s="1"/>
  <c r="F2111" i="12"/>
  <c r="G2111" i="12" s="1"/>
  <c r="K2111" i="12"/>
  <c r="O2111" i="12"/>
  <c r="Q2111" i="12"/>
  <c r="E2112" i="12"/>
  <c r="I2112" i="12" s="1"/>
  <c r="F2112" i="12"/>
  <c r="G2112" i="12" s="1"/>
  <c r="K2112" i="12"/>
  <c r="O2112" i="12"/>
  <c r="Q2112" i="12"/>
  <c r="E2113" i="12"/>
  <c r="I2113" i="12" s="1"/>
  <c r="F2113" i="12"/>
  <c r="G2113" i="12" s="1"/>
  <c r="K2113" i="12"/>
  <c r="O2113" i="12"/>
  <c r="Q2113" i="12"/>
  <c r="E2114" i="12"/>
  <c r="I2114" i="12" s="1"/>
  <c r="F2114" i="12"/>
  <c r="G2114" i="12" s="1"/>
  <c r="K2114" i="12"/>
  <c r="O2114" i="12"/>
  <c r="Q2114" i="12"/>
  <c r="E2115" i="12"/>
  <c r="I2115" i="12" s="1"/>
  <c r="F2115" i="12"/>
  <c r="G2115" i="12" s="1"/>
  <c r="K2115" i="12"/>
  <c r="O2115" i="12"/>
  <c r="Q2115" i="12"/>
  <c r="E2116" i="12"/>
  <c r="I2116" i="12" s="1"/>
  <c r="F2116" i="12"/>
  <c r="G2116" i="12" s="1"/>
  <c r="K2116" i="12"/>
  <c r="O2116" i="12"/>
  <c r="Q2116" i="12"/>
  <c r="E2117" i="12"/>
  <c r="I2117" i="12" s="1"/>
  <c r="F2117" i="12"/>
  <c r="G2117" i="12" s="1"/>
  <c r="K2117" i="12"/>
  <c r="O2117" i="12"/>
  <c r="Q2117" i="12"/>
  <c r="E2118" i="12"/>
  <c r="I2118" i="12" s="1"/>
  <c r="F2118" i="12"/>
  <c r="G2118" i="12" s="1"/>
  <c r="K2118" i="12"/>
  <c r="O2118" i="12"/>
  <c r="Q2118" i="12"/>
  <c r="E2119" i="12"/>
  <c r="I2119" i="12" s="1"/>
  <c r="F2119" i="12"/>
  <c r="G2119" i="12" s="1"/>
  <c r="K2119" i="12"/>
  <c r="O2119" i="12"/>
  <c r="Q2119" i="12"/>
  <c r="E2120" i="12"/>
  <c r="I2120" i="12" s="1"/>
  <c r="F2120" i="12"/>
  <c r="G2120" i="12" s="1"/>
  <c r="K2120" i="12"/>
  <c r="O2120" i="12"/>
  <c r="Q2120" i="12"/>
  <c r="E2121" i="12"/>
  <c r="I2121" i="12" s="1"/>
  <c r="F2121" i="12"/>
  <c r="G2121" i="12" s="1"/>
  <c r="J2121" i="12" s="1"/>
  <c r="K2121" i="12"/>
  <c r="O2121" i="12"/>
  <c r="Q2121" i="12"/>
  <c r="E2122" i="12"/>
  <c r="I2122" i="12" s="1"/>
  <c r="F2122" i="12"/>
  <c r="G2122" i="12" s="1"/>
  <c r="K2122" i="12"/>
  <c r="O2122" i="12"/>
  <c r="Q2122" i="12"/>
  <c r="E2123" i="12"/>
  <c r="I2123" i="12" s="1"/>
  <c r="F2123" i="12"/>
  <c r="G2123" i="12" s="1"/>
  <c r="K2123" i="12"/>
  <c r="O2123" i="12"/>
  <c r="Q2123" i="12"/>
  <c r="E2124" i="12"/>
  <c r="I2124" i="12" s="1"/>
  <c r="F2124" i="12"/>
  <c r="G2124" i="12" s="1"/>
  <c r="K2124" i="12"/>
  <c r="O2124" i="12"/>
  <c r="Q2124" i="12"/>
  <c r="E2125" i="12"/>
  <c r="I2125" i="12" s="1"/>
  <c r="F2125" i="12"/>
  <c r="G2125" i="12" s="1"/>
  <c r="K2125" i="12"/>
  <c r="O2125" i="12"/>
  <c r="Q2125" i="12"/>
  <c r="E2126" i="12"/>
  <c r="I2126" i="12" s="1"/>
  <c r="F2126" i="12"/>
  <c r="G2126" i="12" s="1"/>
  <c r="K2126" i="12"/>
  <c r="O2126" i="12"/>
  <c r="Q2126" i="12"/>
  <c r="E2127" i="12"/>
  <c r="I2127" i="12" s="1"/>
  <c r="F2127" i="12"/>
  <c r="G2127" i="12" s="1"/>
  <c r="K2127" i="12"/>
  <c r="O2127" i="12"/>
  <c r="Q2127" i="12"/>
  <c r="E2128" i="12"/>
  <c r="I2128" i="12" s="1"/>
  <c r="F2128" i="12"/>
  <c r="G2128" i="12" s="1"/>
  <c r="K2128" i="12"/>
  <c r="O2128" i="12"/>
  <c r="E2129" i="12"/>
  <c r="I2129" i="12" s="1"/>
  <c r="F2129" i="12"/>
  <c r="G2129" i="12" s="1"/>
  <c r="K2129" i="12"/>
  <c r="O2129" i="12"/>
  <c r="Q2129" i="12"/>
  <c r="E2130" i="12"/>
  <c r="I2130" i="12" s="1"/>
  <c r="F2130" i="12"/>
  <c r="G2130" i="12" s="1"/>
  <c r="K2130" i="12"/>
  <c r="E2131" i="12"/>
  <c r="I2131" i="12" s="1"/>
  <c r="F2131" i="12"/>
  <c r="G2131" i="12" s="1"/>
  <c r="K2131" i="12"/>
  <c r="O2131" i="12"/>
  <c r="Q2131" i="12"/>
  <c r="E2132" i="12"/>
  <c r="I2132" i="12" s="1"/>
  <c r="F2132" i="12"/>
  <c r="G2132" i="12" s="1"/>
  <c r="K2132" i="12"/>
  <c r="O2132" i="12"/>
  <c r="Q2132" i="12"/>
  <c r="E2133" i="12"/>
  <c r="I2133" i="12" s="1"/>
  <c r="F2133" i="12"/>
  <c r="K2133" i="12"/>
  <c r="O2133" i="12"/>
  <c r="Q2133" i="12"/>
  <c r="E2134" i="12"/>
  <c r="I2134" i="12" s="1"/>
  <c r="F2134" i="12"/>
  <c r="G2134" i="12" s="1"/>
  <c r="K2134" i="12"/>
  <c r="O2134" i="12"/>
  <c r="Q2134" i="12"/>
  <c r="E2135" i="12"/>
  <c r="I2135" i="12" s="1"/>
  <c r="F2135" i="12"/>
  <c r="G2135" i="12" s="1"/>
  <c r="K2135" i="12"/>
  <c r="O2135" i="12"/>
  <c r="Q2135" i="12"/>
  <c r="E2136" i="12"/>
  <c r="I2136" i="12" s="1"/>
  <c r="F2136" i="12"/>
  <c r="G2136" i="12" s="1"/>
  <c r="K2136" i="12"/>
  <c r="O2136" i="12"/>
  <c r="Q2136" i="12"/>
  <c r="E2137" i="12"/>
  <c r="I2137" i="12" s="1"/>
  <c r="F2137" i="12"/>
  <c r="G2137" i="12" s="1"/>
  <c r="K2137" i="12"/>
  <c r="O2137" i="12"/>
  <c r="Q2137" i="12"/>
  <c r="C2040" i="12"/>
  <c r="C2041" i="12"/>
  <c r="C2042" i="12"/>
  <c r="C2043" i="12"/>
  <c r="C2044" i="12"/>
  <c r="C2045" i="12"/>
  <c r="C2046" i="12"/>
  <c r="C2047" i="12"/>
  <c r="C2048" i="12"/>
  <c r="C2049" i="12"/>
  <c r="C2050" i="12"/>
  <c r="C2051" i="12"/>
  <c r="C2052" i="12"/>
  <c r="C2053" i="12"/>
  <c r="C2054" i="12"/>
  <c r="C2055" i="12"/>
  <c r="C2056" i="12"/>
  <c r="C2057" i="12"/>
  <c r="C2058" i="12"/>
  <c r="C2059" i="12"/>
  <c r="C2060" i="12"/>
  <c r="C2061" i="12"/>
  <c r="C2062" i="12"/>
  <c r="C2064" i="12"/>
  <c r="C2065" i="12"/>
  <c r="C2066" i="12"/>
  <c r="C2067" i="12"/>
  <c r="C2068" i="12"/>
  <c r="C2069" i="12"/>
  <c r="C2070" i="12"/>
  <c r="C2071" i="12"/>
  <c r="C2072" i="12"/>
  <c r="C2073" i="12"/>
  <c r="C2074" i="12"/>
  <c r="C2075" i="12"/>
  <c r="C2076" i="12"/>
  <c r="C2077" i="12"/>
  <c r="C2078" i="12"/>
  <c r="C2079" i="12"/>
  <c r="C2080" i="12"/>
  <c r="C2081" i="12"/>
  <c r="C2082" i="12"/>
  <c r="C2063" i="12"/>
  <c r="C2083" i="12"/>
  <c r="C2084" i="12"/>
  <c r="C2085" i="12"/>
  <c r="C2086" i="12"/>
  <c r="C2087" i="12"/>
  <c r="C2088" i="12"/>
  <c r="C2089" i="12"/>
  <c r="C2090" i="12"/>
  <c r="C2091" i="12"/>
  <c r="C2092" i="12"/>
  <c r="C2093" i="12"/>
  <c r="C2094" i="12"/>
  <c r="C2095" i="12"/>
  <c r="C2096" i="12"/>
  <c r="C2097" i="12"/>
  <c r="C2098" i="12"/>
  <c r="C2099" i="12"/>
  <c r="C2100" i="12"/>
  <c r="C2101" i="12"/>
  <c r="C2102" i="12"/>
  <c r="C2103" i="12"/>
  <c r="C2104" i="12"/>
  <c r="C2105" i="12"/>
  <c r="C2106" i="12"/>
  <c r="C2107" i="12"/>
  <c r="C2108" i="12"/>
  <c r="C2109" i="12"/>
  <c r="C2110" i="12"/>
  <c r="C2111" i="12"/>
  <c r="C2112" i="12"/>
  <c r="C2113" i="12"/>
  <c r="C2114" i="12"/>
  <c r="C2115" i="12"/>
  <c r="C2116" i="12"/>
  <c r="C2117" i="12"/>
  <c r="C2118" i="12"/>
  <c r="C2119" i="12"/>
  <c r="C2120" i="12"/>
  <c r="C2121" i="12"/>
  <c r="C2122" i="12"/>
  <c r="C2123" i="12"/>
  <c r="C2124" i="12"/>
  <c r="C2125" i="12"/>
  <c r="C2126" i="12"/>
  <c r="C2127" i="12"/>
  <c r="C2128" i="12"/>
  <c r="C2129" i="12"/>
  <c r="C2130" i="12"/>
  <c r="C2131" i="12"/>
  <c r="C2132" i="12"/>
  <c r="C2133" i="12"/>
  <c r="C2134" i="12"/>
  <c r="C2135" i="12"/>
  <c r="C2136" i="12"/>
  <c r="C2137" i="12"/>
  <c r="L2053" i="12" l="1"/>
  <c r="G2133" i="12"/>
  <c r="J2133" i="12" s="1"/>
  <c r="G2090" i="12"/>
  <c r="J2090" i="12" s="1"/>
  <c r="L2090" i="12" s="1"/>
  <c r="G2071" i="12"/>
  <c r="J2071" i="12" s="1"/>
  <c r="L2071" i="12" s="1"/>
  <c r="J2103" i="12"/>
  <c r="L2103" i="12" s="1"/>
  <c r="J2125" i="12"/>
  <c r="L2125" i="12" s="1"/>
  <c r="J2117" i="12"/>
  <c r="L2117" i="12" s="1"/>
  <c r="J2080" i="12"/>
  <c r="L2080" i="12" s="1"/>
  <c r="L2055" i="12"/>
  <c r="J2110" i="12"/>
  <c r="L2110" i="12" s="1"/>
  <c r="J2112" i="12"/>
  <c r="L2112" i="12" s="1"/>
  <c r="J2089" i="12"/>
  <c r="L2089" i="12" s="1"/>
  <c r="J2083" i="12"/>
  <c r="L2083" i="12" s="1"/>
  <c r="L2075" i="12"/>
  <c r="J2075" i="12"/>
  <c r="J2044" i="12"/>
  <c r="L2044" i="12" s="1"/>
  <c r="J2077" i="12"/>
  <c r="L2077" i="12" s="1"/>
  <c r="J2066" i="12"/>
  <c r="L2066" i="12" s="1"/>
  <c r="J2094" i="12"/>
  <c r="L2094" i="12" s="1"/>
  <c r="J2085" i="12"/>
  <c r="L2085" i="12" s="1"/>
  <c r="J2082" i="12"/>
  <c r="L2082" i="12" s="1"/>
  <c r="J2070" i="12"/>
  <c r="L2070" i="12" s="1"/>
  <c r="J2129" i="12"/>
  <c r="L2129" i="12" s="1"/>
  <c r="J2061" i="12"/>
  <c r="L2061" i="12" s="1"/>
  <c r="J2057" i="12"/>
  <c r="L2057" i="12" s="1"/>
  <c r="J2105" i="12"/>
  <c r="L2105" i="12" s="1"/>
  <c r="L2100" i="12"/>
  <c r="L2079" i="12"/>
  <c r="L2121" i="12"/>
  <c r="L2068" i="12"/>
  <c r="J2135" i="12"/>
  <c r="L2135" i="12" s="1"/>
  <c r="J2131" i="12"/>
  <c r="L2131" i="12" s="1"/>
  <c r="J2126" i="12"/>
  <c r="L2126" i="12" s="1"/>
  <c r="J2123" i="12"/>
  <c r="L2123" i="12" s="1"/>
  <c r="J2118" i="12"/>
  <c r="L2118" i="12" s="1"/>
  <c r="J2114" i="12"/>
  <c r="L2114" i="12" s="1"/>
  <c r="J2136" i="12"/>
  <c r="L2136" i="12" s="1"/>
  <c r="J2130" i="12"/>
  <c r="L2130" i="12" s="1"/>
  <c r="J2134" i="12"/>
  <c r="L2134" i="12" s="1"/>
  <c r="J2127" i="12"/>
  <c r="L2127" i="12" s="1"/>
  <c r="J2122" i="12"/>
  <c r="L2122" i="12" s="1"/>
  <c r="J2119" i="12"/>
  <c r="L2119" i="12" s="1"/>
  <c r="J2113" i="12"/>
  <c r="L2113" i="12"/>
  <c r="J2128" i="12"/>
  <c r="L2128" i="12" s="1"/>
  <c r="J2124" i="12"/>
  <c r="L2124" i="12" s="1"/>
  <c r="J2120" i="12"/>
  <c r="L2120" i="12" s="1"/>
  <c r="J2116" i="12"/>
  <c r="L2116" i="12" s="1"/>
  <c r="J2111" i="12"/>
  <c r="L2111" i="12" s="1"/>
  <c r="J2108" i="12"/>
  <c r="L2108" i="12" s="1"/>
  <c r="L2107" i="12"/>
  <c r="J2098" i="12"/>
  <c r="L2098" i="12" s="1"/>
  <c r="J2092" i="12"/>
  <c r="L2092" i="12" s="1"/>
  <c r="J2087" i="12"/>
  <c r="L2087" i="12" s="1"/>
  <c r="J2078" i="12"/>
  <c r="L2078" i="12" s="1"/>
  <c r="J2059" i="12"/>
  <c r="L2059" i="12" s="1"/>
  <c r="J2042" i="12"/>
  <c r="L2042" i="12" s="1"/>
  <c r="J2040" i="12"/>
  <c r="L2040" i="12" s="1"/>
  <c r="J2137" i="12"/>
  <c r="L2137" i="12" s="1"/>
  <c r="J2132" i="12"/>
  <c r="L2132" i="12" s="1"/>
  <c r="J2115" i="12"/>
  <c r="L2115" i="12" s="1"/>
  <c r="J2109" i="12"/>
  <c r="L2109" i="12" s="1"/>
  <c r="J2102" i="12"/>
  <c r="L2102" i="12" s="1"/>
  <c r="L2101" i="12"/>
  <c r="J2062" i="12"/>
  <c r="L2062" i="12" s="1"/>
  <c r="J2104" i="12"/>
  <c r="L2104" i="12" s="1"/>
  <c r="J2099" i="12"/>
  <c r="L2099" i="12" s="1"/>
  <c r="J2096" i="12"/>
  <c r="L2096" i="12" s="1"/>
  <c r="J2091" i="12"/>
  <c r="L2091" i="12" s="1"/>
  <c r="J2072" i="12"/>
  <c r="L2072" i="12" s="1"/>
  <c r="J2049" i="12"/>
  <c r="L2049" i="12" s="1"/>
  <c r="L2106" i="12"/>
  <c r="J2097" i="12"/>
  <c r="L2097" i="12" s="1"/>
  <c r="J2093" i="12"/>
  <c r="L2093" i="12" s="1"/>
  <c r="J2088" i="12"/>
  <c r="L2088" i="12" s="1"/>
  <c r="J2084" i="12"/>
  <c r="L2084" i="12" s="1"/>
  <c r="J2081" i="12"/>
  <c r="L2081" i="12" s="1"/>
  <c r="J2076" i="12"/>
  <c r="L2076" i="12" s="1"/>
  <c r="J2069" i="12"/>
  <c r="L2069" i="12" s="1"/>
  <c r="J2067" i="12"/>
  <c r="L2067" i="12" s="1"/>
  <c r="J2056" i="12"/>
  <c r="L2056" i="12" s="1"/>
  <c r="L2047" i="12"/>
  <c r="J2041" i="12"/>
  <c r="L2041" i="12" s="1"/>
  <c r="J2060" i="12"/>
  <c r="L2060" i="12" s="1"/>
  <c r="J2054" i="12"/>
  <c r="L2054" i="12" s="1"/>
  <c r="J2050" i="12"/>
  <c r="L2050" i="12" s="1"/>
  <c r="J2043" i="12"/>
  <c r="L2043" i="12" s="1"/>
  <c r="J2095" i="12"/>
  <c r="L2095" i="12" s="1"/>
  <c r="J2086" i="12"/>
  <c r="L2086" i="12" s="1"/>
  <c r="J2063" i="12"/>
  <c r="L2063" i="12" s="1"/>
  <c r="J2074" i="12"/>
  <c r="L2074" i="12" s="1"/>
  <c r="L2073" i="12"/>
  <c r="L2065" i="12"/>
  <c r="J2065" i="12"/>
  <c r="L2064" i="12"/>
  <c r="J2058" i="12"/>
  <c r="L2058" i="12" s="1"/>
  <c r="J2052" i="12"/>
  <c r="L2052" i="12" s="1"/>
  <c r="L2051" i="12"/>
  <c r="J2048" i="12"/>
  <c r="L2048" i="12" s="1"/>
  <c r="J2046" i="12"/>
  <c r="L2046" i="12" s="1"/>
  <c r="L2045" i="12"/>
  <c r="L2133" i="12" l="1"/>
  <c r="P2024" i="12"/>
  <c r="H2024" i="12" l="1"/>
  <c r="H2021" i="12"/>
  <c r="P2012" i="12"/>
  <c r="P2016" i="12"/>
  <c r="H2016" i="12"/>
  <c r="H2012" i="12"/>
  <c r="P2008" i="12"/>
  <c r="H2008" i="12"/>
  <c r="P1970" i="12" l="1"/>
  <c r="P1971" i="12"/>
  <c r="H1971" i="12"/>
  <c r="H1970" i="12"/>
  <c r="P1962" i="12"/>
  <c r="H1962" i="12"/>
  <c r="H1959" i="12"/>
  <c r="C1958" i="12"/>
  <c r="E1958" i="12"/>
  <c r="I1958" i="12" s="1"/>
  <c r="F1958" i="12"/>
  <c r="G1958" i="12" s="1"/>
  <c r="J1958" i="12" s="1"/>
  <c r="K1958" i="12"/>
  <c r="O1958" i="12"/>
  <c r="Q1958" i="12"/>
  <c r="C1959" i="12"/>
  <c r="E1959" i="12"/>
  <c r="F1959" i="12"/>
  <c r="G1959" i="12" s="1"/>
  <c r="K1959" i="12"/>
  <c r="C1960" i="12"/>
  <c r="E1960" i="12"/>
  <c r="I1960" i="12" s="1"/>
  <c r="F1960" i="12"/>
  <c r="G1960" i="12" s="1"/>
  <c r="J1960" i="12" s="1"/>
  <c r="K1960" i="12"/>
  <c r="O1960" i="12"/>
  <c r="Q1960" i="12"/>
  <c r="C1961" i="12"/>
  <c r="E1961" i="12"/>
  <c r="I1961" i="12" s="1"/>
  <c r="F1961" i="12"/>
  <c r="G1961" i="12" s="1"/>
  <c r="K1961" i="12"/>
  <c r="O1961" i="12"/>
  <c r="Q1961" i="12"/>
  <c r="C1962" i="12"/>
  <c r="E1962" i="12"/>
  <c r="F1962" i="12"/>
  <c r="G1962" i="12" s="1"/>
  <c r="K1962" i="12"/>
  <c r="C1963" i="12"/>
  <c r="E1963" i="12"/>
  <c r="I1963" i="12" s="1"/>
  <c r="F1963" i="12"/>
  <c r="G1963" i="12" s="1"/>
  <c r="J1963" i="12" s="1"/>
  <c r="K1963" i="12"/>
  <c r="O1963" i="12"/>
  <c r="Q1963" i="12"/>
  <c r="C1964" i="12"/>
  <c r="E1964" i="12"/>
  <c r="I1964" i="12" s="1"/>
  <c r="F1964" i="12"/>
  <c r="G1964" i="12" s="1"/>
  <c r="K1964" i="12"/>
  <c r="O1964" i="12"/>
  <c r="Q1964" i="12"/>
  <c r="C1965" i="12"/>
  <c r="E1965" i="12"/>
  <c r="I1965" i="12" s="1"/>
  <c r="F1965" i="12"/>
  <c r="G1965" i="12" s="1"/>
  <c r="J1965" i="12" s="1"/>
  <c r="K1965" i="12"/>
  <c r="O1965" i="12"/>
  <c r="Q1965" i="12"/>
  <c r="C1966" i="12"/>
  <c r="E1966" i="12"/>
  <c r="I1966" i="12" s="1"/>
  <c r="F1966" i="12"/>
  <c r="G1966" i="12" s="1"/>
  <c r="K1966" i="12"/>
  <c r="O1966" i="12"/>
  <c r="Q1966" i="12"/>
  <c r="C1967" i="12"/>
  <c r="E1967" i="12"/>
  <c r="I1967" i="12" s="1"/>
  <c r="F1967" i="12"/>
  <c r="G1967" i="12" s="1"/>
  <c r="J1967" i="12" s="1"/>
  <c r="K1967" i="12"/>
  <c r="O1967" i="12"/>
  <c r="Q1967" i="12"/>
  <c r="C1968" i="12"/>
  <c r="E1968" i="12"/>
  <c r="I1968" i="12" s="1"/>
  <c r="F1968" i="12"/>
  <c r="G1968" i="12" s="1"/>
  <c r="J1968" i="12" s="1"/>
  <c r="K1968" i="12"/>
  <c r="O1968" i="12"/>
  <c r="Q1968" i="12"/>
  <c r="C1969" i="12"/>
  <c r="E1969" i="12"/>
  <c r="I1969" i="12" s="1"/>
  <c r="F1969" i="12"/>
  <c r="G1969" i="12" s="1"/>
  <c r="K1969" i="12"/>
  <c r="O1969" i="12"/>
  <c r="Q1969" i="12"/>
  <c r="C1970" i="12"/>
  <c r="E1970" i="12"/>
  <c r="F1970" i="12"/>
  <c r="G1970" i="12" s="1"/>
  <c r="K1970" i="12"/>
  <c r="C1971" i="12"/>
  <c r="E1971" i="12"/>
  <c r="F1971" i="12"/>
  <c r="K1971" i="12"/>
  <c r="C1972" i="12"/>
  <c r="E1972" i="12"/>
  <c r="I1972" i="12" s="1"/>
  <c r="F1972" i="12"/>
  <c r="G1972" i="12" s="1"/>
  <c r="K1972" i="12"/>
  <c r="O1972" i="12"/>
  <c r="Q1972" i="12"/>
  <c r="C1973" i="12"/>
  <c r="E1973" i="12"/>
  <c r="I1973" i="12" s="1"/>
  <c r="F1973" i="12"/>
  <c r="G1973" i="12" s="1"/>
  <c r="J1973" i="12" s="1"/>
  <c r="K1973" i="12"/>
  <c r="O1973" i="12"/>
  <c r="Q1973" i="12"/>
  <c r="C1974" i="12"/>
  <c r="E1974" i="12"/>
  <c r="I1974" i="12" s="1"/>
  <c r="F1974" i="12"/>
  <c r="G1974" i="12" s="1"/>
  <c r="K1974" i="12"/>
  <c r="O1974" i="12"/>
  <c r="Q1974" i="12"/>
  <c r="C1975" i="12"/>
  <c r="E1975" i="12"/>
  <c r="I1975" i="12" s="1"/>
  <c r="F1975" i="12"/>
  <c r="G1975" i="12" s="1"/>
  <c r="J1975" i="12" s="1"/>
  <c r="K1975" i="12"/>
  <c r="O1975" i="12"/>
  <c r="Q1975" i="12"/>
  <c r="C1976" i="12"/>
  <c r="E1976" i="12"/>
  <c r="I1976" i="12" s="1"/>
  <c r="F1976" i="12"/>
  <c r="G1976" i="12" s="1"/>
  <c r="K1976" i="12"/>
  <c r="O1976" i="12"/>
  <c r="Q1976" i="12"/>
  <c r="C1977" i="12"/>
  <c r="E1977" i="12"/>
  <c r="I1977" i="12" s="1"/>
  <c r="F1977" i="12"/>
  <c r="G1977" i="12" s="1"/>
  <c r="K1977" i="12"/>
  <c r="O1977" i="12"/>
  <c r="Q1977" i="12"/>
  <c r="C1978" i="12"/>
  <c r="E1978" i="12"/>
  <c r="I1978" i="12" s="1"/>
  <c r="F1978" i="12"/>
  <c r="G1978" i="12" s="1"/>
  <c r="K1978" i="12"/>
  <c r="O1978" i="12"/>
  <c r="Q1978" i="12"/>
  <c r="C1979" i="12"/>
  <c r="E1979" i="12"/>
  <c r="I1979" i="12" s="1"/>
  <c r="F1979" i="12"/>
  <c r="G1979" i="12" s="1"/>
  <c r="J1979" i="12" s="1"/>
  <c r="K1979" i="12"/>
  <c r="O1979" i="12"/>
  <c r="Q1979" i="12"/>
  <c r="E1980" i="12"/>
  <c r="I1980" i="12" s="1"/>
  <c r="F1980" i="12"/>
  <c r="G1980" i="12" s="1"/>
  <c r="K1980" i="12"/>
  <c r="O1980" i="12"/>
  <c r="Q1980" i="12"/>
  <c r="C1981" i="12"/>
  <c r="E1981" i="12"/>
  <c r="I1981" i="12" s="1"/>
  <c r="F1981" i="12"/>
  <c r="G1981" i="12" s="1"/>
  <c r="J1981" i="12" s="1"/>
  <c r="K1981" i="12"/>
  <c r="O1981" i="12"/>
  <c r="Q1981" i="12"/>
  <c r="C1982" i="12"/>
  <c r="E1982" i="12"/>
  <c r="I1982" i="12" s="1"/>
  <c r="F1982" i="12"/>
  <c r="G1982" i="12" s="1"/>
  <c r="K1982" i="12"/>
  <c r="O1982" i="12"/>
  <c r="Q1982" i="12"/>
  <c r="C1983" i="12"/>
  <c r="E1983" i="12"/>
  <c r="I1983" i="12" s="1"/>
  <c r="F1983" i="12"/>
  <c r="G1983" i="12" s="1"/>
  <c r="J1983" i="12" s="1"/>
  <c r="K1983" i="12"/>
  <c r="O1983" i="12"/>
  <c r="Q1983" i="12"/>
  <c r="C1984" i="12"/>
  <c r="E1984" i="12"/>
  <c r="I1984" i="12" s="1"/>
  <c r="F1984" i="12"/>
  <c r="G1984" i="12" s="1"/>
  <c r="K1984" i="12"/>
  <c r="O1984" i="12"/>
  <c r="Q1984" i="12"/>
  <c r="C1985" i="12"/>
  <c r="E1985" i="12"/>
  <c r="I1985" i="12" s="1"/>
  <c r="F1985" i="12"/>
  <c r="G1985" i="12" s="1"/>
  <c r="J1985" i="12" s="1"/>
  <c r="K1985" i="12"/>
  <c r="O1985" i="12"/>
  <c r="Q1985" i="12"/>
  <c r="Q1970" i="12" l="1"/>
  <c r="I1970" i="12"/>
  <c r="J1970" i="12"/>
  <c r="L1970" i="12" s="1"/>
  <c r="O1971" i="12"/>
  <c r="Q1962" i="12"/>
  <c r="J1962" i="12"/>
  <c r="L1962" i="12" s="1"/>
  <c r="I1962" i="12"/>
  <c r="Q1971" i="12"/>
  <c r="I1971" i="12"/>
  <c r="O1959" i="12"/>
  <c r="O1970" i="12"/>
  <c r="G1971" i="12"/>
  <c r="J1971" i="12" s="1"/>
  <c r="L1971" i="12" s="1"/>
  <c r="O1962" i="12"/>
  <c r="Q1959" i="12"/>
  <c r="I1959" i="12"/>
  <c r="J1977" i="12"/>
  <c r="L1977" i="12" s="1"/>
  <c r="J1972" i="12"/>
  <c r="L1972" i="12" s="1"/>
  <c r="L1981" i="12"/>
  <c r="L1973" i="12"/>
  <c r="L1968" i="12"/>
  <c r="L1965" i="12"/>
  <c r="L1960" i="12"/>
  <c r="L1979" i="12"/>
  <c r="L1963" i="12"/>
  <c r="L1958" i="12"/>
  <c r="L1983" i="12"/>
  <c r="L1975" i="12"/>
  <c r="L1967" i="12"/>
  <c r="J1978" i="12"/>
  <c r="L1978" i="12" s="1"/>
  <c r="J1980" i="12"/>
  <c r="L1980" i="12" s="1"/>
  <c r="J1964" i="12"/>
  <c r="L1964" i="12" s="1"/>
  <c r="J1959" i="12"/>
  <c r="L1959" i="12" s="1"/>
  <c r="J1982" i="12"/>
  <c r="L1982" i="12" s="1"/>
  <c r="L1974" i="12"/>
  <c r="J1974" i="12"/>
  <c r="J1969" i="12"/>
  <c r="L1969" i="12" s="1"/>
  <c r="J1966" i="12"/>
  <c r="L1966" i="12" s="1"/>
  <c r="J1961" i="12"/>
  <c r="L1961" i="12" s="1"/>
  <c r="J1984" i="12"/>
  <c r="L1984" i="12" s="1"/>
  <c r="J1976" i="12"/>
  <c r="L1976" i="12" s="1"/>
  <c r="L1985" i="12"/>
  <c r="P1950" i="12"/>
  <c r="P1953" i="12" l="1"/>
  <c r="H1953" i="12" l="1"/>
  <c r="H1950" i="12"/>
  <c r="P1946" i="12"/>
  <c r="H1946" i="12"/>
  <c r="P1944" i="12"/>
  <c r="H1944" i="12"/>
  <c r="P1941" i="12"/>
  <c r="H1941" i="12"/>
  <c r="Q2039" i="12"/>
  <c r="O2039" i="12"/>
  <c r="K2039" i="12"/>
  <c r="F2039" i="12"/>
  <c r="G2039" i="12" s="1"/>
  <c r="E2039" i="12"/>
  <c r="I2039" i="12" s="1"/>
  <c r="C2039" i="12"/>
  <c r="Q2038" i="12"/>
  <c r="O2038" i="12"/>
  <c r="K2038" i="12"/>
  <c r="F2038" i="12"/>
  <c r="G2038" i="12" s="1"/>
  <c r="E2038" i="12"/>
  <c r="I2038" i="12" s="1"/>
  <c r="C2038" i="12"/>
  <c r="Q2037" i="12"/>
  <c r="O2037" i="12"/>
  <c r="K2037" i="12"/>
  <c r="F2037" i="12"/>
  <c r="G2037" i="12" s="1"/>
  <c r="E2037" i="12"/>
  <c r="I2037" i="12" s="1"/>
  <c r="C2037" i="12"/>
  <c r="Q2036" i="12"/>
  <c r="O2036" i="12"/>
  <c r="K2036" i="12"/>
  <c r="F2036" i="12"/>
  <c r="G2036" i="12" s="1"/>
  <c r="E2036" i="12"/>
  <c r="I2036" i="12" s="1"/>
  <c r="C2036" i="12"/>
  <c r="Q2035" i="12"/>
  <c r="O2035" i="12"/>
  <c r="K2035" i="12"/>
  <c r="F2035" i="12"/>
  <c r="G2035" i="12" s="1"/>
  <c r="E2035" i="12"/>
  <c r="I2035" i="12" s="1"/>
  <c r="C2035" i="12"/>
  <c r="Q2034" i="12"/>
  <c r="O2034" i="12"/>
  <c r="K2034" i="12"/>
  <c r="F2034" i="12"/>
  <c r="G2034" i="12" s="1"/>
  <c r="E2034" i="12"/>
  <c r="I2034" i="12" s="1"/>
  <c r="C2034" i="12"/>
  <c r="Q2033" i="12"/>
  <c r="O2033" i="12"/>
  <c r="K2033" i="12"/>
  <c r="F2033" i="12"/>
  <c r="G2033" i="12" s="1"/>
  <c r="E2033" i="12"/>
  <c r="I2033" i="12" s="1"/>
  <c r="C2033" i="12"/>
  <c r="Q2032" i="12"/>
  <c r="O2032" i="12"/>
  <c r="K2032" i="12"/>
  <c r="F2032" i="12"/>
  <c r="G2032" i="12" s="1"/>
  <c r="E2032" i="12"/>
  <c r="I2032" i="12" s="1"/>
  <c r="C2032" i="12"/>
  <c r="Q2031" i="12"/>
  <c r="O2031" i="12"/>
  <c r="K2031" i="12"/>
  <c r="F2031" i="12"/>
  <c r="G2031" i="12" s="1"/>
  <c r="E2031" i="12"/>
  <c r="I2031" i="12" s="1"/>
  <c r="C2031" i="12"/>
  <c r="Q2030" i="12"/>
  <c r="O2030" i="12"/>
  <c r="K2030" i="12"/>
  <c r="F2030" i="12"/>
  <c r="G2030" i="12" s="1"/>
  <c r="E2030" i="12"/>
  <c r="I2030" i="12" s="1"/>
  <c r="C2030" i="12"/>
  <c r="Q2029" i="12"/>
  <c r="O2029" i="12"/>
  <c r="K2029" i="12"/>
  <c r="F2029" i="12"/>
  <c r="G2029" i="12" s="1"/>
  <c r="E2029" i="12"/>
  <c r="I2029" i="12" s="1"/>
  <c r="C2029" i="12"/>
  <c r="Q2028" i="12"/>
  <c r="O2028" i="12"/>
  <c r="K2028" i="12"/>
  <c r="F2028" i="12"/>
  <c r="G2028" i="12" s="1"/>
  <c r="E2028" i="12"/>
  <c r="I2028" i="12" s="1"/>
  <c r="C2028" i="12"/>
  <c r="K2027" i="12"/>
  <c r="F2027" i="12"/>
  <c r="G2027" i="12" s="1"/>
  <c r="E2027" i="12"/>
  <c r="I2027" i="12" s="1"/>
  <c r="C2027" i="12"/>
  <c r="Q2026" i="12"/>
  <c r="O2026" i="12"/>
  <c r="K2026" i="12"/>
  <c r="F2026" i="12"/>
  <c r="G2026" i="12" s="1"/>
  <c r="E2026" i="12"/>
  <c r="I2026" i="12" s="1"/>
  <c r="C2026" i="12"/>
  <c r="C1986" i="12"/>
  <c r="C1987" i="12"/>
  <c r="C1988" i="12"/>
  <c r="C1989" i="12"/>
  <c r="C1990" i="12"/>
  <c r="C1991" i="12"/>
  <c r="C1992" i="12"/>
  <c r="C1993" i="12"/>
  <c r="C1994" i="12"/>
  <c r="C1995" i="12"/>
  <c r="C1996" i="12"/>
  <c r="C1997" i="12"/>
  <c r="C1998" i="12"/>
  <c r="C1999" i="12"/>
  <c r="C2000" i="12"/>
  <c r="C2001" i="12"/>
  <c r="C2002" i="12"/>
  <c r="C2003" i="12"/>
  <c r="C2004" i="12"/>
  <c r="C2005" i="12"/>
  <c r="C2006" i="12"/>
  <c r="C2007" i="12"/>
  <c r="C2008" i="12"/>
  <c r="C2009" i="12"/>
  <c r="C2010" i="12"/>
  <c r="C2011" i="12"/>
  <c r="C2012" i="12"/>
  <c r="C2013" i="12"/>
  <c r="C2014" i="12"/>
  <c r="C2015" i="12"/>
  <c r="C2016" i="12"/>
  <c r="C2017" i="12"/>
  <c r="C2018" i="12"/>
  <c r="C2019" i="12"/>
  <c r="C2020" i="12"/>
  <c r="C2021" i="12"/>
  <c r="C2022" i="12"/>
  <c r="C2023" i="12"/>
  <c r="C2024" i="12"/>
  <c r="C2025" i="12"/>
  <c r="E1954" i="12"/>
  <c r="I1954" i="12" s="1"/>
  <c r="F1954" i="12"/>
  <c r="G1954" i="12" s="1"/>
  <c r="J1954" i="12" s="1"/>
  <c r="K1954" i="12"/>
  <c r="O1954" i="12"/>
  <c r="Q1954" i="12"/>
  <c r="E1955" i="12"/>
  <c r="I1955" i="12" s="1"/>
  <c r="F1955" i="12"/>
  <c r="G1955" i="12" s="1"/>
  <c r="J1955" i="12" s="1"/>
  <c r="K1955" i="12"/>
  <c r="O1955" i="12"/>
  <c r="Q1955" i="12"/>
  <c r="E1956" i="12"/>
  <c r="I1956" i="12" s="1"/>
  <c r="F1956" i="12"/>
  <c r="G1956" i="12" s="1"/>
  <c r="J1956" i="12" s="1"/>
  <c r="K1956" i="12"/>
  <c r="O1956" i="12"/>
  <c r="Q1956" i="12"/>
  <c r="E1957" i="12"/>
  <c r="I1957" i="12" s="1"/>
  <c r="F1957" i="12"/>
  <c r="G1957" i="12" s="1"/>
  <c r="J1957" i="12" s="1"/>
  <c r="K1957" i="12"/>
  <c r="O1957" i="12"/>
  <c r="Q1957" i="12"/>
  <c r="E1986" i="12"/>
  <c r="I1986" i="12" s="1"/>
  <c r="F1986" i="12"/>
  <c r="G1986" i="12" s="1"/>
  <c r="J1986" i="12" s="1"/>
  <c r="K1986" i="12"/>
  <c r="O1986" i="12"/>
  <c r="Q1986" i="12"/>
  <c r="E1987" i="12"/>
  <c r="I1987" i="12" s="1"/>
  <c r="F1987" i="12"/>
  <c r="G1987" i="12" s="1"/>
  <c r="K1987" i="12"/>
  <c r="O1987" i="12"/>
  <c r="Q1987" i="12"/>
  <c r="E1988" i="12"/>
  <c r="I1988" i="12" s="1"/>
  <c r="F1988" i="12"/>
  <c r="G1988" i="12" s="1"/>
  <c r="K1988" i="12"/>
  <c r="O1988" i="12"/>
  <c r="Q1988" i="12"/>
  <c r="E1989" i="12"/>
  <c r="I1989" i="12" s="1"/>
  <c r="F1989" i="12"/>
  <c r="G1989" i="12" s="1"/>
  <c r="K1989" i="12"/>
  <c r="O1989" i="12"/>
  <c r="Q1989" i="12"/>
  <c r="E1990" i="12"/>
  <c r="I1990" i="12" s="1"/>
  <c r="F1990" i="12"/>
  <c r="G1990" i="12" s="1"/>
  <c r="J1990" i="12" s="1"/>
  <c r="K1990" i="12"/>
  <c r="O1990" i="12"/>
  <c r="Q1990" i="12"/>
  <c r="E1991" i="12"/>
  <c r="I1991" i="12" s="1"/>
  <c r="F1991" i="12"/>
  <c r="K1991" i="12"/>
  <c r="O1991" i="12"/>
  <c r="Q1991" i="12"/>
  <c r="E1992" i="12"/>
  <c r="I1992" i="12" s="1"/>
  <c r="F1992" i="12"/>
  <c r="G1992" i="12" s="1"/>
  <c r="J1992" i="12" s="1"/>
  <c r="K1992" i="12"/>
  <c r="O1992" i="12"/>
  <c r="Q1992" i="12"/>
  <c r="E1993" i="12"/>
  <c r="I1993" i="12" s="1"/>
  <c r="F1993" i="12"/>
  <c r="G1993" i="12" s="1"/>
  <c r="K1993" i="12"/>
  <c r="O1993" i="12"/>
  <c r="Q1993" i="12"/>
  <c r="E1994" i="12"/>
  <c r="I1994" i="12" s="1"/>
  <c r="F1994" i="12"/>
  <c r="G1994" i="12" s="1"/>
  <c r="K1994" i="12"/>
  <c r="O1994" i="12"/>
  <c r="Q1994" i="12"/>
  <c r="E1995" i="12"/>
  <c r="I1995" i="12" s="1"/>
  <c r="F1995" i="12"/>
  <c r="G1995" i="12" s="1"/>
  <c r="K1995" i="12"/>
  <c r="O1995" i="12"/>
  <c r="Q1995" i="12"/>
  <c r="E1996" i="12"/>
  <c r="I1996" i="12" s="1"/>
  <c r="F1996" i="12"/>
  <c r="G1996" i="12" s="1"/>
  <c r="J1996" i="12" s="1"/>
  <c r="K1996" i="12"/>
  <c r="O1996" i="12"/>
  <c r="Q1996" i="12"/>
  <c r="E1997" i="12"/>
  <c r="I1997" i="12" s="1"/>
  <c r="F1997" i="12"/>
  <c r="G1997" i="12" s="1"/>
  <c r="J1997" i="12" s="1"/>
  <c r="K1997" i="12"/>
  <c r="O1997" i="12"/>
  <c r="Q1997" i="12"/>
  <c r="E1998" i="12"/>
  <c r="I1998" i="12" s="1"/>
  <c r="F1998" i="12"/>
  <c r="G1998" i="12" s="1"/>
  <c r="J1998" i="12" s="1"/>
  <c r="K1998" i="12"/>
  <c r="O1998" i="12"/>
  <c r="Q1998" i="12"/>
  <c r="E1999" i="12"/>
  <c r="I1999" i="12" s="1"/>
  <c r="F1999" i="12"/>
  <c r="G1999" i="12" s="1"/>
  <c r="K1999" i="12"/>
  <c r="O1999" i="12"/>
  <c r="Q1999" i="12"/>
  <c r="E2000" i="12"/>
  <c r="I2000" i="12" s="1"/>
  <c r="F2000" i="12"/>
  <c r="G2000" i="12" s="1"/>
  <c r="K2000" i="12"/>
  <c r="O2000" i="12"/>
  <c r="Q2000" i="12"/>
  <c r="E2001" i="12"/>
  <c r="I2001" i="12" s="1"/>
  <c r="F2001" i="12"/>
  <c r="G2001" i="12" s="1"/>
  <c r="J2001" i="12" s="1"/>
  <c r="K2001" i="12"/>
  <c r="O2001" i="12"/>
  <c r="Q2001" i="12"/>
  <c r="E2002" i="12"/>
  <c r="I2002" i="12" s="1"/>
  <c r="F2002" i="12"/>
  <c r="G2002" i="12" s="1"/>
  <c r="J2002" i="12" s="1"/>
  <c r="K2002" i="12"/>
  <c r="O2002" i="12"/>
  <c r="Q2002" i="12"/>
  <c r="E2003" i="12"/>
  <c r="I2003" i="12" s="1"/>
  <c r="F2003" i="12"/>
  <c r="G2003" i="12" s="1"/>
  <c r="K2003" i="12"/>
  <c r="O2003" i="12"/>
  <c r="Q2003" i="12"/>
  <c r="E2004" i="12"/>
  <c r="I2004" i="12" s="1"/>
  <c r="F2004" i="12"/>
  <c r="G2004" i="12" s="1"/>
  <c r="K2004" i="12"/>
  <c r="O2004" i="12"/>
  <c r="Q2004" i="12"/>
  <c r="E2005" i="12"/>
  <c r="I2005" i="12" s="1"/>
  <c r="F2005" i="12"/>
  <c r="G2005" i="12" s="1"/>
  <c r="K2005" i="12"/>
  <c r="O2005" i="12"/>
  <c r="Q2005" i="12"/>
  <c r="E2006" i="12"/>
  <c r="I2006" i="12" s="1"/>
  <c r="F2006" i="12"/>
  <c r="G2006" i="12" s="1"/>
  <c r="K2006" i="12"/>
  <c r="O2006" i="12"/>
  <c r="Q2006" i="12"/>
  <c r="E2007" i="12"/>
  <c r="I2007" i="12" s="1"/>
  <c r="F2007" i="12"/>
  <c r="G2007" i="12" s="1"/>
  <c r="K2007" i="12"/>
  <c r="O2007" i="12"/>
  <c r="Q2007" i="12"/>
  <c r="E2008" i="12"/>
  <c r="I2008" i="12" s="1"/>
  <c r="F2008" i="12"/>
  <c r="G2008" i="12" s="1"/>
  <c r="J2008" i="12" s="1"/>
  <c r="K2008" i="12"/>
  <c r="O2008" i="12"/>
  <c r="Q2008" i="12"/>
  <c r="E2009" i="12"/>
  <c r="I2009" i="12" s="1"/>
  <c r="F2009" i="12"/>
  <c r="G2009" i="12" s="1"/>
  <c r="K2009" i="12"/>
  <c r="O2009" i="12"/>
  <c r="Q2009" i="12"/>
  <c r="E2010" i="12"/>
  <c r="I2010" i="12" s="1"/>
  <c r="F2010" i="12"/>
  <c r="G2010" i="12" s="1"/>
  <c r="K2010" i="12"/>
  <c r="O2010" i="12"/>
  <c r="Q2010" i="12"/>
  <c r="E2011" i="12"/>
  <c r="I2011" i="12" s="1"/>
  <c r="F2011" i="12"/>
  <c r="G2011" i="12" s="1"/>
  <c r="J2011" i="12" s="1"/>
  <c r="K2011" i="12"/>
  <c r="O2011" i="12"/>
  <c r="Q2011" i="12"/>
  <c r="E2012" i="12"/>
  <c r="I2012" i="12" s="1"/>
  <c r="F2012" i="12"/>
  <c r="G2012" i="12" s="1"/>
  <c r="J2012" i="12" s="1"/>
  <c r="K2012" i="12"/>
  <c r="O2012" i="12"/>
  <c r="Q2012" i="12"/>
  <c r="E2013" i="12"/>
  <c r="I2013" i="12" s="1"/>
  <c r="F2013" i="12"/>
  <c r="G2013" i="12" s="1"/>
  <c r="J2013" i="12" s="1"/>
  <c r="K2013" i="12"/>
  <c r="O2013" i="12"/>
  <c r="Q2013" i="12"/>
  <c r="E2014" i="12"/>
  <c r="I2014" i="12" s="1"/>
  <c r="F2014" i="12"/>
  <c r="G2014" i="12" s="1"/>
  <c r="K2014" i="12"/>
  <c r="O2014" i="12"/>
  <c r="Q2014" i="12"/>
  <c r="E2015" i="12"/>
  <c r="I2015" i="12" s="1"/>
  <c r="F2015" i="12"/>
  <c r="G2015" i="12" s="1"/>
  <c r="J2015" i="12" s="1"/>
  <c r="K2015" i="12"/>
  <c r="O2015" i="12"/>
  <c r="Q2015" i="12"/>
  <c r="E2016" i="12"/>
  <c r="I2016" i="12" s="1"/>
  <c r="F2016" i="12"/>
  <c r="G2016" i="12" s="1"/>
  <c r="K2016" i="12"/>
  <c r="O2016" i="12"/>
  <c r="Q2016" i="12"/>
  <c r="E2017" i="12"/>
  <c r="I2017" i="12" s="1"/>
  <c r="F2017" i="12"/>
  <c r="G2017" i="12" s="1"/>
  <c r="K2017" i="12"/>
  <c r="O2017" i="12"/>
  <c r="Q2017" i="12"/>
  <c r="E2018" i="12"/>
  <c r="I2018" i="12" s="1"/>
  <c r="F2018" i="12"/>
  <c r="G2018" i="12" s="1"/>
  <c r="K2018" i="12"/>
  <c r="O2018" i="12"/>
  <c r="Q2018" i="12"/>
  <c r="E2019" i="12"/>
  <c r="I2019" i="12" s="1"/>
  <c r="F2019" i="12"/>
  <c r="G2019" i="12" s="1"/>
  <c r="K2019" i="12"/>
  <c r="O2019" i="12"/>
  <c r="Q2019" i="12"/>
  <c r="E2020" i="12"/>
  <c r="I2020" i="12" s="1"/>
  <c r="F2020" i="12"/>
  <c r="G2020" i="12" s="1"/>
  <c r="J2020" i="12" s="1"/>
  <c r="K2020" i="12"/>
  <c r="O2020" i="12"/>
  <c r="Q2020" i="12"/>
  <c r="E2021" i="12"/>
  <c r="I2021" i="12" s="1"/>
  <c r="F2021" i="12"/>
  <c r="K2021" i="12"/>
  <c r="O2021" i="12"/>
  <c r="Q2021" i="12"/>
  <c r="E2022" i="12"/>
  <c r="I2022" i="12" s="1"/>
  <c r="F2022" i="12"/>
  <c r="G2022" i="12" s="1"/>
  <c r="K2022" i="12"/>
  <c r="O2022" i="12"/>
  <c r="Q2022" i="12"/>
  <c r="E2023" i="12"/>
  <c r="I2023" i="12" s="1"/>
  <c r="F2023" i="12"/>
  <c r="G2023" i="12" s="1"/>
  <c r="J2023" i="12" s="1"/>
  <c r="K2023" i="12"/>
  <c r="O2023" i="12"/>
  <c r="Q2023" i="12"/>
  <c r="E2024" i="12"/>
  <c r="I2024" i="12" s="1"/>
  <c r="F2024" i="12"/>
  <c r="G2024" i="12" s="1"/>
  <c r="K2024" i="12"/>
  <c r="O2024" i="12"/>
  <c r="Q2024" i="12"/>
  <c r="E2025" i="12"/>
  <c r="I2025" i="12" s="1"/>
  <c r="F2025" i="12"/>
  <c r="G2025" i="12" s="1"/>
  <c r="K2025" i="12"/>
  <c r="O2025" i="12"/>
  <c r="Q2025" i="12"/>
  <c r="C1954" i="12"/>
  <c r="C1955" i="12"/>
  <c r="C1956" i="12"/>
  <c r="C1957" i="12"/>
  <c r="G2021" i="12" l="1"/>
  <c r="J2021" i="12" s="1"/>
  <c r="L2021" i="12" s="1"/>
  <c r="G1991" i="12"/>
  <c r="J1991" i="12" s="1"/>
  <c r="L1991" i="12" s="1"/>
  <c r="J2004" i="12"/>
  <c r="L2004" i="12" s="1"/>
  <c r="L1954" i="12"/>
  <c r="J2025" i="12"/>
  <c r="L2025" i="12" s="1"/>
  <c r="L2011" i="12"/>
  <c r="J2018" i="12"/>
  <c r="L2018" i="12" s="1"/>
  <c r="L2023" i="12"/>
  <c r="L2015" i="12"/>
  <c r="J2009" i="12"/>
  <c r="L2009" i="12" s="1"/>
  <c r="L2008" i="12"/>
  <c r="L1992" i="12"/>
  <c r="J1989" i="12"/>
  <c r="L1989" i="12" s="1"/>
  <c r="L1986" i="12"/>
  <c r="L2020" i="12"/>
  <c r="J2010" i="12"/>
  <c r="L2010" i="12" s="1"/>
  <c r="J2003" i="12"/>
  <c r="L2003" i="12" s="1"/>
  <c r="L1998" i="12"/>
  <c r="J2026" i="12"/>
  <c r="L2026" i="12" s="1"/>
  <c r="J2032" i="12"/>
  <c r="L2032" i="12" s="1"/>
  <c r="J2036" i="12"/>
  <c r="L2036" i="12" s="1"/>
  <c r="J2031" i="12"/>
  <c r="L2031" i="12" s="1"/>
  <c r="J2035" i="12"/>
  <c r="L2035" i="12" s="1"/>
  <c r="J2039" i="12"/>
  <c r="L2039" i="12" s="1"/>
  <c r="J2028" i="12"/>
  <c r="L2028" i="12" s="1"/>
  <c r="J2030" i="12"/>
  <c r="L2030" i="12" s="1"/>
  <c r="J2034" i="12"/>
  <c r="L2034" i="12" s="1"/>
  <c r="J2038" i="12"/>
  <c r="L2038" i="12" s="1"/>
  <c r="J2027" i="12"/>
  <c r="L2027" i="12" s="1"/>
  <c r="J2029" i="12"/>
  <c r="L2029" i="12" s="1"/>
  <c r="J2033" i="12"/>
  <c r="L2033" i="12" s="1"/>
  <c r="J2037" i="12"/>
  <c r="L2037" i="12" s="1"/>
  <c r="J2022" i="12"/>
  <c r="L2022" i="12" s="1"/>
  <c r="J2019" i="12"/>
  <c r="L2019" i="12" s="1"/>
  <c r="J2014" i="12"/>
  <c r="L2014" i="12" s="1"/>
  <c r="J1999" i="12"/>
  <c r="L1999" i="12" s="1"/>
  <c r="J2017" i="12"/>
  <c r="L2017" i="12" s="1"/>
  <c r="J2024" i="12"/>
  <c r="L2024" i="12" s="1"/>
  <c r="J2016" i="12"/>
  <c r="L2016" i="12" s="1"/>
  <c r="J1993" i="12"/>
  <c r="L1993" i="12" s="1"/>
  <c r="J1987" i="12"/>
  <c r="L1987" i="12" s="1"/>
  <c r="L2013" i="12"/>
  <c r="L2012" i="12"/>
  <c r="J2007" i="12"/>
  <c r="L2007" i="12" s="1"/>
  <c r="J2005" i="12"/>
  <c r="L2005" i="12" s="1"/>
  <c r="L1997" i="12"/>
  <c r="L1996" i="12"/>
  <c r="J1994" i="12"/>
  <c r="L1994" i="12" s="1"/>
  <c r="L1957" i="12"/>
  <c r="J2006" i="12"/>
  <c r="L2006" i="12" s="1"/>
  <c r="J1995" i="12"/>
  <c r="L1995" i="12" s="1"/>
  <c r="L2002" i="12"/>
  <c r="L2001" i="12"/>
  <c r="J2000" i="12"/>
  <c r="L2000" i="12" s="1"/>
  <c r="L1990" i="12"/>
  <c r="J1988" i="12"/>
  <c r="L1988" i="12" s="1"/>
  <c r="L1956" i="12"/>
  <c r="L1955" i="12"/>
  <c r="H1929" i="12"/>
  <c r="P1928" i="12"/>
  <c r="H1928" i="12"/>
  <c r="P1917" i="12"/>
  <c r="H1917" i="12"/>
  <c r="H1913" i="12"/>
  <c r="P1913" i="12"/>
  <c r="M2096" i="12" l="1"/>
  <c r="M2099" i="12"/>
  <c r="M2100" i="12"/>
  <c r="M2102" i="12"/>
  <c r="M2104" i="12"/>
  <c r="M2132" i="12"/>
  <c r="M2134" i="12"/>
  <c r="M2138" i="12"/>
  <c r="M2139" i="12"/>
  <c r="M2140" i="12"/>
  <c r="M2146" i="12"/>
  <c r="M2147" i="12"/>
  <c r="M2164" i="12"/>
  <c r="M2170" i="12"/>
  <c r="M2171" i="12"/>
  <c r="M2172" i="12"/>
  <c r="M2178" i="12"/>
  <c r="M2179" i="12"/>
  <c r="M2180" i="12"/>
  <c r="M2182" i="12"/>
  <c r="M2023" i="12"/>
  <c r="M1987" i="12"/>
  <c r="M1988" i="12"/>
  <c r="M1991" i="12"/>
  <c r="M1994" i="12"/>
  <c r="M1996" i="12"/>
  <c r="M2027" i="12"/>
  <c r="M2037" i="12"/>
  <c r="M2082" i="12"/>
  <c r="M1998" i="12"/>
  <c r="M1999" i="12"/>
  <c r="M2001" i="12"/>
  <c r="M2003" i="12"/>
  <c r="M2004" i="12"/>
  <c r="M2006" i="12"/>
  <c r="M2011" i="12"/>
  <c r="M2012" i="12"/>
  <c r="M2018" i="12"/>
  <c r="M2019" i="12"/>
  <c r="M2022" i="12"/>
  <c r="M2092" i="12"/>
  <c r="M2120" i="12"/>
  <c r="M2128" i="12"/>
  <c r="M2043" i="12"/>
  <c r="M2044" i="12"/>
  <c r="M2045" i="12"/>
  <c r="M2047" i="12"/>
  <c r="M2048" i="12"/>
  <c r="M2049" i="12"/>
  <c r="M2051" i="12"/>
  <c r="M2052" i="12"/>
  <c r="M2053" i="12"/>
  <c r="M2059" i="12"/>
  <c r="M2060" i="12"/>
  <c r="M2061" i="12"/>
  <c r="M2064" i="12"/>
  <c r="M2065" i="12"/>
  <c r="M2066" i="12"/>
  <c r="M2068" i="12"/>
  <c r="M2069" i="12"/>
  <c r="M2070" i="12"/>
  <c r="M2072" i="12"/>
  <c r="M2078" i="12"/>
  <c r="M2080" i="12"/>
  <c r="M2152" i="12"/>
  <c r="M2160" i="12"/>
  <c r="M2000" i="12"/>
  <c r="M2002" i="12"/>
  <c r="M1995" i="12"/>
  <c r="M1993" i="12"/>
  <c r="M1992" i="12"/>
  <c r="M1974" i="12"/>
  <c r="M1976" i="12"/>
  <c r="M1982" i="12"/>
  <c r="M1984" i="12"/>
  <c r="M2041" i="12"/>
  <c r="M2094" i="12"/>
  <c r="M2136" i="12"/>
  <c r="M2168" i="12"/>
  <c r="M2008" i="12"/>
  <c r="M2057" i="12"/>
  <c r="M2108" i="12"/>
  <c r="M2112" i="12"/>
  <c r="M2115" i="12"/>
  <c r="M2122" i="12"/>
  <c r="M2123" i="12"/>
  <c r="M2144" i="12"/>
  <c r="M2148" i="12"/>
  <c r="M2154" i="12"/>
  <c r="M2155" i="12"/>
  <c r="M2176" i="12"/>
  <c r="M1937" i="12"/>
  <c r="M1938" i="12"/>
  <c r="M1955" i="12"/>
  <c r="M1956" i="12"/>
  <c r="M1959" i="12"/>
  <c r="M1960" i="12"/>
  <c r="M1961" i="12"/>
  <c r="M1962" i="12"/>
  <c r="M1963" i="12"/>
  <c r="M1964" i="12"/>
  <c r="M1967" i="12"/>
  <c r="M1968" i="12"/>
  <c r="M1969" i="12"/>
  <c r="M1970" i="12"/>
  <c r="M1971" i="12"/>
  <c r="M1972" i="12"/>
  <c r="M2029" i="12"/>
  <c r="M2031" i="12"/>
  <c r="M2032" i="12"/>
  <c r="M2033" i="12"/>
  <c r="M2035" i="12"/>
  <c r="M2036" i="12"/>
  <c r="M2076" i="12"/>
  <c r="M2084" i="12"/>
  <c r="M2086" i="12"/>
  <c r="M2088" i="12"/>
  <c r="M2090" i="12"/>
  <c r="M2091" i="12"/>
  <c r="M2124" i="12"/>
  <c r="M2126" i="12"/>
  <c r="M2127" i="12"/>
  <c r="M2130" i="12"/>
  <c r="M2131" i="12"/>
  <c r="M2156" i="12"/>
  <c r="M2162" i="12"/>
  <c r="M2163" i="12"/>
  <c r="M2015" i="12"/>
  <c r="M2017" i="12"/>
  <c r="M1958" i="12"/>
  <c r="M2135" i="12"/>
  <c r="M2142" i="12"/>
  <c r="M2143" i="12"/>
  <c r="M2150" i="12"/>
  <c r="M2151" i="12"/>
  <c r="M2158" i="12"/>
  <c r="M2159" i="12"/>
  <c r="M2166" i="12"/>
  <c r="M2167" i="12"/>
  <c r="M2174" i="12"/>
  <c r="M2175" i="12"/>
  <c r="M1936" i="12"/>
  <c r="M1990" i="12"/>
  <c r="M2098" i="12"/>
  <c r="M1966" i="12"/>
  <c r="M1977" i="12"/>
  <c r="M1978" i="12"/>
  <c r="M1979" i="12"/>
  <c r="M1980" i="12"/>
  <c r="M1983" i="12"/>
  <c r="M2025" i="12"/>
  <c r="M2026" i="12"/>
  <c r="M2039" i="12"/>
  <c r="M2040" i="12"/>
  <c r="M2055" i="12"/>
  <c r="M2056" i="12"/>
  <c r="M2074" i="12"/>
  <c r="M2075" i="12"/>
  <c r="M2106" i="12"/>
  <c r="M2107" i="12"/>
  <c r="M2114" i="12"/>
  <c r="M2116" i="12"/>
  <c r="M2118" i="12"/>
  <c r="M1941" i="12"/>
  <c r="M1942" i="12"/>
  <c r="M1948" i="12"/>
  <c r="M1950" i="12"/>
  <c r="M1951" i="12"/>
  <c r="M1952" i="12"/>
  <c r="M1953" i="12"/>
  <c r="M1954" i="12"/>
  <c r="M1975" i="12"/>
  <c r="M1985" i="12"/>
  <c r="M1986" i="12"/>
  <c r="M2009" i="12"/>
  <c r="M2010" i="12"/>
  <c r="M2021" i="12"/>
  <c r="M1924" i="12"/>
  <c r="M1925" i="12"/>
  <c r="M1933" i="12"/>
  <c r="M1934" i="12"/>
  <c r="M1935" i="12"/>
  <c r="M1957" i="12"/>
  <c r="M1965" i="12"/>
  <c r="M1973" i="12"/>
  <c r="M1981" i="12"/>
  <c r="M1989" i="12"/>
  <c r="M1997" i="12"/>
  <c r="M2005" i="12"/>
  <c r="M2013" i="12"/>
  <c r="M2014" i="12"/>
  <c r="M2071" i="12"/>
  <c r="M2087" i="12"/>
  <c r="M2103" i="12"/>
  <c r="M2119" i="12"/>
  <c r="M2007" i="12"/>
  <c r="M2020" i="12"/>
  <c r="M2024" i="12"/>
  <c r="M2028" i="12"/>
  <c r="M2030" i="12"/>
  <c r="M2034" i="12"/>
  <c r="M2038" i="12"/>
  <c r="M2042" i="12"/>
  <c r="M2046" i="12"/>
  <c r="M2050" i="12"/>
  <c r="M2054" i="12"/>
  <c r="M2058" i="12"/>
  <c r="M2062" i="12"/>
  <c r="M2067" i="12"/>
  <c r="M2083" i="12"/>
  <c r="M2079" i="12"/>
  <c r="M2095" i="12"/>
  <c r="M2111" i="12"/>
  <c r="M2073" i="12"/>
  <c r="M2077" i="12"/>
  <c r="M2081" i="12"/>
  <c r="M2085" i="12"/>
  <c r="M2089" i="12"/>
  <c r="M2093" i="12"/>
  <c r="M2097" i="12"/>
  <c r="M2101" i="12"/>
  <c r="M2105" i="12"/>
  <c r="M2109" i="12"/>
  <c r="M2113" i="12"/>
  <c r="M2117" i="12"/>
  <c r="M2121" i="12"/>
  <c r="M2125" i="12"/>
  <c r="M2129" i="12"/>
  <c r="M2133" i="12"/>
  <c r="M2137" i="12"/>
  <c r="M2141" i="12"/>
  <c r="M2145" i="12"/>
  <c r="M2149" i="12"/>
  <c r="M2153" i="12"/>
  <c r="M2157" i="12"/>
  <c r="M2161" i="12"/>
  <c r="M2165" i="12"/>
  <c r="M2169" i="12"/>
  <c r="M2173" i="12"/>
  <c r="M2177" i="12"/>
  <c r="M2181" i="12"/>
  <c r="M1949" i="12"/>
  <c r="M1947" i="12"/>
  <c r="M1946" i="12"/>
  <c r="M1945" i="12"/>
  <c r="M1944" i="12"/>
  <c r="M1943" i="12"/>
  <c r="M1940" i="12"/>
  <c r="M1939" i="12"/>
  <c r="M1932" i="12"/>
  <c r="M1931" i="12"/>
  <c r="M1930" i="12"/>
  <c r="M1929" i="12"/>
  <c r="M1928" i="12"/>
  <c r="M1927" i="12"/>
  <c r="M1926" i="12"/>
  <c r="M2016" i="12"/>
  <c r="H1906" i="12"/>
  <c r="H1756" i="12"/>
  <c r="P1902" i="12" l="1"/>
  <c r="H1902" i="12"/>
  <c r="P1890" i="12"/>
  <c r="H1890" i="12"/>
  <c r="P1883" i="12"/>
  <c r="H1887" i="12"/>
  <c r="P1887" i="12"/>
  <c r="H1883" i="12"/>
  <c r="P1867" i="12"/>
  <c r="P1868" i="12" l="1"/>
  <c r="H1868" i="12"/>
  <c r="H1867" i="12"/>
  <c r="P1861" i="12"/>
  <c r="H1861" i="12"/>
  <c r="P1858" i="12"/>
  <c r="H1858" i="12"/>
  <c r="P1835" i="12" l="1"/>
  <c r="P1826" i="12" l="1"/>
  <c r="H1835" i="12"/>
  <c r="P1830" i="12"/>
  <c r="H1830" i="12"/>
  <c r="H1826" i="12"/>
  <c r="P1824" i="12"/>
  <c r="H1824" i="12"/>
  <c r="P1818" i="12"/>
  <c r="P1815" i="12"/>
  <c r="D162" i="5" l="1"/>
  <c r="O1796" i="12" l="1"/>
  <c r="Q1796" i="12"/>
  <c r="H1818" i="12"/>
  <c r="H1815" i="12"/>
  <c r="P1805" i="12"/>
  <c r="H1805" i="12"/>
  <c r="P1797" i="12"/>
  <c r="H1797" i="12"/>
  <c r="P1781" i="12"/>
  <c r="P1792" i="12"/>
  <c r="P1789" i="12"/>
  <c r="H1789" i="12"/>
  <c r="S1457" i="12" l="1"/>
  <c r="S1491" i="12"/>
  <c r="S1501" i="12"/>
  <c r="S1505" i="12"/>
  <c r="S1532" i="12"/>
  <c r="P1681" i="12" l="1"/>
  <c r="P1769" i="12" l="1"/>
  <c r="H1769" i="12"/>
  <c r="P1768" i="12"/>
  <c r="H1768" i="12"/>
  <c r="H1792" i="12"/>
  <c r="P1782" i="12"/>
  <c r="H1782" i="12"/>
  <c r="H1781" i="12"/>
  <c r="M1902" i="12" l="1"/>
  <c r="M1904" i="12"/>
  <c r="M1905" i="12"/>
  <c r="M1906" i="12"/>
  <c r="M1885" i="12"/>
  <c r="M1886" i="12"/>
  <c r="M1888" i="12"/>
  <c r="M1890" i="12"/>
  <c r="M1898" i="12"/>
  <c r="M1900" i="12"/>
  <c r="M1901" i="12"/>
  <c r="M1908" i="12"/>
  <c r="M1913" i="12"/>
  <c r="M1914" i="12"/>
  <c r="M1916" i="12"/>
  <c r="M1917" i="12"/>
  <c r="M1918" i="12"/>
  <c r="M1920" i="12"/>
  <c r="M1922" i="12"/>
  <c r="M1897" i="12"/>
  <c r="M1892" i="12"/>
  <c r="M1889" i="12"/>
  <c r="M1879" i="12"/>
  <c r="M1895" i="12"/>
  <c r="M1911" i="12"/>
  <c r="M1807" i="12"/>
  <c r="M1809" i="12"/>
  <c r="M1810" i="12"/>
  <c r="M1811" i="12"/>
  <c r="M1813" i="12"/>
  <c r="M1814" i="12"/>
  <c r="M1816" i="12"/>
  <c r="M1818" i="12"/>
  <c r="M1819" i="12"/>
  <c r="M1820" i="12"/>
  <c r="M1821" i="12"/>
  <c r="M1825" i="12"/>
  <c r="M1827" i="12"/>
  <c r="M1828" i="12"/>
  <c r="M1829" i="12"/>
  <c r="M1832" i="12"/>
  <c r="M1835" i="12"/>
  <c r="M1836" i="12"/>
  <c r="M1837" i="12"/>
  <c r="M1838" i="12"/>
  <c r="M1839" i="12"/>
  <c r="M1840" i="12"/>
  <c r="M1841" i="12"/>
  <c r="M1842" i="12"/>
  <c r="M1843" i="12"/>
  <c r="M1844" i="12"/>
  <c r="M1845" i="12"/>
  <c r="M1847" i="12"/>
  <c r="M1849" i="12"/>
  <c r="M1850" i="12"/>
  <c r="M1851" i="12"/>
  <c r="M1853" i="12"/>
  <c r="M1854" i="12"/>
  <c r="M1855" i="12"/>
  <c r="M1856" i="12"/>
  <c r="M1857" i="12"/>
  <c r="M1858" i="12"/>
  <c r="M1859" i="12"/>
  <c r="M1861" i="12"/>
  <c r="M1862" i="12"/>
  <c r="M1863" i="12"/>
  <c r="M1864" i="12"/>
  <c r="M1866" i="12"/>
  <c r="M1868" i="12"/>
  <c r="M1869" i="12"/>
  <c r="M1870" i="12"/>
  <c r="M1872" i="12"/>
  <c r="M1873" i="12"/>
  <c r="M1874" i="12"/>
  <c r="M1876" i="12"/>
  <c r="M1881" i="12"/>
  <c r="M1882" i="12"/>
  <c r="M1884" i="12"/>
  <c r="M1883" i="12"/>
  <c r="M1899" i="12"/>
  <c r="M1915" i="12"/>
  <c r="M1887" i="12"/>
  <c r="M1903" i="12"/>
  <c r="M1919" i="12"/>
  <c r="M1865" i="12"/>
  <c r="M1877" i="12"/>
  <c r="M1878" i="12"/>
  <c r="M1880" i="12"/>
  <c r="M1891" i="12"/>
  <c r="M1893" i="12"/>
  <c r="M1894" i="12"/>
  <c r="M1896" i="12"/>
  <c r="M1907" i="12"/>
  <c r="M1909" i="12"/>
  <c r="M1910" i="12"/>
  <c r="M1912" i="12"/>
  <c r="M1921" i="12"/>
  <c r="M1923" i="12"/>
  <c r="M1875" i="12"/>
  <c r="M1871" i="12"/>
  <c r="M1867" i="12"/>
  <c r="M1860" i="12"/>
  <c r="M1852" i="12"/>
  <c r="M1848" i="12"/>
  <c r="M1846" i="12"/>
  <c r="M1833" i="12"/>
  <c r="M1834" i="12"/>
  <c r="M1830" i="12"/>
  <c r="M1831" i="12"/>
  <c r="M1826" i="12"/>
  <c r="M1823" i="12"/>
  <c r="M1824" i="12"/>
  <c r="M1822" i="12"/>
  <c r="M1817" i="12"/>
  <c r="M1815" i="12"/>
  <c r="M1808" i="12"/>
  <c r="P1765" i="12"/>
  <c r="Q1795" i="12"/>
  <c r="O1795" i="12"/>
  <c r="K1795" i="12"/>
  <c r="F1795" i="12"/>
  <c r="G1795" i="12" s="1"/>
  <c r="E1795" i="12"/>
  <c r="I1795" i="12" s="1"/>
  <c r="Q1794" i="12"/>
  <c r="O1794" i="12"/>
  <c r="K1794" i="12"/>
  <c r="F1794" i="12"/>
  <c r="G1794" i="12" s="1"/>
  <c r="E1794" i="12"/>
  <c r="I1794" i="12" s="1"/>
  <c r="Q1793" i="12"/>
  <c r="O1793" i="12"/>
  <c r="K1793" i="12"/>
  <c r="F1793" i="12"/>
  <c r="G1793" i="12" s="1"/>
  <c r="E1793" i="12"/>
  <c r="I1793" i="12" s="1"/>
  <c r="Q1792" i="12"/>
  <c r="O1792" i="12"/>
  <c r="K1792" i="12"/>
  <c r="F1792" i="12"/>
  <c r="G1792" i="12" s="1"/>
  <c r="E1792" i="12"/>
  <c r="I1792" i="12" s="1"/>
  <c r="Q1791" i="12"/>
  <c r="O1791" i="12"/>
  <c r="K1791" i="12"/>
  <c r="F1791" i="12"/>
  <c r="G1791" i="12" s="1"/>
  <c r="J1791" i="12" s="1"/>
  <c r="E1791" i="12"/>
  <c r="I1791" i="12" s="1"/>
  <c r="Q1790" i="12"/>
  <c r="O1790" i="12"/>
  <c r="K1790" i="12"/>
  <c r="F1790" i="12"/>
  <c r="G1790" i="12" s="1"/>
  <c r="E1790" i="12"/>
  <c r="I1790" i="12" s="1"/>
  <c r="Q1789" i="12"/>
  <c r="O1789" i="12"/>
  <c r="K1789" i="12"/>
  <c r="F1789" i="12"/>
  <c r="G1789" i="12" s="1"/>
  <c r="J1789" i="12" s="1"/>
  <c r="E1789" i="12"/>
  <c r="I1789" i="12" s="1"/>
  <c r="Q1788" i="12"/>
  <c r="O1788" i="12"/>
  <c r="K1788" i="12"/>
  <c r="F1788" i="12"/>
  <c r="G1788" i="12" s="1"/>
  <c r="E1788" i="12"/>
  <c r="I1788" i="12" s="1"/>
  <c r="Q1787" i="12"/>
  <c r="O1787" i="12"/>
  <c r="K1787" i="12"/>
  <c r="F1787" i="12"/>
  <c r="G1787" i="12" s="1"/>
  <c r="E1787" i="12"/>
  <c r="I1787" i="12" s="1"/>
  <c r="Q1786" i="12"/>
  <c r="O1786" i="12"/>
  <c r="K1786" i="12"/>
  <c r="F1786" i="12"/>
  <c r="G1786" i="12" s="1"/>
  <c r="E1786" i="12"/>
  <c r="I1786" i="12" s="1"/>
  <c r="Q1785" i="12"/>
  <c r="O1785" i="12"/>
  <c r="K1785" i="12"/>
  <c r="F1785" i="12"/>
  <c r="G1785" i="12" s="1"/>
  <c r="J1785" i="12" s="1"/>
  <c r="E1785" i="12"/>
  <c r="I1785" i="12" s="1"/>
  <c r="Q1784" i="12"/>
  <c r="O1784" i="12"/>
  <c r="K1784" i="12"/>
  <c r="F1784" i="12"/>
  <c r="E1784" i="12"/>
  <c r="I1784" i="12" s="1"/>
  <c r="Q1783" i="12"/>
  <c r="O1783" i="12"/>
  <c r="K1783" i="12"/>
  <c r="F1783" i="12"/>
  <c r="G1783" i="12" s="1"/>
  <c r="E1783" i="12"/>
  <c r="I1783" i="12" s="1"/>
  <c r="Q1782" i="12"/>
  <c r="O1782" i="12"/>
  <c r="K1782" i="12"/>
  <c r="F1782" i="12"/>
  <c r="G1782" i="12" s="1"/>
  <c r="E1782" i="12"/>
  <c r="I1782" i="12" s="1"/>
  <c r="Q1781" i="12"/>
  <c r="O1781" i="12"/>
  <c r="K1781" i="12"/>
  <c r="F1781" i="12"/>
  <c r="G1781" i="12" s="1"/>
  <c r="E1781" i="12"/>
  <c r="I1781" i="12" s="1"/>
  <c r="Q1780" i="12"/>
  <c r="O1780" i="12"/>
  <c r="K1780" i="12"/>
  <c r="F1780" i="12"/>
  <c r="G1780" i="12" s="1"/>
  <c r="J1780" i="12" s="1"/>
  <c r="E1780" i="12"/>
  <c r="I1780" i="12" s="1"/>
  <c r="C1780" i="12"/>
  <c r="C1781" i="12"/>
  <c r="C1782" i="12"/>
  <c r="C1783" i="12"/>
  <c r="C1784" i="12"/>
  <c r="C1785" i="12"/>
  <c r="C1786" i="12"/>
  <c r="C1787" i="12"/>
  <c r="C1788" i="12"/>
  <c r="C1789" i="12"/>
  <c r="C1790" i="12"/>
  <c r="C1791" i="12"/>
  <c r="C1792" i="12"/>
  <c r="C1793" i="12"/>
  <c r="C1794" i="12"/>
  <c r="C1795" i="12"/>
  <c r="Q1953" i="12"/>
  <c r="O1953" i="12"/>
  <c r="K1953" i="12"/>
  <c r="F1953" i="12"/>
  <c r="G1953" i="12" s="1"/>
  <c r="E1953" i="12"/>
  <c r="I1953" i="12" s="1"/>
  <c r="C1953" i="12"/>
  <c r="Q1952" i="12"/>
  <c r="O1952" i="12"/>
  <c r="K1952" i="12"/>
  <c r="F1952" i="12"/>
  <c r="G1952" i="12" s="1"/>
  <c r="E1952" i="12"/>
  <c r="I1952" i="12" s="1"/>
  <c r="C1952" i="12"/>
  <c r="Q1951" i="12"/>
  <c r="O1951" i="12"/>
  <c r="K1951" i="12"/>
  <c r="F1951" i="12"/>
  <c r="G1951" i="12" s="1"/>
  <c r="E1951" i="12"/>
  <c r="I1951" i="12" s="1"/>
  <c r="C1951" i="12"/>
  <c r="Q1950" i="12"/>
  <c r="O1950" i="12"/>
  <c r="K1950" i="12"/>
  <c r="F1950" i="12"/>
  <c r="G1950" i="12" s="1"/>
  <c r="E1950" i="12"/>
  <c r="I1950" i="12" s="1"/>
  <c r="C1950" i="12"/>
  <c r="Q1949" i="12"/>
  <c r="O1949" i="12"/>
  <c r="K1949" i="12"/>
  <c r="F1949" i="12"/>
  <c r="G1949" i="12" s="1"/>
  <c r="E1949" i="12"/>
  <c r="I1949" i="12" s="1"/>
  <c r="C1949" i="12"/>
  <c r="Q1948" i="12"/>
  <c r="O1948" i="12"/>
  <c r="K1948" i="12"/>
  <c r="F1948" i="12"/>
  <c r="G1948" i="12" s="1"/>
  <c r="E1948" i="12"/>
  <c r="I1948" i="12" s="1"/>
  <c r="C1948" i="12"/>
  <c r="Q1947" i="12"/>
  <c r="O1947" i="12"/>
  <c r="K1947" i="12"/>
  <c r="F1947" i="12"/>
  <c r="G1947" i="12" s="1"/>
  <c r="E1947" i="12"/>
  <c r="I1947" i="12" s="1"/>
  <c r="C1947" i="12"/>
  <c r="Q1946" i="12"/>
  <c r="O1946" i="12"/>
  <c r="K1946" i="12"/>
  <c r="F1946" i="12"/>
  <c r="G1946" i="12" s="1"/>
  <c r="E1946" i="12"/>
  <c r="I1946" i="12" s="1"/>
  <c r="C1946" i="12"/>
  <c r="Q1945" i="12"/>
  <c r="O1945" i="12"/>
  <c r="K1945" i="12"/>
  <c r="F1945" i="12"/>
  <c r="G1945" i="12" s="1"/>
  <c r="E1945" i="12"/>
  <c r="I1945" i="12" s="1"/>
  <c r="C1945" i="12"/>
  <c r="Q1944" i="12"/>
  <c r="O1944" i="12"/>
  <c r="K1944" i="12"/>
  <c r="F1944" i="12"/>
  <c r="G1944" i="12" s="1"/>
  <c r="E1944" i="12"/>
  <c r="I1944" i="12" s="1"/>
  <c r="C1944" i="12"/>
  <c r="Q1943" i="12"/>
  <c r="O1943" i="12"/>
  <c r="K1943" i="12"/>
  <c r="F1943" i="12"/>
  <c r="G1943" i="12" s="1"/>
  <c r="E1943" i="12"/>
  <c r="I1943" i="12" s="1"/>
  <c r="C1943" i="12"/>
  <c r="Q1942" i="12"/>
  <c r="O1942" i="12"/>
  <c r="K1942" i="12"/>
  <c r="F1942" i="12"/>
  <c r="E1942" i="12"/>
  <c r="I1942" i="12" s="1"/>
  <c r="C1942" i="12"/>
  <c r="Q1941" i="12"/>
  <c r="O1941" i="12"/>
  <c r="K1941" i="12"/>
  <c r="F1941" i="12"/>
  <c r="G1941" i="12" s="1"/>
  <c r="E1941" i="12"/>
  <c r="I1941" i="12" s="1"/>
  <c r="C1941" i="12"/>
  <c r="Q1940" i="12"/>
  <c r="O1940" i="12"/>
  <c r="K1940" i="12"/>
  <c r="F1940" i="12"/>
  <c r="G1940" i="12" s="1"/>
  <c r="E1940" i="12"/>
  <c r="I1940" i="12" s="1"/>
  <c r="C1940" i="12"/>
  <c r="Q1939" i="12"/>
  <c r="O1939" i="12"/>
  <c r="K1939" i="12"/>
  <c r="F1939" i="12"/>
  <c r="G1939" i="12" s="1"/>
  <c r="E1939" i="12"/>
  <c r="I1939" i="12" s="1"/>
  <c r="C1939" i="12"/>
  <c r="Q1938" i="12"/>
  <c r="O1938" i="12"/>
  <c r="K1938" i="12"/>
  <c r="F1938" i="12"/>
  <c r="G1938" i="12" s="1"/>
  <c r="E1938" i="12"/>
  <c r="I1938" i="12" s="1"/>
  <c r="C1938" i="12"/>
  <c r="Q1937" i="12"/>
  <c r="O1937" i="12"/>
  <c r="K1937" i="12"/>
  <c r="F1937" i="12"/>
  <c r="G1937" i="12" s="1"/>
  <c r="E1937" i="12"/>
  <c r="I1937" i="12" s="1"/>
  <c r="C1937" i="12"/>
  <c r="Q1936" i="12"/>
  <c r="O1936" i="12"/>
  <c r="K1936" i="12"/>
  <c r="F1936" i="12"/>
  <c r="E1936" i="12"/>
  <c r="I1936" i="12" s="1"/>
  <c r="C1936" i="12"/>
  <c r="Q1935" i="12"/>
  <c r="O1935" i="12"/>
  <c r="K1935" i="12"/>
  <c r="F1935" i="12"/>
  <c r="G1935" i="12" s="1"/>
  <c r="E1935" i="12"/>
  <c r="I1935" i="12" s="1"/>
  <c r="C1935" i="12"/>
  <c r="Q1934" i="12"/>
  <c r="O1934" i="12"/>
  <c r="K1934" i="12"/>
  <c r="F1934" i="12"/>
  <c r="G1934" i="12" s="1"/>
  <c r="E1934" i="12"/>
  <c r="I1934" i="12" s="1"/>
  <c r="C1934" i="12"/>
  <c r="Q1933" i="12"/>
  <c r="O1933" i="12"/>
  <c r="K1933" i="12"/>
  <c r="F1933" i="12"/>
  <c r="G1933" i="12" s="1"/>
  <c r="E1933" i="12"/>
  <c r="I1933" i="12" s="1"/>
  <c r="C1933" i="12"/>
  <c r="Q1932" i="12"/>
  <c r="O1932" i="12"/>
  <c r="K1932" i="12"/>
  <c r="F1932" i="12"/>
  <c r="G1932" i="12" s="1"/>
  <c r="E1932" i="12"/>
  <c r="I1932" i="12" s="1"/>
  <c r="C1932" i="12"/>
  <c r="Q1931" i="12"/>
  <c r="O1931" i="12"/>
  <c r="K1931" i="12"/>
  <c r="F1931" i="12"/>
  <c r="G1931" i="12" s="1"/>
  <c r="E1931" i="12"/>
  <c r="I1931" i="12" s="1"/>
  <c r="C1931" i="12"/>
  <c r="Q1930" i="12"/>
  <c r="O1930" i="12"/>
  <c r="K1930" i="12"/>
  <c r="F1930" i="12"/>
  <c r="G1930" i="12" s="1"/>
  <c r="E1930" i="12"/>
  <c r="I1930" i="12" s="1"/>
  <c r="C1930" i="12"/>
  <c r="Q1929" i="12"/>
  <c r="O1929" i="12"/>
  <c r="K1929" i="12"/>
  <c r="F1929" i="12"/>
  <c r="G1929" i="12" s="1"/>
  <c r="E1929" i="12"/>
  <c r="I1929" i="12" s="1"/>
  <c r="C1929" i="12"/>
  <c r="Q1928" i="12"/>
  <c r="O1928" i="12"/>
  <c r="K1928" i="12"/>
  <c r="F1928" i="12"/>
  <c r="G1928" i="12" s="1"/>
  <c r="E1928" i="12"/>
  <c r="I1928" i="12" s="1"/>
  <c r="C1928" i="12"/>
  <c r="Q1927" i="12"/>
  <c r="O1927" i="12"/>
  <c r="K1927" i="12"/>
  <c r="F1927" i="12"/>
  <c r="G1927" i="12" s="1"/>
  <c r="E1927" i="12"/>
  <c r="I1927" i="12" s="1"/>
  <c r="C1927" i="12"/>
  <c r="Q1926" i="12"/>
  <c r="O1926" i="12"/>
  <c r="K1926" i="12"/>
  <c r="F1926" i="12"/>
  <c r="G1926" i="12" s="1"/>
  <c r="E1926" i="12"/>
  <c r="I1926" i="12" s="1"/>
  <c r="C1926" i="12"/>
  <c r="Q1925" i="12"/>
  <c r="O1925" i="12"/>
  <c r="K1925" i="12"/>
  <c r="F1925" i="12"/>
  <c r="G1925" i="12" s="1"/>
  <c r="E1925" i="12"/>
  <c r="I1925" i="12" s="1"/>
  <c r="C1925" i="12"/>
  <c r="Q1924" i="12"/>
  <c r="O1924" i="12"/>
  <c r="K1924" i="12"/>
  <c r="F1924" i="12"/>
  <c r="G1924" i="12" s="1"/>
  <c r="J1924" i="12" s="1"/>
  <c r="E1924" i="12"/>
  <c r="I1924" i="12" s="1"/>
  <c r="C1924" i="12"/>
  <c r="Q1923" i="12"/>
  <c r="O1923" i="12"/>
  <c r="K1923" i="12"/>
  <c r="F1923" i="12"/>
  <c r="G1923" i="12" s="1"/>
  <c r="E1923" i="12"/>
  <c r="I1923" i="12" s="1"/>
  <c r="C1923" i="12"/>
  <c r="Q1922" i="12"/>
  <c r="O1922" i="12"/>
  <c r="K1922" i="12"/>
  <c r="F1922" i="12"/>
  <c r="G1922" i="12" s="1"/>
  <c r="E1922" i="12"/>
  <c r="I1922" i="12" s="1"/>
  <c r="C1922" i="12"/>
  <c r="Q1921" i="12"/>
  <c r="O1921" i="12"/>
  <c r="K1921" i="12"/>
  <c r="F1921" i="12"/>
  <c r="E1921" i="12"/>
  <c r="I1921" i="12" s="1"/>
  <c r="C1921" i="12"/>
  <c r="Q1920" i="12"/>
  <c r="O1920" i="12"/>
  <c r="K1920" i="12"/>
  <c r="F1920" i="12"/>
  <c r="G1920" i="12" s="1"/>
  <c r="E1920" i="12"/>
  <c r="I1920" i="12" s="1"/>
  <c r="C1920" i="12"/>
  <c r="Q1919" i="12"/>
  <c r="O1919" i="12"/>
  <c r="K1919" i="12"/>
  <c r="F1919" i="12"/>
  <c r="G1919" i="12" s="1"/>
  <c r="J1919" i="12" s="1"/>
  <c r="E1919" i="12"/>
  <c r="I1919" i="12" s="1"/>
  <c r="C1919" i="12"/>
  <c r="Q1918" i="12"/>
  <c r="O1918" i="12"/>
  <c r="K1918" i="12"/>
  <c r="F1918" i="12"/>
  <c r="G1918" i="12" s="1"/>
  <c r="E1918" i="12"/>
  <c r="I1918" i="12" s="1"/>
  <c r="C1918" i="12"/>
  <c r="Q1917" i="12"/>
  <c r="O1917" i="12"/>
  <c r="K1917" i="12"/>
  <c r="F1917" i="12"/>
  <c r="G1917" i="12" s="1"/>
  <c r="E1917" i="12"/>
  <c r="I1917" i="12" s="1"/>
  <c r="C1917" i="12"/>
  <c r="Q1916" i="12"/>
  <c r="O1916" i="12"/>
  <c r="K1916" i="12"/>
  <c r="F1916" i="12"/>
  <c r="G1916" i="12" s="1"/>
  <c r="J1916" i="12" s="1"/>
  <c r="E1916" i="12"/>
  <c r="I1916" i="12" s="1"/>
  <c r="C1916" i="12"/>
  <c r="Q1915" i="12"/>
  <c r="O1915" i="12"/>
  <c r="K1915" i="12"/>
  <c r="F1915" i="12"/>
  <c r="G1915" i="12" s="1"/>
  <c r="E1915" i="12"/>
  <c r="I1915" i="12" s="1"/>
  <c r="C1915" i="12"/>
  <c r="Q1914" i="12"/>
  <c r="O1914" i="12"/>
  <c r="K1914" i="12"/>
  <c r="F1914" i="12"/>
  <c r="G1914" i="12" s="1"/>
  <c r="J1914" i="12" s="1"/>
  <c r="E1914" i="12"/>
  <c r="I1914" i="12" s="1"/>
  <c r="C1914" i="12"/>
  <c r="Q1913" i="12"/>
  <c r="O1913" i="12"/>
  <c r="K1913" i="12"/>
  <c r="F1913" i="12"/>
  <c r="G1913" i="12" s="1"/>
  <c r="E1913" i="12"/>
  <c r="I1913" i="12" s="1"/>
  <c r="C1913" i="12"/>
  <c r="Q1912" i="12"/>
  <c r="O1912" i="12"/>
  <c r="K1912" i="12"/>
  <c r="F1912" i="12"/>
  <c r="G1912" i="12" s="1"/>
  <c r="J1912" i="12" s="1"/>
  <c r="E1912" i="12"/>
  <c r="I1912" i="12" s="1"/>
  <c r="C1912" i="12"/>
  <c r="Q1911" i="12"/>
  <c r="O1911" i="12"/>
  <c r="K1911" i="12"/>
  <c r="F1911" i="12"/>
  <c r="G1911" i="12" s="1"/>
  <c r="J1911" i="12" s="1"/>
  <c r="E1911" i="12"/>
  <c r="I1911" i="12" s="1"/>
  <c r="C1911" i="12"/>
  <c r="Q1910" i="12"/>
  <c r="O1910" i="12"/>
  <c r="K1910" i="12"/>
  <c r="F1910" i="12"/>
  <c r="G1910" i="12" s="1"/>
  <c r="E1910" i="12"/>
  <c r="I1910" i="12" s="1"/>
  <c r="C1910" i="12"/>
  <c r="Q1909" i="12"/>
  <c r="O1909" i="12"/>
  <c r="K1909" i="12"/>
  <c r="F1909" i="12"/>
  <c r="G1909" i="12" s="1"/>
  <c r="J1909" i="12" s="1"/>
  <c r="E1909" i="12"/>
  <c r="I1909" i="12" s="1"/>
  <c r="C1909" i="12"/>
  <c r="Q1908" i="12"/>
  <c r="O1908" i="12"/>
  <c r="K1908" i="12"/>
  <c r="F1908" i="12"/>
  <c r="G1908" i="12" s="1"/>
  <c r="E1908" i="12"/>
  <c r="I1908" i="12" s="1"/>
  <c r="C1908" i="12"/>
  <c r="Q1907" i="12"/>
  <c r="O1907" i="12"/>
  <c r="K1907" i="12"/>
  <c r="F1907" i="12"/>
  <c r="G1907" i="12" s="1"/>
  <c r="J1907" i="12" s="1"/>
  <c r="E1907" i="12"/>
  <c r="I1907" i="12" s="1"/>
  <c r="C1907" i="12"/>
  <c r="Q1906" i="12"/>
  <c r="O1906" i="12"/>
  <c r="K1906" i="12"/>
  <c r="F1906" i="12"/>
  <c r="E1906" i="12"/>
  <c r="I1906" i="12" s="1"/>
  <c r="C1906" i="12"/>
  <c r="Q1905" i="12"/>
  <c r="O1905" i="12"/>
  <c r="K1905" i="12"/>
  <c r="F1905" i="12"/>
  <c r="G1905" i="12" s="1"/>
  <c r="J1905" i="12" s="1"/>
  <c r="E1905" i="12"/>
  <c r="I1905" i="12" s="1"/>
  <c r="C1905" i="12"/>
  <c r="Q1904" i="12"/>
  <c r="O1904" i="12"/>
  <c r="K1904" i="12"/>
  <c r="F1904" i="12"/>
  <c r="G1904" i="12" s="1"/>
  <c r="E1904" i="12"/>
  <c r="I1904" i="12" s="1"/>
  <c r="C1904" i="12"/>
  <c r="Q1903" i="12"/>
  <c r="O1903" i="12"/>
  <c r="K1903" i="12"/>
  <c r="F1903" i="12"/>
  <c r="G1903" i="12" s="1"/>
  <c r="J1903" i="12" s="1"/>
  <c r="E1903" i="12"/>
  <c r="I1903" i="12" s="1"/>
  <c r="C1903" i="12"/>
  <c r="Q1902" i="12"/>
  <c r="O1902" i="12"/>
  <c r="K1902" i="12"/>
  <c r="F1902" i="12"/>
  <c r="G1902" i="12" s="1"/>
  <c r="E1902" i="12"/>
  <c r="I1902" i="12" s="1"/>
  <c r="C1902" i="12"/>
  <c r="Q1901" i="12"/>
  <c r="O1901" i="12"/>
  <c r="K1901" i="12"/>
  <c r="F1901" i="12"/>
  <c r="G1901" i="12" s="1"/>
  <c r="E1901" i="12"/>
  <c r="I1901" i="12" s="1"/>
  <c r="C1901" i="12"/>
  <c r="Q1900" i="12"/>
  <c r="O1900" i="12"/>
  <c r="K1900" i="12"/>
  <c r="F1900" i="12"/>
  <c r="G1900" i="12" s="1"/>
  <c r="J1900" i="12" s="1"/>
  <c r="E1900" i="12"/>
  <c r="I1900" i="12" s="1"/>
  <c r="C1900" i="12"/>
  <c r="Q1899" i="12"/>
  <c r="O1899" i="12"/>
  <c r="K1899" i="12"/>
  <c r="F1899" i="12"/>
  <c r="G1899" i="12" s="1"/>
  <c r="E1899" i="12"/>
  <c r="I1899" i="12" s="1"/>
  <c r="C1899" i="12"/>
  <c r="Q1898" i="12"/>
  <c r="O1898" i="12"/>
  <c r="K1898" i="12"/>
  <c r="F1898" i="12"/>
  <c r="G1898" i="12" s="1"/>
  <c r="J1898" i="12" s="1"/>
  <c r="E1898" i="12"/>
  <c r="I1898" i="12" s="1"/>
  <c r="C1898" i="12"/>
  <c r="Q1897" i="12"/>
  <c r="O1897" i="12"/>
  <c r="K1897" i="12"/>
  <c r="F1897" i="12"/>
  <c r="G1897" i="12" s="1"/>
  <c r="E1897" i="12"/>
  <c r="I1897" i="12" s="1"/>
  <c r="C1897" i="12"/>
  <c r="Q1896" i="12"/>
  <c r="O1896" i="12"/>
  <c r="K1896" i="12"/>
  <c r="F1896" i="12"/>
  <c r="G1896" i="12" s="1"/>
  <c r="J1896" i="12" s="1"/>
  <c r="E1896" i="12"/>
  <c r="I1896" i="12" s="1"/>
  <c r="C1896" i="12"/>
  <c r="Q1895" i="12"/>
  <c r="O1895" i="12"/>
  <c r="K1895" i="12"/>
  <c r="F1895" i="12"/>
  <c r="G1895" i="12" s="1"/>
  <c r="E1895" i="12"/>
  <c r="I1895" i="12" s="1"/>
  <c r="C1895" i="12"/>
  <c r="Q1894" i="12"/>
  <c r="O1894" i="12"/>
  <c r="K1894" i="12"/>
  <c r="F1894" i="12"/>
  <c r="E1894" i="12"/>
  <c r="I1894" i="12" s="1"/>
  <c r="C1894" i="12"/>
  <c r="Q1893" i="12"/>
  <c r="O1893" i="12"/>
  <c r="K1893" i="12"/>
  <c r="F1893" i="12"/>
  <c r="G1893" i="12" s="1"/>
  <c r="J1893" i="12" s="1"/>
  <c r="E1893" i="12"/>
  <c r="I1893" i="12" s="1"/>
  <c r="C1893" i="12"/>
  <c r="Q1892" i="12"/>
  <c r="O1892" i="12"/>
  <c r="K1892" i="12"/>
  <c r="F1892" i="12"/>
  <c r="G1892" i="12" s="1"/>
  <c r="L1892" i="12" s="1"/>
  <c r="E1892" i="12"/>
  <c r="I1892" i="12" s="1"/>
  <c r="C1892" i="12"/>
  <c r="Q1891" i="12"/>
  <c r="O1891" i="12"/>
  <c r="K1891" i="12"/>
  <c r="F1891" i="12"/>
  <c r="G1891" i="12" s="1"/>
  <c r="J1891" i="12" s="1"/>
  <c r="E1891" i="12"/>
  <c r="I1891" i="12" s="1"/>
  <c r="C1891" i="12"/>
  <c r="Q1890" i="12"/>
  <c r="O1890" i="12"/>
  <c r="K1890" i="12"/>
  <c r="F1890" i="12"/>
  <c r="G1890" i="12" s="1"/>
  <c r="E1890" i="12"/>
  <c r="I1890" i="12" s="1"/>
  <c r="C1890" i="12"/>
  <c r="Q1889" i="12"/>
  <c r="O1889" i="12"/>
  <c r="K1889" i="12"/>
  <c r="F1889" i="12"/>
  <c r="G1889" i="12" s="1"/>
  <c r="J1889" i="12" s="1"/>
  <c r="E1889" i="12"/>
  <c r="I1889" i="12" s="1"/>
  <c r="C1889" i="12"/>
  <c r="Q1888" i="12"/>
  <c r="O1888" i="12"/>
  <c r="K1888" i="12"/>
  <c r="F1888" i="12"/>
  <c r="G1888" i="12" s="1"/>
  <c r="E1888" i="12"/>
  <c r="I1888" i="12" s="1"/>
  <c r="C1888" i="12"/>
  <c r="Q1887" i="12"/>
  <c r="O1887" i="12"/>
  <c r="K1887" i="12"/>
  <c r="F1887" i="12"/>
  <c r="G1887" i="12" s="1"/>
  <c r="E1887" i="12"/>
  <c r="I1887" i="12" s="1"/>
  <c r="C1887" i="12"/>
  <c r="Q1886" i="12"/>
  <c r="O1886" i="12"/>
  <c r="K1886" i="12"/>
  <c r="F1886" i="12"/>
  <c r="G1886" i="12" s="1"/>
  <c r="E1886" i="12"/>
  <c r="I1886" i="12" s="1"/>
  <c r="C1886" i="12"/>
  <c r="Q1885" i="12"/>
  <c r="O1885" i="12"/>
  <c r="K1885" i="12"/>
  <c r="F1885" i="12"/>
  <c r="G1885" i="12" s="1"/>
  <c r="L1885" i="12" s="1"/>
  <c r="E1885" i="12"/>
  <c r="I1885" i="12" s="1"/>
  <c r="C1885" i="12"/>
  <c r="Q1884" i="12"/>
  <c r="O1884" i="12"/>
  <c r="K1884" i="12"/>
  <c r="F1884" i="12"/>
  <c r="G1884" i="12" s="1"/>
  <c r="J1884" i="12" s="1"/>
  <c r="E1884" i="12"/>
  <c r="I1884" i="12" s="1"/>
  <c r="C1884" i="12"/>
  <c r="Q1883" i="12"/>
  <c r="O1883" i="12"/>
  <c r="K1883" i="12"/>
  <c r="F1883" i="12"/>
  <c r="G1883" i="12" s="1"/>
  <c r="E1883" i="12"/>
  <c r="I1883" i="12" s="1"/>
  <c r="C1883" i="12"/>
  <c r="Q1882" i="12"/>
  <c r="O1882" i="12"/>
  <c r="K1882" i="12"/>
  <c r="F1882" i="12"/>
  <c r="G1882" i="12" s="1"/>
  <c r="E1882" i="12"/>
  <c r="I1882" i="12" s="1"/>
  <c r="C1882" i="12"/>
  <c r="Q1881" i="12"/>
  <c r="O1881" i="12"/>
  <c r="K1881" i="12"/>
  <c r="F1881" i="12"/>
  <c r="E1881" i="12"/>
  <c r="I1881" i="12" s="1"/>
  <c r="C1881" i="12"/>
  <c r="Q1880" i="12"/>
  <c r="O1880" i="12"/>
  <c r="K1880" i="12"/>
  <c r="F1880" i="12"/>
  <c r="G1880" i="12" s="1"/>
  <c r="E1880" i="12"/>
  <c r="I1880" i="12" s="1"/>
  <c r="C1880" i="12"/>
  <c r="Q1879" i="12"/>
  <c r="O1879" i="12"/>
  <c r="K1879" i="12"/>
  <c r="F1879" i="12"/>
  <c r="G1879" i="12" s="1"/>
  <c r="E1879" i="12"/>
  <c r="I1879" i="12" s="1"/>
  <c r="C1879" i="12"/>
  <c r="Q1878" i="12"/>
  <c r="O1878" i="12"/>
  <c r="K1878" i="12"/>
  <c r="F1878" i="12"/>
  <c r="G1878" i="12" s="1"/>
  <c r="J1878" i="12" s="1"/>
  <c r="E1878" i="12"/>
  <c r="I1878" i="12" s="1"/>
  <c r="C1878" i="12"/>
  <c r="Q1877" i="12"/>
  <c r="O1877" i="12"/>
  <c r="K1877" i="12"/>
  <c r="F1877" i="12"/>
  <c r="G1877" i="12" s="1"/>
  <c r="E1877" i="12"/>
  <c r="I1877" i="12" s="1"/>
  <c r="C1877" i="12"/>
  <c r="Q1865" i="12"/>
  <c r="O1865" i="12"/>
  <c r="K1865" i="12"/>
  <c r="F1865" i="12"/>
  <c r="G1865" i="12" s="1"/>
  <c r="E1865" i="12"/>
  <c r="I1865" i="12" s="1"/>
  <c r="C1865" i="12"/>
  <c r="Q1876" i="12"/>
  <c r="O1876" i="12"/>
  <c r="K1876" i="12"/>
  <c r="F1876" i="12"/>
  <c r="G1876" i="12" s="1"/>
  <c r="E1876" i="12"/>
  <c r="I1876" i="12" s="1"/>
  <c r="C1876" i="12"/>
  <c r="Q1875" i="12"/>
  <c r="O1875" i="12"/>
  <c r="K1875" i="12"/>
  <c r="F1875" i="12"/>
  <c r="G1875" i="12" s="1"/>
  <c r="E1875" i="12"/>
  <c r="I1875" i="12" s="1"/>
  <c r="C1875" i="12"/>
  <c r="Q1874" i="12"/>
  <c r="O1874" i="12"/>
  <c r="K1874" i="12"/>
  <c r="F1874" i="12"/>
  <c r="G1874" i="12" s="1"/>
  <c r="E1874" i="12"/>
  <c r="I1874" i="12" s="1"/>
  <c r="C1874" i="12"/>
  <c r="Q1873" i="12"/>
  <c r="O1873" i="12"/>
  <c r="K1873" i="12"/>
  <c r="F1873" i="12"/>
  <c r="G1873" i="12" s="1"/>
  <c r="E1873" i="12"/>
  <c r="I1873" i="12" s="1"/>
  <c r="C1873" i="12"/>
  <c r="Q1872" i="12"/>
  <c r="O1872" i="12"/>
  <c r="K1872" i="12"/>
  <c r="F1872" i="12"/>
  <c r="G1872" i="12" s="1"/>
  <c r="E1872" i="12"/>
  <c r="I1872" i="12" s="1"/>
  <c r="C1872" i="12"/>
  <c r="Q1871" i="12"/>
  <c r="O1871" i="12"/>
  <c r="K1871" i="12"/>
  <c r="F1871" i="12"/>
  <c r="G1871" i="12" s="1"/>
  <c r="J1871" i="12" s="1"/>
  <c r="E1871" i="12"/>
  <c r="I1871" i="12" s="1"/>
  <c r="C1871" i="12"/>
  <c r="Q1870" i="12"/>
  <c r="O1870" i="12"/>
  <c r="K1870" i="12"/>
  <c r="F1870" i="12"/>
  <c r="G1870" i="12" s="1"/>
  <c r="E1870" i="12"/>
  <c r="I1870" i="12" s="1"/>
  <c r="C1870" i="12"/>
  <c r="Q1869" i="12"/>
  <c r="O1869" i="12"/>
  <c r="K1869" i="12"/>
  <c r="F1869" i="12"/>
  <c r="G1869" i="12" s="1"/>
  <c r="E1869" i="12"/>
  <c r="I1869" i="12" s="1"/>
  <c r="C1869" i="12"/>
  <c r="Q1868" i="12"/>
  <c r="O1868" i="12"/>
  <c r="K1868" i="12"/>
  <c r="F1868" i="12"/>
  <c r="G1868" i="12" s="1"/>
  <c r="J1868" i="12" s="1"/>
  <c r="E1868" i="12"/>
  <c r="I1868" i="12" s="1"/>
  <c r="C1868" i="12"/>
  <c r="Q1867" i="12"/>
  <c r="O1867" i="12"/>
  <c r="K1867" i="12"/>
  <c r="F1867" i="12"/>
  <c r="G1867" i="12" s="1"/>
  <c r="E1867" i="12"/>
  <c r="I1867" i="12" s="1"/>
  <c r="C1867" i="12"/>
  <c r="Q1866" i="12"/>
  <c r="O1866" i="12"/>
  <c r="K1866" i="12"/>
  <c r="F1866" i="12"/>
  <c r="G1866" i="12" s="1"/>
  <c r="E1866" i="12"/>
  <c r="I1866" i="12" s="1"/>
  <c r="C1866" i="12"/>
  <c r="Q1864" i="12"/>
  <c r="O1864" i="12"/>
  <c r="K1864" i="12"/>
  <c r="F1864" i="12"/>
  <c r="G1864" i="12" s="1"/>
  <c r="E1864" i="12"/>
  <c r="I1864" i="12" s="1"/>
  <c r="C1864" i="12"/>
  <c r="Q1863" i="12"/>
  <c r="O1863" i="12"/>
  <c r="K1863" i="12"/>
  <c r="F1863" i="12"/>
  <c r="G1863" i="12" s="1"/>
  <c r="J1863" i="12" s="1"/>
  <c r="E1863" i="12"/>
  <c r="I1863" i="12" s="1"/>
  <c r="C1863" i="12"/>
  <c r="Q1862" i="12"/>
  <c r="O1862" i="12"/>
  <c r="K1862" i="12"/>
  <c r="F1862" i="12"/>
  <c r="G1862" i="12" s="1"/>
  <c r="E1862" i="12"/>
  <c r="I1862" i="12" s="1"/>
  <c r="C1862" i="12"/>
  <c r="Q1861" i="12"/>
  <c r="O1861" i="12"/>
  <c r="K1861" i="12"/>
  <c r="F1861" i="12"/>
  <c r="G1861" i="12" s="1"/>
  <c r="E1861" i="12"/>
  <c r="I1861" i="12" s="1"/>
  <c r="C1861" i="12"/>
  <c r="Q1860" i="12"/>
  <c r="O1860" i="12"/>
  <c r="K1860" i="12"/>
  <c r="F1860" i="12"/>
  <c r="G1860" i="12" s="1"/>
  <c r="E1860" i="12"/>
  <c r="I1860" i="12" s="1"/>
  <c r="C1860" i="12"/>
  <c r="Q1859" i="12"/>
  <c r="O1859" i="12"/>
  <c r="K1859" i="12"/>
  <c r="F1859" i="12"/>
  <c r="G1859" i="12" s="1"/>
  <c r="E1859" i="12"/>
  <c r="I1859" i="12" s="1"/>
  <c r="C1859" i="12"/>
  <c r="Q1858" i="12"/>
  <c r="O1858" i="12"/>
  <c r="K1858" i="12"/>
  <c r="F1858" i="12"/>
  <c r="G1858" i="12" s="1"/>
  <c r="E1858" i="12"/>
  <c r="I1858" i="12" s="1"/>
  <c r="C1858" i="12"/>
  <c r="Q1857" i="12"/>
  <c r="O1857" i="12"/>
  <c r="K1857" i="12"/>
  <c r="F1857" i="12"/>
  <c r="G1857" i="12" s="1"/>
  <c r="J1857" i="12" s="1"/>
  <c r="E1857" i="12"/>
  <c r="I1857" i="12" s="1"/>
  <c r="C1857" i="12"/>
  <c r="Q1856" i="12"/>
  <c r="O1856" i="12"/>
  <c r="K1856" i="12"/>
  <c r="F1856" i="12"/>
  <c r="G1856" i="12" s="1"/>
  <c r="E1856" i="12"/>
  <c r="I1856" i="12" s="1"/>
  <c r="C1856" i="12"/>
  <c r="Q1855" i="12"/>
  <c r="O1855" i="12"/>
  <c r="K1855" i="12"/>
  <c r="F1855" i="12"/>
  <c r="G1855" i="12" s="1"/>
  <c r="J1855" i="12" s="1"/>
  <c r="E1855" i="12"/>
  <c r="I1855" i="12" s="1"/>
  <c r="C1855" i="12"/>
  <c r="Q1854" i="12"/>
  <c r="O1854" i="12"/>
  <c r="K1854" i="12"/>
  <c r="F1854" i="12"/>
  <c r="G1854" i="12" s="1"/>
  <c r="E1854" i="12"/>
  <c r="I1854" i="12" s="1"/>
  <c r="C1854" i="12"/>
  <c r="Q1853" i="12"/>
  <c r="O1853" i="12"/>
  <c r="K1853" i="12"/>
  <c r="F1853" i="12"/>
  <c r="G1853" i="12" s="1"/>
  <c r="E1853" i="12"/>
  <c r="I1853" i="12" s="1"/>
  <c r="C1853" i="12"/>
  <c r="Q1852" i="12"/>
  <c r="O1852" i="12"/>
  <c r="K1852" i="12"/>
  <c r="F1852" i="12"/>
  <c r="G1852" i="12" s="1"/>
  <c r="E1852" i="12"/>
  <c r="I1852" i="12" s="1"/>
  <c r="C1852" i="12"/>
  <c r="Q1851" i="12"/>
  <c r="O1851" i="12"/>
  <c r="K1851" i="12"/>
  <c r="F1851" i="12"/>
  <c r="G1851" i="12" s="1"/>
  <c r="L1851" i="12" s="1"/>
  <c r="E1851" i="12"/>
  <c r="I1851" i="12" s="1"/>
  <c r="C1851" i="12"/>
  <c r="Q1850" i="12"/>
  <c r="O1850" i="12"/>
  <c r="K1850" i="12"/>
  <c r="F1850" i="12"/>
  <c r="G1850" i="12" s="1"/>
  <c r="E1850" i="12"/>
  <c r="I1850" i="12" s="1"/>
  <c r="C1850" i="12"/>
  <c r="Q1849" i="12"/>
  <c r="O1849" i="12"/>
  <c r="K1849" i="12"/>
  <c r="F1849" i="12"/>
  <c r="G1849" i="12" s="1"/>
  <c r="J1849" i="12" s="1"/>
  <c r="E1849" i="12"/>
  <c r="I1849" i="12" s="1"/>
  <c r="C1849" i="12"/>
  <c r="Q1848" i="12"/>
  <c r="O1848" i="12"/>
  <c r="K1848" i="12"/>
  <c r="F1848" i="12"/>
  <c r="G1848" i="12" s="1"/>
  <c r="E1848" i="12"/>
  <c r="I1848" i="12" s="1"/>
  <c r="C1848" i="12"/>
  <c r="Q1847" i="12"/>
  <c r="O1847" i="12"/>
  <c r="K1847" i="12"/>
  <c r="F1847" i="12"/>
  <c r="G1847" i="12" s="1"/>
  <c r="E1847" i="12"/>
  <c r="I1847" i="12" s="1"/>
  <c r="C1847" i="12"/>
  <c r="Q1846" i="12"/>
  <c r="O1846" i="12"/>
  <c r="K1846" i="12"/>
  <c r="F1846" i="12"/>
  <c r="G1846" i="12" s="1"/>
  <c r="E1846" i="12"/>
  <c r="I1846" i="12" s="1"/>
  <c r="C1846" i="12"/>
  <c r="Q1845" i="12"/>
  <c r="O1845" i="12"/>
  <c r="K1845" i="12"/>
  <c r="F1845" i="12"/>
  <c r="G1845" i="12" s="1"/>
  <c r="E1845" i="12"/>
  <c r="I1845" i="12" s="1"/>
  <c r="C1845" i="12"/>
  <c r="Q1844" i="12"/>
  <c r="O1844" i="12"/>
  <c r="K1844" i="12"/>
  <c r="F1844" i="12"/>
  <c r="G1844" i="12" s="1"/>
  <c r="E1844" i="12"/>
  <c r="I1844" i="12" s="1"/>
  <c r="C1844" i="12"/>
  <c r="Q1843" i="12"/>
  <c r="O1843" i="12"/>
  <c r="K1843" i="12"/>
  <c r="F1843" i="12"/>
  <c r="G1843" i="12" s="1"/>
  <c r="E1843" i="12"/>
  <c r="I1843" i="12" s="1"/>
  <c r="C1843" i="12"/>
  <c r="Q1842" i="12"/>
  <c r="O1842" i="12"/>
  <c r="K1842" i="12"/>
  <c r="F1842" i="12"/>
  <c r="G1842" i="12" s="1"/>
  <c r="E1842" i="12"/>
  <c r="I1842" i="12" s="1"/>
  <c r="C1842" i="12"/>
  <c r="Q1841" i="12"/>
  <c r="O1841" i="12"/>
  <c r="K1841" i="12"/>
  <c r="F1841" i="12"/>
  <c r="G1841" i="12" s="1"/>
  <c r="E1841" i="12"/>
  <c r="I1841" i="12" s="1"/>
  <c r="C1841" i="12"/>
  <c r="Q1840" i="12"/>
  <c r="O1840" i="12"/>
  <c r="K1840" i="12"/>
  <c r="F1840" i="12"/>
  <c r="G1840" i="12" s="1"/>
  <c r="E1840" i="12"/>
  <c r="I1840" i="12" s="1"/>
  <c r="C1840" i="12"/>
  <c r="Q1839" i="12"/>
  <c r="O1839" i="12"/>
  <c r="K1839" i="12"/>
  <c r="F1839" i="12"/>
  <c r="G1839" i="12" s="1"/>
  <c r="J1839" i="12" s="1"/>
  <c r="E1839" i="12"/>
  <c r="I1839" i="12" s="1"/>
  <c r="C1839" i="12"/>
  <c r="Q1838" i="12"/>
  <c r="O1838" i="12"/>
  <c r="K1838" i="12"/>
  <c r="F1838" i="12"/>
  <c r="G1838" i="12" s="1"/>
  <c r="L1838" i="12" s="1"/>
  <c r="E1838" i="12"/>
  <c r="I1838" i="12" s="1"/>
  <c r="C1838" i="12"/>
  <c r="Q1837" i="12"/>
  <c r="O1837" i="12"/>
  <c r="K1837" i="12"/>
  <c r="F1837" i="12"/>
  <c r="G1837" i="12" s="1"/>
  <c r="E1837" i="12"/>
  <c r="I1837" i="12" s="1"/>
  <c r="C1837" i="12"/>
  <c r="Q1836" i="12"/>
  <c r="O1836" i="12"/>
  <c r="K1836" i="12"/>
  <c r="F1836" i="12"/>
  <c r="G1836" i="12" s="1"/>
  <c r="E1836" i="12"/>
  <c r="I1836" i="12" s="1"/>
  <c r="C1836" i="12"/>
  <c r="Q1835" i="12"/>
  <c r="O1835" i="12"/>
  <c r="K1835" i="12"/>
  <c r="F1835" i="12"/>
  <c r="G1835" i="12" s="1"/>
  <c r="E1835" i="12"/>
  <c r="I1835" i="12" s="1"/>
  <c r="C1835" i="12"/>
  <c r="Q1834" i="12"/>
  <c r="O1834" i="12"/>
  <c r="K1834" i="12"/>
  <c r="F1834" i="12"/>
  <c r="G1834" i="12" s="1"/>
  <c r="E1834" i="12"/>
  <c r="I1834" i="12" s="1"/>
  <c r="C1834" i="12"/>
  <c r="Q1833" i="12"/>
  <c r="O1833" i="12"/>
  <c r="K1833" i="12"/>
  <c r="F1833" i="12"/>
  <c r="G1833" i="12" s="1"/>
  <c r="E1833" i="12"/>
  <c r="I1833" i="12" s="1"/>
  <c r="C1833" i="12"/>
  <c r="Q1832" i="12"/>
  <c r="O1832" i="12"/>
  <c r="K1832" i="12"/>
  <c r="F1832" i="12"/>
  <c r="E1832" i="12"/>
  <c r="I1832" i="12" s="1"/>
  <c r="C1832" i="12"/>
  <c r="Q1831" i="12"/>
  <c r="O1831" i="12"/>
  <c r="K1831" i="12"/>
  <c r="F1831" i="12"/>
  <c r="G1831" i="12" s="1"/>
  <c r="E1831" i="12"/>
  <c r="I1831" i="12" s="1"/>
  <c r="C1831" i="12"/>
  <c r="Q1830" i="12"/>
  <c r="O1830" i="12"/>
  <c r="K1830" i="12"/>
  <c r="F1830" i="12"/>
  <c r="G1830" i="12" s="1"/>
  <c r="E1830" i="12"/>
  <c r="I1830" i="12" s="1"/>
  <c r="C1830" i="12"/>
  <c r="Q1829" i="12"/>
  <c r="O1829" i="12"/>
  <c r="K1829" i="12"/>
  <c r="F1829" i="12"/>
  <c r="G1829" i="12" s="1"/>
  <c r="E1829" i="12"/>
  <c r="I1829" i="12" s="1"/>
  <c r="C1829" i="12"/>
  <c r="Q1828" i="12"/>
  <c r="O1828" i="12"/>
  <c r="K1828" i="12"/>
  <c r="F1828" i="12"/>
  <c r="G1828" i="12" s="1"/>
  <c r="L1828" i="12" s="1"/>
  <c r="E1828" i="12"/>
  <c r="I1828" i="12" s="1"/>
  <c r="C1828" i="12"/>
  <c r="Q1827" i="12"/>
  <c r="O1827" i="12"/>
  <c r="K1827" i="12"/>
  <c r="F1827" i="12"/>
  <c r="G1827" i="12" s="1"/>
  <c r="E1827" i="12"/>
  <c r="I1827" i="12" s="1"/>
  <c r="C1827" i="12"/>
  <c r="Q1826" i="12"/>
  <c r="O1826" i="12"/>
  <c r="K1826" i="12"/>
  <c r="F1826" i="12"/>
  <c r="G1826" i="12" s="1"/>
  <c r="E1826" i="12"/>
  <c r="I1826" i="12" s="1"/>
  <c r="C1826" i="12"/>
  <c r="Q1825" i="12"/>
  <c r="O1825" i="12"/>
  <c r="K1825" i="12"/>
  <c r="F1825" i="12"/>
  <c r="G1825" i="12" s="1"/>
  <c r="J1825" i="12" s="1"/>
  <c r="E1825" i="12"/>
  <c r="I1825" i="12" s="1"/>
  <c r="C1825" i="12"/>
  <c r="Q1824" i="12"/>
  <c r="O1824" i="12"/>
  <c r="K1824" i="12"/>
  <c r="F1824" i="12"/>
  <c r="G1824" i="12" s="1"/>
  <c r="E1824" i="12"/>
  <c r="I1824" i="12" s="1"/>
  <c r="C1824" i="12"/>
  <c r="Q1823" i="12"/>
  <c r="O1823" i="12"/>
  <c r="K1823" i="12"/>
  <c r="F1823" i="12"/>
  <c r="G1823" i="12" s="1"/>
  <c r="E1823" i="12"/>
  <c r="I1823" i="12" s="1"/>
  <c r="C1823" i="12"/>
  <c r="Q1822" i="12"/>
  <c r="O1822" i="12"/>
  <c r="K1822" i="12"/>
  <c r="F1822" i="12"/>
  <c r="G1822" i="12" s="1"/>
  <c r="E1822" i="12"/>
  <c r="I1822" i="12" s="1"/>
  <c r="C1822" i="12"/>
  <c r="Q1812" i="12"/>
  <c r="O1812" i="12"/>
  <c r="K1812" i="12"/>
  <c r="F1812" i="12"/>
  <c r="G1812" i="12" s="1"/>
  <c r="E1812" i="12"/>
  <c r="I1812" i="12" s="1"/>
  <c r="C1812" i="12"/>
  <c r="Q1821" i="12"/>
  <c r="O1821" i="12"/>
  <c r="K1821" i="12"/>
  <c r="F1821" i="12"/>
  <c r="G1821" i="12" s="1"/>
  <c r="E1821" i="12"/>
  <c r="I1821" i="12" s="1"/>
  <c r="C1821" i="12"/>
  <c r="Q1820" i="12"/>
  <c r="O1820" i="12"/>
  <c r="K1820" i="12"/>
  <c r="F1820" i="12"/>
  <c r="G1820" i="12" s="1"/>
  <c r="E1820" i="12"/>
  <c r="I1820" i="12" s="1"/>
  <c r="C1820" i="12"/>
  <c r="Q1819" i="12"/>
  <c r="O1819" i="12"/>
  <c r="K1819" i="12"/>
  <c r="F1819" i="12"/>
  <c r="G1819" i="12" s="1"/>
  <c r="E1819" i="12"/>
  <c r="I1819" i="12" s="1"/>
  <c r="C1819" i="12"/>
  <c r="Q1818" i="12"/>
  <c r="O1818" i="12"/>
  <c r="K1818" i="12"/>
  <c r="F1818" i="12"/>
  <c r="G1818" i="12" s="1"/>
  <c r="J1818" i="12" s="1"/>
  <c r="E1818" i="12"/>
  <c r="I1818" i="12" s="1"/>
  <c r="C1818" i="12"/>
  <c r="Q1817" i="12"/>
  <c r="O1817" i="12"/>
  <c r="K1817" i="12"/>
  <c r="F1817" i="12"/>
  <c r="G1817" i="12" s="1"/>
  <c r="E1817" i="12"/>
  <c r="I1817" i="12" s="1"/>
  <c r="C1817" i="12"/>
  <c r="Q1816" i="12"/>
  <c r="O1816" i="12"/>
  <c r="K1816" i="12"/>
  <c r="F1816" i="12"/>
  <c r="G1816" i="12" s="1"/>
  <c r="E1816" i="12"/>
  <c r="I1816" i="12" s="1"/>
  <c r="C1816" i="12"/>
  <c r="Q1815" i="12"/>
  <c r="O1815" i="12"/>
  <c r="K1815" i="12"/>
  <c r="F1815" i="12"/>
  <c r="G1815" i="12" s="1"/>
  <c r="E1815" i="12"/>
  <c r="I1815" i="12" s="1"/>
  <c r="C1815" i="12"/>
  <c r="Q1814" i="12"/>
  <c r="O1814" i="12"/>
  <c r="K1814" i="12"/>
  <c r="F1814" i="12"/>
  <c r="G1814" i="12" s="1"/>
  <c r="E1814" i="12"/>
  <c r="I1814" i="12" s="1"/>
  <c r="C1814" i="12"/>
  <c r="Q1813" i="12"/>
  <c r="O1813" i="12"/>
  <c r="K1813" i="12"/>
  <c r="F1813" i="12"/>
  <c r="G1813" i="12" s="1"/>
  <c r="J1813" i="12" s="1"/>
  <c r="E1813" i="12"/>
  <c r="I1813" i="12" s="1"/>
  <c r="C1813" i="12"/>
  <c r="Q1811" i="12"/>
  <c r="O1811" i="12"/>
  <c r="K1811" i="12"/>
  <c r="F1811" i="12"/>
  <c r="G1811" i="12" s="1"/>
  <c r="E1811" i="12"/>
  <c r="I1811" i="12" s="1"/>
  <c r="C1811" i="12"/>
  <c r="Q1810" i="12"/>
  <c r="O1810" i="12"/>
  <c r="K1810" i="12"/>
  <c r="F1810" i="12"/>
  <c r="G1810" i="12" s="1"/>
  <c r="E1810" i="12"/>
  <c r="I1810" i="12" s="1"/>
  <c r="C1810" i="12"/>
  <c r="Q1809" i="12"/>
  <c r="O1809" i="12"/>
  <c r="K1809" i="12"/>
  <c r="F1809" i="12"/>
  <c r="G1809" i="12" s="1"/>
  <c r="E1809" i="12"/>
  <c r="I1809" i="12" s="1"/>
  <c r="C1809" i="12"/>
  <c r="Q1808" i="12"/>
  <c r="O1808" i="12"/>
  <c r="K1808" i="12"/>
  <c r="F1808" i="12"/>
  <c r="G1808" i="12" s="1"/>
  <c r="J1808" i="12" s="1"/>
  <c r="E1808" i="12"/>
  <c r="I1808" i="12" s="1"/>
  <c r="C1808" i="12"/>
  <c r="Q1807" i="12"/>
  <c r="O1807" i="12"/>
  <c r="K1807" i="12"/>
  <c r="F1807" i="12"/>
  <c r="G1807" i="12" s="1"/>
  <c r="E1807" i="12"/>
  <c r="I1807" i="12" s="1"/>
  <c r="C1807" i="12"/>
  <c r="Q1806" i="12"/>
  <c r="O1806" i="12"/>
  <c r="K1806" i="12"/>
  <c r="F1806" i="12"/>
  <c r="G1806" i="12" s="1"/>
  <c r="E1806" i="12"/>
  <c r="I1806" i="12" s="1"/>
  <c r="C1806" i="12"/>
  <c r="Q1805" i="12"/>
  <c r="O1805" i="12"/>
  <c r="K1805" i="12"/>
  <c r="F1805" i="12"/>
  <c r="G1805" i="12" s="1"/>
  <c r="E1805" i="12"/>
  <c r="I1805" i="12" s="1"/>
  <c r="C1805" i="12"/>
  <c r="Q1804" i="12"/>
  <c r="O1804" i="12"/>
  <c r="K1804" i="12"/>
  <c r="F1804" i="12"/>
  <c r="G1804" i="12" s="1"/>
  <c r="E1804" i="12"/>
  <c r="I1804" i="12" s="1"/>
  <c r="C1804" i="12"/>
  <c r="Q1803" i="12"/>
  <c r="O1803" i="12"/>
  <c r="K1803" i="12"/>
  <c r="F1803" i="12"/>
  <c r="G1803" i="12" s="1"/>
  <c r="E1803" i="12"/>
  <c r="I1803" i="12" s="1"/>
  <c r="C1803" i="12"/>
  <c r="Q1802" i="12"/>
  <c r="O1802" i="12"/>
  <c r="K1802" i="12"/>
  <c r="F1802" i="12"/>
  <c r="G1802" i="12" s="1"/>
  <c r="E1802" i="12"/>
  <c r="I1802" i="12" s="1"/>
  <c r="C1802" i="12"/>
  <c r="Q1801" i="12"/>
  <c r="O1801" i="12"/>
  <c r="K1801" i="12"/>
  <c r="F1801" i="12"/>
  <c r="G1801" i="12" s="1"/>
  <c r="E1801" i="12"/>
  <c r="I1801" i="12" s="1"/>
  <c r="C1801" i="12"/>
  <c r="Q1800" i="12"/>
  <c r="O1800" i="12"/>
  <c r="K1800" i="12"/>
  <c r="F1800" i="12"/>
  <c r="G1800" i="12" s="1"/>
  <c r="J1800" i="12" s="1"/>
  <c r="E1800" i="12"/>
  <c r="I1800" i="12" s="1"/>
  <c r="C1800" i="12"/>
  <c r="Q1799" i="12"/>
  <c r="O1799" i="12"/>
  <c r="K1799" i="12"/>
  <c r="F1799" i="12"/>
  <c r="G1799" i="12" s="1"/>
  <c r="E1799" i="12"/>
  <c r="I1799" i="12" s="1"/>
  <c r="C1799" i="12"/>
  <c r="Q1798" i="12"/>
  <c r="O1798" i="12"/>
  <c r="K1798" i="12"/>
  <c r="F1798" i="12"/>
  <c r="G1798" i="12" s="1"/>
  <c r="E1798" i="12"/>
  <c r="I1798" i="12" s="1"/>
  <c r="C1798" i="12"/>
  <c r="Q1797" i="12"/>
  <c r="O1797" i="12"/>
  <c r="K1797" i="12"/>
  <c r="F1797" i="12"/>
  <c r="G1797" i="12" s="1"/>
  <c r="E1797" i="12"/>
  <c r="I1797" i="12" s="1"/>
  <c r="C1797" i="12"/>
  <c r="K1796" i="12"/>
  <c r="F1796" i="12"/>
  <c r="G1796" i="12" s="1"/>
  <c r="E1796" i="12"/>
  <c r="I1796" i="12" s="1"/>
  <c r="C1796" i="12"/>
  <c r="G1894" i="12" l="1"/>
  <c r="J1894" i="12" s="1"/>
  <c r="L1894" i="12" s="1"/>
  <c r="G1906" i="12"/>
  <c r="J1906" i="12" s="1"/>
  <c r="L1906" i="12" s="1"/>
  <c r="G1936" i="12"/>
  <c r="J1936" i="12" s="1"/>
  <c r="L1936" i="12" s="1"/>
  <c r="G1942" i="12"/>
  <c r="J1942" i="12" s="1"/>
  <c r="L1942" i="12" s="1"/>
  <c r="G1921" i="12"/>
  <c r="J1921" i="12" s="1"/>
  <c r="G1881" i="12"/>
  <c r="J1881" i="12" s="1"/>
  <c r="L1881" i="12" s="1"/>
  <c r="G1832" i="12"/>
  <c r="J1832" i="12" s="1"/>
  <c r="L1832" i="12" s="1"/>
  <c r="J1920" i="12"/>
  <c r="L1920" i="12" s="1"/>
  <c r="G1784" i="12"/>
  <c r="J1784" i="12" s="1"/>
  <c r="L1784" i="12" s="1"/>
  <c r="L1924" i="12"/>
  <c r="J1877" i="12"/>
  <c r="L1877" i="12" s="1"/>
  <c r="J1883" i="12"/>
  <c r="L1883" i="12" s="1"/>
  <c r="J1802" i="12"/>
  <c r="L1802" i="12" s="1"/>
  <c r="J1810" i="12"/>
  <c r="L1810" i="12"/>
  <c r="J1815" i="12"/>
  <c r="L1815" i="12" s="1"/>
  <c r="J1820" i="12"/>
  <c r="L1820" i="12" s="1"/>
  <c r="J1827" i="12"/>
  <c r="L1827" i="12" s="1"/>
  <c r="J1841" i="12"/>
  <c r="L1841" i="12"/>
  <c r="J1796" i="12"/>
  <c r="L1796" i="12" s="1"/>
  <c r="J1798" i="12"/>
  <c r="L1798" i="12" s="1"/>
  <c r="J1804" i="12"/>
  <c r="L1804" i="12" s="1"/>
  <c r="J1806" i="12"/>
  <c r="L1806" i="12" s="1"/>
  <c r="J1817" i="12"/>
  <c r="L1817" i="12"/>
  <c r="J1812" i="12"/>
  <c r="L1812" i="12" s="1"/>
  <c r="J1823" i="12"/>
  <c r="L1823" i="12" s="1"/>
  <c r="J1830" i="12"/>
  <c r="L1830" i="12" s="1"/>
  <c r="J1834" i="12"/>
  <c r="L1834" i="12"/>
  <c r="J1837" i="12"/>
  <c r="L1837" i="12" s="1"/>
  <c r="J1843" i="12"/>
  <c r="L1843" i="12" s="1"/>
  <c r="J1876" i="12"/>
  <c r="L1876" i="12" s="1"/>
  <c r="J1888" i="12"/>
  <c r="L1888" i="12" s="1"/>
  <c r="J1890" i="12"/>
  <c r="L1890" i="12" s="1"/>
  <c r="J1892" i="12"/>
  <c r="J1895" i="12"/>
  <c r="L1895" i="12" s="1"/>
  <c r="J1897" i="12"/>
  <c r="L1897" i="12" s="1"/>
  <c r="J1899" i="12"/>
  <c r="L1899" i="12" s="1"/>
  <c r="J1901" i="12"/>
  <c r="L1901" i="12" s="1"/>
  <c r="J1902" i="12"/>
  <c r="L1902" i="12" s="1"/>
  <c r="J1904" i="12"/>
  <c r="L1904" i="12" s="1"/>
  <c r="J1908" i="12"/>
  <c r="L1908" i="12" s="1"/>
  <c r="J1910" i="12"/>
  <c r="L1910" i="12" s="1"/>
  <c r="J1913" i="12"/>
  <c r="L1913" i="12" s="1"/>
  <c r="J1915" i="12"/>
  <c r="L1915" i="12" s="1"/>
  <c r="L1889" i="12"/>
  <c r="L1891" i="12"/>
  <c r="L1893" i="12"/>
  <c r="L1896" i="12"/>
  <c r="L1898" i="12"/>
  <c r="L1900" i="12"/>
  <c r="L1903" i="12"/>
  <c r="L1905" i="12"/>
  <c r="L1907" i="12"/>
  <c r="L1909" i="12"/>
  <c r="L1911" i="12"/>
  <c r="L1912" i="12"/>
  <c r="L1914" i="12"/>
  <c r="L1916" i="12"/>
  <c r="L1919" i="12"/>
  <c r="L1800" i="12"/>
  <c r="L1808" i="12"/>
  <c r="L1813" i="12"/>
  <c r="L1818" i="12"/>
  <c r="L1825" i="12"/>
  <c r="L1839" i="12"/>
  <c r="J1782" i="12"/>
  <c r="L1782" i="12" s="1"/>
  <c r="J1783" i="12"/>
  <c r="L1783" i="12" s="1"/>
  <c r="J1788" i="12"/>
  <c r="L1788" i="12" s="1"/>
  <c r="J1794" i="12"/>
  <c r="L1794" i="12" s="1"/>
  <c r="J1787" i="12"/>
  <c r="L1787" i="12" s="1"/>
  <c r="J1793" i="12"/>
  <c r="L1793" i="12" s="1"/>
  <c r="J1781" i="12"/>
  <c r="L1781" i="12" s="1"/>
  <c r="J1786" i="12"/>
  <c r="L1786" i="12" s="1"/>
  <c r="J1790" i="12"/>
  <c r="L1790" i="12" s="1"/>
  <c r="J1792" i="12"/>
  <c r="L1792" i="12" s="1"/>
  <c r="J1795" i="12"/>
  <c r="L1795" i="12" s="1"/>
  <c r="L1780" i="12"/>
  <c r="L1785" i="12"/>
  <c r="L1789" i="12"/>
  <c r="L1791" i="12"/>
  <c r="J1845" i="12"/>
  <c r="L1845" i="12" s="1"/>
  <c r="J1875" i="12"/>
  <c r="L1875" i="12" s="1"/>
  <c r="J1880" i="12"/>
  <c r="L1880" i="12"/>
  <c r="J1797" i="12"/>
  <c r="L1797" i="12" s="1"/>
  <c r="J1799" i="12"/>
  <c r="L1799" i="12" s="1"/>
  <c r="J1801" i="12"/>
  <c r="L1801" i="12" s="1"/>
  <c r="J1803" i="12"/>
  <c r="L1803" i="12" s="1"/>
  <c r="J1805" i="12"/>
  <c r="L1805" i="12" s="1"/>
  <c r="J1807" i="12"/>
  <c r="L1807" i="12" s="1"/>
  <c r="J1809" i="12"/>
  <c r="L1809" i="12" s="1"/>
  <c r="J1811" i="12"/>
  <c r="L1811" i="12" s="1"/>
  <c r="J1814" i="12"/>
  <c r="L1814" i="12" s="1"/>
  <c r="J1816" i="12"/>
  <c r="L1816" i="12" s="1"/>
  <c r="J1819" i="12"/>
  <c r="L1819" i="12" s="1"/>
  <c r="J1821" i="12"/>
  <c r="L1821" i="12" s="1"/>
  <c r="J1822" i="12"/>
  <c r="L1822" i="12" s="1"/>
  <c r="J1824" i="12"/>
  <c r="L1824" i="12" s="1"/>
  <c r="J1826" i="12"/>
  <c r="L1826" i="12" s="1"/>
  <c r="J1828" i="12"/>
  <c r="J1829" i="12"/>
  <c r="L1829" i="12" s="1"/>
  <c r="J1831" i="12"/>
  <c r="L1831" i="12" s="1"/>
  <c r="J1833" i="12"/>
  <c r="L1833" i="12" s="1"/>
  <c r="J1835" i="12"/>
  <c r="L1835" i="12" s="1"/>
  <c r="J1836" i="12"/>
  <c r="L1836" i="12" s="1"/>
  <c r="J1838" i="12"/>
  <c r="J1840" i="12"/>
  <c r="L1840" i="12" s="1"/>
  <c r="J1842" i="12"/>
  <c r="L1842" i="12" s="1"/>
  <c r="J1844" i="12"/>
  <c r="L1844" i="12" s="1"/>
  <c r="J1848" i="12"/>
  <c r="L1848" i="12" s="1"/>
  <c r="J1852" i="12"/>
  <c r="L1852" i="12" s="1"/>
  <c r="J1856" i="12"/>
  <c r="L1856" i="12" s="1"/>
  <c r="J1860" i="12"/>
  <c r="L1860" i="12" s="1"/>
  <c r="J1864" i="12"/>
  <c r="L1864" i="12" s="1"/>
  <c r="J1882" i="12"/>
  <c r="L1882" i="12" s="1"/>
  <c r="J1886" i="12"/>
  <c r="L1886" i="12" s="1"/>
  <c r="J1865" i="12"/>
  <c r="L1865" i="12" s="1"/>
  <c r="J1846" i="12"/>
  <c r="L1846" i="12" s="1"/>
  <c r="J1850" i="12"/>
  <c r="L1850" i="12" s="1"/>
  <c r="J1854" i="12"/>
  <c r="L1854" i="12" s="1"/>
  <c r="J1858" i="12"/>
  <c r="L1858" i="12" s="1"/>
  <c r="J1862" i="12"/>
  <c r="L1862" i="12"/>
  <c r="J1867" i="12"/>
  <c r="L1867" i="12" s="1"/>
  <c r="J1870" i="12"/>
  <c r="L1870" i="12" s="1"/>
  <c r="J1873" i="12"/>
  <c r="L1873" i="12" s="1"/>
  <c r="L1849" i="12"/>
  <c r="L1855" i="12"/>
  <c r="L1863" i="12"/>
  <c r="J1918" i="12"/>
  <c r="L1918" i="12" s="1"/>
  <c r="J1922" i="12"/>
  <c r="L1922" i="12" s="1"/>
  <c r="J1926" i="12"/>
  <c r="L1926" i="12" s="1"/>
  <c r="J1917" i="12"/>
  <c r="L1917" i="12" s="1"/>
  <c r="L1857" i="12"/>
  <c r="L1868" i="12"/>
  <c r="J1930" i="12"/>
  <c r="L1930" i="12" s="1"/>
  <c r="J1934" i="12"/>
  <c r="L1934" i="12" s="1"/>
  <c r="J1941" i="12"/>
  <c r="L1941" i="12" s="1"/>
  <c r="J1946" i="12"/>
  <c r="L1946" i="12" s="1"/>
  <c r="J1951" i="12"/>
  <c r="L1951" i="12" s="1"/>
  <c r="J1847" i="12"/>
  <c r="L1847" i="12" s="1"/>
  <c r="J1851" i="12"/>
  <c r="J1853" i="12"/>
  <c r="L1853" i="12" s="1"/>
  <c r="J1859" i="12"/>
  <c r="L1859" i="12" s="1"/>
  <c r="J1861" i="12"/>
  <c r="L1861" i="12" s="1"/>
  <c r="J1866" i="12"/>
  <c r="L1866" i="12" s="1"/>
  <c r="J1872" i="12"/>
  <c r="L1872" i="12" s="1"/>
  <c r="J1879" i="12"/>
  <c r="L1879" i="12" s="1"/>
  <c r="J1885" i="12"/>
  <c r="J1869" i="12"/>
  <c r="L1869" i="12" s="1"/>
  <c r="L1871" i="12"/>
  <c r="J1874" i="12"/>
  <c r="L1874" i="12" s="1"/>
  <c r="L1878" i="12"/>
  <c r="L1884" i="12"/>
  <c r="J1887" i="12"/>
  <c r="L1887" i="12" s="1"/>
  <c r="J1923" i="12"/>
  <c r="L1923" i="12" s="1"/>
  <c r="J1925" i="12"/>
  <c r="L1925" i="12" s="1"/>
  <c r="J1929" i="12"/>
  <c r="L1929" i="12" s="1"/>
  <c r="J1933" i="12"/>
  <c r="L1933" i="12" s="1"/>
  <c r="J1937" i="12"/>
  <c r="L1937" i="12" s="1"/>
  <c r="J1940" i="12"/>
  <c r="L1940" i="12"/>
  <c r="J1945" i="12"/>
  <c r="L1945" i="12"/>
  <c r="J1950" i="12"/>
  <c r="L1950" i="12" s="1"/>
  <c r="J1928" i="12"/>
  <c r="L1928" i="12" s="1"/>
  <c r="J1932" i="12"/>
  <c r="L1932" i="12" s="1"/>
  <c r="J1939" i="12"/>
  <c r="L1939" i="12" s="1"/>
  <c r="J1944" i="12"/>
  <c r="L1944" i="12" s="1"/>
  <c r="J1949" i="12"/>
  <c r="L1949" i="12" s="1"/>
  <c r="J1927" i="12"/>
  <c r="L1927" i="12" s="1"/>
  <c r="J1931" i="12"/>
  <c r="L1931" i="12" s="1"/>
  <c r="J1935" i="12"/>
  <c r="L1935" i="12" s="1"/>
  <c r="J1938" i="12"/>
  <c r="L1938" i="12" s="1"/>
  <c r="J1943" i="12"/>
  <c r="L1943" i="12" s="1"/>
  <c r="J1947" i="12"/>
  <c r="L1947" i="12" s="1"/>
  <c r="J1948" i="12"/>
  <c r="L1948" i="12" s="1"/>
  <c r="J1952" i="12"/>
  <c r="L1952" i="12" s="1"/>
  <c r="J1953" i="12"/>
  <c r="L1953" i="12" s="1"/>
  <c r="H1765" i="12"/>
  <c r="P1756" i="12"/>
  <c r="P1746" i="12"/>
  <c r="H1746" i="12"/>
  <c r="P1742" i="12"/>
  <c r="H1742" i="12"/>
  <c r="P1736" i="12"/>
  <c r="L1921" i="12" l="1"/>
  <c r="P1723" i="12"/>
  <c r="H1723" i="12"/>
  <c r="P1721" i="12"/>
  <c r="H1721" i="12"/>
  <c r="H1740" i="12"/>
  <c r="H1736" i="12"/>
  <c r="H1732" i="12"/>
  <c r="P1732" i="12"/>
  <c r="P1716" i="12"/>
  <c r="H1716" i="12"/>
  <c r="P1713" i="12"/>
  <c r="H1713" i="12"/>
  <c r="P1706" i="12"/>
  <c r="Q1710" i="12" l="1"/>
  <c r="O1710" i="12"/>
  <c r="K1710" i="12"/>
  <c r="F1710" i="12"/>
  <c r="G1710" i="12" s="1"/>
  <c r="E1710" i="12"/>
  <c r="I1710" i="12" s="1"/>
  <c r="C1710" i="12"/>
  <c r="J1710" i="12" l="1"/>
  <c r="L1710" i="12" s="1"/>
  <c r="H1689" i="12"/>
  <c r="H1706" i="12"/>
  <c r="P1689" i="12" l="1"/>
  <c r="P1686" i="12"/>
  <c r="P1687" i="12"/>
  <c r="H1687" i="12"/>
  <c r="H1686" i="12"/>
  <c r="P1692" i="12"/>
  <c r="H1692" i="12"/>
  <c r="H1681" i="12"/>
  <c r="O1651" i="12" l="1"/>
  <c r="Q1651" i="12"/>
  <c r="Q1779" i="12"/>
  <c r="O1779" i="12"/>
  <c r="K1779" i="12"/>
  <c r="F1779" i="12"/>
  <c r="G1779" i="12" s="1"/>
  <c r="E1779" i="12"/>
  <c r="I1779" i="12" s="1"/>
  <c r="C1779" i="12"/>
  <c r="Q1778" i="12"/>
  <c r="O1778" i="12"/>
  <c r="K1778" i="12"/>
  <c r="F1778" i="12"/>
  <c r="G1778" i="12" s="1"/>
  <c r="E1778" i="12"/>
  <c r="I1778" i="12" s="1"/>
  <c r="C1778" i="12"/>
  <c r="Q1777" i="12"/>
  <c r="O1777" i="12"/>
  <c r="K1777" i="12"/>
  <c r="F1777" i="12"/>
  <c r="G1777" i="12" s="1"/>
  <c r="E1777" i="12"/>
  <c r="I1777" i="12" s="1"/>
  <c r="C1777" i="12"/>
  <c r="Q1776" i="12"/>
  <c r="O1776" i="12"/>
  <c r="K1776" i="12"/>
  <c r="F1776" i="12"/>
  <c r="G1776" i="12" s="1"/>
  <c r="E1776" i="12"/>
  <c r="I1776" i="12" s="1"/>
  <c r="C1776" i="12"/>
  <c r="Q1775" i="12"/>
  <c r="O1775" i="12"/>
  <c r="K1775" i="12"/>
  <c r="F1775" i="12"/>
  <c r="G1775" i="12" s="1"/>
  <c r="E1775" i="12"/>
  <c r="I1775" i="12" s="1"/>
  <c r="C1775" i="12"/>
  <c r="Q1774" i="12"/>
  <c r="O1774" i="12"/>
  <c r="K1774" i="12"/>
  <c r="F1774" i="12"/>
  <c r="G1774" i="12" s="1"/>
  <c r="E1774" i="12"/>
  <c r="I1774" i="12" s="1"/>
  <c r="C1774" i="12"/>
  <c r="Q1773" i="12"/>
  <c r="O1773" i="12"/>
  <c r="K1773" i="12"/>
  <c r="F1773" i="12"/>
  <c r="G1773" i="12" s="1"/>
  <c r="E1773" i="12"/>
  <c r="I1773" i="12" s="1"/>
  <c r="C1773" i="12"/>
  <c r="Q1772" i="12"/>
  <c r="O1772" i="12"/>
  <c r="K1772" i="12"/>
  <c r="F1772" i="12"/>
  <c r="G1772" i="12" s="1"/>
  <c r="E1772" i="12"/>
  <c r="I1772" i="12" s="1"/>
  <c r="C1772" i="12"/>
  <c r="Q1771" i="12"/>
  <c r="O1771" i="12"/>
  <c r="K1771" i="12"/>
  <c r="F1771" i="12"/>
  <c r="G1771" i="12" s="1"/>
  <c r="E1771" i="12"/>
  <c r="I1771" i="12" s="1"/>
  <c r="C1771" i="12"/>
  <c r="Q1770" i="12"/>
  <c r="O1770" i="12"/>
  <c r="K1770" i="12"/>
  <c r="F1770" i="12"/>
  <c r="G1770" i="12" s="1"/>
  <c r="E1770" i="12"/>
  <c r="I1770" i="12" s="1"/>
  <c r="C1770" i="12"/>
  <c r="Q1769" i="12"/>
  <c r="O1769" i="12"/>
  <c r="K1769" i="12"/>
  <c r="F1769" i="12"/>
  <c r="G1769" i="12" s="1"/>
  <c r="E1769" i="12"/>
  <c r="I1769" i="12" s="1"/>
  <c r="C1769" i="12"/>
  <c r="Q1768" i="12"/>
  <c r="O1768" i="12"/>
  <c r="K1768" i="12"/>
  <c r="F1768" i="12"/>
  <c r="G1768" i="12" s="1"/>
  <c r="E1768" i="12"/>
  <c r="I1768" i="12" s="1"/>
  <c r="C1768" i="12"/>
  <c r="Q1750" i="12"/>
  <c r="O1750" i="12"/>
  <c r="K1750" i="12"/>
  <c r="F1750" i="12"/>
  <c r="G1750" i="12" s="1"/>
  <c r="E1750" i="12"/>
  <c r="I1750" i="12" s="1"/>
  <c r="C1750" i="12"/>
  <c r="Q1767" i="12"/>
  <c r="O1767" i="12"/>
  <c r="K1767" i="12"/>
  <c r="F1767" i="12"/>
  <c r="G1767" i="12" s="1"/>
  <c r="E1767" i="12"/>
  <c r="I1767" i="12" s="1"/>
  <c r="C1767" i="12"/>
  <c r="Q1766" i="12"/>
  <c r="O1766" i="12"/>
  <c r="K1766" i="12"/>
  <c r="F1766" i="12"/>
  <c r="G1766" i="12" s="1"/>
  <c r="E1766" i="12"/>
  <c r="I1766" i="12" s="1"/>
  <c r="C1766" i="12"/>
  <c r="Q1765" i="12"/>
  <c r="O1765" i="12"/>
  <c r="K1765" i="12"/>
  <c r="F1765" i="12"/>
  <c r="G1765" i="12" s="1"/>
  <c r="E1765" i="12"/>
  <c r="I1765" i="12" s="1"/>
  <c r="C1765" i="12"/>
  <c r="Q1764" i="12"/>
  <c r="O1764" i="12"/>
  <c r="K1764" i="12"/>
  <c r="F1764" i="12"/>
  <c r="G1764" i="12" s="1"/>
  <c r="E1764" i="12"/>
  <c r="I1764" i="12" s="1"/>
  <c r="C1764" i="12"/>
  <c r="Q1763" i="12"/>
  <c r="O1763" i="12"/>
  <c r="K1763" i="12"/>
  <c r="F1763" i="12"/>
  <c r="G1763" i="12" s="1"/>
  <c r="E1763" i="12"/>
  <c r="I1763" i="12" s="1"/>
  <c r="C1763" i="12"/>
  <c r="Q1762" i="12"/>
  <c r="O1762" i="12"/>
  <c r="K1762" i="12"/>
  <c r="F1762" i="12"/>
  <c r="G1762" i="12" s="1"/>
  <c r="E1762" i="12"/>
  <c r="I1762" i="12" s="1"/>
  <c r="C1762" i="12"/>
  <c r="Q1761" i="12"/>
  <c r="O1761" i="12"/>
  <c r="K1761" i="12"/>
  <c r="F1761" i="12"/>
  <c r="G1761" i="12" s="1"/>
  <c r="E1761" i="12"/>
  <c r="I1761" i="12" s="1"/>
  <c r="C1761" i="12"/>
  <c r="Q1760" i="12"/>
  <c r="O1760" i="12"/>
  <c r="K1760" i="12"/>
  <c r="F1760" i="12"/>
  <c r="G1760" i="12" s="1"/>
  <c r="E1760" i="12"/>
  <c r="I1760" i="12" s="1"/>
  <c r="C1760" i="12"/>
  <c r="Q1759" i="12"/>
  <c r="O1759" i="12"/>
  <c r="K1759" i="12"/>
  <c r="F1759" i="12"/>
  <c r="G1759" i="12" s="1"/>
  <c r="E1759" i="12"/>
  <c r="I1759" i="12" s="1"/>
  <c r="C1759" i="12"/>
  <c r="Q1758" i="12"/>
  <c r="O1758" i="12"/>
  <c r="K1758" i="12"/>
  <c r="F1758" i="12"/>
  <c r="G1758" i="12" s="1"/>
  <c r="E1758" i="12"/>
  <c r="I1758" i="12" s="1"/>
  <c r="C1758" i="12"/>
  <c r="Q1757" i="12"/>
  <c r="O1757" i="12"/>
  <c r="K1757" i="12"/>
  <c r="F1757" i="12"/>
  <c r="G1757" i="12" s="1"/>
  <c r="E1757" i="12"/>
  <c r="I1757" i="12" s="1"/>
  <c r="C1757" i="12"/>
  <c r="Q1756" i="12"/>
  <c r="O1756" i="12"/>
  <c r="K1756" i="12"/>
  <c r="F1756" i="12"/>
  <c r="G1756" i="12" s="1"/>
  <c r="E1756" i="12"/>
  <c r="I1756" i="12" s="1"/>
  <c r="C1756" i="12"/>
  <c r="Q1755" i="12"/>
  <c r="O1755" i="12"/>
  <c r="K1755" i="12"/>
  <c r="F1755" i="12"/>
  <c r="G1755" i="12" s="1"/>
  <c r="E1755" i="12"/>
  <c r="I1755" i="12" s="1"/>
  <c r="C1755" i="12"/>
  <c r="Q1754" i="12"/>
  <c r="O1754" i="12"/>
  <c r="K1754" i="12"/>
  <c r="F1754" i="12"/>
  <c r="G1754" i="12" s="1"/>
  <c r="E1754" i="12"/>
  <c r="I1754" i="12" s="1"/>
  <c r="C1754" i="12"/>
  <c r="Q1753" i="12"/>
  <c r="O1753" i="12"/>
  <c r="K1753" i="12"/>
  <c r="F1753" i="12"/>
  <c r="G1753" i="12" s="1"/>
  <c r="E1753" i="12"/>
  <c r="I1753" i="12" s="1"/>
  <c r="C1753" i="12"/>
  <c r="Q1752" i="12"/>
  <c r="O1752" i="12"/>
  <c r="K1752" i="12"/>
  <c r="F1752" i="12"/>
  <c r="G1752" i="12" s="1"/>
  <c r="J1752" i="12" s="1"/>
  <c r="E1752" i="12"/>
  <c r="I1752" i="12" s="1"/>
  <c r="C1752" i="12"/>
  <c r="Q1751" i="12"/>
  <c r="O1751" i="12"/>
  <c r="K1751" i="12"/>
  <c r="F1751" i="12"/>
  <c r="G1751" i="12" s="1"/>
  <c r="E1751" i="12"/>
  <c r="I1751" i="12" s="1"/>
  <c r="C1751" i="12"/>
  <c r="Q1749" i="12"/>
  <c r="O1749" i="12"/>
  <c r="K1749" i="12"/>
  <c r="F1749" i="12"/>
  <c r="G1749" i="12" s="1"/>
  <c r="E1749" i="12"/>
  <c r="I1749" i="12" s="1"/>
  <c r="C1749" i="12"/>
  <c r="Q1748" i="12"/>
  <c r="O1748" i="12"/>
  <c r="K1748" i="12"/>
  <c r="F1748" i="12"/>
  <c r="G1748" i="12" s="1"/>
  <c r="E1748" i="12"/>
  <c r="I1748" i="12" s="1"/>
  <c r="C1748" i="12"/>
  <c r="Q1747" i="12"/>
  <c r="O1747" i="12"/>
  <c r="K1747" i="12"/>
  <c r="F1747" i="12"/>
  <c r="G1747" i="12" s="1"/>
  <c r="E1747" i="12"/>
  <c r="I1747" i="12" s="1"/>
  <c r="C1747" i="12"/>
  <c r="Q1746" i="12"/>
  <c r="O1746" i="12"/>
  <c r="K1746" i="12"/>
  <c r="F1746" i="12"/>
  <c r="G1746" i="12" s="1"/>
  <c r="J1746" i="12" s="1"/>
  <c r="E1746" i="12"/>
  <c r="I1746" i="12" s="1"/>
  <c r="C1746" i="12"/>
  <c r="Q1745" i="12"/>
  <c r="O1745" i="12"/>
  <c r="K1745" i="12"/>
  <c r="F1745" i="12"/>
  <c r="G1745" i="12" s="1"/>
  <c r="E1745" i="12"/>
  <c r="I1745" i="12" s="1"/>
  <c r="C1745" i="12"/>
  <c r="Q1744" i="12"/>
  <c r="O1744" i="12"/>
  <c r="K1744" i="12"/>
  <c r="F1744" i="12"/>
  <c r="G1744" i="12" s="1"/>
  <c r="E1744" i="12"/>
  <c r="I1744" i="12" s="1"/>
  <c r="C1744" i="12"/>
  <c r="Q1743" i="12"/>
  <c r="O1743" i="12"/>
  <c r="K1743" i="12"/>
  <c r="F1743" i="12"/>
  <c r="G1743" i="12" s="1"/>
  <c r="E1743" i="12"/>
  <c r="I1743" i="12" s="1"/>
  <c r="C1743" i="12"/>
  <c r="Q1742" i="12"/>
  <c r="O1742" i="12"/>
  <c r="K1742" i="12"/>
  <c r="F1742" i="12"/>
  <c r="G1742" i="12" s="1"/>
  <c r="E1742" i="12"/>
  <c r="I1742" i="12" s="1"/>
  <c r="C1742" i="12"/>
  <c r="Q1741" i="12"/>
  <c r="O1741" i="12"/>
  <c r="K1741" i="12"/>
  <c r="F1741" i="12"/>
  <c r="G1741" i="12" s="1"/>
  <c r="J1741" i="12" s="1"/>
  <c r="E1741" i="12"/>
  <c r="I1741" i="12" s="1"/>
  <c r="C1741" i="12"/>
  <c r="Q1740" i="12"/>
  <c r="O1740" i="12"/>
  <c r="K1740" i="12"/>
  <c r="F1740" i="12"/>
  <c r="G1740" i="12" s="1"/>
  <c r="J1740" i="12" s="1"/>
  <c r="E1740" i="12"/>
  <c r="I1740" i="12" s="1"/>
  <c r="C1740" i="12"/>
  <c r="Q1739" i="12"/>
  <c r="O1739" i="12"/>
  <c r="K1739" i="12"/>
  <c r="F1739" i="12"/>
  <c r="G1739" i="12" s="1"/>
  <c r="E1739" i="12"/>
  <c r="I1739" i="12" s="1"/>
  <c r="C1739" i="12"/>
  <c r="Q1738" i="12"/>
  <c r="O1738" i="12"/>
  <c r="K1738" i="12"/>
  <c r="F1738" i="12"/>
  <c r="G1738" i="12" s="1"/>
  <c r="L1738" i="12" s="1"/>
  <c r="E1738" i="12"/>
  <c r="I1738" i="12" s="1"/>
  <c r="C1738" i="12"/>
  <c r="Q1737" i="12"/>
  <c r="O1737" i="12"/>
  <c r="K1737" i="12"/>
  <c r="F1737" i="12"/>
  <c r="G1737" i="12" s="1"/>
  <c r="E1737" i="12"/>
  <c r="I1737" i="12" s="1"/>
  <c r="C1737" i="12"/>
  <c r="Q1736" i="12"/>
  <c r="O1736" i="12"/>
  <c r="K1736" i="12"/>
  <c r="F1736" i="12"/>
  <c r="G1736" i="12" s="1"/>
  <c r="E1736" i="12"/>
  <c r="I1736" i="12" s="1"/>
  <c r="C1736" i="12"/>
  <c r="Q1735" i="12"/>
  <c r="O1735" i="12"/>
  <c r="K1735" i="12"/>
  <c r="F1735" i="12"/>
  <c r="G1735" i="12" s="1"/>
  <c r="E1735" i="12"/>
  <c r="I1735" i="12" s="1"/>
  <c r="C1735" i="12"/>
  <c r="Q1734" i="12"/>
  <c r="O1734" i="12"/>
  <c r="K1734" i="12"/>
  <c r="F1734" i="12"/>
  <c r="G1734" i="12" s="1"/>
  <c r="E1734" i="12"/>
  <c r="I1734" i="12" s="1"/>
  <c r="C1734" i="12"/>
  <c r="Q1733" i="12"/>
  <c r="O1733" i="12"/>
  <c r="K1733" i="12"/>
  <c r="F1733" i="12"/>
  <c r="G1733" i="12" s="1"/>
  <c r="E1733" i="12"/>
  <c r="I1733" i="12" s="1"/>
  <c r="C1733" i="12"/>
  <c r="Q1732" i="12"/>
  <c r="O1732" i="12"/>
  <c r="K1732" i="12"/>
  <c r="F1732" i="12"/>
  <c r="G1732" i="12" s="1"/>
  <c r="E1732" i="12"/>
  <c r="I1732" i="12" s="1"/>
  <c r="C1732" i="12"/>
  <c r="Q1731" i="12"/>
  <c r="O1731" i="12"/>
  <c r="K1731" i="12"/>
  <c r="F1731" i="12"/>
  <c r="G1731" i="12" s="1"/>
  <c r="J1731" i="12" s="1"/>
  <c r="E1731" i="12"/>
  <c r="I1731" i="12" s="1"/>
  <c r="C1731" i="12"/>
  <c r="Q1730" i="12"/>
  <c r="O1730" i="12"/>
  <c r="K1730" i="12"/>
  <c r="F1730" i="12"/>
  <c r="G1730" i="12" s="1"/>
  <c r="E1730" i="12"/>
  <c r="I1730" i="12" s="1"/>
  <c r="C1730" i="12"/>
  <c r="Q1729" i="12"/>
  <c r="O1729" i="12"/>
  <c r="K1729" i="12"/>
  <c r="F1729" i="12"/>
  <c r="G1729" i="12" s="1"/>
  <c r="E1729" i="12"/>
  <c r="I1729" i="12" s="1"/>
  <c r="C1729" i="12"/>
  <c r="Q1728" i="12"/>
  <c r="O1728" i="12"/>
  <c r="K1728" i="12"/>
  <c r="F1728" i="12"/>
  <c r="G1728" i="12" s="1"/>
  <c r="E1728" i="12"/>
  <c r="I1728" i="12" s="1"/>
  <c r="C1728" i="12"/>
  <c r="Q1727" i="12"/>
  <c r="O1727" i="12"/>
  <c r="K1727" i="12"/>
  <c r="F1727" i="12"/>
  <c r="G1727" i="12" s="1"/>
  <c r="E1727" i="12"/>
  <c r="I1727" i="12" s="1"/>
  <c r="C1727" i="12"/>
  <c r="Q1726" i="12"/>
  <c r="O1726" i="12"/>
  <c r="K1726" i="12"/>
  <c r="F1726" i="12"/>
  <c r="G1726" i="12" s="1"/>
  <c r="J1726" i="12" s="1"/>
  <c r="E1726" i="12"/>
  <c r="I1726" i="12" s="1"/>
  <c r="C1726" i="12"/>
  <c r="Q1725" i="12"/>
  <c r="O1725" i="12"/>
  <c r="K1725" i="12"/>
  <c r="F1725" i="12"/>
  <c r="G1725" i="12" s="1"/>
  <c r="E1725" i="12"/>
  <c r="I1725" i="12" s="1"/>
  <c r="C1725" i="12"/>
  <c r="Q1724" i="12"/>
  <c r="O1724" i="12"/>
  <c r="K1724" i="12"/>
  <c r="F1724" i="12"/>
  <c r="G1724" i="12" s="1"/>
  <c r="E1724" i="12"/>
  <c r="I1724" i="12" s="1"/>
  <c r="C1724" i="12"/>
  <c r="Q1723" i="12"/>
  <c r="O1723" i="12"/>
  <c r="K1723" i="12"/>
  <c r="F1723" i="12"/>
  <c r="G1723" i="12" s="1"/>
  <c r="E1723" i="12"/>
  <c r="I1723" i="12" s="1"/>
  <c r="C1723" i="12"/>
  <c r="Q1722" i="12"/>
  <c r="O1722" i="12"/>
  <c r="K1722" i="12"/>
  <c r="F1722" i="12"/>
  <c r="G1722" i="12" s="1"/>
  <c r="J1722" i="12" s="1"/>
  <c r="E1722" i="12"/>
  <c r="I1722" i="12" s="1"/>
  <c r="C1722" i="12"/>
  <c r="Q1721" i="12"/>
  <c r="O1721" i="12"/>
  <c r="K1721" i="12"/>
  <c r="F1721" i="12"/>
  <c r="G1721" i="12" s="1"/>
  <c r="E1721" i="12"/>
  <c r="I1721" i="12" s="1"/>
  <c r="C1721" i="12"/>
  <c r="Q1720" i="12"/>
  <c r="O1720" i="12"/>
  <c r="K1720" i="12"/>
  <c r="F1720" i="12"/>
  <c r="G1720" i="12" s="1"/>
  <c r="J1720" i="12" s="1"/>
  <c r="E1720" i="12"/>
  <c r="I1720" i="12" s="1"/>
  <c r="C1720" i="12"/>
  <c r="Q1719" i="12"/>
  <c r="O1719" i="12"/>
  <c r="K1719" i="12"/>
  <c r="F1719" i="12"/>
  <c r="G1719" i="12" s="1"/>
  <c r="E1719" i="12"/>
  <c r="I1719" i="12" s="1"/>
  <c r="C1719" i="12"/>
  <c r="Q1718" i="12"/>
  <c r="O1718" i="12"/>
  <c r="K1718" i="12"/>
  <c r="F1718" i="12"/>
  <c r="G1718" i="12" s="1"/>
  <c r="J1718" i="12" s="1"/>
  <c r="E1718" i="12"/>
  <c r="I1718" i="12" s="1"/>
  <c r="C1718" i="12"/>
  <c r="Q1717" i="12"/>
  <c r="O1717" i="12"/>
  <c r="K1717" i="12"/>
  <c r="F1717" i="12"/>
  <c r="G1717" i="12" s="1"/>
  <c r="E1717" i="12"/>
  <c r="I1717" i="12" s="1"/>
  <c r="C1717" i="12"/>
  <c r="Q1716" i="12"/>
  <c r="O1716" i="12"/>
  <c r="K1716" i="12"/>
  <c r="F1716" i="12"/>
  <c r="E1716" i="12"/>
  <c r="I1716" i="12" s="1"/>
  <c r="C1716" i="12"/>
  <c r="Q1715" i="12"/>
  <c r="O1715" i="12"/>
  <c r="K1715" i="12"/>
  <c r="F1715" i="12"/>
  <c r="G1715" i="12" s="1"/>
  <c r="E1715" i="12"/>
  <c r="I1715" i="12" s="1"/>
  <c r="C1715" i="12"/>
  <c r="Q1714" i="12"/>
  <c r="O1714" i="12"/>
  <c r="K1714" i="12"/>
  <c r="F1714" i="12"/>
  <c r="G1714" i="12" s="1"/>
  <c r="L1714" i="12" s="1"/>
  <c r="E1714" i="12"/>
  <c r="I1714" i="12" s="1"/>
  <c r="C1714" i="12"/>
  <c r="Q1713" i="12"/>
  <c r="O1713" i="12"/>
  <c r="K1713" i="12"/>
  <c r="F1713" i="12"/>
  <c r="G1713" i="12" s="1"/>
  <c r="E1713" i="12"/>
  <c r="I1713" i="12" s="1"/>
  <c r="C1713" i="12"/>
  <c r="Q1712" i="12"/>
  <c r="O1712" i="12"/>
  <c r="K1712" i="12"/>
  <c r="F1712" i="12"/>
  <c r="G1712" i="12" s="1"/>
  <c r="E1712" i="12"/>
  <c r="I1712" i="12" s="1"/>
  <c r="C1712" i="12"/>
  <c r="G1716" i="12" l="1"/>
  <c r="J1716" i="12" s="1"/>
  <c r="L1716" i="12" s="1"/>
  <c r="J1749" i="12"/>
  <c r="L1749" i="12" s="1"/>
  <c r="J1734" i="12"/>
  <c r="L1734" i="12" s="1"/>
  <c r="J1735" i="12"/>
  <c r="L1735" i="12" s="1"/>
  <c r="J1725" i="12"/>
  <c r="L1725" i="12" s="1"/>
  <c r="J1729" i="12"/>
  <c r="L1729" i="12" s="1"/>
  <c r="J1730" i="12"/>
  <c r="L1730" i="12" s="1"/>
  <c r="J1739" i="12"/>
  <c r="L1739" i="12" s="1"/>
  <c r="J1727" i="12"/>
  <c r="L1727" i="12" s="1"/>
  <c r="J1732" i="12"/>
  <c r="L1732" i="12" s="1"/>
  <c r="J1737" i="12"/>
  <c r="L1737" i="12" s="1"/>
  <c r="J1742" i="12"/>
  <c r="L1742" i="12" s="1"/>
  <c r="J1715" i="12"/>
  <c r="L1715" i="12" s="1"/>
  <c r="J1719" i="12"/>
  <c r="L1719" i="12" s="1"/>
  <c r="J1744" i="12"/>
  <c r="L1744" i="12" s="1"/>
  <c r="J1754" i="12"/>
  <c r="L1754" i="12" s="1"/>
  <c r="J1713" i="12"/>
  <c r="L1713" i="12" s="1"/>
  <c r="J1717" i="12"/>
  <c r="L1717" i="12" s="1"/>
  <c r="J1721" i="12"/>
  <c r="L1721" i="12" s="1"/>
  <c r="J1748" i="12"/>
  <c r="L1748" i="12" s="1"/>
  <c r="J1723" i="12"/>
  <c r="L1723" i="12" s="1"/>
  <c r="L1722" i="12"/>
  <c r="L1726" i="12"/>
  <c r="J1756" i="12"/>
  <c r="L1756" i="12" s="1"/>
  <c r="J1766" i="12"/>
  <c r="L1766" i="12" s="1"/>
  <c r="J1770" i="12"/>
  <c r="L1770" i="12" s="1"/>
  <c r="J1775" i="12"/>
  <c r="L1775" i="12" s="1"/>
  <c r="J1745" i="12"/>
  <c r="L1745" i="12" s="1"/>
  <c r="J1751" i="12"/>
  <c r="L1751" i="12" s="1"/>
  <c r="J1755" i="12"/>
  <c r="L1755" i="12" s="1"/>
  <c r="J1758" i="12"/>
  <c r="L1758" i="12" s="1"/>
  <c r="J1761" i="12"/>
  <c r="L1761" i="12" s="1"/>
  <c r="J1765" i="12"/>
  <c r="L1765" i="12" s="1"/>
  <c r="J1767" i="12"/>
  <c r="L1767" i="12" s="1"/>
  <c r="J1769" i="12"/>
  <c r="L1769" i="12" s="1"/>
  <c r="J1774" i="12"/>
  <c r="L1774" i="12" s="1"/>
  <c r="J1778" i="12"/>
  <c r="L1778" i="12"/>
  <c r="L1718" i="12"/>
  <c r="L1720" i="12"/>
  <c r="L1731" i="12"/>
  <c r="L1740" i="12"/>
  <c r="L1741" i="12"/>
  <c r="J1759" i="12"/>
  <c r="L1759" i="12" s="1"/>
  <c r="J1762" i="12"/>
  <c r="L1762" i="12" s="1"/>
  <c r="J1750" i="12"/>
  <c r="L1750" i="12" s="1"/>
  <c r="J1779" i="12"/>
  <c r="L1779" i="12" s="1"/>
  <c r="J1712" i="12"/>
  <c r="L1712" i="12" s="1"/>
  <c r="J1714" i="12"/>
  <c r="J1724" i="12"/>
  <c r="L1724" i="12" s="1"/>
  <c r="J1728" i="12"/>
  <c r="L1728" i="12" s="1"/>
  <c r="J1733" i="12"/>
  <c r="L1733" i="12" s="1"/>
  <c r="J1736" i="12"/>
  <c r="L1736" i="12" s="1"/>
  <c r="J1738" i="12"/>
  <c r="J1743" i="12"/>
  <c r="L1743" i="12" s="1"/>
  <c r="J1747" i="12"/>
  <c r="L1747" i="12" s="1"/>
  <c r="J1753" i="12"/>
  <c r="L1753" i="12" s="1"/>
  <c r="J1764" i="12"/>
  <c r="L1764" i="12" s="1"/>
  <c r="J1768" i="12"/>
  <c r="L1768" i="12" s="1"/>
  <c r="J1772" i="12"/>
  <c r="L1772" i="12" s="1"/>
  <c r="J1773" i="12"/>
  <c r="L1773" i="12" s="1"/>
  <c r="J1777" i="12"/>
  <c r="L1777" i="12" s="1"/>
  <c r="L1746" i="12"/>
  <c r="L1752" i="12"/>
  <c r="J1757" i="12"/>
  <c r="L1757" i="12" s="1"/>
  <c r="J1760" i="12"/>
  <c r="L1760" i="12" s="1"/>
  <c r="J1763" i="12"/>
  <c r="L1763" i="12" s="1"/>
  <c r="J1771" i="12"/>
  <c r="L1771" i="12" s="1"/>
  <c r="J1776" i="12"/>
  <c r="L1776" i="12" s="1"/>
  <c r="P1672" i="12"/>
  <c r="H1672" i="12"/>
  <c r="P1666" i="12"/>
  <c r="H1666" i="12"/>
  <c r="D1660" i="12"/>
  <c r="P1654" i="12"/>
  <c r="H1646" i="12" l="1"/>
  <c r="P1641" i="12"/>
  <c r="H1641" i="12"/>
  <c r="P1653" i="12" l="1"/>
  <c r="H1653" i="12"/>
  <c r="P1646" i="12"/>
  <c r="P1643" i="12" l="1"/>
  <c r="H1643" i="12"/>
  <c r="P1638" i="12"/>
  <c r="H1638" i="12"/>
  <c r="M1804" i="12" l="1"/>
  <c r="M1800" i="12"/>
  <c r="M1706" i="12"/>
  <c r="M1694" i="12"/>
  <c r="M1691" i="12"/>
  <c r="M1690" i="12"/>
  <c r="M1679" i="12"/>
  <c r="M1678" i="12"/>
  <c r="M1674" i="12"/>
  <c r="M1663" i="12"/>
  <c r="M1662" i="12"/>
  <c r="M1658" i="12"/>
  <c r="M1657" i="12"/>
  <c r="M1655" i="12"/>
  <c r="M1653" i="12"/>
  <c r="M1651" i="12"/>
  <c r="M1650" i="12"/>
  <c r="M1649" i="12"/>
  <c r="M1764" i="12"/>
  <c r="M1752" i="12"/>
  <c r="M1748" i="12"/>
  <c r="M1737" i="12"/>
  <c r="M1736" i="12"/>
  <c r="M1733" i="12"/>
  <c r="M1732" i="12"/>
  <c r="M1796" i="12"/>
  <c r="M1785" i="12"/>
  <c r="M1765" i="12"/>
  <c r="M1792" i="12"/>
  <c r="M1788" i="12"/>
  <c r="M1784" i="12"/>
  <c r="M1780" i="12"/>
  <c r="M1721" i="12"/>
  <c r="M1720" i="12"/>
  <c r="M1717" i="12"/>
  <c r="M1716" i="12"/>
  <c r="M1704" i="12"/>
  <c r="M1685" i="12"/>
  <c r="M1801" i="12"/>
  <c r="M1776" i="12"/>
  <c r="M1775" i="12"/>
  <c r="M1774" i="12"/>
  <c r="M1772" i="12"/>
  <c r="M1759" i="12"/>
  <c r="M1755" i="12"/>
  <c r="M1743" i="12"/>
  <c r="M1739" i="12"/>
  <c r="M1727" i="12"/>
  <c r="M1723" i="12"/>
  <c r="M1705" i="12"/>
  <c r="M1700" i="12"/>
  <c r="M1701" i="12"/>
  <c r="M1695" i="12"/>
  <c r="M1689" i="12"/>
  <c r="M1688" i="12"/>
  <c r="M1684" i="12"/>
  <c r="M1789" i="12"/>
  <c r="M1783" i="12"/>
  <c r="M1782" i="12"/>
  <c r="M1781" i="12"/>
  <c r="M1767" i="12"/>
  <c r="M1766" i="12"/>
  <c r="M1745" i="12"/>
  <c r="M1744" i="12"/>
  <c r="M1741" i="12"/>
  <c r="M1740" i="12"/>
  <c r="M1735" i="12"/>
  <c r="M1731" i="12"/>
  <c r="M1713" i="12"/>
  <c r="M1712" i="12"/>
  <c r="M1709" i="12"/>
  <c r="M1708" i="12"/>
  <c r="M1702" i="12"/>
  <c r="M1681" i="12"/>
  <c r="M1680" i="12"/>
  <c r="M1805" i="12"/>
  <c r="M1799" i="12"/>
  <c r="M1798" i="12"/>
  <c r="M1797" i="12"/>
  <c r="M1773" i="12"/>
  <c r="M1768" i="12"/>
  <c r="M1760" i="12"/>
  <c r="M1756" i="12"/>
  <c r="M1751" i="12"/>
  <c r="M1747" i="12"/>
  <c r="M1729" i="12"/>
  <c r="M1728" i="12"/>
  <c r="M1725" i="12"/>
  <c r="M1724" i="12"/>
  <c r="M1719" i="12"/>
  <c r="M1715" i="12"/>
  <c r="M1697" i="12"/>
  <c r="M1696" i="12"/>
  <c r="M1693" i="12"/>
  <c r="M1692" i="12"/>
  <c r="M1687" i="12"/>
  <c r="M1686" i="12"/>
  <c r="M1683" i="12"/>
  <c r="M1682" i="12"/>
  <c r="M1771" i="12"/>
  <c r="M1770" i="12"/>
  <c r="M1769" i="12"/>
  <c r="M1758" i="12"/>
  <c r="M1757" i="12"/>
  <c r="M1750" i="12"/>
  <c r="M1749" i="12"/>
  <c r="M1742" i="12"/>
  <c r="M1734" i="12"/>
  <c r="M1726" i="12"/>
  <c r="M1718" i="12"/>
  <c r="M1711" i="12"/>
  <c r="M1710" i="12"/>
  <c r="M1703" i="12"/>
  <c r="M1666" i="12"/>
  <c r="M1803" i="12"/>
  <c r="M1802" i="12"/>
  <c r="M1787" i="12"/>
  <c r="M1786" i="12"/>
  <c r="M1806" i="12"/>
  <c r="M1791" i="12"/>
  <c r="M1790" i="12"/>
  <c r="M1795" i="12"/>
  <c r="M1794" i="12"/>
  <c r="M1793" i="12"/>
  <c r="M1779" i="12"/>
  <c r="M1778" i="12"/>
  <c r="M1777" i="12"/>
  <c r="M1763" i="12"/>
  <c r="M1762" i="12"/>
  <c r="M1761" i="12"/>
  <c r="M1754" i="12"/>
  <c r="M1753" i="12"/>
  <c r="M1746" i="12"/>
  <c r="M1738" i="12"/>
  <c r="M1730" i="12"/>
  <c r="M1722" i="12"/>
  <c r="M1714" i="12"/>
  <c r="M1707" i="12"/>
  <c r="M1699" i="12"/>
  <c r="M1698" i="12"/>
  <c r="M1677" i="12"/>
  <c r="M1676" i="12"/>
  <c r="M1675" i="12"/>
  <c r="M1673" i="12"/>
  <c r="M1672" i="12"/>
  <c r="M1671" i="12"/>
  <c r="M1670" i="12"/>
  <c r="M1669" i="12"/>
  <c r="M1668" i="12"/>
  <c r="M1667" i="12"/>
  <c r="M1665" i="12"/>
  <c r="M1664" i="12"/>
  <c r="M1660" i="12"/>
  <c r="M1661" i="12"/>
  <c r="M1659" i="12"/>
  <c r="M1656" i="12"/>
  <c r="M1654" i="12"/>
  <c r="M1652" i="12"/>
  <c r="M1648" i="12"/>
  <c r="M1647" i="12"/>
  <c r="P1619" i="12"/>
  <c r="P1621" i="12"/>
  <c r="H1621" i="12"/>
  <c r="H1619" i="12"/>
  <c r="P1611" i="12"/>
  <c r="H1611" i="12"/>
  <c r="P1603" i="12"/>
  <c r="H1603" i="12"/>
  <c r="S1599" i="12" l="1"/>
  <c r="P1598" i="12"/>
  <c r="H1600" i="12"/>
  <c r="H1598" i="12"/>
  <c r="P1595" i="12"/>
  <c r="H1595" i="12"/>
  <c r="P1586" i="12"/>
  <c r="H1586" i="12"/>
  <c r="P1579" i="12"/>
  <c r="H1579" i="12"/>
  <c r="P1562" i="12" l="1"/>
  <c r="H1562" i="12"/>
  <c r="P1564" i="12" l="1"/>
  <c r="F1566" i="12"/>
  <c r="F1567" i="12"/>
  <c r="G1567" i="12" s="1"/>
  <c r="J1567" i="12" s="1"/>
  <c r="F1568" i="12"/>
  <c r="G1568" i="12" s="1"/>
  <c r="J1568" i="12" s="1"/>
  <c r="F1569" i="12"/>
  <c r="G1569" i="12" s="1"/>
  <c r="J1569" i="12" s="1"/>
  <c r="F1570" i="12"/>
  <c r="G1570" i="12" s="1"/>
  <c r="J1570" i="12" s="1"/>
  <c r="F1571" i="12"/>
  <c r="G1571" i="12" s="1"/>
  <c r="J1571" i="12" s="1"/>
  <c r="F1572" i="12"/>
  <c r="G1572" i="12" s="1"/>
  <c r="F1573" i="12"/>
  <c r="G1573" i="12" s="1"/>
  <c r="F1574" i="12"/>
  <c r="G1574" i="12" s="1"/>
  <c r="J1574" i="12" s="1"/>
  <c r="F1575" i="12"/>
  <c r="G1575" i="12" s="1"/>
  <c r="J1575" i="12" s="1"/>
  <c r="F1576" i="12"/>
  <c r="G1576" i="12" s="1"/>
  <c r="J1576" i="12" s="1"/>
  <c r="F1577" i="12"/>
  <c r="G1577" i="12" s="1"/>
  <c r="J1577" i="12" s="1"/>
  <c r="F1578" i="12"/>
  <c r="G1578" i="12" s="1"/>
  <c r="J1578" i="12" s="1"/>
  <c r="F1579" i="12"/>
  <c r="G1579" i="12" s="1"/>
  <c r="J1579" i="12" s="1"/>
  <c r="F1580" i="12"/>
  <c r="G1580" i="12" s="1"/>
  <c r="J1580" i="12" s="1"/>
  <c r="F1581" i="12"/>
  <c r="G1581" i="12" s="1"/>
  <c r="J1581" i="12" s="1"/>
  <c r="F1582" i="12"/>
  <c r="G1582" i="12" s="1"/>
  <c r="J1582" i="12" s="1"/>
  <c r="F1583" i="12"/>
  <c r="G1583" i="12" s="1"/>
  <c r="J1583" i="12" s="1"/>
  <c r="F1584" i="12"/>
  <c r="G1584" i="12" s="1"/>
  <c r="J1584" i="12" s="1"/>
  <c r="F1585" i="12"/>
  <c r="G1585" i="12" s="1"/>
  <c r="J1585" i="12" s="1"/>
  <c r="F1586" i="12"/>
  <c r="G1586" i="12" s="1"/>
  <c r="J1586" i="12" s="1"/>
  <c r="F1587" i="12"/>
  <c r="G1587" i="12" s="1"/>
  <c r="J1587" i="12" s="1"/>
  <c r="F1588" i="12"/>
  <c r="G1588" i="12" s="1"/>
  <c r="F1589" i="12"/>
  <c r="G1589" i="12" s="1"/>
  <c r="F1590" i="12"/>
  <c r="G1590" i="12" s="1"/>
  <c r="F1591" i="12"/>
  <c r="G1591" i="12" s="1"/>
  <c r="J1591" i="12" s="1"/>
  <c r="F1592" i="12"/>
  <c r="G1592" i="12" s="1"/>
  <c r="J1592" i="12" s="1"/>
  <c r="F1593" i="12"/>
  <c r="G1593" i="12" s="1"/>
  <c r="J1593" i="12" s="1"/>
  <c r="F1594" i="12"/>
  <c r="G1594" i="12" s="1"/>
  <c r="J1594" i="12" s="1"/>
  <c r="F1595" i="12"/>
  <c r="G1595" i="12" s="1"/>
  <c r="J1595" i="12" s="1"/>
  <c r="F1596" i="12"/>
  <c r="G1596" i="12" s="1"/>
  <c r="F1597" i="12"/>
  <c r="G1597" i="12" s="1"/>
  <c r="J1597" i="12" s="1"/>
  <c r="F1598" i="12"/>
  <c r="G1598" i="12" s="1"/>
  <c r="J1598" i="12" s="1"/>
  <c r="F1599" i="12"/>
  <c r="G1599" i="12" s="1"/>
  <c r="J1599" i="12" s="1"/>
  <c r="F1600" i="12"/>
  <c r="F1601" i="12"/>
  <c r="G1601" i="12" s="1"/>
  <c r="J1601" i="12" s="1"/>
  <c r="F1602" i="12"/>
  <c r="G1602" i="12" s="1"/>
  <c r="J1602" i="12" s="1"/>
  <c r="F1603" i="12"/>
  <c r="G1603" i="12" s="1"/>
  <c r="F1604" i="12"/>
  <c r="G1604" i="12" s="1"/>
  <c r="F1605" i="12"/>
  <c r="G1605" i="12" s="1"/>
  <c r="J1605" i="12" s="1"/>
  <c r="F1606" i="12"/>
  <c r="G1606" i="12" s="1"/>
  <c r="J1606" i="12" s="1"/>
  <c r="F1607" i="12"/>
  <c r="G1607" i="12" s="1"/>
  <c r="F1608" i="12"/>
  <c r="G1608" i="12" s="1"/>
  <c r="F1609" i="12"/>
  <c r="G1609" i="12" s="1"/>
  <c r="F1610" i="12"/>
  <c r="G1610" i="12" s="1"/>
  <c r="J1610" i="12" s="1"/>
  <c r="F1611" i="12"/>
  <c r="G1611" i="12" s="1"/>
  <c r="J1611" i="12" s="1"/>
  <c r="F1612" i="12"/>
  <c r="F1613" i="12"/>
  <c r="G1613" i="12" s="1"/>
  <c r="J1613" i="12" s="1"/>
  <c r="F1614" i="12"/>
  <c r="G1614" i="12" s="1"/>
  <c r="F1615" i="12"/>
  <c r="G1615" i="12" s="1"/>
  <c r="F1616" i="12"/>
  <c r="G1616" i="12" s="1"/>
  <c r="J1616" i="12" s="1"/>
  <c r="F1617" i="12"/>
  <c r="G1617" i="12" s="1"/>
  <c r="J1617" i="12" s="1"/>
  <c r="F1618" i="12"/>
  <c r="G1618" i="12" s="1"/>
  <c r="J1618" i="12" s="1"/>
  <c r="F1619" i="12"/>
  <c r="G1619" i="12" s="1"/>
  <c r="F1620" i="12"/>
  <c r="G1620" i="12" s="1"/>
  <c r="L1620" i="12" s="1"/>
  <c r="F1621" i="12"/>
  <c r="G1621" i="12" s="1"/>
  <c r="J1621" i="12" s="1"/>
  <c r="F1622" i="12"/>
  <c r="G1622" i="12" s="1"/>
  <c r="J1622" i="12" s="1"/>
  <c r="F1623" i="12"/>
  <c r="G1623" i="12" s="1"/>
  <c r="J1623" i="12" s="1"/>
  <c r="F1624" i="12"/>
  <c r="G1624" i="12" s="1"/>
  <c r="F1625" i="12"/>
  <c r="G1625" i="12" s="1"/>
  <c r="F1626" i="12"/>
  <c r="G1626" i="12" s="1"/>
  <c r="J1626" i="12" s="1"/>
  <c r="F1627" i="12"/>
  <c r="G1627" i="12" s="1"/>
  <c r="J1627" i="12" s="1"/>
  <c r="F1628" i="12"/>
  <c r="G1628" i="12" s="1"/>
  <c r="J1628" i="12" s="1"/>
  <c r="F1629" i="12"/>
  <c r="G1629" i="12" s="1"/>
  <c r="J1629" i="12" s="1"/>
  <c r="F1630" i="12"/>
  <c r="G1630" i="12" s="1"/>
  <c r="J1630" i="12" s="1"/>
  <c r="F1631" i="12"/>
  <c r="G1631" i="12" s="1"/>
  <c r="J1631" i="12" s="1"/>
  <c r="F1632" i="12"/>
  <c r="G1632" i="12" s="1"/>
  <c r="F1633" i="12"/>
  <c r="G1633" i="12" s="1"/>
  <c r="F1634" i="12"/>
  <c r="F1635" i="12"/>
  <c r="G1635" i="12" s="1"/>
  <c r="F1636" i="12"/>
  <c r="G1636" i="12" s="1"/>
  <c r="F1637" i="12"/>
  <c r="G1637" i="12" s="1"/>
  <c r="F1638" i="12"/>
  <c r="G1638" i="12" s="1"/>
  <c r="F1639" i="12"/>
  <c r="G1639" i="12" s="1"/>
  <c r="J1639" i="12" s="1"/>
  <c r="F1640" i="12"/>
  <c r="G1640" i="12" s="1"/>
  <c r="F1641" i="12"/>
  <c r="G1641" i="12" s="1"/>
  <c r="F1642" i="12"/>
  <c r="G1642" i="12" s="1"/>
  <c r="F1643" i="12"/>
  <c r="G1643" i="12" s="1"/>
  <c r="F1644" i="12"/>
  <c r="F1645" i="12"/>
  <c r="G1645" i="12" s="1"/>
  <c r="F1646" i="12"/>
  <c r="G1646" i="12" s="1"/>
  <c r="F1647" i="12"/>
  <c r="G1647" i="12" s="1"/>
  <c r="F1648" i="12"/>
  <c r="G1648" i="12" s="1"/>
  <c r="J1648" i="12" s="1"/>
  <c r="F1649" i="12"/>
  <c r="G1649" i="12" s="1"/>
  <c r="J1649" i="12" s="1"/>
  <c r="F1650" i="12"/>
  <c r="G1650" i="12" s="1"/>
  <c r="J1650" i="12" s="1"/>
  <c r="F1651" i="12"/>
  <c r="G1651" i="12" s="1"/>
  <c r="J1651" i="12" s="1"/>
  <c r="F1652" i="12"/>
  <c r="G1652" i="12" s="1"/>
  <c r="F1653" i="12"/>
  <c r="G1653" i="12" s="1"/>
  <c r="F1654" i="12"/>
  <c r="G1654" i="12" s="1"/>
  <c r="F1655" i="12"/>
  <c r="G1655" i="12" s="1"/>
  <c r="F1656" i="12"/>
  <c r="G1656" i="12" s="1"/>
  <c r="F1657" i="12"/>
  <c r="G1657" i="12" s="1"/>
  <c r="F1658" i="12"/>
  <c r="G1658" i="12" s="1"/>
  <c r="J1658" i="12" s="1"/>
  <c r="F1659" i="12"/>
  <c r="G1659" i="12" s="1"/>
  <c r="J1659" i="12" s="1"/>
  <c r="F1660" i="12"/>
  <c r="G1660" i="12" s="1"/>
  <c r="F1661" i="12"/>
  <c r="G1661" i="12" s="1"/>
  <c r="F1662" i="12"/>
  <c r="G1662" i="12" s="1"/>
  <c r="F1663" i="12"/>
  <c r="G1663" i="12" s="1"/>
  <c r="F1664" i="12"/>
  <c r="F1665" i="12"/>
  <c r="G1665" i="12" s="1"/>
  <c r="J1665" i="12" s="1"/>
  <c r="F1666" i="12"/>
  <c r="G1666" i="12" s="1"/>
  <c r="J1666" i="12" s="1"/>
  <c r="F1667" i="12"/>
  <c r="G1667" i="12" s="1"/>
  <c r="F1668" i="12"/>
  <c r="G1668" i="12" s="1"/>
  <c r="F1669" i="12"/>
  <c r="G1669" i="12" s="1"/>
  <c r="F1670" i="12"/>
  <c r="G1670" i="12" s="1"/>
  <c r="J1670" i="12" s="1"/>
  <c r="F1671" i="12"/>
  <c r="G1671" i="12" s="1"/>
  <c r="J1671" i="12" s="1"/>
  <c r="F1672" i="12"/>
  <c r="G1672" i="12" s="1"/>
  <c r="F1673" i="12"/>
  <c r="G1673" i="12" s="1"/>
  <c r="F1674" i="12"/>
  <c r="G1674" i="12" s="1"/>
  <c r="J1674" i="12" s="1"/>
  <c r="F1675" i="12"/>
  <c r="G1675" i="12" s="1"/>
  <c r="L1675" i="12" s="1"/>
  <c r="F1676" i="12"/>
  <c r="G1676" i="12" s="1"/>
  <c r="L1676" i="12" s="1"/>
  <c r="F1677" i="12"/>
  <c r="G1677" i="12" s="1"/>
  <c r="F1678" i="12"/>
  <c r="G1678" i="12" s="1"/>
  <c r="F1679" i="12"/>
  <c r="G1679" i="12" s="1"/>
  <c r="F1680" i="12"/>
  <c r="G1680" i="12" s="1"/>
  <c r="F1681" i="12"/>
  <c r="G1681" i="12" s="1"/>
  <c r="J1681" i="12" s="1"/>
  <c r="F1682" i="12"/>
  <c r="G1682" i="12" s="1"/>
  <c r="J1682" i="12" s="1"/>
  <c r="F1683" i="12"/>
  <c r="G1683" i="12" s="1"/>
  <c r="J1683" i="12" s="1"/>
  <c r="F1684" i="12"/>
  <c r="G1684" i="12" s="1"/>
  <c r="F1685" i="12"/>
  <c r="G1685" i="12" s="1"/>
  <c r="F1686" i="12"/>
  <c r="G1686" i="12" s="1"/>
  <c r="J1686" i="12" s="1"/>
  <c r="F1687" i="12"/>
  <c r="G1687" i="12" s="1"/>
  <c r="J1687" i="12" s="1"/>
  <c r="F1688" i="12"/>
  <c r="G1688" i="12" s="1"/>
  <c r="J1688" i="12" s="1"/>
  <c r="F1689" i="12"/>
  <c r="G1689" i="12" s="1"/>
  <c r="F1690" i="12"/>
  <c r="G1690" i="12" s="1"/>
  <c r="F1691" i="12"/>
  <c r="G1691" i="12" s="1"/>
  <c r="J1691" i="12" s="1"/>
  <c r="F1692" i="12"/>
  <c r="G1692" i="12" s="1"/>
  <c r="J1692" i="12" s="1"/>
  <c r="F1693" i="12"/>
  <c r="G1693" i="12" s="1"/>
  <c r="J1693" i="12" s="1"/>
  <c r="F1694" i="12"/>
  <c r="G1694" i="12" s="1"/>
  <c r="F1695" i="12"/>
  <c r="G1695" i="12" s="1"/>
  <c r="F1696" i="12"/>
  <c r="G1696" i="12" s="1"/>
  <c r="F1697" i="12"/>
  <c r="G1697" i="12" s="1"/>
  <c r="J1697" i="12" s="1"/>
  <c r="F1698" i="12"/>
  <c r="G1698" i="12" s="1"/>
  <c r="J1698" i="12" s="1"/>
  <c r="F1699" i="12"/>
  <c r="G1699" i="12" s="1"/>
  <c r="F1700" i="12"/>
  <c r="G1700" i="12" s="1"/>
  <c r="F1701" i="12"/>
  <c r="G1701" i="12" s="1"/>
  <c r="F1702" i="12"/>
  <c r="G1702" i="12" s="1"/>
  <c r="F1703" i="12"/>
  <c r="G1703" i="12" s="1"/>
  <c r="F1705" i="12"/>
  <c r="G1705" i="12" s="1"/>
  <c r="F1706" i="12"/>
  <c r="G1706" i="12" s="1"/>
  <c r="J1706" i="12" s="1"/>
  <c r="F1707" i="12"/>
  <c r="G1707" i="12" s="1"/>
  <c r="J1707" i="12" s="1"/>
  <c r="F1708" i="12"/>
  <c r="G1708" i="12" s="1"/>
  <c r="J1708" i="12" s="1"/>
  <c r="F1709" i="12"/>
  <c r="G1709" i="12" s="1"/>
  <c r="F1704" i="12"/>
  <c r="G1704" i="12" s="1"/>
  <c r="F1711" i="12"/>
  <c r="G1711" i="12" s="1"/>
  <c r="G1566" i="12"/>
  <c r="J1566" i="12" s="1"/>
  <c r="H1564" i="12"/>
  <c r="P1558" i="12"/>
  <c r="H1558" i="12"/>
  <c r="P1547" i="12"/>
  <c r="H1547" i="12"/>
  <c r="Q1711" i="12"/>
  <c r="O1711" i="12"/>
  <c r="K1711" i="12"/>
  <c r="E1711" i="12"/>
  <c r="I1711" i="12" s="1"/>
  <c r="C1711" i="12"/>
  <c r="Q1704" i="12"/>
  <c r="O1704" i="12"/>
  <c r="K1704" i="12"/>
  <c r="E1704" i="12"/>
  <c r="I1704" i="12" s="1"/>
  <c r="C1704" i="12"/>
  <c r="Q1709" i="12"/>
  <c r="O1709" i="12"/>
  <c r="K1709" i="12"/>
  <c r="E1709" i="12"/>
  <c r="I1709" i="12" s="1"/>
  <c r="C1709" i="12"/>
  <c r="Q1708" i="12"/>
  <c r="O1708" i="12"/>
  <c r="K1708" i="12"/>
  <c r="E1708" i="12"/>
  <c r="I1708" i="12" s="1"/>
  <c r="C1708" i="12"/>
  <c r="Q1707" i="12"/>
  <c r="O1707" i="12"/>
  <c r="K1707" i="12"/>
  <c r="E1707" i="12"/>
  <c r="I1707" i="12" s="1"/>
  <c r="C1707" i="12"/>
  <c r="Q1706" i="12"/>
  <c r="O1706" i="12"/>
  <c r="K1706" i="12"/>
  <c r="E1706" i="12"/>
  <c r="I1706" i="12" s="1"/>
  <c r="C1706" i="12"/>
  <c r="Q1705" i="12"/>
  <c r="O1705" i="12"/>
  <c r="K1705" i="12"/>
  <c r="E1705" i="12"/>
  <c r="I1705" i="12" s="1"/>
  <c r="C1705" i="12"/>
  <c r="Q1703" i="12"/>
  <c r="O1703" i="12"/>
  <c r="K1703" i="12"/>
  <c r="E1703" i="12"/>
  <c r="I1703" i="12" s="1"/>
  <c r="C1703" i="12"/>
  <c r="Q1702" i="12"/>
  <c r="O1702" i="12"/>
  <c r="K1702" i="12"/>
  <c r="E1702" i="12"/>
  <c r="I1702" i="12" s="1"/>
  <c r="C1702" i="12"/>
  <c r="Q1701" i="12"/>
  <c r="O1701" i="12"/>
  <c r="K1701" i="12"/>
  <c r="E1701" i="12"/>
  <c r="I1701" i="12" s="1"/>
  <c r="C1701" i="12"/>
  <c r="Q1700" i="12"/>
  <c r="O1700" i="12"/>
  <c r="K1700" i="12"/>
  <c r="E1700" i="12"/>
  <c r="I1700" i="12" s="1"/>
  <c r="C1700" i="12"/>
  <c r="Q1699" i="12"/>
  <c r="O1699" i="12"/>
  <c r="K1699" i="12"/>
  <c r="E1699" i="12"/>
  <c r="I1699" i="12" s="1"/>
  <c r="C1699" i="12"/>
  <c r="Q1698" i="12"/>
  <c r="O1698" i="12"/>
  <c r="K1698" i="12"/>
  <c r="E1698" i="12"/>
  <c r="I1698" i="12" s="1"/>
  <c r="C1698" i="12"/>
  <c r="Q1697" i="12"/>
  <c r="O1697" i="12"/>
  <c r="K1697" i="12"/>
  <c r="E1697" i="12"/>
  <c r="I1697" i="12" s="1"/>
  <c r="C1697" i="12"/>
  <c r="Q1696" i="12"/>
  <c r="O1696" i="12"/>
  <c r="K1696" i="12"/>
  <c r="E1696" i="12"/>
  <c r="I1696" i="12" s="1"/>
  <c r="C1696" i="12"/>
  <c r="Q1695" i="12"/>
  <c r="O1695" i="12"/>
  <c r="K1695" i="12"/>
  <c r="E1695" i="12"/>
  <c r="I1695" i="12" s="1"/>
  <c r="C1695" i="12"/>
  <c r="Q1694" i="12"/>
  <c r="O1694" i="12"/>
  <c r="K1694" i="12"/>
  <c r="E1694" i="12"/>
  <c r="I1694" i="12" s="1"/>
  <c r="C1694" i="12"/>
  <c r="Q1693" i="12"/>
  <c r="O1693" i="12"/>
  <c r="K1693" i="12"/>
  <c r="E1693" i="12"/>
  <c r="I1693" i="12" s="1"/>
  <c r="C1693" i="12"/>
  <c r="Q1692" i="12"/>
  <c r="O1692" i="12"/>
  <c r="K1692" i="12"/>
  <c r="E1692" i="12"/>
  <c r="I1692" i="12" s="1"/>
  <c r="C1692" i="12"/>
  <c r="Q1691" i="12"/>
  <c r="O1691" i="12"/>
  <c r="K1691" i="12"/>
  <c r="E1691" i="12"/>
  <c r="I1691" i="12" s="1"/>
  <c r="C1691" i="12"/>
  <c r="Q1690" i="12"/>
  <c r="O1690" i="12"/>
  <c r="K1690" i="12"/>
  <c r="E1690" i="12"/>
  <c r="I1690" i="12" s="1"/>
  <c r="C1690" i="12"/>
  <c r="Q1689" i="12"/>
  <c r="O1689" i="12"/>
  <c r="K1689" i="12"/>
  <c r="E1689" i="12"/>
  <c r="I1689" i="12" s="1"/>
  <c r="C1689" i="12"/>
  <c r="Q1688" i="12"/>
  <c r="O1688" i="12"/>
  <c r="K1688" i="12"/>
  <c r="E1688" i="12"/>
  <c r="I1688" i="12" s="1"/>
  <c r="C1688" i="12"/>
  <c r="Q1687" i="12"/>
  <c r="O1687" i="12"/>
  <c r="K1687" i="12"/>
  <c r="E1687" i="12"/>
  <c r="I1687" i="12" s="1"/>
  <c r="C1687" i="12"/>
  <c r="Q1686" i="12"/>
  <c r="O1686" i="12"/>
  <c r="K1686" i="12"/>
  <c r="E1686" i="12"/>
  <c r="I1686" i="12" s="1"/>
  <c r="C1686" i="12"/>
  <c r="Q1685" i="12"/>
  <c r="O1685" i="12"/>
  <c r="K1685" i="12"/>
  <c r="E1685" i="12"/>
  <c r="I1685" i="12" s="1"/>
  <c r="C1685" i="12"/>
  <c r="Q1684" i="12"/>
  <c r="O1684" i="12"/>
  <c r="K1684" i="12"/>
  <c r="E1684" i="12"/>
  <c r="I1684" i="12" s="1"/>
  <c r="C1684" i="12"/>
  <c r="Q1683" i="12"/>
  <c r="O1683" i="12"/>
  <c r="K1683" i="12"/>
  <c r="E1683" i="12"/>
  <c r="I1683" i="12" s="1"/>
  <c r="C1683" i="12"/>
  <c r="Q1682" i="12"/>
  <c r="O1682" i="12"/>
  <c r="K1682" i="12"/>
  <c r="E1682" i="12"/>
  <c r="I1682" i="12" s="1"/>
  <c r="C1682" i="12"/>
  <c r="Q1681" i="12"/>
  <c r="O1681" i="12"/>
  <c r="K1681" i="12"/>
  <c r="E1681" i="12"/>
  <c r="I1681" i="12" s="1"/>
  <c r="C1681" i="12"/>
  <c r="Q1680" i="12"/>
  <c r="O1680" i="12"/>
  <c r="K1680" i="12"/>
  <c r="E1680" i="12"/>
  <c r="I1680" i="12" s="1"/>
  <c r="C1680" i="12"/>
  <c r="Q1679" i="12"/>
  <c r="O1679" i="12"/>
  <c r="K1679" i="12"/>
  <c r="E1679" i="12"/>
  <c r="I1679" i="12" s="1"/>
  <c r="C1679" i="12"/>
  <c r="Q1678" i="12"/>
  <c r="O1678" i="12"/>
  <c r="K1678" i="12"/>
  <c r="E1678" i="12"/>
  <c r="I1678" i="12" s="1"/>
  <c r="C1678" i="12"/>
  <c r="Q1677" i="12"/>
  <c r="O1677" i="12"/>
  <c r="K1677" i="12"/>
  <c r="E1677" i="12"/>
  <c r="I1677" i="12" s="1"/>
  <c r="C1677" i="12"/>
  <c r="Q1676" i="12"/>
  <c r="O1676" i="12"/>
  <c r="K1676" i="12"/>
  <c r="E1676" i="12"/>
  <c r="I1676" i="12" s="1"/>
  <c r="C1676" i="12"/>
  <c r="Q1675" i="12"/>
  <c r="O1675" i="12"/>
  <c r="K1675" i="12"/>
  <c r="E1675" i="12"/>
  <c r="I1675" i="12" s="1"/>
  <c r="C1675" i="12"/>
  <c r="Q1674" i="12"/>
  <c r="O1674" i="12"/>
  <c r="K1674" i="12"/>
  <c r="E1674" i="12"/>
  <c r="I1674" i="12" s="1"/>
  <c r="C1674" i="12"/>
  <c r="Q1673" i="12"/>
  <c r="O1673" i="12"/>
  <c r="K1673" i="12"/>
  <c r="E1673" i="12"/>
  <c r="I1673" i="12" s="1"/>
  <c r="C1673" i="12"/>
  <c r="Q1672" i="12"/>
  <c r="O1672" i="12"/>
  <c r="K1672" i="12"/>
  <c r="E1672" i="12"/>
  <c r="I1672" i="12" s="1"/>
  <c r="C1672" i="12"/>
  <c r="Q1671" i="12"/>
  <c r="O1671" i="12"/>
  <c r="K1671" i="12"/>
  <c r="E1671" i="12"/>
  <c r="I1671" i="12" s="1"/>
  <c r="C1671" i="12"/>
  <c r="Q1670" i="12"/>
  <c r="O1670" i="12"/>
  <c r="K1670" i="12"/>
  <c r="E1670" i="12"/>
  <c r="I1670" i="12" s="1"/>
  <c r="C1670" i="12"/>
  <c r="Q1669" i="12"/>
  <c r="O1669" i="12"/>
  <c r="K1669" i="12"/>
  <c r="E1669" i="12"/>
  <c r="I1669" i="12" s="1"/>
  <c r="C1669" i="12"/>
  <c r="Q1668" i="12"/>
  <c r="O1668" i="12"/>
  <c r="K1668" i="12"/>
  <c r="E1668" i="12"/>
  <c r="I1668" i="12" s="1"/>
  <c r="C1668" i="12"/>
  <c r="Q1667" i="12"/>
  <c r="O1667" i="12"/>
  <c r="K1667" i="12"/>
  <c r="E1667" i="12"/>
  <c r="I1667" i="12" s="1"/>
  <c r="C1667" i="12"/>
  <c r="Q1666" i="12"/>
  <c r="O1666" i="12"/>
  <c r="K1666" i="12"/>
  <c r="E1666" i="12"/>
  <c r="I1666" i="12" s="1"/>
  <c r="C1666" i="12"/>
  <c r="Q1665" i="12"/>
  <c r="O1665" i="12"/>
  <c r="K1665" i="12"/>
  <c r="E1665" i="12"/>
  <c r="I1665" i="12" s="1"/>
  <c r="C1665" i="12"/>
  <c r="Q1664" i="12"/>
  <c r="O1664" i="12"/>
  <c r="K1664" i="12"/>
  <c r="E1664" i="12"/>
  <c r="I1664" i="12" s="1"/>
  <c r="C1664" i="12"/>
  <c r="Q1663" i="12"/>
  <c r="O1663" i="12"/>
  <c r="K1663" i="12"/>
  <c r="E1663" i="12"/>
  <c r="I1663" i="12" s="1"/>
  <c r="C1663" i="12"/>
  <c r="Q1662" i="12"/>
  <c r="O1662" i="12"/>
  <c r="K1662" i="12"/>
  <c r="E1662" i="12"/>
  <c r="I1662" i="12" s="1"/>
  <c r="C1662" i="12"/>
  <c r="Q1661" i="12"/>
  <c r="O1661" i="12"/>
  <c r="K1661" i="12"/>
  <c r="E1661" i="12"/>
  <c r="I1661" i="12" s="1"/>
  <c r="C1661" i="12"/>
  <c r="Q1660" i="12"/>
  <c r="O1660" i="12"/>
  <c r="K1660" i="12"/>
  <c r="E1660" i="12"/>
  <c r="I1660" i="12" s="1"/>
  <c r="C1660" i="12"/>
  <c r="Q1659" i="12"/>
  <c r="O1659" i="12"/>
  <c r="K1659" i="12"/>
  <c r="E1659" i="12"/>
  <c r="I1659" i="12" s="1"/>
  <c r="C1659" i="12"/>
  <c r="Q1658" i="12"/>
  <c r="O1658" i="12"/>
  <c r="K1658" i="12"/>
  <c r="E1658" i="12"/>
  <c r="I1658" i="12" s="1"/>
  <c r="C1658" i="12"/>
  <c r="Q1657" i="12"/>
  <c r="O1657" i="12"/>
  <c r="K1657" i="12"/>
  <c r="E1657" i="12"/>
  <c r="I1657" i="12" s="1"/>
  <c r="C1657" i="12"/>
  <c r="Q1656" i="12"/>
  <c r="O1656" i="12"/>
  <c r="K1656" i="12"/>
  <c r="E1656" i="12"/>
  <c r="I1656" i="12" s="1"/>
  <c r="C1656" i="12"/>
  <c r="Q1655" i="12"/>
  <c r="O1655" i="12"/>
  <c r="K1655" i="12"/>
  <c r="E1655" i="12"/>
  <c r="I1655" i="12" s="1"/>
  <c r="C1655" i="12"/>
  <c r="Q1654" i="12"/>
  <c r="O1654" i="12"/>
  <c r="K1654" i="12"/>
  <c r="E1654" i="12"/>
  <c r="I1654" i="12" s="1"/>
  <c r="C1654" i="12"/>
  <c r="Q1653" i="12"/>
  <c r="O1653" i="12"/>
  <c r="K1653" i="12"/>
  <c r="E1653" i="12"/>
  <c r="I1653" i="12" s="1"/>
  <c r="C1653" i="12"/>
  <c r="Q1652" i="12"/>
  <c r="O1652" i="12"/>
  <c r="K1652" i="12"/>
  <c r="E1652" i="12"/>
  <c r="I1652" i="12" s="1"/>
  <c r="C1652" i="12"/>
  <c r="K1651" i="12"/>
  <c r="E1651" i="12"/>
  <c r="I1651" i="12" s="1"/>
  <c r="C1651" i="12"/>
  <c r="Q1650" i="12"/>
  <c r="O1650" i="12"/>
  <c r="K1650" i="12"/>
  <c r="E1650" i="12"/>
  <c r="I1650" i="12" s="1"/>
  <c r="C1650" i="12"/>
  <c r="Q1649" i="12"/>
  <c r="O1649" i="12"/>
  <c r="K1649" i="12"/>
  <c r="E1649" i="12"/>
  <c r="I1649" i="12" s="1"/>
  <c r="C1649" i="12"/>
  <c r="Q1648" i="12"/>
  <c r="O1648" i="12"/>
  <c r="K1648" i="12"/>
  <c r="E1648" i="12"/>
  <c r="I1648" i="12" s="1"/>
  <c r="C1648" i="12"/>
  <c r="Q1647" i="12"/>
  <c r="O1647" i="12"/>
  <c r="K1647" i="12"/>
  <c r="E1647" i="12"/>
  <c r="I1647" i="12" s="1"/>
  <c r="C1647" i="12"/>
  <c r="Q1646" i="12"/>
  <c r="O1646" i="12"/>
  <c r="K1646" i="12"/>
  <c r="E1646" i="12"/>
  <c r="I1646" i="12" s="1"/>
  <c r="C1646" i="12"/>
  <c r="Q1645" i="12"/>
  <c r="O1645" i="12"/>
  <c r="K1645" i="12"/>
  <c r="E1645" i="12"/>
  <c r="I1645" i="12" s="1"/>
  <c r="C1645" i="12"/>
  <c r="Q1644" i="12"/>
  <c r="O1644" i="12"/>
  <c r="K1644" i="12"/>
  <c r="E1644" i="12"/>
  <c r="I1644" i="12" s="1"/>
  <c r="C1644" i="12"/>
  <c r="Q1643" i="12"/>
  <c r="O1643" i="12"/>
  <c r="K1643" i="12"/>
  <c r="E1643" i="12"/>
  <c r="I1643" i="12" s="1"/>
  <c r="C1643" i="12"/>
  <c r="Q1642" i="12"/>
  <c r="O1642" i="12"/>
  <c r="K1642" i="12"/>
  <c r="E1642" i="12"/>
  <c r="I1642" i="12" s="1"/>
  <c r="C1642" i="12"/>
  <c r="Q1641" i="12"/>
  <c r="O1641" i="12"/>
  <c r="K1641" i="12"/>
  <c r="E1641" i="12"/>
  <c r="I1641" i="12" s="1"/>
  <c r="C1641" i="12"/>
  <c r="Q1640" i="12"/>
  <c r="O1640" i="12"/>
  <c r="K1640" i="12"/>
  <c r="E1640" i="12"/>
  <c r="I1640" i="12" s="1"/>
  <c r="C1640" i="12"/>
  <c r="Q1639" i="12"/>
  <c r="O1639" i="12"/>
  <c r="K1639" i="12"/>
  <c r="E1639" i="12"/>
  <c r="I1639" i="12" s="1"/>
  <c r="C1639" i="12"/>
  <c r="Q1638" i="12"/>
  <c r="O1638" i="12"/>
  <c r="K1638" i="12"/>
  <c r="E1638" i="12"/>
  <c r="I1638" i="12" s="1"/>
  <c r="C1638" i="12"/>
  <c r="Q1637" i="12"/>
  <c r="O1637" i="12"/>
  <c r="K1637" i="12"/>
  <c r="E1637" i="12"/>
  <c r="I1637" i="12" s="1"/>
  <c r="C1637" i="12"/>
  <c r="Q1636" i="12"/>
  <c r="O1636" i="12"/>
  <c r="K1636" i="12"/>
  <c r="E1636" i="12"/>
  <c r="I1636" i="12" s="1"/>
  <c r="C1636" i="12"/>
  <c r="Q1635" i="12"/>
  <c r="O1635" i="12"/>
  <c r="K1635" i="12"/>
  <c r="E1635" i="12"/>
  <c r="I1635" i="12" s="1"/>
  <c r="C1635" i="12"/>
  <c r="C1618" i="12"/>
  <c r="C1619" i="12"/>
  <c r="C1620" i="12"/>
  <c r="C1621" i="12"/>
  <c r="C1622" i="12"/>
  <c r="C1623" i="12"/>
  <c r="C1624" i="12"/>
  <c r="C1625" i="12"/>
  <c r="C1626" i="12"/>
  <c r="C1627" i="12"/>
  <c r="C1628" i="12"/>
  <c r="C1629" i="12"/>
  <c r="C1630" i="12"/>
  <c r="C1631" i="12"/>
  <c r="C1632" i="12"/>
  <c r="C1633" i="12"/>
  <c r="C1634" i="12"/>
  <c r="E1634" i="12"/>
  <c r="I1634" i="12" s="1"/>
  <c r="K1566" i="12"/>
  <c r="O1566" i="12"/>
  <c r="Q1566" i="12"/>
  <c r="K1567" i="12"/>
  <c r="O1567" i="12"/>
  <c r="Q1567" i="12"/>
  <c r="K1568" i="12"/>
  <c r="O1568" i="12"/>
  <c r="Q1568" i="12"/>
  <c r="K1569" i="12"/>
  <c r="O1569" i="12"/>
  <c r="Q1569" i="12"/>
  <c r="K1570" i="12"/>
  <c r="O1570" i="12"/>
  <c r="Q1570" i="12"/>
  <c r="K1571" i="12"/>
  <c r="O1571" i="12"/>
  <c r="Q1571" i="12"/>
  <c r="K1572" i="12"/>
  <c r="O1572" i="12"/>
  <c r="Q1572" i="12"/>
  <c r="K1573" i="12"/>
  <c r="O1573" i="12"/>
  <c r="Q1573" i="12"/>
  <c r="K1574" i="12"/>
  <c r="O1574" i="12"/>
  <c r="Q1574" i="12"/>
  <c r="K1575" i="12"/>
  <c r="O1575" i="12"/>
  <c r="Q1575" i="12"/>
  <c r="K1576" i="12"/>
  <c r="O1576" i="12"/>
  <c r="Q1576" i="12"/>
  <c r="K1577" i="12"/>
  <c r="O1577" i="12"/>
  <c r="Q1577" i="12"/>
  <c r="K1578" i="12"/>
  <c r="O1578" i="12"/>
  <c r="Q1578" i="12"/>
  <c r="K1579" i="12"/>
  <c r="O1579" i="12"/>
  <c r="Q1579" i="12"/>
  <c r="K1580" i="12"/>
  <c r="O1580" i="12"/>
  <c r="Q1580" i="12"/>
  <c r="K1581" i="12"/>
  <c r="O1581" i="12"/>
  <c r="Q1581" i="12"/>
  <c r="K1582" i="12"/>
  <c r="O1582" i="12"/>
  <c r="Q1582" i="12"/>
  <c r="K1583" i="12"/>
  <c r="O1583" i="12"/>
  <c r="Q1583" i="12"/>
  <c r="K1584" i="12"/>
  <c r="O1584" i="12"/>
  <c r="Q1584" i="12"/>
  <c r="K1585" i="12"/>
  <c r="O1585" i="12"/>
  <c r="Q1585" i="12"/>
  <c r="K1586" i="12"/>
  <c r="O1586" i="12"/>
  <c r="Q1586" i="12"/>
  <c r="K1587" i="12"/>
  <c r="O1587" i="12"/>
  <c r="Q1587" i="12"/>
  <c r="K1588" i="12"/>
  <c r="O1588" i="12"/>
  <c r="Q1588" i="12"/>
  <c r="K1589" i="12"/>
  <c r="O1589" i="12"/>
  <c r="Q1589" i="12"/>
  <c r="K1590" i="12"/>
  <c r="O1590" i="12"/>
  <c r="Q1590" i="12"/>
  <c r="K1591" i="12"/>
  <c r="O1591" i="12"/>
  <c r="Q1591" i="12"/>
  <c r="K1592" i="12"/>
  <c r="O1592" i="12"/>
  <c r="Q1592" i="12"/>
  <c r="K1593" i="12"/>
  <c r="O1593" i="12"/>
  <c r="Q1593" i="12"/>
  <c r="K1594" i="12"/>
  <c r="O1594" i="12"/>
  <c r="Q1594" i="12"/>
  <c r="K1595" i="12"/>
  <c r="O1595" i="12"/>
  <c r="Q1595" i="12"/>
  <c r="K1596" i="12"/>
  <c r="O1596" i="12"/>
  <c r="Q1596" i="12"/>
  <c r="K1597" i="12"/>
  <c r="O1597" i="12"/>
  <c r="Q1597" i="12"/>
  <c r="K1598" i="12"/>
  <c r="O1598" i="12"/>
  <c r="Q1598" i="12"/>
  <c r="K1599" i="12"/>
  <c r="O1599" i="12"/>
  <c r="Q1599" i="12"/>
  <c r="K1600" i="12"/>
  <c r="O1600" i="12"/>
  <c r="Q1600" i="12"/>
  <c r="K1601" i="12"/>
  <c r="O1601" i="12"/>
  <c r="Q1601" i="12"/>
  <c r="K1602" i="12"/>
  <c r="O1602" i="12"/>
  <c r="Q1602" i="12"/>
  <c r="K1603" i="12"/>
  <c r="O1603" i="12"/>
  <c r="Q1603" i="12"/>
  <c r="K1604" i="12"/>
  <c r="O1604" i="12"/>
  <c r="Q1604" i="12"/>
  <c r="K1605" i="12"/>
  <c r="O1605" i="12"/>
  <c r="Q1605" i="12"/>
  <c r="K1606" i="12"/>
  <c r="O1606" i="12"/>
  <c r="Q1606" i="12"/>
  <c r="K1607" i="12"/>
  <c r="O1607" i="12"/>
  <c r="Q1607" i="12"/>
  <c r="K1608" i="12"/>
  <c r="O1608" i="12"/>
  <c r="Q1608" i="12"/>
  <c r="K1609" i="12"/>
  <c r="O1609" i="12"/>
  <c r="Q1609" i="12"/>
  <c r="K1610" i="12"/>
  <c r="O1610" i="12"/>
  <c r="Q1610" i="12"/>
  <c r="K1611" i="12"/>
  <c r="O1611" i="12"/>
  <c r="Q1611" i="12"/>
  <c r="K1612" i="12"/>
  <c r="O1612" i="12"/>
  <c r="Q1612" i="12"/>
  <c r="K1613" i="12"/>
  <c r="O1613" i="12"/>
  <c r="Q1613" i="12"/>
  <c r="K1614" i="12"/>
  <c r="O1614" i="12"/>
  <c r="Q1614" i="12"/>
  <c r="K1615" i="12"/>
  <c r="O1615" i="12"/>
  <c r="Q1615" i="12"/>
  <c r="K1616" i="12"/>
  <c r="O1616" i="12"/>
  <c r="Q1616" i="12"/>
  <c r="K1617" i="12"/>
  <c r="O1617" i="12"/>
  <c r="Q1617" i="12"/>
  <c r="K1618" i="12"/>
  <c r="O1618" i="12"/>
  <c r="Q1618" i="12"/>
  <c r="K1619" i="12"/>
  <c r="O1619" i="12"/>
  <c r="Q1619" i="12"/>
  <c r="K1620" i="12"/>
  <c r="O1620" i="12"/>
  <c r="Q1620" i="12"/>
  <c r="K1621" i="12"/>
  <c r="O1621" i="12"/>
  <c r="Q1621" i="12"/>
  <c r="K1622" i="12"/>
  <c r="O1622" i="12"/>
  <c r="Q1622" i="12"/>
  <c r="K1623" i="12"/>
  <c r="O1623" i="12"/>
  <c r="Q1623" i="12"/>
  <c r="K1624" i="12"/>
  <c r="O1624" i="12"/>
  <c r="Q1624" i="12"/>
  <c r="K1625" i="12"/>
  <c r="O1625" i="12"/>
  <c r="Q1625" i="12"/>
  <c r="K1626" i="12"/>
  <c r="O1626" i="12"/>
  <c r="Q1626" i="12"/>
  <c r="K1627" i="12"/>
  <c r="O1627" i="12"/>
  <c r="Q1627" i="12"/>
  <c r="K1628" i="12"/>
  <c r="O1628" i="12"/>
  <c r="Q1628" i="12"/>
  <c r="K1629" i="12"/>
  <c r="O1629" i="12"/>
  <c r="Q1629" i="12"/>
  <c r="K1630" i="12"/>
  <c r="O1630" i="12"/>
  <c r="Q1630" i="12"/>
  <c r="K1631" i="12"/>
  <c r="O1631" i="12"/>
  <c r="Q1631" i="12"/>
  <c r="K1632" i="12"/>
  <c r="O1632" i="12"/>
  <c r="Q1632" i="12"/>
  <c r="K1633" i="12"/>
  <c r="O1633" i="12"/>
  <c r="Q1633" i="12"/>
  <c r="K1634" i="12"/>
  <c r="O1634" i="12"/>
  <c r="Q1634" i="12"/>
  <c r="C1574" i="12"/>
  <c r="C1575" i="12"/>
  <c r="C1576" i="12"/>
  <c r="C1577" i="12"/>
  <c r="C1578" i="12"/>
  <c r="C1579" i="12"/>
  <c r="C1580" i="12"/>
  <c r="C1581" i="12"/>
  <c r="C1582" i="12"/>
  <c r="C1583" i="12"/>
  <c r="C1584" i="12"/>
  <c r="C1585" i="12"/>
  <c r="C1586" i="12"/>
  <c r="C1587" i="12"/>
  <c r="C1588" i="12"/>
  <c r="C1589" i="12"/>
  <c r="C1590" i="12"/>
  <c r="C1591" i="12"/>
  <c r="C1592" i="12"/>
  <c r="C1593" i="12"/>
  <c r="C1594" i="12"/>
  <c r="C1595" i="12"/>
  <c r="C1596" i="12"/>
  <c r="C1597" i="12"/>
  <c r="C1598" i="12"/>
  <c r="C1599" i="12"/>
  <c r="C1600" i="12"/>
  <c r="C1601" i="12"/>
  <c r="C1602" i="12"/>
  <c r="C1603" i="12"/>
  <c r="C1604" i="12"/>
  <c r="C1605" i="12"/>
  <c r="C1606" i="12"/>
  <c r="C1607" i="12"/>
  <c r="C1608" i="12"/>
  <c r="C1609" i="12"/>
  <c r="C1610" i="12"/>
  <c r="C1611" i="12"/>
  <c r="C1612" i="12"/>
  <c r="C1613" i="12"/>
  <c r="C1614" i="12"/>
  <c r="C1615" i="12"/>
  <c r="C1616" i="12"/>
  <c r="C1617" i="12"/>
  <c r="E1574" i="12"/>
  <c r="I1574" i="12" s="1"/>
  <c r="E1575" i="12"/>
  <c r="I1575" i="12" s="1"/>
  <c r="E1576" i="12"/>
  <c r="I1576" i="12" s="1"/>
  <c r="E1577" i="12"/>
  <c r="I1577" i="12" s="1"/>
  <c r="E1578" i="12"/>
  <c r="I1578" i="12" s="1"/>
  <c r="E1579" i="12"/>
  <c r="I1579" i="12" s="1"/>
  <c r="E1580" i="12"/>
  <c r="I1580" i="12" s="1"/>
  <c r="E1581" i="12"/>
  <c r="I1581" i="12" s="1"/>
  <c r="E1582" i="12"/>
  <c r="I1582" i="12" s="1"/>
  <c r="E1583" i="12"/>
  <c r="I1583" i="12" s="1"/>
  <c r="E1584" i="12"/>
  <c r="I1584" i="12" s="1"/>
  <c r="E1585" i="12"/>
  <c r="I1585" i="12" s="1"/>
  <c r="E1586" i="12"/>
  <c r="I1586" i="12" s="1"/>
  <c r="E1587" i="12"/>
  <c r="I1587" i="12" s="1"/>
  <c r="E1588" i="12"/>
  <c r="I1588" i="12" s="1"/>
  <c r="E1589" i="12"/>
  <c r="I1589" i="12" s="1"/>
  <c r="E1590" i="12"/>
  <c r="I1590" i="12" s="1"/>
  <c r="E1591" i="12"/>
  <c r="I1591" i="12" s="1"/>
  <c r="E1592" i="12"/>
  <c r="I1592" i="12" s="1"/>
  <c r="E1593" i="12"/>
  <c r="I1593" i="12" s="1"/>
  <c r="E1594" i="12"/>
  <c r="I1594" i="12" s="1"/>
  <c r="E1595" i="12"/>
  <c r="I1595" i="12" s="1"/>
  <c r="E1596" i="12"/>
  <c r="I1596" i="12" s="1"/>
  <c r="E1597" i="12"/>
  <c r="I1597" i="12" s="1"/>
  <c r="E1598" i="12"/>
  <c r="I1598" i="12" s="1"/>
  <c r="E1599" i="12"/>
  <c r="I1599" i="12" s="1"/>
  <c r="E1600" i="12"/>
  <c r="I1600" i="12" s="1"/>
  <c r="E1601" i="12"/>
  <c r="I1601" i="12" s="1"/>
  <c r="E1602" i="12"/>
  <c r="I1602" i="12" s="1"/>
  <c r="E1603" i="12"/>
  <c r="I1603" i="12" s="1"/>
  <c r="E1604" i="12"/>
  <c r="I1604" i="12" s="1"/>
  <c r="E1605" i="12"/>
  <c r="I1605" i="12" s="1"/>
  <c r="E1606" i="12"/>
  <c r="I1606" i="12" s="1"/>
  <c r="E1607" i="12"/>
  <c r="I1607" i="12" s="1"/>
  <c r="E1608" i="12"/>
  <c r="I1608" i="12" s="1"/>
  <c r="E1609" i="12"/>
  <c r="I1609" i="12" s="1"/>
  <c r="E1610" i="12"/>
  <c r="I1610" i="12" s="1"/>
  <c r="E1611" i="12"/>
  <c r="I1611" i="12" s="1"/>
  <c r="E1612" i="12"/>
  <c r="I1612" i="12" s="1"/>
  <c r="E1613" i="12"/>
  <c r="I1613" i="12" s="1"/>
  <c r="E1614" i="12"/>
  <c r="I1614" i="12" s="1"/>
  <c r="E1615" i="12"/>
  <c r="I1615" i="12" s="1"/>
  <c r="E1616" i="12"/>
  <c r="I1616" i="12" s="1"/>
  <c r="E1617" i="12"/>
  <c r="I1617" i="12" s="1"/>
  <c r="E1618" i="12"/>
  <c r="I1618" i="12" s="1"/>
  <c r="E1619" i="12"/>
  <c r="I1619" i="12" s="1"/>
  <c r="E1620" i="12"/>
  <c r="I1620" i="12" s="1"/>
  <c r="E1621" i="12"/>
  <c r="I1621" i="12" s="1"/>
  <c r="E1622" i="12"/>
  <c r="I1622" i="12" s="1"/>
  <c r="E1623" i="12"/>
  <c r="I1623" i="12" s="1"/>
  <c r="E1624" i="12"/>
  <c r="I1624" i="12" s="1"/>
  <c r="E1625" i="12"/>
  <c r="I1625" i="12" s="1"/>
  <c r="E1626" i="12"/>
  <c r="I1626" i="12" s="1"/>
  <c r="E1627" i="12"/>
  <c r="I1627" i="12" s="1"/>
  <c r="E1628" i="12"/>
  <c r="I1628" i="12" s="1"/>
  <c r="E1629" i="12"/>
  <c r="I1629" i="12" s="1"/>
  <c r="E1630" i="12"/>
  <c r="I1630" i="12" s="1"/>
  <c r="E1631" i="12"/>
  <c r="I1631" i="12" s="1"/>
  <c r="E1632" i="12"/>
  <c r="I1632" i="12" s="1"/>
  <c r="E1633" i="12"/>
  <c r="I1633" i="12" s="1"/>
  <c r="E1566" i="12"/>
  <c r="I1566" i="12" s="1"/>
  <c r="E1567" i="12"/>
  <c r="I1567" i="12" s="1"/>
  <c r="E1568" i="12"/>
  <c r="I1568" i="12" s="1"/>
  <c r="E1569" i="12"/>
  <c r="I1569" i="12" s="1"/>
  <c r="E1570" i="12"/>
  <c r="I1570" i="12" s="1"/>
  <c r="E1571" i="12"/>
  <c r="I1571" i="12" s="1"/>
  <c r="E1572" i="12"/>
  <c r="I1572" i="12" s="1"/>
  <c r="E1573" i="12"/>
  <c r="I1573" i="12" s="1"/>
  <c r="C1566" i="12"/>
  <c r="C1567" i="12"/>
  <c r="C1568" i="12"/>
  <c r="C1569" i="12"/>
  <c r="C1570" i="12"/>
  <c r="C1571" i="12"/>
  <c r="C1572" i="12"/>
  <c r="C1573" i="12"/>
  <c r="G1664" i="12" l="1"/>
  <c r="J1664" i="12" s="1"/>
  <c r="L1664" i="12" s="1"/>
  <c r="G1644" i="12"/>
  <c r="J1644" i="12" s="1"/>
  <c r="L1644" i="12" s="1"/>
  <c r="G1634" i="12"/>
  <c r="J1634" i="12" s="1"/>
  <c r="L1634" i="12" s="1"/>
  <c r="G1612" i="12"/>
  <c r="J1612" i="12" s="1"/>
  <c r="L1612" i="12" s="1"/>
  <c r="G1600" i="12"/>
  <c r="J1600" i="12" s="1"/>
  <c r="L1600" i="12" s="1"/>
  <c r="J1657" i="12"/>
  <c r="L1657" i="12" s="1"/>
  <c r="J1689" i="12"/>
  <c r="L1689" i="12" s="1"/>
  <c r="J1709" i="12"/>
  <c r="L1709" i="12" s="1"/>
  <c r="L1626" i="12"/>
  <c r="J1675" i="12"/>
  <c r="L1616" i="12"/>
  <c r="J1660" i="12"/>
  <c r="L1660" i="12" s="1"/>
  <c r="L1670" i="12"/>
  <c r="J1667" i="12"/>
  <c r="L1667" i="12" s="1"/>
  <c r="L1650" i="12"/>
  <c r="L1688" i="12"/>
  <c r="J1603" i="12"/>
  <c r="L1603" i="12" s="1"/>
  <c r="L1697" i="12"/>
  <c r="J1647" i="12"/>
  <c r="L1647" i="12" s="1"/>
  <c r="L1665" i="12"/>
  <c r="J1676" i="12"/>
  <c r="J1711" i="12"/>
  <c r="L1711" i="12" s="1"/>
  <c r="J1699" i="12"/>
  <c r="L1699" i="12" s="1"/>
  <c r="L1566" i="12"/>
  <c r="J1638" i="12"/>
  <c r="L1638" i="12" s="1"/>
  <c r="L1692" i="12"/>
  <c r="L1568" i="12"/>
  <c r="L1686" i="12"/>
  <c r="L1687" i="12"/>
  <c r="J1590" i="12"/>
  <c r="L1590" i="12" s="1"/>
  <c r="L1658" i="12"/>
  <c r="J1614" i="12"/>
  <c r="L1614" i="12" s="1"/>
  <c r="J1588" i="12"/>
  <c r="L1588" i="12" s="1"/>
  <c r="J1609" i="12"/>
  <c r="L1609" i="12" s="1"/>
  <c r="L1605" i="12"/>
  <c r="J1655" i="12"/>
  <c r="L1655" i="12" s="1"/>
  <c r="J1680" i="12"/>
  <c r="L1680" i="12" s="1"/>
  <c r="J1690" i="12"/>
  <c r="L1690" i="12" s="1"/>
  <c r="L1567" i="12"/>
  <c r="L1666" i="12"/>
  <c r="L1674" i="12"/>
  <c r="J1624" i="12"/>
  <c r="L1624" i="12" s="1"/>
  <c r="J1643" i="12"/>
  <c r="L1643" i="12" s="1"/>
  <c r="J1672" i="12"/>
  <c r="L1672" i="12" s="1"/>
  <c r="J1619" i="12"/>
  <c r="L1619" i="12" s="1"/>
  <c r="L1597" i="12"/>
  <c r="L1570" i="12"/>
  <c r="J1637" i="12"/>
  <c r="L1637" i="12" s="1"/>
  <c r="J1642" i="12"/>
  <c r="L1642" i="12" s="1"/>
  <c r="L1648" i="12"/>
  <c r="L1649" i="12"/>
  <c r="J1684" i="12"/>
  <c r="L1684" i="12" s="1"/>
  <c r="J1700" i="12"/>
  <c r="L1700" i="12" s="1"/>
  <c r="L1639" i="12"/>
  <c r="J1696" i="12"/>
  <c r="L1696" i="12" s="1"/>
  <c r="J1607" i="12"/>
  <c r="L1607" i="12" s="1"/>
  <c r="L1621" i="12"/>
  <c r="J1596" i="12"/>
  <c r="L1596" i="12" s="1"/>
  <c r="J1573" i="12"/>
  <c r="L1573" i="12" s="1"/>
  <c r="J1652" i="12"/>
  <c r="L1652" i="12" s="1"/>
  <c r="L1671" i="12"/>
  <c r="L1682" i="12"/>
  <c r="J1703" i="12"/>
  <c r="L1703" i="12" s="1"/>
  <c r="J1705" i="12"/>
  <c r="L1705" i="12" s="1"/>
  <c r="L1659" i="12"/>
  <c r="J1632" i="12"/>
  <c r="L1632" i="12" s="1"/>
  <c r="L1651" i="12"/>
  <c r="J1656" i="12"/>
  <c r="L1656" i="12" s="1"/>
  <c r="J1663" i="12"/>
  <c r="L1663" i="12" s="1"/>
  <c r="J1679" i="12"/>
  <c r="L1679" i="12" s="1"/>
  <c r="J1694" i="12"/>
  <c r="L1694" i="12" s="1"/>
  <c r="L1598" i="12"/>
  <c r="L1591" i="12"/>
  <c r="L1583" i="12"/>
  <c r="L1579" i="12"/>
  <c r="L1574" i="12"/>
  <c r="L1683" i="12"/>
  <c r="L1693" i="12"/>
  <c r="L1707" i="12"/>
  <c r="L1708" i="12"/>
  <c r="L1627" i="12"/>
  <c r="L1617" i="12"/>
  <c r="L1610" i="12"/>
  <c r="L1569" i="12"/>
  <c r="L1681" i="12"/>
  <c r="L1691" i="12"/>
  <c r="L1706" i="12"/>
  <c r="L1622" i="12"/>
  <c r="L1628" i="12"/>
  <c r="L1611" i="12"/>
  <c r="L1599" i="12"/>
  <c r="L1592" i="12"/>
  <c r="L1584" i="12"/>
  <c r="L1580" i="12"/>
  <c r="L1575" i="12"/>
  <c r="L1593" i="12"/>
  <c r="L1585" i="12"/>
  <c r="L1581" i="12"/>
  <c r="L1576" i="12"/>
  <c r="L1629" i="12"/>
  <c r="L1698" i="12"/>
  <c r="J1633" i="12"/>
  <c r="L1633" i="12" s="1"/>
  <c r="J1625" i="12"/>
  <c r="L1625" i="12" s="1"/>
  <c r="J1620" i="12"/>
  <c r="J1615" i="12"/>
  <c r="L1615" i="12" s="1"/>
  <c r="J1608" i="12"/>
  <c r="L1608" i="12" s="1"/>
  <c r="J1604" i="12"/>
  <c r="L1604" i="12" s="1"/>
  <c r="J1589" i="12"/>
  <c r="L1589" i="12" s="1"/>
  <c r="J1572" i="12"/>
  <c r="L1572" i="12" s="1"/>
  <c r="J1635" i="12"/>
  <c r="L1635" i="12" s="1"/>
  <c r="J1640" i="12"/>
  <c r="L1640" i="12" s="1"/>
  <c r="J1645" i="12"/>
  <c r="L1645" i="12" s="1"/>
  <c r="J1653" i="12"/>
  <c r="L1653" i="12" s="1"/>
  <c r="J1661" i="12"/>
  <c r="L1661" i="12" s="1"/>
  <c r="J1668" i="12"/>
  <c r="L1668" i="12" s="1"/>
  <c r="J1673" i="12"/>
  <c r="L1673" i="12" s="1"/>
  <c r="J1677" i="12"/>
  <c r="L1677" i="12" s="1"/>
  <c r="J1685" i="12"/>
  <c r="L1685" i="12" s="1"/>
  <c r="J1695" i="12"/>
  <c r="L1695" i="12" s="1"/>
  <c r="J1701" i="12"/>
  <c r="L1701" i="12" s="1"/>
  <c r="J1636" i="12"/>
  <c r="L1636" i="12" s="1"/>
  <c r="J1641" i="12"/>
  <c r="L1641" i="12" s="1"/>
  <c r="J1646" i="12"/>
  <c r="L1646" i="12" s="1"/>
  <c r="J1654" i="12"/>
  <c r="L1654" i="12" s="1"/>
  <c r="J1662" i="12"/>
  <c r="L1662" i="12" s="1"/>
  <c r="J1669" i="12"/>
  <c r="L1669" i="12" s="1"/>
  <c r="J1678" i="12"/>
  <c r="L1678" i="12" s="1"/>
  <c r="J1702" i="12"/>
  <c r="L1702" i="12" s="1"/>
  <c r="J1704" i="12"/>
  <c r="L1704" i="12" s="1"/>
  <c r="L1630" i="12"/>
  <c r="L1601" i="12"/>
  <c r="L1594" i="12"/>
  <c r="L1586" i="12"/>
  <c r="L1582" i="12"/>
  <c r="L1577" i="12"/>
  <c r="L1571" i="12"/>
  <c r="L1623" i="12"/>
  <c r="L1618" i="12"/>
  <c r="L1613" i="12"/>
  <c r="L1606" i="12"/>
  <c r="L1602" i="12"/>
  <c r="L1595" i="12"/>
  <c r="L1587" i="12"/>
  <c r="L1578" i="12"/>
  <c r="L1631" i="12"/>
  <c r="P1540" i="12" l="1"/>
  <c r="H1540" i="12"/>
  <c r="P1534" i="12"/>
  <c r="H1534" i="12"/>
  <c r="P1532" i="12"/>
  <c r="H1532" i="12"/>
  <c r="M1642" i="12"/>
  <c r="Q1565" i="12"/>
  <c r="O1565" i="12"/>
  <c r="K1565" i="12"/>
  <c r="F1565" i="12"/>
  <c r="G1565" i="12" s="1"/>
  <c r="E1565" i="12"/>
  <c r="I1565" i="12" s="1"/>
  <c r="C1565" i="12"/>
  <c r="Q1564" i="12"/>
  <c r="O1564" i="12"/>
  <c r="K1564" i="12"/>
  <c r="F1564" i="12"/>
  <c r="G1564" i="12" s="1"/>
  <c r="E1564" i="12"/>
  <c r="I1564" i="12" s="1"/>
  <c r="C1564" i="12"/>
  <c r="Q1563" i="12"/>
  <c r="O1563" i="12"/>
  <c r="K1563" i="12"/>
  <c r="F1563" i="12"/>
  <c r="G1563" i="12" s="1"/>
  <c r="E1563" i="12"/>
  <c r="I1563" i="12" s="1"/>
  <c r="C1563" i="12"/>
  <c r="Q1562" i="12"/>
  <c r="O1562" i="12"/>
  <c r="K1562" i="12"/>
  <c r="F1562" i="12"/>
  <c r="G1562" i="12" s="1"/>
  <c r="J1562" i="12" s="1"/>
  <c r="E1562" i="12"/>
  <c r="I1562" i="12" s="1"/>
  <c r="C1562" i="12"/>
  <c r="Q1561" i="12"/>
  <c r="O1561" i="12"/>
  <c r="K1561" i="12"/>
  <c r="F1561" i="12"/>
  <c r="G1561" i="12" s="1"/>
  <c r="E1561" i="12"/>
  <c r="I1561" i="12" s="1"/>
  <c r="C1561" i="12"/>
  <c r="Q1560" i="12"/>
  <c r="O1560" i="12"/>
  <c r="K1560" i="12"/>
  <c r="F1560" i="12"/>
  <c r="G1560" i="12" s="1"/>
  <c r="E1560" i="12"/>
  <c r="I1560" i="12" s="1"/>
  <c r="C1560" i="12"/>
  <c r="Q1559" i="12"/>
  <c r="O1559" i="12"/>
  <c r="K1559" i="12"/>
  <c r="F1559" i="12"/>
  <c r="G1559" i="12" s="1"/>
  <c r="J1559" i="12" s="1"/>
  <c r="E1559" i="12"/>
  <c r="I1559" i="12" s="1"/>
  <c r="C1559" i="12"/>
  <c r="Q1558" i="12"/>
  <c r="O1558" i="12"/>
  <c r="K1558" i="12"/>
  <c r="F1558" i="12"/>
  <c r="G1558" i="12" s="1"/>
  <c r="E1558" i="12"/>
  <c r="I1558" i="12" s="1"/>
  <c r="C1558" i="12"/>
  <c r="Q1557" i="12"/>
  <c r="O1557" i="12"/>
  <c r="K1557" i="12"/>
  <c r="F1557" i="12"/>
  <c r="G1557" i="12" s="1"/>
  <c r="E1557" i="12"/>
  <c r="I1557" i="12" s="1"/>
  <c r="C1557" i="12"/>
  <c r="Q1556" i="12"/>
  <c r="O1556" i="12"/>
  <c r="K1556" i="12"/>
  <c r="F1556" i="12"/>
  <c r="G1556" i="12" s="1"/>
  <c r="E1556" i="12"/>
  <c r="I1556" i="12" s="1"/>
  <c r="C1556" i="12"/>
  <c r="Q1555" i="12"/>
  <c r="O1555" i="12"/>
  <c r="K1555" i="12"/>
  <c r="F1555" i="12"/>
  <c r="G1555" i="12" s="1"/>
  <c r="E1555" i="12"/>
  <c r="I1555" i="12" s="1"/>
  <c r="C1555" i="12"/>
  <c r="Q1554" i="12"/>
  <c r="O1554" i="12"/>
  <c r="K1554" i="12"/>
  <c r="F1554" i="12"/>
  <c r="G1554" i="12" s="1"/>
  <c r="E1554" i="12"/>
  <c r="I1554" i="12" s="1"/>
  <c r="C1554" i="12"/>
  <c r="Q1553" i="12"/>
  <c r="O1553" i="12"/>
  <c r="K1553" i="12"/>
  <c r="F1553" i="12"/>
  <c r="G1553" i="12" s="1"/>
  <c r="J1553" i="12" s="1"/>
  <c r="E1553" i="12"/>
  <c r="I1553" i="12" s="1"/>
  <c r="C1553" i="12"/>
  <c r="Q1552" i="12"/>
  <c r="O1552" i="12"/>
  <c r="K1552" i="12"/>
  <c r="F1552" i="12"/>
  <c r="G1552" i="12" s="1"/>
  <c r="E1552" i="12"/>
  <c r="I1552" i="12" s="1"/>
  <c r="C1552" i="12"/>
  <c r="Q1551" i="12"/>
  <c r="O1551" i="12"/>
  <c r="K1551" i="12"/>
  <c r="F1551" i="12"/>
  <c r="G1551" i="12" s="1"/>
  <c r="E1551" i="12"/>
  <c r="I1551" i="12" s="1"/>
  <c r="C1551" i="12"/>
  <c r="Q1550" i="12"/>
  <c r="O1550" i="12"/>
  <c r="K1550" i="12"/>
  <c r="F1550" i="12"/>
  <c r="G1550" i="12" s="1"/>
  <c r="E1550" i="12"/>
  <c r="I1550" i="12" s="1"/>
  <c r="C1550" i="12"/>
  <c r="Q1549" i="12"/>
  <c r="O1549" i="12"/>
  <c r="K1549" i="12"/>
  <c r="F1549" i="12"/>
  <c r="G1549" i="12" s="1"/>
  <c r="E1549" i="12"/>
  <c r="I1549" i="12" s="1"/>
  <c r="C1549" i="12"/>
  <c r="Q1548" i="12"/>
  <c r="O1548" i="12"/>
  <c r="K1548" i="12"/>
  <c r="F1548" i="12"/>
  <c r="G1548" i="12" s="1"/>
  <c r="E1548" i="12"/>
  <c r="I1548" i="12" s="1"/>
  <c r="C1548" i="12"/>
  <c r="Q1547" i="12"/>
  <c r="O1547" i="12"/>
  <c r="K1547" i="12"/>
  <c r="F1547" i="12"/>
  <c r="G1547" i="12" s="1"/>
  <c r="E1547" i="12"/>
  <c r="I1547" i="12" s="1"/>
  <c r="C1547" i="12"/>
  <c r="Q1546" i="12"/>
  <c r="O1546" i="12"/>
  <c r="K1546" i="12"/>
  <c r="F1546" i="12"/>
  <c r="G1546" i="12" s="1"/>
  <c r="E1546" i="12"/>
  <c r="I1546" i="12" s="1"/>
  <c r="C1546" i="12"/>
  <c r="Q1545" i="12"/>
  <c r="O1545" i="12"/>
  <c r="K1545" i="12"/>
  <c r="F1545" i="12"/>
  <c r="G1545" i="12" s="1"/>
  <c r="E1545" i="12"/>
  <c r="I1545" i="12" s="1"/>
  <c r="C1545" i="12"/>
  <c r="Q1544" i="12"/>
  <c r="O1544" i="12"/>
  <c r="K1544" i="12"/>
  <c r="F1544" i="12"/>
  <c r="G1544" i="12" s="1"/>
  <c r="E1544" i="12"/>
  <c r="I1544" i="12" s="1"/>
  <c r="C1544" i="12"/>
  <c r="Q1543" i="12"/>
  <c r="O1543" i="12"/>
  <c r="K1543" i="12"/>
  <c r="F1543" i="12"/>
  <c r="G1543" i="12" s="1"/>
  <c r="E1543" i="12"/>
  <c r="I1543" i="12" s="1"/>
  <c r="C1543" i="12"/>
  <c r="Q1542" i="12"/>
  <c r="O1542" i="12"/>
  <c r="K1542" i="12"/>
  <c r="F1542" i="12"/>
  <c r="G1542" i="12" s="1"/>
  <c r="E1542" i="12"/>
  <c r="I1542" i="12" s="1"/>
  <c r="C1542" i="12"/>
  <c r="Q1541" i="12"/>
  <c r="O1541" i="12"/>
  <c r="K1541" i="12"/>
  <c r="F1541" i="12"/>
  <c r="G1541" i="12" s="1"/>
  <c r="E1541" i="12"/>
  <c r="I1541" i="12" s="1"/>
  <c r="C1541" i="12"/>
  <c r="M1566" i="12" l="1"/>
  <c r="M1570" i="12"/>
  <c r="M1569" i="12"/>
  <c r="M1565" i="12"/>
  <c r="M1546" i="12"/>
  <c r="M1623" i="12"/>
  <c r="M1615" i="12"/>
  <c r="M1591" i="12"/>
  <c r="M1583" i="12"/>
  <c r="M1641" i="12"/>
  <c r="M1638" i="12"/>
  <c r="M1637" i="12"/>
  <c r="M1545" i="12"/>
  <c r="M1533" i="12"/>
  <c r="M1634" i="12"/>
  <c r="M1633" i="12"/>
  <c r="M1630" i="12"/>
  <c r="M1629" i="12"/>
  <c r="M1610" i="12"/>
  <c r="M1609" i="12"/>
  <c r="M1606" i="12"/>
  <c r="M1605" i="12"/>
  <c r="M1602" i="12"/>
  <c r="M1601" i="12"/>
  <c r="M1598" i="12"/>
  <c r="M1597" i="12"/>
  <c r="M1578" i="12"/>
  <c r="M1577" i="12"/>
  <c r="M1574" i="12"/>
  <c r="M1559" i="12"/>
  <c r="M1551" i="12"/>
  <c r="M1547" i="12"/>
  <c r="M1626" i="12"/>
  <c r="M1625" i="12"/>
  <c r="M1622" i="12"/>
  <c r="M1621" i="12"/>
  <c r="M1594" i="12"/>
  <c r="M1593" i="12"/>
  <c r="M1590" i="12"/>
  <c r="M1589" i="12"/>
  <c r="M1562" i="12"/>
  <c r="M1561" i="12"/>
  <c r="M1558" i="12"/>
  <c r="M1557" i="12"/>
  <c r="M1646" i="12"/>
  <c r="M1645" i="12"/>
  <c r="M1639" i="12"/>
  <c r="M1618" i="12"/>
  <c r="M1617" i="12"/>
  <c r="M1614" i="12"/>
  <c r="M1613" i="12"/>
  <c r="M1607" i="12"/>
  <c r="M1586" i="12"/>
  <c r="M1585" i="12"/>
  <c r="M1582" i="12"/>
  <c r="M1581" i="12"/>
  <c r="M1575" i="12"/>
  <c r="M1554" i="12"/>
  <c r="M1553" i="12"/>
  <c r="M1550" i="12"/>
  <c r="M1549" i="12"/>
  <c r="M1631" i="12"/>
  <c r="M1599" i="12"/>
  <c r="M1567" i="12"/>
  <c r="M1644" i="12"/>
  <c r="M1636" i="12"/>
  <c r="M1628" i="12"/>
  <c r="M1620" i="12"/>
  <c r="M1612" i="12"/>
  <c r="M1604" i="12"/>
  <c r="M1596" i="12"/>
  <c r="M1588" i="12"/>
  <c r="M1580" i="12"/>
  <c r="M1564" i="12"/>
  <c r="M1556" i="12"/>
  <c r="M1548" i="12"/>
  <c r="M1643" i="12"/>
  <c r="M1635" i="12"/>
  <c r="M1627" i="12"/>
  <c r="M1619" i="12"/>
  <c r="M1611" i="12"/>
  <c r="M1603" i="12"/>
  <c r="M1595" i="12"/>
  <c r="M1587" i="12"/>
  <c r="M1579" i="12"/>
  <c r="M1571" i="12"/>
  <c r="M1563" i="12"/>
  <c r="M1555" i="12"/>
  <c r="M1640" i="12"/>
  <c r="M1632" i="12"/>
  <c r="M1624" i="12"/>
  <c r="M1616" i="12"/>
  <c r="M1608" i="12"/>
  <c r="M1600" i="12"/>
  <c r="M1592" i="12"/>
  <c r="M1584" i="12"/>
  <c r="M1576" i="12"/>
  <c r="M1568" i="12"/>
  <c r="M1560" i="12"/>
  <c r="M1552" i="12"/>
  <c r="M1544" i="12"/>
  <c r="M1540" i="12"/>
  <c r="M1535" i="12"/>
  <c r="M1543" i="12"/>
  <c r="M1541" i="12"/>
  <c r="M1542" i="12"/>
  <c r="M1539" i="12"/>
  <c r="M1538" i="12"/>
  <c r="M1536" i="12"/>
  <c r="M1537" i="12"/>
  <c r="M1534" i="12"/>
  <c r="J1555" i="12"/>
  <c r="L1555" i="12" s="1"/>
  <c r="J1552" i="12"/>
  <c r="L1552" i="12" s="1"/>
  <c r="J1543" i="12"/>
  <c r="L1543" i="12" s="1"/>
  <c r="J1542" i="12"/>
  <c r="L1542" i="12" s="1"/>
  <c r="J1558" i="12"/>
  <c r="L1558" i="12" s="1"/>
  <c r="J1547" i="12"/>
  <c r="L1547" i="12" s="1"/>
  <c r="J1551" i="12"/>
  <c r="L1551" i="12" s="1"/>
  <c r="J1557" i="12"/>
  <c r="L1557" i="12" s="1"/>
  <c r="J1546" i="12"/>
  <c r="L1546" i="12" s="1"/>
  <c r="L1562" i="12"/>
  <c r="J1563" i="12"/>
  <c r="L1563" i="12" s="1"/>
  <c r="J1564" i="12"/>
  <c r="L1564" i="12" s="1"/>
  <c r="J1550" i="12"/>
  <c r="L1550" i="12" s="1"/>
  <c r="L1553" i="12"/>
  <c r="L1559" i="12"/>
  <c r="J1560" i="12"/>
  <c r="L1560" i="12" s="1"/>
  <c r="J1561" i="12"/>
  <c r="L1561" i="12" s="1"/>
  <c r="J1565" i="12"/>
  <c r="L1565" i="12" s="1"/>
  <c r="J1544" i="12"/>
  <c r="L1544" i="12" s="1"/>
  <c r="J1548" i="12"/>
  <c r="L1548" i="12" s="1"/>
  <c r="J1541" i="12"/>
  <c r="L1541" i="12" s="1"/>
  <c r="J1545" i="12"/>
  <c r="L1545" i="12" s="1"/>
  <c r="J1549" i="12"/>
  <c r="L1549" i="12" s="1"/>
  <c r="J1554" i="12"/>
  <c r="L1554" i="12" s="1"/>
  <c r="J1556" i="12"/>
  <c r="L1556" i="12" s="1"/>
  <c r="P1512" i="12" l="1"/>
  <c r="P1511" i="12"/>
  <c r="H1512" i="12"/>
  <c r="H1511" i="12"/>
  <c r="P1508" i="12"/>
  <c r="S1510" i="12"/>
  <c r="H1508" i="12" l="1"/>
  <c r="P1494" i="12" l="1"/>
  <c r="H1494" i="12"/>
  <c r="P1485" i="12"/>
  <c r="H1486" i="12"/>
  <c r="H1485" i="12"/>
  <c r="H1479" i="12"/>
  <c r="P1479" i="12"/>
  <c r="P1473" i="12"/>
  <c r="H1473" i="12" l="1"/>
  <c r="S1486" i="12"/>
  <c r="S1479" i="12"/>
  <c r="O1444" i="12" l="1"/>
  <c r="Q1444" i="12"/>
  <c r="P1470" i="12"/>
  <c r="P1469" i="12"/>
  <c r="H1470" i="12" l="1"/>
  <c r="H1469" i="12"/>
  <c r="P1460" i="12"/>
  <c r="H1460" i="12"/>
  <c r="P1447" i="12"/>
  <c r="P1454" i="12"/>
  <c r="H1454" i="12"/>
  <c r="H1447" i="12"/>
  <c r="S1467" i="12" l="1"/>
  <c r="P1441" i="12" l="1"/>
  <c r="H1441" i="12"/>
  <c r="O1430" i="12"/>
  <c r="Q1430" i="12"/>
  <c r="O1431" i="12"/>
  <c r="Q1431" i="12"/>
  <c r="P1432" i="12"/>
  <c r="O1433" i="12"/>
  <c r="Q1433" i="12"/>
  <c r="O1434" i="12"/>
  <c r="Q1434" i="12"/>
  <c r="S1434" i="12"/>
  <c r="O1435" i="12"/>
  <c r="Q1435" i="12"/>
  <c r="O1436" i="12"/>
  <c r="Q1436" i="12"/>
  <c r="O1437" i="12"/>
  <c r="Q1437" i="12"/>
  <c r="O1438" i="12"/>
  <c r="Q1438" i="12"/>
  <c r="S1438" i="12"/>
  <c r="O1439" i="12"/>
  <c r="Q1439" i="12"/>
  <c r="O1440" i="12"/>
  <c r="Q1440" i="12"/>
  <c r="O1442" i="12"/>
  <c r="Q1442" i="12"/>
  <c r="S1442" i="12"/>
  <c r="O1443" i="12"/>
  <c r="Q1443" i="12"/>
  <c r="O1441" i="12" l="1"/>
  <c r="Q1441" i="12"/>
  <c r="H1432" i="12"/>
  <c r="Q1432" i="12" s="1"/>
  <c r="O1432" i="12" l="1"/>
  <c r="Q1422" i="12"/>
  <c r="O1400" i="12" l="1"/>
  <c r="Q1400" i="12"/>
  <c r="P1428" i="12"/>
  <c r="H1428" i="12"/>
  <c r="P1419" i="12"/>
  <c r="H1419" i="12"/>
  <c r="P1410" i="12"/>
  <c r="H1410" i="12"/>
  <c r="P1405" i="12"/>
  <c r="H1405" i="12"/>
  <c r="P1399" i="12"/>
  <c r="C1426" i="12" l="1"/>
  <c r="E1426" i="12"/>
  <c r="I1426" i="12" s="1"/>
  <c r="F1426" i="12"/>
  <c r="G1426" i="12" s="1"/>
  <c r="K1426" i="12"/>
  <c r="O1426" i="12"/>
  <c r="Q1426" i="12"/>
  <c r="C1427" i="12"/>
  <c r="E1427" i="12"/>
  <c r="I1427" i="12" s="1"/>
  <c r="F1427" i="12"/>
  <c r="G1427" i="12" s="1"/>
  <c r="J1427" i="12" s="1"/>
  <c r="K1427" i="12"/>
  <c r="O1427" i="12"/>
  <c r="Q1427" i="12"/>
  <c r="C1428" i="12"/>
  <c r="E1428" i="12"/>
  <c r="I1428" i="12" s="1"/>
  <c r="F1428" i="12"/>
  <c r="G1428" i="12" s="1"/>
  <c r="J1428" i="12" s="1"/>
  <c r="K1428" i="12"/>
  <c r="O1428" i="12"/>
  <c r="Q1428" i="12"/>
  <c r="C1429" i="12"/>
  <c r="E1429" i="12"/>
  <c r="I1429" i="12" s="1"/>
  <c r="F1429" i="12"/>
  <c r="G1429" i="12" s="1"/>
  <c r="J1429" i="12" s="1"/>
  <c r="K1429" i="12"/>
  <c r="O1429" i="12"/>
  <c r="Q1429" i="12"/>
  <c r="C1430" i="12"/>
  <c r="E1430" i="12"/>
  <c r="I1430" i="12" s="1"/>
  <c r="F1430" i="12"/>
  <c r="G1430" i="12" s="1"/>
  <c r="K1430" i="12"/>
  <c r="C1431" i="12"/>
  <c r="E1431" i="12"/>
  <c r="I1431" i="12" s="1"/>
  <c r="F1431" i="12"/>
  <c r="G1431" i="12" s="1"/>
  <c r="J1431" i="12" s="1"/>
  <c r="K1431" i="12"/>
  <c r="C1432" i="12"/>
  <c r="E1432" i="12"/>
  <c r="I1432" i="12" s="1"/>
  <c r="F1432" i="12"/>
  <c r="G1432" i="12" s="1"/>
  <c r="J1432" i="12" s="1"/>
  <c r="K1432" i="12"/>
  <c r="C1433" i="12"/>
  <c r="E1433" i="12"/>
  <c r="I1433" i="12" s="1"/>
  <c r="F1433" i="12"/>
  <c r="G1433" i="12" s="1"/>
  <c r="K1433" i="12"/>
  <c r="C1434" i="12"/>
  <c r="E1434" i="12"/>
  <c r="I1434" i="12" s="1"/>
  <c r="F1434" i="12"/>
  <c r="G1434" i="12" s="1"/>
  <c r="K1434" i="12"/>
  <c r="C1435" i="12"/>
  <c r="E1435" i="12"/>
  <c r="I1435" i="12" s="1"/>
  <c r="F1435" i="12"/>
  <c r="G1435" i="12" s="1"/>
  <c r="K1435" i="12"/>
  <c r="C1436" i="12"/>
  <c r="E1436" i="12"/>
  <c r="I1436" i="12" s="1"/>
  <c r="F1436" i="12"/>
  <c r="G1436" i="12" s="1"/>
  <c r="J1436" i="12" s="1"/>
  <c r="K1436" i="12"/>
  <c r="C1437" i="12"/>
  <c r="E1437" i="12"/>
  <c r="I1437" i="12" s="1"/>
  <c r="F1437" i="12"/>
  <c r="G1437" i="12" s="1"/>
  <c r="J1437" i="12" s="1"/>
  <c r="K1437" i="12"/>
  <c r="C1438" i="12"/>
  <c r="E1438" i="12"/>
  <c r="I1438" i="12" s="1"/>
  <c r="F1438" i="12"/>
  <c r="G1438" i="12" s="1"/>
  <c r="K1438" i="12"/>
  <c r="C1439" i="12"/>
  <c r="E1439" i="12"/>
  <c r="I1439" i="12" s="1"/>
  <c r="F1439" i="12"/>
  <c r="G1439" i="12" s="1"/>
  <c r="K1439" i="12"/>
  <c r="C1440" i="12"/>
  <c r="E1440" i="12"/>
  <c r="I1440" i="12" s="1"/>
  <c r="F1440" i="12"/>
  <c r="G1440" i="12" s="1"/>
  <c r="J1440" i="12" s="1"/>
  <c r="K1440" i="12"/>
  <c r="C1441" i="12"/>
  <c r="E1441" i="12"/>
  <c r="I1441" i="12" s="1"/>
  <c r="F1441" i="12"/>
  <c r="G1441" i="12" s="1"/>
  <c r="J1441" i="12" s="1"/>
  <c r="K1441" i="12"/>
  <c r="C1442" i="12"/>
  <c r="E1442" i="12"/>
  <c r="I1442" i="12" s="1"/>
  <c r="F1442" i="12"/>
  <c r="K1442" i="12"/>
  <c r="C1443" i="12"/>
  <c r="E1443" i="12"/>
  <c r="I1443" i="12" s="1"/>
  <c r="F1443" i="12"/>
  <c r="G1443" i="12" s="1"/>
  <c r="K1443" i="12"/>
  <c r="C1444" i="12"/>
  <c r="E1444" i="12"/>
  <c r="I1444" i="12" s="1"/>
  <c r="F1444" i="12"/>
  <c r="G1444" i="12" s="1"/>
  <c r="J1444" i="12" s="1"/>
  <c r="K1444" i="12"/>
  <c r="C1445" i="12"/>
  <c r="E1445" i="12"/>
  <c r="I1445" i="12" s="1"/>
  <c r="F1445" i="12"/>
  <c r="G1445" i="12" s="1"/>
  <c r="J1445" i="12" s="1"/>
  <c r="K1445" i="12"/>
  <c r="O1445" i="12"/>
  <c r="Q1445" i="12"/>
  <c r="C1446" i="12"/>
  <c r="E1446" i="12"/>
  <c r="I1446" i="12" s="1"/>
  <c r="F1446" i="12"/>
  <c r="G1446" i="12" s="1"/>
  <c r="K1446" i="12"/>
  <c r="O1446" i="12"/>
  <c r="Q1446" i="12"/>
  <c r="C1447" i="12"/>
  <c r="E1447" i="12"/>
  <c r="I1447" i="12" s="1"/>
  <c r="F1447" i="12"/>
  <c r="G1447" i="12" s="1"/>
  <c r="K1447" i="12"/>
  <c r="O1447" i="12"/>
  <c r="Q1447" i="12"/>
  <c r="C1448" i="12"/>
  <c r="E1448" i="12"/>
  <c r="I1448" i="12" s="1"/>
  <c r="F1448" i="12"/>
  <c r="G1448" i="12" s="1"/>
  <c r="J1448" i="12" s="1"/>
  <c r="K1448" i="12"/>
  <c r="O1448" i="12"/>
  <c r="Q1448" i="12"/>
  <c r="C1449" i="12"/>
  <c r="E1449" i="12"/>
  <c r="I1449" i="12" s="1"/>
  <c r="F1449" i="12"/>
  <c r="G1449" i="12" s="1"/>
  <c r="J1449" i="12" s="1"/>
  <c r="K1449" i="12"/>
  <c r="O1449" i="12"/>
  <c r="Q1449" i="12"/>
  <c r="C1450" i="12"/>
  <c r="E1450" i="12"/>
  <c r="I1450" i="12" s="1"/>
  <c r="F1450" i="12"/>
  <c r="G1450" i="12" s="1"/>
  <c r="K1450" i="12"/>
  <c r="O1450" i="12"/>
  <c r="Q1450" i="12"/>
  <c r="C1451" i="12"/>
  <c r="E1451" i="12"/>
  <c r="I1451" i="12" s="1"/>
  <c r="F1451" i="12"/>
  <c r="G1451" i="12" s="1"/>
  <c r="K1451" i="12"/>
  <c r="O1451" i="12"/>
  <c r="Q1451" i="12"/>
  <c r="C1452" i="12"/>
  <c r="E1452" i="12"/>
  <c r="I1452" i="12" s="1"/>
  <c r="F1452" i="12"/>
  <c r="G1452" i="12" s="1"/>
  <c r="J1452" i="12" s="1"/>
  <c r="K1452" i="12"/>
  <c r="O1452" i="12"/>
  <c r="Q1452" i="12"/>
  <c r="C1453" i="12"/>
  <c r="E1453" i="12"/>
  <c r="I1453" i="12" s="1"/>
  <c r="F1453" i="12"/>
  <c r="G1453" i="12" s="1"/>
  <c r="J1453" i="12" s="1"/>
  <c r="K1453" i="12"/>
  <c r="O1453" i="12"/>
  <c r="Q1453" i="12"/>
  <c r="C1454" i="12"/>
  <c r="E1454" i="12"/>
  <c r="I1454" i="12" s="1"/>
  <c r="F1454" i="12"/>
  <c r="G1454" i="12" s="1"/>
  <c r="K1454" i="12"/>
  <c r="O1454" i="12"/>
  <c r="Q1454" i="12"/>
  <c r="C1455" i="12"/>
  <c r="E1455" i="12"/>
  <c r="I1455" i="12" s="1"/>
  <c r="F1455" i="12"/>
  <c r="G1455" i="12" s="1"/>
  <c r="K1455" i="12"/>
  <c r="O1455" i="12"/>
  <c r="Q1455" i="12"/>
  <c r="C1456" i="12"/>
  <c r="E1456" i="12"/>
  <c r="I1456" i="12" s="1"/>
  <c r="F1456" i="12"/>
  <c r="G1456" i="12" s="1"/>
  <c r="J1456" i="12" s="1"/>
  <c r="K1456" i="12"/>
  <c r="O1456" i="12"/>
  <c r="Q1456" i="12"/>
  <c r="C1457" i="12"/>
  <c r="E1457" i="12"/>
  <c r="I1457" i="12" s="1"/>
  <c r="F1457" i="12"/>
  <c r="K1457" i="12"/>
  <c r="O1457" i="12"/>
  <c r="Q1457" i="12"/>
  <c r="C1458" i="12"/>
  <c r="E1458" i="12"/>
  <c r="I1458" i="12" s="1"/>
  <c r="F1458" i="12"/>
  <c r="G1458" i="12" s="1"/>
  <c r="J1458" i="12" s="1"/>
  <c r="K1458" i="12"/>
  <c r="O1458" i="12"/>
  <c r="Q1458" i="12"/>
  <c r="C1459" i="12"/>
  <c r="E1459" i="12"/>
  <c r="I1459" i="12" s="1"/>
  <c r="F1459" i="12"/>
  <c r="G1459" i="12" s="1"/>
  <c r="J1459" i="12" s="1"/>
  <c r="K1459" i="12"/>
  <c r="O1459" i="12"/>
  <c r="Q1459" i="12"/>
  <c r="C1460" i="12"/>
  <c r="E1460" i="12"/>
  <c r="I1460" i="12" s="1"/>
  <c r="F1460" i="12"/>
  <c r="G1460" i="12" s="1"/>
  <c r="K1460" i="12"/>
  <c r="O1460" i="12"/>
  <c r="Q1460" i="12"/>
  <c r="C1461" i="12"/>
  <c r="E1461" i="12"/>
  <c r="I1461" i="12" s="1"/>
  <c r="F1461" i="12"/>
  <c r="G1461" i="12" s="1"/>
  <c r="K1461" i="12"/>
  <c r="O1461" i="12"/>
  <c r="Q1461" i="12"/>
  <c r="C1462" i="12"/>
  <c r="E1462" i="12"/>
  <c r="I1462" i="12" s="1"/>
  <c r="F1462" i="12"/>
  <c r="G1462" i="12" s="1"/>
  <c r="J1462" i="12" s="1"/>
  <c r="K1462" i="12"/>
  <c r="O1462" i="12"/>
  <c r="Q1462" i="12"/>
  <c r="C1463" i="12"/>
  <c r="E1463" i="12"/>
  <c r="I1463" i="12" s="1"/>
  <c r="F1463" i="12"/>
  <c r="G1463" i="12" s="1"/>
  <c r="J1463" i="12" s="1"/>
  <c r="K1463" i="12"/>
  <c r="O1463" i="12"/>
  <c r="Q1463" i="12"/>
  <c r="C1464" i="12"/>
  <c r="E1464" i="12"/>
  <c r="I1464" i="12" s="1"/>
  <c r="F1464" i="12"/>
  <c r="G1464" i="12" s="1"/>
  <c r="J1464" i="12" s="1"/>
  <c r="K1464" i="12"/>
  <c r="O1464" i="12"/>
  <c r="Q1464" i="12"/>
  <c r="C1465" i="12"/>
  <c r="E1465" i="12"/>
  <c r="I1465" i="12" s="1"/>
  <c r="F1465" i="12"/>
  <c r="G1465" i="12" s="1"/>
  <c r="K1465" i="12"/>
  <c r="O1465" i="12"/>
  <c r="Q1465" i="12"/>
  <c r="C1466" i="12"/>
  <c r="E1466" i="12"/>
  <c r="I1466" i="12" s="1"/>
  <c r="F1466" i="12"/>
  <c r="G1466" i="12" s="1"/>
  <c r="K1466" i="12"/>
  <c r="O1466" i="12"/>
  <c r="Q1466" i="12"/>
  <c r="C1467" i="12"/>
  <c r="E1467" i="12"/>
  <c r="I1467" i="12" s="1"/>
  <c r="F1467" i="12"/>
  <c r="G1467" i="12" s="1"/>
  <c r="J1467" i="12" s="1"/>
  <c r="K1467" i="12"/>
  <c r="O1467" i="12"/>
  <c r="Q1467" i="12"/>
  <c r="C1468" i="12"/>
  <c r="E1468" i="12"/>
  <c r="I1468" i="12" s="1"/>
  <c r="F1468" i="12"/>
  <c r="G1468" i="12" s="1"/>
  <c r="J1468" i="12" s="1"/>
  <c r="K1468" i="12"/>
  <c r="O1468" i="12"/>
  <c r="Q1468" i="12"/>
  <c r="C1469" i="12"/>
  <c r="E1469" i="12"/>
  <c r="I1469" i="12" s="1"/>
  <c r="F1469" i="12"/>
  <c r="G1469" i="12" s="1"/>
  <c r="J1469" i="12" s="1"/>
  <c r="K1469" i="12"/>
  <c r="O1469" i="12"/>
  <c r="Q1469" i="12"/>
  <c r="C1470" i="12"/>
  <c r="E1470" i="12"/>
  <c r="I1470" i="12" s="1"/>
  <c r="F1470" i="12"/>
  <c r="G1470" i="12" s="1"/>
  <c r="K1470" i="12"/>
  <c r="O1470" i="12"/>
  <c r="Q1470" i="12"/>
  <c r="C1471" i="12"/>
  <c r="E1471" i="12"/>
  <c r="I1471" i="12" s="1"/>
  <c r="F1471" i="12"/>
  <c r="G1471" i="12" s="1"/>
  <c r="K1471" i="12"/>
  <c r="O1471" i="12"/>
  <c r="Q1471" i="12"/>
  <c r="C1472" i="12"/>
  <c r="E1472" i="12"/>
  <c r="I1472" i="12" s="1"/>
  <c r="F1472" i="12"/>
  <c r="G1472" i="12" s="1"/>
  <c r="J1472" i="12" s="1"/>
  <c r="K1472" i="12"/>
  <c r="O1472" i="12"/>
  <c r="Q1472" i="12"/>
  <c r="C1473" i="12"/>
  <c r="E1473" i="12"/>
  <c r="I1473" i="12" s="1"/>
  <c r="F1473" i="12"/>
  <c r="G1473" i="12" s="1"/>
  <c r="J1473" i="12" s="1"/>
  <c r="K1473" i="12"/>
  <c r="O1473" i="12"/>
  <c r="Q1473" i="12"/>
  <c r="C1474" i="12"/>
  <c r="E1474" i="12"/>
  <c r="I1474" i="12" s="1"/>
  <c r="F1474" i="12"/>
  <c r="G1474" i="12" s="1"/>
  <c r="K1474" i="12"/>
  <c r="O1474" i="12"/>
  <c r="Q1474" i="12"/>
  <c r="C1475" i="12"/>
  <c r="E1475" i="12"/>
  <c r="I1475" i="12" s="1"/>
  <c r="F1475" i="12"/>
  <c r="G1475" i="12" s="1"/>
  <c r="K1475" i="12"/>
  <c r="O1475" i="12"/>
  <c r="Q1475" i="12"/>
  <c r="C1476" i="12"/>
  <c r="E1476" i="12"/>
  <c r="I1476" i="12" s="1"/>
  <c r="F1476" i="12"/>
  <c r="G1476" i="12" s="1"/>
  <c r="J1476" i="12" s="1"/>
  <c r="K1476" i="12"/>
  <c r="O1476" i="12"/>
  <c r="Q1476" i="12"/>
  <c r="C1477" i="12"/>
  <c r="E1477" i="12"/>
  <c r="I1477" i="12" s="1"/>
  <c r="F1477" i="12"/>
  <c r="G1477" i="12" s="1"/>
  <c r="K1477" i="12"/>
  <c r="O1477" i="12"/>
  <c r="Q1477" i="12"/>
  <c r="C1478" i="12"/>
  <c r="E1478" i="12"/>
  <c r="I1478" i="12" s="1"/>
  <c r="F1478" i="12"/>
  <c r="G1478" i="12" s="1"/>
  <c r="K1478" i="12"/>
  <c r="O1478" i="12"/>
  <c r="Q1478" i="12"/>
  <c r="C1479" i="12"/>
  <c r="E1479" i="12"/>
  <c r="I1479" i="12" s="1"/>
  <c r="F1479" i="12"/>
  <c r="G1479" i="12" s="1"/>
  <c r="K1479" i="12"/>
  <c r="O1479" i="12"/>
  <c r="Q1479" i="12"/>
  <c r="C1480" i="12"/>
  <c r="E1480" i="12"/>
  <c r="I1480" i="12" s="1"/>
  <c r="F1480" i="12"/>
  <c r="G1480" i="12" s="1"/>
  <c r="J1480" i="12" s="1"/>
  <c r="K1480" i="12"/>
  <c r="O1480" i="12"/>
  <c r="Q1480" i="12"/>
  <c r="C1481" i="12"/>
  <c r="E1481" i="12"/>
  <c r="I1481" i="12" s="1"/>
  <c r="F1481" i="12"/>
  <c r="G1481" i="12" s="1"/>
  <c r="J1481" i="12" s="1"/>
  <c r="K1481" i="12"/>
  <c r="O1481" i="12"/>
  <c r="Q1481" i="12"/>
  <c r="C1482" i="12"/>
  <c r="E1482" i="12"/>
  <c r="I1482" i="12" s="1"/>
  <c r="F1482" i="12"/>
  <c r="G1482" i="12" s="1"/>
  <c r="J1482" i="12" s="1"/>
  <c r="K1482" i="12"/>
  <c r="O1482" i="12"/>
  <c r="Q1482" i="12"/>
  <c r="C1483" i="12"/>
  <c r="E1483" i="12"/>
  <c r="I1483" i="12" s="1"/>
  <c r="F1483" i="12"/>
  <c r="G1483" i="12" s="1"/>
  <c r="K1483" i="12"/>
  <c r="O1483" i="12"/>
  <c r="Q1483" i="12"/>
  <c r="C1484" i="12"/>
  <c r="E1484" i="12"/>
  <c r="I1484" i="12" s="1"/>
  <c r="F1484" i="12"/>
  <c r="G1484" i="12" s="1"/>
  <c r="K1484" i="12"/>
  <c r="O1484" i="12"/>
  <c r="Q1484" i="12"/>
  <c r="C1485" i="12"/>
  <c r="E1485" i="12"/>
  <c r="I1485" i="12" s="1"/>
  <c r="F1485" i="12"/>
  <c r="G1485" i="12" s="1"/>
  <c r="J1485" i="12" s="1"/>
  <c r="K1485" i="12"/>
  <c r="O1485" i="12"/>
  <c r="Q1485" i="12"/>
  <c r="C1486" i="12"/>
  <c r="E1486" i="12"/>
  <c r="I1486" i="12" s="1"/>
  <c r="F1486" i="12"/>
  <c r="K1486" i="12"/>
  <c r="O1486" i="12"/>
  <c r="Q1486" i="12"/>
  <c r="C1487" i="12"/>
  <c r="E1487" i="12"/>
  <c r="I1487" i="12" s="1"/>
  <c r="F1487" i="12"/>
  <c r="G1487" i="12" s="1"/>
  <c r="J1487" i="12" s="1"/>
  <c r="K1487" i="12"/>
  <c r="O1487" i="12"/>
  <c r="Q1487" i="12"/>
  <c r="C1488" i="12"/>
  <c r="E1488" i="12"/>
  <c r="I1488" i="12" s="1"/>
  <c r="F1488" i="12"/>
  <c r="G1488" i="12" s="1"/>
  <c r="K1488" i="12"/>
  <c r="O1488" i="12"/>
  <c r="Q1488" i="12"/>
  <c r="C1489" i="12"/>
  <c r="E1489" i="12"/>
  <c r="I1489" i="12" s="1"/>
  <c r="F1489" i="12"/>
  <c r="G1489" i="12" s="1"/>
  <c r="K1489" i="12"/>
  <c r="O1489" i="12"/>
  <c r="Q1489" i="12"/>
  <c r="C1490" i="12"/>
  <c r="E1490" i="12"/>
  <c r="I1490" i="12" s="1"/>
  <c r="F1490" i="12"/>
  <c r="G1490" i="12" s="1"/>
  <c r="K1490" i="12"/>
  <c r="O1490" i="12"/>
  <c r="Q1490" i="12"/>
  <c r="C1491" i="12"/>
  <c r="E1491" i="12"/>
  <c r="I1491" i="12" s="1"/>
  <c r="F1491" i="12"/>
  <c r="G1491" i="12" s="1"/>
  <c r="J1491" i="12" s="1"/>
  <c r="K1491" i="12"/>
  <c r="O1491" i="12"/>
  <c r="Q1491" i="12"/>
  <c r="C1492" i="12"/>
  <c r="E1492" i="12"/>
  <c r="I1492" i="12" s="1"/>
  <c r="F1492" i="12"/>
  <c r="G1492" i="12" s="1"/>
  <c r="J1492" i="12" s="1"/>
  <c r="K1492" i="12"/>
  <c r="O1492" i="12"/>
  <c r="Q1492" i="12"/>
  <c r="C1493" i="12"/>
  <c r="E1493" i="12"/>
  <c r="I1493" i="12" s="1"/>
  <c r="F1493" i="12"/>
  <c r="G1493" i="12" s="1"/>
  <c r="J1493" i="12" s="1"/>
  <c r="K1493" i="12"/>
  <c r="O1493" i="12"/>
  <c r="Q1493" i="12"/>
  <c r="C1494" i="12"/>
  <c r="E1494" i="12"/>
  <c r="I1494" i="12" s="1"/>
  <c r="F1494" i="12"/>
  <c r="G1494" i="12" s="1"/>
  <c r="K1494" i="12"/>
  <c r="O1494" i="12"/>
  <c r="Q1494" i="12"/>
  <c r="C1495" i="12"/>
  <c r="E1495" i="12"/>
  <c r="I1495" i="12" s="1"/>
  <c r="F1495" i="12"/>
  <c r="G1495" i="12" s="1"/>
  <c r="K1495" i="12"/>
  <c r="O1495" i="12"/>
  <c r="Q1495" i="12"/>
  <c r="C1496" i="12"/>
  <c r="E1496" i="12"/>
  <c r="I1496" i="12" s="1"/>
  <c r="F1496" i="12"/>
  <c r="G1496" i="12" s="1"/>
  <c r="J1496" i="12" s="1"/>
  <c r="K1496" i="12"/>
  <c r="O1496" i="12"/>
  <c r="Q1496" i="12"/>
  <c r="C1497" i="12"/>
  <c r="E1497" i="12"/>
  <c r="I1497" i="12" s="1"/>
  <c r="F1497" i="12"/>
  <c r="G1497" i="12" s="1"/>
  <c r="J1497" i="12" s="1"/>
  <c r="K1497" i="12"/>
  <c r="O1497" i="12"/>
  <c r="Q1497" i="12"/>
  <c r="C1498" i="12"/>
  <c r="E1498" i="12"/>
  <c r="I1498" i="12" s="1"/>
  <c r="F1498" i="12"/>
  <c r="G1498" i="12" s="1"/>
  <c r="K1498" i="12"/>
  <c r="O1498" i="12"/>
  <c r="Q1498" i="12"/>
  <c r="C1499" i="12"/>
  <c r="E1499" i="12"/>
  <c r="I1499" i="12" s="1"/>
  <c r="F1499" i="12"/>
  <c r="G1499" i="12" s="1"/>
  <c r="K1499" i="12"/>
  <c r="O1499" i="12"/>
  <c r="Q1499" i="12"/>
  <c r="C1500" i="12"/>
  <c r="E1500" i="12"/>
  <c r="I1500" i="12" s="1"/>
  <c r="F1500" i="12"/>
  <c r="G1500" i="12" s="1"/>
  <c r="J1500" i="12" s="1"/>
  <c r="K1500" i="12"/>
  <c r="O1500" i="12"/>
  <c r="Q1500" i="12"/>
  <c r="C1501" i="12"/>
  <c r="E1501" i="12"/>
  <c r="I1501" i="12" s="1"/>
  <c r="F1501" i="12"/>
  <c r="G1501" i="12" s="1"/>
  <c r="K1501" i="12"/>
  <c r="O1501" i="12"/>
  <c r="Q1501" i="12"/>
  <c r="C1502" i="12"/>
  <c r="E1502" i="12"/>
  <c r="I1502" i="12" s="1"/>
  <c r="F1502" i="12"/>
  <c r="G1502" i="12" s="1"/>
  <c r="L1502" i="12" s="1"/>
  <c r="K1502" i="12"/>
  <c r="O1502" i="12"/>
  <c r="Q1502" i="12"/>
  <c r="C1503" i="12"/>
  <c r="E1503" i="12"/>
  <c r="I1503" i="12" s="1"/>
  <c r="F1503" i="12"/>
  <c r="G1503" i="12" s="1"/>
  <c r="J1503" i="12" s="1"/>
  <c r="K1503" i="12"/>
  <c r="O1503" i="12"/>
  <c r="Q1503" i="12"/>
  <c r="C1504" i="12"/>
  <c r="E1504" i="12"/>
  <c r="I1504" i="12" s="1"/>
  <c r="F1504" i="12"/>
  <c r="G1504" i="12" s="1"/>
  <c r="K1504" i="12"/>
  <c r="O1504" i="12"/>
  <c r="Q1504" i="12"/>
  <c r="C1505" i="12"/>
  <c r="E1505" i="12"/>
  <c r="I1505" i="12" s="1"/>
  <c r="F1505" i="12"/>
  <c r="G1505" i="12" s="1"/>
  <c r="K1505" i="12"/>
  <c r="O1505" i="12"/>
  <c r="Q1505" i="12"/>
  <c r="C1506" i="12"/>
  <c r="E1506" i="12"/>
  <c r="I1506" i="12" s="1"/>
  <c r="F1506" i="12"/>
  <c r="G1506" i="12" s="1"/>
  <c r="K1506" i="12"/>
  <c r="O1506" i="12"/>
  <c r="Q1506" i="12"/>
  <c r="C1507" i="12"/>
  <c r="E1507" i="12"/>
  <c r="I1507" i="12" s="1"/>
  <c r="F1507" i="12"/>
  <c r="G1507" i="12" s="1"/>
  <c r="K1507" i="12"/>
  <c r="O1507" i="12"/>
  <c r="Q1507" i="12"/>
  <c r="C1508" i="12"/>
  <c r="E1508" i="12"/>
  <c r="I1508" i="12" s="1"/>
  <c r="F1508" i="12"/>
  <c r="G1508" i="12" s="1"/>
  <c r="K1508" i="12"/>
  <c r="O1508" i="12"/>
  <c r="Q1508" i="12"/>
  <c r="C1509" i="12"/>
  <c r="E1509" i="12"/>
  <c r="I1509" i="12" s="1"/>
  <c r="F1509" i="12"/>
  <c r="G1509" i="12" s="1"/>
  <c r="J1509" i="12" s="1"/>
  <c r="K1509" i="12"/>
  <c r="O1509" i="12"/>
  <c r="Q1509" i="12"/>
  <c r="C1510" i="12"/>
  <c r="E1510" i="12"/>
  <c r="I1510" i="12" s="1"/>
  <c r="F1510" i="12"/>
  <c r="K1510" i="12"/>
  <c r="O1510" i="12"/>
  <c r="Q1510" i="12"/>
  <c r="C1511" i="12"/>
  <c r="E1511" i="12"/>
  <c r="I1511" i="12" s="1"/>
  <c r="F1511" i="12"/>
  <c r="G1511" i="12" s="1"/>
  <c r="K1511" i="12"/>
  <c r="O1511" i="12"/>
  <c r="Q1511" i="12"/>
  <c r="C1512" i="12"/>
  <c r="E1512" i="12"/>
  <c r="I1512" i="12" s="1"/>
  <c r="F1512" i="12"/>
  <c r="G1512" i="12" s="1"/>
  <c r="K1512" i="12"/>
  <c r="O1512" i="12"/>
  <c r="Q1512" i="12"/>
  <c r="C1513" i="12"/>
  <c r="E1513" i="12"/>
  <c r="I1513" i="12" s="1"/>
  <c r="F1513" i="12"/>
  <c r="G1513" i="12" s="1"/>
  <c r="K1513" i="12"/>
  <c r="O1513" i="12"/>
  <c r="Q1513" i="12"/>
  <c r="C1514" i="12"/>
  <c r="E1514" i="12"/>
  <c r="I1514" i="12" s="1"/>
  <c r="F1514" i="12"/>
  <c r="G1514" i="12" s="1"/>
  <c r="J1514" i="12" s="1"/>
  <c r="K1514" i="12"/>
  <c r="O1514" i="12"/>
  <c r="Q1514" i="12"/>
  <c r="C1515" i="12"/>
  <c r="E1515" i="12"/>
  <c r="I1515" i="12" s="1"/>
  <c r="F1515" i="12"/>
  <c r="G1515" i="12" s="1"/>
  <c r="K1515" i="12"/>
  <c r="O1515" i="12"/>
  <c r="Q1515" i="12"/>
  <c r="C1516" i="12"/>
  <c r="E1516" i="12"/>
  <c r="I1516" i="12" s="1"/>
  <c r="F1516" i="12"/>
  <c r="G1516" i="12" s="1"/>
  <c r="K1516" i="12"/>
  <c r="O1516" i="12"/>
  <c r="Q1516" i="12"/>
  <c r="C1517" i="12"/>
  <c r="E1517" i="12"/>
  <c r="I1517" i="12" s="1"/>
  <c r="F1517" i="12"/>
  <c r="G1517" i="12" s="1"/>
  <c r="K1517" i="12"/>
  <c r="O1517" i="12"/>
  <c r="Q1517" i="12"/>
  <c r="C1518" i="12"/>
  <c r="E1518" i="12"/>
  <c r="I1518" i="12" s="1"/>
  <c r="F1518" i="12"/>
  <c r="G1518" i="12" s="1"/>
  <c r="K1518" i="12"/>
  <c r="O1518" i="12"/>
  <c r="Q1518" i="12"/>
  <c r="C1519" i="12"/>
  <c r="E1519" i="12"/>
  <c r="I1519" i="12" s="1"/>
  <c r="F1519" i="12"/>
  <c r="G1519" i="12" s="1"/>
  <c r="J1519" i="12" s="1"/>
  <c r="K1519" i="12"/>
  <c r="O1519" i="12"/>
  <c r="Q1519" i="12"/>
  <c r="C1520" i="12"/>
  <c r="E1520" i="12"/>
  <c r="I1520" i="12" s="1"/>
  <c r="F1520" i="12"/>
  <c r="G1520" i="12" s="1"/>
  <c r="J1520" i="12" s="1"/>
  <c r="K1520" i="12"/>
  <c r="O1520" i="12"/>
  <c r="Q1520" i="12"/>
  <c r="C1521" i="12"/>
  <c r="E1521" i="12"/>
  <c r="I1521" i="12" s="1"/>
  <c r="F1521" i="12"/>
  <c r="G1521" i="12" s="1"/>
  <c r="K1521" i="12"/>
  <c r="O1521" i="12"/>
  <c r="Q1521" i="12"/>
  <c r="C1522" i="12"/>
  <c r="E1522" i="12"/>
  <c r="I1522" i="12" s="1"/>
  <c r="F1522" i="12"/>
  <c r="G1522" i="12" s="1"/>
  <c r="K1522" i="12"/>
  <c r="O1522" i="12"/>
  <c r="Q1522" i="12"/>
  <c r="C1523" i="12"/>
  <c r="E1523" i="12"/>
  <c r="I1523" i="12" s="1"/>
  <c r="F1523" i="12"/>
  <c r="G1523" i="12" s="1"/>
  <c r="J1523" i="12" s="1"/>
  <c r="K1523" i="12"/>
  <c r="O1523" i="12"/>
  <c r="Q1523" i="12"/>
  <c r="C1524" i="12"/>
  <c r="E1524" i="12"/>
  <c r="I1524" i="12" s="1"/>
  <c r="F1524" i="12"/>
  <c r="G1524" i="12" s="1"/>
  <c r="K1524" i="12"/>
  <c r="O1524" i="12"/>
  <c r="Q1524" i="12"/>
  <c r="C1525" i="12"/>
  <c r="E1525" i="12"/>
  <c r="I1525" i="12" s="1"/>
  <c r="F1525" i="12"/>
  <c r="G1525" i="12" s="1"/>
  <c r="K1525" i="12"/>
  <c r="O1525" i="12"/>
  <c r="Q1525" i="12"/>
  <c r="C1526" i="12"/>
  <c r="E1526" i="12"/>
  <c r="I1526" i="12" s="1"/>
  <c r="F1526" i="12"/>
  <c r="G1526" i="12" s="1"/>
  <c r="L1526" i="12" s="1"/>
  <c r="K1526" i="12"/>
  <c r="O1526" i="12"/>
  <c r="Q1526" i="12"/>
  <c r="C1527" i="12"/>
  <c r="E1527" i="12"/>
  <c r="I1527" i="12" s="1"/>
  <c r="F1527" i="12"/>
  <c r="G1527" i="12" s="1"/>
  <c r="J1527" i="12" s="1"/>
  <c r="K1527" i="12"/>
  <c r="O1527" i="12"/>
  <c r="Q1527" i="12"/>
  <c r="C1528" i="12"/>
  <c r="E1528" i="12"/>
  <c r="I1528" i="12" s="1"/>
  <c r="F1528" i="12"/>
  <c r="G1528" i="12" s="1"/>
  <c r="K1528" i="12"/>
  <c r="O1528" i="12"/>
  <c r="Q1528" i="12"/>
  <c r="C1529" i="12"/>
  <c r="E1529" i="12"/>
  <c r="I1529" i="12" s="1"/>
  <c r="F1529" i="12"/>
  <c r="G1529" i="12" s="1"/>
  <c r="K1529" i="12"/>
  <c r="O1529" i="12"/>
  <c r="Q1529" i="12"/>
  <c r="C1530" i="12"/>
  <c r="E1530" i="12"/>
  <c r="I1530" i="12" s="1"/>
  <c r="F1530" i="12"/>
  <c r="G1530" i="12" s="1"/>
  <c r="J1530" i="12" s="1"/>
  <c r="K1530" i="12"/>
  <c r="O1530" i="12"/>
  <c r="Q1530" i="12"/>
  <c r="C1531" i="12"/>
  <c r="E1531" i="12"/>
  <c r="I1531" i="12" s="1"/>
  <c r="F1531" i="12"/>
  <c r="G1531" i="12" s="1"/>
  <c r="K1531" i="12"/>
  <c r="O1531" i="12"/>
  <c r="Q1531" i="12"/>
  <c r="C1532" i="12"/>
  <c r="E1532" i="12"/>
  <c r="I1532" i="12" s="1"/>
  <c r="F1532" i="12"/>
  <c r="K1532" i="12"/>
  <c r="O1532" i="12"/>
  <c r="Q1532" i="12"/>
  <c r="C1533" i="12"/>
  <c r="E1533" i="12"/>
  <c r="I1533" i="12" s="1"/>
  <c r="F1533" i="12"/>
  <c r="G1533" i="12" s="1"/>
  <c r="K1533" i="12"/>
  <c r="O1533" i="12"/>
  <c r="Q1533" i="12"/>
  <c r="C1534" i="12"/>
  <c r="E1534" i="12"/>
  <c r="I1534" i="12" s="1"/>
  <c r="F1534" i="12"/>
  <c r="G1534" i="12" s="1"/>
  <c r="J1534" i="12" s="1"/>
  <c r="K1534" i="12"/>
  <c r="O1534" i="12"/>
  <c r="Q1534" i="12"/>
  <c r="C1535" i="12"/>
  <c r="E1535" i="12"/>
  <c r="I1535" i="12" s="1"/>
  <c r="F1535" i="12"/>
  <c r="G1535" i="12" s="1"/>
  <c r="K1535" i="12"/>
  <c r="O1535" i="12"/>
  <c r="Q1535" i="12"/>
  <c r="C1536" i="12"/>
  <c r="E1536" i="12"/>
  <c r="I1536" i="12" s="1"/>
  <c r="F1536" i="12"/>
  <c r="G1536" i="12" s="1"/>
  <c r="K1536" i="12"/>
  <c r="O1536" i="12"/>
  <c r="Q1536" i="12"/>
  <c r="C1537" i="12"/>
  <c r="E1537" i="12"/>
  <c r="I1537" i="12" s="1"/>
  <c r="F1537" i="12"/>
  <c r="G1537" i="12" s="1"/>
  <c r="K1537" i="12"/>
  <c r="O1537" i="12"/>
  <c r="Q1537" i="12"/>
  <c r="C1538" i="12"/>
  <c r="E1538" i="12"/>
  <c r="I1538" i="12" s="1"/>
  <c r="F1538" i="12"/>
  <c r="G1538" i="12" s="1"/>
  <c r="J1538" i="12" s="1"/>
  <c r="K1538" i="12"/>
  <c r="O1538" i="12"/>
  <c r="Q1538" i="12"/>
  <c r="C1539" i="12"/>
  <c r="E1539" i="12"/>
  <c r="I1539" i="12" s="1"/>
  <c r="F1539" i="12"/>
  <c r="G1539" i="12" s="1"/>
  <c r="K1539" i="12"/>
  <c r="O1539" i="12"/>
  <c r="Q1539" i="12"/>
  <c r="C1540" i="12"/>
  <c r="E1540" i="12"/>
  <c r="I1540" i="12" s="1"/>
  <c r="F1540" i="12"/>
  <c r="G1540" i="12" s="1"/>
  <c r="J1540" i="12" s="1"/>
  <c r="K1540" i="12"/>
  <c r="O1540" i="12"/>
  <c r="Q1540" i="12"/>
  <c r="G1532" i="12" l="1"/>
  <c r="J1532" i="12" s="1"/>
  <c r="L1532" i="12" s="1"/>
  <c r="G1510" i="12"/>
  <c r="J1510" i="12" s="1"/>
  <c r="L1510" i="12" s="1"/>
  <c r="G1486" i="12"/>
  <c r="J1486" i="12" s="1"/>
  <c r="L1486" i="12" s="1"/>
  <c r="G1457" i="12"/>
  <c r="J1457" i="12" s="1"/>
  <c r="L1457" i="12" s="1"/>
  <c r="G1442" i="12"/>
  <c r="J1442" i="12" s="1"/>
  <c r="L1442" i="12" s="1"/>
  <c r="L1485" i="12"/>
  <c r="L1453" i="12"/>
  <c r="L1464" i="12"/>
  <c r="L1482" i="12"/>
  <c r="J1477" i="12"/>
  <c r="L1477" i="12" s="1"/>
  <c r="L1496" i="12"/>
  <c r="L1459" i="12"/>
  <c r="J1524" i="12"/>
  <c r="L1524" i="12" s="1"/>
  <c r="J1529" i="12"/>
  <c r="L1529" i="12" s="1"/>
  <c r="J1450" i="12"/>
  <c r="L1450" i="12" s="1"/>
  <c r="J1513" i="12"/>
  <c r="L1513" i="12" s="1"/>
  <c r="J1506" i="12"/>
  <c r="L1506" i="12" s="1"/>
  <c r="J1537" i="12"/>
  <c r="L1537" i="12" s="1"/>
  <c r="J1446" i="12"/>
  <c r="L1446" i="12" s="1"/>
  <c r="J1533" i="12"/>
  <c r="L1533" i="12" s="1"/>
  <c r="J1516" i="12"/>
  <c r="L1516" i="12" s="1"/>
  <c r="J1465" i="12"/>
  <c r="L1465" i="12" s="1"/>
  <c r="J1438" i="12"/>
  <c r="L1438" i="12" s="1"/>
  <c r="J1539" i="12"/>
  <c r="L1539" i="12" s="1"/>
  <c r="J1522" i="12"/>
  <c r="L1522" i="12" s="1"/>
  <c r="J1515" i="12"/>
  <c r="L1515" i="12" s="1"/>
  <c r="J1511" i="12"/>
  <c r="L1511" i="12" s="1"/>
  <c r="J1508" i="12"/>
  <c r="L1508" i="12" s="1"/>
  <c r="J1454" i="12"/>
  <c r="L1454" i="12" s="1"/>
  <c r="J1433" i="12"/>
  <c r="L1433" i="12" s="1"/>
  <c r="L1493" i="12"/>
  <c r="L1441" i="12"/>
  <c r="L1432" i="12"/>
  <c r="L1520" i="12"/>
  <c r="J1518" i="12"/>
  <c r="L1518" i="12" s="1"/>
  <c r="J1498" i="12"/>
  <c r="L1498" i="12" s="1"/>
  <c r="L1497" i="12"/>
  <c r="L1445" i="12"/>
  <c r="J1526" i="12"/>
  <c r="J1501" i="12"/>
  <c r="L1501" i="12" s="1"/>
  <c r="J1488" i="12"/>
  <c r="L1488" i="12" s="1"/>
  <c r="J1460" i="12"/>
  <c r="L1460" i="12" s="1"/>
  <c r="L1449" i="12"/>
  <c r="L1437" i="12"/>
  <c r="L1473" i="12"/>
  <c r="L1428" i="12"/>
  <c r="L1429" i="12"/>
  <c r="J1536" i="12"/>
  <c r="L1536" i="12" s="1"/>
  <c r="J1531" i="12"/>
  <c r="L1531" i="12" s="1"/>
  <c r="J1466" i="12"/>
  <c r="L1466" i="12" s="1"/>
  <c r="J1517" i="12"/>
  <c r="L1517" i="12" s="1"/>
  <c r="J1499" i="12"/>
  <c r="L1499" i="12" s="1"/>
  <c r="J1494" i="12"/>
  <c r="L1494" i="12" s="1"/>
  <c r="J1484" i="12"/>
  <c r="L1484" i="12" s="1"/>
  <c r="J1521" i="12"/>
  <c r="L1521" i="12" s="1"/>
  <c r="J1479" i="12"/>
  <c r="L1479" i="12" s="1"/>
  <c r="J1475" i="12"/>
  <c r="L1475" i="12" s="1"/>
  <c r="J1525" i="12"/>
  <c r="L1525" i="12" s="1"/>
  <c r="J1507" i="12"/>
  <c r="L1507" i="12" s="1"/>
  <c r="J1490" i="12"/>
  <c r="L1490" i="12" s="1"/>
  <c r="J1461" i="12"/>
  <c r="L1461" i="12" s="1"/>
  <c r="L1474" i="12"/>
  <c r="J1474" i="12"/>
  <c r="J1528" i="12"/>
  <c r="L1528" i="12" s="1"/>
  <c r="J1512" i="12"/>
  <c r="L1512" i="12" s="1"/>
  <c r="J1483" i="12"/>
  <c r="L1483" i="12" s="1"/>
  <c r="J1535" i="12"/>
  <c r="L1535" i="12" s="1"/>
  <c r="L1463" i="12"/>
  <c r="J1495" i="12"/>
  <c r="L1495" i="12" s="1"/>
  <c r="L1492" i="12"/>
  <c r="L1481" i="12"/>
  <c r="L1472" i="12"/>
  <c r="L1462" i="12"/>
  <c r="L1458" i="12"/>
  <c r="L1456" i="12"/>
  <c r="J1455" i="12"/>
  <c r="L1455" i="12" s="1"/>
  <c r="L1452" i="12"/>
  <c r="J1451" i="12"/>
  <c r="L1451" i="12" s="1"/>
  <c r="L1448" i="12"/>
  <c r="J1447" i="12"/>
  <c r="L1447" i="12" s="1"/>
  <c r="L1444" i="12"/>
  <c r="J1443" i="12"/>
  <c r="L1443" i="12" s="1"/>
  <c r="L1440" i="12"/>
  <c r="J1439" i="12"/>
  <c r="L1439" i="12" s="1"/>
  <c r="L1436" i="12"/>
  <c r="J1435" i="12"/>
  <c r="L1435" i="12" s="1"/>
  <c r="J1434" i="12"/>
  <c r="L1434" i="12" s="1"/>
  <c r="L1431" i="12"/>
  <c r="J1430" i="12"/>
  <c r="L1430" i="12" s="1"/>
  <c r="L1427" i="12"/>
  <c r="J1426" i="12"/>
  <c r="L1426" i="12" s="1"/>
  <c r="L1540" i="12"/>
  <c r="L1538" i="12"/>
  <c r="L1534" i="12"/>
  <c r="L1530" i="12"/>
  <c r="L1527" i="12"/>
  <c r="L1523" i="12"/>
  <c r="L1519" i="12"/>
  <c r="L1514" i="12"/>
  <c r="L1509" i="12"/>
  <c r="J1504" i="12"/>
  <c r="L1504" i="12" s="1"/>
  <c r="L1503" i="12"/>
  <c r="J1470" i="12"/>
  <c r="L1470" i="12" s="1"/>
  <c r="L1469" i="12"/>
  <c r="J1505" i="12"/>
  <c r="L1505" i="12" s="1"/>
  <c r="L1491" i="12"/>
  <c r="L1480" i="12"/>
  <c r="J1471" i="12"/>
  <c r="L1471" i="12" s="1"/>
  <c r="L1468" i="12"/>
  <c r="J1502" i="12"/>
  <c r="J1489" i="12"/>
  <c r="L1489" i="12" s="1"/>
  <c r="J1478" i="12"/>
  <c r="L1478" i="12" s="1"/>
  <c r="L1500" i="12"/>
  <c r="L1487" i="12"/>
  <c r="L1476" i="12"/>
  <c r="L1467" i="12"/>
  <c r="H1399" i="12" l="1"/>
  <c r="P1392" i="12"/>
  <c r="H1392" i="12"/>
  <c r="P1387" i="12"/>
  <c r="P1389" i="12"/>
  <c r="P1390" i="12"/>
  <c r="H1390" i="12"/>
  <c r="H1389" i="12"/>
  <c r="H1387" i="12"/>
  <c r="Q1378" i="12"/>
  <c r="O1378" i="12"/>
  <c r="K1378" i="12"/>
  <c r="F1378" i="12"/>
  <c r="G1378" i="12" s="1"/>
  <c r="E1378" i="12"/>
  <c r="I1378" i="12" s="1"/>
  <c r="C1378" i="12"/>
  <c r="P1375" i="12"/>
  <c r="H1375" i="12"/>
  <c r="J1378" i="12" l="1"/>
  <c r="L1378" i="12" s="1"/>
  <c r="P1368" i="12"/>
  <c r="H1368" i="12" l="1"/>
  <c r="P1342" i="12"/>
  <c r="P1350" i="12"/>
  <c r="H1350" i="12"/>
  <c r="H1342" i="12"/>
  <c r="M1467" i="12" l="1"/>
  <c r="M1411" i="12"/>
  <c r="M1409" i="12"/>
  <c r="M1380" i="12"/>
  <c r="M1361" i="12"/>
  <c r="M1429" i="12"/>
  <c r="M1530" i="12"/>
  <c r="M1524" i="12"/>
  <c r="M1523" i="12"/>
  <c r="M1513" i="12"/>
  <c r="M1510" i="12"/>
  <c r="M1509" i="12"/>
  <c r="M1508" i="12"/>
  <c r="M1497" i="12"/>
  <c r="M1521" i="12"/>
  <c r="M1511" i="12"/>
  <c r="M1483" i="12"/>
  <c r="M1494" i="12"/>
  <c r="M1515" i="12"/>
  <c r="M1505" i="12"/>
  <c r="M1499" i="12"/>
  <c r="M1473" i="12"/>
  <c r="M1424" i="12"/>
  <c r="M1423" i="12"/>
  <c r="M1421" i="12"/>
  <c r="M1419" i="12"/>
  <c r="M1417" i="12"/>
  <c r="M1416" i="12"/>
  <c r="M1415" i="12"/>
  <c r="M1414" i="12"/>
  <c r="M1413" i="12"/>
  <c r="M1489" i="12"/>
  <c r="M1477" i="12"/>
  <c r="M1427" i="12"/>
  <c r="M1425" i="12"/>
  <c r="M1495" i="12"/>
  <c r="M1493" i="12"/>
  <c r="M1492" i="12"/>
  <c r="M1481" i="12"/>
  <c r="M1479" i="12"/>
  <c r="M1478" i="12"/>
  <c r="M1476" i="12"/>
  <c r="M1532" i="12"/>
  <c r="M1529" i="12"/>
  <c r="M1527" i="12"/>
  <c r="M1522" i="12"/>
  <c r="M1503" i="12"/>
  <c r="M1502" i="12"/>
  <c r="M1501" i="12"/>
  <c r="M1500" i="12"/>
  <c r="M1491" i="12"/>
  <c r="M1466" i="12"/>
  <c r="M1464" i="12"/>
  <c r="M1462" i="12"/>
  <c r="M1461" i="12"/>
  <c r="M1460" i="12"/>
  <c r="M1459" i="12"/>
  <c r="M1454" i="12"/>
  <c r="M1453" i="12"/>
  <c r="M1452" i="12"/>
  <c r="M1451" i="12"/>
  <c r="M1407" i="12"/>
  <c r="M1406" i="12"/>
  <c r="M1404" i="12"/>
  <c r="M1403" i="12"/>
  <c r="M1402" i="12"/>
  <c r="M1401" i="12"/>
  <c r="M1398" i="12"/>
  <c r="M1397" i="12"/>
  <c r="M1396" i="12"/>
  <c r="M1395" i="12"/>
  <c r="M1394" i="12"/>
  <c r="M1393" i="12"/>
  <c r="M1392" i="12"/>
  <c r="M1389" i="12"/>
  <c r="M1388" i="12"/>
  <c r="M1386" i="12"/>
  <c r="M1519" i="12"/>
  <c r="M1518" i="12"/>
  <c r="M1517" i="12"/>
  <c r="M1516" i="12"/>
  <c r="M1507" i="12"/>
  <c r="M1487" i="12"/>
  <c r="M1486" i="12"/>
  <c r="M1485" i="12"/>
  <c r="M1484" i="12"/>
  <c r="M1475" i="12"/>
  <c r="M1469" i="12"/>
  <c r="M1471" i="12"/>
  <c r="M1531" i="12"/>
  <c r="M1443" i="12"/>
  <c r="M1442" i="12"/>
  <c r="M1366" i="12"/>
  <c r="M1506" i="12"/>
  <c r="M1498" i="12"/>
  <c r="M1474" i="12"/>
  <c r="M1528" i="12"/>
  <c r="M1514" i="12"/>
  <c r="M1490" i="12"/>
  <c r="M1482" i="12"/>
  <c r="M1526" i="12"/>
  <c r="M1525" i="12"/>
  <c r="M1520" i="12"/>
  <c r="M1512" i="12"/>
  <c r="M1504" i="12"/>
  <c r="M1496" i="12"/>
  <c r="M1488" i="12"/>
  <c r="M1480" i="12"/>
  <c r="M1472" i="12"/>
  <c r="M1408" i="12"/>
  <c r="M1470" i="12"/>
  <c r="M1468" i="12"/>
  <c r="M1465" i="12"/>
  <c r="M1463" i="12"/>
  <c r="M1458" i="12"/>
  <c r="M1457" i="12"/>
  <c r="M1456" i="12"/>
  <c r="M1455" i="12"/>
  <c r="M1450" i="12"/>
  <c r="M1449" i="12"/>
  <c r="M1448" i="12"/>
  <c r="M1447" i="12"/>
  <c r="M1446" i="12"/>
  <c r="M1445" i="12"/>
  <c r="M1444" i="12"/>
  <c r="M1441" i="12"/>
  <c r="M1440" i="12"/>
  <c r="M1439" i="12"/>
  <c r="M1438" i="12"/>
  <c r="M1437" i="12"/>
  <c r="M1435" i="12"/>
  <c r="M1436" i="12"/>
  <c r="M1434" i="12"/>
  <c r="M1432" i="12"/>
  <c r="M1433" i="12"/>
  <c r="M1431" i="12"/>
  <c r="M1430" i="12"/>
  <c r="M1428" i="12"/>
  <c r="M1426" i="12"/>
  <c r="M1422" i="12"/>
  <c r="M1420" i="12"/>
  <c r="M1418" i="12"/>
  <c r="M1412" i="12"/>
  <c r="M1410" i="12"/>
  <c r="M1405" i="12"/>
  <c r="M1400" i="12"/>
  <c r="M1399" i="12"/>
  <c r="M1391" i="12"/>
  <c r="M1390" i="12"/>
  <c r="M1387" i="12"/>
  <c r="M1385" i="12"/>
  <c r="M1384" i="12"/>
  <c r="M1383" i="12"/>
  <c r="M1382" i="12"/>
  <c r="M1381" i="12"/>
  <c r="M1379" i="12"/>
  <c r="M1377" i="12"/>
  <c r="M1376" i="12"/>
  <c r="M1375" i="12"/>
  <c r="M1374" i="12"/>
  <c r="M1373" i="12"/>
  <c r="M1371" i="12"/>
  <c r="M1372" i="12"/>
  <c r="M1370" i="12"/>
  <c r="M1369" i="12"/>
  <c r="M1368" i="12"/>
  <c r="M1367" i="12"/>
  <c r="M1365" i="12"/>
  <c r="M1364" i="12"/>
  <c r="M1363" i="12"/>
  <c r="M1362" i="12"/>
  <c r="M1360" i="12"/>
  <c r="M1359" i="12"/>
  <c r="M1356" i="12"/>
  <c r="M1358" i="12"/>
  <c r="M1357" i="12"/>
  <c r="P1329" i="12"/>
  <c r="P1322" i="12"/>
  <c r="P1317" i="12"/>
  <c r="H1329" i="12"/>
  <c r="H1322" i="12"/>
  <c r="H1317" i="12"/>
  <c r="P1271" i="12"/>
  <c r="G1338" i="12"/>
  <c r="G1295" i="12"/>
  <c r="J1295" i="12" s="1"/>
  <c r="F1338" i="12"/>
  <c r="O1293" i="12" l="1"/>
  <c r="Q1293" i="12"/>
  <c r="P1307" i="12" l="1"/>
  <c r="H1307" i="12"/>
  <c r="Q1304" i="12"/>
  <c r="P1301" i="12"/>
  <c r="H1301" i="12"/>
  <c r="P1291" i="12" l="1"/>
  <c r="H1291" i="12" l="1"/>
  <c r="P1269" i="12"/>
  <c r="H1269" i="12" l="1"/>
  <c r="P1258" i="12" l="1"/>
  <c r="H1258" i="12" l="1"/>
  <c r="P1253" i="12"/>
  <c r="H1253" i="12"/>
  <c r="P1250" i="12"/>
  <c r="H1250" i="12"/>
  <c r="P1242" i="12"/>
  <c r="P1243" i="12"/>
  <c r="P1244" i="12"/>
  <c r="H1244" i="12"/>
  <c r="H1243" i="12"/>
  <c r="H1242" i="12"/>
  <c r="P1234" i="12"/>
  <c r="H1234" i="12" l="1"/>
  <c r="P1230" i="12" l="1"/>
  <c r="H1230" i="12"/>
  <c r="P1228" i="12"/>
  <c r="H1228" i="12"/>
  <c r="P1222" i="12"/>
  <c r="H1222" i="12"/>
  <c r="H1221" i="12"/>
  <c r="P1221" i="12"/>
  <c r="M1303" i="12" l="1"/>
  <c r="M1347" i="12"/>
  <c r="M1339" i="12"/>
  <c r="M1327" i="12"/>
  <c r="M1326" i="12"/>
  <c r="M1323" i="12"/>
  <c r="M1354" i="12"/>
  <c r="M1299" i="12"/>
  <c r="M1298" i="12"/>
  <c r="M1292" i="12"/>
  <c r="M1291" i="12"/>
  <c r="M1290" i="12"/>
  <c r="M1286" i="12"/>
  <c r="M1275" i="12"/>
  <c r="M1274" i="12"/>
  <c r="M1266" i="12"/>
  <c r="M1302" i="12"/>
  <c r="M1271" i="12"/>
  <c r="M1268" i="12"/>
  <c r="M1346" i="12"/>
  <c r="M1338" i="12"/>
  <c r="M1322" i="12"/>
  <c r="M1314" i="12"/>
  <c r="M1263" i="12"/>
  <c r="M1355" i="12"/>
  <c r="M1351" i="12"/>
  <c r="M1350" i="12"/>
  <c r="M1343" i="12"/>
  <c r="M1342" i="12"/>
  <c r="M1335" i="12"/>
  <c r="M1334" i="12"/>
  <c r="M1331" i="12"/>
  <c r="M1330" i="12"/>
  <c r="M1319" i="12"/>
  <c r="M1318" i="12"/>
  <c r="M1315" i="12"/>
  <c r="M1349" i="12"/>
  <c r="M1348" i="12"/>
  <c r="M1341" i="12"/>
  <c r="M1340" i="12"/>
  <c r="M1333" i="12"/>
  <c r="M1332" i="12"/>
  <c r="M1325" i="12"/>
  <c r="M1324" i="12"/>
  <c r="M1317" i="12"/>
  <c r="M1316" i="12"/>
  <c r="M1308" i="12"/>
  <c r="M1306" i="12"/>
  <c r="M1353" i="12"/>
  <c r="M1352" i="12"/>
  <c r="M1345" i="12"/>
  <c r="M1344" i="12"/>
  <c r="M1337" i="12"/>
  <c r="M1336" i="12"/>
  <c r="M1329" i="12"/>
  <c r="M1328" i="12"/>
  <c r="M1321" i="12"/>
  <c r="M1320" i="12"/>
  <c r="M1313" i="12"/>
  <c r="M1312" i="12"/>
  <c r="M1311" i="12"/>
  <c r="M1310" i="12"/>
  <c r="M1309" i="12"/>
  <c r="M1307" i="12"/>
  <c r="M1305" i="12"/>
  <c r="M1304" i="12"/>
  <c r="M1301" i="12"/>
  <c r="M1300" i="12"/>
  <c r="M1296" i="12"/>
  <c r="M1297" i="12"/>
  <c r="M1295" i="12"/>
  <c r="M1294" i="12"/>
  <c r="M1293" i="12"/>
  <c r="M1289" i="12"/>
  <c r="M1288" i="12"/>
  <c r="M1285" i="12"/>
  <c r="M1287" i="12"/>
  <c r="M1284" i="12"/>
  <c r="M1283" i="12"/>
  <c r="M1282" i="12"/>
  <c r="M1280" i="12"/>
  <c r="M1281" i="12"/>
  <c r="M1279" i="12"/>
  <c r="M1278" i="12"/>
  <c r="M1277" i="12"/>
  <c r="M1276" i="12"/>
  <c r="M1273" i="12"/>
  <c r="M1272" i="12"/>
  <c r="M1270" i="12"/>
  <c r="M1267" i="12"/>
  <c r="M1269" i="12"/>
  <c r="M1264" i="12"/>
  <c r="M1265" i="12"/>
  <c r="C1250" i="12"/>
  <c r="E1250" i="12"/>
  <c r="I1250" i="12" s="1"/>
  <c r="F1250" i="12"/>
  <c r="G1250" i="12" s="1"/>
  <c r="K1250" i="12"/>
  <c r="O1250" i="12"/>
  <c r="Q1250" i="12"/>
  <c r="C1251" i="12"/>
  <c r="E1251" i="12"/>
  <c r="I1251" i="12" s="1"/>
  <c r="F1251" i="12"/>
  <c r="G1251" i="12" s="1"/>
  <c r="K1251" i="12"/>
  <c r="O1251" i="12"/>
  <c r="Q1251" i="12"/>
  <c r="C1252" i="12"/>
  <c r="E1252" i="12"/>
  <c r="I1252" i="12" s="1"/>
  <c r="F1252" i="12"/>
  <c r="G1252" i="12" s="1"/>
  <c r="K1252" i="12"/>
  <c r="O1252" i="12"/>
  <c r="Q1252" i="12"/>
  <c r="C1253" i="12"/>
  <c r="E1253" i="12"/>
  <c r="I1253" i="12" s="1"/>
  <c r="F1253" i="12"/>
  <c r="G1253" i="12" s="1"/>
  <c r="K1253" i="12"/>
  <c r="O1253" i="12"/>
  <c r="Q1253" i="12"/>
  <c r="C1254" i="12"/>
  <c r="E1254" i="12"/>
  <c r="I1254" i="12" s="1"/>
  <c r="F1254" i="12"/>
  <c r="G1254" i="12" s="1"/>
  <c r="K1254" i="12"/>
  <c r="O1254" i="12"/>
  <c r="Q1254" i="12"/>
  <c r="C1255" i="12"/>
  <c r="E1255" i="12"/>
  <c r="I1255" i="12" s="1"/>
  <c r="F1255" i="12"/>
  <c r="K1255" i="12"/>
  <c r="O1255" i="12"/>
  <c r="Q1255" i="12"/>
  <c r="C1256" i="12"/>
  <c r="E1256" i="12"/>
  <c r="I1256" i="12" s="1"/>
  <c r="F1256" i="12"/>
  <c r="G1256" i="12" s="1"/>
  <c r="K1256" i="12"/>
  <c r="O1256" i="12"/>
  <c r="Q1256" i="12"/>
  <c r="C1257" i="12"/>
  <c r="E1257" i="12"/>
  <c r="I1257" i="12" s="1"/>
  <c r="F1257" i="12"/>
  <c r="G1257" i="12" s="1"/>
  <c r="K1257" i="12"/>
  <c r="O1257" i="12"/>
  <c r="Q1257" i="12"/>
  <c r="C1258" i="12"/>
  <c r="E1258" i="12"/>
  <c r="I1258" i="12" s="1"/>
  <c r="F1258" i="12"/>
  <c r="G1258" i="12" s="1"/>
  <c r="K1258" i="12"/>
  <c r="O1258" i="12"/>
  <c r="Q1258" i="12"/>
  <c r="C1259" i="12"/>
  <c r="E1259" i="12"/>
  <c r="I1259" i="12" s="1"/>
  <c r="F1259" i="12"/>
  <c r="G1259" i="12" s="1"/>
  <c r="K1259" i="12"/>
  <c r="O1259" i="12"/>
  <c r="Q1259" i="12"/>
  <c r="C1260" i="12"/>
  <c r="E1260" i="12"/>
  <c r="I1260" i="12" s="1"/>
  <c r="F1260" i="12"/>
  <c r="G1260" i="12" s="1"/>
  <c r="K1260" i="12"/>
  <c r="O1260" i="12"/>
  <c r="Q1260" i="12"/>
  <c r="C1261" i="12"/>
  <c r="E1261" i="12"/>
  <c r="I1261" i="12" s="1"/>
  <c r="F1261" i="12"/>
  <c r="G1261" i="12" s="1"/>
  <c r="K1261" i="12"/>
  <c r="O1261" i="12"/>
  <c r="Q1261" i="12"/>
  <c r="C1262" i="12"/>
  <c r="E1262" i="12"/>
  <c r="I1262" i="12" s="1"/>
  <c r="F1262" i="12"/>
  <c r="K1262" i="12"/>
  <c r="O1262" i="12"/>
  <c r="Q1262" i="12"/>
  <c r="C1263" i="12"/>
  <c r="E1263" i="12"/>
  <c r="I1263" i="12" s="1"/>
  <c r="F1263" i="12"/>
  <c r="G1263" i="12" s="1"/>
  <c r="K1263" i="12"/>
  <c r="O1263" i="12"/>
  <c r="Q1263" i="12"/>
  <c r="C1264" i="12"/>
  <c r="E1264" i="12"/>
  <c r="I1264" i="12" s="1"/>
  <c r="F1264" i="12"/>
  <c r="G1264" i="12" s="1"/>
  <c r="K1264" i="12"/>
  <c r="O1264" i="12"/>
  <c r="Q1264" i="12"/>
  <c r="C1265" i="12"/>
  <c r="E1265" i="12"/>
  <c r="I1265" i="12" s="1"/>
  <c r="F1265" i="12"/>
  <c r="G1265" i="12" s="1"/>
  <c r="K1265" i="12"/>
  <c r="O1265" i="12"/>
  <c r="Q1265" i="12"/>
  <c r="C1266" i="12"/>
  <c r="E1266" i="12"/>
  <c r="I1266" i="12" s="1"/>
  <c r="F1266" i="12"/>
  <c r="G1266" i="12" s="1"/>
  <c r="K1266" i="12"/>
  <c r="O1266" i="12"/>
  <c r="Q1266" i="12"/>
  <c r="C1267" i="12"/>
  <c r="E1267" i="12"/>
  <c r="I1267" i="12" s="1"/>
  <c r="F1267" i="12"/>
  <c r="G1267" i="12" s="1"/>
  <c r="J1267" i="12" s="1"/>
  <c r="K1267" i="12"/>
  <c r="O1267" i="12"/>
  <c r="Q1267" i="12"/>
  <c r="C1268" i="12"/>
  <c r="E1268" i="12"/>
  <c r="I1268" i="12" s="1"/>
  <c r="F1268" i="12"/>
  <c r="G1268" i="12" s="1"/>
  <c r="K1268" i="12"/>
  <c r="O1268" i="12"/>
  <c r="Q1268" i="12"/>
  <c r="C1269" i="12"/>
  <c r="E1269" i="12"/>
  <c r="I1269" i="12" s="1"/>
  <c r="F1269" i="12"/>
  <c r="G1269" i="12" s="1"/>
  <c r="K1269" i="12"/>
  <c r="O1269" i="12"/>
  <c r="Q1269" i="12"/>
  <c r="C1270" i="12"/>
  <c r="E1270" i="12"/>
  <c r="I1270" i="12" s="1"/>
  <c r="F1270" i="12"/>
  <c r="K1270" i="12"/>
  <c r="O1270" i="12"/>
  <c r="Q1270" i="12"/>
  <c r="C1271" i="12"/>
  <c r="E1271" i="12"/>
  <c r="I1271" i="12" s="1"/>
  <c r="F1271" i="12"/>
  <c r="G1271" i="12" s="1"/>
  <c r="J1271" i="12" s="1"/>
  <c r="K1271" i="12"/>
  <c r="O1271" i="12"/>
  <c r="Q1271" i="12"/>
  <c r="C1272" i="12"/>
  <c r="E1272" i="12"/>
  <c r="I1272" i="12" s="1"/>
  <c r="F1272" i="12"/>
  <c r="G1272" i="12" s="1"/>
  <c r="K1272" i="12"/>
  <c r="O1272" i="12"/>
  <c r="Q1272" i="12"/>
  <c r="C1273" i="12"/>
  <c r="E1273" i="12"/>
  <c r="I1273" i="12" s="1"/>
  <c r="F1273" i="12"/>
  <c r="G1273" i="12" s="1"/>
  <c r="K1273" i="12"/>
  <c r="O1273" i="12"/>
  <c r="Q1273" i="12"/>
  <c r="C1274" i="12"/>
  <c r="E1274" i="12"/>
  <c r="I1274" i="12" s="1"/>
  <c r="F1274" i="12"/>
  <c r="G1274" i="12" s="1"/>
  <c r="K1274" i="12"/>
  <c r="O1274" i="12"/>
  <c r="Q1274" i="12"/>
  <c r="C1275" i="12"/>
  <c r="E1275" i="12"/>
  <c r="I1275" i="12" s="1"/>
  <c r="F1275" i="12"/>
  <c r="G1275" i="12" s="1"/>
  <c r="J1275" i="12" s="1"/>
  <c r="K1275" i="12"/>
  <c r="O1275" i="12"/>
  <c r="Q1275" i="12"/>
  <c r="C1276" i="12"/>
  <c r="E1276" i="12"/>
  <c r="I1276" i="12" s="1"/>
  <c r="F1276" i="12"/>
  <c r="G1276" i="12" s="1"/>
  <c r="K1276" i="12"/>
  <c r="O1276" i="12"/>
  <c r="Q1276" i="12"/>
  <c r="C1277" i="12"/>
  <c r="E1277" i="12"/>
  <c r="I1277" i="12" s="1"/>
  <c r="F1277" i="12"/>
  <c r="G1277" i="12" s="1"/>
  <c r="K1277" i="12"/>
  <c r="O1277" i="12"/>
  <c r="Q1277" i="12"/>
  <c r="C1278" i="12"/>
  <c r="E1278" i="12"/>
  <c r="I1278" i="12" s="1"/>
  <c r="F1278" i="12"/>
  <c r="G1278" i="12" s="1"/>
  <c r="K1278" i="12"/>
  <c r="O1278" i="12"/>
  <c r="Q1278" i="12"/>
  <c r="C1279" i="12"/>
  <c r="E1279" i="12"/>
  <c r="I1279" i="12" s="1"/>
  <c r="F1279" i="12"/>
  <c r="G1279" i="12" s="1"/>
  <c r="K1279" i="12"/>
  <c r="O1279" i="12"/>
  <c r="Q1279" i="12"/>
  <c r="C1280" i="12"/>
  <c r="E1280" i="12"/>
  <c r="I1280" i="12" s="1"/>
  <c r="F1280" i="12"/>
  <c r="G1280" i="12" s="1"/>
  <c r="J1280" i="12" s="1"/>
  <c r="K1280" i="12"/>
  <c r="O1280" i="12"/>
  <c r="Q1280" i="12"/>
  <c r="C1281" i="12"/>
  <c r="E1281" i="12"/>
  <c r="I1281" i="12" s="1"/>
  <c r="F1281" i="12"/>
  <c r="G1281" i="12" s="1"/>
  <c r="K1281" i="12"/>
  <c r="O1281" i="12"/>
  <c r="Q1281" i="12"/>
  <c r="C1282" i="12"/>
  <c r="E1282" i="12"/>
  <c r="I1282" i="12" s="1"/>
  <c r="F1282" i="12"/>
  <c r="G1282" i="12" s="1"/>
  <c r="K1282" i="12"/>
  <c r="O1282" i="12"/>
  <c r="Q1282" i="12"/>
  <c r="C1283" i="12"/>
  <c r="E1283" i="12"/>
  <c r="I1283" i="12" s="1"/>
  <c r="F1283" i="12"/>
  <c r="G1283" i="12" s="1"/>
  <c r="K1283" i="12"/>
  <c r="O1283" i="12"/>
  <c r="Q1283" i="12"/>
  <c r="C1284" i="12"/>
  <c r="E1284" i="12"/>
  <c r="I1284" i="12" s="1"/>
  <c r="F1284" i="12"/>
  <c r="G1284" i="12" s="1"/>
  <c r="K1284" i="12"/>
  <c r="O1284" i="12"/>
  <c r="Q1284" i="12"/>
  <c r="C1285" i="12"/>
  <c r="E1285" i="12"/>
  <c r="I1285" i="12" s="1"/>
  <c r="F1285" i="12"/>
  <c r="G1285" i="12" s="1"/>
  <c r="K1285" i="12"/>
  <c r="O1285" i="12"/>
  <c r="Q1285" i="12"/>
  <c r="C1286" i="12"/>
  <c r="E1286" i="12"/>
  <c r="I1286" i="12" s="1"/>
  <c r="F1286" i="12"/>
  <c r="G1286" i="12" s="1"/>
  <c r="J1286" i="12" s="1"/>
  <c r="K1286" i="12"/>
  <c r="O1286" i="12"/>
  <c r="Q1286" i="12"/>
  <c r="C1287" i="12"/>
  <c r="E1287" i="12"/>
  <c r="I1287" i="12" s="1"/>
  <c r="F1287" i="12"/>
  <c r="G1287" i="12" s="1"/>
  <c r="K1287" i="12"/>
  <c r="O1287" i="12"/>
  <c r="Q1287" i="12"/>
  <c r="C1288" i="12"/>
  <c r="E1288" i="12"/>
  <c r="I1288" i="12" s="1"/>
  <c r="F1288" i="12"/>
  <c r="G1288" i="12" s="1"/>
  <c r="K1288" i="12"/>
  <c r="O1288" i="12"/>
  <c r="Q1288" i="12"/>
  <c r="C1289" i="12"/>
  <c r="E1289" i="12"/>
  <c r="I1289" i="12" s="1"/>
  <c r="F1289" i="12"/>
  <c r="G1289" i="12" s="1"/>
  <c r="K1289" i="12"/>
  <c r="O1289" i="12"/>
  <c r="Q1289" i="12"/>
  <c r="C1290" i="12"/>
  <c r="E1290" i="12"/>
  <c r="I1290" i="12" s="1"/>
  <c r="F1290" i="12"/>
  <c r="G1290" i="12" s="1"/>
  <c r="K1290" i="12"/>
  <c r="O1290" i="12"/>
  <c r="Q1290" i="12"/>
  <c r="C1291" i="12"/>
  <c r="E1291" i="12"/>
  <c r="I1291" i="12" s="1"/>
  <c r="F1291" i="12"/>
  <c r="G1291" i="12" s="1"/>
  <c r="K1291" i="12"/>
  <c r="O1291" i="12"/>
  <c r="Q1291" i="12"/>
  <c r="C1292" i="12"/>
  <c r="E1292" i="12"/>
  <c r="I1292" i="12" s="1"/>
  <c r="F1292" i="12"/>
  <c r="G1292" i="12" s="1"/>
  <c r="J1292" i="12" s="1"/>
  <c r="K1292" i="12"/>
  <c r="O1292" i="12"/>
  <c r="Q1292" i="12"/>
  <c r="C1293" i="12"/>
  <c r="E1293" i="12"/>
  <c r="I1293" i="12" s="1"/>
  <c r="F1293" i="12"/>
  <c r="G1293" i="12" s="1"/>
  <c r="K1293" i="12"/>
  <c r="C1294" i="12"/>
  <c r="E1294" i="12"/>
  <c r="I1294" i="12" s="1"/>
  <c r="F1294" i="12"/>
  <c r="G1294" i="12" s="1"/>
  <c r="K1294" i="12"/>
  <c r="O1294" i="12"/>
  <c r="Q1294" i="12"/>
  <c r="I1295" i="12"/>
  <c r="F1295" i="12"/>
  <c r="K1295" i="12"/>
  <c r="O1295" i="12"/>
  <c r="Q1295" i="12"/>
  <c r="C1296" i="12"/>
  <c r="E1296" i="12"/>
  <c r="I1296" i="12" s="1"/>
  <c r="F1296" i="12"/>
  <c r="G1296" i="12" s="1"/>
  <c r="J1296" i="12" s="1"/>
  <c r="K1296" i="12"/>
  <c r="O1296" i="12"/>
  <c r="Q1296" i="12"/>
  <c r="C1297" i="12"/>
  <c r="E1297" i="12"/>
  <c r="I1297" i="12" s="1"/>
  <c r="F1297" i="12"/>
  <c r="G1297" i="12" s="1"/>
  <c r="K1297" i="12"/>
  <c r="O1297" i="12"/>
  <c r="Q1297" i="12"/>
  <c r="C1298" i="12"/>
  <c r="E1298" i="12"/>
  <c r="I1298" i="12" s="1"/>
  <c r="F1298" i="12"/>
  <c r="G1298" i="12" s="1"/>
  <c r="K1298" i="12"/>
  <c r="O1298" i="12"/>
  <c r="Q1298" i="12"/>
  <c r="C1299" i="12"/>
  <c r="E1299" i="12"/>
  <c r="I1299" i="12" s="1"/>
  <c r="F1299" i="12"/>
  <c r="G1299" i="12" s="1"/>
  <c r="K1299" i="12"/>
  <c r="O1299" i="12"/>
  <c r="Q1299" i="12"/>
  <c r="C1300" i="12"/>
  <c r="E1300" i="12"/>
  <c r="I1300" i="12" s="1"/>
  <c r="F1300" i="12"/>
  <c r="G1300" i="12" s="1"/>
  <c r="J1300" i="12" s="1"/>
  <c r="K1300" i="12"/>
  <c r="O1300" i="12"/>
  <c r="Q1300" i="12"/>
  <c r="C1301" i="12"/>
  <c r="E1301" i="12"/>
  <c r="I1301" i="12" s="1"/>
  <c r="F1301" i="12"/>
  <c r="G1301" i="12" s="1"/>
  <c r="K1301" i="12"/>
  <c r="O1301" i="12"/>
  <c r="Q1301" i="12"/>
  <c r="C1302" i="12"/>
  <c r="E1302" i="12"/>
  <c r="I1302" i="12" s="1"/>
  <c r="F1302" i="12"/>
  <c r="G1302" i="12" s="1"/>
  <c r="K1302" i="12"/>
  <c r="O1302" i="12"/>
  <c r="Q1302" i="12"/>
  <c r="C1303" i="12"/>
  <c r="E1303" i="12"/>
  <c r="I1303" i="12" s="1"/>
  <c r="F1303" i="12"/>
  <c r="G1303" i="12" s="1"/>
  <c r="K1303" i="12"/>
  <c r="O1303" i="12"/>
  <c r="Q1303" i="12"/>
  <c r="C1304" i="12"/>
  <c r="E1304" i="12"/>
  <c r="I1304" i="12" s="1"/>
  <c r="F1304" i="12"/>
  <c r="G1304" i="12" s="1"/>
  <c r="K1304" i="12"/>
  <c r="O1304" i="12"/>
  <c r="C1305" i="12"/>
  <c r="E1305" i="12"/>
  <c r="I1305" i="12" s="1"/>
  <c r="F1305" i="12"/>
  <c r="G1305" i="12" s="1"/>
  <c r="K1305" i="12"/>
  <c r="O1305" i="12"/>
  <c r="Q1305" i="12"/>
  <c r="C1306" i="12"/>
  <c r="E1306" i="12"/>
  <c r="I1306" i="12" s="1"/>
  <c r="F1306" i="12"/>
  <c r="G1306" i="12" s="1"/>
  <c r="K1306" i="12"/>
  <c r="O1306" i="12"/>
  <c r="Q1306" i="12"/>
  <c r="C1307" i="12"/>
  <c r="E1307" i="12"/>
  <c r="I1307" i="12" s="1"/>
  <c r="F1307" i="12"/>
  <c r="G1307" i="12" s="1"/>
  <c r="K1307" i="12"/>
  <c r="O1307" i="12"/>
  <c r="Q1307" i="12"/>
  <c r="C1308" i="12"/>
  <c r="E1308" i="12"/>
  <c r="I1308" i="12" s="1"/>
  <c r="F1308" i="12"/>
  <c r="G1308" i="12" s="1"/>
  <c r="J1308" i="12" s="1"/>
  <c r="K1308" i="12"/>
  <c r="O1308" i="12"/>
  <c r="Q1308" i="12"/>
  <c r="C1309" i="12"/>
  <c r="E1309" i="12"/>
  <c r="I1309" i="12" s="1"/>
  <c r="F1309" i="12"/>
  <c r="G1309" i="12" s="1"/>
  <c r="J1309" i="12" s="1"/>
  <c r="K1309" i="12"/>
  <c r="O1309" i="12"/>
  <c r="Q1309" i="12"/>
  <c r="C1310" i="12"/>
  <c r="E1310" i="12"/>
  <c r="I1310" i="12" s="1"/>
  <c r="F1310" i="12"/>
  <c r="G1310" i="12" s="1"/>
  <c r="K1310" i="12"/>
  <c r="O1310" i="12"/>
  <c r="Q1310" i="12"/>
  <c r="C1311" i="12"/>
  <c r="E1311" i="12"/>
  <c r="I1311" i="12" s="1"/>
  <c r="F1311" i="12"/>
  <c r="G1311" i="12" s="1"/>
  <c r="K1311" i="12"/>
  <c r="O1311" i="12"/>
  <c r="Q1311" i="12"/>
  <c r="C1312" i="12"/>
  <c r="E1312" i="12"/>
  <c r="I1312" i="12" s="1"/>
  <c r="F1312" i="12"/>
  <c r="G1312" i="12" s="1"/>
  <c r="K1312" i="12"/>
  <c r="O1312" i="12"/>
  <c r="Q1312" i="12"/>
  <c r="C1313" i="12"/>
  <c r="E1313" i="12"/>
  <c r="I1313" i="12" s="1"/>
  <c r="F1313" i="12"/>
  <c r="G1313" i="12" s="1"/>
  <c r="K1313" i="12"/>
  <c r="O1313" i="12"/>
  <c r="Q1313" i="12"/>
  <c r="C1314" i="12"/>
  <c r="E1314" i="12"/>
  <c r="I1314" i="12" s="1"/>
  <c r="F1314" i="12"/>
  <c r="G1314" i="12" s="1"/>
  <c r="K1314" i="12"/>
  <c r="O1314" i="12"/>
  <c r="Q1314" i="12"/>
  <c r="C1315" i="12"/>
  <c r="E1315" i="12"/>
  <c r="I1315" i="12" s="1"/>
  <c r="F1315" i="12"/>
  <c r="G1315" i="12" s="1"/>
  <c r="K1315" i="12"/>
  <c r="O1315" i="12"/>
  <c r="Q1315" i="12"/>
  <c r="C1316" i="12"/>
  <c r="E1316" i="12"/>
  <c r="I1316" i="12" s="1"/>
  <c r="F1316" i="12"/>
  <c r="G1316" i="12" s="1"/>
  <c r="K1316" i="12"/>
  <c r="O1316" i="12"/>
  <c r="Q1316" i="12"/>
  <c r="C1317" i="12"/>
  <c r="E1317" i="12"/>
  <c r="I1317" i="12" s="1"/>
  <c r="F1317" i="12"/>
  <c r="G1317" i="12" s="1"/>
  <c r="J1317" i="12" s="1"/>
  <c r="K1317" i="12"/>
  <c r="O1317" i="12"/>
  <c r="Q1317" i="12"/>
  <c r="C1318" i="12"/>
  <c r="E1318" i="12"/>
  <c r="I1318" i="12" s="1"/>
  <c r="F1318" i="12"/>
  <c r="G1318" i="12" s="1"/>
  <c r="K1318" i="12"/>
  <c r="O1318" i="12"/>
  <c r="Q1318" i="12"/>
  <c r="C1319" i="12"/>
  <c r="E1319" i="12"/>
  <c r="I1319" i="12" s="1"/>
  <c r="F1319" i="12"/>
  <c r="G1319" i="12" s="1"/>
  <c r="K1319" i="12"/>
  <c r="O1319" i="12"/>
  <c r="Q1319" i="12"/>
  <c r="C1320" i="12"/>
  <c r="E1320" i="12"/>
  <c r="I1320" i="12" s="1"/>
  <c r="F1320" i="12"/>
  <c r="G1320" i="12" s="1"/>
  <c r="J1320" i="12" s="1"/>
  <c r="K1320" i="12"/>
  <c r="O1320" i="12"/>
  <c r="Q1320" i="12"/>
  <c r="C1321" i="12"/>
  <c r="E1321" i="12"/>
  <c r="I1321" i="12" s="1"/>
  <c r="F1321" i="12"/>
  <c r="G1321" i="12" s="1"/>
  <c r="K1321" i="12"/>
  <c r="O1321" i="12"/>
  <c r="Q1321" i="12"/>
  <c r="C1322" i="12"/>
  <c r="E1322" i="12"/>
  <c r="I1322" i="12" s="1"/>
  <c r="F1322" i="12"/>
  <c r="G1322" i="12" s="1"/>
  <c r="K1322" i="12"/>
  <c r="O1322" i="12"/>
  <c r="Q1322" i="12"/>
  <c r="C1323" i="12"/>
  <c r="E1323" i="12"/>
  <c r="I1323" i="12" s="1"/>
  <c r="F1323" i="12"/>
  <c r="G1323" i="12" s="1"/>
  <c r="J1323" i="12" s="1"/>
  <c r="K1323" i="12"/>
  <c r="O1323" i="12"/>
  <c r="Q1323" i="12"/>
  <c r="C1324" i="12"/>
  <c r="E1324" i="12"/>
  <c r="I1324" i="12" s="1"/>
  <c r="F1324" i="12"/>
  <c r="G1324" i="12" s="1"/>
  <c r="K1324" i="12"/>
  <c r="O1324" i="12"/>
  <c r="Q1324" i="12"/>
  <c r="C1325" i="12"/>
  <c r="E1325" i="12"/>
  <c r="I1325" i="12" s="1"/>
  <c r="F1325" i="12"/>
  <c r="G1325" i="12" s="1"/>
  <c r="K1325" i="12"/>
  <c r="O1325" i="12"/>
  <c r="Q1325" i="12"/>
  <c r="C1326" i="12"/>
  <c r="E1326" i="12"/>
  <c r="I1326" i="12" s="1"/>
  <c r="F1326" i="12"/>
  <c r="G1326" i="12" s="1"/>
  <c r="K1326" i="12"/>
  <c r="O1326" i="12"/>
  <c r="Q1326" i="12"/>
  <c r="C1327" i="12"/>
  <c r="E1327" i="12"/>
  <c r="I1327" i="12" s="1"/>
  <c r="F1327" i="12"/>
  <c r="G1327" i="12" s="1"/>
  <c r="K1327" i="12"/>
  <c r="O1327" i="12"/>
  <c r="Q1327" i="12"/>
  <c r="C1328" i="12"/>
  <c r="E1328" i="12"/>
  <c r="I1328" i="12" s="1"/>
  <c r="F1328" i="12"/>
  <c r="G1328" i="12" s="1"/>
  <c r="K1328" i="12"/>
  <c r="O1328" i="12"/>
  <c r="Q1328" i="12"/>
  <c r="C1329" i="12"/>
  <c r="E1329" i="12"/>
  <c r="I1329" i="12" s="1"/>
  <c r="F1329" i="12"/>
  <c r="K1329" i="12"/>
  <c r="O1329" i="12"/>
  <c r="Q1329" i="12"/>
  <c r="C1330" i="12"/>
  <c r="E1330" i="12"/>
  <c r="I1330" i="12" s="1"/>
  <c r="F1330" i="12"/>
  <c r="G1330" i="12" s="1"/>
  <c r="K1330" i="12"/>
  <c r="O1330" i="12"/>
  <c r="Q1330" i="12"/>
  <c r="C1331" i="12"/>
  <c r="E1331" i="12"/>
  <c r="I1331" i="12" s="1"/>
  <c r="F1331" i="12"/>
  <c r="G1331" i="12" s="1"/>
  <c r="K1331" i="12"/>
  <c r="O1331" i="12"/>
  <c r="Q1331" i="12"/>
  <c r="C1332" i="12"/>
  <c r="E1332" i="12"/>
  <c r="I1332" i="12" s="1"/>
  <c r="F1332" i="12"/>
  <c r="G1332" i="12" s="1"/>
  <c r="J1332" i="12" s="1"/>
  <c r="K1332" i="12"/>
  <c r="O1332" i="12"/>
  <c r="Q1332" i="12"/>
  <c r="C1333" i="12"/>
  <c r="E1333" i="12"/>
  <c r="I1333" i="12" s="1"/>
  <c r="F1333" i="12"/>
  <c r="G1333" i="12" s="1"/>
  <c r="K1333" i="12"/>
  <c r="O1333" i="12"/>
  <c r="Q1333" i="12"/>
  <c r="C1334" i="12"/>
  <c r="E1334" i="12"/>
  <c r="I1334" i="12" s="1"/>
  <c r="F1334" i="12"/>
  <c r="G1334" i="12" s="1"/>
  <c r="J1334" i="12" s="1"/>
  <c r="K1334" i="12"/>
  <c r="O1334" i="12"/>
  <c r="Q1334" i="12"/>
  <c r="C1335" i="12"/>
  <c r="E1335" i="12"/>
  <c r="I1335" i="12" s="1"/>
  <c r="F1335" i="12"/>
  <c r="G1335" i="12" s="1"/>
  <c r="K1335" i="12"/>
  <c r="O1335" i="12"/>
  <c r="Q1335" i="12"/>
  <c r="C1336" i="12"/>
  <c r="E1336" i="12"/>
  <c r="I1336" i="12" s="1"/>
  <c r="F1336" i="12"/>
  <c r="G1336" i="12" s="1"/>
  <c r="K1336" i="12"/>
  <c r="O1336" i="12"/>
  <c r="Q1336" i="12"/>
  <c r="C1337" i="12"/>
  <c r="E1337" i="12"/>
  <c r="I1337" i="12" s="1"/>
  <c r="F1337" i="12"/>
  <c r="K1337" i="12"/>
  <c r="O1337" i="12"/>
  <c r="Q1337" i="12"/>
  <c r="I1338" i="12"/>
  <c r="K1338" i="12"/>
  <c r="O1338" i="12"/>
  <c r="Q1338" i="12"/>
  <c r="C1339" i="12"/>
  <c r="E1339" i="12"/>
  <c r="I1339" i="12" s="1"/>
  <c r="F1339" i="12"/>
  <c r="K1339" i="12"/>
  <c r="O1339" i="12"/>
  <c r="Q1339" i="12"/>
  <c r="C1340" i="12"/>
  <c r="E1340" i="12"/>
  <c r="I1340" i="12" s="1"/>
  <c r="F1340" i="12"/>
  <c r="G1340" i="12" s="1"/>
  <c r="K1340" i="12"/>
  <c r="O1340" i="12"/>
  <c r="Q1340" i="12"/>
  <c r="C1341" i="12"/>
  <c r="E1341" i="12"/>
  <c r="I1341" i="12" s="1"/>
  <c r="F1341" i="12"/>
  <c r="G1341" i="12" s="1"/>
  <c r="J1341" i="12" s="1"/>
  <c r="K1341" i="12"/>
  <c r="O1341" i="12"/>
  <c r="Q1341" i="12"/>
  <c r="C1342" i="12"/>
  <c r="E1342" i="12"/>
  <c r="I1342" i="12" s="1"/>
  <c r="F1342" i="12"/>
  <c r="G1342" i="12" s="1"/>
  <c r="K1342" i="12"/>
  <c r="O1342" i="12"/>
  <c r="Q1342" i="12"/>
  <c r="C1343" i="12"/>
  <c r="E1343" i="12"/>
  <c r="I1343" i="12" s="1"/>
  <c r="F1343" i="12"/>
  <c r="G1343" i="12" s="1"/>
  <c r="J1343" i="12" s="1"/>
  <c r="K1343" i="12"/>
  <c r="O1343" i="12"/>
  <c r="Q1343" i="12"/>
  <c r="C1344" i="12"/>
  <c r="E1344" i="12"/>
  <c r="I1344" i="12" s="1"/>
  <c r="F1344" i="12"/>
  <c r="G1344" i="12" s="1"/>
  <c r="K1344" i="12"/>
  <c r="O1344" i="12"/>
  <c r="Q1344" i="12"/>
  <c r="C1345" i="12"/>
  <c r="E1345" i="12"/>
  <c r="I1345" i="12" s="1"/>
  <c r="F1345" i="12"/>
  <c r="G1345" i="12" s="1"/>
  <c r="J1345" i="12" s="1"/>
  <c r="K1345" i="12"/>
  <c r="O1345" i="12"/>
  <c r="Q1345" i="12"/>
  <c r="C1346" i="12"/>
  <c r="E1346" i="12"/>
  <c r="I1346" i="12" s="1"/>
  <c r="F1346" i="12"/>
  <c r="G1346" i="12" s="1"/>
  <c r="K1346" i="12"/>
  <c r="O1346" i="12"/>
  <c r="Q1346" i="12"/>
  <c r="C1347" i="12"/>
  <c r="E1347" i="12"/>
  <c r="I1347" i="12" s="1"/>
  <c r="F1347" i="12"/>
  <c r="G1347" i="12" s="1"/>
  <c r="J1347" i="12" s="1"/>
  <c r="K1347" i="12"/>
  <c r="O1347" i="12"/>
  <c r="Q1347" i="12"/>
  <c r="C1348" i="12"/>
  <c r="E1348" i="12"/>
  <c r="I1348" i="12" s="1"/>
  <c r="F1348" i="12"/>
  <c r="G1348" i="12" s="1"/>
  <c r="K1348" i="12"/>
  <c r="O1348" i="12"/>
  <c r="Q1348" i="12"/>
  <c r="C1349" i="12"/>
  <c r="E1349" i="12"/>
  <c r="I1349" i="12" s="1"/>
  <c r="F1349" i="12"/>
  <c r="G1349" i="12" s="1"/>
  <c r="J1349" i="12" s="1"/>
  <c r="K1349" i="12"/>
  <c r="O1349" i="12"/>
  <c r="Q1349" i="12"/>
  <c r="C1350" i="12"/>
  <c r="E1350" i="12"/>
  <c r="I1350" i="12" s="1"/>
  <c r="F1350" i="12"/>
  <c r="G1350" i="12" s="1"/>
  <c r="K1350" i="12"/>
  <c r="O1350" i="12"/>
  <c r="Q1350" i="12"/>
  <c r="C1351" i="12"/>
  <c r="E1351" i="12"/>
  <c r="I1351" i="12" s="1"/>
  <c r="F1351" i="12"/>
  <c r="G1351" i="12" s="1"/>
  <c r="J1351" i="12" s="1"/>
  <c r="K1351" i="12"/>
  <c r="O1351" i="12"/>
  <c r="Q1351" i="12"/>
  <c r="C1352" i="12"/>
  <c r="E1352" i="12"/>
  <c r="I1352" i="12" s="1"/>
  <c r="F1352" i="12"/>
  <c r="G1352" i="12" s="1"/>
  <c r="K1352" i="12"/>
  <c r="O1352" i="12"/>
  <c r="Q1352" i="12"/>
  <c r="C1353" i="12"/>
  <c r="E1353" i="12"/>
  <c r="I1353" i="12" s="1"/>
  <c r="F1353" i="12"/>
  <c r="G1353" i="12" s="1"/>
  <c r="J1353" i="12" s="1"/>
  <c r="K1353" i="12"/>
  <c r="O1353" i="12"/>
  <c r="Q1353" i="12"/>
  <c r="C1354" i="12"/>
  <c r="E1354" i="12"/>
  <c r="I1354" i="12" s="1"/>
  <c r="F1354" i="12"/>
  <c r="G1354" i="12" s="1"/>
  <c r="K1354" i="12"/>
  <c r="O1354" i="12"/>
  <c r="Q1354" i="12"/>
  <c r="C1355" i="12"/>
  <c r="E1355" i="12"/>
  <c r="I1355" i="12" s="1"/>
  <c r="F1355" i="12"/>
  <c r="G1355" i="12" s="1"/>
  <c r="J1355" i="12" s="1"/>
  <c r="K1355" i="12"/>
  <c r="O1355" i="12"/>
  <c r="Q1355" i="12"/>
  <c r="C1356" i="12"/>
  <c r="E1356" i="12"/>
  <c r="I1356" i="12" s="1"/>
  <c r="F1356" i="12"/>
  <c r="G1356" i="12" s="1"/>
  <c r="K1356" i="12"/>
  <c r="O1356" i="12"/>
  <c r="Q1356" i="12"/>
  <c r="C1357" i="12"/>
  <c r="E1357" i="12"/>
  <c r="I1357" i="12" s="1"/>
  <c r="F1357" i="12"/>
  <c r="G1357" i="12" s="1"/>
  <c r="J1357" i="12" s="1"/>
  <c r="K1357" i="12"/>
  <c r="O1357" i="12"/>
  <c r="Q1357" i="12"/>
  <c r="C1358" i="12"/>
  <c r="E1358" i="12"/>
  <c r="I1358" i="12" s="1"/>
  <c r="F1358" i="12"/>
  <c r="K1358" i="12"/>
  <c r="O1358" i="12"/>
  <c r="Q1358" i="12"/>
  <c r="C1359" i="12"/>
  <c r="E1359" i="12"/>
  <c r="I1359" i="12" s="1"/>
  <c r="F1359" i="12"/>
  <c r="G1359" i="12" s="1"/>
  <c r="J1359" i="12" s="1"/>
  <c r="K1359" i="12"/>
  <c r="O1359" i="12"/>
  <c r="Q1359" i="12"/>
  <c r="C1360" i="12"/>
  <c r="E1360" i="12"/>
  <c r="I1360" i="12" s="1"/>
  <c r="F1360" i="12"/>
  <c r="G1360" i="12" s="1"/>
  <c r="K1360" i="12"/>
  <c r="O1360" i="12"/>
  <c r="Q1360" i="12"/>
  <c r="C1361" i="12"/>
  <c r="E1361" i="12"/>
  <c r="I1361" i="12" s="1"/>
  <c r="F1361" i="12"/>
  <c r="G1361" i="12" s="1"/>
  <c r="J1361" i="12" s="1"/>
  <c r="K1361" i="12"/>
  <c r="O1361" i="12"/>
  <c r="Q1361" i="12"/>
  <c r="C1362" i="12"/>
  <c r="E1362" i="12"/>
  <c r="I1362" i="12" s="1"/>
  <c r="F1362" i="12"/>
  <c r="G1362" i="12" s="1"/>
  <c r="K1362" i="12"/>
  <c r="O1362" i="12"/>
  <c r="Q1362" i="12"/>
  <c r="C1363" i="12"/>
  <c r="E1363" i="12"/>
  <c r="I1363" i="12" s="1"/>
  <c r="F1363" i="12"/>
  <c r="G1363" i="12" s="1"/>
  <c r="J1363" i="12" s="1"/>
  <c r="K1363" i="12"/>
  <c r="O1363" i="12"/>
  <c r="Q1363" i="12"/>
  <c r="C1364" i="12"/>
  <c r="E1364" i="12"/>
  <c r="I1364" i="12" s="1"/>
  <c r="F1364" i="12"/>
  <c r="G1364" i="12" s="1"/>
  <c r="K1364" i="12"/>
  <c r="O1364" i="12"/>
  <c r="Q1364" i="12"/>
  <c r="C1365" i="12"/>
  <c r="E1365" i="12"/>
  <c r="I1365" i="12" s="1"/>
  <c r="F1365" i="12"/>
  <c r="G1365" i="12" s="1"/>
  <c r="J1365" i="12" s="1"/>
  <c r="K1365" i="12"/>
  <c r="O1365" i="12"/>
  <c r="Q1365" i="12"/>
  <c r="C1366" i="12"/>
  <c r="E1366" i="12"/>
  <c r="I1366" i="12" s="1"/>
  <c r="F1366" i="12"/>
  <c r="G1366" i="12" s="1"/>
  <c r="K1366" i="12"/>
  <c r="O1366" i="12"/>
  <c r="Q1366" i="12"/>
  <c r="C1367" i="12"/>
  <c r="E1367" i="12"/>
  <c r="I1367" i="12" s="1"/>
  <c r="F1367" i="12"/>
  <c r="G1367" i="12" s="1"/>
  <c r="K1367" i="12"/>
  <c r="O1367" i="12"/>
  <c r="Q1367" i="12"/>
  <c r="C1368" i="12"/>
  <c r="E1368" i="12"/>
  <c r="I1368" i="12" s="1"/>
  <c r="F1368" i="12"/>
  <c r="G1368" i="12" s="1"/>
  <c r="J1368" i="12" s="1"/>
  <c r="K1368" i="12"/>
  <c r="O1368" i="12"/>
  <c r="Q1368" i="12"/>
  <c r="C1369" i="12"/>
  <c r="E1369" i="12"/>
  <c r="I1369" i="12" s="1"/>
  <c r="F1369" i="12"/>
  <c r="G1369" i="12" s="1"/>
  <c r="K1369" i="12"/>
  <c r="O1369" i="12"/>
  <c r="Q1369" i="12"/>
  <c r="C1370" i="12"/>
  <c r="E1370" i="12"/>
  <c r="I1370" i="12" s="1"/>
  <c r="F1370" i="12"/>
  <c r="G1370" i="12" s="1"/>
  <c r="J1370" i="12" s="1"/>
  <c r="K1370" i="12"/>
  <c r="O1370" i="12"/>
  <c r="Q1370" i="12"/>
  <c r="C1371" i="12"/>
  <c r="E1371" i="12"/>
  <c r="I1371" i="12" s="1"/>
  <c r="F1371" i="12"/>
  <c r="G1371" i="12" s="1"/>
  <c r="K1371" i="12"/>
  <c r="O1371" i="12"/>
  <c r="Q1371" i="12"/>
  <c r="C1372" i="12"/>
  <c r="E1372" i="12"/>
  <c r="I1372" i="12" s="1"/>
  <c r="F1372" i="12"/>
  <c r="G1372" i="12" s="1"/>
  <c r="J1372" i="12" s="1"/>
  <c r="K1372" i="12"/>
  <c r="O1372" i="12"/>
  <c r="Q1372" i="12"/>
  <c r="C1373" i="12"/>
  <c r="E1373" i="12"/>
  <c r="I1373" i="12" s="1"/>
  <c r="F1373" i="12"/>
  <c r="G1373" i="12" s="1"/>
  <c r="J1373" i="12" s="1"/>
  <c r="K1373" i="12"/>
  <c r="O1373" i="12"/>
  <c r="Q1373" i="12"/>
  <c r="C1374" i="12"/>
  <c r="E1374" i="12"/>
  <c r="I1374" i="12" s="1"/>
  <c r="F1374" i="12"/>
  <c r="G1374" i="12" s="1"/>
  <c r="L1374" i="12" s="1"/>
  <c r="K1374" i="12"/>
  <c r="O1374" i="12"/>
  <c r="Q1374" i="12"/>
  <c r="C1375" i="12"/>
  <c r="E1375" i="12"/>
  <c r="I1375" i="12" s="1"/>
  <c r="F1375" i="12"/>
  <c r="G1375" i="12" s="1"/>
  <c r="J1375" i="12" s="1"/>
  <c r="K1375" i="12"/>
  <c r="O1375" i="12"/>
  <c r="Q1375" i="12"/>
  <c r="C1376" i="12"/>
  <c r="E1376" i="12"/>
  <c r="I1376" i="12" s="1"/>
  <c r="F1376" i="12"/>
  <c r="G1376" i="12" s="1"/>
  <c r="K1376" i="12"/>
  <c r="O1376" i="12"/>
  <c r="Q1376" i="12"/>
  <c r="C1377" i="12"/>
  <c r="E1377" i="12"/>
  <c r="I1377" i="12" s="1"/>
  <c r="F1377" i="12"/>
  <c r="G1377" i="12" s="1"/>
  <c r="K1377" i="12"/>
  <c r="O1377" i="12"/>
  <c r="Q1377" i="12"/>
  <c r="C1379" i="12"/>
  <c r="E1379" i="12"/>
  <c r="I1379" i="12" s="1"/>
  <c r="F1379" i="12"/>
  <c r="G1379" i="12" s="1"/>
  <c r="J1379" i="12" s="1"/>
  <c r="K1379" i="12"/>
  <c r="O1379" i="12"/>
  <c r="Q1379" i="12"/>
  <c r="C1380" i="12"/>
  <c r="E1380" i="12"/>
  <c r="I1380" i="12" s="1"/>
  <c r="F1380" i="12"/>
  <c r="G1380" i="12" s="1"/>
  <c r="K1380" i="12"/>
  <c r="O1380" i="12"/>
  <c r="Q1380" i="12"/>
  <c r="C1381" i="12"/>
  <c r="E1381" i="12"/>
  <c r="I1381" i="12" s="1"/>
  <c r="F1381" i="12"/>
  <c r="G1381" i="12" s="1"/>
  <c r="K1381" i="12"/>
  <c r="O1381" i="12"/>
  <c r="Q1381" i="12"/>
  <c r="C1382" i="12"/>
  <c r="E1382" i="12"/>
  <c r="I1382" i="12" s="1"/>
  <c r="F1382" i="12"/>
  <c r="G1382" i="12" s="1"/>
  <c r="K1382" i="12"/>
  <c r="O1382" i="12"/>
  <c r="Q1382" i="12"/>
  <c r="C1383" i="12"/>
  <c r="E1383" i="12"/>
  <c r="I1383" i="12" s="1"/>
  <c r="F1383" i="12"/>
  <c r="G1383" i="12" s="1"/>
  <c r="J1383" i="12" s="1"/>
  <c r="K1383" i="12"/>
  <c r="O1383" i="12"/>
  <c r="Q1383" i="12"/>
  <c r="C1384" i="12"/>
  <c r="E1384" i="12"/>
  <c r="I1384" i="12" s="1"/>
  <c r="F1384" i="12"/>
  <c r="G1384" i="12" s="1"/>
  <c r="K1384" i="12"/>
  <c r="O1384" i="12"/>
  <c r="Q1384" i="12"/>
  <c r="C1385" i="12"/>
  <c r="E1385" i="12"/>
  <c r="I1385" i="12" s="1"/>
  <c r="F1385" i="12"/>
  <c r="G1385" i="12" s="1"/>
  <c r="K1385" i="12"/>
  <c r="O1385" i="12"/>
  <c r="Q1385" i="12"/>
  <c r="C1386" i="12"/>
  <c r="E1386" i="12"/>
  <c r="I1386" i="12" s="1"/>
  <c r="F1386" i="12"/>
  <c r="G1386" i="12" s="1"/>
  <c r="J1386" i="12" s="1"/>
  <c r="K1386" i="12"/>
  <c r="O1386" i="12"/>
  <c r="Q1386" i="12"/>
  <c r="C1387" i="12"/>
  <c r="E1387" i="12"/>
  <c r="I1387" i="12" s="1"/>
  <c r="F1387" i="12"/>
  <c r="G1387" i="12" s="1"/>
  <c r="K1387" i="12"/>
  <c r="O1387" i="12"/>
  <c r="Q1387" i="12"/>
  <c r="C1388" i="12"/>
  <c r="E1388" i="12"/>
  <c r="I1388" i="12" s="1"/>
  <c r="F1388" i="12"/>
  <c r="G1388" i="12" s="1"/>
  <c r="K1388" i="12"/>
  <c r="O1388" i="12"/>
  <c r="Q1388" i="12"/>
  <c r="C1389" i="12"/>
  <c r="E1389" i="12"/>
  <c r="I1389" i="12" s="1"/>
  <c r="F1389" i="12"/>
  <c r="G1389" i="12" s="1"/>
  <c r="K1389" i="12"/>
  <c r="O1389" i="12"/>
  <c r="Q1389" i="12"/>
  <c r="C1390" i="12"/>
  <c r="E1390" i="12"/>
  <c r="I1390" i="12" s="1"/>
  <c r="F1390" i="12"/>
  <c r="G1390" i="12" s="1"/>
  <c r="J1390" i="12" s="1"/>
  <c r="K1390" i="12"/>
  <c r="O1390" i="12"/>
  <c r="Q1390" i="12"/>
  <c r="C1391" i="12"/>
  <c r="E1391" i="12"/>
  <c r="I1391" i="12" s="1"/>
  <c r="F1391" i="12"/>
  <c r="G1391" i="12" s="1"/>
  <c r="J1391" i="12" s="1"/>
  <c r="K1391" i="12"/>
  <c r="O1391" i="12"/>
  <c r="Q1391" i="12"/>
  <c r="C1392" i="12"/>
  <c r="E1392" i="12"/>
  <c r="I1392" i="12" s="1"/>
  <c r="F1392" i="12"/>
  <c r="G1392" i="12" s="1"/>
  <c r="K1392" i="12"/>
  <c r="O1392" i="12"/>
  <c r="Q1392" i="12"/>
  <c r="C1393" i="12"/>
  <c r="E1393" i="12"/>
  <c r="I1393" i="12" s="1"/>
  <c r="F1393" i="12"/>
  <c r="G1393" i="12" s="1"/>
  <c r="K1393" i="12"/>
  <c r="O1393" i="12"/>
  <c r="Q1393" i="12"/>
  <c r="C1394" i="12"/>
  <c r="E1394" i="12"/>
  <c r="I1394" i="12" s="1"/>
  <c r="F1394" i="12"/>
  <c r="G1394" i="12" s="1"/>
  <c r="K1394" i="12"/>
  <c r="O1394" i="12"/>
  <c r="Q1394" i="12"/>
  <c r="C1395" i="12"/>
  <c r="E1395" i="12"/>
  <c r="I1395" i="12" s="1"/>
  <c r="F1395" i="12"/>
  <c r="G1395" i="12" s="1"/>
  <c r="J1395" i="12" s="1"/>
  <c r="K1395" i="12"/>
  <c r="O1395" i="12"/>
  <c r="Q1395" i="12"/>
  <c r="C1396" i="12"/>
  <c r="E1396" i="12"/>
  <c r="I1396" i="12" s="1"/>
  <c r="F1396" i="12"/>
  <c r="G1396" i="12" s="1"/>
  <c r="K1396" i="12"/>
  <c r="O1396" i="12"/>
  <c r="Q1396" i="12"/>
  <c r="C1397" i="12"/>
  <c r="E1397" i="12"/>
  <c r="I1397" i="12" s="1"/>
  <c r="F1397" i="12"/>
  <c r="G1397" i="12" s="1"/>
  <c r="K1397" i="12"/>
  <c r="O1397" i="12"/>
  <c r="Q1397" i="12"/>
  <c r="C1398" i="12"/>
  <c r="E1398" i="12"/>
  <c r="I1398" i="12" s="1"/>
  <c r="F1398" i="12"/>
  <c r="G1398" i="12" s="1"/>
  <c r="K1398" i="12"/>
  <c r="O1398" i="12"/>
  <c r="Q1398" i="12"/>
  <c r="C1399" i="12"/>
  <c r="E1399" i="12"/>
  <c r="I1399" i="12" s="1"/>
  <c r="F1399" i="12"/>
  <c r="K1399" i="12"/>
  <c r="O1399" i="12"/>
  <c r="Q1399" i="12"/>
  <c r="C1400" i="12"/>
  <c r="E1400" i="12"/>
  <c r="I1400" i="12" s="1"/>
  <c r="F1400" i="12"/>
  <c r="G1400" i="12" s="1"/>
  <c r="K1400" i="12"/>
  <c r="C1401" i="12"/>
  <c r="E1401" i="12"/>
  <c r="I1401" i="12" s="1"/>
  <c r="F1401" i="12"/>
  <c r="G1401" i="12" s="1"/>
  <c r="K1401" i="12"/>
  <c r="O1401" i="12"/>
  <c r="Q1401" i="12"/>
  <c r="C1402" i="12"/>
  <c r="E1402" i="12"/>
  <c r="I1402" i="12" s="1"/>
  <c r="F1402" i="12"/>
  <c r="G1402" i="12" s="1"/>
  <c r="L1402" i="12" s="1"/>
  <c r="K1402" i="12"/>
  <c r="O1402" i="12"/>
  <c r="Q1402" i="12"/>
  <c r="C1403" i="12"/>
  <c r="E1403" i="12"/>
  <c r="I1403" i="12" s="1"/>
  <c r="F1403" i="12"/>
  <c r="G1403" i="12" s="1"/>
  <c r="J1403" i="12" s="1"/>
  <c r="K1403" i="12"/>
  <c r="O1403" i="12"/>
  <c r="Q1403" i="12"/>
  <c r="C1404" i="12"/>
  <c r="E1404" i="12"/>
  <c r="I1404" i="12" s="1"/>
  <c r="F1404" i="12"/>
  <c r="G1404" i="12" s="1"/>
  <c r="K1404" i="12"/>
  <c r="O1404" i="12"/>
  <c r="Q1404" i="12"/>
  <c r="C1405" i="12"/>
  <c r="E1405" i="12"/>
  <c r="I1405" i="12" s="1"/>
  <c r="F1405" i="12"/>
  <c r="G1405" i="12" s="1"/>
  <c r="K1405" i="12"/>
  <c r="O1405" i="12"/>
  <c r="Q1405" i="12"/>
  <c r="C1406" i="12"/>
  <c r="E1406" i="12"/>
  <c r="I1406" i="12" s="1"/>
  <c r="F1406" i="12"/>
  <c r="G1406" i="12" s="1"/>
  <c r="K1406" i="12"/>
  <c r="O1406" i="12"/>
  <c r="Q1406" i="12"/>
  <c r="C1407" i="12"/>
  <c r="E1407" i="12"/>
  <c r="I1407" i="12" s="1"/>
  <c r="F1407" i="12"/>
  <c r="G1407" i="12" s="1"/>
  <c r="J1407" i="12" s="1"/>
  <c r="K1407" i="12"/>
  <c r="O1407" i="12"/>
  <c r="Q1407" i="12"/>
  <c r="C1408" i="12"/>
  <c r="E1408" i="12"/>
  <c r="I1408" i="12" s="1"/>
  <c r="F1408" i="12"/>
  <c r="G1408" i="12" s="1"/>
  <c r="K1408" i="12"/>
  <c r="O1408" i="12"/>
  <c r="Q1408" i="12"/>
  <c r="C1409" i="12"/>
  <c r="E1409" i="12"/>
  <c r="I1409" i="12" s="1"/>
  <c r="F1409" i="12"/>
  <c r="G1409" i="12" s="1"/>
  <c r="K1409" i="12"/>
  <c r="O1409" i="12"/>
  <c r="Q1409" i="12"/>
  <c r="C1410" i="12"/>
  <c r="E1410" i="12"/>
  <c r="I1410" i="12" s="1"/>
  <c r="F1410" i="12"/>
  <c r="G1410" i="12" s="1"/>
  <c r="K1410" i="12"/>
  <c r="O1410" i="12"/>
  <c r="Q1410" i="12"/>
  <c r="C1411" i="12"/>
  <c r="E1411" i="12"/>
  <c r="I1411" i="12" s="1"/>
  <c r="F1411" i="12"/>
  <c r="G1411" i="12" s="1"/>
  <c r="J1411" i="12" s="1"/>
  <c r="K1411" i="12"/>
  <c r="O1411" i="12"/>
  <c r="Q1411" i="12"/>
  <c r="C1412" i="12"/>
  <c r="E1412" i="12"/>
  <c r="I1412" i="12" s="1"/>
  <c r="F1412" i="12"/>
  <c r="G1412" i="12" s="1"/>
  <c r="K1412" i="12"/>
  <c r="O1412" i="12"/>
  <c r="Q1412" i="12"/>
  <c r="C1413" i="12"/>
  <c r="E1413" i="12"/>
  <c r="I1413" i="12" s="1"/>
  <c r="F1413" i="12"/>
  <c r="G1413" i="12" s="1"/>
  <c r="K1413" i="12"/>
  <c r="O1413" i="12"/>
  <c r="Q1413" i="12"/>
  <c r="C1414" i="12"/>
  <c r="E1414" i="12"/>
  <c r="I1414" i="12" s="1"/>
  <c r="F1414" i="12"/>
  <c r="G1414" i="12" s="1"/>
  <c r="K1414" i="12"/>
  <c r="O1414" i="12"/>
  <c r="Q1414" i="12"/>
  <c r="C1415" i="12"/>
  <c r="E1415" i="12"/>
  <c r="I1415" i="12" s="1"/>
  <c r="F1415" i="12"/>
  <c r="G1415" i="12" s="1"/>
  <c r="K1415" i="12"/>
  <c r="O1415" i="12"/>
  <c r="Q1415" i="12"/>
  <c r="C1416" i="12"/>
  <c r="E1416" i="12"/>
  <c r="I1416" i="12" s="1"/>
  <c r="F1416" i="12"/>
  <c r="G1416" i="12" s="1"/>
  <c r="K1416" i="12"/>
  <c r="O1416" i="12"/>
  <c r="Q1416" i="12"/>
  <c r="C1417" i="12"/>
  <c r="E1417" i="12"/>
  <c r="I1417" i="12" s="1"/>
  <c r="F1417" i="12"/>
  <c r="G1417" i="12" s="1"/>
  <c r="J1417" i="12" s="1"/>
  <c r="K1417" i="12"/>
  <c r="O1417" i="12"/>
  <c r="Q1417" i="12"/>
  <c r="C1418" i="12"/>
  <c r="E1418" i="12"/>
  <c r="I1418" i="12" s="1"/>
  <c r="F1418" i="12"/>
  <c r="G1418" i="12" s="1"/>
  <c r="K1418" i="12"/>
  <c r="O1418" i="12"/>
  <c r="Q1418" i="12"/>
  <c r="C1419" i="12"/>
  <c r="E1419" i="12"/>
  <c r="I1419" i="12" s="1"/>
  <c r="F1419" i="12"/>
  <c r="G1419" i="12" s="1"/>
  <c r="K1419" i="12"/>
  <c r="O1419" i="12"/>
  <c r="Q1419" i="12"/>
  <c r="C1420" i="12"/>
  <c r="E1420" i="12"/>
  <c r="I1420" i="12" s="1"/>
  <c r="F1420" i="12"/>
  <c r="G1420" i="12" s="1"/>
  <c r="K1420" i="12"/>
  <c r="O1420" i="12"/>
  <c r="Q1420" i="12"/>
  <c r="C1421" i="12"/>
  <c r="E1421" i="12"/>
  <c r="I1421" i="12" s="1"/>
  <c r="F1421" i="12"/>
  <c r="G1421" i="12" s="1"/>
  <c r="K1421" i="12"/>
  <c r="O1421" i="12"/>
  <c r="Q1421" i="12"/>
  <c r="C1422" i="12"/>
  <c r="E1422" i="12"/>
  <c r="I1422" i="12" s="1"/>
  <c r="F1422" i="12"/>
  <c r="G1422" i="12" s="1"/>
  <c r="K1422" i="12"/>
  <c r="O1422" i="12"/>
  <c r="C1423" i="12"/>
  <c r="E1423" i="12"/>
  <c r="I1423" i="12" s="1"/>
  <c r="F1423" i="12"/>
  <c r="G1423" i="12" s="1"/>
  <c r="K1423" i="12"/>
  <c r="O1423" i="12"/>
  <c r="Q1423" i="12"/>
  <c r="C1424" i="12"/>
  <c r="E1424" i="12"/>
  <c r="I1424" i="12" s="1"/>
  <c r="F1424" i="12"/>
  <c r="G1424" i="12" s="1"/>
  <c r="K1424" i="12"/>
  <c r="O1424" i="12"/>
  <c r="Q1424" i="12"/>
  <c r="C1425" i="12"/>
  <c r="E1425" i="12"/>
  <c r="I1425" i="12" s="1"/>
  <c r="F1425" i="12"/>
  <c r="G1425" i="12" s="1"/>
  <c r="K1425" i="12"/>
  <c r="O1425" i="12"/>
  <c r="Q1425" i="12"/>
  <c r="C1230" i="12"/>
  <c r="E1230" i="12"/>
  <c r="I1230" i="12" s="1"/>
  <c r="F1230" i="12"/>
  <c r="G1230" i="12" s="1"/>
  <c r="K1230" i="12"/>
  <c r="O1230" i="12"/>
  <c r="Q1230" i="12"/>
  <c r="C1231" i="12"/>
  <c r="E1231" i="12"/>
  <c r="I1231" i="12" s="1"/>
  <c r="F1231" i="12"/>
  <c r="G1231" i="12" s="1"/>
  <c r="K1231" i="12"/>
  <c r="O1231" i="12"/>
  <c r="Q1231" i="12"/>
  <c r="C1232" i="12"/>
  <c r="E1232" i="12"/>
  <c r="I1232" i="12" s="1"/>
  <c r="F1232" i="12"/>
  <c r="G1232" i="12" s="1"/>
  <c r="K1232" i="12"/>
  <c r="O1232" i="12"/>
  <c r="Q1232" i="12"/>
  <c r="C1233" i="12"/>
  <c r="E1233" i="12"/>
  <c r="I1233" i="12" s="1"/>
  <c r="F1233" i="12"/>
  <c r="G1233" i="12" s="1"/>
  <c r="K1233" i="12"/>
  <c r="O1233" i="12"/>
  <c r="Q1233" i="12"/>
  <c r="C1234" i="12"/>
  <c r="E1234" i="12"/>
  <c r="I1234" i="12" s="1"/>
  <c r="F1234" i="12"/>
  <c r="G1234" i="12" s="1"/>
  <c r="K1234" i="12"/>
  <c r="O1234" i="12"/>
  <c r="Q1234" i="12"/>
  <c r="C1235" i="12"/>
  <c r="E1235" i="12"/>
  <c r="I1235" i="12" s="1"/>
  <c r="F1235" i="12"/>
  <c r="G1235" i="12" s="1"/>
  <c r="K1235" i="12"/>
  <c r="O1235" i="12"/>
  <c r="Q1235" i="12"/>
  <c r="C1236" i="12"/>
  <c r="E1236" i="12"/>
  <c r="I1236" i="12" s="1"/>
  <c r="F1236" i="12"/>
  <c r="G1236" i="12" s="1"/>
  <c r="K1236" i="12"/>
  <c r="O1236" i="12"/>
  <c r="Q1236" i="12"/>
  <c r="C1237" i="12"/>
  <c r="E1237" i="12"/>
  <c r="I1237" i="12" s="1"/>
  <c r="F1237" i="12"/>
  <c r="G1237" i="12" s="1"/>
  <c r="K1237" i="12"/>
  <c r="O1237" i="12"/>
  <c r="Q1237" i="12"/>
  <c r="C1238" i="12"/>
  <c r="E1238" i="12"/>
  <c r="I1238" i="12" s="1"/>
  <c r="F1238" i="12"/>
  <c r="G1238" i="12" s="1"/>
  <c r="K1238" i="12"/>
  <c r="O1238" i="12"/>
  <c r="Q1238" i="12"/>
  <c r="C1239" i="12"/>
  <c r="E1239" i="12"/>
  <c r="I1239" i="12" s="1"/>
  <c r="F1239" i="12"/>
  <c r="G1239" i="12" s="1"/>
  <c r="J1239" i="12" s="1"/>
  <c r="K1239" i="12"/>
  <c r="O1239" i="12"/>
  <c r="Q1239" i="12"/>
  <c r="C1240" i="12"/>
  <c r="E1240" i="12"/>
  <c r="I1240" i="12" s="1"/>
  <c r="F1240" i="12"/>
  <c r="G1240" i="12" s="1"/>
  <c r="K1240" i="12"/>
  <c r="O1240" i="12"/>
  <c r="Q1240" i="12"/>
  <c r="C1241" i="12"/>
  <c r="E1241" i="12"/>
  <c r="I1241" i="12" s="1"/>
  <c r="F1241" i="12"/>
  <c r="G1241" i="12" s="1"/>
  <c r="J1241" i="12" s="1"/>
  <c r="K1241" i="12"/>
  <c r="O1241" i="12"/>
  <c r="Q1241" i="12"/>
  <c r="C1242" i="12"/>
  <c r="E1242" i="12"/>
  <c r="I1242" i="12" s="1"/>
  <c r="F1242" i="12"/>
  <c r="G1242" i="12" s="1"/>
  <c r="K1242" i="12"/>
  <c r="O1242" i="12"/>
  <c r="Q1242" i="12"/>
  <c r="C1243" i="12"/>
  <c r="E1243" i="12"/>
  <c r="I1243" i="12" s="1"/>
  <c r="F1243" i="12"/>
  <c r="G1243" i="12" s="1"/>
  <c r="K1243" i="12"/>
  <c r="O1243" i="12"/>
  <c r="Q1243" i="12"/>
  <c r="C1244" i="12"/>
  <c r="E1244" i="12"/>
  <c r="I1244" i="12" s="1"/>
  <c r="F1244" i="12"/>
  <c r="G1244" i="12" s="1"/>
  <c r="K1244" i="12"/>
  <c r="O1244" i="12"/>
  <c r="Q1244" i="12"/>
  <c r="C1245" i="12"/>
  <c r="E1245" i="12"/>
  <c r="I1245" i="12" s="1"/>
  <c r="F1245" i="12"/>
  <c r="G1245" i="12" s="1"/>
  <c r="J1245" i="12" s="1"/>
  <c r="K1245" i="12"/>
  <c r="O1245" i="12"/>
  <c r="Q1245" i="12"/>
  <c r="C1246" i="12"/>
  <c r="E1246" i="12"/>
  <c r="I1246" i="12" s="1"/>
  <c r="F1246" i="12"/>
  <c r="G1246" i="12" s="1"/>
  <c r="K1246" i="12"/>
  <c r="O1246" i="12"/>
  <c r="Q1246" i="12"/>
  <c r="C1247" i="12"/>
  <c r="E1247" i="12"/>
  <c r="I1247" i="12" s="1"/>
  <c r="F1247" i="12"/>
  <c r="G1247" i="12" s="1"/>
  <c r="J1247" i="12" s="1"/>
  <c r="K1247" i="12"/>
  <c r="O1247" i="12"/>
  <c r="Q1247" i="12"/>
  <c r="C1248" i="12"/>
  <c r="E1248" i="12"/>
  <c r="I1248" i="12" s="1"/>
  <c r="F1248" i="12"/>
  <c r="G1248" i="12" s="1"/>
  <c r="K1248" i="12"/>
  <c r="O1248" i="12"/>
  <c r="Q1248" i="12"/>
  <c r="C1249" i="12"/>
  <c r="E1249" i="12"/>
  <c r="I1249" i="12" s="1"/>
  <c r="F1249" i="12"/>
  <c r="G1249" i="12" s="1"/>
  <c r="K1249" i="12"/>
  <c r="O1249" i="12"/>
  <c r="Q1249" i="12"/>
  <c r="C1215" i="12"/>
  <c r="E1215" i="12"/>
  <c r="I1215" i="12" s="1"/>
  <c r="F1215" i="12"/>
  <c r="G1215" i="12" s="1"/>
  <c r="K1215" i="12"/>
  <c r="O1215" i="12"/>
  <c r="Q1215" i="12"/>
  <c r="G1399" i="12" l="1"/>
  <c r="J1399" i="12" s="1"/>
  <c r="L1399" i="12" s="1"/>
  <c r="G1358" i="12"/>
  <c r="L1358" i="12" s="1"/>
  <c r="G1329" i="12"/>
  <c r="J1329" i="12" s="1"/>
  <c r="L1329" i="12" s="1"/>
  <c r="G1339" i="12"/>
  <c r="J1339" i="12" s="1"/>
  <c r="L1339" i="12" s="1"/>
  <c r="G1337" i="12"/>
  <c r="J1337" i="12" s="1"/>
  <c r="L1337" i="12" s="1"/>
  <c r="G1270" i="12"/>
  <c r="J1270" i="12" s="1"/>
  <c r="L1270" i="12" s="1"/>
  <c r="G1262" i="12"/>
  <c r="J1262" i="12" s="1"/>
  <c r="L1262" i="12" s="1"/>
  <c r="G1255" i="12"/>
  <c r="J1255" i="12" s="1"/>
  <c r="J1402" i="12"/>
  <c r="J1346" i="12"/>
  <c r="L1346" i="12" s="1"/>
  <c r="J1352" i="12"/>
  <c r="L1352" i="12" s="1"/>
  <c r="J1366" i="12"/>
  <c r="L1366" i="12" s="1"/>
  <c r="L1357" i="12"/>
  <c r="J1356" i="12"/>
  <c r="L1356" i="12" s="1"/>
  <c r="L1345" i="12"/>
  <c r="J1364" i="12"/>
  <c r="L1364" i="12" s="1"/>
  <c r="J1348" i="12"/>
  <c r="L1348" i="12" s="1"/>
  <c r="J1312" i="12"/>
  <c r="L1312" i="12" s="1"/>
  <c r="J1360" i="12"/>
  <c r="L1360" i="12" s="1"/>
  <c r="J1340" i="12"/>
  <c r="L1340" i="12" s="1"/>
  <c r="L1365" i="12"/>
  <c r="L1296" i="12"/>
  <c r="J1362" i="12"/>
  <c r="L1362" i="12" s="1"/>
  <c r="J1344" i="12"/>
  <c r="L1344" i="12" s="1"/>
  <c r="J1338" i="12"/>
  <c r="L1338" i="12" s="1"/>
  <c r="L1353" i="12"/>
  <c r="L1341" i="12"/>
  <c r="L1351" i="12"/>
  <c r="L1309" i="12"/>
  <c r="L1308" i="12"/>
  <c r="J1416" i="12"/>
  <c r="L1416" i="12" s="1"/>
  <c r="L1361" i="12"/>
  <c r="J1354" i="12"/>
  <c r="L1354" i="12" s="1"/>
  <c r="J1350" i="12"/>
  <c r="L1350" i="12" s="1"/>
  <c r="L1347" i="12"/>
  <c r="J1342" i="12"/>
  <c r="L1342" i="12" s="1"/>
  <c r="L1320" i="12"/>
  <c r="L1271" i="12"/>
  <c r="J1243" i="12"/>
  <c r="L1243" i="12" s="1"/>
  <c r="J1249" i="12"/>
  <c r="L1249" i="12" s="1"/>
  <c r="J1335" i="12"/>
  <c r="L1335" i="12" s="1"/>
  <c r="J1327" i="12"/>
  <c r="L1327" i="12" s="1"/>
  <c r="J1319" i="12"/>
  <c r="L1319" i="12" s="1"/>
  <c r="J1314" i="12"/>
  <c r="L1314" i="12" s="1"/>
  <c r="J1302" i="12"/>
  <c r="L1302" i="12" s="1"/>
  <c r="J1293" i="12"/>
  <c r="L1293" i="12" s="1"/>
  <c r="J1279" i="12"/>
  <c r="L1279" i="12" s="1"/>
  <c r="J1269" i="12"/>
  <c r="L1269" i="12" s="1"/>
  <c r="J1252" i="12"/>
  <c r="L1252" i="12" s="1"/>
  <c r="L1245" i="12"/>
  <c r="J1421" i="12"/>
  <c r="L1421" i="12" s="1"/>
  <c r="J1408" i="12"/>
  <c r="L1408" i="12" s="1"/>
  <c r="J1384" i="12"/>
  <c r="L1384" i="12" s="1"/>
  <c r="L1375" i="12"/>
  <c r="L1373" i="12"/>
  <c r="L1372" i="12"/>
  <c r="L1370" i="12"/>
  <c r="L1368" i="12"/>
  <c r="L1359" i="12"/>
  <c r="J1336" i="12"/>
  <c r="L1336" i="12" s="1"/>
  <c r="J1311" i="12"/>
  <c r="L1311" i="12" s="1"/>
  <c r="J1306" i="12"/>
  <c r="L1306" i="12" s="1"/>
  <c r="J1303" i="12"/>
  <c r="L1303" i="12" s="1"/>
  <c r="J1291" i="12"/>
  <c r="L1291" i="12" s="1"/>
  <c r="J1282" i="12"/>
  <c r="L1282" i="12" s="1"/>
  <c r="J1277" i="12"/>
  <c r="L1277" i="12" s="1"/>
  <c r="J1253" i="12"/>
  <c r="L1253" i="12" s="1"/>
  <c r="J1251" i="12"/>
  <c r="L1251" i="12" s="1"/>
  <c r="J1410" i="12"/>
  <c r="L1410" i="12" s="1"/>
  <c r="J1325" i="12"/>
  <c r="L1325" i="12" s="1"/>
  <c r="J1318" i="12"/>
  <c r="L1318" i="12" s="1"/>
  <c r="J1304" i="12"/>
  <c r="L1304" i="12" s="1"/>
  <c r="L1295" i="12"/>
  <c r="J1294" i="12"/>
  <c r="L1294" i="12" s="1"/>
  <c r="J1289" i="12"/>
  <c r="L1289" i="12" s="1"/>
  <c r="J1268" i="12"/>
  <c r="L1268" i="12" s="1"/>
  <c r="L1247" i="12"/>
  <c r="L1241" i="12"/>
  <c r="J1414" i="12"/>
  <c r="L1414" i="12" s="1"/>
  <c r="J1400" i="12"/>
  <c r="L1400" i="12" s="1"/>
  <c r="J1376" i="12"/>
  <c r="L1376" i="12" s="1"/>
  <c r="J1374" i="12"/>
  <c r="J1371" i="12"/>
  <c r="L1371" i="12" s="1"/>
  <c r="J1369" i="12"/>
  <c r="L1369" i="12" s="1"/>
  <c r="J1367" i="12"/>
  <c r="L1367" i="12" s="1"/>
  <c r="L1363" i="12"/>
  <c r="L1355" i="12"/>
  <c r="L1349" i="12"/>
  <c r="L1343" i="12"/>
  <c r="J1333" i="12"/>
  <c r="L1333" i="12" s="1"/>
  <c r="J1326" i="12"/>
  <c r="L1326" i="12" s="1"/>
  <c r="J1316" i="12"/>
  <c r="L1316" i="12" s="1"/>
  <c r="J1313" i="12"/>
  <c r="L1313" i="12" s="1"/>
  <c r="J1307" i="12"/>
  <c r="L1307" i="12" s="1"/>
  <c r="J1305" i="12"/>
  <c r="L1305" i="12" s="1"/>
  <c r="J1288" i="12"/>
  <c r="L1288" i="12" s="1"/>
  <c r="J1281" i="12"/>
  <c r="L1281" i="12" s="1"/>
  <c r="J1266" i="12"/>
  <c r="L1266" i="12" s="1"/>
  <c r="J1254" i="12"/>
  <c r="L1254" i="12" s="1"/>
  <c r="J1324" i="12"/>
  <c r="L1324" i="12" s="1"/>
  <c r="J1322" i="12"/>
  <c r="L1322" i="12" s="1"/>
  <c r="J1310" i="12"/>
  <c r="L1310" i="12" s="1"/>
  <c r="J1301" i="12"/>
  <c r="L1301" i="12" s="1"/>
  <c r="J1299" i="12"/>
  <c r="L1299" i="12" s="1"/>
  <c r="J1297" i="12"/>
  <c r="L1297" i="12" s="1"/>
  <c r="J1287" i="12"/>
  <c r="L1287" i="12" s="1"/>
  <c r="J1285" i="12"/>
  <c r="L1285" i="12" s="1"/>
  <c r="J1283" i="12"/>
  <c r="L1283" i="12" s="1"/>
  <c r="J1276" i="12"/>
  <c r="L1276" i="12" s="1"/>
  <c r="J1274" i="12"/>
  <c r="L1274" i="12" s="1"/>
  <c r="J1272" i="12"/>
  <c r="L1272" i="12" s="1"/>
  <c r="L1332" i="12"/>
  <c r="J1237" i="12"/>
  <c r="L1237" i="12" s="1"/>
  <c r="J1235" i="12"/>
  <c r="L1235" i="12" s="1"/>
  <c r="J1215" i="12"/>
  <c r="L1215" i="12" s="1"/>
  <c r="J1233" i="12"/>
  <c r="L1233" i="12" s="1"/>
  <c r="J1231" i="12"/>
  <c r="L1231" i="12" s="1"/>
  <c r="L1239" i="12"/>
  <c r="J1230" i="12"/>
  <c r="L1230" i="12" s="1"/>
  <c r="J1424" i="12"/>
  <c r="L1424" i="12" s="1"/>
  <c r="J1415" i="12"/>
  <c r="L1415" i="12" s="1"/>
  <c r="J1377" i="12"/>
  <c r="L1377" i="12" s="1"/>
  <c r="J1425" i="12"/>
  <c r="L1425" i="12" s="1"/>
  <c r="J1405" i="12"/>
  <c r="L1405" i="12" s="1"/>
  <c r="J1393" i="12"/>
  <c r="L1393" i="12" s="1"/>
  <c r="J1385" i="12"/>
  <c r="L1385" i="12" s="1"/>
  <c r="J1381" i="12"/>
  <c r="L1381" i="12" s="1"/>
  <c r="J1413" i="12"/>
  <c r="L1413" i="12" s="1"/>
  <c r="J1401" i="12"/>
  <c r="L1401" i="12" s="1"/>
  <c r="J1397" i="12"/>
  <c r="L1397" i="12" s="1"/>
  <c r="J1388" i="12"/>
  <c r="L1388" i="12" s="1"/>
  <c r="J1422" i="12"/>
  <c r="L1422" i="12" s="1"/>
  <c r="J1419" i="12"/>
  <c r="L1419" i="12" s="1"/>
  <c r="J1409" i="12"/>
  <c r="L1409" i="12" s="1"/>
  <c r="J1423" i="12"/>
  <c r="L1423" i="12" s="1"/>
  <c r="J1330" i="12"/>
  <c r="L1330" i="12" s="1"/>
  <c r="J1258" i="12"/>
  <c r="L1258" i="12" s="1"/>
  <c r="J1250" i="12"/>
  <c r="L1250" i="12" s="1"/>
  <c r="J1420" i="12"/>
  <c r="L1420" i="12" s="1"/>
  <c r="L1417" i="12"/>
  <c r="L1411" i="12"/>
  <c r="J1406" i="12"/>
  <c r="L1406" i="12" s="1"/>
  <c r="L1403" i="12"/>
  <c r="J1398" i="12"/>
  <c r="L1398" i="12" s="1"/>
  <c r="L1395" i="12"/>
  <c r="J1394" i="12"/>
  <c r="L1394" i="12" s="1"/>
  <c r="L1391" i="12"/>
  <c r="J1389" i="12"/>
  <c r="L1389" i="12" s="1"/>
  <c r="L1386" i="12"/>
  <c r="J1382" i="12"/>
  <c r="L1382" i="12" s="1"/>
  <c r="L1379" i="12"/>
  <c r="J1331" i="12"/>
  <c r="L1331" i="12" s="1"/>
  <c r="J1321" i="12"/>
  <c r="L1321" i="12" s="1"/>
  <c r="J1298" i="12"/>
  <c r="L1298" i="12" s="1"/>
  <c r="J1284" i="12"/>
  <c r="L1284" i="12" s="1"/>
  <c r="J1273" i="12"/>
  <c r="L1273" i="12" s="1"/>
  <c r="J1263" i="12"/>
  <c r="L1263" i="12" s="1"/>
  <c r="J1259" i="12"/>
  <c r="L1259" i="12" s="1"/>
  <c r="J1404" i="12"/>
  <c r="L1404" i="12" s="1"/>
  <c r="J1396" i="12"/>
  <c r="L1396" i="12" s="1"/>
  <c r="J1392" i="12"/>
  <c r="L1392" i="12" s="1"/>
  <c r="J1387" i="12"/>
  <c r="L1387" i="12" s="1"/>
  <c r="J1380" i="12"/>
  <c r="L1380" i="12" s="1"/>
  <c r="L1334" i="12"/>
  <c r="J1264" i="12"/>
  <c r="L1264" i="12" s="1"/>
  <c r="J1260" i="12"/>
  <c r="L1260" i="12" s="1"/>
  <c r="J1256" i="12"/>
  <c r="L1256" i="12" s="1"/>
  <c r="J1418" i="12"/>
  <c r="L1418" i="12" s="1"/>
  <c r="J1412" i="12"/>
  <c r="L1412" i="12" s="1"/>
  <c r="L1407" i="12"/>
  <c r="L1390" i="12"/>
  <c r="L1383" i="12"/>
  <c r="J1328" i="12"/>
  <c r="L1328" i="12" s="1"/>
  <c r="J1315" i="12"/>
  <c r="L1315" i="12" s="1"/>
  <c r="J1290" i="12"/>
  <c r="L1290" i="12" s="1"/>
  <c r="J1278" i="12"/>
  <c r="L1278" i="12" s="1"/>
  <c r="J1265" i="12"/>
  <c r="L1265" i="12" s="1"/>
  <c r="J1261" i="12"/>
  <c r="L1261" i="12" s="1"/>
  <c r="J1257" i="12"/>
  <c r="L1257" i="12" s="1"/>
  <c r="L1323" i="12"/>
  <c r="L1317" i="12"/>
  <c r="L1300" i="12"/>
  <c r="L1292" i="12"/>
  <c r="L1286" i="12"/>
  <c r="L1280" i="12"/>
  <c r="L1275" i="12"/>
  <c r="L1267" i="12"/>
  <c r="J1246" i="12"/>
  <c r="L1246" i="12" s="1"/>
  <c r="J1240" i="12"/>
  <c r="L1240" i="12" s="1"/>
  <c r="J1248" i="12"/>
  <c r="L1248" i="12" s="1"/>
  <c r="J1242" i="12"/>
  <c r="L1242" i="12" s="1"/>
  <c r="J1234" i="12"/>
  <c r="L1234" i="12" s="1"/>
  <c r="J1244" i="12"/>
  <c r="L1244" i="12" s="1"/>
  <c r="J1236" i="12"/>
  <c r="L1236" i="12" s="1"/>
  <c r="J1232" i="12"/>
  <c r="L1232" i="12" s="1"/>
  <c r="J1238" i="12"/>
  <c r="L1238" i="12" s="1"/>
  <c r="S717" i="12"/>
  <c r="S729" i="12"/>
  <c r="S746" i="12"/>
  <c r="S185" i="12"/>
  <c r="J1358" i="12" l="1"/>
  <c r="L1255" i="12"/>
  <c r="S762" i="12"/>
  <c r="S676" i="12"/>
  <c r="S536" i="12"/>
  <c r="S422" i="12"/>
  <c r="S409" i="12"/>
  <c r="S998" i="12"/>
  <c r="S999" i="12"/>
  <c r="S1176" i="12"/>
  <c r="S1175" i="12"/>
  <c r="P1212" i="12"/>
  <c r="P1213" i="12"/>
  <c r="H1213" i="12" l="1"/>
  <c r="H1212" i="12"/>
  <c r="P1206" i="12" l="1"/>
  <c r="H1206" i="12"/>
  <c r="P1201" i="12"/>
  <c r="H1201" i="12"/>
  <c r="M1203" i="12" l="1"/>
  <c r="M1204" i="12"/>
  <c r="M1206" i="12"/>
  <c r="M1207" i="12"/>
  <c r="M1208" i="12"/>
  <c r="M1218" i="12"/>
  <c r="M1219" i="12"/>
  <c r="M1223" i="12"/>
  <c r="M1224" i="12"/>
  <c r="M1226" i="12"/>
  <c r="M1227" i="12"/>
  <c r="M1228" i="12"/>
  <c r="M1230" i="12"/>
  <c r="M1236" i="12"/>
  <c r="M1237" i="12"/>
  <c r="M1239" i="12"/>
  <c r="M1243" i="12"/>
  <c r="M1245" i="12"/>
  <c r="M1247" i="12"/>
  <c r="M1252" i="12"/>
  <c r="M1255" i="12"/>
  <c r="M1256" i="12"/>
  <c r="M1257" i="12"/>
  <c r="M1259" i="12"/>
  <c r="M1260" i="12"/>
  <c r="M1197" i="12"/>
  <c r="M1214" i="12"/>
  <c r="M1217" i="12"/>
  <c r="M1233" i="12"/>
  <c r="M1262" i="12"/>
  <c r="M1261" i="12"/>
  <c r="M1258" i="12"/>
  <c r="M1254" i="12"/>
  <c r="M1253" i="12"/>
  <c r="M1250" i="12"/>
  <c r="M1251" i="12"/>
  <c r="M1248" i="12"/>
  <c r="M1249" i="12"/>
  <c r="M1246" i="12"/>
  <c r="M1244" i="12"/>
  <c r="M1242" i="12"/>
  <c r="M1241" i="12"/>
  <c r="M1240" i="12"/>
  <c r="M1238" i="12"/>
  <c r="M1234" i="12"/>
  <c r="M1235" i="12"/>
  <c r="M1232" i="12"/>
  <c r="M1231" i="12"/>
  <c r="M1229" i="12"/>
  <c r="M1225" i="12"/>
  <c r="M1222" i="12"/>
  <c r="M1221" i="12"/>
  <c r="M1220" i="12"/>
  <c r="M1216" i="12"/>
  <c r="M1215" i="12"/>
  <c r="M1213" i="12"/>
  <c r="M1212" i="12"/>
  <c r="M1211" i="12"/>
  <c r="M1210" i="12"/>
  <c r="M1209" i="12"/>
  <c r="M1205" i="12"/>
  <c r="M1202" i="12"/>
  <c r="M1201" i="12"/>
  <c r="M1199" i="12"/>
  <c r="M1200" i="12"/>
  <c r="M1198" i="12"/>
  <c r="M1196" i="12"/>
  <c r="M1195" i="12"/>
  <c r="M1194" i="12"/>
  <c r="P1192" i="12"/>
  <c r="P1164" i="12"/>
  <c r="H1192" i="12"/>
  <c r="H1164" i="12"/>
  <c r="Q1165" i="12"/>
  <c r="Q1166" i="12"/>
  <c r="Q1167" i="12"/>
  <c r="Q1168" i="12"/>
  <c r="Q1169" i="12"/>
  <c r="Q1170" i="12"/>
  <c r="Q1171" i="12"/>
  <c r="Q1172" i="12"/>
  <c r="Q1173" i="12"/>
  <c r="Q1174" i="12"/>
  <c r="Q1175" i="12"/>
  <c r="Q1176" i="12"/>
  <c r="Q1177" i="12"/>
  <c r="Q1178" i="12"/>
  <c r="Q1179" i="12"/>
  <c r="Q1180" i="12"/>
  <c r="Q1181" i="12"/>
  <c r="Q1182" i="12"/>
  <c r="Q1183" i="12"/>
  <c r="Q1184" i="12"/>
  <c r="Q1185" i="12"/>
  <c r="Q1186" i="12"/>
  <c r="Q1187" i="12"/>
  <c r="Q1188" i="12"/>
  <c r="Q1189" i="12"/>
  <c r="Q1190" i="12"/>
  <c r="Q1191" i="12"/>
  <c r="Q1193" i="12"/>
  <c r="Q1194" i="12"/>
  <c r="Q1195" i="12"/>
  <c r="Q1196" i="12"/>
  <c r="Q1197" i="12"/>
  <c r="Q1198" i="12"/>
  <c r="Q1199" i="12"/>
  <c r="Q1200" i="12"/>
  <c r="Q1201" i="12"/>
  <c r="Q1202" i="12"/>
  <c r="Q1203" i="12"/>
  <c r="Q1204" i="12"/>
  <c r="Q1205" i="12"/>
  <c r="Q1206" i="12"/>
  <c r="Q1207" i="12"/>
  <c r="Q1208" i="12"/>
  <c r="Q1209" i="12"/>
  <c r="Q1210" i="12"/>
  <c r="Q1211" i="12"/>
  <c r="Q1212" i="12"/>
  <c r="Q1213" i="12"/>
  <c r="Q1214" i="12"/>
  <c r="Q1216" i="12"/>
  <c r="Q1217" i="12"/>
  <c r="Q1218" i="12"/>
  <c r="Q1219" i="12"/>
  <c r="Q1220" i="12"/>
  <c r="Q1221" i="12"/>
  <c r="Q1222" i="12"/>
  <c r="Q1223" i="12"/>
  <c r="Q1224" i="12"/>
  <c r="Q1225" i="12"/>
  <c r="Q1226" i="12"/>
  <c r="Q1227" i="12"/>
  <c r="Q1228" i="12"/>
  <c r="Q1229" i="12"/>
  <c r="O1165" i="12"/>
  <c r="O1166" i="12"/>
  <c r="O1167" i="12"/>
  <c r="O1168" i="12"/>
  <c r="O1169" i="12"/>
  <c r="O1170" i="12"/>
  <c r="O1171" i="12"/>
  <c r="O1172" i="12"/>
  <c r="O1173" i="12"/>
  <c r="O1174" i="12"/>
  <c r="O1175" i="12"/>
  <c r="O1176" i="12"/>
  <c r="O1177" i="12"/>
  <c r="O1178" i="12"/>
  <c r="O1179" i="12"/>
  <c r="O1180" i="12"/>
  <c r="O1181" i="12"/>
  <c r="O1182" i="12"/>
  <c r="O1183" i="12"/>
  <c r="O1184" i="12"/>
  <c r="O1185" i="12"/>
  <c r="O1186" i="12"/>
  <c r="O1187" i="12"/>
  <c r="O1188" i="12"/>
  <c r="O1189" i="12"/>
  <c r="O1190" i="12"/>
  <c r="O1191" i="12"/>
  <c r="O1193" i="12"/>
  <c r="O1194" i="12"/>
  <c r="O1195" i="12"/>
  <c r="O1196" i="12"/>
  <c r="O1197" i="12"/>
  <c r="O1198" i="12"/>
  <c r="O1199" i="12"/>
  <c r="O1200" i="12"/>
  <c r="O1201" i="12"/>
  <c r="O1202" i="12"/>
  <c r="O1203" i="12"/>
  <c r="O1204" i="12"/>
  <c r="O1205" i="12"/>
  <c r="O1206" i="12"/>
  <c r="O1207" i="12"/>
  <c r="O1208" i="12"/>
  <c r="O1209" i="12"/>
  <c r="O1210" i="12"/>
  <c r="O1211" i="12"/>
  <c r="O1212" i="12"/>
  <c r="O1213" i="12"/>
  <c r="O1214" i="12"/>
  <c r="O1216" i="12"/>
  <c r="O1217" i="12"/>
  <c r="O1218" i="12"/>
  <c r="O1219" i="12"/>
  <c r="O1220" i="12"/>
  <c r="O1221" i="12"/>
  <c r="O1222" i="12"/>
  <c r="O1223" i="12"/>
  <c r="O1224" i="12"/>
  <c r="O1225" i="12"/>
  <c r="O1226" i="12"/>
  <c r="O1227" i="12"/>
  <c r="O1228" i="12"/>
  <c r="O1229" i="12"/>
  <c r="K1164" i="12"/>
  <c r="K1165" i="12"/>
  <c r="I1166" i="12"/>
  <c r="K1166" i="12"/>
  <c r="I1167" i="12"/>
  <c r="K1167" i="12"/>
  <c r="K1168" i="12"/>
  <c r="K1169" i="12"/>
  <c r="K1170" i="12"/>
  <c r="K1171" i="12"/>
  <c r="K1172" i="12"/>
  <c r="K1173" i="12"/>
  <c r="K1174" i="12"/>
  <c r="K1175" i="12"/>
  <c r="K1176" i="12"/>
  <c r="K1177" i="12"/>
  <c r="K1178" i="12"/>
  <c r="K1179" i="12"/>
  <c r="K1180" i="12"/>
  <c r="K1181" i="12"/>
  <c r="K1182" i="12"/>
  <c r="K1183" i="12"/>
  <c r="K1184" i="12"/>
  <c r="K1185" i="12"/>
  <c r="K1186" i="12"/>
  <c r="K1187" i="12"/>
  <c r="K1188" i="12"/>
  <c r="K1189" i="12"/>
  <c r="K1190" i="12"/>
  <c r="K1191" i="12"/>
  <c r="K1192" i="12"/>
  <c r="K1193" i="12"/>
  <c r="K1194" i="12"/>
  <c r="K1195" i="12"/>
  <c r="K1196" i="12"/>
  <c r="K1197" i="12"/>
  <c r="K1198" i="12"/>
  <c r="K1199" i="12"/>
  <c r="K1200" i="12"/>
  <c r="K1201" i="12"/>
  <c r="K1202" i="12"/>
  <c r="K1203" i="12"/>
  <c r="K1204" i="12"/>
  <c r="K1205" i="12"/>
  <c r="K1206" i="12"/>
  <c r="K1207" i="12"/>
  <c r="K1208" i="12"/>
  <c r="K1209" i="12"/>
  <c r="K1210" i="12"/>
  <c r="K1211" i="12"/>
  <c r="K1212" i="12"/>
  <c r="K1213" i="12"/>
  <c r="K1214" i="12"/>
  <c r="K1216" i="12"/>
  <c r="K1217" i="12"/>
  <c r="K1218" i="12"/>
  <c r="K1219" i="12"/>
  <c r="K1220" i="12"/>
  <c r="K1221" i="12"/>
  <c r="K1222" i="12"/>
  <c r="K1223" i="12"/>
  <c r="K1224" i="12"/>
  <c r="K1225" i="12"/>
  <c r="K1226" i="12"/>
  <c r="K1227" i="12"/>
  <c r="K1228" i="12"/>
  <c r="K1229" i="12"/>
  <c r="E1164" i="12"/>
  <c r="F1164" i="12"/>
  <c r="G1164" i="12" s="1"/>
  <c r="E1165" i="12"/>
  <c r="I1165" i="12" s="1"/>
  <c r="F1165" i="12"/>
  <c r="G1165" i="12" s="1"/>
  <c r="J1165" i="12" s="1"/>
  <c r="F1166" i="12"/>
  <c r="F1167" i="12"/>
  <c r="E1168" i="12"/>
  <c r="I1168" i="12" s="1"/>
  <c r="F1168" i="12"/>
  <c r="G1168" i="12" s="1"/>
  <c r="J1168" i="12" s="1"/>
  <c r="E1169" i="12"/>
  <c r="I1169" i="12" s="1"/>
  <c r="F1169" i="12"/>
  <c r="G1169" i="12" s="1"/>
  <c r="J1169" i="12" s="1"/>
  <c r="E1170" i="12"/>
  <c r="I1170" i="12" s="1"/>
  <c r="F1170" i="12"/>
  <c r="G1170" i="12" s="1"/>
  <c r="E1171" i="12"/>
  <c r="I1171" i="12" s="1"/>
  <c r="F1171" i="12"/>
  <c r="G1171" i="12" s="1"/>
  <c r="J1171" i="12" s="1"/>
  <c r="E1172" i="12"/>
  <c r="I1172" i="12" s="1"/>
  <c r="F1172" i="12"/>
  <c r="G1172" i="12" s="1"/>
  <c r="E1173" i="12"/>
  <c r="I1173" i="12" s="1"/>
  <c r="F1173" i="12"/>
  <c r="G1173" i="12" s="1"/>
  <c r="E1174" i="12"/>
  <c r="I1174" i="12" s="1"/>
  <c r="F1174" i="12"/>
  <c r="G1174" i="12" s="1"/>
  <c r="E1175" i="12"/>
  <c r="I1175" i="12" s="1"/>
  <c r="F1175" i="12"/>
  <c r="G1175" i="12" s="1"/>
  <c r="J1175" i="12" s="1"/>
  <c r="E1176" i="12"/>
  <c r="I1176" i="12" s="1"/>
  <c r="F1176" i="12"/>
  <c r="G1176" i="12" s="1"/>
  <c r="E1177" i="12"/>
  <c r="I1177" i="12" s="1"/>
  <c r="F1177" i="12"/>
  <c r="G1177" i="12" s="1"/>
  <c r="E1178" i="12"/>
  <c r="I1178" i="12" s="1"/>
  <c r="F1178" i="12"/>
  <c r="G1178" i="12" s="1"/>
  <c r="J1178" i="12" s="1"/>
  <c r="E1179" i="12"/>
  <c r="I1179" i="12" s="1"/>
  <c r="F1179" i="12"/>
  <c r="G1179" i="12" s="1"/>
  <c r="J1179" i="12" s="1"/>
  <c r="E1180" i="12"/>
  <c r="I1180" i="12" s="1"/>
  <c r="F1180" i="12"/>
  <c r="G1180" i="12" s="1"/>
  <c r="E1181" i="12"/>
  <c r="I1181" i="12" s="1"/>
  <c r="F1181" i="12"/>
  <c r="G1181" i="12" s="1"/>
  <c r="J1181" i="12" s="1"/>
  <c r="E1182" i="12"/>
  <c r="I1182" i="12" s="1"/>
  <c r="F1182" i="12"/>
  <c r="G1182" i="12" s="1"/>
  <c r="J1182" i="12" s="1"/>
  <c r="E1183" i="12"/>
  <c r="I1183" i="12" s="1"/>
  <c r="F1183" i="12"/>
  <c r="G1183" i="12" s="1"/>
  <c r="J1183" i="12" s="1"/>
  <c r="E1184" i="12"/>
  <c r="I1184" i="12" s="1"/>
  <c r="F1184" i="12"/>
  <c r="G1184" i="12" s="1"/>
  <c r="J1184" i="12" s="1"/>
  <c r="E1185" i="12"/>
  <c r="I1185" i="12" s="1"/>
  <c r="F1185" i="12"/>
  <c r="G1185" i="12" s="1"/>
  <c r="J1185" i="12" s="1"/>
  <c r="E1186" i="12"/>
  <c r="I1186" i="12" s="1"/>
  <c r="F1186" i="12"/>
  <c r="G1186" i="12" s="1"/>
  <c r="J1186" i="12" s="1"/>
  <c r="E1187" i="12"/>
  <c r="I1187" i="12" s="1"/>
  <c r="F1187" i="12"/>
  <c r="G1187" i="12" s="1"/>
  <c r="J1187" i="12" s="1"/>
  <c r="E1188" i="12"/>
  <c r="I1188" i="12" s="1"/>
  <c r="F1188" i="12"/>
  <c r="G1188" i="12" s="1"/>
  <c r="E1189" i="12"/>
  <c r="I1189" i="12" s="1"/>
  <c r="F1189" i="12"/>
  <c r="G1189" i="12" s="1"/>
  <c r="J1189" i="12" s="1"/>
  <c r="E1190" i="12"/>
  <c r="I1190" i="12" s="1"/>
  <c r="F1190" i="12"/>
  <c r="G1190" i="12" s="1"/>
  <c r="E1191" i="12"/>
  <c r="I1191" i="12" s="1"/>
  <c r="F1191" i="12"/>
  <c r="G1191" i="12" s="1"/>
  <c r="E1192" i="12"/>
  <c r="F1192" i="12"/>
  <c r="G1192" i="12" s="1"/>
  <c r="E1193" i="12"/>
  <c r="I1193" i="12" s="1"/>
  <c r="F1193" i="12"/>
  <c r="G1193" i="12" s="1"/>
  <c r="J1193" i="12" s="1"/>
  <c r="E1194" i="12"/>
  <c r="I1194" i="12" s="1"/>
  <c r="F1194" i="12"/>
  <c r="G1194" i="12" s="1"/>
  <c r="J1194" i="12" s="1"/>
  <c r="E1195" i="12"/>
  <c r="I1195" i="12" s="1"/>
  <c r="F1195" i="12"/>
  <c r="G1195" i="12" s="1"/>
  <c r="J1195" i="12" s="1"/>
  <c r="E1196" i="12"/>
  <c r="I1196" i="12" s="1"/>
  <c r="F1196" i="12"/>
  <c r="G1196" i="12" s="1"/>
  <c r="J1196" i="12" s="1"/>
  <c r="E1197" i="12"/>
  <c r="I1197" i="12" s="1"/>
  <c r="F1197" i="12"/>
  <c r="G1197" i="12" s="1"/>
  <c r="E1198" i="12"/>
  <c r="I1198" i="12" s="1"/>
  <c r="F1198" i="12"/>
  <c r="G1198" i="12" s="1"/>
  <c r="J1198" i="12" s="1"/>
  <c r="E1199" i="12"/>
  <c r="I1199" i="12" s="1"/>
  <c r="F1199" i="12"/>
  <c r="G1199" i="12" s="1"/>
  <c r="J1199" i="12" s="1"/>
  <c r="E1200" i="12"/>
  <c r="I1200" i="12" s="1"/>
  <c r="F1200" i="12"/>
  <c r="G1200" i="12" s="1"/>
  <c r="J1200" i="12" s="1"/>
  <c r="E1201" i="12"/>
  <c r="I1201" i="12" s="1"/>
  <c r="F1201" i="12"/>
  <c r="G1201" i="12" s="1"/>
  <c r="E1202" i="12"/>
  <c r="I1202" i="12" s="1"/>
  <c r="F1202" i="12"/>
  <c r="G1202" i="12" s="1"/>
  <c r="J1202" i="12" s="1"/>
  <c r="E1203" i="12"/>
  <c r="I1203" i="12" s="1"/>
  <c r="F1203" i="12"/>
  <c r="G1203" i="12" s="1"/>
  <c r="J1203" i="12" s="1"/>
  <c r="E1204" i="12"/>
  <c r="I1204" i="12" s="1"/>
  <c r="F1204" i="12"/>
  <c r="G1204" i="12" s="1"/>
  <c r="J1204" i="12" s="1"/>
  <c r="E1205" i="12"/>
  <c r="I1205" i="12" s="1"/>
  <c r="F1205" i="12"/>
  <c r="G1205" i="12" s="1"/>
  <c r="J1205" i="12" s="1"/>
  <c r="E1206" i="12"/>
  <c r="I1206" i="12" s="1"/>
  <c r="F1206" i="12"/>
  <c r="G1206" i="12" s="1"/>
  <c r="E1207" i="12"/>
  <c r="I1207" i="12" s="1"/>
  <c r="F1207" i="12"/>
  <c r="G1207" i="12" s="1"/>
  <c r="J1207" i="12" s="1"/>
  <c r="E1208" i="12"/>
  <c r="I1208" i="12" s="1"/>
  <c r="F1208" i="12"/>
  <c r="G1208" i="12" s="1"/>
  <c r="J1208" i="12" s="1"/>
  <c r="E1209" i="12"/>
  <c r="I1209" i="12" s="1"/>
  <c r="F1209" i="12"/>
  <c r="G1209" i="12" s="1"/>
  <c r="J1209" i="12" s="1"/>
  <c r="E1210" i="12"/>
  <c r="I1210" i="12" s="1"/>
  <c r="F1210" i="12"/>
  <c r="G1210" i="12" s="1"/>
  <c r="J1210" i="12" s="1"/>
  <c r="E1211" i="12"/>
  <c r="I1211" i="12" s="1"/>
  <c r="F1211" i="12"/>
  <c r="G1211" i="12" s="1"/>
  <c r="J1211" i="12" s="1"/>
  <c r="E1212" i="12"/>
  <c r="I1212" i="12" s="1"/>
  <c r="F1212" i="12"/>
  <c r="G1212" i="12" s="1"/>
  <c r="J1212" i="12" s="1"/>
  <c r="E1213" i="12"/>
  <c r="I1213" i="12" s="1"/>
  <c r="F1213" i="12"/>
  <c r="G1213" i="12" s="1"/>
  <c r="J1213" i="12" s="1"/>
  <c r="E1214" i="12"/>
  <c r="I1214" i="12" s="1"/>
  <c r="F1214" i="12"/>
  <c r="E1216" i="12"/>
  <c r="I1216" i="12" s="1"/>
  <c r="F1216" i="12"/>
  <c r="G1216" i="12" s="1"/>
  <c r="J1216" i="12" s="1"/>
  <c r="E1217" i="12"/>
  <c r="I1217" i="12" s="1"/>
  <c r="F1217" i="12"/>
  <c r="G1217" i="12" s="1"/>
  <c r="J1217" i="12" s="1"/>
  <c r="E1218" i="12"/>
  <c r="I1218" i="12" s="1"/>
  <c r="F1218" i="12"/>
  <c r="G1218" i="12" s="1"/>
  <c r="E1219" i="12"/>
  <c r="I1219" i="12" s="1"/>
  <c r="F1219" i="12"/>
  <c r="G1219" i="12" s="1"/>
  <c r="J1219" i="12" s="1"/>
  <c r="E1220" i="12"/>
  <c r="I1220" i="12" s="1"/>
  <c r="F1220" i="12"/>
  <c r="G1220" i="12" s="1"/>
  <c r="J1220" i="12" s="1"/>
  <c r="E1221" i="12"/>
  <c r="I1221" i="12" s="1"/>
  <c r="F1221" i="12"/>
  <c r="G1221" i="12" s="1"/>
  <c r="J1221" i="12" s="1"/>
  <c r="E1222" i="12"/>
  <c r="I1222" i="12" s="1"/>
  <c r="F1222" i="12"/>
  <c r="G1222" i="12" s="1"/>
  <c r="E1223" i="12"/>
  <c r="I1223" i="12" s="1"/>
  <c r="F1223" i="12"/>
  <c r="G1223" i="12" s="1"/>
  <c r="J1223" i="12" s="1"/>
  <c r="E1224" i="12"/>
  <c r="I1224" i="12" s="1"/>
  <c r="F1224" i="12"/>
  <c r="G1224" i="12" s="1"/>
  <c r="J1224" i="12" s="1"/>
  <c r="E1225" i="12"/>
  <c r="I1225" i="12" s="1"/>
  <c r="F1225" i="12"/>
  <c r="G1225" i="12" s="1"/>
  <c r="J1225" i="12" s="1"/>
  <c r="E1226" i="12"/>
  <c r="I1226" i="12" s="1"/>
  <c r="F1226" i="12"/>
  <c r="G1226" i="12" s="1"/>
  <c r="J1226" i="12" s="1"/>
  <c r="E1227" i="12"/>
  <c r="I1227" i="12" s="1"/>
  <c r="F1227" i="12"/>
  <c r="G1227" i="12" s="1"/>
  <c r="J1227" i="12" s="1"/>
  <c r="E1228" i="12"/>
  <c r="I1228" i="12" s="1"/>
  <c r="F1228" i="12"/>
  <c r="G1228" i="12" s="1"/>
  <c r="E1229" i="12"/>
  <c r="I1229" i="12" s="1"/>
  <c r="F1229" i="12"/>
  <c r="G1229" i="12" s="1"/>
  <c r="J1229" i="12" s="1"/>
  <c r="C1164" i="12"/>
  <c r="C1165" i="12"/>
  <c r="C1168" i="12"/>
  <c r="C1169" i="12"/>
  <c r="C1170" i="12"/>
  <c r="C1171" i="12"/>
  <c r="C1172" i="12"/>
  <c r="C1173" i="12"/>
  <c r="C1174" i="12"/>
  <c r="C1175" i="12"/>
  <c r="C1176" i="12"/>
  <c r="C1177" i="12"/>
  <c r="C1178" i="12"/>
  <c r="C1179" i="12"/>
  <c r="C1180" i="12"/>
  <c r="C1181" i="12"/>
  <c r="C1182" i="12"/>
  <c r="C1183" i="12"/>
  <c r="C1184" i="12"/>
  <c r="C1185" i="12"/>
  <c r="C1186" i="12"/>
  <c r="C1187" i="12"/>
  <c r="C1188" i="12"/>
  <c r="C1189" i="12"/>
  <c r="C1190" i="12"/>
  <c r="C1191" i="12"/>
  <c r="C1192" i="12"/>
  <c r="C1193" i="12"/>
  <c r="C1194" i="12"/>
  <c r="C1195" i="12"/>
  <c r="C1196" i="12"/>
  <c r="C1197" i="12"/>
  <c r="C1198" i="12"/>
  <c r="C1199" i="12"/>
  <c r="C1200" i="12"/>
  <c r="C1201" i="12"/>
  <c r="C1202" i="12"/>
  <c r="C1203" i="12"/>
  <c r="C1204" i="12"/>
  <c r="C1205" i="12"/>
  <c r="C1206" i="12"/>
  <c r="C1207" i="12"/>
  <c r="C1208" i="12"/>
  <c r="C1209" i="12"/>
  <c r="C1210" i="12"/>
  <c r="C1211" i="12"/>
  <c r="C1212" i="12"/>
  <c r="C1213" i="12"/>
  <c r="C1214" i="12"/>
  <c r="C1216" i="12"/>
  <c r="C1217" i="12"/>
  <c r="C1218" i="12"/>
  <c r="C1219" i="12"/>
  <c r="C1220" i="12"/>
  <c r="C1221" i="12"/>
  <c r="C1222" i="12"/>
  <c r="C1223" i="12"/>
  <c r="C1224" i="12"/>
  <c r="C1225" i="12"/>
  <c r="C1226" i="12"/>
  <c r="C1227" i="12"/>
  <c r="C1228" i="12"/>
  <c r="C1229" i="12"/>
  <c r="I1192" i="12" l="1"/>
  <c r="M1168" i="12"/>
  <c r="M1169" i="12"/>
  <c r="M1170" i="12"/>
  <c r="M1171" i="12"/>
  <c r="M1172" i="12"/>
  <c r="M1173" i="12"/>
  <c r="M1181" i="12"/>
  <c r="M1184" i="12"/>
  <c r="M1185" i="12"/>
  <c r="M1186" i="12"/>
  <c r="M1187" i="12"/>
  <c r="M1188" i="12"/>
  <c r="M1189" i="12"/>
  <c r="M1192" i="12"/>
  <c r="M1193" i="12"/>
  <c r="M1164" i="12"/>
  <c r="M1165" i="12"/>
  <c r="M1175" i="12"/>
  <c r="M1191" i="12"/>
  <c r="M1167" i="12"/>
  <c r="M1176" i="12"/>
  <c r="M1177" i="12"/>
  <c r="M1178" i="12"/>
  <c r="M1179" i="12"/>
  <c r="M1180" i="12"/>
  <c r="M1166" i="12"/>
  <c r="M1183" i="12"/>
  <c r="Q1192" i="12"/>
  <c r="M1174" i="12"/>
  <c r="M1182" i="12"/>
  <c r="M1190" i="12"/>
  <c r="L1193" i="12"/>
  <c r="L1189" i="12"/>
  <c r="L1181" i="12"/>
  <c r="L1178" i="12"/>
  <c r="G1214" i="12"/>
  <c r="J1214" i="12" s="1"/>
  <c r="L1214" i="12" s="1"/>
  <c r="O1164" i="12"/>
  <c r="L1186" i="12"/>
  <c r="J1228" i="12"/>
  <c r="L1228" i="12" s="1"/>
  <c r="J1222" i="12"/>
  <c r="L1222" i="12" s="1"/>
  <c r="J1218" i="12"/>
  <c r="L1218" i="12" s="1"/>
  <c r="L1229" i="12"/>
  <c r="L1227" i="12"/>
  <c r="L1226" i="12"/>
  <c r="L1225" i="12"/>
  <c r="L1224" i="12"/>
  <c r="L1223" i="12"/>
  <c r="L1221" i="12"/>
  <c r="L1220" i="12"/>
  <c r="L1219" i="12"/>
  <c r="L1217" i="12"/>
  <c r="L1216" i="12"/>
  <c r="I1164" i="12"/>
  <c r="O1192" i="12"/>
  <c r="J1206" i="12"/>
  <c r="L1206" i="12" s="1"/>
  <c r="J1197" i="12"/>
  <c r="L1197" i="12" s="1"/>
  <c r="J1201" i="12"/>
  <c r="L1201" i="12" s="1"/>
  <c r="L1213" i="12"/>
  <c r="L1212" i="12"/>
  <c r="L1211" i="12"/>
  <c r="L1210" i="12"/>
  <c r="L1209" i="12"/>
  <c r="L1208" i="12"/>
  <c r="L1207" i="12"/>
  <c r="L1205" i="12"/>
  <c r="L1204" i="12"/>
  <c r="L1203" i="12"/>
  <c r="L1202" i="12"/>
  <c r="L1200" i="12"/>
  <c r="L1199" i="12"/>
  <c r="L1198" i="12"/>
  <c r="L1196" i="12"/>
  <c r="L1195" i="12"/>
  <c r="L1194" i="12"/>
  <c r="Q1164" i="12"/>
  <c r="J1166" i="12"/>
  <c r="L1166" i="12" s="1"/>
  <c r="L1165" i="12"/>
  <c r="L1187" i="12"/>
  <c r="L1184" i="12"/>
  <c r="L1179" i="12"/>
  <c r="L1171" i="12"/>
  <c r="L1168" i="12"/>
  <c r="J1192" i="12"/>
  <c r="L1192" i="12" s="1"/>
  <c r="J1176" i="12"/>
  <c r="L1176" i="12" s="1"/>
  <c r="J1173" i="12"/>
  <c r="L1173" i="12" s="1"/>
  <c r="J1170" i="12"/>
  <c r="L1170" i="12" s="1"/>
  <c r="L1185" i="12"/>
  <c r="L1182" i="12"/>
  <c r="L1169" i="12"/>
  <c r="J1190" i="12"/>
  <c r="L1190" i="12" s="1"/>
  <c r="J1177" i="12"/>
  <c r="L1177" i="12" s="1"/>
  <c r="J1174" i="12"/>
  <c r="L1174" i="12" s="1"/>
  <c r="J1167" i="12"/>
  <c r="L1167" i="12" s="1"/>
  <c r="J1191" i="12"/>
  <c r="L1191" i="12" s="1"/>
  <c r="J1188" i="12"/>
  <c r="L1188" i="12" s="1"/>
  <c r="J1180" i="12"/>
  <c r="L1180" i="12" s="1"/>
  <c r="J1172" i="12"/>
  <c r="L1172" i="12" s="1"/>
  <c r="J1164" i="12"/>
  <c r="L1164" i="12" s="1"/>
  <c r="L1183" i="12"/>
  <c r="L1175" i="12"/>
  <c r="F3" i="12" l="1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368" i="12"/>
  <c r="F369" i="12"/>
  <c r="F370" i="12"/>
  <c r="F371" i="12"/>
  <c r="F372" i="12"/>
  <c r="F373" i="12"/>
  <c r="F374" i="12"/>
  <c r="F375" i="12"/>
  <c r="F376" i="12"/>
  <c r="F377" i="12"/>
  <c r="F378" i="12"/>
  <c r="F379" i="12"/>
  <c r="F380" i="12"/>
  <c r="F381" i="12"/>
  <c r="F382" i="12"/>
  <c r="F383" i="12"/>
  <c r="F384" i="12"/>
  <c r="F385" i="12"/>
  <c r="F386" i="12"/>
  <c r="F387" i="12"/>
  <c r="F388" i="12"/>
  <c r="F389" i="12"/>
  <c r="F390" i="12"/>
  <c r="F391" i="12"/>
  <c r="F392" i="12"/>
  <c r="F393" i="12"/>
  <c r="F394" i="12"/>
  <c r="F395" i="12"/>
  <c r="F396" i="12"/>
  <c r="F397" i="12"/>
  <c r="F398" i="12"/>
  <c r="F399" i="12"/>
  <c r="F400" i="12"/>
  <c r="F401" i="12"/>
  <c r="F402" i="12"/>
  <c r="F403" i="12"/>
  <c r="F404" i="12"/>
  <c r="F405" i="12"/>
  <c r="F406" i="12"/>
  <c r="F407" i="12"/>
  <c r="F408" i="12"/>
  <c r="F409" i="12"/>
  <c r="F410" i="12"/>
  <c r="F411" i="12"/>
  <c r="F412" i="12"/>
  <c r="F413" i="12"/>
  <c r="F414" i="12"/>
  <c r="F415" i="12"/>
  <c r="F416" i="12"/>
  <c r="F417" i="12"/>
  <c r="F418" i="12"/>
  <c r="F419" i="12"/>
  <c r="F420" i="12"/>
  <c r="F421" i="12"/>
  <c r="F422" i="12"/>
  <c r="F423" i="12"/>
  <c r="F424" i="12"/>
  <c r="F425" i="12"/>
  <c r="F426" i="12"/>
  <c r="F427" i="12"/>
  <c r="F428" i="12"/>
  <c r="F429" i="12"/>
  <c r="F430" i="12"/>
  <c r="F431" i="12"/>
  <c r="F432" i="12"/>
  <c r="F433" i="12"/>
  <c r="F434" i="12"/>
  <c r="F435" i="12"/>
  <c r="F436" i="12"/>
  <c r="F437" i="12"/>
  <c r="F438" i="12"/>
  <c r="F439" i="12"/>
  <c r="F440" i="12"/>
  <c r="F441" i="12"/>
  <c r="F442" i="12"/>
  <c r="F443" i="12"/>
  <c r="F444" i="12"/>
  <c r="F445" i="12"/>
  <c r="F446" i="12"/>
  <c r="F447" i="12"/>
  <c r="F448" i="12"/>
  <c r="F449" i="12"/>
  <c r="F450" i="12"/>
  <c r="F451" i="12"/>
  <c r="F452" i="12"/>
  <c r="F453" i="12"/>
  <c r="F454" i="12"/>
  <c r="F455" i="12"/>
  <c r="F456" i="12"/>
  <c r="F457" i="12"/>
  <c r="F458" i="12"/>
  <c r="F459" i="12"/>
  <c r="F460" i="12"/>
  <c r="F461" i="12"/>
  <c r="F462" i="12"/>
  <c r="F463" i="12"/>
  <c r="F464" i="12"/>
  <c r="F465" i="12"/>
  <c r="F466" i="12"/>
  <c r="F467" i="12"/>
  <c r="F468" i="12"/>
  <c r="F469" i="12"/>
  <c r="F470" i="12"/>
  <c r="F471" i="12"/>
  <c r="F472" i="12"/>
  <c r="F473" i="12"/>
  <c r="F474" i="12"/>
  <c r="F475" i="12"/>
  <c r="F476" i="12"/>
  <c r="F477" i="12"/>
  <c r="F478" i="12"/>
  <c r="F479" i="12"/>
  <c r="F480" i="12"/>
  <c r="F481" i="12"/>
  <c r="F482" i="12"/>
  <c r="F483" i="12"/>
  <c r="F484" i="12"/>
  <c r="F485" i="12"/>
  <c r="F486" i="12"/>
  <c r="F487" i="12"/>
  <c r="F488" i="12"/>
  <c r="F489" i="12"/>
  <c r="F490" i="12"/>
  <c r="F491" i="12"/>
  <c r="F492" i="12"/>
  <c r="F493" i="12"/>
  <c r="F494" i="12"/>
  <c r="F495" i="12"/>
  <c r="F496" i="12"/>
  <c r="F497" i="12"/>
  <c r="F498" i="12"/>
  <c r="F499" i="12"/>
  <c r="F500" i="12"/>
  <c r="F501" i="12"/>
  <c r="F502" i="12"/>
  <c r="F503" i="12"/>
  <c r="F504" i="12"/>
  <c r="F505" i="12"/>
  <c r="F506" i="12"/>
  <c r="F507" i="12"/>
  <c r="F508" i="12"/>
  <c r="F509" i="12"/>
  <c r="F510" i="12"/>
  <c r="F511" i="12"/>
  <c r="F512" i="12"/>
  <c r="F513" i="12"/>
  <c r="F514" i="12"/>
  <c r="F515" i="12"/>
  <c r="F516" i="12"/>
  <c r="F517" i="12"/>
  <c r="F518" i="12"/>
  <c r="F519" i="12"/>
  <c r="F520" i="12"/>
  <c r="F521" i="12"/>
  <c r="F522" i="12"/>
  <c r="F523" i="12"/>
  <c r="F524" i="12"/>
  <c r="F525" i="12"/>
  <c r="F526" i="12"/>
  <c r="F527" i="12"/>
  <c r="F528" i="12"/>
  <c r="F529" i="12"/>
  <c r="F530" i="12"/>
  <c r="F531" i="12"/>
  <c r="F532" i="12"/>
  <c r="F533" i="12"/>
  <c r="F534" i="12"/>
  <c r="F535" i="12"/>
  <c r="F536" i="12"/>
  <c r="F537" i="12"/>
  <c r="F538" i="12"/>
  <c r="F539" i="12"/>
  <c r="F540" i="12"/>
  <c r="F541" i="12"/>
  <c r="F542" i="12"/>
  <c r="F543" i="12"/>
  <c r="F544" i="12"/>
  <c r="F545" i="12"/>
  <c r="F546" i="12"/>
  <c r="F547" i="12"/>
  <c r="F548" i="12"/>
  <c r="F549" i="12"/>
  <c r="F550" i="12"/>
  <c r="F551" i="12"/>
  <c r="F552" i="12"/>
  <c r="F553" i="12"/>
  <c r="F554" i="12"/>
  <c r="F555" i="12"/>
  <c r="F556" i="12"/>
  <c r="F557" i="12"/>
  <c r="F558" i="12"/>
  <c r="F559" i="12"/>
  <c r="F560" i="12"/>
  <c r="F561" i="12"/>
  <c r="F562" i="12"/>
  <c r="F563" i="12"/>
  <c r="F564" i="12"/>
  <c r="F565" i="12"/>
  <c r="F566" i="12"/>
  <c r="F567" i="12"/>
  <c r="F568" i="12"/>
  <c r="F569" i="12"/>
  <c r="F570" i="12"/>
  <c r="F571" i="12"/>
  <c r="F572" i="12"/>
  <c r="F573" i="12"/>
  <c r="F574" i="12"/>
  <c r="F575" i="12"/>
  <c r="F576" i="12"/>
  <c r="F577" i="12"/>
  <c r="F578" i="12"/>
  <c r="F579" i="12"/>
  <c r="F580" i="12"/>
  <c r="F581" i="12"/>
  <c r="F582" i="12"/>
  <c r="F583" i="12"/>
  <c r="F584" i="12"/>
  <c r="F585" i="12"/>
  <c r="F586" i="12"/>
  <c r="F587" i="12"/>
  <c r="F588" i="12"/>
  <c r="F589" i="12"/>
  <c r="F590" i="12"/>
  <c r="F591" i="12"/>
  <c r="F592" i="12"/>
  <c r="F593" i="12"/>
  <c r="F594" i="12"/>
  <c r="F595" i="12"/>
  <c r="F596" i="12"/>
  <c r="F597" i="12"/>
  <c r="F598" i="12"/>
  <c r="F599" i="12"/>
  <c r="F600" i="12"/>
  <c r="F601" i="12"/>
  <c r="F602" i="12"/>
  <c r="F603" i="12"/>
  <c r="F604" i="12"/>
  <c r="F605" i="12"/>
  <c r="F606" i="12"/>
  <c r="F607" i="12"/>
  <c r="F608" i="12"/>
  <c r="F609" i="12"/>
  <c r="F610" i="12"/>
  <c r="F611" i="12"/>
  <c r="F612" i="12"/>
  <c r="F613" i="12"/>
  <c r="F614" i="12"/>
  <c r="F615" i="12"/>
  <c r="F616" i="12"/>
  <c r="F617" i="12"/>
  <c r="F618" i="12"/>
  <c r="F619" i="12"/>
  <c r="F620" i="12"/>
  <c r="F621" i="12"/>
  <c r="F622" i="12"/>
  <c r="F623" i="12"/>
  <c r="F624" i="12"/>
  <c r="F625" i="12"/>
  <c r="F626" i="12"/>
  <c r="F627" i="12"/>
  <c r="F628" i="12"/>
  <c r="F629" i="12"/>
  <c r="F630" i="12"/>
  <c r="F631" i="12"/>
  <c r="F632" i="12"/>
  <c r="F633" i="12"/>
  <c r="F634" i="12"/>
  <c r="F635" i="12"/>
  <c r="F636" i="12"/>
  <c r="F637" i="12"/>
  <c r="F638" i="12"/>
  <c r="F639" i="12"/>
  <c r="F640" i="12"/>
  <c r="F641" i="12"/>
  <c r="F642" i="12"/>
  <c r="F643" i="12"/>
  <c r="F644" i="12"/>
  <c r="F645" i="12"/>
  <c r="F646" i="12"/>
  <c r="F647" i="12"/>
  <c r="F648" i="12"/>
  <c r="F649" i="12"/>
  <c r="F650" i="12"/>
  <c r="F651" i="12"/>
  <c r="F652" i="12"/>
  <c r="F653" i="12"/>
  <c r="F654" i="12"/>
  <c r="F655" i="12"/>
  <c r="F656" i="12"/>
  <c r="F657" i="12"/>
  <c r="F658" i="12"/>
  <c r="F659" i="12"/>
  <c r="F660" i="12"/>
  <c r="F661" i="12"/>
  <c r="F662" i="12"/>
  <c r="F663" i="12"/>
  <c r="F664" i="12"/>
  <c r="F665" i="12"/>
  <c r="F666" i="12"/>
  <c r="F667" i="12"/>
  <c r="F668" i="12"/>
  <c r="F669" i="12"/>
  <c r="F670" i="12"/>
  <c r="F671" i="12"/>
  <c r="F672" i="12"/>
  <c r="F673" i="12"/>
  <c r="F674" i="12"/>
  <c r="F675" i="12"/>
  <c r="F676" i="12"/>
  <c r="F677" i="12"/>
  <c r="F678" i="12"/>
  <c r="F679" i="12"/>
  <c r="F680" i="12"/>
  <c r="F681" i="12"/>
  <c r="F682" i="12"/>
  <c r="F683" i="12"/>
  <c r="F684" i="12"/>
  <c r="F685" i="12"/>
  <c r="F686" i="12"/>
  <c r="F687" i="12"/>
  <c r="F688" i="12"/>
  <c r="F689" i="12"/>
  <c r="F690" i="12"/>
  <c r="F691" i="12"/>
  <c r="F692" i="12"/>
  <c r="F693" i="12"/>
  <c r="F694" i="12"/>
  <c r="F695" i="12"/>
  <c r="F696" i="12"/>
  <c r="F697" i="12"/>
  <c r="F698" i="12"/>
  <c r="F699" i="12"/>
  <c r="F700" i="12"/>
  <c r="F701" i="12"/>
  <c r="F702" i="12"/>
  <c r="F703" i="12"/>
  <c r="F704" i="12"/>
  <c r="F705" i="12"/>
  <c r="F706" i="12"/>
  <c r="F707" i="12"/>
  <c r="F708" i="12"/>
  <c r="F709" i="12"/>
  <c r="F710" i="12"/>
  <c r="F711" i="12"/>
  <c r="F712" i="12"/>
  <c r="F713" i="12"/>
  <c r="F714" i="12"/>
  <c r="F715" i="12"/>
  <c r="F716" i="12"/>
  <c r="F717" i="12"/>
  <c r="F718" i="12"/>
  <c r="F719" i="12"/>
  <c r="F720" i="12"/>
  <c r="F721" i="12"/>
  <c r="F722" i="12"/>
  <c r="F723" i="12"/>
  <c r="F724" i="12"/>
  <c r="F725" i="12"/>
  <c r="F726" i="12"/>
  <c r="F727" i="12"/>
  <c r="F728" i="12"/>
  <c r="F729" i="12"/>
  <c r="F730" i="12"/>
  <c r="F731" i="12"/>
  <c r="F732" i="12"/>
  <c r="F733" i="12"/>
  <c r="F734" i="12"/>
  <c r="F735" i="12"/>
  <c r="F736" i="12"/>
  <c r="F737" i="12"/>
  <c r="F738" i="12"/>
  <c r="F739" i="12"/>
  <c r="F740" i="12"/>
  <c r="F741" i="12"/>
  <c r="F742" i="12"/>
  <c r="F743" i="12"/>
  <c r="F744" i="12"/>
  <c r="F745" i="12"/>
  <c r="F746" i="12"/>
  <c r="F747" i="12"/>
  <c r="F748" i="12"/>
  <c r="F749" i="12"/>
  <c r="F750" i="12"/>
  <c r="F751" i="12"/>
  <c r="F752" i="12"/>
  <c r="F753" i="12"/>
  <c r="F754" i="12"/>
  <c r="F755" i="12"/>
  <c r="F756" i="12"/>
  <c r="F757" i="12"/>
  <c r="F758" i="12"/>
  <c r="F759" i="12"/>
  <c r="F760" i="12"/>
  <c r="F761" i="12"/>
  <c r="F762" i="12"/>
  <c r="F763" i="12"/>
  <c r="F764" i="12"/>
  <c r="F765" i="12"/>
  <c r="F766" i="12"/>
  <c r="F767" i="12"/>
  <c r="F768" i="12"/>
  <c r="F769" i="12"/>
  <c r="F770" i="12"/>
  <c r="F771" i="12"/>
  <c r="F772" i="12"/>
  <c r="F773" i="12"/>
  <c r="F774" i="12"/>
  <c r="F775" i="12"/>
  <c r="F776" i="12"/>
  <c r="F777" i="12"/>
  <c r="F778" i="12"/>
  <c r="F779" i="12"/>
  <c r="F780" i="12"/>
  <c r="F781" i="12"/>
  <c r="F782" i="12"/>
  <c r="F783" i="12"/>
  <c r="F784" i="12"/>
  <c r="F785" i="12"/>
  <c r="F786" i="12"/>
  <c r="F787" i="12"/>
  <c r="F788" i="12"/>
  <c r="F789" i="12"/>
  <c r="F790" i="12"/>
  <c r="F791" i="12"/>
  <c r="F792" i="12"/>
  <c r="F793" i="12"/>
  <c r="F794" i="12"/>
  <c r="F795" i="12"/>
  <c r="F796" i="12"/>
  <c r="F797" i="12"/>
  <c r="F798" i="12"/>
  <c r="F799" i="12"/>
  <c r="F800" i="12"/>
  <c r="F801" i="12"/>
  <c r="F802" i="12"/>
  <c r="F803" i="12"/>
  <c r="F804" i="12"/>
  <c r="F805" i="12"/>
  <c r="F806" i="12"/>
  <c r="F807" i="12"/>
  <c r="F808" i="12"/>
  <c r="F809" i="12"/>
  <c r="F810" i="12"/>
  <c r="F811" i="12"/>
  <c r="F812" i="12"/>
  <c r="F813" i="12"/>
  <c r="F814" i="12"/>
  <c r="F815" i="12"/>
  <c r="F816" i="12"/>
  <c r="F817" i="12"/>
  <c r="F818" i="12"/>
  <c r="F819" i="12"/>
  <c r="F820" i="12"/>
  <c r="F821" i="12"/>
  <c r="F822" i="12"/>
  <c r="F823" i="12"/>
  <c r="F824" i="12"/>
  <c r="F825" i="12"/>
  <c r="F826" i="12"/>
  <c r="F827" i="12"/>
  <c r="F828" i="12"/>
  <c r="F829" i="12"/>
  <c r="F830" i="12"/>
  <c r="F831" i="12"/>
  <c r="F832" i="12"/>
  <c r="F833" i="12"/>
  <c r="F834" i="12"/>
  <c r="F835" i="12"/>
  <c r="F836" i="12"/>
  <c r="F837" i="12"/>
  <c r="F838" i="12"/>
  <c r="F839" i="12"/>
  <c r="F840" i="12"/>
  <c r="F841" i="12"/>
  <c r="F842" i="12"/>
  <c r="F843" i="12"/>
  <c r="F844" i="12"/>
  <c r="F845" i="12"/>
  <c r="F846" i="12"/>
  <c r="F847" i="12"/>
  <c r="F848" i="12"/>
  <c r="F849" i="12"/>
  <c r="F850" i="12"/>
  <c r="F851" i="12"/>
  <c r="F852" i="12"/>
  <c r="F853" i="12"/>
  <c r="F854" i="12"/>
  <c r="F855" i="12"/>
  <c r="F856" i="12"/>
  <c r="F857" i="12"/>
  <c r="F858" i="12"/>
  <c r="F859" i="12"/>
  <c r="F860" i="12"/>
  <c r="F861" i="12"/>
  <c r="F862" i="12"/>
  <c r="F863" i="12"/>
  <c r="F864" i="12"/>
  <c r="F865" i="12"/>
  <c r="F866" i="12"/>
  <c r="F867" i="12"/>
  <c r="F868" i="12"/>
  <c r="F869" i="12"/>
  <c r="F870" i="12"/>
  <c r="F871" i="12"/>
  <c r="F872" i="12"/>
  <c r="F873" i="12"/>
  <c r="F874" i="12"/>
  <c r="F875" i="12"/>
  <c r="F876" i="12"/>
  <c r="F877" i="12"/>
  <c r="F878" i="12"/>
  <c r="F879" i="12"/>
  <c r="F880" i="12"/>
  <c r="F881" i="12"/>
  <c r="F882" i="12"/>
  <c r="F883" i="12"/>
  <c r="F884" i="12"/>
  <c r="F885" i="12"/>
  <c r="F886" i="12"/>
  <c r="F887" i="12"/>
  <c r="F888" i="12"/>
  <c r="F889" i="12"/>
  <c r="F890" i="12"/>
  <c r="F891" i="12"/>
  <c r="F892" i="12"/>
  <c r="F893" i="12"/>
  <c r="F894" i="12"/>
  <c r="F895" i="12"/>
  <c r="F896" i="12"/>
  <c r="F897" i="12"/>
  <c r="F898" i="12"/>
  <c r="F899" i="12"/>
  <c r="F900" i="12"/>
  <c r="F901" i="12"/>
  <c r="F902" i="12"/>
  <c r="F903" i="12"/>
  <c r="F904" i="12"/>
  <c r="F905" i="12"/>
  <c r="F906" i="12"/>
  <c r="F907" i="12"/>
  <c r="F908" i="12"/>
  <c r="F909" i="12"/>
  <c r="F910" i="12"/>
  <c r="F911" i="12"/>
  <c r="F912" i="12"/>
  <c r="F913" i="12"/>
  <c r="F914" i="12"/>
  <c r="F915" i="12"/>
  <c r="F916" i="12"/>
  <c r="F917" i="12"/>
  <c r="F918" i="12"/>
  <c r="F919" i="12"/>
  <c r="F920" i="12"/>
  <c r="F921" i="12"/>
  <c r="F922" i="12"/>
  <c r="F923" i="12"/>
  <c r="F924" i="12"/>
  <c r="F925" i="12"/>
  <c r="F926" i="12"/>
  <c r="F927" i="12"/>
  <c r="F928" i="12"/>
  <c r="F929" i="12"/>
  <c r="F930" i="12"/>
  <c r="F931" i="12"/>
  <c r="F932" i="12"/>
  <c r="F933" i="12"/>
  <c r="F934" i="12"/>
  <c r="F935" i="12"/>
  <c r="F936" i="12"/>
  <c r="F937" i="12"/>
  <c r="F938" i="12"/>
  <c r="F939" i="12"/>
  <c r="F940" i="12"/>
  <c r="F941" i="12"/>
  <c r="F942" i="12"/>
  <c r="F943" i="12"/>
  <c r="F944" i="12"/>
  <c r="F945" i="12"/>
  <c r="F946" i="12"/>
  <c r="F947" i="12"/>
  <c r="F948" i="12"/>
  <c r="F949" i="12"/>
  <c r="F950" i="12"/>
  <c r="F951" i="12"/>
  <c r="F952" i="12"/>
  <c r="F953" i="12"/>
  <c r="F954" i="12"/>
  <c r="F955" i="12"/>
  <c r="F956" i="12"/>
  <c r="F957" i="12"/>
  <c r="F958" i="12"/>
  <c r="F959" i="12"/>
  <c r="F960" i="12"/>
  <c r="F961" i="12"/>
  <c r="F962" i="12"/>
  <c r="F963" i="12"/>
  <c r="F964" i="12"/>
  <c r="F965" i="12"/>
  <c r="F966" i="12"/>
  <c r="F967" i="12"/>
  <c r="F968" i="12"/>
  <c r="F969" i="12"/>
  <c r="F970" i="12"/>
  <c r="F971" i="12"/>
  <c r="F972" i="12"/>
  <c r="F973" i="12"/>
  <c r="F974" i="12"/>
  <c r="F975" i="12"/>
  <c r="F976" i="12"/>
  <c r="F977" i="12"/>
  <c r="F978" i="12"/>
  <c r="F979" i="12"/>
  <c r="F980" i="12"/>
  <c r="F981" i="12"/>
  <c r="F982" i="12"/>
  <c r="F983" i="12"/>
  <c r="F984" i="12"/>
  <c r="F985" i="12"/>
  <c r="F986" i="12"/>
  <c r="F987" i="12"/>
  <c r="F988" i="12"/>
  <c r="F989" i="12"/>
  <c r="F990" i="12"/>
  <c r="F991" i="12"/>
  <c r="F992" i="12"/>
  <c r="F993" i="12"/>
  <c r="F994" i="12"/>
  <c r="F995" i="12"/>
  <c r="F996" i="12"/>
  <c r="F997" i="12"/>
  <c r="F998" i="12"/>
  <c r="F999" i="12"/>
  <c r="F1000" i="12"/>
  <c r="F1001" i="12"/>
  <c r="F1002" i="12"/>
  <c r="F1003" i="12"/>
  <c r="F1004" i="12"/>
  <c r="F1005" i="12"/>
  <c r="F1006" i="12"/>
  <c r="F1007" i="12"/>
  <c r="F1008" i="12"/>
  <c r="F1009" i="12"/>
  <c r="F1010" i="12"/>
  <c r="F1011" i="12"/>
  <c r="F1012" i="12"/>
  <c r="F1013" i="12"/>
  <c r="F1014" i="12"/>
  <c r="F1015" i="12"/>
  <c r="F1016" i="12"/>
  <c r="F1017" i="12"/>
  <c r="F1018" i="12"/>
  <c r="F1019" i="12"/>
  <c r="F1020" i="12"/>
  <c r="F1021" i="12"/>
  <c r="F1022" i="12"/>
  <c r="F1023" i="12"/>
  <c r="F1024" i="12"/>
  <c r="F1025" i="12"/>
  <c r="F1026" i="12"/>
  <c r="F1027" i="12"/>
  <c r="F1028" i="12"/>
  <c r="F1029" i="12"/>
  <c r="F1030" i="12"/>
  <c r="F1031" i="12"/>
  <c r="F1032" i="12"/>
  <c r="F1033" i="12"/>
  <c r="F1034" i="12"/>
  <c r="F1035" i="12"/>
  <c r="F1036" i="12"/>
  <c r="F1037" i="12"/>
  <c r="F1038" i="12"/>
  <c r="F1039" i="12"/>
  <c r="F1040" i="12"/>
  <c r="F1041" i="12"/>
  <c r="F1042" i="12"/>
  <c r="F1043" i="12"/>
  <c r="F1044" i="12"/>
  <c r="F1045" i="12"/>
  <c r="F1046" i="12"/>
  <c r="F1047" i="12"/>
  <c r="F1048" i="12"/>
  <c r="F1049" i="12"/>
  <c r="F1050" i="12"/>
  <c r="F1051" i="12"/>
  <c r="F1052" i="12"/>
  <c r="F1053" i="12"/>
  <c r="F1054" i="12"/>
  <c r="F1055" i="12"/>
  <c r="F1056" i="12"/>
  <c r="F1057" i="12"/>
  <c r="F1058" i="12"/>
  <c r="F1059" i="12"/>
  <c r="F1060" i="12"/>
  <c r="F1061" i="12"/>
  <c r="F1062" i="12"/>
  <c r="F1063" i="12"/>
  <c r="F1064" i="12"/>
  <c r="F1065" i="12"/>
  <c r="F1066" i="12"/>
  <c r="F1067" i="12"/>
  <c r="F1068" i="12"/>
  <c r="F1069" i="12"/>
  <c r="F1070" i="12"/>
  <c r="F1071" i="12"/>
  <c r="F1072" i="12"/>
  <c r="F1073" i="12"/>
  <c r="F1074" i="12"/>
  <c r="F1075" i="12"/>
  <c r="F1076" i="12"/>
  <c r="F1077" i="12"/>
  <c r="F1078" i="12"/>
  <c r="F1079" i="12"/>
  <c r="F1080" i="12"/>
  <c r="F1081" i="12"/>
  <c r="F1082" i="12"/>
  <c r="F1083" i="12"/>
  <c r="F1084" i="12"/>
  <c r="F1085" i="12"/>
  <c r="F1086" i="12"/>
  <c r="F1087" i="12"/>
  <c r="F1088" i="12"/>
  <c r="F1089" i="12"/>
  <c r="F1090" i="12"/>
  <c r="F1091" i="12"/>
  <c r="F1092" i="12"/>
  <c r="F1093" i="12"/>
  <c r="F1094" i="12"/>
  <c r="F1095" i="12"/>
  <c r="F1096" i="12"/>
  <c r="F1097" i="12"/>
  <c r="F1098" i="12"/>
  <c r="F1099" i="12"/>
  <c r="F1100" i="12"/>
  <c r="F1101" i="12"/>
  <c r="F1102" i="12"/>
  <c r="F1103" i="12"/>
  <c r="F1104" i="12"/>
  <c r="F1105" i="12"/>
  <c r="F1106" i="12"/>
  <c r="F1107" i="12"/>
  <c r="F1108" i="12"/>
  <c r="F1109" i="12"/>
  <c r="F1110" i="12"/>
  <c r="F1111" i="12"/>
  <c r="F1112" i="12"/>
  <c r="F1113" i="12"/>
  <c r="F1114" i="12"/>
  <c r="F1115" i="12"/>
  <c r="F1116" i="12"/>
  <c r="F1117" i="12"/>
  <c r="F1118" i="12"/>
  <c r="F1119" i="12"/>
  <c r="F1120" i="12"/>
  <c r="F1121" i="12"/>
  <c r="F1122" i="12"/>
  <c r="F1123" i="12"/>
  <c r="F1124" i="12"/>
  <c r="F1125" i="12"/>
  <c r="F1126" i="12"/>
  <c r="F1127" i="12"/>
  <c r="F1128" i="12"/>
  <c r="F1129" i="12"/>
  <c r="F1130" i="12"/>
  <c r="F1131" i="12"/>
  <c r="F1132" i="12"/>
  <c r="F1133" i="12"/>
  <c r="F1134" i="12"/>
  <c r="F1135" i="12"/>
  <c r="F1136" i="12"/>
  <c r="F1137" i="12"/>
  <c r="F1138" i="12"/>
  <c r="F1139" i="12"/>
  <c r="F1140" i="12"/>
  <c r="F1141" i="12"/>
  <c r="F1142" i="12"/>
  <c r="F1143" i="12"/>
  <c r="F1144" i="12"/>
  <c r="F1145" i="12"/>
  <c r="F1146" i="12"/>
  <c r="F1147" i="12"/>
  <c r="F1148" i="12"/>
  <c r="F1149" i="12"/>
  <c r="F1150" i="12"/>
  <c r="F1151" i="12"/>
  <c r="F1152" i="12"/>
  <c r="F1153" i="12"/>
  <c r="F1154" i="12"/>
  <c r="F1155" i="12"/>
  <c r="F1156" i="12"/>
  <c r="F1157" i="12"/>
  <c r="F1158" i="12"/>
  <c r="F1159" i="12"/>
  <c r="F1160" i="12"/>
  <c r="F1161" i="12"/>
  <c r="F1162" i="12"/>
  <c r="F1163" i="12"/>
  <c r="E1091" i="12"/>
  <c r="E23" i="12" l="1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405" i="12"/>
  <c r="E406" i="12"/>
  <c r="E407" i="12"/>
  <c r="E408" i="12"/>
  <c r="E409" i="12"/>
  <c r="E410" i="12"/>
  <c r="E411" i="12"/>
  <c r="E412" i="12"/>
  <c r="E413" i="12"/>
  <c r="E414" i="12"/>
  <c r="E415" i="12"/>
  <c r="E416" i="12"/>
  <c r="E417" i="12"/>
  <c r="E418" i="12"/>
  <c r="E419" i="12"/>
  <c r="E420" i="12"/>
  <c r="E421" i="12"/>
  <c r="E422" i="12"/>
  <c r="E423" i="12"/>
  <c r="E424" i="12"/>
  <c r="E425" i="12"/>
  <c r="E426" i="12"/>
  <c r="E427" i="12"/>
  <c r="E428" i="12"/>
  <c r="E429" i="12"/>
  <c r="E430" i="12"/>
  <c r="E431" i="12"/>
  <c r="E432" i="12"/>
  <c r="E433" i="12"/>
  <c r="E434" i="12"/>
  <c r="E435" i="12"/>
  <c r="E436" i="12"/>
  <c r="E437" i="12"/>
  <c r="E438" i="12"/>
  <c r="E439" i="12"/>
  <c r="E440" i="12"/>
  <c r="E441" i="12"/>
  <c r="E442" i="12"/>
  <c r="E443" i="12"/>
  <c r="E444" i="12"/>
  <c r="E445" i="12"/>
  <c r="E446" i="12"/>
  <c r="E447" i="12"/>
  <c r="E448" i="12"/>
  <c r="E449" i="12"/>
  <c r="E450" i="12"/>
  <c r="E451" i="12"/>
  <c r="E452" i="12"/>
  <c r="E453" i="12"/>
  <c r="E454" i="12"/>
  <c r="E455" i="12"/>
  <c r="E456" i="12"/>
  <c r="E457" i="12"/>
  <c r="E458" i="12"/>
  <c r="E459" i="12"/>
  <c r="E460" i="12"/>
  <c r="E461" i="12"/>
  <c r="E462" i="12"/>
  <c r="E463" i="12"/>
  <c r="E464" i="12"/>
  <c r="E465" i="12"/>
  <c r="E466" i="12"/>
  <c r="E467" i="12"/>
  <c r="E468" i="12"/>
  <c r="E469" i="12"/>
  <c r="E470" i="12"/>
  <c r="E471" i="12"/>
  <c r="E472" i="12"/>
  <c r="E473" i="12"/>
  <c r="E474" i="12"/>
  <c r="E475" i="12"/>
  <c r="E476" i="12"/>
  <c r="E477" i="12"/>
  <c r="E478" i="12"/>
  <c r="E479" i="12"/>
  <c r="E480" i="12"/>
  <c r="E481" i="12"/>
  <c r="E482" i="12"/>
  <c r="E483" i="12"/>
  <c r="E484" i="12"/>
  <c r="E485" i="12"/>
  <c r="E486" i="12"/>
  <c r="E487" i="12"/>
  <c r="E488" i="12"/>
  <c r="E489" i="12"/>
  <c r="E490" i="12"/>
  <c r="E491" i="12"/>
  <c r="E492" i="12"/>
  <c r="E493" i="12"/>
  <c r="E494" i="12"/>
  <c r="E495" i="12"/>
  <c r="E496" i="12"/>
  <c r="E497" i="12"/>
  <c r="E498" i="12"/>
  <c r="E499" i="12"/>
  <c r="E500" i="12"/>
  <c r="E501" i="12"/>
  <c r="E502" i="12"/>
  <c r="E503" i="12"/>
  <c r="E504" i="12"/>
  <c r="E505" i="12"/>
  <c r="E506" i="12"/>
  <c r="E507" i="12"/>
  <c r="E508" i="12"/>
  <c r="E509" i="12"/>
  <c r="E510" i="12"/>
  <c r="E511" i="12"/>
  <c r="E512" i="12"/>
  <c r="E513" i="12"/>
  <c r="E514" i="12"/>
  <c r="E515" i="12"/>
  <c r="E516" i="12"/>
  <c r="E517" i="12"/>
  <c r="E518" i="12"/>
  <c r="E519" i="12"/>
  <c r="E520" i="12"/>
  <c r="E521" i="12"/>
  <c r="E522" i="12"/>
  <c r="E523" i="12"/>
  <c r="E524" i="12"/>
  <c r="E525" i="12"/>
  <c r="E526" i="12"/>
  <c r="E527" i="12"/>
  <c r="E528" i="12"/>
  <c r="E529" i="12"/>
  <c r="E530" i="12"/>
  <c r="E531" i="12"/>
  <c r="E532" i="12"/>
  <c r="E533" i="12"/>
  <c r="E534" i="12"/>
  <c r="E535" i="12"/>
  <c r="E536" i="12"/>
  <c r="E537" i="12"/>
  <c r="E538" i="12"/>
  <c r="E539" i="12"/>
  <c r="E540" i="12"/>
  <c r="E541" i="12"/>
  <c r="E542" i="12"/>
  <c r="E543" i="12"/>
  <c r="E544" i="12"/>
  <c r="E545" i="12"/>
  <c r="E546" i="12"/>
  <c r="E547" i="12"/>
  <c r="E548" i="12"/>
  <c r="E549" i="12"/>
  <c r="E550" i="12"/>
  <c r="E551" i="12"/>
  <c r="E552" i="12"/>
  <c r="E553" i="12"/>
  <c r="E554" i="12"/>
  <c r="E555" i="12"/>
  <c r="E556" i="12"/>
  <c r="E557" i="12"/>
  <c r="E558" i="12"/>
  <c r="E559" i="12"/>
  <c r="E560" i="12"/>
  <c r="E561" i="12"/>
  <c r="E562" i="12"/>
  <c r="E563" i="12"/>
  <c r="E564" i="12"/>
  <c r="E565" i="12"/>
  <c r="E566" i="12"/>
  <c r="E567" i="12"/>
  <c r="E568" i="12"/>
  <c r="E569" i="12"/>
  <c r="E570" i="12"/>
  <c r="E571" i="12"/>
  <c r="E572" i="12"/>
  <c r="E573" i="12"/>
  <c r="E574" i="12"/>
  <c r="E575" i="12"/>
  <c r="E576" i="12"/>
  <c r="E577" i="12"/>
  <c r="E578" i="12"/>
  <c r="E579" i="12"/>
  <c r="E580" i="12"/>
  <c r="E581" i="12"/>
  <c r="E582" i="12"/>
  <c r="E583" i="12"/>
  <c r="E584" i="12"/>
  <c r="E585" i="12"/>
  <c r="E586" i="12"/>
  <c r="E587" i="12"/>
  <c r="E588" i="12"/>
  <c r="E589" i="12"/>
  <c r="E590" i="12"/>
  <c r="E591" i="12"/>
  <c r="E592" i="12"/>
  <c r="E593" i="12"/>
  <c r="E594" i="12"/>
  <c r="E595" i="12"/>
  <c r="E596" i="12"/>
  <c r="E597" i="12"/>
  <c r="E598" i="12"/>
  <c r="E599" i="12"/>
  <c r="E600" i="12"/>
  <c r="E601" i="12"/>
  <c r="E602" i="12"/>
  <c r="E603" i="12"/>
  <c r="E604" i="12"/>
  <c r="E605" i="12"/>
  <c r="E606" i="12"/>
  <c r="E607" i="12"/>
  <c r="E608" i="12"/>
  <c r="E609" i="12"/>
  <c r="E610" i="12"/>
  <c r="E611" i="12"/>
  <c r="E612" i="12"/>
  <c r="E613" i="12"/>
  <c r="E614" i="12"/>
  <c r="E615" i="12"/>
  <c r="E616" i="12"/>
  <c r="E617" i="12"/>
  <c r="E618" i="12"/>
  <c r="E619" i="12"/>
  <c r="E620" i="12"/>
  <c r="E621" i="12"/>
  <c r="E622" i="12"/>
  <c r="E623" i="12"/>
  <c r="E624" i="12"/>
  <c r="E625" i="12"/>
  <c r="E626" i="12"/>
  <c r="E627" i="12"/>
  <c r="E628" i="12"/>
  <c r="E629" i="12"/>
  <c r="E630" i="12"/>
  <c r="E631" i="12"/>
  <c r="E632" i="12"/>
  <c r="E633" i="12"/>
  <c r="E634" i="12"/>
  <c r="E635" i="12"/>
  <c r="E636" i="12"/>
  <c r="E637" i="12"/>
  <c r="E638" i="12"/>
  <c r="E639" i="12"/>
  <c r="E640" i="12"/>
  <c r="E641" i="12"/>
  <c r="E642" i="12"/>
  <c r="E643" i="12"/>
  <c r="E644" i="12"/>
  <c r="E645" i="12"/>
  <c r="E646" i="12"/>
  <c r="E647" i="12"/>
  <c r="E648" i="12"/>
  <c r="E649" i="12"/>
  <c r="E650" i="12"/>
  <c r="E651" i="12"/>
  <c r="E652" i="12"/>
  <c r="E653" i="12"/>
  <c r="E654" i="12"/>
  <c r="E655" i="12"/>
  <c r="E656" i="12"/>
  <c r="E657" i="12"/>
  <c r="E658" i="12"/>
  <c r="E659" i="12"/>
  <c r="E660" i="12"/>
  <c r="E661" i="12"/>
  <c r="E662" i="12"/>
  <c r="E663" i="12"/>
  <c r="E664" i="12"/>
  <c r="E665" i="12"/>
  <c r="E666" i="12"/>
  <c r="E667" i="12"/>
  <c r="E668" i="12"/>
  <c r="E669" i="12"/>
  <c r="E670" i="12"/>
  <c r="E671" i="12"/>
  <c r="E672" i="12"/>
  <c r="E673" i="12"/>
  <c r="E674" i="12"/>
  <c r="E675" i="12"/>
  <c r="E676" i="12"/>
  <c r="E677" i="12"/>
  <c r="E678" i="12"/>
  <c r="E679" i="12"/>
  <c r="E680" i="12"/>
  <c r="E681" i="12"/>
  <c r="E682" i="12"/>
  <c r="E683" i="12"/>
  <c r="E684" i="12"/>
  <c r="E685" i="12"/>
  <c r="E686" i="12"/>
  <c r="E687" i="12"/>
  <c r="E688" i="12"/>
  <c r="E689" i="12"/>
  <c r="E690" i="12"/>
  <c r="E691" i="12"/>
  <c r="E692" i="12"/>
  <c r="E693" i="12"/>
  <c r="E694" i="12"/>
  <c r="E695" i="12"/>
  <c r="E696" i="12"/>
  <c r="E697" i="12"/>
  <c r="E698" i="12"/>
  <c r="E699" i="12"/>
  <c r="E700" i="12"/>
  <c r="E701" i="12"/>
  <c r="E702" i="12"/>
  <c r="E703" i="12"/>
  <c r="E704" i="12"/>
  <c r="E705" i="12"/>
  <c r="E706" i="12"/>
  <c r="E707" i="12"/>
  <c r="E708" i="12"/>
  <c r="E709" i="12"/>
  <c r="E710" i="12"/>
  <c r="E711" i="12"/>
  <c r="E712" i="12"/>
  <c r="E713" i="12"/>
  <c r="E714" i="12"/>
  <c r="E715" i="12"/>
  <c r="E716" i="12"/>
  <c r="E717" i="12"/>
  <c r="E718" i="12"/>
  <c r="E719" i="12"/>
  <c r="E720" i="12"/>
  <c r="E721" i="12"/>
  <c r="E722" i="12"/>
  <c r="E723" i="12"/>
  <c r="E724" i="12"/>
  <c r="E725" i="12"/>
  <c r="E726" i="12"/>
  <c r="E727" i="12"/>
  <c r="E728" i="12"/>
  <c r="E729" i="12"/>
  <c r="E730" i="12"/>
  <c r="E731" i="12"/>
  <c r="E732" i="12"/>
  <c r="E733" i="12"/>
  <c r="E734" i="12"/>
  <c r="E735" i="12"/>
  <c r="E736" i="12"/>
  <c r="E737" i="12"/>
  <c r="E738" i="12"/>
  <c r="E739" i="12"/>
  <c r="E740" i="12"/>
  <c r="E741" i="12"/>
  <c r="E742" i="12"/>
  <c r="E743" i="12"/>
  <c r="E744" i="12"/>
  <c r="E745" i="12"/>
  <c r="E746" i="12"/>
  <c r="E747" i="12"/>
  <c r="E748" i="12"/>
  <c r="E749" i="12"/>
  <c r="E750" i="12"/>
  <c r="E751" i="12"/>
  <c r="E752" i="12"/>
  <c r="E753" i="12"/>
  <c r="E754" i="12"/>
  <c r="E755" i="12"/>
  <c r="E756" i="12"/>
  <c r="E757" i="12"/>
  <c r="E758" i="12"/>
  <c r="E759" i="12"/>
  <c r="E760" i="12"/>
  <c r="E761" i="12"/>
  <c r="E762" i="12"/>
  <c r="E763" i="12"/>
  <c r="E764" i="12"/>
  <c r="E765" i="12"/>
  <c r="E766" i="12"/>
  <c r="E767" i="12"/>
  <c r="E768" i="12"/>
  <c r="E769" i="12"/>
  <c r="E770" i="12"/>
  <c r="E771" i="12"/>
  <c r="E772" i="12"/>
  <c r="E773" i="12"/>
  <c r="E774" i="12"/>
  <c r="E775" i="12"/>
  <c r="E776" i="12"/>
  <c r="E777" i="12"/>
  <c r="E778" i="12"/>
  <c r="E779" i="12"/>
  <c r="E780" i="12"/>
  <c r="E781" i="12"/>
  <c r="E782" i="12"/>
  <c r="E783" i="12"/>
  <c r="E784" i="12"/>
  <c r="E785" i="12"/>
  <c r="E786" i="12"/>
  <c r="E787" i="12"/>
  <c r="E788" i="12"/>
  <c r="E789" i="12"/>
  <c r="E790" i="12"/>
  <c r="E791" i="12"/>
  <c r="E792" i="12"/>
  <c r="E793" i="12"/>
  <c r="E794" i="12"/>
  <c r="E795" i="12"/>
  <c r="E796" i="12"/>
  <c r="E797" i="12"/>
  <c r="E798" i="12"/>
  <c r="E799" i="12"/>
  <c r="E800" i="12"/>
  <c r="E801" i="12"/>
  <c r="E802" i="12"/>
  <c r="E803" i="12"/>
  <c r="E804" i="12"/>
  <c r="E805" i="12"/>
  <c r="E806" i="12"/>
  <c r="E807" i="12"/>
  <c r="E808" i="12"/>
  <c r="E809" i="12"/>
  <c r="E810" i="12"/>
  <c r="E811" i="12"/>
  <c r="E812" i="12"/>
  <c r="E813" i="12"/>
  <c r="E814" i="12"/>
  <c r="E815" i="12"/>
  <c r="E816" i="12"/>
  <c r="E817" i="12"/>
  <c r="E818" i="12"/>
  <c r="E819" i="12"/>
  <c r="E820" i="12"/>
  <c r="E821" i="12"/>
  <c r="E822" i="12"/>
  <c r="E823" i="12"/>
  <c r="E824" i="12"/>
  <c r="E825" i="12"/>
  <c r="E826" i="12"/>
  <c r="E827" i="12"/>
  <c r="E828" i="12"/>
  <c r="E829" i="12"/>
  <c r="E830" i="12"/>
  <c r="E831" i="12"/>
  <c r="E832" i="12"/>
  <c r="E833" i="12"/>
  <c r="E834" i="12"/>
  <c r="E835" i="12"/>
  <c r="E836" i="12"/>
  <c r="E837" i="12"/>
  <c r="E838" i="12"/>
  <c r="E839" i="12"/>
  <c r="E840" i="12"/>
  <c r="E841" i="12"/>
  <c r="E842" i="12"/>
  <c r="E843" i="12"/>
  <c r="E844" i="12"/>
  <c r="E845" i="12"/>
  <c r="E846" i="12"/>
  <c r="E847" i="12"/>
  <c r="E848" i="12"/>
  <c r="E849" i="12"/>
  <c r="E850" i="12"/>
  <c r="E851" i="12"/>
  <c r="E852" i="12"/>
  <c r="E853" i="12"/>
  <c r="E854" i="12"/>
  <c r="E855" i="12"/>
  <c r="E856" i="12"/>
  <c r="E857" i="12"/>
  <c r="E858" i="12"/>
  <c r="E859" i="12"/>
  <c r="E860" i="12"/>
  <c r="E861" i="12"/>
  <c r="E862" i="12"/>
  <c r="E863" i="12"/>
  <c r="E864" i="12"/>
  <c r="E865" i="12"/>
  <c r="E866" i="12"/>
  <c r="E867" i="12"/>
  <c r="E868" i="12"/>
  <c r="E869" i="12"/>
  <c r="E870" i="12"/>
  <c r="E871" i="12"/>
  <c r="E872" i="12"/>
  <c r="E873" i="12"/>
  <c r="E874" i="12"/>
  <c r="E875" i="12"/>
  <c r="E876" i="12"/>
  <c r="E877" i="12"/>
  <c r="E878" i="12"/>
  <c r="E879" i="12"/>
  <c r="E880" i="12"/>
  <c r="E881" i="12"/>
  <c r="E882" i="12"/>
  <c r="E883" i="12"/>
  <c r="E884" i="12"/>
  <c r="E885" i="12"/>
  <c r="E886" i="12"/>
  <c r="E887" i="12"/>
  <c r="E888" i="12"/>
  <c r="E889" i="12"/>
  <c r="E890" i="12"/>
  <c r="E891" i="12"/>
  <c r="E892" i="12"/>
  <c r="E893" i="12"/>
  <c r="E894" i="12"/>
  <c r="E895" i="12"/>
  <c r="E896" i="12"/>
  <c r="E897" i="12"/>
  <c r="E898" i="12"/>
  <c r="E899" i="12"/>
  <c r="E900" i="12"/>
  <c r="E901" i="12"/>
  <c r="E902" i="12"/>
  <c r="E903" i="12"/>
  <c r="E904" i="12"/>
  <c r="E905" i="12"/>
  <c r="E906" i="12"/>
  <c r="E907" i="12"/>
  <c r="E908" i="12"/>
  <c r="E909" i="12"/>
  <c r="E910" i="12"/>
  <c r="E911" i="12"/>
  <c r="E912" i="12"/>
  <c r="E913" i="12"/>
  <c r="E914" i="12"/>
  <c r="E915" i="12"/>
  <c r="E916" i="12"/>
  <c r="E917" i="12"/>
  <c r="E918" i="12"/>
  <c r="E919" i="12"/>
  <c r="E920" i="12"/>
  <c r="E921" i="12"/>
  <c r="E922" i="12"/>
  <c r="E923" i="12"/>
  <c r="E924" i="12"/>
  <c r="E925" i="12"/>
  <c r="E926" i="12"/>
  <c r="E927" i="12"/>
  <c r="E928" i="12"/>
  <c r="E929" i="12"/>
  <c r="E930" i="12"/>
  <c r="E931" i="12"/>
  <c r="E932" i="12"/>
  <c r="E933" i="12"/>
  <c r="E934" i="12"/>
  <c r="E935" i="12"/>
  <c r="E936" i="12"/>
  <c r="E937" i="12"/>
  <c r="E938" i="12"/>
  <c r="E939" i="12"/>
  <c r="E940" i="12"/>
  <c r="E941" i="12"/>
  <c r="E942" i="12"/>
  <c r="E943" i="12"/>
  <c r="E944" i="12"/>
  <c r="E945" i="12"/>
  <c r="E946" i="12"/>
  <c r="E947" i="12"/>
  <c r="E948" i="12"/>
  <c r="E949" i="12"/>
  <c r="E950" i="12"/>
  <c r="E951" i="12"/>
  <c r="E952" i="12"/>
  <c r="E953" i="12"/>
  <c r="E954" i="12"/>
  <c r="E955" i="12"/>
  <c r="E956" i="12"/>
  <c r="E957" i="12"/>
  <c r="E958" i="12"/>
  <c r="E959" i="12"/>
  <c r="E960" i="12"/>
  <c r="E961" i="12"/>
  <c r="E962" i="12"/>
  <c r="E963" i="12"/>
  <c r="E964" i="12"/>
  <c r="E965" i="12"/>
  <c r="E966" i="12"/>
  <c r="E967" i="12"/>
  <c r="E968" i="12"/>
  <c r="E969" i="12"/>
  <c r="E970" i="12"/>
  <c r="E971" i="12"/>
  <c r="E972" i="12"/>
  <c r="E973" i="12"/>
  <c r="E974" i="12"/>
  <c r="E975" i="12"/>
  <c r="E976" i="12"/>
  <c r="E977" i="12"/>
  <c r="E978" i="12"/>
  <c r="E979" i="12"/>
  <c r="E980" i="12"/>
  <c r="E981" i="12"/>
  <c r="E982" i="12"/>
  <c r="E983" i="12"/>
  <c r="E984" i="12"/>
  <c r="E985" i="12"/>
  <c r="E986" i="12"/>
  <c r="E987" i="12"/>
  <c r="E988" i="12"/>
  <c r="E989" i="12"/>
  <c r="E990" i="12"/>
  <c r="E991" i="12"/>
  <c r="E992" i="12"/>
  <c r="E993" i="12"/>
  <c r="E994" i="12"/>
  <c r="E995" i="12"/>
  <c r="E996" i="12"/>
  <c r="E997" i="12"/>
  <c r="E998" i="12"/>
  <c r="E999" i="12"/>
  <c r="E1000" i="12"/>
  <c r="E1001" i="12"/>
  <c r="E1002" i="12"/>
  <c r="E1003" i="12"/>
  <c r="E1004" i="12"/>
  <c r="E1005" i="12"/>
  <c r="E1006" i="12"/>
  <c r="E1007" i="12"/>
  <c r="E1008" i="12"/>
  <c r="E1009" i="12"/>
  <c r="E1010" i="12"/>
  <c r="E1011" i="12"/>
  <c r="E1012" i="12"/>
  <c r="E1013" i="12"/>
  <c r="E1014" i="12"/>
  <c r="E1015" i="12"/>
  <c r="E1016" i="12"/>
  <c r="E1017" i="12"/>
  <c r="E1018" i="12"/>
  <c r="E1019" i="12"/>
  <c r="E1020" i="12"/>
  <c r="E1021" i="12"/>
  <c r="E1022" i="12"/>
  <c r="E1023" i="12"/>
  <c r="E1024" i="12"/>
  <c r="E1025" i="12"/>
  <c r="E1026" i="12"/>
  <c r="E1027" i="12"/>
  <c r="E1028" i="12"/>
  <c r="E1029" i="12"/>
  <c r="E1030" i="12"/>
  <c r="E1031" i="12"/>
  <c r="E1032" i="12"/>
  <c r="E1033" i="12"/>
  <c r="E1034" i="12"/>
  <c r="E1035" i="12"/>
  <c r="E1036" i="12"/>
  <c r="E1037" i="12"/>
  <c r="E1038" i="12"/>
  <c r="E1039" i="12"/>
  <c r="E1040" i="12"/>
  <c r="E1041" i="12"/>
  <c r="E1042" i="12"/>
  <c r="E1043" i="12"/>
  <c r="E1044" i="12"/>
  <c r="E1045" i="12"/>
  <c r="E1046" i="12"/>
  <c r="E1047" i="12"/>
  <c r="E1048" i="12"/>
  <c r="E1049" i="12"/>
  <c r="E1050" i="12"/>
  <c r="E1051" i="12"/>
  <c r="E1052" i="12"/>
  <c r="E1053" i="12"/>
  <c r="E1054" i="12"/>
  <c r="E1055" i="12"/>
  <c r="E1056" i="12"/>
  <c r="E1057" i="12"/>
  <c r="E1058" i="12"/>
  <c r="E1059" i="12"/>
  <c r="E1060" i="12"/>
  <c r="E1061" i="12"/>
  <c r="E1062" i="12"/>
  <c r="E1063" i="12"/>
  <c r="E1064" i="12"/>
  <c r="E1065" i="12"/>
  <c r="E1066" i="12"/>
  <c r="E1067" i="12"/>
  <c r="E1068" i="12"/>
  <c r="E1069" i="12"/>
  <c r="E1070" i="12"/>
  <c r="E1071" i="12"/>
  <c r="E1072" i="12"/>
  <c r="E1073" i="12"/>
  <c r="E1074" i="12"/>
  <c r="E1075" i="12"/>
  <c r="E1076" i="12"/>
  <c r="E1077" i="12"/>
  <c r="E1080" i="12"/>
  <c r="E1081" i="12"/>
  <c r="E1082" i="12"/>
  <c r="E1083" i="12"/>
  <c r="E1084" i="12"/>
  <c r="E1085" i="12"/>
  <c r="E1086" i="12"/>
  <c r="E1087" i="12"/>
  <c r="E1088" i="12"/>
  <c r="E1089" i="12"/>
  <c r="E1090" i="12"/>
  <c r="E1093" i="12"/>
  <c r="E1094" i="12"/>
  <c r="E1095" i="12"/>
  <c r="E1096" i="12"/>
  <c r="E1097" i="12"/>
  <c r="E1098" i="12"/>
  <c r="E1099" i="12"/>
  <c r="E1100" i="12"/>
  <c r="E1101" i="12"/>
  <c r="E1102" i="12"/>
  <c r="E1103" i="12"/>
  <c r="E1104" i="12"/>
  <c r="E1105" i="12"/>
  <c r="E1106" i="12"/>
  <c r="E1107" i="12"/>
  <c r="E1108" i="12"/>
  <c r="E1109" i="12"/>
  <c r="E1110" i="12"/>
  <c r="E1111" i="12"/>
  <c r="E1112" i="12"/>
  <c r="E1113" i="12"/>
  <c r="E1114" i="12"/>
  <c r="E1115" i="12"/>
  <c r="E1116" i="12"/>
  <c r="E1117" i="12"/>
  <c r="E1118" i="12"/>
  <c r="E1119" i="12"/>
  <c r="E1120" i="12"/>
  <c r="E1121" i="12"/>
  <c r="E1122" i="12"/>
  <c r="E1123" i="12"/>
  <c r="E1124" i="12"/>
  <c r="E1125" i="12"/>
  <c r="E1126" i="12"/>
  <c r="E1127" i="12"/>
  <c r="E1128" i="12"/>
  <c r="E1129" i="12"/>
  <c r="E1130" i="12"/>
  <c r="E1131" i="12"/>
  <c r="E1132" i="12"/>
  <c r="E1133" i="12"/>
  <c r="E1134" i="12"/>
  <c r="E1135" i="12"/>
  <c r="E1136" i="12"/>
  <c r="E1137" i="12"/>
  <c r="E1138" i="12"/>
  <c r="E1139" i="12"/>
  <c r="E1140" i="12"/>
  <c r="E1141" i="12"/>
  <c r="E1142" i="12"/>
  <c r="E1143" i="12"/>
  <c r="E1144" i="12"/>
  <c r="E1145" i="12"/>
  <c r="E1146" i="12"/>
  <c r="E1147" i="12"/>
  <c r="E1148" i="12"/>
  <c r="E1149" i="12"/>
  <c r="E1150" i="12"/>
  <c r="E1151" i="12"/>
  <c r="E1152" i="12"/>
  <c r="E1153" i="12"/>
  <c r="E1154" i="12"/>
  <c r="E1155" i="12"/>
  <c r="E1156" i="12"/>
  <c r="G1156" i="12" s="1"/>
  <c r="E1157" i="12"/>
  <c r="E1158" i="12"/>
  <c r="E1159" i="12"/>
  <c r="E1160" i="12"/>
  <c r="E1161" i="12"/>
  <c r="E1162" i="12"/>
  <c r="G1162" i="12" s="1"/>
  <c r="E1163" i="12"/>
  <c r="E15" i="12"/>
  <c r="E16" i="12"/>
  <c r="E17" i="12"/>
  <c r="E18" i="12"/>
  <c r="E19" i="12"/>
  <c r="E20" i="12"/>
  <c r="E21" i="12"/>
  <c r="E22" i="12"/>
  <c r="E10" i="12"/>
  <c r="E11" i="12"/>
  <c r="E12" i="12"/>
  <c r="E13" i="12"/>
  <c r="E14" i="12"/>
  <c r="E3" i="12"/>
  <c r="E4" i="12"/>
  <c r="E5" i="12"/>
  <c r="E6" i="12"/>
  <c r="E7" i="12"/>
  <c r="E8" i="12"/>
  <c r="E9" i="12"/>
  <c r="E2" i="12"/>
  <c r="C1163" i="12" l="1"/>
  <c r="C1162" i="12"/>
  <c r="C1161" i="12"/>
  <c r="C1160" i="12"/>
  <c r="C1159" i="12"/>
  <c r="C1158" i="12"/>
  <c r="C1157" i="12"/>
  <c r="C1156" i="12"/>
  <c r="C1155" i="12"/>
  <c r="C1154" i="12"/>
  <c r="C1153" i="12"/>
  <c r="C1152" i="12"/>
  <c r="C1151" i="12"/>
  <c r="C1150" i="12"/>
  <c r="C1149" i="12"/>
  <c r="C1148" i="12"/>
  <c r="C1147" i="12"/>
  <c r="C1146" i="12"/>
  <c r="C1145" i="12"/>
  <c r="C1144" i="12"/>
  <c r="C1143" i="12"/>
  <c r="C1142" i="12"/>
  <c r="C1141" i="12"/>
  <c r="C1140" i="12"/>
  <c r="C1139" i="12"/>
  <c r="C1138" i="12"/>
  <c r="C1137" i="12"/>
  <c r="C1136" i="12"/>
  <c r="C1135" i="12"/>
  <c r="C1134" i="12"/>
  <c r="C1133" i="12"/>
  <c r="C1132" i="12"/>
  <c r="C1131" i="12"/>
  <c r="C1130" i="12"/>
  <c r="C1129" i="12"/>
  <c r="C1128" i="12"/>
  <c r="C1127" i="12"/>
  <c r="C1126" i="12"/>
  <c r="C1125" i="12"/>
  <c r="C1124" i="12"/>
  <c r="C1123" i="12"/>
  <c r="C1122" i="12"/>
  <c r="C1121" i="12"/>
  <c r="C1120" i="12"/>
  <c r="C1119" i="12"/>
  <c r="C1118" i="12"/>
  <c r="C1117" i="12"/>
  <c r="C1116" i="12"/>
  <c r="C1115" i="12"/>
  <c r="C1114" i="12"/>
  <c r="C1113" i="12"/>
  <c r="C1112" i="12"/>
  <c r="C1111" i="12"/>
  <c r="C1110" i="12"/>
  <c r="C1109" i="12"/>
  <c r="C1108" i="12"/>
  <c r="C1107" i="12"/>
  <c r="C1106" i="12"/>
  <c r="C1105" i="12"/>
  <c r="C1104" i="12"/>
  <c r="C1103" i="12"/>
  <c r="C1102" i="12"/>
  <c r="C1101" i="12"/>
  <c r="C1100" i="12"/>
  <c r="C1099" i="12"/>
  <c r="C1098" i="12"/>
  <c r="C1097" i="12"/>
  <c r="C1096" i="12"/>
  <c r="C1095" i="12"/>
  <c r="C1094" i="12"/>
  <c r="C1093" i="12"/>
  <c r="C1090" i="12"/>
  <c r="C1089" i="12"/>
  <c r="C1088" i="12"/>
  <c r="C1087" i="12"/>
  <c r="C1086" i="12"/>
  <c r="C1085" i="12"/>
  <c r="C1084" i="12"/>
  <c r="C1083" i="12"/>
  <c r="C1082" i="12"/>
  <c r="C1081" i="12"/>
  <c r="C1080" i="12"/>
  <c r="C1077" i="12"/>
  <c r="C1076" i="12"/>
  <c r="C1075" i="12"/>
  <c r="C1074" i="12"/>
  <c r="C1073" i="12"/>
  <c r="C1072" i="12"/>
  <c r="C1071" i="12"/>
  <c r="C1070" i="12"/>
  <c r="C1069" i="12"/>
  <c r="C1068" i="12"/>
  <c r="C1067" i="12"/>
  <c r="C1066" i="12"/>
  <c r="C1065" i="12"/>
  <c r="C1064" i="12"/>
  <c r="C1063" i="12"/>
  <c r="C1062" i="12"/>
  <c r="C1061" i="12"/>
  <c r="C1060" i="12"/>
  <c r="C1059" i="12"/>
  <c r="C1058" i="12"/>
  <c r="C1057" i="12"/>
  <c r="C1056" i="12"/>
  <c r="C1055" i="12"/>
  <c r="C1054" i="12"/>
  <c r="C1053" i="12"/>
  <c r="C1052" i="12"/>
  <c r="C1051" i="12"/>
  <c r="C1050" i="12"/>
  <c r="C1049" i="12"/>
  <c r="C1048" i="12"/>
  <c r="C1047" i="12"/>
  <c r="C1046" i="12"/>
  <c r="C1045" i="12"/>
  <c r="C1044" i="12"/>
  <c r="C1043" i="12"/>
  <c r="C1042" i="12"/>
  <c r="C1041" i="12"/>
  <c r="C1040" i="12"/>
  <c r="C1039" i="12"/>
  <c r="C1038" i="12"/>
  <c r="C1037" i="12"/>
  <c r="C1036" i="12"/>
  <c r="C1035" i="12"/>
  <c r="C1034" i="12"/>
  <c r="C1033" i="12"/>
  <c r="C1032" i="12"/>
  <c r="C1031" i="12"/>
  <c r="C1030" i="12"/>
  <c r="C1029" i="12"/>
  <c r="C1028" i="12"/>
  <c r="C1027" i="12"/>
  <c r="C1026" i="12"/>
  <c r="C1025" i="12"/>
  <c r="C1024" i="12"/>
  <c r="C1023" i="12"/>
  <c r="C1022" i="12"/>
  <c r="C1021" i="12"/>
  <c r="C1020" i="12"/>
  <c r="C1019" i="12"/>
  <c r="C1018" i="12"/>
  <c r="C1017" i="12"/>
  <c r="C1016" i="12"/>
  <c r="C1015" i="12"/>
  <c r="C1014" i="12"/>
  <c r="C1013" i="12"/>
  <c r="C1012" i="12"/>
  <c r="C1011" i="12"/>
  <c r="C1010" i="12"/>
  <c r="C1009" i="12"/>
  <c r="C1008" i="12"/>
  <c r="C1007" i="12"/>
  <c r="C1006" i="12"/>
  <c r="C1005" i="12"/>
  <c r="C1004" i="12"/>
  <c r="C1003" i="12"/>
  <c r="C1002" i="12"/>
  <c r="C1001" i="12"/>
  <c r="C1000" i="12"/>
  <c r="C999" i="12"/>
  <c r="C998" i="12"/>
  <c r="C997" i="12"/>
  <c r="C996" i="12"/>
  <c r="C995" i="12"/>
  <c r="C994" i="12"/>
  <c r="C993" i="12"/>
  <c r="C992" i="12"/>
  <c r="C991" i="12"/>
  <c r="C990" i="12"/>
  <c r="C989" i="12"/>
  <c r="C988" i="12"/>
  <c r="C987" i="12"/>
  <c r="C986" i="12"/>
  <c r="C985" i="12"/>
  <c r="C984" i="12"/>
  <c r="C983" i="12"/>
  <c r="C982" i="12"/>
  <c r="C981" i="12"/>
  <c r="C980" i="12"/>
  <c r="C979" i="12"/>
  <c r="C978" i="12"/>
  <c r="C977" i="12"/>
  <c r="C976" i="12"/>
  <c r="C975" i="12"/>
  <c r="C974" i="12"/>
  <c r="C973" i="12"/>
  <c r="C972" i="12"/>
  <c r="C971" i="12"/>
  <c r="C970" i="12"/>
  <c r="C969" i="12"/>
  <c r="C968" i="12"/>
  <c r="C967" i="12"/>
  <c r="C966" i="12"/>
  <c r="C965" i="12"/>
  <c r="C964" i="12"/>
  <c r="C963" i="12"/>
  <c r="C962" i="12"/>
  <c r="C961" i="12"/>
  <c r="C960" i="12"/>
  <c r="C959" i="12"/>
  <c r="C958" i="12"/>
  <c r="C957" i="12"/>
  <c r="C956" i="12"/>
  <c r="C955" i="12"/>
  <c r="C954" i="12"/>
  <c r="C953" i="12"/>
  <c r="C952" i="12"/>
  <c r="C951" i="12"/>
  <c r="C950" i="12"/>
  <c r="C949" i="12"/>
  <c r="C948" i="12"/>
  <c r="C947" i="12"/>
  <c r="C946" i="12"/>
  <c r="C945" i="12"/>
  <c r="C944" i="12"/>
  <c r="C943" i="12"/>
  <c r="C942" i="12"/>
  <c r="C941" i="12"/>
  <c r="C940" i="12"/>
  <c r="C939" i="12"/>
  <c r="C938" i="12"/>
  <c r="C937" i="12"/>
  <c r="C936" i="12"/>
  <c r="C935" i="12"/>
  <c r="C934" i="12"/>
  <c r="C933" i="12"/>
  <c r="C932" i="12"/>
  <c r="C931" i="12"/>
  <c r="C930" i="12"/>
  <c r="C929" i="12"/>
  <c r="C928" i="12"/>
  <c r="C927" i="12"/>
  <c r="C926" i="12"/>
  <c r="C925" i="12"/>
  <c r="C924" i="12"/>
  <c r="C923" i="12"/>
  <c r="C922" i="12"/>
  <c r="C921" i="12"/>
  <c r="C920" i="12"/>
  <c r="C919" i="12"/>
  <c r="C918" i="12"/>
  <c r="C917" i="12"/>
  <c r="C916" i="12"/>
  <c r="C915" i="12"/>
  <c r="C914" i="12"/>
  <c r="C913" i="12"/>
  <c r="C912" i="12"/>
  <c r="C911" i="12"/>
  <c r="C910" i="12"/>
  <c r="C909" i="12"/>
  <c r="C908" i="12"/>
  <c r="C907" i="12"/>
  <c r="C906" i="12"/>
  <c r="C905" i="12"/>
  <c r="C904" i="12"/>
  <c r="C903" i="12"/>
  <c r="C902" i="12"/>
  <c r="C901" i="12"/>
  <c r="C900" i="12"/>
  <c r="C899" i="12"/>
  <c r="C898" i="12"/>
  <c r="C897" i="12"/>
  <c r="C896" i="12"/>
  <c r="C895" i="12"/>
  <c r="C894" i="12"/>
  <c r="C893" i="12"/>
  <c r="C892" i="12"/>
  <c r="C891" i="12"/>
  <c r="C890" i="12"/>
  <c r="C889" i="12"/>
  <c r="C888" i="12"/>
  <c r="C887" i="12"/>
  <c r="C886" i="12"/>
  <c r="C885" i="12"/>
  <c r="C884" i="12"/>
  <c r="C883" i="12"/>
  <c r="C882" i="12"/>
  <c r="C881" i="12"/>
  <c r="C880" i="12"/>
  <c r="C879" i="12"/>
  <c r="C878" i="12"/>
  <c r="C877" i="12"/>
  <c r="C876" i="12"/>
  <c r="C875" i="12"/>
  <c r="C874" i="12"/>
  <c r="C873" i="12"/>
  <c r="C872" i="12"/>
  <c r="C871" i="12"/>
  <c r="C870" i="12"/>
  <c r="C869" i="12"/>
  <c r="C868" i="12"/>
  <c r="C867" i="12"/>
  <c r="C866" i="12"/>
  <c r="C865" i="12"/>
  <c r="C864" i="12"/>
  <c r="C863" i="12"/>
  <c r="C862" i="12"/>
  <c r="C861" i="12"/>
  <c r="C860" i="12"/>
  <c r="C859" i="12"/>
  <c r="C858" i="12"/>
  <c r="C857" i="12"/>
  <c r="C856" i="12"/>
  <c r="C855" i="12"/>
  <c r="C854" i="12"/>
  <c r="C853" i="12"/>
  <c r="C852" i="12"/>
  <c r="C851" i="12"/>
  <c r="C850" i="12"/>
  <c r="C849" i="12"/>
  <c r="C848" i="12"/>
  <c r="C847" i="12"/>
  <c r="C846" i="12"/>
  <c r="C845" i="12"/>
  <c r="C844" i="12"/>
  <c r="C843" i="12"/>
  <c r="C842" i="12"/>
  <c r="C841" i="12"/>
  <c r="C840" i="12"/>
  <c r="C839" i="12"/>
  <c r="C838" i="12"/>
  <c r="C837" i="12"/>
  <c r="C836" i="12"/>
  <c r="C835" i="12"/>
  <c r="C834" i="12"/>
  <c r="C833" i="12"/>
  <c r="C832" i="12"/>
  <c r="C831" i="12"/>
  <c r="C830" i="12"/>
  <c r="C829" i="12"/>
  <c r="C828" i="12"/>
  <c r="C827" i="12"/>
  <c r="C826" i="12"/>
  <c r="C825" i="12"/>
  <c r="C824" i="12"/>
  <c r="C823" i="12"/>
  <c r="C822" i="12"/>
  <c r="C821" i="12"/>
  <c r="C820" i="12"/>
  <c r="C819" i="12"/>
  <c r="C818" i="12"/>
  <c r="C817" i="12"/>
  <c r="C816" i="12"/>
  <c r="C815" i="12"/>
  <c r="C814" i="12"/>
  <c r="C813" i="12"/>
  <c r="C812" i="12"/>
  <c r="C811" i="12"/>
  <c r="C810" i="12"/>
  <c r="C809" i="12"/>
  <c r="C808" i="12"/>
  <c r="C807" i="12"/>
  <c r="C806" i="12"/>
  <c r="C805" i="12"/>
  <c r="C804" i="12"/>
  <c r="C803" i="12"/>
  <c r="C802" i="12"/>
  <c r="C801" i="12"/>
  <c r="C800" i="12"/>
  <c r="C799" i="12"/>
  <c r="C798" i="12"/>
  <c r="C797" i="12"/>
  <c r="C796" i="12"/>
  <c r="C795" i="12"/>
  <c r="C794" i="12"/>
  <c r="C793" i="12"/>
  <c r="C792" i="12"/>
  <c r="C791" i="12"/>
  <c r="C790" i="12"/>
  <c r="C789" i="12"/>
  <c r="C788" i="12"/>
  <c r="C787" i="12"/>
  <c r="C786" i="12"/>
  <c r="C785" i="12"/>
  <c r="C784" i="12"/>
  <c r="C783" i="12"/>
  <c r="C782" i="12"/>
  <c r="C781" i="12"/>
  <c r="C780" i="12"/>
  <c r="C779" i="12"/>
  <c r="C778" i="12"/>
  <c r="C777" i="12"/>
  <c r="C776" i="12"/>
  <c r="C775" i="12"/>
  <c r="C774" i="12"/>
  <c r="C773" i="12"/>
  <c r="C772" i="12"/>
  <c r="C771" i="12"/>
  <c r="C770" i="12"/>
  <c r="C769" i="12"/>
  <c r="C768" i="12"/>
  <c r="C767" i="12"/>
  <c r="C766" i="12"/>
  <c r="C765" i="12"/>
  <c r="C764" i="12"/>
  <c r="C763" i="12"/>
  <c r="C762" i="12"/>
  <c r="C761" i="12"/>
  <c r="C760" i="12"/>
  <c r="C759" i="12"/>
  <c r="C758" i="12"/>
  <c r="C757" i="12"/>
  <c r="C756" i="12"/>
  <c r="C755" i="12"/>
  <c r="C754" i="12"/>
  <c r="C753" i="12"/>
  <c r="C752" i="12"/>
  <c r="C751" i="12"/>
  <c r="C750" i="12"/>
  <c r="C749" i="12"/>
  <c r="C748" i="12"/>
  <c r="C747" i="12"/>
  <c r="C746" i="12"/>
  <c r="C745" i="12"/>
  <c r="C744" i="12"/>
  <c r="C743" i="12"/>
  <c r="C742" i="12"/>
  <c r="C741" i="12"/>
  <c r="C740" i="12"/>
  <c r="C739" i="12"/>
  <c r="C738" i="12"/>
  <c r="C737" i="12"/>
  <c r="C736" i="12"/>
  <c r="C735" i="12"/>
  <c r="C734" i="12"/>
  <c r="C733" i="12"/>
  <c r="C732" i="12"/>
  <c r="C731" i="12"/>
  <c r="C730" i="12"/>
  <c r="C729" i="12"/>
  <c r="C728" i="12"/>
  <c r="C727" i="12"/>
  <c r="C726" i="12"/>
  <c r="C725" i="12"/>
  <c r="C724" i="12"/>
  <c r="C723" i="12"/>
  <c r="C722" i="12"/>
  <c r="C721" i="12"/>
  <c r="C720" i="12"/>
  <c r="C719" i="12"/>
  <c r="C718" i="12"/>
  <c r="C717" i="12"/>
  <c r="C716" i="12"/>
  <c r="C715" i="12"/>
  <c r="C714" i="12"/>
  <c r="C713" i="12"/>
  <c r="C712" i="12"/>
  <c r="C711" i="12"/>
  <c r="C710" i="12"/>
  <c r="C709" i="12"/>
  <c r="C708" i="12"/>
  <c r="C707" i="12"/>
  <c r="C706" i="12"/>
  <c r="C705" i="12"/>
  <c r="C704" i="12"/>
  <c r="C703" i="12"/>
  <c r="C702" i="12"/>
  <c r="C701" i="12"/>
  <c r="C700" i="12"/>
  <c r="C699" i="12"/>
  <c r="C698" i="12"/>
  <c r="C697" i="12"/>
  <c r="C696" i="12"/>
  <c r="C695" i="12"/>
  <c r="C694" i="12"/>
  <c r="C693" i="12"/>
  <c r="C692" i="12"/>
  <c r="C691" i="12"/>
  <c r="C690" i="12"/>
  <c r="C689" i="12"/>
  <c r="C688" i="12"/>
  <c r="C687" i="12"/>
  <c r="C686" i="12"/>
  <c r="C685" i="12"/>
  <c r="C684" i="12"/>
  <c r="C683" i="12"/>
  <c r="C682" i="12"/>
  <c r="C681" i="12"/>
  <c r="C680" i="12"/>
  <c r="C679" i="12"/>
  <c r="C678" i="12"/>
  <c r="C677" i="12"/>
  <c r="C676" i="12"/>
  <c r="C675" i="12"/>
  <c r="C674" i="12"/>
  <c r="C673" i="12"/>
  <c r="C672" i="12"/>
  <c r="C671" i="12"/>
  <c r="C670" i="12"/>
  <c r="C669" i="12"/>
  <c r="C668" i="12"/>
  <c r="C667" i="12"/>
  <c r="C666" i="12"/>
  <c r="C665" i="12"/>
  <c r="C664" i="12"/>
  <c r="C663" i="12"/>
  <c r="C662" i="12"/>
  <c r="C661" i="12"/>
  <c r="C660" i="12"/>
  <c r="C659" i="12"/>
  <c r="C658" i="12"/>
  <c r="C657" i="12"/>
  <c r="C656" i="12"/>
  <c r="C655" i="12"/>
  <c r="C654" i="12"/>
  <c r="C653" i="12"/>
  <c r="C652" i="12"/>
  <c r="C651" i="12"/>
  <c r="C650" i="12"/>
  <c r="C649" i="12"/>
  <c r="C648" i="12"/>
  <c r="C647" i="12"/>
  <c r="C646" i="12"/>
  <c r="C645" i="12"/>
  <c r="C644" i="12"/>
  <c r="C643" i="12"/>
  <c r="C642" i="12"/>
  <c r="C641" i="12"/>
  <c r="C640" i="12"/>
  <c r="C639" i="12"/>
  <c r="C638" i="12"/>
  <c r="C637" i="12"/>
  <c r="C636" i="12"/>
  <c r="C635" i="12"/>
  <c r="C634" i="12"/>
  <c r="C633" i="12"/>
  <c r="C632" i="12"/>
  <c r="C631" i="12"/>
  <c r="C630" i="12"/>
  <c r="C629" i="12"/>
  <c r="C628" i="12"/>
  <c r="C627" i="12"/>
  <c r="C626" i="12"/>
  <c r="C625" i="12"/>
  <c r="C624" i="12"/>
  <c r="C623" i="12"/>
  <c r="C622" i="12"/>
  <c r="C621" i="12"/>
  <c r="C620" i="12"/>
  <c r="C619" i="12"/>
  <c r="C618" i="12"/>
  <c r="C617" i="12"/>
  <c r="C616" i="12"/>
  <c r="C615" i="12"/>
  <c r="C614" i="12"/>
  <c r="C613" i="12"/>
  <c r="C612" i="12"/>
  <c r="C611" i="12"/>
  <c r="C610" i="12"/>
  <c r="C609" i="12"/>
  <c r="C608" i="12"/>
  <c r="C607" i="12"/>
  <c r="C606" i="12"/>
  <c r="C605" i="12"/>
  <c r="C604" i="12"/>
  <c r="C603" i="12"/>
  <c r="C602" i="12"/>
  <c r="C601" i="12"/>
  <c r="C600" i="12"/>
  <c r="C599" i="12"/>
  <c r="C598" i="12"/>
  <c r="C597" i="12"/>
  <c r="C596" i="12"/>
  <c r="C595" i="12"/>
  <c r="C594" i="12"/>
  <c r="C593" i="12"/>
  <c r="C592" i="12"/>
  <c r="C591" i="12"/>
  <c r="C590" i="12"/>
  <c r="C589" i="12"/>
  <c r="C588" i="12"/>
  <c r="C587" i="12"/>
  <c r="C586" i="12"/>
  <c r="C585" i="12"/>
  <c r="C584" i="12"/>
  <c r="C583" i="12"/>
  <c r="C582" i="12"/>
  <c r="C581" i="12"/>
  <c r="C580" i="12"/>
  <c r="C579" i="12"/>
  <c r="C578" i="12"/>
  <c r="C577" i="12"/>
  <c r="C576" i="12"/>
  <c r="C575" i="12"/>
  <c r="C574" i="12"/>
  <c r="C573" i="12"/>
  <c r="C572" i="12"/>
  <c r="C571" i="12"/>
  <c r="C570" i="12"/>
  <c r="C569" i="12"/>
  <c r="C568" i="12"/>
  <c r="C567" i="12"/>
  <c r="C566" i="12"/>
  <c r="C565" i="12"/>
  <c r="C564" i="12"/>
  <c r="C563" i="12"/>
  <c r="C562" i="12"/>
  <c r="C561" i="12"/>
  <c r="C560" i="12"/>
  <c r="C559" i="12"/>
  <c r="C558" i="12"/>
  <c r="C557" i="12"/>
  <c r="C556" i="12"/>
  <c r="C555" i="12"/>
  <c r="C554" i="12"/>
  <c r="C553" i="12"/>
  <c r="C552" i="12"/>
  <c r="C551" i="12"/>
  <c r="C550" i="12"/>
  <c r="C549" i="12"/>
  <c r="C548" i="12"/>
  <c r="C547" i="12"/>
  <c r="C546" i="12"/>
  <c r="C545" i="12"/>
  <c r="C544" i="12"/>
  <c r="C543" i="12"/>
  <c r="C542" i="12"/>
  <c r="C541" i="12"/>
  <c r="C540" i="12"/>
  <c r="C539" i="12"/>
  <c r="C538" i="12"/>
  <c r="C537" i="12"/>
  <c r="C536" i="12"/>
  <c r="C535" i="12"/>
  <c r="C534" i="12"/>
  <c r="C533" i="12"/>
  <c r="C532" i="12"/>
  <c r="C531" i="12"/>
  <c r="C530" i="12"/>
  <c r="C529" i="12"/>
  <c r="C528" i="12"/>
  <c r="C527" i="12"/>
  <c r="C526" i="12"/>
  <c r="C525" i="12"/>
  <c r="C524" i="12"/>
  <c r="C523" i="12"/>
  <c r="C522" i="12"/>
  <c r="C521" i="12"/>
  <c r="C520" i="12"/>
  <c r="C519" i="12"/>
  <c r="C518" i="12"/>
  <c r="C517" i="12"/>
  <c r="C516" i="12"/>
  <c r="C515" i="12"/>
  <c r="C514" i="12"/>
  <c r="C513" i="12"/>
  <c r="C512" i="12"/>
  <c r="C511" i="12"/>
  <c r="C510" i="12"/>
  <c r="C509" i="12"/>
  <c r="C508" i="12"/>
  <c r="C507" i="12"/>
  <c r="C506" i="12"/>
  <c r="C505" i="12"/>
  <c r="C504" i="12"/>
  <c r="C503" i="12"/>
  <c r="C502" i="12"/>
  <c r="C501" i="12"/>
  <c r="C500" i="12"/>
  <c r="C499" i="12"/>
  <c r="C498" i="12"/>
  <c r="C497" i="12"/>
  <c r="C496" i="12"/>
  <c r="C495" i="12"/>
  <c r="C494" i="12"/>
  <c r="C493" i="12"/>
  <c r="C492" i="12"/>
  <c r="C491" i="12"/>
  <c r="C490" i="12"/>
  <c r="C489" i="12"/>
  <c r="C488" i="12"/>
  <c r="C487" i="12"/>
  <c r="C486" i="12"/>
  <c r="C485" i="12"/>
  <c r="C484" i="12"/>
  <c r="C483" i="12"/>
  <c r="C482" i="12"/>
  <c r="C481" i="12"/>
  <c r="C480" i="12"/>
  <c r="C479" i="12"/>
  <c r="C478" i="12"/>
  <c r="C477" i="12"/>
  <c r="C476" i="12"/>
  <c r="C475" i="12"/>
  <c r="C474" i="12"/>
  <c r="C473" i="12"/>
  <c r="C472" i="12"/>
  <c r="C471" i="12"/>
  <c r="C470" i="12"/>
  <c r="C469" i="12"/>
  <c r="C468" i="12"/>
  <c r="C467" i="12"/>
  <c r="C466" i="12"/>
  <c r="C465" i="12"/>
  <c r="C464" i="12"/>
  <c r="C463" i="12"/>
  <c r="C462" i="12"/>
  <c r="C461" i="12"/>
  <c r="C460" i="12"/>
  <c r="C459" i="12"/>
  <c r="C458" i="12"/>
  <c r="C457" i="12"/>
  <c r="C456" i="12"/>
  <c r="C455" i="12"/>
  <c r="C454" i="12"/>
  <c r="C453" i="12"/>
  <c r="C452" i="12"/>
  <c r="C451" i="12"/>
  <c r="C450" i="12"/>
  <c r="C449" i="12"/>
  <c r="C448" i="12"/>
  <c r="C447" i="12"/>
  <c r="C446" i="12"/>
  <c r="C445" i="12"/>
  <c r="C444" i="12"/>
  <c r="C443" i="12"/>
  <c r="C442" i="12"/>
  <c r="C441" i="12"/>
  <c r="C440" i="12"/>
  <c r="C439" i="12"/>
  <c r="C438" i="12"/>
  <c r="C437" i="12"/>
  <c r="C436" i="12"/>
  <c r="C435" i="12"/>
  <c r="C434" i="12"/>
  <c r="C433" i="12"/>
  <c r="C432" i="12"/>
  <c r="C431" i="12"/>
  <c r="C430" i="12"/>
  <c r="C429" i="12"/>
  <c r="C428" i="12"/>
  <c r="C427" i="12"/>
  <c r="C426" i="12"/>
  <c r="C425" i="12"/>
  <c r="C424" i="12"/>
  <c r="C423" i="12"/>
  <c r="C422" i="12"/>
  <c r="C421" i="12"/>
  <c r="C420" i="12"/>
  <c r="C419" i="12"/>
  <c r="C418" i="12"/>
  <c r="C417" i="12"/>
  <c r="C416" i="12"/>
  <c r="C415" i="12"/>
  <c r="C414" i="12"/>
  <c r="C413" i="12"/>
  <c r="C412" i="12"/>
  <c r="C411" i="12"/>
  <c r="C410" i="12"/>
  <c r="C409" i="12"/>
  <c r="C408" i="12"/>
  <c r="C407" i="12"/>
  <c r="C406" i="12"/>
  <c r="C405" i="12"/>
  <c r="C404" i="12"/>
  <c r="C403" i="12"/>
  <c r="C402" i="12"/>
  <c r="C401" i="12"/>
  <c r="C400" i="12"/>
  <c r="C399" i="12"/>
  <c r="C398" i="12"/>
  <c r="C397" i="12"/>
  <c r="C396" i="12"/>
  <c r="C395" i="12"/>
  <c r="C394" i="12"/>
  <c r="C393" i="12"/>
  <c r="C392" i="12"/>
  <c r="C391" i="12"/>
  <c r="C390" i="12"/>
  <c r="C389" i="12"/>
  <c r="C388" i="12"/>
  <c r="C387" i="12"/>
  <c r="C386" i="12"/>
  <c r="C385" i="12"/>
  <c r="C384" i="12"/>
  <c r="C383" i="12"/>
  <c r="C382" i="12"/>
  <c r="C381" i="12"/>
  <c r="C380" i="12"/>
  <c r="C379" i="12"/>
  <c r="C378" i="12"/>
  <c r="C377" i="12"/>
  <c r="C376" i="12"/>
  <c r="C375" i="12"/>
  <c r="C374" i="12"/>
  <c r="C373" i="12"/>
  <c r="C372" i="12"/>
  <c r="C371" i="12"/>
  <c r="C370" i="12"/>
  <c r="C369" i="12"/>
  <c r="C368" i="12"/>
  <c r="C367" i="12"/>
  <c r="C366" i="12"/>
  <c r="C365" i="12"/>
  <c r="C364" i="12"/>
  <c r="C363" i="12"/>
  <c r="C362" i="12"/>
  <c r="C361" i="12"/>
  <c r="C360" i="12"/>
  <c r="C359" i="12"/>
  <c r="C358" i="12"/>
  <c r="C357" i="12"/>
  <c r="C356" i="12"/>
  <c r="C355" i="12"/>
  <c r="C354" i="12"/>
  <c r="C353" i="12"/>
  <c r="C352" i="12"/>
  <c r="C351" i="12"/>
  <c r="C350" i="12"/>
  <c r="C349" i="12"/>
  <c r="C348" i="12"/>
  <c r="C347" i="12"/>
  <c r="C346" i="12"/>
  <c r="C345" i="12"/>
  <c r="C344" i="12"/>
  <c r="C343" i="12"/>
  <c r="C342" i="12"/>
  <c r="C341" i="12"/>
  <c r="C340" i="12"/>
  <c r="C339" i="12"/>
  <c r="C338" i="12"/>
  <c r="C337" i="12"/>
  <c r="C336" i="12"/>
  <c r="C335" i="12"/>
  <c r="C334" i="12"/>
  <c r="C333" i="12"/>
  <c r="C332" i="12"/>
  <c r="C331" i="12"/>
  <c r="C330" i="12"/>
  <c r="C329" i="12"/>
  <c r="C328" i="12"/>
  <c r="C327" i="12"/>
  <c r="C326" i="12"/>
  <c r="C325" i="12"/>
  <c r="C324" i="12"/>
  <c r="C323" i="12"/>
  <c r="C322" i="12"/>
  <c r="C321" i="12"/>
  <c r="C320" i="12"/>
  <c r="C319" i="12"/>
  <c r="C318" i="12"/>
  <c r="C317" i="12"/>
  <c r="C316" i="12"/>
  <c r="C315" i="12"/>
  <c r="C314" i="12"/>
  <c r="C313" i="12"/>
  <c r="C312" i="12"/>
  <c r="C311" i="12"/>
  <c r="C310" i="12"/>
  <c r="C309" i="12"/>
  <c r="C308" i="12"/>
  <c r="C307" i="12"/>
  <c r="C306" i="12"/>
  <c r="C305" i="12"/>
  <c r="C304" i="12"/>
  <c r="C303" i="12"/>
  <c r="C302" i="12"/>
  <c r="C301" i="12"/>
  <c r="C300" i="12"/>
  <c r="C299" i="12"/>
  <c r="C298" i="12"/>
  <c r="C297" i="12"/>
  <c r="C296" i="12"/>
  <c r="C295" i="12"/>
  <c r="C294" i="12"/>
  <c r="C293" i="12"/>
  <c r="C292" i="12"/>
  <c r="C291" i="12"/>
  <c r="C290" i="12"/>
  <c r="C289" i="12"/>
  <c r="C288" i="12"/>
  <c r="C287" i="12"/>
  <c r="C286" i="12"/>
  <c r="C285" i="12"/>
  <c r="C284" i="12"/>
  <c r="C283" i="12"/>
  <c r="C282" i="12"/>
  <c r="C281" i="12"/>
  <c r="C280" i="12"/>
  <c r="C279" i="12"/>
  <c r="C278" i="12"/>
  <c r="C277" i="12"/>
  <c r="C276" i="12"/>
  <c r="C275" i="12"/>
  <c r="C274" i="12"/>
  <c r="C273" i="12"/>
  <c r="C272" i="12"/>
  <c r="C271" i="12"/>
  <c r="C270" i="12"/>
  <c r="C269" i="12"/>
  <c r="C268" i="12"/>
  <c r="C267" i="12"/>
  <c r="C266" i="12"/>
  <c r="C265" i="12"/>
  <c r="C264" i="12"/>
  <c r="C263" i="12"/>
  <c r="C262" i="12"/>
  <c r="C261" i="12"/>
  <c r="C260" i="12"/>
  <c r="C259" i="12"/>
  <c r="C258" i="12"/>
  <c r="C255" i="12"/>
  <c r="C254" i="12"/>
  <c r="C253" i="12"/>
  <c r="C252" i="12"/>
  <c r="C251" i="12"/>
  <c r="C250" i="12"/>
  <c r="C249" i="12"/>
  <c r="C248" i="12"/>
  <c r="C247" i="12"/>
  <c r="C246" i="12"/>
  <c r="C245" i="12"/>
  <c r="C244" i="12"/>
  <c r="C243" i="12"/>
  <c r="C242" i="12"/>
  <c r="C241" i="12"/>
  <c r="C240" i="12"/>
  <c r="C239" i="12"/>
  <c r="C238" i="12"/>
  <c r="C237" i="12"/>
  <c r="C236" i="12"/>
  <c r="C235" i="12"/>
  <c r="C234" i="12"/>
  <c r="C233" i="12"/>
  <c r="C232" i="12"/>
  <c r="C231" i="12"/>
  <c r="C230" i="12"/>
  <c r="C229" i="12"/>
  <c r="C228" i="12"/>
  <c r="C227" i="12"/>
  <c r="C226" i="12"/>
  <c r="C225" i="12"/>
  <c r="C224" i="12"/>
  <c r="C223" i="12"/>
  <c r="C222" i="12"/>
  <c r="C221" i="12"/>
  <c r="C220" i="12"/>
  <c r="C219" i="12"/>
  <c r="C218" i="12"/>
  <c r="C217" i="12"/>
  <c r="C216" i="12"/>
  <c r="C215" i="12"/>
  <c r="C214" i="12"/>
  <c r="C213" i="12"/>
  <c r="C212" i="12"/>
  <c r="C211" i="12"/>
  <c r="C210" i="12"/>
  <c r="C209" i="12"/>
  <c r="C208" i="12"/>
  <c r="C207" i="12"/>
  <c r="C206" i="12"/>
  <c r="C205" i="12"/>
  <c r="C204" i="12"/>
  <c r="C203" i="12"/>
  <c r="C202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C185" i="12"/>
  <c r="C184" i="12"/>
  <c r="C183" i="12"/>
  <c r="C182" i="12"/>
  <c r="C181" i="12"/>
  <c r="C180" i="12"/>
  <c r="C179" i="12"/>
  <c r="C178" i="12"/>
  <c r="C177" i="12"/>
  <c r="C176" i="12"/>
  <c r="C175" i="12"/>
  <c r="C174" i="12"/>
  <c r="C173" i="12"/>
  <c r="C172" i="12"/>
  <c r="C171" i="12"/>
  <c r="C169" i="12"/>
  <c r="C168" i="12"/>
  <c r="C167" i="12"/>
  <c r="C166" i="12"/>
  <c r="C165" i="12"/>
  <c r="C164" i="12"/>
  <c r="C163" i="12"/>
  <c r="C162" i="12"/>
  <c r="C161" i="12"/>
  <c r="C160" i="12"/>
  <c r="C159" i="12"/>
  <c r="C158" i="12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2" i="12"/>
  <c r="C141" i="12"/>
  <c r="C140" i="12"/>
  <c r="C139" i="12"/>
  <c r="C138" i="12"/>
  <c r="C137" i="12"/>
  <c r="C136" i="12"/>
  <c r="C135" i="12"/>
  <c r="C134" i="12"/>
  <c r="C133" i="12"/>
  <c r="C132" i="12"/>
  <c r="C131" i="12"/>
  <c r="C130" i="12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G638" i="12"/>
  <c r="G635" i="12"/>
  <c r="G625" i="12"/>
  <c r="G573" i="12"/>
  <c r="G555" i="12"/>
  <c r="G511" i="12"/>
  <c r="G478" i="12"/>
  <c r="G451" i="12"/>
  <c r="G447" i="12"/>
  <c r="G398" i="12"/>
  <c r="G341" i="12"/>
  <c r="G339" i="12"/>
  <c r="G337" i="12"/>
  <c r="G336" i="12"/>
  <c r="G334" i="12"/>
  <c r="G333" i="12"/>
  <c r="G332" i="12"/>
  <c r="G330" i="12"/>
  <c r="G329" i="12"/>
  <c r="G328" i="12"/>
  <c r="G326" i="12"/>
  <c r="G325" i="12"/>
  <c r="G324" i="12"/>
  <c r="G322" i="12"/>
  <c r="G320" i="12"/>
  <c r="G319" i="12"/>
  <c r="G318" i="12"/>
  <c r="G317" i="12"/>
  <c r="G316" i="12"/>
  <c r="G314" i="12"/>
  <c r="G313" i="12"/>
  <c r="G310" i="12"/>
  <c r="G309" i="12"/>
  <c r="G308" i="12"/>
  <c r="G307" i="12"/>
  <c r="G306" i="12"/>
  <c r="G305" i="12"/>
  <c r="G304" i="12"/>
  <c r="G303" i="12"/>
  <c r="G302" i="12"/>
  <c r="G301" i="12"/>
  <c r="G300" i="12"/>
  <c r="G299" i="12"/>
  <c r="G298" i="12"/>
  <c r="G297" i="12"/>
  <c r="G296" i="12"/>
  <c r="G295" i="12"/>
  <c r="G294" i="12"/>
  <c r="G16" i="12"/>
  <c r="J16" i="12" s="1"/>
  <c r="G15" i="12"/>
  <c r="G14" i="12"/>
  <c r="G12" i="12"/>
  <c r="G9" i="12"/>
  <c r="G8" i="12"/>
  <c r="G7" i="12"/>
  <c r="G6" i="12"/>
  <c r="G5" i="12"/>
  <c r="G3" i="12"/>
  <c r="F2" i="12"/>
  <c r="G1078" i="12"/>
  <c r="D1078" i="12" s="1"/>
  <c r="G1079" i="12"/>
  <c r="D1079" i="12" s="1"/>
  <c r="G292" i="12" l="1"/>
  <c r="G291" i="12"/>
  <c r="G290" i="12"/>
  <c r="G289" i="12"/>
  <c r="G288" i="12"/>
  <c r="G287" i="12"/>
  <c r="G286" i="12"/>
  <c r="G285" i="12"/>
  <c r="G284" i="12"/>
  <c r="G283" i="12"/>
  <c r="G282" i="12"/>
  <c r="G281" i="12"/>
  <c r="G280" i="12"/>
  <c r="G279" i="12"/>
  <c r="G278" i="12"/>
  <c r="G277" i="12"/>
  <c r="G276" i="12"/>
  <c r="G275" i="12"/>
  <c r="G274" i="12"/>
  <c r="G273" i="12"/>
  <c r="G272" i="12"/>
  <c r="G271" i="12"/>
  <c r="G270" i="12"/>
  <c r="G269" i="12"/>
  <c r="G268" i="12"/>
  <c r="G267" i="12"/>
  <c r="G266" i="12"/>
  <c r="G265" i="12"/>
  <c r="G264" i="12"/>
  <c r="G263" i="12"/>
  <c r="G262" i="12"/>
  <c r="G261" i="12"/>
  <c r="G260" i="12"/>
  <c r="G259" i="12"/>
  <c r="G258" i="12"/>
  <c r="G257" i="12"/>
  <c r="G256" i="12"/>
  <c r="G255" i="12"/>
  <c r="G254" i="12"/>
  <c r="G253" i="12"/>
  <c r="G252" i="12"/>
  <c r="G251" i="12"/>
  <c r="G250" i="12"/>
  <c r="G249" i="12"/>
  <c r="G248" i="12"/>
  <c r="G247" i="12"/>
  <c r="G246" i="12"/>
  <c r="G245" i="12"/>
  <c r="G244" i="12"/>
  <c r="G243" i="12"/>
  <c r="G242" i="12"/>
  <c r="G241" i="12"/>
  <c r="G240" i="12"/>
  <c r="G239" i="12"/>
  <c r="G238" i="12"/>
  <c r="G237" i="12"/>
  <c r="G236" i="12"/>
  <c r="G235" i="12"/>
  <c r="G234" i="12"/>
  <c r="G233" i="12"/>
  <c r="G232" i="12"/>
  <c r="G231" i="12"/>
  <c r="G230" i="12"/>
  <c r="G229" i="12"/>
  <c r="G228" i="12"/>
  <c r="G227" i="12"/>
  <c r="G226" i="12"/>
  <c r="G225" i="12"/>
  <c r="G224" i="12"/>
  <c r="G223" i="12"/>
  <c r="G222" i="12"/>
  <c r="G221" i="12"/>
  <c r="G220" i="12"/>
  <c r="G219" i="12"/>
  <c r="G218" i="12"/>
  <c r="G217" i="12"/>
  <c r="G216" i="12"/>
  <c r="G215" i="12"/>
  <c r="G214" i="12"/>
  <c r="G213" i="12"/>
  <c r="G212" i="12"/>
  <c r="G211" i="12"/>
  <c r="G210" i="12"/>
  <c r="G209" i="12"/>
  <c r="G208" i="12"/>
  <c r="G207" i="12"/>
  <c r="G206" i="12"/>
  <c r="G205" i="12"/>
  <c r="G204" i="12"/>
  <c r="G203" i="12"/>
  <c r="G202" i="12"/>
  <c r="G201" i="12"/>
  <c r="G200" i="12"/>
  <c r="G199" i="12"/>
  <c r="G198" i="12"/>
  <c r="G197" i="12"/>
  <c r="G196" i="12"/>
  <c r="G195" i="12"/>
  <c r="G194" i="12"/>
  <c r="G193" i="12"/>
  <c r="G192" i="12"/>
  <c r="G191" i="12"/>
  <c r="G190" i="12"/>
  <c r="G189" i="12"/>
  <c r="G188" i="12"/>
  <c r="G187" i="12"/>
  <c r="G186" i="12"/>
  <c r="G185" i="12"/>
  <c r="G184" i="12"/>
  <c r="G183" i="12"/>
  <c r="G182" i="12"/>
  <c r="G181" i="12"/>
  <c r="G180" i="12"/>
  <c r="G179" i="12"/>
  <c r="G178" i="12"/>
  <c r="G177" i="12"/>
  <c r="G176" i="12"/>
  <c r="G175" i="12"/>
  <c r="G174" i="12"/>
  <c r="G173" i="12"/>
  <c r="G172" i="12"/>
  <c r="G171" i="12"/>
  <c r="G170" i="12"/>
  <c r="G169" i="12"/>
  <c r="G168" i="12"/>
  <c r="G167" i="12"/>
  <c r="G166" i="12"/>
  <c r="G165" i="12"/>
  <c r="G164" i="12"/>
  <c r="G163" i="12"/>
  <c r="G162" i="12"/>
  <c r="G161" i="12"/>
  <c r="G160" i="12"/>
  <c r="G159" i="12"/>
  <c r="G158" i="12"/>
  <c r="G157" i="12"/>
  <c r="G156" i="12"/>
  <c r="G155" i="12"/>
  <c r="G154" i="12"/>
  <c r="G153" i="12"/>
  <c r="G152" i="12"/>
  <c r="G151" i="12"/>
  <c r="G150" i="12"/>
  <c r="G149" i="12"/>
  <c r="G148" i="12"/>
  <c r="G147" i="12"/>
  <c r="G146" i="12"/>
  <c r="G145" i="12"/>
  <c r="G144" i="12"/>
  <c r="G143" i="12"/>
  <c r="G142" i="12"/>
  <c r="G141" i="12"/>
  <c r="G140" i="12"/>
  <c r="G139" i="12"/>
  <c r="G138" i="12"/>
  <c r="G137" i="12"/>
  <c r="G136" i="12"/>
  <c r="G135" i="12"/>
  <c r="G134" i="12"/>
  <c r="G133" i="12"/>
  <c r="G132" i="12"/>
  <c r="G131" i="12"/>
  <c r="G130" i="12"/>
  <c r="G129" i="12"/>
  <c r="G128" i="12"/>
  <c r="G127" i="12"/>
  <c r="G126" i="12"/>
  <c r="G125" i="12"/>
  <c r="G124" i="12"/>
  <c r="G123" i="12"/>
  <c r="G122" i="12"/>
  <c r="G121" i="12"/>
  <c r="G120" i="12"/>
  <c r="G119" i="12"/>
  <c r="G118" i="12"/>
  <c r="G117" i="12"/>
  <c r="G116" i="12"/>
  <c r="G115" i="12"/>
  <c r="G114" i="12"/>
  <c r="G113" i="12"/>
  <c r="G112" i="12"/>
  <c r="G111" i="12"/>
  <c r="G110" i="12"/>
  <c r="G109" i="12"/>
  <c r="G108" i="12"/>
  <c r="G107" i="12"/>
  <c r="G106" i="12"/>
  <c r="G105" i="12"/>
  <c r="G104" i="12"/>
  <c r="G103" i="12"/>
  <c r="G102" i="12"/>
  <c r="G101" i="12"/>
  <c r="G100" i="12"/>
  <c r="G99" i="12"/>
  <c r="G98" i="12"/>
  <c r="G97" i="12"/>
  <c r="G96" i="12"/>
  <c r="G95" i="12"/>
  <c r="G94" i="12"/>
  <c r="G93" i="12"/>
  <c r="G92" i="12"/>
  <c r="G91" i="12"/>
  <c r="G90" i="12"/>
  <c r="G89" i="12"/>
  <c r="G88" i="12"/>
  <c r="G87" i="12"/>
  <c r="G86" i="12"/>
  <c r="G85" i="12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G71" i="12"/>
  <c r="G70" i="12"/>
  <c r="G69" i="12"/>
  <c r="G68" i="12"/>
  <c r="G67" i="12"/>
  <c r="G66" i="12"/>
  <c r="G65" i="12"/>
  <c r="G64" i="12"/>
  <c r="G63" i="12"/>
  <c r="G62" i="12"/>
  <c r="G61" i="12"/>
  <c r="G60" i="12"/>
  <c r="G59" i="12"/>
  <c r="G58" i="12"/>
  <c r="G57" i="12"/>
  <c r="G56" i="12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778" i="12"/>
  <c r="G311" i="12"/>
  <c r="G987" i="12"/>
  <c r="G1157" i="12"/>
  <c r="G1108" i="12"/>
  <c r="G1097" i="12"/>
  <c r="G1068" i="12"/>
  <c r="G957" i="12"/>
  <c r="G861" i="12"/>
  <c r="G794" i="12"/>
  <c r="G642" i="12"/>
  <c r="G533" i="12"/>
  <c r="G483" i="12"/>
  <c r="G369" i="12"/>
  <c r="G338" i="12"/>
  <c r="G1146" i="12"/>
  <c r="G684" i="12"/>
  <c r="G399" i="12"/>
  <c r="G1150" i="12"/>
  <c r="G782" i="12"/>
  <c r="G598" i="12"/>
  <c r="G1120" i="12"/>
  <c r="G932" i="12"/>
  <c r="G737" i="12"/>
  <c r="G680" i="12"/>
  <c r="G651" i="12"/>
  <c r="G544" i="12"/>
  <c r="G443" i="12"/>
  <c r="G417" i="12"/>
  <c r="G1032" i="12"/>
  <c r="G960" i="12" l="1"/>
  <c r="G708" i="12"/>
  <c r="G1082" i="12"/>
  <c r="G797" i="12"/>
  <c r="G754" i="12"/>
  <c r="G683" i="12"/>
  <c r="G712" i="12"/>
  <c r="G699" i="12"/>
  <c r="G1085" i="12"/>
  <c r="G946" i="12"/>
  <c r="G411" i="12"/>
  <c r="G1069" i="12"/>
  <c r="G1014" i="12"/>
  <c r="G859" i="12"/>
  <c r="G472" i="12"/>
  <c r="G1134" i="12"/>
  <c r="G947" i="12"/>
  <c r="G890" i="12"/>
  <c r="G662" i="12"/>
  <c r="G520" i="12"/>
  <c r="G1052" i="12"/>
  <c r="G868" i="12"/>
  <c r="G1062" i="12"/>
  <c r="G1160" i="12"/>
  <c r="G726" i="12"/>
  <c r="G627" i="12"/>
  <c r="G484" i="12"/>
  <c r="G1004" i="12"/>
  <c r="G961" i="12"/>
  <c r="G871" i="12"/>
  <c r="G725" i="12"/>
  <c r="G663" i="12"/>
  <c r="G624" i="12"/>
  <c r="G507" i="12"/>
  <c r="G350" i="12"/>
  <c r="G331" i="12"/>
  <c r="G1002" i="12"/>
  <c r="G977" i="12"/>
  <c r="G867" i="12"/>
  <c r="G786" i="12"/>
  <c r="G655" i="12"/>
  <c r="G327" i="12"/>
  <c r="G714" i="12"/>
  <c r="G460" i="12"/>
  <c r="G956" i="12"/>
  <c r="G815" i="12"/>
  <c r="G576" i="12"/>
  <c r="G1099" i="12"/>
  <c r="G975" i="12"/>
  <c r="G805" i="12"/>
  <c r="G606" i="12"/>
  <c r="G473" i="12"/>
  <c r="G1128" i="12"/>
  <c r="G988" i="12"/>
  <c r="G763" i="12"/>
  <c r="G622" i="12"/>
  <c r="G366" i="12"/>
  <c r="G1127" i="12"/>
  <c r="G1040" i="12"/>
  <c r="G872" i="12"/>
  <c r="G716" i="12"/>
  <c r="G665" i="12"/>
  <c r="G595" i="12"/>
  <c r="G551" i="12"/>
  <c r="G452" i="12"/>
  <c r="G392" i="12"/>
  <c r="G321" i="12"/>
  <c r="G1153" i="12"/>
  <c r="G1090" i="12"/>
  <c r="G968" i="12"/>
  <c r="G674" i="12"/>
  <c r="G658" i="12"/>
  <c r="G564" i="12"/>
  <c r="G502" i="12"/>
  <c r="G435" i="12"/>
  <c r="G393" i="12"/>
  <c r="G1122" i="12"/>
  <c r="G1101" i="12"/>
  <c r="G1064" i="12"/>
  <c r="G1003" i="12"/>
  <c r="G980" i="12"/>
  <c r="G950" i="12"/>
  <c r="G941" i="12"/>
  <c r="G917" i="12"/>
  <c r="G903" i="12"/>
  <c r="G886" i="12"/>
  <c r="G853" i="12"/>
  <c r="G793" i="12"/>
  <c r="G785" i="12"/>
  <c r="G735" i="12"/>
  <c r="G731" i="12"/>
  <c r="G653" i="12"/>
  <c r="G631" i="12"/>
  <c r="G610" i="12"/>
  <c r="G589" i="12"/>
  <c r="G562" i="12"/>
  <c r="G545" i="12"/>
  <c r="G532" i="12"/>
  <c r="G453" i="12"/>
  <c r="G450" i="12"/>
  <c r="G416" i="12"/>
  <c r="G402" i="12"/>
  <c r="G386" i="12"/>
  <c r="G379" i="12"/>
  <c r="G370" i="12"/>
  <c r="G347" i="12"/>
  <c r="G323" i="12"/>
  <c r="G13" i="12"/>
  <c r="G1121" i="12"/>
  <c r="G1105" i="12"/>
  <c r="G1100" i="12"/>
  <c r="G1087" i="12"/>
  <c r="G1080" i="12"/>
  <c r="G1072" i="12"/>
  <c r="G1065" i="12"/>
  <c r="G1053" i="12"/>
  <c r="G1046" i="12"/>
  <c r="G1037" i="12"/>
  <c r="G1027" i="12"/>
  <c r="G1022" i="12"/>
  <c r="G1012" i="12"/>
  <c r="G997" i="12"/>
  <c r="G986" i="12"/>
  <c r="G981" i="12"/>
  <c r="G972" i="12"/>
  <c r="G962" i="12"/>
  <c r="G958" i="12"/>
  <c r="G942" i="12"/>
  <c r="G936" i="12"/>
  <c r="G916" i="12"/>
  <c r="G905" i="12"/>
  <c r="G902" i="12"/>
  <c r="G899" i="12"/>
  <c r="G893" i="12"/>
  <c r="G880" i="12"/>
  <c r="G875" i="12"/>
  <c r="G858" i="12"/>
  <c r="G852" i="12"/>
  <c r="G839" i="12"/>
  <c r="G831" i="12"/>
  <c r="G817" i="12"/>
  <c r="G802" i="12"/>
  <c r="G776" i="12"/>
  <c r="G771" i="12"/>
  <c r="G767" i="12"/>
  <c r="G747" i="12"/>
  <c r="G727" i="12"/>
  <c r="G719" i="12"/>
  <c r="G709" i="12"/>
  <c r="G703" i="12"/>
  <c r="G697" i="12"/>
  <c r="G689" i="12"/>
  <c r="G672" i="12"/>
  <c r="G668" i="12"/>
  <c r="G664" i="12"/>
  <c r="G643" i="12"/>
  <c r="G637" i="12"/>
  <c r="G632" i="12"/>
  <c r="G615" i="12"/>
  <c r="G609" i="12"/>
  <c r="G597" i="12"/>
  <c r="G592" i="12"/>
  <c r="G590" i="12"/>
  <c r="G567" i="12"/>
  <c r="G563" i="12"/>
  <c r="G559" i="12"/>
  <c r="G550" i="12"/>
  <c r="G543" i="12"/>
  <c r="G530" i="12"/>
  <c r="G516" i="12"/>
  <c r="G512" i="12"/>
  <c r="G498" i="12"/>
  <c r="G491" i="12"/>
  <c r="G482" i="12"/>
  <c r="G465" i="12"/>
  <c r="G454" i="12"/>
  <c r="G444" i="12"/>
  <c r="G434" i="12"/>
  <c r="G427" i="12"/>
  <c r="G403" i="12"/>
  <c r="G391" i="12"/>
  <c r="G387" i="12"/>
  <c r="G365" i="12"/>
  <c r="G357" i="12"/>
  <c r="G351" i="12"/>
  <c r="G1125" i="12"/>
  <c r="G866" i="12"/>
  <c r="G696" i="12"/>
  <c r="G646" i="12"/>
  <c r="G588" i="12"/>
  <c r="G519" i="12"/>
  <c r="G424" i="12"/>
  <c r="G995" i="12"/>
  <c r="G821" i="12"/>
  <c r="G695" i="12"/>
  <c r="G1057" i="12"/>
  <c r="G966" i="12"/>
  <c r="G762" i="12"/>
  <c r="G676" i="12"/>
  <c r="G536" i="12"/>
  <c r="G422" i="12"/>
  <c r="G409" i="12"/>
  <c r="G360" i="12"/>
  <c r="G1073" i="12"/>
  <c r="G838" i="12"/>
  <c r="G679" i="12"/>
  <c r="G586" i="12"/>
  <c r="G459" i="12"/>
  <c r="G395" i="12"/>
  <c r="G992" i="12"/>
  <c r="G617" i="12"/>
  <c r="G488" i="12"/>
  <c r="G856" i="12"/>
  <c r="G865" i="12"/>
  <c r="G675" i="12"/>
  <c r="G587" i="12"/>
  <c r="G408" i="12"/>
  <c r="G1056" i="12"/>
  <c r="G940" i="12"/>
  <c r="G800" i="12"/>
  <c r="G707" i="12"/>
  <c r="G645" i="12"/>
  <c r="G535" i="12"/>
  <c r="G407" i="12"/>
  <c r="G1094" i="12"/>
  <c r="G974" i="12"/>
  <c r="G921" i="12"/>
  <c r="G822" i="12"/>
  <c r="G772" i="12"/>
  <c r="G739" i="12"/>
  <c r="G647" i="12"/>
  <c r="G599" i="12"/>
  <c r="G565" i="12"/>
  <c r="G458" i="12"/>
  <c r="G394" i="12"/>
  <c r="G359" i="12"/>
  <c r="G1045" i="12"/>
  <c r="G1058" i="12"/>
  <c r="G1044" i="12"/>
  <c r="G991" i="12"/>
  <c r="G920" i="12"/>
  <c r="G855" i="12"/>
  <c r="G825" i="12"/>
  <c r="G799" i="12"/>
  <c r="G768" i="12"/>
  <c r="G752" i="12"/>
  <c r="G743" i="12"/>
  <c r="G657" i="12"/>
  <c r="G634" i="12"/>
  <c r="G618" i="12"/>
  <c r="G566" i="12"/>
  <c r="G518" i="12"/>
  <c r="G487" i="12"/>
  <c r="G448" i="12"/>
  <c r="G406" i="12"/>
  <c r="G381" i="12"/>
  <c r="G368" i="12"/>
  <c r="G335" i="12"/>
  <c r="G293" i="12"/>
  <c r="G11" i="12"/>
  <c r="G4" i="12"/>
  <c r="G1148" i="12"/>
  <c r="G826" i="12"/>
  <c r="G784" i="12"/>
  <c r="G604" i="12"/>
  <c r="G996" i="12"/>
  <c r="G906" i="12"/>
  <c r="G894" i="12"/>
  <c r="G816" i="12"/>
  <c r="G1047" i="12"/>
  <c r="G549" i="12"/>
  <c r="G499" i="12"/>
  <c r="G418" i="12"/>
  <c r="G390" i="12"/>
  <c r="G356" i="12"/>
  <c r="G315" i="12"/>
  <c r="G603" i="12"/>
  <c r="G428" i="12"/>
  <c r="G1039" i="12"/>
  <c r="G928" i="12"/>
  <c r="G1074" i="12"/>
  <c r="G973" i="12"/>
  <c r="G885" i="12"/>
  <c r="G837" i="12"/>
  <c r="G803" i="12"/>
  <c r="G736" i="12"/>
  <c r="G690" i="12"/>
  <c r="G671" i="12"/>
  <c r="G1112" i="12"/>
  <c r="G1038" i="12"/>
  <c r="G951" i="12"/>
  <c r="G927" i="12"/>
  <c r="G870" i="12"/>
  <c r="G833" i="12"/>
  <c r="G775" i="12"/>
  <c r="G751" i="12"/>
  <c r="G704" i="12"/>
  <c r="G677" i="12"/>
  <c r="G626" i="12"/>
  <c r="G605" i="12"/>
  <c r="G577" i="12"/>
  <c r="G558" i="12"/>
  <c r="G522" i="12"/>
  <c r="G495" i="12"/>
  <c r="G466" i="12"/>
  <c r="G433" i="12"/>
  <c r="G425" i="12"/>
  <c r="G378" i="12"/>
  <c r="G374" i="12"/>
  <c r="G1093" i="12"/>
  <c r="G1018" i="12"/>
  <c r="G952" i="12"/>
  <c r="G895" i="12"/>
  <c r="G769" i="12"/>
  <c r="G741" i="12"/>
  <c r="G594" i="12"/>
  <c r="G538" i="12"/>
  <c r="G485" i="12"/>
  <c r="G358" i="12"/>
  <c r="G1095" i="12"/>
  <c r="G1075" i="12"/>
  <c r="G1028" i="12"/>
  <c r="G967" i="12"/>
  <c r="G929" i="12"/>
  <c r="G912" i="12"/>
  <c r="G849" i="12"/>
  <c r="G842" i="12"/>
  <c r="G758" i="12"/>
  <c r="G715" i="12"/>
  <c r="G673" i="12"/>
  <c r="G648" i="12"/>
  <c r="G572" i="12"/>
  <c r="G526" i="12"/>
  <c r="G523" i="12"/>
  <c r="G479" i="12"/>
  <c r="G455" i="12"/>
  <c r="G383" i="12"/>
  <c r="G380" i="12"/>
  <c r="G348" i="12"/>
  <c r="G1113" i="12"/>
  <c r="G371" i="12"/>
  <c r="G1042" i="12"/>
  <c r="G937" i="12"/>
  <c r="G907" i="12"/>
  <c r="G827" i="12"/>
  <c r="G744" i="12"/>
  <c r="G628" i="12"/>
  <c r="G534" i="12"/>
  <c r="G500" i="12"/>
  <c r="G445" i="12"/>
  <c r="G1126" i="12"/>
  <c r="G1106" i="12"/>
  <c r="G1026" i="12"/>
  <c r="G935" i="12"/>
  <c r="G892" i="12"/>
  <c r="G801" i="12"/>
  <c r="G740" i="12"/>
  <c r="G582" i="12"/>
  <c r="G571" i="12"/>
  <c r="G510" i="12"/>
  <c r="G470" i="12"/>
  <c r="G375" i="12"/>
  <c r="G1124" i="12"/>
  <c r="G985" i="12"/>
  <c r="G933" i="12"/>
  <c r="G898" i="12"/>
  <c r="G862" i="12"/>
  <c r="G820" i="12"/>
  <c r="G761" i="12"/>
  <c r="G691" i="12"/>
  <c r="G614" i="12"/>
  <c r="G578" i="12"/>
  <c r="G553" i="12"/>
  <c r="G529" i="12"/>
  <c r="G506" i="12"/>
  <c r="G471" i="12"/>
  <c r="G449" i="12"/>
  <c r="G423" i="12"/>
  <c r="G396" i="12"/>
  <c r="G342" i="12"/>
  <c r="G1041" i="12"/>
  <c r="G926" i="12"/>
  <c r="G879" i="12"/>
  <c r="G812" i="12"/>
  <c r="G667" i="12"/>
  <c r="G568" i="12"/>
  <c r="G505" i="12"/>
  <c r="G469" i="12"/>
  <c r="G397" i="12"/>
  <c r="G1011" i="12"/>
  <c r="G475" i="12"/>
  <c r="G911" i="12"/>
  <c r="G541" i="12"/>
  <c r="G889" i="12"/>
  <c r="G685" i="12"/>
  <c r="G652" i="12"/>
  <c r="G621" i="12"/>
  <c r="G593" i="12"/>
  <c r="G554" i="12"/>
  <c r="G521" i="12"/>
  <c r="G489" i="12"/>
  <c r="G439" i="12"/>
  <c r="G1086" i="12"/>
  <c r="G910" i="12"/>
  <c r="G810" i="12"/>
  <c r="G542" i="12"/>
  <c r="G412" i="12"/>
  <c r="G1015" i="12"/>
  <c r="G1137" i="12"/>
  <c r="G869" i="12"/>
  <c r="G756" i="12"/>
  <c r="G748" i="12"/>
  <c r="G636" i="12"/>
  <c r="G490" i="12"/>
  <c r="G440" i="12"/>
  <c r="G346" i="12"/>
  <c r="G1031" i="12"/>
  <c r="G1016" i="12"/>
  <c r="G1030" i="12"/>
  <c r="G948" i="12"/>
  <c r="G811" i="12"/>
  <c r="G789" i="12"/>
  <c r="G730" i="12"/>
  <c r="G620" i="12"/>
  <c r="G583" i="12"/>
  <c r="G477" i="12"/>
  <c r="G441" i="12"/>
  <c r="G364" i="12"/>
  <c r="G1119" i="12"/>
  <c r="G757" i="12"/>
  <c r="G584" i="12"/>
  <c r="G476" i="12"/>
  <c r="G363" i="12"/>
  <c r="G1088" i="12"/>
  <c r="G922" i="12"/>
  <c r="G909" i="12"/>
  <c r="G888" i="12"/>
  <c r="G857" i="12"/>
  <c r="G686" i="12"/>
  <c r="G681" i="12"/>
  <c r="G537" i="12"/>
  <c r="G461" i="12"/>
  <c r="G410" i="12"/>
  <c r="G382" i="12"/>
  <c r="G1021" i="12"/>
  <c r="G874" i="12"/>
  <c r="G619" i="12"/>
  <c r="G462" i="12"/>
  <c r="G1051" i="12"/>
  <c r="G994" i="12"/>
  <c r="G701" i="12"/>
  <c r="G581" i="12"/>
  <c r="G524" i="12"/>
  <c r="G438" i="12"/>
  <c r="G385" i="12"/>
  <c r="G841" i="12"/>
  <c r="G1001" i="12"/>
  <c r="G970" i="12"/>
  <c r="G883" i="12"/>
  <c r="G809" i="12"/>
  <c r="G717" i="12"/>
  <c r="G601" i="12"/>
  <c r="G527" i="12"/>
  <c r="G415" i="12"/>
  <c r="G345" i="12"/>
  <c r="G1067" i="12"/>
  <c r="G971" i="12"/>
  <c r="G891" i="12"/>
  <c r="G746" i="12"/>
  <c r="G729" i="12"/>
  <c r="G706" i="12"/>
  <c r="G659" i="12"/>
  <c r="G580" i="12"/>
  <c r="G528" i="12"/>
  <c r="G437" i="12"/>
  <c r="G384" i="12"/>
  <c r="G1050" i="12"/>
  <c r="G1110" i="12"/>
  <c r="G419" i="12"/>
  <c r="G693" i="12"/>
  <c r="G999" i="12"/>
  <c r="G1109" i="12"/>
  <c r="G1115" i="12"/>
  <c r="G1103" i="12"/>
  <c r="G976" i="12"/>
  <c r="G840" i="12"/>
  <c r="G711" i="12"/>
  <c r="G670" i="12"/>
  <c r="G420" i="12"/>
  <c r="G1123" i="12"/>
  <c r="G919" i="12"/>
  <c r="G1006" i="12"/>
  <c r="G1043" i="12"/>
  <c r="G1005" i="12"/>
  <c r="G918" i="12"/>
  <c r="G854" i="12"/>
  <c r="G818" i="12"/>
  <c r="G795" i="12"/>
  <c r="G764" i="12"/>
  <c r="G745" i="12"/>
  <c r="G705" i="12"/>
  <c r="G633" i="12"/>
  <c r="G623" i="12"/>
  <c r="G574" i="12"/>
  <c r="G546" i="12"/>
  <c r="G497" i="12"/>
  <c r="G463" i="12"/>
  <c r="G405" i="12"/>
  <c r="G376" i="12"/>
  <c r="G352" i="12"/>
  <c r="G1083" i="12"/>
  <c r="G1102" i="12"/>
  <c r="G1066" i="12"/>
  <c r="G1059" i="12"/>
  <c r="G1054" i="12"/>
  <c r="G1049" i="12"/>
  <c r="G1023" i="12"/>
  <c r="G1019" i="12"/>
  <c r="G993" i="12"/>
  <c r="G982" i="12"/>
  <c r="G953" i="12"/>
  <c r="G949" i="12"/>
  <c r="G938" i="12"/>
  <c r="G934" i="12"/>
  <c r="G913" i="12"/>
  <c r="G908" i="12"/>
  <c r="G904" i="12"/>
  <c r="G900" i="12"/>
  <c r="G887" i="12"/>
  <c r="G881" i="12"/>
  <c r="G843" i="12"/>
  <c r="G834" i="12"/>
  <c r="G823" i="12"/>
  <c r="G804" i="12"/>
  <c r="G783" i="12"/>
  <c r="G777" i="12"/>
  <c r="G773" i="12"/>
  <c r="G759" i="12"/>
  <c r="G753" i="12"/>
  <c r="G742" i="12"/>
  <c r="G738" i="12"/>
  <c r="G728" i="12"/>
  <c r="G720" i="12"/>
  <c r="G700" i="12"/>
  <c r="G687" i="12"/>
  <c r="G682" i="12"/>
  <c r="G654" i="12"/>
  <c r="G649" i="12"/>
  <c r="G644" i="12"/>
  <c r="G639" i="12"/>
  <c r="G629" i="12"/>
  <c r="G616" i="12"/>
  <c r="G611" i="12"/>
  <c r="G600" i="12"/>
  <c r="G591" i="12"/>
  <c r="G579" i="12"/>
  <c r="G560" i="12"/>
  <c r="G556" i="12"/>
  <c r="G517" i="12"/>
  <c r="G508" i="12"/>
  <c r="G496" i="12"/>
  <c r="G486" i="12"/>
  <c r="G481" i="12"/>
  <c r="G467" i="12"/>
  <c r="G457" i="12"/>
  <c r="G446" i="12"/>
  <c r="G442" i="12"/>
  <c r="G436" i="12"/>
  <c r="G429" i="12"/>
  <c r="G413" i="12"/>
  <c r="G388" i="12"/>
  <c r="G343" i="12"/>
  <c r="G1114" i="12"/>
  <c r="G474" i="12"/>
  <c r="G788" i="12"/>
  <c r="G829" i="12"/>
  <c r="G1060" i="12"/>
  <c r="G1007" i="12"/>
  <c r="G924" i="12"/>
  <c r="G850" i="12"/>
  <c r="G798" i="12"/>
  <c r="G969" i="12"/>
  <c r="G983" i="12"/>
  <c r="G882" i="12"/>
  <c r="G779" i="12"/>
  <c r="G914" i="12"/>
  <c r="G806" i="12"/>
  <c r="G945" i="12"/>
  <c r="G860" i="12"/>
  <c r="G760" i="12"/>
  <c r="G722" i="12"/>
  <c r="G656" i="12"/>
  <c r="G602" i="12"/>
  <c r="G540" i="12"/>
  <c r="G468" i="12"/>
  <c r="G421" i="12"/>
  <c r="G344" i="12"/>
  <c r="G1055" i="12"/>
  <c r="G734" i="12"/>
  <c r="G1084" i="12"/>
  <c r="G1071" i="12"/>
  <c r="G1029" i="12"/>
  <c r="G1020" i="12"/>
  <c r="G1000" i="12"/>
  <c r="G984" i="12"/>
  <c r="G959" i="12"/>
  <c r="G939" i="12"/>
  <c r="G925" i="12"/>
  <c r="G901" i="12"/>
  <c r="G884" i="12"/>
  <c r="G873" i="12"/>
  <c r="G851" i="12"/>
  <c r="G830" i="12"/>
  <c r="G819" i="12"/>
  <c r="G792" i="12"/>
  <c r="G774" i="12"/>
  <c r="G770" i="12"/>
  <c r="G750" i="12"/>
  <c r="G733" i="12"/>
  <c r="G723" i="12"/>
  <c r="G688" i="12"/>
  <c r="G678" i="12"/>
  <c r="G666" i="12"/>
  <c r="G650" i="12"/>
  <c r="G630" i="12"/>
  <c r="G608" i="12"/>
  <c r="G596" i="12"/>
  <c r="G561" i="12"/>
  <c r="G552" i="12"/>
  <c r="G531" i="12"/>
  <c r="G525" i="12"/>
  <c r="G509" i="12"/>
  <c r="G494" i="12"/>
  <c r="G426" i="12"/>
  <c r="G401" i="12"/>
  <c r="G377" i="12"/>
  <c r="G362" i="12"/>
  <c r="G349" i="12"/>
  <c r="G340" i="12"/>
  <c r="G1104" i="12"/>
  <c r="G1009" i="12"/>
  <c r="G845" i="12"/>
  <c r="G548" i="12"/>
  <c r="G432" i="12"/>
  <c r="G1118" i="12"/>
  <c r="G1036" i="12"/>
  <c r="G1008" i="12"/>
  <c r="G930" i="12"/>
  <c r="G896" i="12"/>
  <c r="G846" i="12"/>
  <c r="G814" i="12"/>
  <c r="G766" i="12"/>
  <c r="G694" i="12"/>
  <c r="G613" i="12"/>
  <c r="G547" i="12"/>
  <c r="G515" i="12"/>
  <c r="G431" i="12"/>
  <c r="G373" i="12"/>
  <c r="G1117" i="12"/>
  <c r="G1048" i="12"/>
  <c r="G1034" i="12"/>
  <c r="G998" i="12"/>
  <c r="G963" i="12"/>
  <c r="G876" i="12"/>
  <c r="G813" i="12"/>
  <c r="G732" i="12"/>
  <c r="G660" i="12"/>
  <c r="G607" i="12"/>
  <c r="G570" i="12"/>
  <c r="G513" i="12"/>
  <c r="G480" i="12"/>
  <c r="G404" i="12"/>
  <c r="G353" i="12"/>
  <c r="G1107" i="12"/>
  <c r="G964" i="12"/>
  <c r="G944" i="12"/>
  <c r="G791" i="12"/>
  <c r="G692" i="12"/>
  <c r="G501" i="12"/>
  <c r="G367" i="12"/>
  <c r="G1033" i="12"/>
  <c r="G355" i="12"/>
  <c r="G1013" i="12"/>
  <c r="G943" i="12"/>
  <c r="G863" i="12"/>
  <c r="G790" i="12"/>
  <c r="G710" i="12"/>
  <c r="G569" i="12"/>
  <c r="G493" i="12"/>
  <c r="G400" i="12"/>
  <c r="G1096" i="12"/>
  <c r="G1024" i="12"/>
  <c r="G923" i="12"/>
  <c r="G864" i="12"/>
  <c r="G828" i="12"/>
  <c r="G749" i="12"/>
  <c r="G669" i="12"/>
  <c r="G585" i="12"/>
  <c r="G492" i="12"/>
  <c r="G456" i="12"/>
  <c r="G361" i="12"/>
  <c r="G1070" i="12"/>
  <c r="G1076" i="12"/>
  <c r="G979" i="12"/>
  <c r="G836" i="12"/>
  <c r="G755" i="12"/>
  <c r="G641" i="12"/>
  <c r="G575" i="12"/>
  <c r="G430" i="12"/>
  <c r="G897" i="12"/>
  <c r="G414" i="12"/>
  <c r="G514" i="12"/>
  <c r="G640" i="12"/>
  <c r="G765" i="12"/>
  <c r="G835" i="12"/>
  <c r="G931" i="12"/>
  <c r="G990" i="12"/>
  <c r="G1035" i="12"/>
  <c r="G372" i="12"/>
  <c r="G504" i="12"/>
  <c r="G724" i="12"/>
  <c r="G878" i="12"/>
  <c r="G1077" i="12"/>
  <c r="G1116" i="12"/>
  <c r="G1098" i="12"/>
  <c r="G1061" i="12"/>
  <c r="G1025" i="12"/>
  <c r="G989" i="12"/>
  <c r="G955" i="12"/>
  <c r="G915" i="12"/>
  <c r="G877" i="12"/>
  <c r="G844" i="12"/>
  <c r="G780" i="12"/>
  <c r="G713" i="12"/>
  <c r="G702" i="12"/>
  <c r="G661" i="12"/>
  <c r="G612" i="12"/>
  <c r="G557" i="12"/>
  <c r="G539" i="12"/>
  <c r="G503" i="12"/>
  <c r="G464" i="12"/>
  <c r="G389" i="12"/>
  <c r="G354" i="12"/>
  <c r="G312" i="12"/>
  <c r="G10" i="12"/>
  <c r="K1163" i="12" l="1"/>
  <c r="K1159" i="12"/>
  <c r="K1160" i="12"/>
  <c r="K1161" i="12"/>
  <c r="K1162" i="12"/>
  <c r="K1151" i="12"/>
  <c r="K1152" i="12"/>
  <c r="K1153" i="12"/>
  <c r="K1154" i="12"/>
  <c r="K1155" i="12"/>
  <c r="K1156" i="12"/>
  <c r="K1157" i="12"/>
  <c r="K1158" i="12"/>
  <c r="K1137" i="12"/>
  <c r="K1138" i="12"/>
  <c r="K1139" i="12"/>
  <c r="K1140" i="12"/>
  <c r="K1141" i="12"/>
  <c r="K1142" i="12"/>
  <c r="K1143" i="12"/>
  <c r="K1144" i="12"/>
  <c r="K1145" i="12"/>
  <c r="K1146" i="12"/>
  <c r="K1147" i="12"/>
  <c r="K1148" i="12"/>
  <c r="K1149" i="12"/>
  <c r="K1150" i="12"/>
  <c r="K1091" i="12"/>
  <c r="K1092" i="12"/>
  <c r="K1078" i="12"/>
  <c r="K1079" i="12"/>
  <c r="K1136" i="12"/>
  <c r="K1131" i="12"/>
  <c r="K1132" i="12"/>
  <c r="K1133" i="12"/>
  <c r="K1134" i="12"/>
  <c r="K1135" i="12"/>
  <c r="K1130" i="12"/>
  <c r="K1129" i="12"/>
  <c r="G1129" i="12"/>
  <c r="G1130" i="12"/>
  <c r="G1131" i="12"/>
  <c r="G1132" i="12"/>
  <c r="G1133" i="12"/>
  <c r="G1135" i="12"/>
  <c r="G1136" i="12"/>
  <c r="G1138" i="12"/>
  <c r="G1139" i="12"/>
  <c r="G1140" i="12"/>
  <c r="G1141" i="12"/>
  <c r="G1142" i="12"/>
  <c r="G1143" i="12"/>
  <c r="G1144" i="12"/>
  <c r="G1145" i="12"/>
  <c r="G1147" i="12"/>
  <c r="G1149" i="12"/>
  <c r="G1151" i="12"/>
  <c r="G1152" i="12"/>
  <c r="G1154" i="12"/>
  <c r="G1155" i="12"/>
  <c r="G1158" i="12"/>
  <c r="G1159" i="12"/>
  <c r="G1161" i="12"/>
  <c r="I1136" i="12"/>
  <c r="I1152" i="12"/>
  <c r="I1159" i="12"/>
  <c r="I1163" i="12"/>
  <c r="Q1163" i="12"/>
  <c r="O1163" i="12"/>
  <c r="G1163" i="12"/>
  <c r="Q1162" i="12"/>
  <c r="O1162" i="12"/>
  <c r="Q1161" i="12"/>
  <c r="O1161" i="12"/>
  <c r="Q1160" i="12"/>
  <c r="O1160" i="12"/>
  <c r="Q1159" i="12"/>
  <c r="O1159" i="12"/>
  <c r="H1158" i="12"/>
  <c r="O1158" i="12" s="1"/>
  <c r="Q1157" i="12"/>
  <c r="O1157" i="12"/>
  <c r="Q1156" i="12"/>
  <c r="O1156" i="12"/>
  <c r="Q1155" i="12"/>
  <c r="O1155" i="12"/>
  <c r="Q1154" i="12"/>
  <c r="O1154" i="12"/>
  <c r="Q1153" i="12"/>
  <c r="O1153" i="12"/>
  <c r="Q1152" i="12"/>
  <c r="O1152" i="12"/>
  <c r="Q1151" i="12"/>
  <c r="O1151" i="12"/>
  <c r="Q1150" i="12"/>
  <c r="O1150" i="12"/>
  <c r="Q1149" i="12"/>
  <c r="O1149" i="12"/>
  <c r="Q1148" i="12"/>
  <c r="O1148" i="12"/>
  <c r="Q1147" i="12"/>
  <c r="O1147" i="12"/>
  <c r="Q1146" i="12"/>
  <c r="O1146" i="12"/>
  <c r="Q1145" i="12"/>
  <c r="O1145" i="12"/>
  <c r="Q1144" i="12"/>
  <c r="O1144" i="12"/>
  <c r="Q1143" i="12"/>
  <c r="O1143" i="12"/>
  <c r="P1142" i="12"/>
  <c r="H1142" i="12"/>
  <c r="Q1141" i="12"/>
  <c r="O1141" i="12"/>
  <c r="Q1140" i="12"/>
  <c r="O1140" i="12"/>
  <c r="Q1139" i="12"/>
  <c r="O1139" i="12"/>
  <c r="Q1138" i="12"/>
  <c r="O1138" i="12"/>
  <c r="Q1137" i="12"/>
  <c r="O1137" i="12"/>
  <c r="Q1136" i="12"/>
  <c r="O1136" i="12"/>
  <c r="Q1135" i="12"/>
  <c r="O1135" i="12"/>
  <c r="Q1134" i="12"/>
  <c r="O1134" i="12"/>
  <c r="P1133" i="12"/>
  <c r="H1133" i="12"/>
  <c r="P1132" i="12"/>
  <c r="H1132" i="12"/>
  <c r="Q1131" i="12"/>
  <c r="O1131" i="12"/>
  <c r="Q1130" i="12"/>
  <c r="O1130" i="12"/>
  <c r="Q1129" i="12"/>
  <c r="O1129" i="12"/>
  <c r="G1091" i="12"/>
  <c r="G1092" i="12"/>
  <c r="Q1092" i="12"/>
  <c r="O1092" i="12"/>
  <c r="I1092" i="12"/>
  <c r="Q1091" i="12"/>
  <c r="O1091" i="12"/>
  <c r="I1091" i="12"/>
  <c r="K1093" i="12"/>
  <c r="K1094" i="12"/>
  <c r="K1095" i="12"/>
  <c r="K1096" i="12"/>
  <c r="K1097" i="12"/>
  <c r="K1098" i="12"/>
  <c r="K1099" i="12"/>
  <c r="K1100" i="12"/>
  <c r="K1101" i="12"/>
  <c r="K1102" i="12"/>
  <c r="K1103" i="12"/>
  <c r="K1104" i="12"/>
  <c r="K1105" i="12"/>
  <c r="K1106" i="12"/>
  <c r="K1107" i="12"/>
  <c r="K1108" i="12"/>
  <c r="K1109" i="12"/>
  <c r="K1110" i="12"/>
  <c r="K1111" i="12"/>
  <c r="K1112" i="12"/>
  <c r="K1113" i="12"/>
  <c r="K1114" i="12"/>
  <c r="K1115" i="12"/>
  <c r="K1116" i="12"/>
  <c r="K1117" i="12"/>
  <c r="K1118" i="12"/>
  <c r="K1119" i="12"/>
  <c r="K1120" i="12"/>
  <c r="K1121" i="12"/>
  <c r="K1122" i="12"/>
  <c r="K1123" i="12"/>
  <c r="K1124" i="12"/>
  <c r="K1125" i="12"/>
  <c r="K1126" i="12"/>
  <c r="K1127" i="12"/>
  <c r="K1128" i="12"/>
  <c r="K1084" i="12"/>
  <c r="K1085" i="12"/>
  <c r="K1086" i="12"/>
  <c r="K1087" i="12"/>
  <c r="K1088" i="12"/>
  <c r="K1089" i="12"/>
  <c r="K1090" i="12"/>
  <c r="G1089" i="12"/>
  <c r="G1111" i="12"/>
  <c r="I1097" i="12"/>
  <c r="I1108" i="12"/>
  <c r="I1110" i="12"/>
  <c r="Q1128" i="12"/>
  <c r="O1128" i="12"/>
  <c r="Q1127" i="12"/>
  <c r="O1127" i="12"/>
  <c r="Q1126" i="12"/>
  <c r="O1126" i="12"/>
  <c r="P1125" i="12"/>
  <c r="H1125" i="12"/>
  <c r="Q1124" i="12"/>
  <c r="O1124" i="12"/>
  <c r="Q1123" i="12"/>
  <c r="O1123" i="12"/>
  <c r="Q1122" i="12"/>
  <c r="O1122" i="12"/>
  <c r="P1121" i="12"/>
  <c r="H1121" i="12"/>
  <c r="Q1120" i="12"/>
  <c r="O1120" i="12"/>
  <c r="Q1119" i="12"/>
  <c r="O1119" i="12"/>
  <c r="Q1118" i="12"/>
  <c r="O1118" i="12"/>
  <c r="Q1117" i="12"/>
  <c r="O1117" i="12"/>
  <c r="Q1116" i="12"/>
  <c r="O1116" i="12"/>
  <c r="Q1115" i="12"/>
  <c r="O1115" i="12"/>
  <c r="Q1114" i="12"/>
  <c r="O1114" i="12"/>
  <c r="Q1113" i="12"/>
  <c r="O1113" i="12"/>
  <c r="Q1112" i="12"/>
  <c r="O1112" i="12"/>
  <c r="Q1111" i="12"/>
  <c r="O1111" i="12"/>
  <c r="Q1110" i="12"/>
  <c r="O1110" i="12"/>
  <c r="Q1109" i="12"/>
  <c r="O1109" i="12"/>
  <c r="Q1108" i="12"/>
  <c r="O1108" i="12"/>
  <c r="Q1107" i="12"/>
  <c r="O1107" i="12"/>
  <c r="Q1106" i="12"/>
  <c r="O1106" i="12"/>
  <c r="P1105" i="12"/>
  <c r="H1105" i="12"/>
  <c r="Q1104" i="12"/>
  <c r="O1104" i="12"/>
  <c r="Q1103" i="12"/>
  <c r="O1103" i="12"/>
  <c r="Q1102" i="12"/>
  <c r="O1102" i="12"/>
  <c r="P1101" i="12"/>
  <c r="H1101" i="12"/>
  <c r="P1100" i="12"/>
  <c r="H1100" i="12"/>
  <c r="Q1099" i="12"/>
  <c r="O1099" i="12"/>
  <c r="Q1098" i="12"/>
  <c r="O1098" i="12"/>
  <c r="Q1097" i="12"/>
  <c r="O1097" i="12"/>
  <c r="P1096" i="12"/>
  <c r="H1096" i="12"/>
  <c r="Q1095" i="12"/>
  <c r="O1095" i="12"/>
  <c r="Q1094" i="12"/>
  <c r="O1094" i="12"/>
  <c r="P1093" i="12"/>
  <c r="Q1093" i="12" s="1"/>
  <c r="Q1090" i="12"/>
  <c r="O1090" i="12"/>
  <c r="Q1089" i="12"/>
  <c r="O1089" i="12"/>
  <c r="Q1088" i="12"/>
  <c r="O1088" i="12"/>
  <c r="P1087" i="12"/>
  <c r="H1087" i="12"/>
  <c r="Q1086" i="12"/>
  <c r="O1086" i="12"/>
  <c r="Q1085" i="12"/>
  <c r="O1085" i="12"/>
  <c r="Q1084" i="12"/>
  <c r="O1084" i="12"/>
  <c r="K1080" i="12"/>
  <c r="K1081" i="12"/>
  <c r="K1082" i="12"/>
  <c r="K1083" i="12"/>
  <c r="Q1079" i="12"/>
  <c r="O1079" i="12"/>
  <c r="I1079" i="12"/>
  <c r="Q1078" i="12"/>
  <c r="O1078" i="12"/>
  <c r="I1078" i="12"/>
  <c r="K1077" i="12"/>
  <c r="K1076" i="12"/>
  <c r="K1075" i="12"/>
  <c r="K1074" i="12"/>
  <c r="K1073" i="12"/>
  <c r="K1072" i="12"/>
  <c r="K1071" i="12"/>
  <c r="K1070" i="12"/>
  <c r="K1069" i="12"/>
  <c r="K1068" i="12"/>
  <c r="K1067" i="12"/>
  <c r="K1066" i="12"/>
  <c r="K1065" i="12"/>
  <c r="K1064" i="12"/>
  <c r="K1063" i="12"/>
  <c r="K1062" i="12"/>
  <c r="K1061" i="12"/>
  <c r="K1060" i="12"/>
  <c r="K1059" i="12"/>
  <c r="K1058" i="12"/>
  <c r="K1057" i="12"/>
  <c r="K1056" i="12"/>
  <c r="K1055" i="12"/>
  <c r="K1054" i="12"/>
  <c r="K1053" i="12"/>
  <c r="K1052" i="12"/>
  <c r="K1051" i="12"/>
  <c r="K1050" i="12"/>
  <c r="K1049" i="12"/>
  <c r="K1048" i="12"/>
  <c r="K1047" i="12"/>
  <c r="K1046" i="12"/>
  <c r="K1045" i="12"/>
  <c r="K1044" i="12"/>
  <c r="K1043" i="12"/>
  <c r="K1042" i="12"/>
  <c r="K1041" i="12"/>
  <c r="G1063" i="12"/>
  <c r="G1081" i="12"/>
  <c r="I1047" i="12"/>
  <c r="I1057" i="12"/>
  <c r="I1060" i="12"/>
  <c r="I1062" i="12"/>
  <c r="I1063" i="12"/>
  <c r="I1074" i="12"/>
  <c r="I1081" i="12"/>
  <c r="Q1083" i="12"/>
  <c r="O1083" i="12"/>
  <c r="Q1082" i="12"/>
  <c r="O1082" i="12"/>
  <c r="Q1081" i="12"/>
  <c r="O1081" i="12"/>
  <c r="P1080" i="12"/>
  <c r="H1080" i="12"/>
  <c r="Q1077" i="12"/>
  <c r="O1077" i="12"/>
  <c r="P1076" i="12"/>
  <c r="H1076" i="12"/>
  <c r="Q1075" i="12"/>
  <c r="O1075" i="12"/>
  <c r="Q1074" i="12"/>
  <c r="O1074" i="12"/>
  <c r="H1073" i="12"/>
  <c r="Q1073" i="12" s="1"/>
  <c r="P1072" i="12"/>
  <c r="H1072" i="12"/>
  <c r="Q1071" i="12"/>
  <c r="O1071" i="12"/>
  <c r="Q1070" i="12"/>
  <c r="O1070" i="12"/>
  <c r="Q1069" i="12"/>
  <c r="O1069" i="12"/>
  <c r="Q1068" i="12"/>
  <c r="O1068" i="12"/>
  <c r="Q1067" i="12"/>
  <c r="O1067" i="12"/>
  <c r="Q1066" i="12"/>
  <c r="O1066" i="12"/>
  <c r="P1065" i="12"/>
  <c r="H1065" i="12"/>
  <c r="P1064" i="12"/>
  <c r="H1064" i="12"/>
  <c r="Q1063" i="12"/>
  <c r="O1063" i="12"/>
  <c r="Q1062" i="12"/>
  <c r="O1062" i="12"/>
  <c r="Q1061" i="12"/>
  <c r="O1061" i="12"/>
  <c r="Q1060" i="12"/>
  <c r="O1060" i="12"/>
  <c r="P1059" i="12"/>
  <c r="H1059" i="12"/>
  <c r="Q1058" i="12"/>
  <c r="O1058" i="12"/>
  <c r="Q1057" i="12"/>
  <c r="O1057" i="12"/>
  <c r="Q1056" i="12"/>
  <c r="O1056" i="12"/>
  <c r="P1055" i="12"/>
  <c r="H1055" i="12"/>
  <c r="Q1054" i="12"/>
  <c r="O1054" i="12"/>
  <c r="P1053" i="12"/>
  <c r="H1053" i="12"/>
  <c r="Q1052" i="12"/>
  <c r="O1052" i="12"/>
  <c r="Q1051" i="12"/>
  <c r="O1051" i="12"/>
  <c r="Q1050" i="12"/>
  <c r="O1050" i="12"/>
  <c r="Q1049" i="12"/>
  <c r="O1049" i="12"/>
  <c r="Q1048" i="12"/>
  <c r="O1048" i="12"/>
  <c r="Q1047" i="12"/>
  <c r="O1047" i="12"/>
  <c r="P1046" i="12"/>
  <c r="H1046" i="12"/>
  <c r="Q1045" i="12"/>
  <c r="O1045" i="12"/>
  <c r="Q1044" i="12"/>
  <c r="O1044" i="12"/>
  <c r="Q1043" i="12"/>
  <c r="O1043" i="12"/>
  <c r="Q1042" i="12"/>
  <c r="O1042" i="12"/>
  <c r="Q1041" i="12"/>
  <c r="O1041" i="12"/>
  <c r="M1100" i="12" l="1"/>
  <c r="M1102" i="12"/>
  <c r="M1113" i="12"/>
  <c r="M1114" i="12"/>
  <c r="M1142" i="12"/>
  <c r="M1145" i="12"/>
  <c r="M1146" i="12"/>
  <c r="M1147" i="12"/>
  <c r="M1148" i="12"/>
  <c r="M1149" i="12"/>
  <c r="M1150" i="12"/>
  <c r="M1151" i="12"/>
  <c r="M1152" i="12"/>
  <c r="M1154" i="12"/>
  <c r="M1155" i="12"/>
  <c r="M1156" i="12"/>
  <c r="M1158" i="12"/>
  <c r="M1159" i="12"/>
  <c r="M1161" i="12"/>
  <c r="M1162" i="12"/>
  <c r="M1049" i="12"/>
  <c r="M1054" i="12"/>
  <c r="M1068" i="12"/>
  <c r="M1072" i="12"/>
  <c r="M1042" i="12"/>
  <c r="M1058" i="12"/>
  <c r="M1060" i="12"/>
  <c r="M1062" i="12"/>
  <c r="M1066" i="12"/>
  <c r="M1070" i="12"/>
  <c r="M1074" i="12"/>
  <c r="M1076" i="12"/>
  <c r="M1084" i="12"/>
  <c r="M1080" i="12"/>
  <c r="M1050" i="12"/>
  <c r="M1052" i="12"/>
  <c r="M1053" i="12"/>
  <c r="M1089" i="12"/>
  <c r="M1109" i="12"/>
  <c r="M1110" i="12"/>
  <c r="M1112" i="12"/>
  <c r="M1143" i="12"/>
  <c r="M1140" i="12"/>
  <c r="M1101" i="12"/>
  <c r="O1053" i="12"/>
  <c r="Q1101" i="12"/>
  <c r="Q1105" i="12"/>
  <c r="Q1133" i="12"/>
  <c r="Q1072" i="12"/>
  <c r="O1055" i="12"/>
  <c r="O1065" i="12"/>
  <c r="Q1132" i="12"/>
  <c r="O1142" i="12"/>
  <c r="Q1053" i="12"/>
  <c r="Q1096" i="12"/>
  <c r="O1072" i="12"/>
  <c r="Q1142" i="12"/>
  <c r="O1101" i="12"/>
  <c r="O1132" i="12"/>
  <c r="L1091" i="12"/>
  <c r="L1092" i="12"/>
  <c r="J1159" i="12"/>
  <c r="J1052" i="12"/>
  <c r="L1052" i="12" s="1"/>
  <c r="J1054" i="12"/>
  <c r="L1054" i="12" s="1"/>
  <c r="J1049" i="12"/>
  <c r="L1049" i="12" s="1"/>
  <c r="J1126" i="12"/>
  <c r="L1126" i="12" s="1"/>
  <c r="J1113" i="12"/>
  <c r="L1113" i="12" s="1"/>
  <c r="J1157" i="12"/>
  <c r="L1157" i="12" s="1"/>
  <c r="J1145" i="12"/>
  <c r="L1145" i="12" s="1"/>
  <c r="J1070" i="12"/>
  <c r="L1070" i="12" s="1"/>
  <c r="J1112" i="12"/>
  <c r="L1112" i="12" s="1"/>
  <c r="J1069" i="12"/>
  <c r="L1069" i="12" s="1"/>
  <c r="J1124" i="12"/>
  <c r="L1124" i="12" s="1"/>
  <c r="J1143" i="12"/>
  <c r="L1143" i="12" s="1"/>
  <c r="J1056" i="12"/>
  <c r="L1056" i="12" s="1"/>
  <c r="J1154" i="12"/>
  <c r="L1154" i="12" s="1"/>
  <c r="J1141" i="12"/>
  <c r="L1141" i="12" s="1"/>
  <c r="J1140" i="12"/>
  <c r="L1140" i="12" s="1"/>
  <c r="J1153" i="12"/>
  <c r="L1153" i="12" s="1"/>
  <c r="J1144" i="12"/>
  <c r="L1144" i="12" s="1"/>
  <c r="J1139" i="12"/>
  <c r="L1139" i="12" s="1"/>
  <c r="J1146" i="12"/>
  <c r="L1146" i="12" s="1"/>
  <c r="J1163" i="12"/>
  <c r="L1163" i="12" s="1"/>
  <c r="J1160" i="12"/>
  <c r="L1160" i="12" s="1"/>
  <c r="J1148" i="12"/>
  <c r="L1148" i="12" s="1"/>
  <c r="J1151" i="12"/>
  <c r="L1151" i="12" s="1"/>
  <c r="J1137" i="12"/>
  <c r="L1137" i="12" s="1"/>
  <c r="J1134" i="12"/>
  <c r="L1134" i="12" s="1"/>
  <c r="J1147" i="12"/>
  <c r="L1147" i="12" s="1"/>
  <c r="J1150" i="12"/>
  <c r="L1150" i="12" s="1"/>
  <c r="J1161" i="12"/>
  <c r="L1161" i="12" s="1"/>
  <c r="J1132" i="12"/>
  <c r="L1132" i="12" s="1"/>
  <c r="J1130" i="12"/>
  <c r="L1130" i="12" s="1"/>
  <c r="J1136" i="12"/>
  <c r="L1136" i="12" s="1"/>
  <c r="J1158" i="12"/>
  <c r="L1158" i="12" s="1"/>
  <c r="J1155" i="12"/>
  <c r="L1155" i="12" s="1"/>
  <c r="J1129" i="12"/>
  <c r="L1129" i="12" s="1"/>
  <c r="O1133" i="12"/>
  <c r="J1138" i="12"/>
  <c r="L1138" i="12" s="1"/>
  <c r="Q1158" i="12"/>
  <c r="J1131" i="12"/>
  <c r="L1131" i="12" s="1"/>
  <c r="J1135" i="12"/>
  <c r="L1135" i="12" s="1"/>
  <c r="J1149" i="12"/>
  <c r="L1149" i="12" s="1"/>
  <c r="J1133" i="12"/>
  <c r="L1133" i="12" s="1"/>
  <c r="Q1087" i="12"/>
  <c r="Q1065" i="12"/>
  <c r="O1093" i="12"/>
  <c r="O1096" i="12"/>
  <c r="Q1100" i="12"/>
  <c r="O1121" i="12"/>
  <c r="Q1064" i="12"/>
  <c r="Q1046" i="12"/>
  <c r="O1073" i="12"/>
  <c r="Q1125" i="12"/>
  <c r="O1087" i="12"/>
  <c r="Q1121" i="12"/>
  <c r="Q1055" i="12"/>
  <c r="Q1059" i="12"/>
  <c r="Q1076" i="12"/>
  <c r="Q1080" i="12"/>
  <c r="O1105" i="12"/>
  <c r="J1125" i="12"/>
  <c r="L1125" i="12" s="1"/>
  <c r="J1118" i="12"/>
  <c r="L1118" i="12" s="1"/>
  <c r="J1106" i="12"/>
  <c r="L1106" i="12" s="1"/>
  <c r="J1123" i="12"/>
  <c r="L1123" i="12" s="1"/>
  <c r="J1095" i="12"/>
  <c r="L1095" i="12" s="1"/>
  <c r="J1088" i="12"/>
  <c r="L1088" i="12" s="1"/>
  <c r="J1115" i="12"/>
  <c r="L1115" i="12" s="1"/>
  <c r="J1090" i="12"/>
  <c r="L1090" i="12" s="1"/>
  <c r="J1100" i="12"/>
  <c r="L1100" i="12" s="1"/>
  <c r="J1098" i="12"/>
  <c r="L1098" i="12" s="1"/>
  <c r="J1084" i="12"/>
  <c r="L1084" i="12" s="1"/>
  <c r="J1094" i="12"/>
  <c r="L1094" i="12" s="1"/>
  <c r="J1119" i="12"/>
  <c r="L1119" i="12" s="1"/>
  <c r="J1109" i="12"/>
  <c r="L1109" i="12" s="1"/>
  <c r="J1093" i="12"/>
  <c r="L1093" i="12" s="1"/>
  <c r="J1097" i="12"/>
  <c r="L1097" i="12" s="1"/>
  <c r="J1089" i="12"/>
  <c r="L1089" i="12" s="1"/>
  <c r="J1107" i="12"/>
  <c r="L1107" i="12" s="1"/>
  <c r="J1128" i="12"/>
  <c r="L1128" i="12" s="1"/>
  <c r="J1105" i="12"/>
  <c r="L1105" i="12" s="1"/>
  <c r="J1096" i="12"/>
  <c r="L1096" i="12" s="1"/>
  <c r="J1116" i="12"/>
  <c r="L1116" i="12" s="1"/>
  <c r="J1087" i="12"/>
  <c r="L1087" i="12" s="1"/>
  <c r="J1086" i="12"/>
  <c r="L1086" i="12" s="1"/>
  <c r="J1104" i="12"/>
  <c r="L1104" i="12" s="1"/>
  <c r="J1121" i="12"/>
  <c r="L1121" i="12" s="1"/>
  <c r="O1100" i="12"/>
  <c r="J1111" i="12"/>
  <c r="L1111" i="12" s="1"/>
  <c r="J1127" i="12"/>
  <c r="L1127" i="12" s="1"/>
  <c r="J1110" i="12"/>
  <c r="L1110" i="12" s="1"/>
  <c r="J1108" i="12"/>
  <c r="L1108" i="12" s="1"/>
  <c r="J1120" i="12"/>
  <c r="L1120" i="12" s="1"/>
  <c r="J1122" i="12"/>
  <c r="L1122" i="12" s="1"/>
  <c r="O1125" i="12"/>
  <c r="J1085" i="12"/>
  <c r="L1085" i="12" s="1"/>
  <c r="J1099" i="12"/>
  <c r="L1099" i="12" s="1"/>
  <c r="J1103" i="12"/>
  <c r="L1103" i="12" s="1"/>
  <c r="J1117" i="12"/>
  <c r="L1117" i="12" s="1"/>
  <c r="J1101" i="12"/>
  <c r="L1101" i="12" s="1"/>
  <c r="J1074" i="12"/>
  <c r="L1074" i="12" s="1"/>
  <c r="J1048" i="12"/>
  <c r="L1048" i="12" s="1"/>
  <c r="J1064" i="12"/>
  <c r="L1064" i="12" s="1"/>
  <c r="J1053" i="12"/>
  <c r="L1053" i="12" s="1"/>
  <c r="J1076" i="12"/>
  <c r="L1076" i="12" s="1"/>
  <c r="J1081" i="12"/>
  <c r="L1081" i="12" s="1"/>
  <c r="J1063" i="12"/>
  <c r="L1063" i="12" s="1"/>
  <c r="J1065" i="12"/>
  <c r="L1065" i="12" s="1"/>
  <c r="J1075" i="12"/>
  <c r="L1075" i="12" s="1"/>
  <c r="J1044" i="12"/>
  <c r="L1044" i="12" s="1"/>
  <c r="J1057" i="12"/>
  <c r="L1057" i="12" s="1"/>
  <c r="J1077" i="12"/>
  <c r="L1077" i="12" s="1"/>
  <c r="J1073" i="12"/>
  <c r="L1073" i="12" s="1"/>
  <c r="J1050" i="12"/>
  <c r="L1050" i="12" s="1"/>
  <c r="J1066" i="12"/>
  <c r="L1066" i="12" s="1"/>
  <c r="J1058" i="12"/>
  <c r="L1058" i="12" s="1"/>
  <c r="J1072" i="12"/>
  <c r="L1072" i="12" s="1"/>
  <c r="J1055" i="12"/>
  <c r="L1055" i="12" s="1"/>
  <c r="J1068" i="12"/>
  <c r="L1068" i="12" s="1"/>
  <c r="J1083" i="12"/>
  <c r="L1083" i="12" s="1"/>
  <c r="J1042" i="12"/>
  <c r="L1042" i="12" s="1"/>
  <c r="J1060" i="12"/>
  <c r="L1060" i="12" s="1"/>
  <c r="J1071" i="12"/>
  <c r="L1071" i="12" s="1"/>
  <c r="J1051" i="12"/>
  <c r="L1051" i="12" s="1"/>
  <c r="J1062" i="12"/>
  <c r="L1062" i="12" s="1"/>
  <c r="J1067" i="12"/>
  <c r="L1067" i="12" s="1"/>
  <c r="O1059" i="12"/>
  <c r="O1080" i="12"/>
  <c r="J1046" i="12"/>
  <c r="L1046" i="12" s="1"/>
  <c r="J1047" i="12"/>
  <c r="L1047" i="12" s="1"/>
  <c r="O1076" i="12"/>
  <c r="J1041" i="12"/>
  <c r="L1041" i="12" s="1"/>
  <c r="O1046" i="12"/>
  <c r="J1061" i="12"/>
  <c r="L1061" i="12" s="1"/>
  <c r="J1082" i="12"/>
  <c r="L1082" i="12" s="1"/>
  <c r="J1045" i="12"/>
  <c r="L1045" i="12" s="1"/>
  <c r="J1080" i="12"/>
  <c r="L1080" i="12" s="1"/>
  <c r="O1064" i="12"/>
  <c r="J1059" i="12"/>
  <c r="L1059" i="12" s="1"/>
  <c r="M1160" i="12" l="1"/>
  <c r="M1141" i="12"/>
  <c r="M1157" i="12"/>
  <c r="M1153" i="12"/>
  <c r="M1064" i="12"/>
  <c r="M1096" i="12"/>
  <c r="M1056" i="12"/>
  <c r="M1108" i="12"/>
  <c r="M1163" i="12"/>
  <c r="M1041" i="12"/>
  <c r="M1111" i="12"/>
  <c r="M1144" i="12"/>
  <c r="M1051" i="12"/>
  <c r="M1082" i="12"/>
  <c r="M1090" i="12"/>
  <c r="M1104" i="12"/>
  <c r="M1091" i="12"/>
  <c r="M1135" i="12"/>
  <c r="M1123" i="12"/>
  <c r="M1078" i="12"/>
  <c r="M1061" i="12"/>
  <c r="M1107" i="12"/>
  <c r="M1103" i="12"/>
  <c r="M1094" i="12"/>
  <c r="M1088" i="12"/>
  <c r="M1138" i="12"/>
  <c r="M1134" i="12"/>
  <c r="M1130" i="12"/>
  <c r="M1126" i="12"/>
  <c r="M1122" i="12"/>
  <c r="M1118" i="12"/>
  <c r="M1083" i="12"/>
  <c r="M1048" i="12"/>
  <c r="M1044" i="12"/>
  <c r="M1075" i="12"/>
  <c r="M1067" i="12"/>
  <c r="M1059" i="12"/>
  <c r="M1095" i="12"/>
  <c r="M1139" i="12"/>
  <c r="M1127" i="12"/>
  <c r="M1115" i="12"/>
  <c r="M1069" i="12"/>
  <c r="M1106" i="12"/>
  <c r="M1099" i="12"/>
  <c r="M1093" i="12"/>
  <c r="M1087" i="12"/>
  <c r="M1137" i="12"/>
  <c r="M1133" i="12"/>
  <c r="M1129" i="12"/>
  <c r="M1125" i="12"/>
  <c r="M1121" i="12"/>
  <c r="M1117" i="12"/>
  <c r="M1081" i="12"/>
  <c r="M1047" i="12"/>
  <c r="M1043" i="12"/>
  <c r="M1073" i="12"/>
  <c r="M1065" i="12"/>
  <c r="M1057" i="12"/>
  <c r="M1097" i="12"/>
  <c r="M1085" i="12"/>
  <c r="M1131" i="12"/>
  <c r="M1119" i="12"/>
  <c r="M1045" i="12"/>
  <c r="M1077" i="12"/>
  <c r="M1105" i="12"/>
  <c r="M1098" i="12"/>
  <c r="M1092" i="12"/>
  <c r="M1086" i="12"/>
  <c r="M1136" i="12"/>
  <c r="M1132" i="12"/>
  <c r="M1128" i="12"/>
  <c r="M1124" i="12"/>
  <c r="M1120" i="12"/>
  <c r="M1116" i="12"/>
  <c r="M1079" i="12"/>
  <c r="M1046" i="12"/>
  <c r="M1071" i="12"/>
  <c r="M1063" i="12"/>
  <c r="M1055" i="12"/>
  <c r="J1092" i="12"/>
  <c r="J1091" i="12"/>
  <c r="J1152" i="12"/>
  <c r="L1152" i="12" s="1"/>
  <c r="L1159" i="12"/>
  <c r="M1001" i="12" l="1"/>
  <c r="M1011" i="12"/>
  <c r="M1013" i="12"/>
  <c r="M1015" i="12"/>
  <c r="M1021" i="12"/>
  <c r="M1024" i="12"/>
  <c r="M1027" i="12"/>
  <c r="M1028" i="12"/>
  <c r="M1029" i="12"/>
  <c r="M1009" i="12"/>
  <c r="M1004" i="12"/>
  <c r="M1006" i="12"/>
  <c r="M1030" i="12"/>
  <c r="M1032" i="12"/>
  <c r="M1010" i="12"/>
  <c r="M1018" i="12"/>
  <c r="M1038" i="12"/>
  <c r="K1040" i="12"/>
  <c r="K1039" i="12"/>
  <c r="K1038" i="12"/>
  <c r="K1037" i="12"/>
  <c r="K1036" i="12"/>
  <c r="K1035" i="12"/>
  <c r="K1034" i="12"/>
  <c r="K1033" i="12"/>
  <c r="K1032" i="12"/>
  <c r="K1031" i="12"/>
  <c r="K1030" i="12"/>
  <c r="K1029" i="12"/>
  <c r="I1039" i="12"/>
  <c r="Q1040" i="12"/>
  <c r="O1040" i="12"/>
  <c r="Q1039" i="12"/>
  <c r="O1039" i="12"/>
  <c r="Q1038" i="12"/>
  <c r="O1038" i="12"/>
  <c r="P1037" i="12"/>
  <c r="H1037" i="12"/>
  <c r="Q1036" i="12"/>
  <c r="O1036" i="12"/>
  <c r="Q1035" i="12"/>
  <c r="O1035" i="12"/>
  <c r="Q1034" i="12"/>
  <c r="O1034" i="12"/>
  <c r="P1033" i="12"/>
  <c r="H1033" i="12"/>
  <c r="Q1032" i="12"/>
  <c r="O1032" i="12"/>
  <c r="Q1031" i="12"/>
  <c r="O1031" i="12"/>
  <c r="Q1030" i="12"/>
  <c r="O1030" i="12"/>
  <c r="Q1029" i="12"/>
  <c r="O1029" i="12"/>
  <c r="K1012" i="12"/>
  <c r="K1013" i="12"/>
  <c r="K1014" i="12"/>
  <c r="K1015" i="12"/>
  <c r="K1016" i="12"/>
  <c r="K1017" i="12"/>
  <c r="K1018" i="12"/>
  <c r="K1019" i="12"/>
  <c r="K1020" i="12"/>
  <c r="K1021" i="12"/>
  <c r="K1022" i="12"/>
  <c r="K1023" i="12"/>
  <c r="K1024" i="12"/>
  <c r="K1025" i="12"/>
  <c r="K1026" i="12"/>
  <c r="K1027" i="12"/>
  <c r="K1028" i="12"/>
  <c r="K1010" i="12"/>
  <c r="K1011" i="12"/>
  <c r="K1001" i="12"/>
  <c r="K1002" i="12"/>
  <c r="K1003" i="12"/>
  <c r="K1004" i="12"/>
  <c r="K1005" i="12"/>
  <c r="K1006" i="12"/>
  <c r="K1007" i="12"/>
  <c r="K1008" i="12"/>
  <c r="K1009" i="12"/>
  <c r="K1000" i="12"/>
  <c r="G1010" i="12"/>
  <c r="G1017" i="12"/>
  <c r="I1016" i="12"/>
  <c r="I1010" i="12"/>
  <c r="I1007" i="12"/>
  <c r="I1006" i="12"/>
  <c r="Q1028" i="12"/>
  <c r="O1028" i="12"/>
  <c r="P1027" i="12"/>
  <c r="H1027" i="12"/>
  <c r="Q1026" i="12"/>
  <c r="O1026" i="12"/>
  <c r="Q1025" i="12"/>
  <c r="O1025" i="12"/>
  <c r="Q1024" i="12"/>
  <c r="O1024" i="12"/>
  <c r="Q1023" i="12"/>
  <c r="O1023" i="12"/>
  <c r="P1022" i="12"/>
  <c r="H1022" i="12"/>
  <c r="Q1021" i="12"/>
  <c r="O1021" i="12"/>
  <c r="Q1020" i="12"/>
  <c r="O1020" i="12"/>
  <c r="Q1019" i="12"/>
  <c r="O1019" i="12"/>
  <c r="Q1018" i="12"/>
  <c r="O1018" i="12"/>
  <c r="Q1017" i="12"/>
  <c r="O1017" i="12"/>
  <c r="Q1016" i="12"/>
  <c r="O1016" i="12"/>
  <c r="Q1015" i="12"/>
  <c r="O1015" i="12"/>
  <c r="Q1014" i="12"/>
  <c r="O1014" i="12"/>
  <c r="P1013" i="12"/>
  <c r="H1013" i="12"/>
  <c r="P1012" i="12"/>
  <c r="H1012" i="12"/>
  <c r="Q1011" i="12"/>
  <c r="O1011" i="12"/>
  <c r="Q1010" i="12"/>
  <c r="O1010" i="12"/>
  <c r="Q1009" i="12"/>
  <c r="O1009" i="12"/>
  <c r="Q1008" i="12"/>
  <c r="O1008" i="12"/>
  <c r="Q1007" i="12"/>
  <c r="O1007" i="12"/>
  <c r="Q1006" i="12"/>
  <c r="O1006" i="12"/>
  <c r="Q1005" i="12"/>
  <c r="O1005" i="12"/>
  <c r="Q1004" i="12"/>
  <c r="O1004" i="12"/>
  <c r="P1003" i="12"/>
  <c r="H1003" i="12"/>
  <c r="Q1002" i="12"/>
  <c r="O1002" i="12"/>
  <c r="Q1001" i="12"/>
  <c r="O1001" i="12"/>
  <c r="Q1000" i="12"/>
  <c r="O1000" i="12"/>
  <c r="M1016" i="12" l="1"/>
  <c r="M1000" i="12"/>
  <c r="M1019" i="12"/>
  <c r="M1007" i="12"/>
  <c r="M1022" i="12"/>
  <c r="M1026" i="12"/>
  <c r="M1031" i="12"/>
  <c r="M1025" i="12"/>
  <c r="M1020" i="12"/>
  <c r="M1008" i="12"/>
  <c r="M1034" i="12"/>
  <c r="M1003" i="12"/>
  <c r="M1023" i="12"/>
  <c r="M1017" i="12"/>
  <c r="M1012" i="12"/>
  <c r="M1040" i="12"/>
  <c r="M1014" i="12"/>
  <c r="M1036" i="12"/>
  <c r="M1037" i="12"/>
  <c r="M970" i="12"/>
  <c r="M973" i="12"/>
  <c r="M975" i="12"/>
  <c r="M977" i="12"/>
  <c r="M978" i="12"/>
  <c r="M989" i="12"/>
  <c r="M993" i="12"/>
  <c r="M994" i="12"/>
  <c r="M1005" i="12"/>
  <c r="M1002" i="12"/>
  <c r="M1039" i="12"/>
  <c r="M1033" i="12"/>
  <c r="M1035" i="12"/>
  <c r="Q1013" i="12"/>
  <c r="Q1003" i="12"/>
  <c r="Q1027" i="12"/>
  <c r="J1029" i="12"/>
  <c r="L1029" i="12" s="1"/>
  <c r="J1000" i="12"/>
  <c r="L1000" i="12" s="1"/>
  <c r="J1001" i="12"/>
  <c r="L1001" i="12" s="1"/>
  <c r="J1018" i="12"/>
  <c r="L1018" i="12" s="1"/>
  <c r="J1040" i="12"/>
  <c r="L1040" i="12" s="1"/>
  <c r="Q1037" i="12"/>
  <c r="O1003" i="12"/>
  <c r="O1027" i="12"/>
  <c r="O1037" i="12"/>
  <c r="O1022" i="12"/>
  <c r="Q1022" i="12"/>
  <c r="Q1012" i="12"/>
  <c r="J1038" i="12"/>
  <c r="L1038" i="12" s="1"/>
  <c r="J1034" i="12"/>
  <c r="L1034" i="12" s="1"/>
  <c r="J1031" i="12"/>
  <c r="L1031" i="12" s="1"/>
  <c r="J1037" i="12"/>
  <c r="L1037" i="12" s="1"/>
  <c r="J1036" i="12"/>
  <c r="L1036" i="12" s="1"/>
  <c r="J1030" i="12"/>
  <c r="L1030" i="12" s="1"/>
  <c r="J1039" i="12"/>
  <c r="L1039" i="12" s="1"/>
  <c r="J1032" i="12"/>
  <c r="L1032" i="12" s="1"/>
  <c r="O1033" i="12"/>
  <c r="Q1033" i="12"/>
  <c r="J1035" i="12"/>
  <c r="L1035" i="12" s="1"/>
  <c r="J1033" i="12"/>
  <c r="L1033" i="12" s="1"/>
  <c r="J1015" i="12"/>
  <c r="L1015" i="12" s="1"/>
  <c r="J1021" i="12"/>
  <c r="L1021" i="12" s="1"/>
  <c r="J1014" i="12"/>
  <c r="L1014" i="12" s="1"/>
  <c r="J1017" i="12"/>
  <c r="L1017" i="12" s="1"/>
  <c r="J1023" i="12"/>
  <c r="L1023" i="12" s="1"/>
  <c r="J1024" i="12"/>
  <c r="L1024" i="12" s="1"/>
  <c r="J1002" i="12"/>
  <c r="L1002" i="12" s="1"/>
  <c r="J1009" i="12"/>
  <c r="L1009" i="12" s="1"/>
  <c r="J1026" i="12"/>
  <c r="L1026" i="12" s="1"/>
  <c r="J1004" i="12"/>
  <c r="L1004" i="12" s="1"/>
  <c r="J1006" i="12"/>
  <c r="L1006" i="12" s="1"/>
  <c r="J1011" i="12"/>
  <c r="L1011" i="12" s="1"/>
  <c r="J1020" i="12"/>
  <c r="L1020" i="12" s="1"/>
  <c r="J1028" i="12"/>
  <c r="L1028" i="12" s="1"/>
  <c r="J1003" i="12"/>
  <c r="L1003" i="12" s="1"/>
  <c r="J1008" i="12"/>
  <c r="L1008" i="12" s="1"/>
  <c r="J1022" i="12"/>
  <c r="L1022" i="12" s="1"/>
  <c r="J1013" i="12"/>
  <c r="L1013" i="12" s="1"/>
  <c r="J1027" i="12"/>
  <c r="L1027" i="12" s="1"/>
  <c r="J1005" i="12"/>
  <c r="L1005" i="12" s="1"/>
  <c r="J1019" i="12"/>
  <c r="L1019" i="12" s="1"/>
  <c r="J1016" i="12"/>
  <c r="L1016" i="12" s="1"/>
  <c r="J1012" i="12"/>
  <c r="L1012" i="12" s="1"/>
  <c r="J1007" i="12"/>
  <c r="L1007" i="12" s="1"/>
  <c r="O1012" i="12"/>
  <c r="J1025" i="12"/>
  <c r="L1025" i="12" s="1"/>
  <c r="O1013" i="12"/>
  <c r="K966" i="12"/>
  <c r="K967" i="12"/>
  <c r="K968" i="12"/>
  <c r="K969" i="12"/>
  <c r="K970" i="12"/>
  <c r="K971" i="12"/>
  <c r="K972" i="12"/>
  <c r="K973" i="12"/>
  <c r="K974" i="12"/>
  <c r="K975" i="12"/>
  <c r="K976" i="12"/>
  <c r="K977" i="12"/>
  <c r="K978" i="12"/>
  <c r="K979" i="12"/>
  <c r="K980" i="12"/>
  <c r="K981" i="12"/>
  <c r="K982" i="12"/>
  <c r="K983" i="12"/>
  <c r="K984" i="12"/>
  <c r="K985" i="12"/>
  <c r="K986" i="12"/>
  <c r="K987" i="12"/>
  <c r="K988" i="12"/>
  <c r="K989" i="12"/>
  <c r="K990" i="12"/>
  <c r="K991" i="12"/>
  <c r="K992" i="12"/>
  <c r="K993" i="12"/>
  <c r="K994" i="12"/>
  <c r="K995" i="12"/>
  <c r="K996" i="12"/>
  <c r="K997" i="12"/>
  <c r="K998" i="12"/>
  <c r="K999" i="12"/>
  <c r="K965" i="12"/>
  <c r="K964" i="12"/>
  <c r="G978" i="12"/>
  <c r="G965" i="12"/>
  <c r="M982" i="12" l="1"/>
  <c r="M984" i="12"/>
  <c r="M997" i="12"/>
  <c r="M981" i="12"/>
  <c r="M985" i="12"/>
  <c r="M976" i="12"/>
  <c r="M992" i="12"/>
  <c r="M980" i="12"/>
  <c r="M996" i="12"/>
  <c r="M998" i="12"/>
  <c r="M972" i="12"/>
  <c r="M988" i="12"/>
  <c r="M979" i="12"/>
  <c r="M971" i="12"/>
  <c r="M983" i="12"/>
  <c r="M986" i="12"/>
  <c r="M987" i="12"/>
  <c r="M974" i="12"/>
  <c r="M990" i="12"/>
  <c r="M999" i="12"/>
  <c r="M991" i="12"/>
  <c r="M995" i="12"/>
  <c r="J1010" i="12"/>
  <c r="L1010" i="12" s="1"/>
  <c r="Q999" i="12"/>
  <c r="O999" i="12"/>
  <c r="Q998" i="12"/>
  <c r="O998" i="12"/>
  <c r="P997" i="12"/>
  <c r="H997" i="12"/>
  <c r="Q996" i="12"/>
  <c r="O996" i="12"/>
  <c r="I996" i="12"/>
  <c r="Q995" i="12"/>
  <c r="O995" i="12"/>
  <c r="Q994" i="12"/>
  <c r="O994" i="12"/>
  <c r="P988" i="12"/>
  <c r="H988" i="12"/>
  <c r="P987" i="12"/>
  <c r="H987" i="12"/>
  <c r="P986" i="12"/>
  <c r="H986" i="12"/>
  <c r="Q985" i="12"/>
  <c r="O985" i="12"/>
  <c r="Q984" i="12"/>
  <c r="O984" i="12"/>
  <c r="Q983" i="12"/>
  <c r="O983" i="12"/>
  <c r="I983" i="12"/>
  <c r="Q982" i="12"/>
  <c r="O982" i="12"/>
  <c r="P981" i="12"/>
  <c r="H981" i="12"/>
  <c r="P980" i="12"/>
  <c r="H980" i="12"/>
  <c r="P979" i="12"/>
  <c r="H979" i="12"/>
  <c r="Q978" i="12"/>
  <c r="O978" i="12"/>
  <c r="I978" i="12"/>
  <c r="Q977" i="12"/>
  <c r="O977" i="12"/>
  <c r="I977" i="12"/>
  <c r="Q976" i="12"/>
  <c r="O976" i="12"/>
  <c r="P975" i="12"/>
  <c r="Q974" i="12"/>
  <c r="O974" i="12"/>
  <c r="Q973" i="12"/>
  <c r="O973" i="12"/>
  <c r="P972" i="12"/>
  <c r="H972" i="12"/>
  <c r="Q971" i="12"/>
  <c r="O971" i="12"/>
  <c r="Q970" i="12"/>
  <c r="O970" i="12"/>
  <c r="H964" i="12"/>
  <c r="Q964" i="12" s="1"/>
  <c r="O969" i="12"/>
  <c r="O968" i="12"/>
  <c r="O967" i="12"/>
  <c r="O966" i="12"/>
  <c r="O965" i="12"/>
  <c r="O963" i="12"/>
  <c r="O961" i="12"/>
  <c r="O960" i="12"/>
  <c r="O959" i="12"/>
  <c r="O957" i="12"/>
  <c r="O956" i="12"/>
  <c r="O955" i="12"/>
  <c r="O954" i="12"/>
  <c r="O953" i="12"/>
  <c r="O952" i="12"/>
  <c r="O951" i="12"/>
  <c r="O949" i="12"/>
  <c r="O948" i="12"/>
  <c r="O947" i="12"/>
  <c r="O946" i="12"/>
  <c r="O945" i="12"/>
  <c r="O944" i="12"/>
  <c r="O940" i="12"/>
  <c r="O939" i="12"/>
  <c r="O937" i="12"/>
  <c r="O935" i="12"/>
  <c r="O934" i="12"/>
  <c r="O933" i="12"/>
  <c r="O932" i="12"/>
  <c r="O931" i="12"/>
  <c r="O930" i="12"/>
  <c r="O929" i="12"/>
  <c r="O928" i="12"/>
  <c r="O927" i="12"/>
  <c r="O926" i="12"/>
  <c r="O925" i="12"/>
  <c r="O924" i="12"/>
  <c r="O923" i="12"/>
  <c r="O922" i="12"/>
  <c r="O921" i="12"/>
  <c r="O920" i="12"/>
  <c r="O919" i="12"/>
  <c r="O918" i="12"/>
  <c r="O915" i="12"/>
  <c r="O914" i="12"/>
  <c r="O912" i="12"/>
  <c r="O911" i="12"/>
  <c r="O910" i="12"/>
  <c r="O909" i="12"/>
  <c r="O908" i="12"/>
  <c r="O907" i="12"/>
  <c r="O906" i="12"/>
  <c r="O904" i="12"/>
  <c r="O901" i="12"/>
  <c r="O900" i="12"/>
  <c r="O898" i="12"/>
  <c r="O896" i="12"/>
  <c r="O895" i="12"/>
  <c r="O894" i="12"/>
  <c r="O893" i="12"/>
  <c r="O892" i="12"/>
  <c r="O891" i="12"/>
  <c r="Q924" i="12"/>
  <c r="I924" i="12"/>
  <c r="J17" i="12"/>
  <c r="J34" i="12"/>
  <c r="L34" i="12" s="1"/>
  <c r="J46" i="12"/>
  <c r="J77" i="12"/>
  <c r="L77" i="12" s="1"/>
  <c r="J88" i="12"/>
  <c r="J89" i="12"/>
  <c r="J90" i="12"/>
  <c r="J127" i="12"/>
  <c r="L127" i="12" s="1"/>
  <c r="J158" i="12"/>
  <c r="J159" i="12"/>
  <c r="J162" i="12"/>
  <c r="J163" i="12"/>
  <c r="J187" i="12"/>
  <c r="L187" i="12" s="1"/>
  <c r="J195" i="12"/>
  <c r="O972" i="12" l="1"/>
  <c r="O997" i="12"/>
  <c r="Q997" i="12"/>
  <c r="O986" i="12"/>
  <c r="J995" i="12"/>
  <c r="L995" i="12" s="1"/>
  <c r="J997" i="12"/>
  <c r="L997" i="12" s="1"/>
  <c r="J994" i="12"/>
  <c r="L994" i="12" s="1"/>
  <c r="J996" i="12"/>
  <c r="L996" i="12" s="1"/>
  <c r="Q980" i="12"/>
  <c r="Q975" i="12"/>
  <c r="Q979" i="12"/>
  <c r="Q981" i="12"/>
  <c r="Q988" i="12"/>
  <c r="O979" i="12"/>
  <c r="Q972" i="12"/>
  <c r="O988" i="12"/>
  <c r="Q987" i="12"/>
  <c r="O975" i="12"/>
  <c r="Q986" i="12"/>
  <c r="J987" i="12"/>
  <c r="L987" i="12" s="1"/>
  <c r="J984" i="12"/>
  <c r="L984" i="12" s="1"/>
  <c r="J976" i="12"/>
  <c r="L976" i="12" s="1"/>
  <c r="J973" i="12"/>
  <c r="L973" i="12" s="1"/>
  <c r="J988" i="12"/>
  <c r="L988" i="12" s="1"/>
  <c r="J975" i="12"/>
  <c r="L975" i="12" s="1"/>
  <c r="J985" i="12"/>
  <c r="L985" i="12" s="1"/>
  <c r="J970" i="12"/>
  <c r="L970" i="12" s="1"/>
  <c r="J974" i="12"/>
  <c r="L974" i="12" s="1"/>
  <c r="J979" i="12"/>
  <c r="L979" i="12" s="1"/>
  <c r="J981" i="12"/>
  <c r="L981" i="12" s="1"/>
  <c r="J971" i="12"/>
  <c r="L971" i="12" s="1"/>
  <c r="J978" i="12"/>
  <c r="L978" i="12" s="1"/>
  <c r="J983" i="12"/>
  <c r="L983" i="12" s="1"/>
  <c r="J980" i="12"/>
  <c r="L980" i="12" s="1"/>
  <c r="J972" i="12"/>
  <c r="L972" i="12" s="1"/>
  <c r="J977" i="12"/>
  <c r="L977" i="12" s="1"/>
  <c r="J986" i="12"/>
  <c r="L986" i="12" s="1"/>
  <c r="O987" i="12"/>
  <c r="O980" i="12"/>
  <c r="O981" i="12"/>
  <c r="J964" i="12"/>
  <c r="L964" i="12" s="1"/>
  <c r="O964" i="12"/>
  <c r="J924" i="12"/>
  <c r="L924" i="12" s="1"/>
  <c r="Q993" i="12" l="1"/>
  <c r="Q992" i="12"/>
  <c r="Q991" i="12"/>
  <c r="Q990" i="12"/>
  <c r="Q989" i="12"/>
  <c r="J990" i="12" l="1"/>
  <c r="L990" i="12" s="1"/>
  <c r="J989" i="12"/>
  <c r="L989" i="12" s="1"/>
  <c r="J991" i="12"/>
  <c r="L991" i="12" s="1"/>
  <c r="J992" i="12"/>
  <c r="L992" i="12" s="1"/>
  <c r="J993" i="12"/>
  <c r="L993" i="12" s="1"/>
  <c r="K963" i="12"/>
  <c r="K962" i="12"/>
  <c r="K961" i="12"/>
  <c r="K960" i="12"/>
  <c r="K959" i="12"/>
  <c r="K958" i="12"/>
  <c r="K957" i="12"/>
  <c r="K956" i="12"/>
  <c r="K955" i="12"/>
  <c r="K954" i="12"/>
  <c r="K953" i="12"/>
  <c r="K952" i="12"/>
  <c r="K951" i="12"/>
  <c r="K950" i="12"/>
  <c r="K949" i="12"/>
  <c r="K948" i="12"/>
  <c r="K947" i="12"/>
  <c r="K946" i="12"/>
  <c r="K945" i="12"/>
  <c r="G954" i="12"/>
  <c r="M957" i="12" l="1"/>
  <c r="M959" i="12"/>
  <c r="M961" i="12"/>
  <c r="M964" i="12"/>
  <c r="M951" i="12"/>
  <c r="M965" i="12"/>
  <c r="Q969" i="12"/>
  <c r="I969" i="12"/>
  <c r="Q968" i="12"/>
  <c r="Q967" i="12"/>
  <c r="Q966" i="12"/>
  <c r="Q965" i="12"/>
  <c r="Q963" i="12"/>
  <c r="P962" i="12"/>
  <c r="H962" i="12"/>
  <c r="Q961" i="12"/>
  <c r="Q960" i="12"/>
  <c r="Q959" i="12"/>
  <c r="P958" i="12"/>
  <c r="H958" i="12"/>
  <c r="Q957" i="12"/>
  <c r="Q956" i="12"/>
  <c r="Q955" i="12"/>
  <c r="Q954" i="12"/>
  <c r="Q953" i="12"/>
  <c r="Q952" i="12"/>
  <c r="Q951" i="12"/>
  <c r="P950" i="12"/>
  <c r="H950" i="12"/>
  <c r="Q949" i="12"/>
  <c r="Q948" i="12"/>
  <c r="Q947" i="12"/>
  <c r="Q946" i="12"/>
  <c r="Q945" i="12"/>
  <c r="M963" i="12" l="1"/>
  <c r="M955" i="12"/>
  <c r="M947" i="12"/>
  <c r="M956" i="12"/>
  <c r="M945" i="12"/>
  <c r="M962" i="12"/>
  <c r="M953" i="12"/>
  <c r="M954" i="12"/>
  <c r="M946" i="12"/>
  <c r="M948" i="12"/>
  <c r="M967" i="12"/>
  <c r="M949" i="12"/>
  <c r="M969" i="12"/>
  <c r="M952" i="12"/>
  <c r="M950" i="12"/>
  <c r="M960" i="12"/>
  <c r="M958" i="12"/>
  <c r="M968" i="12"/>
  <c r="M966" i="12"/>
  <c r="O958" i="12"/>
  <c r="O950" i="12"/>
  <c r="O962" i="12"/>
  <c r="J945" i="12"/>
  <c r="L945" i="12" s="1"/>
  <c r="J952" i="12"/>
  <c r="L952" i="12" s="1"/>
  <c r="J962" i="12"/>
  <c r="L962" i="12" s="1"/>
  <c r="J951" i="12"/>
  <c r="L951" i="12" s="1"/>
  <c r="J959" i="12"/>
  <c r="L959" i="12" s="1"/>
  <c r="J957" i="12"/>
  <c r="L957" i="12" s="1"/>
  <c r="J968" i="12"/>
  <c r="L968" i="12" s="1"/>
  <c r="J946" i="12"/>
  <c r="L946" i="12" s="1"/>
  <c r="J958" i="12"/>
  <c r="L958" i="12" s="1"/>
  <c r="J963" i="12"/>
  <c r="L963" i="12" s="1"/>
  <c r="J969" i="12"/>
  <c r="L969" i="12" s="1"/>
  <c r="J947" i="12"/>
  <c r="L947" i="12" s="1"/>
  <c r="J953" i="12"/>
  <c r="L953" i="12" s="1"/>
  <c r="J948" i="12"/>
  <c r="L948" i="12" s="1"/>
  <c r="J954" i="12"/>
  <c r="L954" i="12" s="1"/>
  <c r="J965" i="12"/>
  <c r="L965" i="12" s="1"/>
  <c r="J960" i="12"/>
  <c r="L960" i="12" s="1"/>
  <c r="J955" i="12"/>
  <c r="L955" i="12" s="1"/>
  <c r="J966" i="12"/>
  <c r="L966" i="12" s="1"/>
  <c r="J950" i="12"/>
  <c r="L950" i="12" s="1"/>
  <c r="J961" i="12"/>
  <c r="L961" i="12" s="1"/>
  <c r="J956" i="12"/>
  <c r="L956" i="12" s="1"/>
  <c r="J967" i="12"/>
  <c r="L967" i="12" s="1"/>
  <c r="Q962" i="12"/>
  <c r="Q958" i="12"/>
  <c r="Q950" i="12"/>
  <c r="K901" i="12"/>
  <c r="K902" i="12"/>
  <c r="K903" i="12"/>
  <c r="K904" i="12"/>
  <c r="K905" i="12"/>
  <c r="K906" i="12"/>
  <c r="K907" i="12"/>
  <c r="K908" i="12"/>
  <c r="K909" i="12"/>
  <c r="K910" i="12"/>
  <c r="K911" i="12"/>
  <c r="K912" i="12"/>
  <c r="K913" i="12"/>
  <c r="K914" i="12"/>
  <c r="K915" i="12"/>
  <c r="K916" i="12"/>
  <c r="K917" i="12"/>
  <c r="K918" i="12"/>
  <c r="K919" i="12"/>
  <c r="K920" i="12"/>
  <c r="K921" i="12"/>
  <c r="K922" i="12"/>
  <c r="K923" i="12"/>
  <c r="K925" i="12"/>
  <c r="K926" i="12"/>
  <c r="K927" i="12"/>
  <c r="K928" i="12"/>
  <c r="K929" i="12"/>
  <c r="K930" i="12"/>
  <c r="K931" i="12"/>
  <c r="K932" i="12"/>
  <c r="K933" i="12"/>
  <c r="K934" i="12"/>
  <c r="K935" i="12"/>
  <c r="K936" i="12"/>
  <c r="K937" i="12"/>
  <c r="K938" i="12"/>
  <c r="K939" i="12"/>
  <c r="K940" i="12"/>
  <c r="K941" i="12"/>
  <c r="K942" i="12"/>
  <c r="K943" i="12"/>
  <c r="K944" i="12"/>
  <c r="K900" i="12"/>
  <c r="K899" i="12"/>
  <c r="K896" i="12"/>
  <c r="K897" i="12"/>
  <c r="K898" i="12"/>
  <c r="I928" i="12"/>
  <c r="Q944" i="12"/>
  <c r="P943" i="12"/>
  <c r="H943" i="12"/>
  <c r="P942" i="12"/>
  <c r="H942" i="12"/>
  <c r="H941" i="12"/>
  <c r="Q940" i="12"/>
  <c r="Q939" i="12"/>
  <c r="P938" i="12"/>
  <c r="H938" i="12"/>
  <c r="Q937" i="12"/>
  <c r="P936" i="12"/>
  <c r="H936" i="12"/>
  <c r="Q935" i="12"/>
  <c r="Q934" i="12"/>
  <c r="Q933" i="12"/>
  <c r="Q932" i="12"/>
  <c r="Q931" i="12"/>
  <c r="Q930" i="12"/>
  <c r="Q929" i="12"/>
  <c r="Q928" i="12"/>
  <c r="Q927" i="12"/>
  <c r="Q926" i="12"/>
  <c r="Q925" i="12"/>
  <c r="Q923" i="12"/>
  <c r="Q922" i="12"/>
  <c r="Q921" i="12"/>
  <c r="Q920" i="12"/>
  <c r="M920" i="12" l="1"/>
  <c r="M925" i="12"/>
  <c r="M926" i="12"/>
  <c r="M927" i="12"/>
  <c r="M928" i="12"/>
  <c r="M937" i="12"/>
  <c r="M938" i="12"/>
  <c r="M939" i="12"/>
  <c r="M940" i="12"/>
  <c r="M921" i="12"/>
  <c r="M930" i="12"/>
  <c r="M933" i="12"/>
  <c r="M942" i="12"/>
  <c r="O936" i="12"/>
  <c r="O943" i="12"/>
  <c r="O938" i="12"/>
  <c r="Q941" i="12"/>
  <c r="O941" i="12"/>
  <c r="O942" i="12"/>
  <c r="J930" i="12"/>
  <c r="L930" i="12" s="1"/>
  <c r="J941" i="12"/>
  <c r="L941" i="12" s="1"/>
  <c r="J940" i="12"/>
  <c r="L940" i="12" s="1"/>
  <c r="J928" i="12"/>
  <c r="L928" i="12" s="1"/>
  <c r="J942" i="12"/>
  <c r="L942" i="12" s="1"/>
  <c r="J939" i="12"/>
  <c r="L939" i="12" s="1"/>
  <c r="J931" i="12"/>
  <c r="L931" i="12" s="1"/>
  <c r="J929" i="12"/>
  <c r="L929" i="12" s="1"/>
  <c r="J927" i="12"/>
  <c r="L927" i="12" s="1"/>
  <c r="J938" i="12"/>
  <c r="L938" i="12" s="1"/>
  <c r="J926" i="12"/>
  <c r="L926" i="12" s="1"/>
  <c r="J943" i="12"/>
  <c r="L943" i="12" s="1"/>
  <c r="J923" i="12"/>
  <c r="L923" i="12" s="1"/>
  <c r="J925" i="12"/>
  <c r="L925" i="12" s="1"/>
  <c r="J922" i="12"/>
  <c r="L922" i="12" s="1"/>
  <c r="J921" i="12"/>
  <c r="L921" i="12" s="1"/>
  <c r="J937" i="12"/>
  <c r="L937" i="12" s="1"/>
  <c r="J936" i="12"/>
  <c r="L936" i="12" s="1"/>
  <c r="J920" i="12"/>
  <c r="L920" i="12" s="1"/>
  <c r="J933" i="12"/>
  <c r="L933" i="12" s="1"/>
  <c r="J935" i="12"/>
  <c r="L935" i="12" s="1"/>
  <c r="J944" i="12"/>
  <c r="L944" i="12" s="1"/>
  <c r="J932" i="12"/>
  <c r="L932" i="12" s="1"/>
  <c r="Q938" i="12"/>
  <c r="Q936" i="12"/>
  <c r="Q942" i="12"/>
  <c r="Q943" i="12"/>
  <c r="M932" i="12" l="1"/>
  <c r="M923" i="12"/>
  <c r="M936" i="12"/>
  <c r="M931" i="12"/>
  <c r="M941" i="12"/>
  <c r="M922" i="12"/>
  <c r="M935" i="12"/>
  <c r="M929" i="12"/>
  <c r="M943" i="12"/>
  <c r="M934" i="12"/>
  <c r="M944" i="12"/>
  <c r="K882" i="12"/>
  <c r="I882" i="12"/>
  <c r="Q882" i="12"/>
  <c r="O882" i="12"/>
  <c r="I906" i="12"/>
  <c r="I914" i="12"/>
  <c r="I919" i="12"/>
  <c r="Q919" i="12"/>
  <c r="Q918" i="12"/>
  <c r="P917" i="12"/>
  <c r="H917" i="12"/>
  <c r="P916" i="12"/>
  <c r="H916" i="12"/>
  <c r="Q915" i="12"/>
  <c r="Q914" i="12"/>
  <c r="P913" i="12"/>
  <c r="H913" i="12"/>
  <c r="Q912" i="12"/>
  <c r="Q911" i="12"/>
  <c r="Q910" i="12"/>
  <c r="Q909" i="12"/>
  <c r="Q908" i="12"/>
  <c r="Q907" i="12"/>
  <c r="Q906" i="12"/>
  <c r="P905" i="12"/>
  <c r="H905" i="12"/>
  <c r="Q904" i="12"/>
  <c r="P903" i="12"/>
  <c r="H903" i="12"/>
  <c r="P902" i="12"/>
  <c r="H902" i="12"/>
  <c r="Q901" i="12"/>
  <c r="Q900" i="12"/>
  <c r="P899" i="12"/>
  <c r="H899" i="12"/>
  <c r="Q898" i="12"/>
  <c r="P897" i="12"/>
  <c r="H897" i="12"/>
  <c r="Q896" i="12"/>
  <c r="Q872" i="12"/>
  <c r="H864" i="12"/>
  <c r="M819" i="12" l="1"/>
  <c r="M823" i="12"/>
  <c r="M835" i="12"/>
  <c r="M872" i="12"/>
  <c r="M884" i="12"/>
  <c r="M887" i="12"/>
  <c r="M908" i="12"/>
  <c r="O897" i="12"/>
  <c r="O905" i="12"/>
  <c r="O899" i="12"/>
  <c r="O917" i="12"/>
  <c r="O916" i="12"/>
  <c r="O902" i="12"/>
  <c r="O903" i="12"/>
  <c r="O913" i="12"/>
  <c r="J897" i="12"/>
  <c r="L897" i="12" s="1"/>
  <c r="J914" i="12"/>
  <c r="L914" i="12" s="1"/>
  <c r="J904" i="12"/>
  <c r="L904" i="12" s="1"/>
  <c r="J913" i="12"/>
  <c r="L913" i="12" s="1"/>
  <c r="J882" i="12"/>
  <c r="L882" i="12" s="1"/>
  <c r="J911" i="12"/>
  <c r="L911" i="12" s="1"/>
  <c r="J903" i="12"/>
  <c r="L903" i="12" s="1"/>
  <c r="J912" i="12"/>
  <c r="L912" i="12" s="1"/>
  <c r="J909" i="12"/>
  <c r="L909" i="12" s="1"/>
  <c r="J899" i="12"/>
  <c r="L899" i="12" s="1"/>
  <c r="J908" i="12"/>
  <c r="L908" i="12" s="1"/>
  <c r="J902" i="12"/>
  <c r="L902" i="12" s="1"/>
  <c r="J910" i="12"/>
  <c r="L910" i="12" s="1"/>
  <c r="J919" i="12"/>
  <c r="L919" i="12" s="1"/>
  <c r="J907" i="12"/>
  <c r="L907" i="12" s="1"/>
  <c r="J901" i="12"/>
  <c r="L901" i="12" s="1"/>
  <c r="J906" i="12"/>
  <c r="L906" i="12" s="1"/>
  <c r="J917" i="12"/>
  <c r="L917" i="12" s="1"/>
  <c r="J905" i="12"/>
  <c r="L905" i="12" s="1"/>
  <c r="J896" i="12"/>
  <c r="L896" i="12" s="1"/>
  <c r="J916" i="12"/>
  <c r="L916" i="12" s="1"/>
  <c r="J918" i="12"/>
  <c r="L918" i="12" s="1"/>
  <c r="J898" i="12"/>
  <c r="L898" i="12" s="1"/>
  <c r="J915" i="12"/>
  <c r="L915" i="12" s="1"/>
  <c r="Q903" i="12"/>
  <c r="Q917" i="12"/>
  <c r="Q897" i="12"/>
  <c r="Q902" i="12"/>
  <c r="Q913" i="12"/>
  <c r="Q905" i="12"/>
  <c r="Q916" i="12"/>
  <c r="Q899" i="12"/>
  <c r="M847" i="12"/>
  <c r="M850" i="12"/>
  <c r="M859" i="12"/>
  <c r="M862" i="12"/>
  <c r="M871" i="12"/>
  <c r="M874" i="12"/>
  <c r="M895" i="12"/>
  <c r="M898" i="12"/>
  <c r="M907" i="12"/>
  <c r="M910" i="12"/>
  <c r="M919" i="12"/>
  <c r="M866" i="12"/>
  <c r="K873" i="12"/>
  <c r="K874" i="12"/>
  <c r="K875" i="12"/>
  <c r="K876" i="12"/>
  <c r="K877" i="12"/>
  <c r="K878" i="12"/>
  <c r="K879" i="12"/>
  <c r="K880" i="12"/>
  <c r="K881" i="12"/>
  <c r="K883" i="12"/>
  <c r="K884" i="12"/>
  <c r="K885" i="12"/>
  <c r="K886" i="12"/>
  <c r="K887" i="12"/>
  <c r="K888" i="12"/>
  <c r="K889" i="12"/>
  <c r="K890" i="12"/>
  <c r="K891" i="12"/>
  <c r="K892" i="12"/>
  <c r="K893" i="12"/>
  <c r="K894" i="12"/>
  <c r="K895" i="12"/>
  <c r="G847" i="12"/>
  <c r="G848" i="12"/>
  <c r="M890" i="12" l="1"/>
  <c r="M848" i="12"/>
  <c r="M851" i="12"/>
  <c r="M904" i="12"/>
  <c r="M875" i="12"/>
  <c r="M878" i="12"/>
  <c r="M892" i="12"/>
  <c r="M902" i="12"/>
  <c r="M914" i="12"/>
  <c r="M896" i="12"/>
  <c r="M827" i="12"/>
  <c r="M899" i="12"/>
  <c r="M911" i="12"/>
  <c r="J894" i="12"/>
  <c r="L894" i="12" s="1"/>
  <c r="M839" i="12"/>
  <c r="M831" i="12"/>
  <c r="M868" i="12"/>
  <c r="M867" i="12"/>
  <c r="M916" i="12"/>
  <c r="M864" i="12"/>
  <c r="M913" i="12"/>
  <c r="M849" i="12"/>
  <c r="M901" i="12"/>
  <c r="M843" i="12"/>
  <c r="M889" i="12"/>
  <c r="M865" i="12"/>
  <c r="M855" i="12"/>
  <c r="M844" i="12"/>
  <c r="M876" i="12"/>
  <c r="M877" i="12"/>
  <c r="M861" i="12"/>
  <c r="M852" i="12"/>
  <c r="M856" i="12"/>
  <c r="M873" i="12"/>
  <c r="M870" i="12"/>
  <c r="M820" i="12"/>
  <c r="M883" i="12"/>
  <c r="M903" i="12"/>
  <c r="M828" i="12"/>
  <c r="M886" i="12"/>
  <c r="M838" i="12"/>
  <c r="M880" i="12"/>
  <c r="M825" i="12"/>
  <c r="M863" i="12"/>
  <c r="M881" i="12"/>
  <c r="M854" i="12"/>
  <c r="M834" i="12"/>
  <c r="M836" i="12"/>
  <c r="M832" i="12"/>
  <c r="M893" i="12"/>
  <c r="M841" i="12"/>
  <c r="M845" i="12"/>
  <c r="M842" i="12"/>
  <c r="M830" i="12"/>
  <c r="M853" i="12"/>
  <c r="M860" i="12"/>
  <c r="M858" i="12"/>
  <c r="M912" i="12"/>
  <c r="M833" i="12"/>
  <c r="M906" i="12"/>
  <c r="M891" i="12"/>
  <c r="M905" i="12"/>
  <c r="M824" i="12"/>
  <c r="M846" i="12"/>
  <c r="M882" i="12"/>
  <c r="M885" i="12"/>
  <c r="M894" i="12"/>
  <c r="M829" i="12"/>
  <c r="M837" i="12"/>
  <c r="M826" i="12"/>
  <c r="M918" i="12"/>
  <c r="M857" i="12"/>
  <c r="M915" i="12"/>
  <c r="M900" i="12"/>
  <c r="M897" i="12"/>
  <c r="M822" i="12"/>
  <c r="M821" i="12"/>
  <c r="M869" i="12"/>
  <c r="M888" i="12"/>
  <c r="M909" i="12"/>
  <c r="M917" i="12"/>
  <c r="M879" i="12"/>
  <c r="M840" i="12"/>
  <c r="Q895" i="12"/>
  <c r="Q894" i="12"/>
  <c r="I894" i="12"/>
  <c r="Q893" i="12"/>
  <c r="Q892" i="12"/>
  <c r="Q891" i="12"/>
  <c r="Q890" i="12"/>
  <c r="O890" i="12"/>
  <c r="Q889" i="12"/>
  <c r="O889" i="12"/>
  <c r="Q888" i="12"/>
  <c r="O888" i="12"/>
  <c r="Q887" i="12"/>
  <c r="O887" i="12"/>
  <c r="P886" i="12"/>
  <c r="H886" i="12"/>
  <c r="Q885" i="12"/>
  <c r="O885" i="12"/>
  <c r="Q884" i="12"/>
  <c r="O884" i="12"/>
  <c r="Q883" i="12"/>
  <c r="O883" i="12"/>
  <c r="Q881" i="12"/>
  <c r="O881" i="12"/>
  <c r="P880" i="12"/>
  <c r="H880" i="12"/>
  <c r="Q879" i="12"/>
  <c r="O879" i="12"/>
  <c r="Q878" i="12"/>
  <c r="O878" i="12"/>
  <c r="Q877" i="12"/>
  <c r="O877" i="12"/>
  <c r="Q876" i="12"/>
  <c r="O876" i="12"/>
  <c r="P875" i="12"/>
  <c r="H875" i="12"/>
  <c r="Q874" i="12"/>
  <c r="O874" i="12"/>
  <c r="Q873" i="12"/>
  <c r="O873" i="12"/>
  <c r="K849" i="12"/>
  <c r="K850" i="12"/>
  <c r="K851" i="12"/>
  <c r="K852" i="12"/>
  <c r="K853" i="12"/>
  <c r="K854" i="12"/>
  <c r="K855" i="12"/>
  <c r="K856" i="12"/>
  <c r="K857" i="12"/>
  <c r="K858" i="12"/>
  <c r="K859" i="12"/>
  <c r="K860" i="12"/>
  <c r="K861" i="12"/>
  <c r="K862" i="12"/>
  <c r="K863" i="12"/>
  <c r="K864" i="12"/>
  <c r="K865" i="12"/>
  <c r="K866" i="12"/>
  <c r="K867" i="12"/>
  <c r="K868" i="12"/>
  <c r="K869" i="12"/>
  <c r="K870" i="12"/>
  <c r="K871" i="12"/>
  <c r="K872" i="12"/>
  <c r="K844" i="12"/>
  <c r="K845" i="12"/>
  <c r="K846" i="12"/>
  <c r="K847" i="12"/>
  <c r="K848" i="12"/>
  <c r="J892" i="12" l="1"/>
  <c r="L892" i="12" s="1"/>
  <c r="J880" i="12"/>
  <c r="L880" i="12" s="1"/>
  <c r="J885" i="12"/>
  <c r="L885" i="12" s="1"/>
  <c r="J893" i="12"/>
  <c r="L893" i="12" s="1"/>
  <c r="J888" i="12"/>
  <c r="L888" i="12" s="1"/>
  <c r="J876" i="12"/>
  <c r="L876" i="12" s="1"/>
  <c r="J889" i="12"/>
  <c r="L889" i="12" s="1"/>
  <c r="J873" i="12"/>
  <c r="L873" i="12" s="1"/>
  <c r="J884" i="12"/>
  <c r="L884" i="12" s="1"/>
  <c r="J875" i="12"/>
  <c r="L875" i="12" s="1"/>
  <c r="J881" i="12"/>
  <c r="L881" i="12" s="1"/>
  <c r="J890" i="12"/>
  <c r="L890" i="12" s="1"/>
  <c r="J874" i="12"/>
  <c r="L874" i="12" s="1"/>
  <c r="J883" i="12"/>
  <c r="L883" i="12" s="1"/>
  <c r="J891" i="12"/>
  <c r="L891" i="12" s="1"/>
  <c r="J879" i="12"/>
  <c r="L879" i="12" s="1"/>
  <c r="J877" i="12"/>
  <c r="L877" i="12" s="1"/>
  <c r="J886" i="12"/>
  <c r="L886" i="12" s="1"/>
  <c r="J878" i="12"/>
  <c r="L878" i="12" s="1"/>
  <c r="J887" i="12"/>
  <c r="L887" i="12" s="1"/>
  <c r="J895" i="12"/>
  <c r="L895" i="12" s="1"/>
  <c r="O886" i="12"/>
  <c r="O875" i="12"/>
  <c r="O880" i="12"/>
  <c r="Q880" i="12"/>
  <c r="Q875" i="12"/>
  <c r="Q886" i="12"/>
  <c r="O872" i="12" l="1"/>
  <c r="Q871" i="12"/>
  <c r="O871" i="12"/>
  <c r="Q870" i="12"/>
  <c r="O870" i="12"/>
  <c r="Q869" i="12"/>
  <c r="O869" i="12"/>
  <c r="Q868" i="12"/>
  <c r="O868" i="12"/>
  <c r="I868" i="12"/>
  <c r="Q867" i="12"/>
  <c r="O867" i="12"/>
  <c r="Q866" i="12"/>
  <c r="O866" i="12"/>
  <c r="Q865" i="12"/>
  <c r="O865" i="12"/>
  <c r="Q864" i="12"/>
  <c r="O864" i="12"/>
  <c r="Q863" i="12"/>
  <c r="Q862" i="12"/>
  <c r="O862" i="12"/>
  <c r="Q861" i="12"/>
  <c r="O861" i="12"/>
  <c r="P860" i="12"/>
  <c r="H860" i="12"/>
  <c r="Q859" i="12"/>
  <c r="O859" i="12"/>
  <c r="P858" i="12"/>
  <c r="H858" i="12"/>
  <c r="Q857" i="12"/>
  <c r="O857" i="12"/>
  <c r="Q856" i="12"/>
  <c r="O856" i="12"/>
  <c r="Q855" i="12"/>
  <c r="O855" i="12"/>
  <c r="Q854" i="12"/>
  <c r="O854" i="12"/>
  <c r="P853" i="12"/>
  <c r="H853" i="12"/>
  <c r="P852" i="12"/>
  <c r="H852" i="12"/>
  <c r="Q851" i="12"/>
  <c r="O851" i="12"/>
  <c r="Q850" i="12"/>
  <c r="O850" i="12"/>
  <c r="I850" i="12"/>
  <c r="Q849" i="12"/>
  <c r="O849" i="12"/>
  <c r="Q848" i="12"/>
  <c r="O848" i="12"/>
  <c r="Q847" i="12"/>
  <c r="O847" i="12"/>
  <c r="Q846" i="12"/>
  <c r="O846" i="12"/>
  <c r="Q845" i="12"/>
  <c r="O845" i="12"/>
  <c r="Q844" i="12"/>
  <c r="O844" i="12"/>
  <c r="O860" i="12" l="1"/>
  <c r="J865" i="12"/>
  <c r="L865" i="12" s="1"/>
  <c r="J853" i="12"/>
  <c r="L853" i="12" s="1"/>
  <c r="J845" i="12"/>
  <c r="L845" i="12" s="1"/>
  <c r="J870" i="12"/>
  <c r="L870" i="12" s="1"/>
  <c r="J867" i="12"/>
  <c r="L867" i="12" s="1"/>
  <c r="J849" i="12"/>
  <c r="L849" i="12" s="1"/>
  <c r="J854" i="12"/>
  <c r="L854" i="12" s="1"/>
  <c r="J863" i="12"/>
  <c r="L863" i="12" s="1"/>
  <c r="J871" i="12"/>
  <c r="L871" i="12" s="1"/>
  <c r="J869" i="12"/>
  <c r="L869" i="12" s="1"/>
  <c r="J846" i="12"/>
  <c r="L846" i="12" s="1"/>
  <c r="J861" i="12"/>
  <c r="L861" i="12" s="1"/>
  <c r="J858" i="12"/>
  <c r="L858" i="12" s="1"/>
  <c r="J851" i="12"/>
  <c r="L851" i="12" s="1"/>
  <c r="J859" i="12"/>
  <c r="L859" i="12" s="1"/>
  <c r="J864" i="12"/>
  <c r="L864" i="12" s="1"/>
  <c r="J857" i="12"/>
  <c r="L857" i="12" s="1"/>
  <c r="J866" i="12"/>
  <c r="L866" i="12" s="1"/>
  <c r="J862" i="12"/>
  <c r="L862" i="12" s="1"/>
  <c r="J847" i="12"/>
  <c r="L847" i="12" s="1"/>
  <c r="J855" i="12"/>
  <c r="L855" i="12" s="1"/>
  <c r="J844" i="12"/>
  <c r="L844" i="12" s="1"/>
  <c r="J848" i="12"/>
  <c r="L848" i="12" s="1"/>
  <c r="J852" i="12"/>
  <c r="L852" i="12" s="1"/>
  <c r="J856" i="12"/>
  <c r="L856" i="12" s="1"/>
  <c r="J860" i="12"/>
  <c r="L860" i="12" s="1"/>
  <c r="J868" i="12"/>
  <c r="L868" i="12" s="1"/>
  <c r="J872" i="12"/>
  <c r="L872" i="12" s="1"/>
  <c r="O858" i="12"/>
  <c r="Q852" i="12"/>
  <c r="Q853" i="12"/>
  <c r="Q860" i="12"/>
  <c r="O853" i="12"/>
  <c r="Q858" i="12"/>
  <c r="O852" i="12"/>
  <c r="O863" i="12"/>
  <c r="J850" i="12" l="1"/>
  <c r="L850" i="12" s="1"/>
  <c r="K819" i="12" l="1"/>
  <c r="K820" i="12"/>
  <c r="K821" i="12"/>
  <c r="K822" i="12"/>
  <c r="K823" i="12"/>
  <c r="K824" i="12"/>
  <c r="K825" i="12"/>
  <c r="K826" i="12"/>
  <c r="K827" i="12"/>
  <c r="K828" i="12"/>
  <c r="K829" i="12"/>
  <c r="K830" i="12"/>
  <c r="K831" i="12"/>
  <c r="K832" i="12"/>
  <c r="K833" i="12"/>
  <c r="K834" i="12"/>
  <c r="K835" i="12"/>
  <c r="K836" i="12"/>
  <c r="K837" i="12"/>
  <c r="K838" i="12"/>
  <c r="K839" i="12"/>
  <c r="K840" i="12"/>
  <c r="K841" i="12"/>
  <c r="K842" i="12"/>
  <c r="K843" i="12"/>
  <c r="G824" i="12"/>
  <c r="G832" i="12"/>
  <c r="P843" i="12" l="1"/>
  <c r="H843" i="12"/>
  <c r="Q842" i="12"/>
  <c r="O842" i="12"/>
  <c r="Q841" i="12"/>
  <c r="O841" i="12"/>
  <c r="Q840" i="12"/>
  <c r="O840" i="12"/>
  <c r="P839" i="12"/>
  <c r="H839" i="12"/>
  <c r="Q838" i="12"/>
  <c r="O838" i="12"/>
  <c r="Q837" i="12"/>
  <c r="O837" i="12"/>
  <c r="Q836" i="12"/>
  <c r="O836" i="12"/>
  <c r="Q835" i="12"/>
  <c r="O835" i="12"/>
  <c r="Q834" i="12"/>
  <c r="O834" i="12"/>
  <c r="Q833" i="12"/>
  <c r="O833" i="12"/>
  <c r="Q832" i="12"/>
  <c r="O832" i="12"/>
  <c r="P831" i="12"/>
  <c r="H831" i="12"/>
  <c r="Q830" i="12"/>
  <c r="O830" i="12"/>
  <c r="Q829" i="12"/>
  <c r="O829" i="12"/>
  <c r="I829" i="12"/>
  <c r="Q828" i="12"/>
  <c r="O828" i="12"/>
  <c r="Q827" i="12"/>
  <c r="O827" i="12"/>
  <c r="Q826" i="12"/>
  <c r="O826" i="12"/>
  <c r="I826" i="12"/>
  <c r="Q825" i="12"/>
  <c r="O825" i="12"/>
  <c r="Q824" i="12"/>
  <c r="O824" i="12"/>
  <c r="L824" i="12"/>
  <c r="I824" i="12"/>
  <c r="Q823" i="12"/>
  <c r="O823" i="12"/>
  <c r="Q822" i="12"/>
  <c r="O822" i="12"/>
  <c r="Q821" i="12"/>
  <c r="O821" i="12"/>
  <c r="I821" i="12"/>
  <c r="Q820" i="12"/>
  <c r="O820" i="12"/>
  <c r="Q819" i="12"/>
  <c r="O819" i="12"/>
  <c r="G796" i="12"/>
  <c r="G807" i="12"/>
  <c r="G808" i="12"/>
  <c r="J836" i="12" l="1"/>
  <c r="L836" i="12" s="1"/>
  <c r="J819" i="12"/>
  <c r="L819" i="12" s="1"/>
  <c r="J826" i="12"/>
  <c r="L826" i="12" s="1"/>
  <c r="J820" i="12"/>
  <c r="L820" i="12" s="1"/>
  <c r="J827" i="12"/>
  <c r="L827" i="12" s="1"/>
  <c r="J831" i="12"/>
  <c r="L831" i="12" s="1"/>
  <c r="J835" i="12"/>
  <c r="L835" i="12" s="1"/>
  <c r="J839" i="12"/>
  <c r="L839" i="12" s="1"/>
  <c r="J823" i="12"/>
  <c r="L823" i="12" s="1"/>
  <c r="J830" i="12"/>
  <c r="L830" i="12" s="1"/>
  <c r="J834" i="12"/>
  <c r="L834" i="12" s="1"/>
  <c r="J838" i="12"/>
  <c r="L838" i="12" s="1"/>
  <c r="J842" i="12"/>
  <c r="L842" i="12" s="1"/>
  <c r="J824" i="12"/>
  <c r="J828" i="12"/>
  <c r="L828" i="12" s="1"/>
  <c r="J825" i="12"/>
  <c r="L825" i="12" s="1"/>
  <c r="J821" i="12"/>
  <c r="L821" i="12" s="1"/>
  <c r="J832" i="12"/>
  <c r="L832" i="12" s="1"/>
  <c r="J840" i="12"/>
  <c r="L840" i="12" s="1"/>
  <c r="J822" i="12"/>
  <c r="L822" i="12" s="1"/>
  <c r="J829" i="12"/>
  <c r="L829" i="12" s="1"/>
  <c r="J833" i="12"/>
  <c r="L833" i="12" s="1"/>
  <c r="J837" i="12"/>
  <c r="L837" i="12" s="1"/>
  <c r="J841" i="12"/>
  <c r="L841" i="12" s="1"/>
  <c r="O843" i="12"/>
  <c r="O839" i="12"/>
  <c r="Q831" i="12"/>
  <c r="Q839" i="12"/>
  <c r="Q843" i="12"/>
  <c r="O831" i="12"/>
  <c r="K798" i="12"/>
  <c r="K799" i="12"/>
  <c r="K800" i="12"/>
  <c r="K801" i="12"/>
  <c r="K802" i="12"/>
  <c r="K803" i="12"/>
  <c r="K804" i="12"/>
  <c r="K805" i="12"/>
  <c r="K806" i="12"/>
  <c r="K807" i="12"/>
  <c r="K808" i="12"/>
  <c r="K809" i="12"/>
  <c r="K810" i="12"/>
  <c r="K811" i="12"/>
  <c r="K812" i="12"/>
  <c r="K813" i="12"/>
  <c r="K814" i="12"/>
  <c r="K815" i="12"/>
  <c r="K816" i="12"/>
  <c r="K817" i="12"/>
  <c r="K818" i="12"/>
  <c r="K786" i="12"/>
  <c r="K787" i="12"/>
  <c r="K788" i="12"/>
  <c r="K789" i="12"/>
  <c r="K790" i="12"/>
  <c r="K791" i="12"/>
  <c r="K792" i="12"/>
  <c r="K793" i="12"/>
  <c r="K794" i="12"/>
  <c r="K795" i="12"/>
  <c r="K796" i="12"/>
  <c r="K797" i="12"/>
  <c r="Q818" i="12"/>
  <c r="O818" i="12"/>
  <c r="P817" i="12"/>
  <c r="H817" i="12"/>
  <c r="Q816" i="12"/>
  <c r="O816" i="12"/>
  <c r="I816" i="12"/>
  <c r="Q815" i="12"/>
  <c r="O815" i="12"/>
  <c r="Q814" i="12"/>
  <c r="O814" i="12"/>
  <c r="P813" i="12"/>
  <c r="H813" i="12"/>
  <c r="Q812" i="12"/>
  <c r="O812" i="12"/>
  <c r="Q811" i="12"/>
  <c r="O811" i="12"/>
  <c r="Q810" i="12"/>
  <c r="O810" i="12"/>
  <c r="Q809" i="12"/>
  <c r="O809" i="12"/>
  <c r="Q808" i="12"/>
  <c r="O808" i="12"/>
  <c r="I808" i="12"/>
  <c r="Q807" i="12"/>
  <c r="O807" i="12"/>
  <c r="I807" i="12"/>
  <c r="Q806" i="12"/>
  <c r="O806" i="12"/>
  <c r="I806" i="12"/>
  <c r="Q805" i="12"/>
  <c r="O805" i="12"/>
  <c r="Q804" i="12"/>
  <c r="O804" i="12"/>
  <c r="Q803" i="12"/>
  <c r="O803" i="12"/>
  <c r="P802" i="12"/>
  <c r="H802" i="12"/>
  <c r="Q801" i="12"/>
  <c r="O801" i="12"/>
  <c r="Q800" i="12"/>
  <c r="O800" i="12"/>
  <c r="Q799" i="12"/>
  <c r="O799" i="12"/>
  <c r="Q798" i="12"/>
  <c r="O798" i="12"/>
  <c r="I798" i="12"/>
  <c r="Q797" i="12"/>
  <c r="O797" i="12"/>
  <c r="I797" i="12"/>
  <c r="Q796" i="12"/>
  <c r="O796" i="12"/>
  <c r="Q795" i="12"/>
  <c r="O795" i="12"/>
  <c r="Q794" i="12"/>
  <c r="O794" i="12"/>
  <c r="P793" i="12"/>
  <c r="H793" i="12"/>
  <c r="Q792" i="12"/>
  <c r="O792" i="12"/>
  <c r="G781" i="12"/>
  <c r="G787" i="12"/>
  <c r="G721" i="12"/>
  <c r="G718" i="12"/>
  <c r="G698" i="12"/>
  <c r="K704" i="12"/>
  <c r="K705" i="12"/>
  <c r="K706" i="12"/>
  <c r="K707" i="12"/>
  <c r="K708" i="12"/>
  <c r="K709" i="12"/>
  <c r="K710" i="12"/>
  <c r="K711" i="12"/>
  <c r="K712" i="12"/>
  <c r="K713" i="12"/>
  <c r="K714" i="12"/>
  <c r="K715" i="12"/>
  <c r="K716" i="12"/>
  <c r="K717" i="12"/>
  <c r="K718" i="12"/>
  <c r="K719" i="12"/>
  <c r="K720" i="12"/>
  <c r="K721" i="12"/>
  <c r="K722" i="12"/>
  <c r="K723" i="12"/>
  <c r="K724" i="12"/>
  <c r="K725" i="12"/>
  <c r="K726" i="12"/>
  <c r="K727" i="12"/>
  <c r="K728" i="12"/>
  <c r="K729" i="12"/>
  <c r="K730" i="12"/>
  <c r="K731" i="12"/>
  <c r="K732" i="12"/>
  <c r="K733" i="12"/>
  <c r="K734" i="12"/>
  <c r="K735" i="12"/>
  <c r="K736" i="12"/>
  <c r="K737" i="12"/>
  <c r="K738" i="12"/>
  <c r="K739" i="12"/>
  <c r="K740" i="12"/>
  <c r="K741" i="12"/>
  <c r="K742" i="12"/>
  <c r="K743" i="12"/>
  <c r="K744" i="12"/>
  <c r="K745" i="12"/>
  <c r="K746" i="12"/>
  <c r="K747" i="12"/>
  <c r="K748" i="12"/>
  <c r="K749" i="12"/>
  <c r="K750" i="12"/>
  <c r="K751" i="12"/>
  <c r="K752" i="12"/>
  <c r="K753" i="12"/>
  <c r="K754" i="12"/>
  <c r="K755" i="12"/>
  <c r="K756" i="12"/>
  <c r="K757" i="12"/>
  <c r="K758" i="12"/>
  <c r="K759" i="12"/>
  <c r="K760" i="12"/>
  <c r="K761" i="12"/>
  <c r="K762" i="12"/>
  <c r="K763" i="12"/>
  <c r="K764" i="12"/>
  <c r="K765" i="12"/>
  <c r="K766" i="12"/>
  <c r="K767" i="12"/>
  <c r="K768" i="12"/>
  <c r="K769" i="12"/>
  <c r="K770" i="12"/>
  <c r="K771" i="12"/>
  <c r="K772" i="12"/>
  <c r="K773" i="12"/>
  <c r="K774" i="12"/>
  <c r="K775" i="12"/>
  <c r="K776" i="12"/>
  <c r="K777" i="12"/>
  <c r="K778" i="12"/>
  <c r="K779" i="12"/>
  <c r="K780" i="12"/>
  <c r="K781" i="12"/>
  <c r="K782" i="12"/>
  <c r="K783" i="12"/>
  <c r="K784" i="12"/>
  <c r="K785" i="12"/>
  <c r="Q791" i="12"/>
  <c r="O791" i="12"/>
  <c r="H790" i="12"/>
  <c r="O790" i="12" s="1"/>
  <c r="Q789" i="12"/>
  <c r="O789" i="12"/>
  <c r="Q788" i="12"/>
  <c r="O788" i="12"/>
  <c r="Q787" i="12"/>
  <c r="O787" i="12"/>
  <c r="Q786" i="12"/>
  <c r="O786" i="12"/>
  <c r="P785" i="12"/>
  <c r="H785" i="12"/>
  <c r="Q784" i="12"/>
  <c r="O784" i="12"/>
  <c r="I784" i="12"/>
  <c r="Q783" i="12"/>
  <c r="O783" i="12"/>
  <c r="Q782" i="12"/>
  <c r="O782" i="12"/>
  <c r="Q781" i="12"/>
  <c r="O781" i="12"/>
  <c r="Q780" i="12"/>
  <c r="O780" i="12"/>
  <c r="Q779" i="12"/>
  <c r="O779" i="12"/>
  <c r="I779" i="12"/>
  <c r="Q778" i="12"/>
  <c r="O778" i="12"/>
  <c r="I778" i="12"/>
  <c r="Q777" i="12"/>
  <c r="O777" i="12"/>
  <c r="H776" i="12"/>
  <c r="Q776" i="12" s="1"/>
  <c r="Q775" i="12"/>
  <c r="O775" i="12"/>
  <c r="Q774" i="12"/>
  <c r="O774" i="12"/>
  <c r="Q773" i="12"/>
  <c r="O773" i="12"/>
  <c r="Q772" i="12"/>
  <c r="O772" i="12"/>
  <c r="P771" i="12"/>
  <c r="H771" i="12"/>
  <c r="Q770" i="12"/>
  <c r="O770" i="12"/>
  <c r="Q769" i="12"/>
  <c r="O769" i="12"/>
  <c r="Q768" i="12"/>
  <c r="O768" i="12"/>
  <c r="P767" i="12"/>
  <c r="H767" i="12"/>
  <c r="Q766" i="12"/>
  <c r="O766" i="12"/>
  <c r="Q765" i="12"/>
  <c r="O765" i="12"/>
  <c r="Q764" i="12"/>
  <c r="O764" i="12"/>
  <c r="Q763" i="12"/>
  <c r="O763" i="12"/>
  <c r="Q762" i="12"/>
  <c r="O762" i="12"/>
  <c r="Q761" i="12"/>
  <c r="O761" i="12"/>
  <c r="Q760" i="12"/>
  <c r="O760" i="12"/>
  <c r="Q759" i="12"/>
  <c r="O759" i="12"/>
  <c r="Q758" i="12"/>
  <c r="O758" i="12"/>
  <c r="Q757" i="12"/>
  <c r="O757" i="12"/>
  <c r="Q756" i="12"/>
  <c r="O756" i="12"/>
  <c r="P755" i="12"/>
  <c r="H755" i="12"/>
  <c r="Q754" i="12"/>
  <c r="O754" i="12"/>
  <c r="I754" i="12"/>
  <c r="Q753" i="12"/>
  <c r="O753" i="12"/>
  <c r="Q752" i="12"/>
  <c r="O752" i="12"/>
  <c r="Q751" i="12"/>
  <c r="O751" i="12"/>
  <c r="Q750" i="12"/>
  <c r="O750" i="12"/>
  <c r="Q749" i="12"/>
  <c r="O749" i="12"/>
  <c r="H712" i="12"/>
  <c r="O712" i="12" s="1"/>
  <c r="J769" i="12" l="1"/>
  <c r="L769" i="12" s="1"/>
  <c r="J791" i="12"/>
  <c r="L791" i="12" s="1"/>
  <c r="J779" i="12"/>
  <c r="L779" i="12" s="1"/>
  <c r="J755" i="12"/>
  <c r="L755" i="12" s="1"/>
  <c r="J798" i="12"/>
  <c r="L798" i="12" s="1"/>
  <c r="J789" i="12"/>
  <c r="L789" i="12" s="1"/>
  <c r="J777" i="12"/>
  <c r="L777" i="12" s="1"/>
  <c r="J765" i="12"/>
  <c r="L765" i="12" s="1"/>
  <c r="J795" i="12"/>
  <c r="L795" i="12" s="1"/>
  <c r="J811" i="12"/>
  <c r="L811" i="12" s="1"/>
  <c r="J815" i="12"/>
  <c r="L815" i="12" s="1"/>
  <c r="J788" i="12"/>
  <c r="L788" i="12" s="1"/>
  <c r="J776" i="12"/>
  <c r="L776" i="12" s="1"/>
  <c r="J764" i="12"/>
  <c r="L764" i="12" s="1"/>
  <c r="J752" i="12"/>
  <c r="L752" i="12" s="1"/>
  <c r="J799" i="12"/>
  <c r="L799" i="12" s="1"/>
  <c r="J803" i="12"/>
  <c r="L803" i="12" s="1"/>
  <c r="J787" i="12"/>
  <c r="L787" i="12" s="1"/>
  <c r="J806" i="12"/>
  <c r="L806" i="12" s="1"/>
  <c r="J785" i="12"/>
  <c r="L785" i="12" s="1"/>
  <c r="J773" i="12"/>
  <c r="L773" i="12" s="1"/>
  <c r="J761" i="12"/>
  <c r="L761" i="12" s="1"/>
  <c r="J800" i="12"/>
  <c r="L800" i="12" s="1"/>
  <c r="J807" i="12"/>
  <c r="L807" i="12" s="1"/>
  <c r="J784" i="12"/>
  <c r="L784" i="12" s="1"/>
  <c r="J772" i="12"/>
  <c r="L772" i="12" s="1"/>
  <c r="J760" i="12"/>
  <c r="L760" i="12" s="1"/>
  <c r="J808" i="12"/>
  <c r="L808" i="12" s="1"/>
  <c r="J763" i="12"/>
  <c r="L763" i="12" s="1"/>
  <c r="J762" i="12"/>
  <c r="L762" i="12" s="1"/>
  <c r="J792" i="12"/>
  <c r="L792" i="12" s="1"/>
  <c r="J796" i="12"/>
  <c r="L796" i="12" s="1"/>
  <c r="J812" i="12"/>
  <c r="L812" i="12" s="1"/>
  <c r="J783" i="12"/>
  <c r="L783" i="12" s="1"/>
  <c r="J771" i="12"/>
  <c r="L771" i="12" s="1"/>
  <c r="J759" i="12"/>
  <c r="L759" i="12" s="1"/>
  <c r="J793" i="12"/>
  <c r="L793" i="12" s="1"/>
  <c r="J805" i="12"/>
  <c r="L805" i="12" s="1"/>
  <c r="J809" i="12"/>
  <c r="L809" i="12" s="1"/>
  <c r="J813" i="12"/>
  <c r="L813" i="12" s="1"/>
  <c r="J817" i="12"/>
  <c r="L817" i="12" s="1"/>
  <c r="J816" i="12"/>
  <c r="L816" i="12" s="1"/>
  <c r="J782" i="12"/>
  <c r="L782" i="12" s="1"/>
  <c r="J770" i="12"/>
  <c r="L770" i="12" s="1"/>
  <c r="J758" i="12"/>
  <c r="L758" i="12" s="1"/>
  <c r="J801" i="12"/>
  <c r="L801" i="12" s="1"/>
  <c r="J775" i="12"/>
  <c r="L775" i="12" s="1"/>
  <c r="J757" i="12"/>
  <c r="L757" i="12" s="1"/>
  <c r="J750" i="12"/>
  <c r="L750" i="12" s="1"/>
  <c r="J780" i="12"/>
  <c r="L780" i="12" s="1"/>
  <c r="J768" i="12"/>
  <c r="L768" i="12" s="1"/>
  <c r="J756" i="12"/>
  <c r="L756" i="12" s="1"/>
  <c r="J794" i="12"/>
  <c r="L794" i="12" s="1"/>
  <c r="J810" i="12"/>
  <c r="L810" i="12" s="1"/>
  <c r="J814" i="12"/>
  <c r="L814" i="12" s="1"/>
  <c r="J818" i="12"/>
  <c r="L818" i="12" s="1"/>
  <c r="J797" i="12"/>
  <c r="L797" i="12" s="1"/>
  <c r="J781" i="12"/>
  <c r="L781" i="12" s="1"/>
  <c r="J767" i="12"/>
  <c r="L767" i="12" s="1"/>
  <c r="J802" i="12"/>
  <c r="L802" i="12" s="1"/>
  <c r="J751" i="12"/>
  <c r="L751" i="12" s="1"/>
  <c r="J774" i="12"/>
  <c r="L774" i="12" s="1"/>
  <c r="J790" i="12"/>
  <c r="L790" i="12" s="1"/>
  <c r="J778" i="12"/>
  <c r="L778" i="12" s="1"/>
  <c r="J766" i="12"/>
  <c r="L766" i="12" s="1"/>
  <c r="J754" i="12"/>
  <c r="L754" i="12" s="1"/>
  <c r="J786" i="12"/>
  <c r="L786" i="12" s="1"/>
  <c r="J749" i="12"/>
  <c r="L749" i="12" s="1"/>
  <c r="Q793" i="12"/>
  <c r="Q813" i="12"/>
  <c r="O817" i="12"/>
  <c r="O802" i="12"/>
  <c r="O755" i="12"/>
  <c r="O785" i="12"/>
  <c r="Q802" i="12"/>
  <c r="Q817" i="12"/>
  <c r="O793" i="12"/>
  <c r="O813" i="12"/>
  <c r="Q790" i="12"/>
  <c r="Q767" i="12"/>
  <c r="O776" i="12"/>
  <c r="Q785" i="12"/>
  <c r="Q755" i="12"/>
  <c r="Q771" i="12"/>
  <c r="O767" i="12"/>
  <c r="O771" i="12"/>
  <c r="G2" i="12" l="1"/>
  <c r="Q748" i="12"/>
  <c r="O748" i="12"/>
  <c r="P747" i="12"/>
  <c r="H747" i="12"/>
  <c r="Q746" i="12"/>
  <c r="O746" i="12"/>
  <c r="Q745" i="12"/>
  <c r="O745" i="12"/>
  <c r="Q744" i="12"/>
  <c r="O744" i="12"/>
  <c r="Q743" i="12"/>
  <c r="O743" i="12"/>
  <c r="Q742" i="12"/>
  <c r="O742" i="12"/>
  <c r="Q741" i="12"/>
  <c r="O741" i="12"/>
  <c r="Q740" i="12"/>
  <c r="O740" i="12"/>
  <c r="Q739" i="12"/>
  <c r="O739" i="12"/>
  <c r="P738" i="12"/>
  <c r="H738" i="12"/>
  <c r="Q737" i="12"/>
  <c r="O737" i="12"/>
  <c r="Q736" i="12"/>
  <c r="O736" i="12"/>
  <c r="P735" i="12"/>
  <c r="H735" i="12"/>
  <c r="Q734" i="12"/>
  <c r="O734" i="12"/>
  <c r="Q733" i="12"/>
  <c r="O733" i="12"/>
  <c r="O503" i="12"/>
  <c r="H732" i="12"/>
  <c r="Q732" i="12" s="1"/>
  <c r="P731" i="12"/>
  <c r="H731" i="12"/>
  <c r="Q730" i="12"/>
  <c r="O730" i="12"/>
  <c r="Q729" i="12"/>
  <c r="O729" i="12"/>
  <c r="H728" i="12"/>
  <c r="Q728" i="12" s="1"/>
  <c r="P727" i="12"/>
  <c r="H727" i="12"/>
  <c r="Q726" i="12"/>
  <c r="O726" i="12"/>
  <c r="Q725" i="12"/>
  <c r="O725" i="12"/>
  <c r="Q724" i="12"/>
  <c r="O724" i="12"/>
  <c r="Q723" i="12"/>
  <c r="O723" i="12"/>
  <c r="Q722" i="12"/>
  <c r="O722" i="12"/>
  <c r="Q721" i="12"/>
  <c r="O721" i="12"/>
  <c r="Q720" i="12"/>
  <c r="O720" i="12"/>
  <c r="P719" i="12"/>
  <c r="H719" i="12"/>
  <c r="Q718" i="12"/>
  <c r="O718" i="12"/>
  <c r="Q717" i="12"/>
  <c r="O717" i="12"/>
  <c r="Q716" i="12"/>
  <c r="O716" i="12"/>
  <c r="Q715" i="12"/>
  <c r="O715" i="12"/>
  <c r="Q714" i="12"/>
  <c r="O714" i="12"/>
  <c r="Q713" i="12"/>
  <c r="O713" i="12"/>
  <c r="Q712" i="12"/>
  <c r="I712" i="12"/>
  <c r="Q711" i="12"/>
  <c r="O711" i="12"/>
  <c r="Q710" i="12"/>
  <c r="O710" i="12"/>
  <c r="P709" i="12"/>
  <c r="H709" i="12"/>
  <c r="P708" i="12"/>
  <c r="O708" i="12" s="1"/>
  <c r="Q707" i="12"/>
  <c r="O707" i="12"/>
  <c r="Q706" i="12"/>
  <c r="O706" i="12"/>
  <c r="J713" i="12" l="1"/>
  <c r="L713" i="12" s="1"/>
  <c r="J2" i="12"/>
  <c r="J733" i="12"/>
  <c r="L733" i="12" s="1"/>
  <c r="J717" i="12"/>
  <c r="L717" i="12" s="1"/>
  <c r="J714" i="12"/>
  <c r="L714" i="12" s="1"/>
  <c r="J741" i="12"/>
  <c r="L741" i="12" s="1"/>
  <c r="J709" i="12"/>
  <c r="L709" i="12" s="1"/>
  <c r="J721" i="12"/>
  <c r="L721" i="12" s="1"/>
  <c r="J746" i="12"/>
  <c r="L746" i="12" s="1"/>
  <c r="J734" i="12"/>
  <c r="L734" i="12" s="1"/>
  <c r="J718" i="12"/>
  <c r="L718" i="12" s="1"/>
  <c r="J726" i="12"/>
  <c r="L726" i="12" s="1"/>
  <c r="J747" i="12"/>
  <c r="L747" i="12" s="1"/>
  <c r="J735" i="12"/>
  <c r="L735" i="12" s="1"/>
  <c r="J711" i="12"/>
  <c r="L711" i="12" s="1"/>
  <c r="J719" i="12"/>
  <c r="L719" i="12" s="1"/>
  <c r="J727" i="12"/>
  <c r="L727" i="12" s="1"/>
  <c r="J707" i="12"/>
  <c r="L707" i="12" s="1"/>
  <c r="J748" i="12"/>
  <c r="L748" i="12" s="1"/>
  <c r="J736" i="12"/>
  <c r="L736" i="12" s="1"/>
  <c r="J728" i="12"/>
  <c r="L728" i="12" s="1"/>
  <c r="J729" i="12"/>
  <c r="L729" i="12" s="1"/>
  <c r="J737" i="12"/>
  <c r="L737" i="12" s="1"/>
  <c r="J725" i="12"/>
  <c r="L725" i="12" s="1"/>
  <c r="J730" i="12"/>
  <c r="L730" i="12" s="1"/>
  <c r="J738" i="12"/>
  <c r="L738" i="12" s="1"/>
  <c r="J710" i="12"/>
  <c r="L710" i="12" s="1"/>
  <c r="J722" i="12"/>
  <c r="L722" i="12" s="1"/>
  <c r="J706" i="12"/>
  <c r="L706" i="12" s="1"/>
  <c r="J743" i="12"/>
  <c r="L743" i="12" s="1"/>
  <c r="J731" i="12"/>
  <c r="L731" i="12" s="1"/>
  <c r="J739" i="12"/>
  <c r="L739" i="12" s="1"/>
  <c r="J715" i="12"/>
  <c r="L715" i="12" s="1"/>
  <c r="J723" i="12"/>
  <c r="L723" i="12" s="1"/>
  <c r="J744" i="12"/>
  <c r="L744" i="12" s="1"/>
  <c r="J732" i="12"/>
  <c r="L732" i="12" s="1"/>
  <c r="J740" i="12"/>
  <c r="L740" i="12" s="1"/>
  <c r="J716" i="12"/>
  <c r="L716" i="12" s="1"/>
  <c r="J720" i="12"/>
  <c r="L720" i="12" s="1"/>
  <c r="J724" i="12"/>
  <c r="L724" i="12" s="1"/>
  <c r="J708" i="12"/>
  <c r="L708" i="12" s="1"/>
  <c r="J712" i="12"/>
  <c r="L712" i="12" s="1"/>
  <c r="J745" i="12"/>
  <c r="L745" i="12" s="1"/>
  <c r="O747" i="12"/>
  <c r="O728" i="12"/>
  <c r="Q709" i="12"/>
  <c r="Q719" i="12"/>
  <c r="Q735" i="12"/>
  <c r="Q731" i="12"/>
  <c r="Q747" i="12"/>
  <c r="O731" i="12"/>
  <c r="O735" i="12"/>
  <c r="Q738" i="12"/>
  <c r="O738" i="12"/>
  <c r="Q727" i="12"/>
  <c r="O709" i="12"/>
  <c r="O727" i="12"/>
  <c r="O719" i="12"/>
  <c r="Q708" i="12"/>
  <c r="O732" i="12"/>
  <c r="O168" i="12" l="1"/>
  <c r="Q2" i="12"/>
  <c r="H692" i="12"/>
  <c r="P682" i="12" l="1"/>
  <c r="H682" i="12"/>
  <c r="O682" i="12" l="1"/>
  <c r="K679" i="12"/>
  <c r="K680" i="12"/>
  <c r="K681" i="12"/>
  <c r="K682" i="12"/>
  <c r="K683" i="12"/>
  <c r="K684" i="12"/>
  <c r="K685" i="12"/>
  <c r="K686" i="12"/>
  <c r="K687" i="12"/>
  <c r="K688" i="12"/>
  <c r="K689" i="12"/>
  <c r="K690" i="12"/>
  <c r="K691" i="12"/>
  <c r="K692" i="12"/>
  <c r="K693" i="12"/>
  <c r="K694" i="12"/>
  <c r="K695" i="12"/>
  <c r="K696" i="12"/>
  <c r="K697" i="12"/>
  <c r="K698" i="12"/>
  <c r="K699" i="12"/>
  <c r="K700" i="12"/>
  <c r="K701" i="12"/>
  <c r="K702" i="12"/>
  <c r="K703" i="12"/>
  <c r="K678" i="12"/>
  <c r="J683" i="12" l="1"/>
  <c r="L683" i="12" s="1"/>
  <c r="J682" i="12"/>
  <c r="L682" i="12" s="1"/>
  <c r="J692" i="12"/>
  <c r="L692" i="12" s="1"/>
  <c r="Q705" i="12" l="1"/>
  <c r="O705" i="12"/>
  <c r="Q704" i="12"/>
  <c r="O704" i="12"/>
  <c r="P703" i="12"/>
  <c r="H703" i="12"/>
  <c r="Q702" i="12"/>
  <c r="O702" i="12"/>
  <c r="Q701" i="12"/>
  <c r="O701" i="12"/>
  <c r="Q700" i="12"/>
  <c r="O700" i="12"/>
  <c r="Q699" i="12"/>
  <c r="O699" i="12"/>
  <c r="Q698" i="12"/>
  <c r="O698" i="12"/>
  <c r="I698" i="12"/>
  <c r="P697" i="12"/>
  <c r="H697" i="12"/>
  <c r="Q696" i="12"/>
  <c r="O696" i="12"/>
  <c r="Q695" i="12"/>
  <c r="O695" i="12"/>
  <c r="I695" i="12"/>
  <c r="Q694" i="12"/>
  <c r="O694" i="12"/>
  <c r="Q693" i="12"/>
  <c r="O693" i="12"/>
  <c r="Q692" i="12"/>
  <c r="O692" i="12"/>
  <c r="Q691" i="12"/>
  <c r="O691" i="12"/>
  <c r="Q690" i="12"/>
  <c r="O690" i="12"/>
  <c r="P689" i="12"/>
  <c r="H689" i="12"/>
  <c r="Q688" i="12"/>
  <c r="O688" i="12"/>
  <c r="Q687" i="12"/>
  <c r="O687" i="12"/>
  <c r="Q686" i="12"/>
  <c r="O686" i="12"/>
  <c r="Q685" i="12"/>
  <c r="O685" i="12"/>
  <c r="Q684" i="12"/>
  <c r="O684" i="12"/>
  <c r="Q683" i="12"/>
  <c r="O683" i="12"/>
  <c r="I683" i="12"/>
  <c r="Q682" i="12"/>
  <c r="Q681" i="12"/>
  <c r="O681" i="12"/>
  <c r="Q680" i="12"/>
  <c r="O680" i="12"/>
  <c r="Q679" i="12"/>
  <c r="O679" i="12"/>
  <c r="Q678" i="12"/>
  <c r="O678" i="12"/>
  <c r="O697" i="12" l="1"/>
  <c r="O703" i="12"/>
  <c r="J702" i="12"/>
  <c r="L702" i="12" s="1"/>
  <c r="J691" i="12"/>
  <c r="L691" i="12" s="1"/>
  <c r="J699" i="12"/>
  <c r="L699" i="12" s="1"/>
  <c r="J684" i="12"/>
  <c r="L684" i="12" s="1"/>
  <c r="J693" i="12"/>
  <c r="L693" i="12" s="1"/>
  <c r="J697" i="12"/>
  <c r="L697" i="12" s="1"/>
  <c r="J687" i="12"/>
  <c r="L687" i="12" s="1"/>
  <c r="J679" i="12"/>
  <c r="L679" i="12" s="1"/>
  <c r="J688" i="12"/>
  <c r="L688" i="12" s="1"/>
  <c r="J704" i="12"/>
  <c r="L704" i="12" s="1"/>
  <c r="J689" i="12"/>
  <c r="L689" i="12" s="1"/>
  <c r="J701" i="12"/>
  <c r="L701" i="12" s="1"/>
  <c r="J694" i="12"/>
  <c r="L694" i="12" s="1"/>
  <c r="J698" i="12"/>
  <c r="L698" i="12" s="1"/>
  <c r="J678" i="12"/>
  <c r="L678" i="12" s="1"/>
  <c r="J695" i="12"/>
  <c r="L695" i="12" s="1"/>
  <c r="J703" i="12"/>
  <c r="L703" i="12" s="1"/>
  <c r="J696" i="12"/>
  <c r="L696" i="12" s="1"/>
  <c r="J700" i="12"/>
  <c r="L700" i="12" s="1"/>
  <c r="J680" i="12"/>
  <c r="L680" i="12" s="1"/>
  <c r="J685" i="12"/>
  <c r="L685" i="12" s="1"/>
  <c r="J705" i="12"/>
  <c r="L705" i="12" s="1"/>
  <c r="J681" i="12"/>
  <c r="L681" i="12" s="1"/>
  <c r="J686" i="12"/>
  <c r="L686" i="12" s="1"/>
  <c r="J690" i="12"/>
  <c r="L690" i="12" s="1"/>
  <c r="O689" i="12"/>
  <c r="Q689" i="12"/>
  <c r="Q697" i="12"/>
  <c r="Q703" i="12"/>
  <c r="C2" i="12" l="1"/>
  <c r="J677" i="12" l="1"/>
  <c r="Q614" i="12"/>
  <c r="Q578" i="12"/>
  <c r="Q553" i="12"/>
  <c r="Q529" i="12"/>
  <c r="Q506" i="12"/>
  <c r="Q471" i="12"/>
  <c r="Q449" i="12"/>
  <c r="Q423" i="12"/>
  <c r="Q396" i="12"/>
  <c r="Q342" i="12"/>
  <c r="Q305" i="12"/>
  <c r="Q275" i="12"/>
  <c r="Q254" i="12"/>
  <c r="Q141" i="12"/>
  <c r="Q19" i="12"/>
  <c r="Q110" i="12"/>
  <c r="Q87" i="12"/>
  <c r="K659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L17" i="12" s="1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L46" i="12" s="1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8" i="12"/>
  <c r="K79" i="12"/>
  <c r="K80" i="12"/>
  <c r="K81" i="12"/>
  <c r="K82" i="12"/>
  <c r="K83" i="12"/>
  <c r="K84" i="12"/>
  <c r="K85" i="12"/>
  <c r="K86" i="12"/>
  <c r="K87" i="12"/>
  <c r="K88" i="12"/>
  <c r="L88" i="12" s="1"/>
  <c r="K89" i="12"/>
  <c r="L89" i="12" s="1"/>
  <c r="K90" i="12"/>
  <c r="L90" i="12" s="1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L158" i="12" s="1"/>
  <c r="K159" i="12"/>
  <c r="L159" i="12" s="1"/>
  <c r="K160" i="12"/>
  <c r="K161" i="12"/>
  <c r="K162" i="12"/>
  <c r="L162" i="12" s="1"/>
  <c r="K163" i="12"/>
  <c r="L163" i="12" s="1"/>
  <c r="K164" i="12"/>
  <c r="K165" i="12"/>
  <c r="K166" i="12"/>
  <c r="K167" i="12"/>
  <c r="K168" i="12"/>
  <c r="K169" i="12"/>
  <c r="K171" i="12"/>
  <c r="K172" i="12"/>
  <c r="K173" i="12"/>
  <c r="K174" i="12"/>
  <c r="K175" i="12"/>
  <c r="K176" i="12"/>
  <c r="K177" i="12"/>
  <c r="K178" i="12"/>
  <c r="K179" i="12"/>
  <c r="K180" i="12"/>
  <c r="K182" i="12"/>
  <c r="K183" i="12"/>
  <c r="K184" i="12"/>
  <c r="K185" i="12"/>
  <c r="K186" i="12"/>
  <c r="K188" i="12"/>
  <c r="K189" i="12"/>
  <c r="K190" i="12"/>
  <c r="K191" i="12"/>
  <c r="K192" i="12"/>
  <c r="K193" i="12"/>
  <c r="K194" i="12"/>
  <c r="K195" i="12"/>
  <c r="L195" i="12" s="1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1" i="12"/>
  <c r="K292" i="12"/>
  <c r="K293" i="12"/>
  <c r="K294" i="12"/>
  <c r="K295" i="12"/>
  <c r="K296" i="12"/>
  <c r="K297" i="12"/>
  <c r="K298" i="12"/>
  <c r="K299" i="12"/>
  <c r="K300" i="12"/>
  <c r="K301" i="12"/>
  <c r="K302" i="12"/>
  <c r="K303" i="12"/>
  <c r="K304" i="12"/>
  <c r="K305" i="12"/>
  <c r="K306" i="12"/>
  <c r="K307" i="12"/>
  <c r="K308" i="12"/>
  <c r="K309" i="12"/>
  <c r="K310" i="12"/>
  <c r="K311" i="12"/>
  <c r="K312" i="12"/>
  <c r="K313" i="12"/>
  <c r="K314" i="12"/>
  <c r="K315" i="12"/>
  <c r="K316" i="12"/>
  <c r="K317" i="12"/>
  <c r="K318" i="12"/>
  <c r="K319" i="12"/>
  <c r="K320" i="12"/>
  <c r="K321" i="12"/>
  <c r="K322" i="12"/>
  <c r="K323" i="12"/>
  <c r="K324" i="12"/>
  <c r="K325" i="12"/>
  <c r="K326" i="12"/>
  <c r="K327" i="12"/>
  <c r="K328" i="12"/>
  <c r="K329" i="12"/>
  <c r="K330" i="12"/>
  <c r="K331" i="12"/>
  <c r="K332" i="12"/>
  <c r="K333" i="12"/>
  <c r="K334" i="12"/>
  <c r="K335" i="12"/>
  <c r="K336" i="12"/>
  <c r="K337" i="12"/>
  <c r="K338" i="12"/>
  <c r="K339" i="12"/>
  <c r="K340" i="12"/>
  <c r="K341" i="12"/>
  <c r="K342" i="12"/>
  <c r="K343" i="12"/>
  <c r="K344" i="12"/>
  <c r="K345" i="12"/>
  <c r="K346" i="12"/>
  <c r="K347" i="12"/>
  <c r="K348" i="12"/>
  <c r="K349" i="12"/>
  <c r="K350" i="12"/>
  <c r="K351" i="12"/>
  <c r="K352" i="12"/>
  <c r="K353" i="12"/>
  <c r="K354" i="12"/>
  <c r="K355" i="12"/>
  <c r="K356" i="12"/>
  <c r="K357" i="12"/>
  <c r="K358" i="12"/>
  <c r="K359" i="12"/>
  <c r="K360" i="12"/>
  <c r="K361" i="12"/>
  <c r="K362" i="12"/>
  <c r="K363" i="12"/>
  <c r="K364" i="12"/>
  <c r="K365" i="12"/>
  <c r="K366" i="12"/>
  <c r="K367" i="12"/>
  <c r="K368" i="12"/>
  <c r="K369" i="12"/>
  <c r="K370" i="12"/>
  <c r="K371" i="12"/>
  <c r="K372" i="12"/>
  <c r="K373" i="12"/>
  <c r="K374" i="12"/>
  <c r="K375" i="12"/>
  <c r="K376" i="12"/>
  <c r="K377" i="12"/>
  <c r="K378" i="12"/>
  <c r="K379" i="12"/>
  <c r="K380" i="12"/>
  <c r="K381" i="12"/>
  <c r="K382" i="12"/>
  <c r="K383" i="12"/>
  <c r="K384" i="12"/>
  <c r="K385" i="12"/>
  <c r="K386" i="12"/>
  <c r="K387" i="12"/>
  <c r="K388" i="12"/>
  <c r="K389" i="12"/>
  <c r="K390" i="12"/>
  <c r="K391" i="12"/>
  <c r="K392" i="12"/>
  <c r="K393" i="12"/>
  <c r="K394" i="12"/>
  <c r="K395" i="12"/>
  <c r="K396" i="12"/>
  <c r="K397" i="12"/>
  <c r="K398" i="12"/>
  <c r="K399" i="12"/>
  <c r="K400" i="12"/>
  <c r="K401" i="12"/>
  <c r="K402" i="12"/>
  <c r="K403" i="12"/>
  <c r="K404" i="12"/>
  <c r="K405" i="12"/>
  <c r="K406" i="12"/>
  <c r="K407" i="12"/>
  <c r="K408" i="12"/>
  <c r="K409" i="12"/>
  <c r="K410" i="12"/>
  <c r="K411" i="12"/>
  <c r="K412" i="12"/>
  <c r="K413" i="12"/>
  <c r="K414" i="12"/>
  <c r="K415" i="12"/>
  <c r="K416" i="12"/>
  <c r="K417" i="12"/>
  <c r="K418" i="12"/>
  <c r="K419" i="12"/>
  <c r="K420" i="12"/>
  <c r="K421" i="12"/>
  <c r="K422" i="12"/>
  <c r="K423" i="12"/>
  <c r="K424" i="12"/>
  <c r="K425" i="12"/>
  <c r="K426" i="12"/>
  <c r="K427" i="12"/>
  <c r="K428" i="12"/>
  <c r="K429" i="12"/>
  <c r="K430" i="12"/>
  <c r="K431" i="12"/>
  <c r="K432" i="12"/>
  <c r="K433" i="12"/>
  <c r="K434" i="12"/>
  <c r="K435" i="12"/>
  <c r="K436" i="12"/>
  <c r="K437" i="12"/>
  <c r="K438" i="12"/>
  <c r="K439" i="12"/>
  <c r="K440" i="12"/>
  <c r="K441" i="12"/>
  <c r="K442" i="12"/>
  <c r="K443" i="12"/>
  <c r="K444" i="12"/>
  <c r="K445" i="12"/>
  <c r="K446" i="12"/>
  <c r="K447" i="12"/>
  <c r="K448" i="12"/>
  <c r="K449" i="12"/>
  <c r="K450" i="12"/>
  <c r="K451" i="12"/>
  <c r="K452" i="12"/>
  <c r="K453" i="12"/>
  <c r="K454" i="12"/>
  <c r="K455" i="12"/>
  <c r="K456" i="12"/>
  <c r="K457" i="12"/>
  <c r="K458" i="12"/>
  <c r="K459" i="12"/>
  <c r="K460" i="12"/>
  <c r="K461" i="12"/>
  <c r="K462" i="12"/>
  <c r="K463" i="12"/>
  <c r="K464" i="12"/>
  <c r="K465" i="12"/>
  <c r="K466" i="12"/>
  <c r="K467" i="12"/>
  <c r="K468" i="12"/>
  <c r="K469" i="12"/>
  <c r="K470" i="12"/>
  <c r="K471" i="12"/>
  <c r="K472" i="12"/>
  <c r="K473" i="12"/>
  <c r="K474" i="12"/>
  <c r="K475" i="12"/>
  <c r="K476" i="12"/>
  <c r="K477" i="12"/>
  <c r="K478" i="12"/>
  <c r="K479" i="12"/>
  <c r="K480" i="12"/>
  <c r="K481" i="12"/>
  <c r="K482" i="12"/>
  <c r="K483" i="12"/>
  <c r="K484" i="12"/>
  <c r="K485" i="12"/>
  <c r="K486" i="12"/>
  <c r="K487" i="12"/>
  <c r="K488" i="12"/>
  <c r="K489" i="12"/>
  <c r="K490" i="12"/>
  <c r="K491" i="12"/>
  <c r="K492" i="12"/>
  <c r="K493" i="12"/>
  <c r="K494" i="12"/>
  <c r="K495" i="12"/>
  <c r="K496" i="12"/>
  <c r="K497" i="12"/>
  <c r="K498" i="12"/>
  <c r="K499" i="12"/>
  <c r="K500" i="12"/>
  <c r="K501" i="12"/>
  <c r="K502" i="12"/>
  <c r="K503" i="12"/>
  <c r="K504" i="12"/>
  <c r="K505" i="12"/>
  <c r="K506" i="12"/>
  <c r="K507" i="12"/>
  <c r="K508" i="12"/>
  <c r="K509" i="12"/>
  <c r="K510" i="12"/>
  <c r="K511" i="12"/>
  <c r="K512" i="12"/>
  <c r="K513" i="12"/>
  <c r="K514" i="12"/>
  <c r="K515" i="12"/>
  <c r="K516" i="12"/>
  <c r="K517" i="12"/>
  <c r="K518" i="12"/>
  <c r="K519" i="12"/>
  <c r="K520" i="12"/>
  <c r="K521" i="12"/>
  <c r="K522" i="12"/>
  <c r="K523" i="12"/>
  <c r="K524" i="12"/>
  <c r="K525" i="12"/>
  <c r="K526" i="12"/>
  <c r="K527" i="12"/>
  <c r="K528" i="12"/>
  <c r="K529" i="12"/>
  <c r="K530" i="12"/>
  <c r="K531" i="12"/>
  <c r="K532" i="12"/>
  <c r="K533" i="12"/>
  <c r="K534" i="12"/>
  <c r="K535" i="12"/>
  <c r="K536" i="12"/>
  <c r="K537" i="12"/>
  <c r="K538" i="12"/>
  <c r="K539" i="12"/>
  <c r="K540" i="12"/>
  <c r="K541" i="12"/>
  <c r="K542" i="12"/>
  <c r="K543" i="12"/>
  <c r="K544" i="12"/>
  <c r="K545" i="12"/>
  <c r="K546" i="12"/>
  <c r="K547" i="12"/>
  <c r="K548" i="12"/>
  <c r="K549" i="12"/>
  <c r="K550" i="12"/>
  <c r="K551" i="12"/>
  <c r="K552" i="12"/>
  <c r="K553" i="12"/>
  <c r="K554" i="12"/>
  <c r="K555" i="12"/>
  <c r="K556" i="12"/>
  <c r="K557" i="12"/>
  <c r="K558" i="12"/>
  <c r="K559" i="12"/>
  <c r="K560" i="12"/>
  <c r="K561" i="12"/>
  <c r="K562" i="12"/>
  <c r="K563" i="12"/>
  <c r="K564" i="12"/>
  <c r="K565" i="12"/>
  <c r="K566" i="12"/>
  <c r="K567" i="12"/>
  <c r="K568" i="12"/>
  <c r="K569" i="12"/>
  <c r="K570" i="12"/>
  <c r="K571" i="12"/>
  <c r="K572" i="12"/>
  <c r="K573" i="12"/>
  <c r="K574" i="12"/>
  <c r="K575" i="12"/>
  <c r="K576" i="12"/>
  <c r="K577" i="12"/>
  <c r="K578" i="12"/>
  <c r="K579" i="12"/>
  <c r="K580" i="12"/>
  <c r="K581" i="12"/>
  <c r="K582" i="12"/>
  <c r="K583" i="12"/>
  <c r="K584" i="12"/>
  <c r="K585" i="12"/>
  <c r="K586" i="12"/>
  <c r="K587" i="12"/>
  <c r="K588" i="12"/>
  <c r="K589" i="12"/>
  <c r="K590" i="12"/>
  <c r="K591" i="12"/>
  <c r="K592" i="12"/>
  <c r="K593" i="12"/>
  <c r="K594" i="12"/>
  <c r="K595" i="12"/>
  <c r="K596" i="12"/>
  <c r="K597" i="12"/>
  <c r="K598" i="12"/>
  <c r="K599" i="12"/>
  <c r="K600" i="12"/>
  <c r="K601" i="12"/>
  <c r="K602" i="12"/>
  <c r="K603" i="12"/>
  <c r="K605" i="12"/>
  <c r="K606" i="12"/>
  <c r="K607" i="12"/>
  <c r="K608" i="12"/>
  <c r="K609" i="12"/>
  <c r="K610" i="12"/>
  <c r="K611" i="12"/>
  <c r="K612" i="12"/>
  <c r="K613" i="12"/>
  <c r="K614" i="12"/>
  <c r="K615" i="12"/>
  <c r="K616" i="12"/>
  <c r="K617" i="12"/>
  <c r="K618" i="12"/>
  <c r="K619" i="12"/>
  <c r="K620" i="12"/>
  <c r="K621" i="12"/>
  <c r="K622" i="12"/>
  <c r="K623" i="12"/>
  <c r="K624" i="12"/>
  <c r="K625" i="12"/>
  <c r="K626" i="12"/>
  <c r="K627" i="12"/>
  <c r="K628" i="12"/>
  <c r="K629" i="12"/>
  <c r="K630" i="12"/>
  <c r="K631" i="12"/>
  <c r="K632" i="12"/>
  <c r="K633" i="12"/>
  <c r="K634" i="12"/>
  <c r="K635" i="12"/>
  <c r="K636" i="12"/>
  <c r="K637" i="12"/>
  <c r="K638" i="12"/>
  <c r="K639" i="12"/>
  <c r="K640" i="12"/>
  <c r="K641" i="12"/>
  <c r="K642" i="12"/>
  <c r="K643" i="12"/>
  <c r="K644" i="12"/>
  <c r="K645" i="12"/>
  <c r="K646" i="12"/>
  <c r="K647" i="12"/>
  <c r="K648" i="12"/>
  <c r="K649" i="12"/>
  <c r="K650" i="12"/>
  <c r="K651" i="12"/>
  <c r="K652" i="12"/>
  <c r="K653" i="12"/>
  <c r="K654" i="12"/>
  <c r="K655" i="12"/>
  <c r="K656" i="12"/>
  <c r="K657" i="12"/>
  <c r="K658" i="12"/>
  <c r="K660" i="12"/>
  <c r="K661" i="12"/>
  <c r="K662" i="12"/>
  <c r="K663" i="12"/>
  <c r="K664" i="12"/>
  <c r="K665" i="12"/>
  <c r="K666" i="12"/>
  <c r="K667" i="12"/>
  <c r="K668" i="12"/>
  <c r="K669" i="12"/>
  <c r="K670" i="12"/>
  <c r="K671" i="12"/>
  <c r="K672" i="12"/>
  <c r="K673" i="12"/>
  <c r="K674" i="12"/>
  <c r="K675" i="12"/>
  <c r="K676" i="12"/>
  <c r="K677" i="12"/>
  <c r="K2" i="12"/>
  <c r="L2" i="12" s="1"/>
  <c r="O576" i="12"/>
  <c r="Q576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O124" i="12"/>
  <c r="O125" i="12"/>
  <c r="O126" i="12"/>
  <c r="O127" i="12"/>
  <c r="O128" i="12"/>
  <c r="O129" i="12"/>
  <c r="O130" i="12"/>
  <c r="O131" i="12"/>
  <c r="O132" i="12"/>
  <c r="O133" i="12"/>
  <c r="O134" i="12"/>
  <c r="O135" i="12"/>
  <c r="O136" i="12"/>
  <c r="O137" i="12"/>
  <c r="O138" i="12"/>
  <c r="O139" i="12"/>
  <c r="O140" i="12"/>
  <c r="O141" i="12"/>
  <c r="O142" i="12"/>
  <c r="O143" i="12"/>
  <c r="O144" i="12"/>
  <c r="O145" i="12"/>
  <c r="O146" i="12"/>
  <c r="O147" i="12"/>
  <c r="O148" i="12"/>
  <c r="O149" i="12"/>
  <c r="O150" i="12"/>
  <c r="O151" i="12"/>
  <c r="O152" i="12"/>
  <c r="O153" i="12"/>
  <c r="O154" i="12"/>
  <c r="O155" i="12"/>
  <c r="O156" i="12"/>
  <c r="O157" i="12"/>
  <c r="O158" i="12"/>
  <c r="O159" i="12"/>
  <c r="O160" i="12"/>
  <c r="O161" i="12"/>
  <c r="O162" i="12"/>
  <c r="O163" i="12"/>
  <c r="O164" i="12"/>
  <c r="O165" i="12"/>
  <c r="O166" i="12"/>
  <c r="O167" i="12"/>
  <c r="O169" i="12"/>
  <c r="O170" i="12"/>
  <c r="O171" i="12"/>
  <c r="O172" i="12"/>
  <c r="O173" i="12"/>
  <c r="O174" i="12"/>
  <c r="O175" i="12"/>
  <c r="O176" i="12"/>
  <c r="O177" i="12"/>
  <c r="O178" i="12"/>
  <c r="O179" i="12"/>
  <c r="O180" i="12"/>
  <c r="O181" i="12"/>
  <c r="O182" i="12"/>
  <c r="O183" i="12"/>
  <c r="O184" i="12"/>
  <c r="O185" i="12"/>
  <c r="O186" i="12"/>
  <c r="O187" i="12"/>
  <c r="O188" i="12"/>
  <c r="O189" i="12"/>
  <c r="O190" i="12"/>
  <c r="O191" i="12"/>
  <c r="O192" i="12"/>
  <c r="O193" i="12"/>
  <c r="O194" i="12"/>
  <c r="O195" i="12"/>
  <c r="O196" i="12"/>
  <c r="O197" i="12"/>
  <c r="O198" i="12"/>
  <c r="O199" i="12"/>
  <c r="O200" i="12"/>
  <c r="O201" i="12"/>
  <c r="O202" i="12"/>
  <c r="O203" i="12"/>
  <c r="O204" i="12"/>
  <c r="O205" i="12"/>
  <c r="O206" i="12"/>
  <c r="O207" i="12"/>
  <c r="O208" i="12"/>
  <c r="O209" i="12"/>
  <c r="O210" i="12"/>
  <c r="O211" i="12"/>
  <c r="O212" i="12"/>
  <c r="O213" i="12"/>
  <c r="O214" i="12"/>
  <c r="O215" i="12"/>
  <c r="O216" i="12"/>
  <c r="O217" i="12"/>
  <c r="O218" i="12"/>
  <c r="O219" i="12"/>
  <c r="O220" i="12"/>
  <c r="O221" i="12"/>
  <c r="O222" i="12"/>
  <c r="O223" i="12"/>
  <c r="O224" i="12"/>
  <c r="O225" i="12"/>
  <c r="O226" i="12"/>
  <c r="O227" i="12"/>
  <c r="O228" i="12"/>
  <c r="O229" i="12"/>
  <c r="O230" i="12"/>
  <c r="O231" i="12"/>
  <c r="O232" i="12"/>
  <c r="O233" i="12"/>
  <c r="O234" i="12"/>
  <c r="O235" i="12"/>
  <c r="O236" i="12"/>
  <c r="O237" i="12"/>
  <c r="O238" i="12"/>
  <c r="O239" i="12"/>
  <c r="O240" i="12"/>
  <c r="O241" i="12"/>
  <c r="O242" i="12"/>
  <c r="O243" i="12"/>
  <c r="O244" i="12"/>
  <c r="O245" i="12"/>
  <c r="O246" i="12"/>
  <c r="O247" i="12"/>
  <c r="O248" i="12"/>
  <c r="O249" i="12"/>
  <c r="O250" i="12"/>
  <c r="O251" i="12"/>
  <c r="O252" i="12"/>
  <c r="O253" i="12"/>
  <c r="O254" i="12"/>
  <c r="O255" i="12"/>
  <c r="O256" i="12"/>
  <c r="O257" i="12"/>
  <c r="O258" i="12"/>
  <c r="O259" i="12"/>
  <c r="O260" i="12"/>
  <c r="O261" i="12"/>
  <c r="O262" i="12"/>
  <c r="O263" i="12"/>
  <c r="O264" i="12"/>
  <c r="O265" i="12"/>
  <c r="O266" i="12"/>
  <c r="O267" i="12"/>
  <c r="O268" i="12"/>
  <c r="O269" i="12"/>
  <c r="O270" i="12"/>
  <c r="O271" i="12"/>
  <c r="O272" i="12"/>
  <c r="O273" i="12"/>
  <c r="O274" i="12"/>
  <c r="O275" i="12"/>
  <c r="O276" i="12"/>
  <c r="O277" i="12"/>
  <c r="O278" i="12"/>
  <c r="O279" i="12"/>
  <c r="O280" i="12"/>
  <c r="O281" i="12"/>
  <c r="O282" i="12"/>
  <c r="O283" i="12"/>
  <c r="O284" i="12"/>
  <c r="O285" i="12"/>
  <c r="O286" i="12"/>
  <c r="O287" i="12"/>
  <c r="O288" i="12"/>
  <c r="O289" i="12"/>
  <c r="O290" i="12"/>
  <c r="O291" i="12"/>
  <c r="O292" i="12"/>
  <c r="O293" i="12"/>
  <c r="O294" i="12"/>
  <c r="O295" i="12"/>
  <c r="O296" i="12"/>
  <c r="O297" i="12"/>
  <c r="O298" i="12"/>
  <c r="O299" i="12"/>
  <c r="O300" i="12"/>
  <c r="O301" i="12"/>
  <c r="O302" i="12"/>
  <c r="O303" i="12"/>
  <c r="O304" i="12"/>
  <c r="O305" i="12"/>
  <c r="O306" i="12"/>
  <c r="O307" i="12"/>
  <c r="O308" i="12"/>
  <c r="O309" i="12"/>
  <c r="O310" i="12"/>
  <c r="O311" i="12"/>
  <c r="O312" i="12"/>
  <c r="O313" i="12"/>
  <c r="O314" i="12"/>
  <c r="O315" i="12"/>
  <c r="O316" i="12"/>
  <c r="O317" i="12"/>
  <c r="O318" i="12"/>
  <c r="O319" i="12"/>
  <c r="O320" i="12"/>
  <c r="O321" i="12"/>
  <c r="O322" i="12"/>
  <c r="O323" i="12"/>
  <c r="O324" i="12"/>
  <c r="O325" i="12"/>
  <c r="O326" i="12"/>
  <c r="O327" i="12"/>
  <c r="O328" i="12"/>
  <c r="O329" i="12"/>
  <c r="O330" i="12"/>
  <c r="O331" i="12"/>
  <c r="O332" i="12"/>
  <c r="O333" i="12"/>
  <c r="O334" i="12"/>
  <c r="O335" i="12"/>
  <c r="O336" i="12"/>
  <c r="O337" i="12"/>
  <c r="O338" i="12"/>
  <c r="O339" i="12"/>
  <c r="O340" i="12"/>
  <c r="O341" i="12"/>
  <c r="O342" i="12"/>
  <c r="O343" i="12"/>
  <c r="O344" i="12"/>
  <c r="O345" i="12"/>
  <c r="O346" i="12"/>
  <c r="O347" i="12"/>
  <c r="O348" i="12"/>
  <c r="O349" i="12"/>
  <c r="O350" i="12"/>
  <c r="O351" i="12"/>
  <c r="O352" i="12"/>
  <c r="O353" i="12"/>
  <c r="O354" i="12"/>
  <c r="O355" i="12"/>
  <c r="O356" i="12"/>
  <c r="O357" i="12"/>
  <c r="O358" i="12"/>
  <c r="O359" i="12"/>
  <c r="O360" i="12"/>
  <c r="O361" i="12"/>
  <c r="O362" i="12"/>
  <c r="O363" i="12"/>
  <c r="O364" i="12"/>
  <c r="O365" i="12"/>
  <c r="O366" i="12"/>
  <c r="O367" i="12"/>
  <c r="O368" i="12"/>
  <c r="O369" i="12"/>
  <c r="O370" i="12"/>
  <c r="O371" i="12"/>
  <c r="O372" i="12"/>
  <c r="O373" i="12"/>
  <c r="O374" i="12"/>
  <c r="O375" i="12"/>
  <c r="O376" i="12"/>
  <c r="O377" i="12"/>
  <c r="O378" i="12"/>
  <c r="O379" i="12"/>
  <c r="O380" i="12"/>
  <c r="O381" i="12"/>
  <c r="O382" i="12"/>
  <c r="O383" i="12"/>
  <c r="O384" i="12"/>
  <c r="O385" i="12"/>
  <c r="O386" i="12"/>
  <c r="O387" i="12"/>
  <c r="O388" i="12"/>
  <c r="O389" i="12"/>
  <c r="O390" i="12"/>
  <c r="O391" i="12"/>
  <c r="O392" i="12"/>
  <c r="O393" i="12"/>
  <c r="O394" i="12"/>
  <c r="O395" i="12"/>
  <c r="O396" i="12"/>
  <c r="O397" i="12"/>
  <c r="O398" i="12"/>
  <c r="O399" i="12"/>
  <c r="O400" i="12"/>
  <c r="O401" i="12"/>
  <c r="O402" i="12"/>
  <c r="O403" i="12"/>
  <c r="O404" i="12"/>
  <c r="O405" i="12"/>
  <c r="O406" i="12"/>
  <c r="O407" i="12"/>
  <c r="O408" i="12"/>
  <c r="O409" i="12"/>
  <c r="O410" i="12"/>
  <c r="O411" i="12"/>
  <c r="O412" i="12"/>
  <c r="O413" i="12"/>
  <c r="O414" i="12"/>
  <c r="O415" i="12"/>
  <c r="O416" i="12"/>
  <c r="O417" i="12"/>
  <c r="O418" i="12"/>
  <c r="O419" i="12"/>
  <c r="O420" i="12"/>
  <c r="O421" i="12"/>
  <c r="O422" i="12"/>
  <c r="O423" i="12"/>
  <c r="O424" i="12"/>
  <c r="O425" i="12"/>
  <c r="O426" i="12"/>
  <c r="O427" i="12"/>
  <c r="O428" i="12"/>
  <c r="O429" i="12"/>
  <c r="O430" i="12"/>
  <c r="O431" i="12"/>
  <c r="O432" i="12"/>
  <c r="O433" i="12"/>
  <c r="O434" i="12"/>
  <c r="O435" i="12"/>
  <c r="O436" i="12"/>
  <c r="O437" i="12"/>
  <c r="O438" i="12"/>
  <c r="O439" i="12"/>
  <c r="O440" i="12"/>
  <c r="O441" i="12"/>
  <c r="O442" i="12"/>
  <c r="O443" i="12"/>
  <c r="O444" i="12"/>
  <c r="O445" i="12"/>
  <c r="O446" i="12"/>
  <c r="O447" i="12"/>
  <c r="O448" i="12"/>
  <c r="O449" i="12"/>
  <c r="O450" i="12"/>
  <c r="O451" i="12"/>
  <c r="O452" i="12"/>
  <c r="O453" i="12"/>
  <c r="O454" i="12"/>
  <c r="O455" i="12"/>
  <c r="O456" i="12"/>
  <c r="O457" i="12"/>
  <c r="O458" i="12"/>
  <c r="O459" i="12"/>
  <c r="O460" i="12"/>
  <c r="O461" i="12"/>
  <c r="O462" i="12"/>
  <c r="O463" i="12"/>
  <c r="O464" i="12"/>
  <c r="O465" i="12"/>
  <c r="O466" i="12"/>
  <c r="O467" i="12"/>
  <c r="O468" i="12"/>
  <c r="O469" i="12"/>
  <c r="O470" i="12"/>
  <c r="O471" i="12"/>
  <c r="O472" i="12"/>
  <c r="O473" i="12"/>
  <c r="O474" i="12"/>
  <c r="O475" i="12"/>
  <c r="O476" i="12"/>
  <c r="O477" i="12"/>
  <c r="O478" i="12"/>
  <c r="O479" i="12"/>
  <c r="O480" i="12"/>
  <c r="O481" i="12"/>
  <c r="O482" i="12"/>
  <c r="O483" i="12"/>
  <c r="O484" i="12"/>
  <c r="O485" i="12"/>
  <c r="O486" i="12"/>
  <c r="O487" i="12"/>
  <c r="O488" i="12"/>
  <c r="O489" i="12"/>
  <c r="O490" i="12"/>
  <c r="O491" i="12"/>
  <c r="O492" i="12"/>
  <c r="O493" i="12"/>
  <c r="O494" i="12"/>
  <c r="O495" i="12"/>
  <c r="O496" i="12"/>
  <c r="O497" i="12"/>
  <c r="O498" i="12"/>
  <c r="O499" i="12"/>
  <c r="O500" i="12"/>
  <c r="O501" i="12"/>
  <c r="O502" i="12"/>
  <c r="O504" i="12"/>
  <c r="O505" i="12"/>
  <c r="O506" i="12"/>
  <c r="O507" i="12"/>
  <c r="O508" i="12"/>
  <c r="O509" i="12"/>
  <c r="O510" i="12"/>
  <c r="O511" i="12"/>
  <c r="O512" i="12"/>
  <c r="O513" i="12"/>
  <c r="O514" i="12"/>
  <c r="O515" i="12"/>
  <c r="O516" i="12"/>
  <c r="O517" i="12"/>
  <c r="O518" i="12"/>
  <c r="O519" i="12"/>
  <c r="O520" i="12"/>
  <c r="O521" i="12"/>
  <c r="O522" i="12"/>
  <c r="O523" i="12"/>
  <c r="O524" i="12"/>
  <c r="O525" i="12"/>
  <c r="O526" i="12"/>
  <c r="O527" i="12"/>
  <c r="O528" i="12"/>
  <c r="O529" i="12"/>
  <c r="O530" i="12"/>
  <c r="O531" i="12"/>
  <c r="O532" i="12"/>
  <c r="O533" i="12"/>
  <c r="O534" i="12"/>
  <c r="O535" i="12"/>
  <c r="O536" i="12"/>
  <c r="O537" i="12"/>
  <c r="O538" i="12"/>
  <c r="O539" i="12"/>
  <c r="O540" i="12"/>
  <c r="O541" i="12"/>
  <c r="O542" i="12"/>
  <c r="O543" i="12"/>
  <c r="O544" i="12"/>
  <c r="O545" i="12"/>
  <c r="O546" i="12"/>
  <c r="O547" i="12"/>
  <c r="O548" i="12"/>
  <c r="O549" i="12"/>
  <c r="O550" i="12"/>
  <c r="O551" i="12"/>
  <c r="O552" i="12"/>
  <c r="O553" i="12"/>
  <c r="O554" i="12"/>
  <c r="O555" i="12"/>
  <c r="O556" i="12"/>
  <c r="O557" i="12"/>
  <c r="O558" i="12"/>
  <c r="O559" i="12"/>
  <c r="O560" i="12"/>
  <c r="O561" i="12"/>
  <c r="O562" i="12"/>
  <c r="O563" i="12"/>
  <c r="O564" i="12"/>
  <c r="O565" i="12"/>
  <c r="O566" i="12"/>
  <c r="O567" i="12"/>
  <c r="O568" i="12"/>
  <c r="O569" i="12"/>
  <c r="O570" i="12"/>
  <c r="O571" i="12"/>
  <c r="O572" i="12"/>
  <c r="O573" i="12"/>
  <c r="O574" i="12"/>
  <c r="O575" i="12"/>
  <c r="O577" i="12"/>
  <c r="O578" i="12"/>
  <c r="O579" i="12"/>
  <c r="O580" i="12"/>
  <c r="O581" i="12"/>
  <c r="O582" i="12"/>
  <c r="O583" i="12"/>
  <c r="O584" i="12"/>
  <c r="O585" i="12"/>
  <c r="O586" i="12"/>
  <c r="O587" i="12"/>
  <c r="O588" i="12"/>
  <c r="O589" i="12"/>
  <c r="O590" i="12"/>
  <c r="O591" i="12"/>
  <c r="O592" i="12"/>
  <c r="O593" i="12"/>
  <c r="O594" i="12"/>
  <c r="O595" i="12"/>
  <c r="O596" i="12"/>
  <c r="O597" i="12"/>
  <c r="O598" i="12"/>
  <c r="O599" i="12"/>
  <c r="O600" i="12"/>
  <c r="O601" i="12"/>
  <c r="O602" i="12"/>
  <c r="O603" i="12"/>
  <c r="O604" i="12"/>
  <c r="O605" i="12"/>
  <c r="O606" i="12"/>
  <c r="O607" i="12"/>
  <c r="O608" i="12"/>
  <c r="O609" i="12"/>
  <c r="O610" i="12"/>
  <c r="O611" i="12"/>
  <c r="O612" i="12"/>
  <c r="O613" i="12"/>
  <c r="O614" i="12"/>
  <c r="O615" i="12"/>
  <c r="O616" i="12"/>
  <c r="O617" i="12"/>
  <c r="O618" i="12"/>
  <c r="O619" i="12"/>
  <c r="O620" i="12"/>
  <c r="O621" i="12"/>
  <c r="O622" i="12"/>
  <c r="O623" i="12"/>
  <c r="O624" i="12"/>
  <c r="O625" i="12"/>
  <c r="O626" i="12"/>
  <c r="O627" i="12"/>
  <c r="O628" i="12"/>
  <c r="O629" i="12"/>
  <c r="O630" i="12"/>
  <c r="O631" i="12"/>
  <c r="O632" i="12"/>
  <c r="O633" i="12"/>
  <c r="O634" i="12"/>
  <c r="O635" i="12"/>
  <c r="O636" i="12"/>
  <c r="O637" i="12"/>
  <c r="O638" i="12"/>
  <c r="O639" i="12"/>
  <c r="O640" i="12"/>
  <c r="O641" i="12"/>
  <c r="O642" i="12"/>
  <c r="O643" i="12"/>
  <c r="O644" i="12"/>
  <c r="O645" i="12"/>
  <c r="O646" i="12"/>
  <c r="O647" i="12"/>
  <c r="O648" i="12"/>
  <c r="O649" i="12"/>
  <c r="O650" i="12"/>
  <c r="O651" i="12"/>
  <c r="O652" i="12"/>
  <c r="O653" i="12"/>
  <c r="O654" i="12"/>
  <c r="O655" i="12"/>
  <c r="O656" i="12"/>
  <c r="O657" i="12"/>
  <c r="O658" i="12"/>
  <c r="O659" i="12"/>
  <c r="O660" i="12"/>
  <c r="O661" i="12"/>
  <c r="O662" i="12"/>
  <c r="O663" i="12"/>
  <c r="O664" i="12"/>
  <c r="O665" i="12"/>
  <c r="O666" i="12"/>
  <c r="O667" i="12"/>
  <c r="O668" i="12"/>
  <c r="O669" i="12"/>
  <c r="O670" i="12"/>
  <c r="O671" i="12"/>
  <c r="O672" i="12"/>
  <c r="O673" i="12"/>
  <c r="O674" i="12"/>
  <c r="O675" i="12"/>
  <c r="O676" i="12"/>
  <c r="O677" i="12"/>
  <c r="O3" i="12"/>
  <c r="O4" i="12"/>
  <c r="O2" i="12"/>
  <c r="I34" i="12"/>
  <c r="I77" i="12"/>
  <c r="I127" i="12"/>
  <c r="I170" i="12"/>
  <c r="I181" i="12"/>
  <c r="I187" i="12"/>
  <c r="I240" i="12"/>
  <c r="I256" i="12"/>
  <c r="I257" i="12"/>
  <c r="I290" i="12"/>
  <c r="I604" i="12"/>
  <c r="Q3" i="12"/>
  <c r="Q4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3" i="12"/>
  <c r="Q164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83" i="12"/>
  <c r="Q184" i="12"/>
  <c r="Q185" i="12"/>
  <c r="Q186" i="12"/>
  <c r="Q187" i="12"/>
  <c r="Q188" i="12"/>
  <c r="Q189" i="12"/>
  <c r="Q190" i="12"/>
  <c r="Q191" i="12"/>
  <c r="Q192" i="12"/>
  <c r="Q193" i="12"/>
  <c r="Q194" i="12"/>
  <c r="Q195" i="12"/>
  <c r="Q196" i="12"/>
  <c r="Q197" i="12"/>
  <c r="Q198" i="12"/>
  <c r="Q199" i="12"/>
  <c r="Q200" i="12"/>
  <c r="Q201" i="12"/>
  <c r="Q202" i="12"/>
  <c r="Q203" i="12"/>
  <c r="Q204" i="12"/>
  <c r="Q205" i="12"/>
  <c r="Q206" i="12"/>
  <c r="Q207" i="12"/>
  <c r="Q208" i="12"/>
  <c r="Q209" i="12"/>
  <c r="Q210" i="12"/>
  <c r="Q211" i="12"/>
  <c r="Q212" i="12"/>
  <c r="Q213" i="12"/>
  <c r="Q214" i="12"/>
  <c r="Q215" i="12"/>
  <c r="Q216" i="12"/>
  <c r="Q217" i="12"/>
  <c r="Q218" i="12"/>
  <c r="Q219" i="12"/>
  <c r="Q220" i="12"/>
  <c r="Q221" i="12"/>
  <c r="Q222" i="12"/>
  <c r="Q223" i="12"/>
  <c r="Q224" i="12"/>
  <c r="Q225" i="12"/>
  <c r="Q226" i="12"/>
  <c r="Q227" i="12"/>
  <c r="Q228" i="12"/>
  <c r="Q229" i="12"/>
  <c r="Q230" i="12"/>
  <c r="Q231" i="12"/>
  <c r="Q232" i="12"/>
  <c r="Q233" i="12"/>
  <c r="Q234" i="12"/>
  <c r="Q235" i="12"/>
  <c r="Q236" i="12"/>
  <c r="Q237" i="12"/>
  <c r="Q238" i="12"/>
  <c r="Q239" i="12"/>
  <c r="Q240" i="12"/>
  <c r="Q241" i="12"/>
  <c r="Q242" i="12"/>
  <c r="Q243" i="12"/>
  <c r="Q244" i="12"/>
  <c r="Q245" i="12"/>
  <c r="Q246" i="12"/>
  <c r="Q247" i="12"/>
  <c r="Q248" i="12"/>
  <c r="Q249" i="12"/>
  <c r="Q250" i="12"/>
  <c r="Q251" i="12"/>
  <c r="Q252" i="12"/>
  <c r="Q253" i="12"/>
  <c r="Q255" i="12"/>
  <c r="Q256" i="12"/>
  <c r="Q257" i="12"/>
  <c r="Q258" i="12"/>
  <c r="Q259" i="12"/>
  <c r="Q260" i="12"/>
  <c r="Q261" i="12"/>
  <c r="Q262" i="12"/>
  <c r="Q263" i="12"/>
  <c r="Q264" i="12"/>
  <c r="Q265" i="12"/>
  <c r="Q266" i="12"/>
  <c r="Q267" i="12"/>
  <c r="Q268" i="12"/>
  <c r="Q269" i="12"/>
  <c r="Q270" i="12"/>
  <c r="Q271" i="12"/>
  <c r="Q272" i="12"/>
  <c r="Q273" i="12"/>
  <c r="Q274" i="12"/>
  <c r="Q276" i="12"/>
  <c r="Q277" i="12"/>
  <c r="Q278" i="12"/>
  <c r="Q279" i="12"/>
  <c r="Q280" i="12"/>
  <c r="Q281" i="12"/>
  <c r="Q282" i="12"/>
  <c r="Q283" i="12"/>
  <c r="Q284" i="12"/>
  <c r="Q285" i="12"/>
  <c r="Q286" i="12"/>
  <c r="Q287" i="12"/>
  <c r="Q288" i="12"/>
  <c r="Q289" i="12"/>
  <c r="Q290" i="12"/>
  <c r="Q291" i="12"/>
  <c r="Q292" i="12"/>
  <c r="Q293" i="12"/>
  <c r="Q294" i="12"/>
  <c r="Q295" i="12"/>
  <c r="Q296" i="12"/>
  <c r="Q297" i="12"/>
  <c r="Q298" i="12"/>
  <c r="Q299" i="12"/>
  <c r="Q300" i="12"/>
  <c r="Q301" i="12"/>
  <c r="Q302" i="12"/>
  <c r="Q303" i="12"/>
  <c r="Q304" i="12"/>
  <c r="Q306" i="12"/>
  <c r="Q307" i="12"/>
  <c r="Q308" i="12"/>
  <c r="Q309" i="12"/>
  <c r="Q310" i="12"/>
  <c r="Q311" i="12"/>
  <c r="Q312" i="12"/>
  <c r="Q313" i="12"/>
  <c r="Q314" i="12"/>
  <c r="Q315" i="12"/>
  <c r="Q316" i="12"/>
  <c r="Q317" i="12"/>
  <c r="Q318" i="12"/>
  <c r="Q319" i="12"/>
  <c r="Q320" i="12"/>
  <c r="Q321" i="12"/>
  <c r="Q322" i="12"/>
  <c r="Q323" i="12"/>
  <c r="Q324" i="12"/>
  <c r="Q325" i="12"/>
  <c r="Q326" i="12"/>
  <c r="Q327" i="12"/>
  <c r="Q328" i="12"/>
  <c r="Q329" i="12"/>
  <c r="Q330" i="12"/>
  <c r="Q331" i="12"/>
  <c r="Q332" i="12"/>
  <c r="Q333" i="12"/>
  <c r="Q334" i="12"/>
  <c r="Q335" i="12"/>
  <c r="Q336" i="12"/>
  <c r="Q337" i="12"/>
  <c r="Q338" i="12"/>
  <c r="Q339" i="12"/>
  <c r="Q340" i="12"/>
  <c r="Q341" i="12"/>
  <c r="Q343" i="12"/>
  <c r="Q344" i="12"/>
  <c r="Q345" i="12"/>
  <c r="Q346" i="12"/>
  <c r="Q347" i="12"/>
  <c r="Q348" i="12"/>
  <c r="Q349" i="12"/>
  <c r="Q350" i="12"/>
  <c r="Q351" i="12"/>
  <c r="Q352" i="12"/>
  <c r="Q353" i="12"/>
  <c r="Q354" i="12"/>
  <c r="Q355" i="12"/>
  <c r="Q356" i="12"/>
  <c r="Q357" i="12"/>
  <c r="Q358" i="12"/>
  <c r="Q359" i="12"/>
  <c r="Q360" i="12"/>
  <c r="Q361" i="12"/>
  <c r="Q362" i="12"/>
  <c r="Q363" i="12"/>
  <c r="Q364" i="12"/>
  <c r="Q365" i="12"/>
  <c r="Q366" i="12"/>
  <c r="Q367" i="12"/>
  <c r="Q368" i="12"/>
  <c r="Q369" i="12"/>
  <c r="Q370" i="12"/>
  <c r="Q371" i="12"/>
  <c r="Q372" i="12"/>
  <c r="Q373" i="12"/>
  <c r="Q374" i="12"/>
  <c r="Q375" i="12"/>
  <c r="Q376" i="12"/>
  <c r="Q377" i="12"/>
  <c r="Q378" i="12"/>
  <c r="Q379" i="12"/>
  <c r="Q380" i="12"/>
  <c r="Q381" i="12"/>
  <c r="Q382" i="12"/>
  <c r="Q383" i="12"/>
  <c r="Q384" i="12"/>
  <c r="Q385" i="12"/>
  <c r="Q386" i="12"/>
  <c r="Q387" i="12"/>
  <c r="Q388" i="12"/>
  <c r="Q389" i="12"/>
  <c r="Q390" i="12"/>
  <c r="Q391" i="12"/>
  <c r="Q392" i="12"/>
  <c r="Q393" i="12"/>
  <c r="Q394" i="12"/>
  <c r="Q395" i="12"/>
  <c r="Q397" i="12"/>
  <c r="Q398" i="12"/>
  <c r="Q399" i="12"/>
  <c r="Q400" i="12"/>
  <c r="Q401" i="12"/>
  <c r="Q402" i="12"/>
  <c r="Q403" i="12"/>
  <c r="Q404" i="12"/>
  <c r="Q405" i="12"/>
  <c r="Q406" i="12"/>
  <c r="Q407" i="12"/>
  <c r="Q408" i="12"/>
  <c r="Q409" i="12"/>
  <c r="Q410" i="12"/>
  <c r="Q411" i="12"/>
  <c r="Q412" i="12"/>
  <c r="Q413" i="12"/>
  <c r="Q414" i="12"/>
  <c r="Q415" i="12"/>
  <c r="Q416" i="12"/>
  <c r="Q417" i="12"/>
  <c r="Q418" i="12"/>
  <c r="Q419" i="12"/>
  <c r="Q420" i="12"/>
  <c r="Q421" i="12"/>
  <c r="Q422" i="12"/>
  <c r="Q424" i="12"/>
  <c r="Q425" i="12"/>
  <c r="Q426" i="12"/>
  <c r="Q427" i="12"/>
  <c r="Q428" i="12"/>
  <c r="Q429" i="12"/>
  <c r="Q430" i="12"/>
  <c r="Q431" i="12"/>
  <c r="Q432" i="12"/>
  <c r="Q433" i="12"/>
  <c r="Q434" i="12"/>
  <c r="Q435" i="12"/>
  <c r="Q436" i="12"/>
  <c r="Q437" i="12"/>
  <c r="Q438" i="12"/>
  <c r="Q439" i="12"/>
  <c r="Q440" i="12"/>
  <c r="Q441" i="12"/>
  <c r="Q442" i="12"/>
  <c r="Q443" i="12"/>
  <c r="Q444" i="12"/>
  <c r="Q445" i="12"/>
  <c r="Q446" i="12"/>
  <c r="Q447" i="12"/>
  <c r="Q448" i="12"/>
  <c r="Q450" i="12"/>
  <c r="Q451" i="12"/>
  <c r="Q452" i="12"/>
  <c r="Q453" i="12"/>
  <c r="Q454" i="12"/>
  <c r="Q455" i="12"/>
  <c r="Q456" i="12"/>
  <c r="Q457" i="12"/>
  <c r="Q458" i="12"/>
  <c r="Q459" i="12"/>
  <c r="Q460" i="12"/>
  <c r="Q461" i="12"/>
  <c r="Q462" i="12"/>
  <c r="Q463" i="12"/>
  <c r="Q464" i="12"/>
  <c r="Q465" i="12"/>
  <c r="Q466" i="12"/>
  <c r="Q467" i="12"/>
  <c r="Q468" i="12"/>
  <c r="Q469" i="12"/>
  <c r="Q470" i="12"/>
  <c r="Q472" i="12"/>
  <c r="Q473" i="12"/>
  <c r="Q474" i="12"/>
  <c r="Q475" i="12"/>
  <c r="Q476" i="12"/>
  <c r="Q477" i="12"/>
  <c r="Q478" i="12"/>
  <c r="Q479" i="12"/>
  <c r="Q480" i="12"/>
  <c r="Q481" i="12"/>
  <c r="Q482" i="12"/>
  <c r="Q483" i="12"/>
  <c r="Q484" i="12"/>
  <c r="Q485" i="12"/>
  <c r="Q486" i="12"/>
  <c r="Q487" i="12"/>
  <c r="Q488" i="12"/>
  <c r="Q489" i="12"/>
  <c r="Q490" i="12"/>
  <c r="Q491" i="12"/>
  <c r="Q492" i="12"/>
  <c r="Q493" i="12"/>
  <c r="Q494" i="12"/>
  <c r="Q495" i="12"/>
  <c r="Q496" i="12"/>
  <c r="Q497" i="12"/>
  <c r="Q498" i="12"/>
  <c r="Q499" i="12"/>
  <c r="Q500" i="12"/>
  <c r="Q501" i="12"/>
  <c r="Q502" i="12"/>
  <c r="Q503" i="12"/>
  <c r="Q504" i="12"/>
  <c r="Q505" i="12"/>
  <c r="Q507" i="12"/>
  <c r="Q508" i="12"/>
  <c r="Q509" i="12"/>
  <c r="Q510" i="12"/>
  <c r="Q511" i="12"/>
  <c r="Q512" i="12"/>
  <c r="Q513" i="12"/>
  <c r="Q514" i="12"/>
  <c r="Q515" i="12"/>
  <c r="Q516" i="12"/>
  <c r="Q517" i="12"/>
  <c r="Q518" i="12"/>
  <c r="Q519" i="12"/>
  <c r="Q520" i="12"/>
  <c r="Q521" i="12"/>
  <c r="Q522" i="12"/>
  <c r="Q523" i="12"/>
  <c r="Q524" i="12"/>
  <c r="Q525" i="12"/>
  <c r="Q526" i="12"/>
  <c r="Q527" i="12"/>
  <c r="Q528" i="12"/>
  <c r="Q530" i="12"/>
  <c r="Q531" i="12"/>
  <c r="Q532" i="12"/>
  <c r="Q533" i="12"/>
  <c r="Q534" i="12"/>
  <c r="Q535" i="12"/>
  <c r="Q536" i="12"/>
  <c r="Q537" i="12"/>
  <c r="Q538" i="12"/>
  <c r="Q539" i="12"/>
  <c r="Q540" i="12"/>
  <c r="Q541" i="12"/>
  <c r="Q542" i="12"/>
  <c r="Q543" i="12"/>
  <c r="Q544" i="12"/>
  <c r="Q545" i="12"/>
  <c r="Q546" i="12"/>
  <c r="Q547" i="12"/>
  <c r="Q548" i="12"/>
  <c r="Q549" i="12"/>
  <c r="Q550" i="12"/>
  <c r="Q551" i="12"/>
  <c r="Q552" i="12"/>
  <c r="Q554" i="12"/>
  <c r="Q555" i="12"/>
  <c r="Q556" i="12"/>
  <c r="Q557" i="12"/>
  <c r="Q558" i="12"/>
  <c r="Q559" i="12"/>
  <c r="Q560" i="12"/>
  <c r="Q561" i="12"/>
  <c r="Q562" i="12"/>
  <c r="Q563" i="12"/>
  <c r="Q564" i="12"/>
  <c r="Q565" i="12"/>
  <c r="Q566" i="12"/>
  <c r="Q567" i="12"/>
  <c r="Q568" i="12"/>
  <c r="Q569" i="12"/>
  <c r="Q570" i="12"/>
  <c r="Q571" i="12"/>
  <c r="Q572" i="12"/>
  <c r="Q573" i="12"/>
  <c r="Q574" i="12"/>
  <c r="Q575" i="12"/>
  <c r="Q577" i="12"/>
  <c r="Q579" i="12"/>
  <c r="Q580" i="12"/>
  <c r="Q581" i="12"/>
  <c r="Q582" i="12"/>
  <c r="Q583" i="12"/>
  <c r="Q584" i="12"/>
  <c r="Q585" i="12"/>
  <c r="Q586" i="12"/>
  <c r="Q587" i="12"/>
  <c r="Q588" i="12"/>
  <c r="Q589" i="12"/>
  <c r="Q590" i="12"/>
  <c r="Q591" i="12"/>
  <c r="Q592" i="12"/>
  <c r="Q593" i="12"/>
  <c r="Q594" i="12"/>
  <c r="Q595" i="12"/>
  <c r="Q596" i="12"/>
  <c r="Q597" i="12"/>
  <c r="Q598" i="12"/>
  <c r="Q599" i="12"/>
  <c r="Q600" i="12"/>
  <c r="Q601" i="12"/>
  <c r="Q602" i="12"/>
  <c r="Q603" i="12"/>
  <c r="Q604" i="12"/>
  <c r="Q605" i="12"/>
  <c r="Q606" i="12"/>
  <c r="Q607" i="12"/>
  <c r="Q608" i="12"/>
  <c r="Q609" i="12"/>
  <c r="Q610" i="12"/>
  <c r="Q611" i="12"/>
  <c r="Q612" i="12"/>
  <c r="Q613" i="12"/>
  <c r="Q615" i="12"/>
  <c r="Q616" i="12"/>
  <c r="Q617" i="12"/>
  <c r="Q618" i="12"/>
  <c r="Q619" i="12"/>
  <c r="Q620" i="12"/>
  <c r="Q621" i="12"/>
  <c r="Q622" i="12"/>
  <c r="Q623" i="12"/>
  <c r="Q624" i="12"/>
  <c r="Q625" i="12"/>
  <c r="Q626" i="12"/>
  <c r="Q627" i="12"/>
  <c r="Q628" i="12"/>
  <c r="Q629" i="12"/>
  <c r="Q630" i="12"/>
  <c r="Q631" i="12"/>
  <c r="Q632" i="12"/>
  <c r="Q633" i="12"/>
  <c r="Q634" i="12"/>
  <c r="Q635" i="12"/>
  <c r="Q636" i="12"/>
  <c r="Q637" i="12"/>
  <c r="Q638" i="12"/>
  <c r="Q639" i="12"/>
  <c r="Q640" i="12"/>
  <c r="Q641" i="12"/>
  <c r="Q642" i="12"/>
  <c r="Q643" i="12"/>
  <c r="Q644" i="12"/>
  <c r="Q645" i="12"/>
  <c r="Q646" i="12"/>
  <c r="Q647" i="12"/>
  <c r="Q648" i="12"/>
  <c r="Q649" i="12"/>
  <c r="Q650" i="12"/>
  <c r="Q651" i="12"/>
  <c r="Q652" i="12"/>
  <c r="Q653" i="12"/>
  <c r="Q654" i="12"/>
  <c r="Q655" i="12"/>
  <c r="Q656" i="12"/>
  <c r="Q657" i="12"/>
  <c r="Q658" i="12"/>
  <c r="Q659" i="12"/>
  <c r="Q660" i="12"/>
  <c r="Q661" i="12"/>
  <c r="Q662" i="12"/>
  <c r="Q663" i="12"/>
  <c r="Q664" i="12"/>
  <c r="Q665" i="12"/>
  <c r="Q666" i="12"/>
  <c r="Q667" i="12"/>
  <c r="Q668" i="12"/>
  <c r="Q669" i="12"/>
  <c r="Q670" i="12"/>
  <c r="Q671" i="12"/>
  <c r="Q672" i="12"/>
  <c r="Q673" i="12"/>
  <c r="Q674" i="12"/>
  <c r="Q675" i="12"/>
  <c r="Q676" i="12"/>
  <c r="Q677" i="12"/>
  <c r="L677" i="12" l="1"/>
  <c r="J999" i="12"/>
  <c r="L999" i="12" s="1"/>
  <c r="J998" i="12"/>
  <c r="L998" i="12" s="1"/>
  <c r="J128" i="12"/>
  <c r="L128" i="12" s="1"/>
  <c r="J326" i="12"/>
  <c r="L326" i="12" s="1"/>
  <c r="J494" i="12"/>
  <c r="L494" i="12" s="1"/>
  <c r="J663" i="12"/>
  <c r="L663" i="12" s="1"/>
  <c r="J13" i="12"/>
  <c r="L13" i="12" s="1"/>
  <c r="J26" i="12"/>
  <c r="L26" i="12" s="1"/>
  <c r="J39" i="12"/>
  <c r="L39" i="12" s="1"/>
  <c r="J52" i="12"/>
  <c r="L52" i="12" s="1"/>
  <c r="J64" i="12"/>
  <c r="L64" i="12" s="1"/>
  <c r="J76" i="12"/>
  <c r="L76" i="12" s="1"/>
  <c r="J92" i="12"/>
  <c r="L92" i="12" s="1"/>
  <c r="J104" i="12"/>
  <c r="L104" i="12" s="1"/>
  <c r="J116" i="12"/>
  <c r="L116" i="12" s="1"/>
  <c r="J129" i="12"/>
  <c r="L129" i="12" s="1"/>
  <c r="J141" i="12"/>
  <c r="L141" i="12" s="1"/>
  <c r="J153" i="12"/>
  <c r="L153" i="12" s="1"/>
  <c r="J169" i="12"/>
  <c r="L169" i="12" s="1"/>
  <c r="J181" i="12"/>
  <c r="L181" i="12" s="1"/>
  <c r="J194" i="12"/>
  <c r="L194" i="12" s="1"/>
  <c r="J207" i="12"/>
  <c r="L207" i="12" s="1"/>
  <c r="J219" i="12"/>
  <c r="L219" i="12" s="1"/>
  <c r="J231" i="12"/>
  <c r="L231" i="12" s="1"/>
  <c r="J243" i="12"/>
  <c r="L243" i="12" s="1"/>
  <c r="J255" i="12"/>
  <c r="L255" i="12" s="1"/>
  <c r="J267" i="12"/>
  <c r="L267" i="12" s="1"/>
  <c r="J279" i="12"/>
  <c r="L279" i="12" s="1"/>
  <c r="J291" i="12"/>
  <c r="L291" i="12" s="1"/>
  <c r="J303" i="12"/>
  <c r="L303" i="12" s="1"/>
  <c r="J315" i="12"/>
  <c r="L315" i="12" s="1"/>
  <c r="J327" i="12"/>
  <c r="L327" i="12" s="1"/>
  <c r="J339" i="12"/>
  <c r="L339" i="12" s="1"/>
  <c r="J351" i="12"/>
  <c r="L351" i="12" s="1"/>
  <c r="J363" i="12"/>
  <c r="L363" i="12" s="1"/>
  <c r="J375" i="12"/>
  <c r="L375" i="12" s="1"/>
  <c r="J387" i="12"/>
  <c r="L387" i="12" s="1"/>
  <c r="J399" i="12"/>
  <c r="L399" i="12" s="1"/>
  <c r="J411" i="12"/>
  <c r="L411" i="12" s="1"/>
  <c r="J423" i="12"/>
  <c r="L423" i="12" s="1"/>
  <c r="J435" i="12"/>
  <c r="L435" i="12" s="1"/>
  <c r="J447" i="12"/>
  <c r="L447" i="12" s="1"/>
  <c r="J459" i="12"/>
  <c r="L459" i="12" s="1"/>
  <c r="J471" i="12"/>
  <c r="L471" i="12" s="1"/>
  <c r="J483" i="12"/>
  <c r="L483" i="12" s="1"/>
  <c r="J495" i="12"/>
  <c r="L495" i="12" s="1"/>
  <c r="J507" i="12"/>
  <c r="L507" i="12" s="1"/>
  <c r="J519" i="12"/>
  <c r="L519" i="12" s="1"/>
  <c r="J531" i="12"/>
  <c r="L531" i="12" s="1"/>
  <c r="J543" i="12"/>
  <c r="L543" i="12" s="1"/>
  <c r="J555" i="12"/>
  <c r="L555" i="12" s="1"/>
  <c r="J567" i="12"/>
  <c r="L567" i="12" s="1"/>
  <c r="J580" i="12"/>
  <c r="L580" i="12" s="1"/>
  <c r="J592" i="12"/>
  <c r="L592" i="12" s="1"/>
  <c r="J604" i="12"/>
  <c r="L604" i="12" s="1"/>
  <c r="J616" i="12"/>
  <c r="L616" i="12" s="1"/>
  <c r="J628" i="12"/>
  <c r="L628" i="12" s="1"/>
  <c r="J640" i="12"/>
  <c r="L640" i="12" s="1"/>
  <c r="J652" i="12"/>
  <c r="L652" i="12" s="1"/>
  <c r="J664" i="12"/>
  <c r="L664" i="12" s="1"/>
  <c r="J676" i="12"/>
  <c r="L676" i="12" s="1"/>
  <c r="J14" i="12"/>
  <c r="L14" i="12" s="1"/>
  <c r="J27" i="12"/>
  <c r="L27" i="12" s="1"/>
  <c r="J40" i="12"/>
  <c r="L40" i="12" s="1"/>
  <c r="J53" i="12"/>
  <c r="L53" i="12" s="1"/>
  <c r="J65" i="12"/>
  <c r="L65" i="12" s="1"/>
  <c r="J78" i="12"/>
  <c r="L78" i="12" s="1"/>
  <c r="J93" i="12"/>
  <c r="L93" i="12" s="1"/>
  <c r="J105" i="12"/>
  <c r="L105" i="12" s="1"/>
  <c r="J117" i="12"/>
  <c r="L117" i="12" s="1"/>
  <c r="J130" i="12"/>
  <c r="L130" i="12" s="1"/>
  <c r="J142" i="12"/>
  <c r="L142" i="12" s="1"/>
  <c r="J154" i="12"/>
  <c r="L154" i="12" s="1"/>
  <c r="J170" i="12"/>
  <c r="L170" i="12" s="1"/>
  <c r="J182" i="12"/>
  <c r="L182" i="12" s="1"/>
  <c r="J196" i="12"/>
  <c r="L196" i="12" s="1"/>
  <c r="J208" i="12"/>
  <c r="L208" i="12" s="1"/>
  <c r="J220" i="12"/>
  <c r="L220" i="12" s="1"/>
  <c r="J232" i="12"/>
  <c r="L232" i="12" s="1"/>
  <c r="J244" i="12"/>
  <c r="L244" i="12" s="1"/>
  <c r="J256" i="12"/>
  <c r="L256" i="12" s="1"/>
  <c r="J268" i="12"/>
  <c r="L268" i="12" s="1"/>
  <c r="J280" i="12"/>
  <c r="L280" i="12" s="1"/>
  <c r="J292" i="12"/>
  <c r="L292" i="12" s="1"/>
  <c r="J304" i="12"/>
  <c r="L304" i="12" s="1"/>
  <c r="J316" i="12"/>
  <c r="L316" i="12" s="1"/>
  <c r="J328" i="12"/>
  <c r="L328" i="12" s="1"/>
  <c r="J340" i="12"/>
  <c r="L340" i="12" s="1"/>
  <c r="J352" i="12"/>
  <c r="L352" i="12" s="1"/>
  <c r="J364" i="12"/>
  <c r="L364" i="12" s="1"/>
  <c r="J376" i="12"/>
  <c r="L376" i="12" s="1"/>
  <c r="J388" i="12"/>
  <c r="L388" i="12" s="1"/>
  <c r="J400" i="12"/>
  <c r="L400" i="12" s="1"/>
  <c r="J412" i="12"/>
  <c r="L412" i="12" s="1"/>
  <c r="J424" i="12"/>
  <c r="L424" i="12" s="1"/>
  <c r="J436" i="12"/>
  <c r="L436" i="12" s="1"/>
  <c r="J448" i="12"/>
  <c r="L448" i="12" s="1"/>
  <c r="J460" i="12"/>
  <c r="L460" i="12" s="1"/>
  <c r="J472" i="12"/>
  <c r="L472" i="12" s="1"/>
  <c r="J484" i="12"/>
  <c r="L484" i="12" s="1"/>
  <c r="J496" i="12"/>
  <c r="L496" i="12" s="1"/>
  <c r="J508" i="12"/>
  <c r="L508" i="12" s="1"/>
  <c r="J520" i="12"/>
  <c r="L520" i="12" s="1"/>
  <c r="J532" i="12"/>
  <c r="L532" i="12" s="1"/>
  <c r="J544" i="12"/>
  <c r="L544" i="12" s="1"/>
  <c r="J556" i="12"/>
  <c r="L556" i="12" s="1"/>
  <c r="J568" i="12"/>
  <c r="L568" i="12" s="1"/>
  <c r="J581" i="12"/>
  <c r="L581" i="12" s="1"/>
  <c r="J593" i="12"/>
  <c r="L593" i="12" s="1"/>
  <c r="J605" i="12"/>
  <c r="L605" i="12" s="1"/>
  <c r="J617" i="12"/>
  <c r="L617" i="12" s="1"/>
  <c r="J629" i="12"/>
  <c r="L629" i="12" s="1"/>
  <c r="J641" i="12"/>
  <c r="L641" i="12" s="1"/>
  <c r="J653" i="12"/>
  <c r="L653" i="12" s="1"/>
  <c r="J665" i="12"/>
  <c r="L665" i="12" s="1"/>
  <c r="J63" i="12"/>
  <c r="L63" i="12" s="1"/>
  <c r="J230" i="12"/>
  <c r="L230" i="12" s="1"/>
  <c r="J398" i="12"/>
  <c r="L398" i="12" s="1"/>
  <c r="J554" i="12"/>
  <c r="L554" i="12" s="1"/>
  <c r="J79" i="12"/>
  <c r="L79" i="12" s="1"/>
  <c r="J183" i="12"/>
  <c r="L183" i="12" s="1"/>
  <c r="J317" i="12"/>
  <c r="L317" i="12" s="1"/>
  <c r="J449" i="12"/>
  <c r="L449" i="12" s="1"/>
  <c r="J545" i="12"/>
  <c r="L545" i="12" s="1"/>
  <c r="J642" i="12"/>
  <c r="L642" i="12" s="1"/>
  <c r="J119" i="12"/>
  <c r="L119" i="12" s="1"/>
  <c r="J258" i="12"/>
  <c r="L258" i="12" s="1"/>
  <c r="J426" i="12"/>
  <c r="L426" i="12" s="1"/>
  <c r="J655" i="12"/>
  <c r="L655" i="12" s="1"/>
  <c r="J140" i="12"/>
  <c r="L140" i="12" s="1"/>
  <c r="J290" i="12"/>
  <c r="L290" i="12" s="1"/>
  <c r="J470" i="12"/>
  <c r="L470" i="12" s="1"/>
  <c r="J639" i="12"/>
  <c r="L639" i="12" s="1"/>
  <c r="J94" i="12"/>
  <c r="L94" i="12" s="1"/>
  <c r="J221" i="12"/>
  <c r="L221" i="12" s="1"/>
  <c r="J329" i="12"/>
  <c r="L329" i="12" s="1"/>
  <c r="J485" i="12"/>
  <c r="L485" i="12" s="1"/>
  <c r="J4" i="12"/>
  <c r="L4" i="12" s="1"/>
  <c r="L16" i="12"/>
  <c r="J29" i="12"/>
  <c r="L29" i="12" s="1"/>
  <c r="J42" i="12"/>
  <c r="L42" i="12" s="1"/>
  <c r="J55" i="12"/>
  <c r="L55" i="12" s="1"/>
  <c r="J67" i="12"/>
  <c r="L67" i="12" s="1"/>
  <c r="J80" i="12"/>
  <c r="L80" i="12" s="1"/>
  <c r="J95" i="12"/>
  <c r="L95" i="12" s="1"/>
  <c r="J107" i="12"/>
  <c r="L107" i="12" s="1"/>
  <c r="J132" i="12"/>
  <c r="L132" i="12" s="1"/>
  <c r="J144" i="12"/>
  <c r="L144" i="12" s="1"/>
  <c r="J156" i="12"/>
  <c r="L156" i="12" s="1"/>
  <c r="J172" i="12"/>
  <c r="L172" i="12" s="1"/>
  <c r="J184" i="12"/>
  <c r="L184" i="12" s="1"/>
  <c r="J198" i="12"/>
  <c r="L198" i="12" s="1"/>
  <c r="J210" i="12"/>
  <c r="L210" i="12" s="1"/>
  <c r="J222" i="12"/>
  <c r="L222" i="12" s="1"/>
  <c r="J234" i="12"/>
  <c r="L234" i="12" s="1"/>
  <c r="J246" i="12"/>
  <c r="L246" i="12" s="1"/>
  <c r="J270" i="12"/>
  <c r="L270" i="12" s="1"/>
  <c r="J282" i="12"/>
  <c r="L282" i="12" s="1"/>
  <c r="J294" i="12"/>
  <c r="L294" i="12" s="1"/>
  <c r="J306" i="12"/>
  <c r="L306" i="12" s="1"/>
  <c r="J318" i="12"/>
  <c r="L318" i="12" s="1"/>
  <c r="J330" i="12"/>
  <c r="L330" i="12" s="1"/>
  <c r="J342" i="12"/>
  <c r="L342" i="12" s="1"/>
  <c r="J354" i="12"/>
  <c r="L354" i="12" s="1"/>
  <c r="J366" i="12"/>
  <c r="L366" i="12" s="1"/>
  <c r="J378" i="12"/>
  <c r="L378" i="12" s="1"/>
  <c r="J390" i="12"/>
  <c r="L390" i="12" s="1"/>
  <c r="J402" i="12"/>
  <c r="L402" i="12" s="1"/>
  <c r="J414" i="12"/>
  <c r="L414" i="12" s="1"/>
  <c r="J438" i="12"/>
  <c r="L438" i="12" s="1"/>
  <c r="J450" i="12"/>
  <c r="L450" i="12" s="1"/>
  <c r="J462" i="12"/>
  <c r="L462" i="12" s="1"/>
  <c r="J474" i="12"/>
  <c r="L474" i="12" s="1"/>
  <c r="J486" i="12"/>
  <c r="L486" i="12" s="1"/>
  <c r="J498" i="12"/>
  <c r="L498" i="12" s="1"/>
  <c r="J510" i="12"/>
  <c r="L510" i="12" s="1"/>
  <c r="J522" i="12"/>
  <c r="L522" i="12" s="1"/>
  <c r="J534" i="12"/>
  <c r="L534" i="12" s="1"/>
  <c r="J546" i="12"/>
  <c r="L546" i="12" s="1"/>
  <c r="J558" i="12"/>
  <c r="L558" i="12" s="1"/>
  <c r="J570" i="12"/>
  <c r="L570" i="12" s="1"/>
  <c r="J583" i="12"/>
  <c r="L583" i="12" s="1"/>
  <c r="J595" i="12"/>
  <c r="L595" i="12" s="1"/>
  <c r="J607" i="12"/>
  <c r="L607" i="12" s="1"/>
  <c r="J619" i="12"/>
  <c r="L619" i="12" s="1"/>
  <c r="J631" i="12"/>
  <c r="L631" i="12" s="1"/>
  <c r="J643" i="12"/>
  <c r="L643" i="12" s="1"/>
  <c r="J667" i="12"/>
  <c r="L667" i="12" s="1"/>
  <c r="J5" i="12"/>
  <c r="L5" i="12" s="1"/>
  <c r="J18" i="12"/>
  <c r="L18" i="12" s="1"/>
  <c r="J30" i="12"/>
  <c r="L30" i="12" s="1"/>
  <c r="J43" i="12"/>
  <c r="L43" i="12" s="1"/>
  <c r="J56" i="12"/>
  <c r="L56" i="12" s="1"/>
  <c r="J68" i="12"/>
  <c r="L68" i="12" s="1"/>
  <c r="J81" i="12"/>
  <c r="L81" i="12" s="1"/>
  <c r="J96" i="12"/>
  <c r="L96" i="12" s="1"/>
  <c r="J108" i="12"/>
  <c r="L108" i="12" s="1"/>
  <c r="J120" i="12"/>
  <c r="L120" i="12" s="1"/>
  <c r="J133" i="12"/>
  <c r="L133" i="12" s="1"/>
  <c r="J145" i="12"/>
  <c r="L145" i="12" s="1"/>
  <c r="J157" i="12"/>
  <c r="L157" i="12" s="1"/>
  <c r="J173" i="12"/>
  <c r="L173" i="12" s="1"/>
  <c r="J185" i="12"/>
  <c r="L185" i="12" s="1"/>
  <c r="J199" i="12"/>
  <c r="L199" i="12" s="1"/>
  <c r="J211" i="12"/>
  <c r="L211" i="12" s="1"/>
  <c r="J223" i="12"/>
  <c r="L223" i="12" s="1"/>
  <c r="J235" i="12"/>
  <c r="L235" i="12" s="1"/>
  <c r="J247" i="12"/>
  <c r="L247" i="12" s="1"/>
  <c r="J259" i="12"/>
  <c r="L259" i="12" s="1"/>
  <c r="J271" i="12"/>
  <c r="L271" i="12" s="1"/>
  <c r="J283" i="12"/>
  <c r="L283" i="12" s="1"/>
  <c r="J295" i="12"/>
  <c r="L295" i="12" s="1"/>
  <c r="J307" i="12"/>
  <c r="L307" i="12" s="1"/>
  <c r="J319" i="12"/>
  <c r="L319" i="12" s="1"/>
  <c r="J331" i="12"/>
  <c r="L331" i="12" s="1"/>
  <c r="J343" i="12"/>
  <c r="L343" i="12" s="1"/>
  <c r="J355" i="12"/>
  <c r="L355" i="12" s="1"/>
  <c r="J367" i="12"/>
  <c r="L367" i="12" s="1"/>
  <c r="J379" i="12"/>
  <c r="L379" i="12" s="1"/>
  <c r="J391" i="12"/>
  <c r="L391" i="12" s="1"/>
  <c r="J403" i="12"/>
  <c r="L403" i="12" s="1"/>
  <c r="J415" i="12"/>
  <c r="L415" i="12" s="1"/>
  <c r="J427" i="12"/>
  <c r="L427" i="12" s="1"/>
  <c r="J439" i="12"/>
  <c r="L439" i="12" s="1"/>
  <c r="J451" i="12"/>
  <c r="L451" i="12" s="1"/>
  <c r="J463" i="12"/>
  <c r="L463" i="12" s="1"/>
  <c r="J475" i="12"/>
  <c r="L475" i="12" s="1"/>
  <c r="J487" i="12"/>
  <c r="L487" i="12" s="1"/>
  <c r="J499" i="12"/>
  <c r="L499" i="12" s="1"/>
  <c r="J511" i="12"/>
  <c r="L511" i="12" s="1"/>
  <c r="J523" i="12"/>
  <c r="L523" i="12" s="1"/>
  <c r="J535" i="12"/>
  <c r="L535" i="12" s="1"/>
  <c r="J547" i="12"/>
  <c r="L547" i="12" s="1"/>
  <c r="J559" i="12"/>
  <c r="L559" i="12" s="1"/>
  <c r="J571" i="12"/>
  <c r="L571" i="12" s="1"/>
  <c r="J584" i="12"/>
  <c r="L584" i="12" s="1"/>
  <c r="J596" i="12"/>
  <c r="L596" i="12" s="1"/>
  <c r="J608" i="12"/>
  <c r="L608" i="12" s="1"/>
  <c r="J620" i="12"/>
  <c r="L620" i="12" s="1"/>
  <c r="J632" i="12"/>
  <c r="L632" i="12" s="1"/>
  <c r="J644" i="12"/>
  <c r="L644" i="12" s="1"/>
  <c r="J656" i="12"/>
  <c r="L656" i="12" s="1"/>
  <c r="J668" i="12"/>
  <c r="L668" i="12" s="1"/>
  <c r="J25" i="12"/>
  <c r="L25" i="12" s="1"/>
  <c r="J51" i="12"/>
  <c r="L51" i="12" s="1"/>
  <c r="J75" i="12"/>
  <c r="L75" i="12" s="1"/>
  <c r="J91" i="12"/>
  <c r="L91" i="12" s="1"/>
  <c r="J115" i="12"/>
  <c r="L115" i="12" s="1"/>
  <c r="J168" i="12"/>
  <c r="L168" i="12" s="1"/>
  <c r="J193" i="12"/>
  <c r="L193" i="12" s="1"/>
  <c r="J218" i="12"/>
  <c r="L218" i="12" s="1"/>
  <c r="J242" i="12"/>
  <c r="L242" i="12" s="1"/>
  <c r="J254" i="12"/>
  <c r="L254" i="12" s="1"/>
  <c r="J278" i="12"/>
  <c r="L278" i="12" s="1"/>
  <c r="J314" i="12"/>
  <c r="L314" i="12" s="1"/>
  <c r="J338" i="12"/>
  <c r="L338" i="12" s="1"/>
  <c r="J362" i="12"/>
  <c r="L362" i="12" s="1"/>
  <c r="J374" i="12"/>
  <c r="L374" i="12" s="1"/>
  <c r="J410" i="12"/>
  <c r="L410" i="12" s="1"/>
  <c r="J434" i="12"/>
  <c r="L434" i="12" s="1"/>
  <c r="J446" i="12"/>
  <c r="L446" i="12" s="1"/>
  <c r="J482" i="12"/>
  <c r="L482" i="12" s="1"/>
  <c r="J506" i="12"/>
  <c r="L506" i="12" s="1"/>
  <c r="J518" i="12"/>
  <c r="L518" i="12" s="1"/>
  <c r="J579" i="12"/>
  <c r="L579" i="12" s="1"/>
  <c r="J591" i="12"/>
  <c r="L591" i="12" s="1"/>
  <c r="J615" i="12"/>
  <c r="L615" i="12" s="1"/>
  <c r="J627" i="12"/>
  <c r="L627" i="12" s="1"/>
  <c r="J651" i="12"/>
  <c r="L651" i="12" s="1"/>
  <c r="J675" i="12"/>
  <c r="L675" i="12" s="1"/>
  <c r="J15" i="12"/>
  <c r="L15" i="12" s="1"/>
  <c r="J28" i="12"/>
  <c r="L28" i="12" s="1"/>
  <c r="J54" i="12"/>
  <c r="L54" i="12" s="1"/>
  <c r="J106" i="12"/>
  <c r="L106" i="12" s="1"/>
  <c r="J118" i="12"/>
  <c r="L118" i="12" s="1"/>
  <c r="J155" i="12"/>
  <c r="L155" i="12" s="1"/>
  <c r="J197" i="12"/>
  <c r="L197" i="12" s="1"/>
  <c r="J233" i="12"/>
  <c r="L233" i="12" s="1"/>
  <c r="J245" i="12"/>
  <c r="L245" i="12" s="1"/>
  <c r="J269" i="12"/>
  <c r="L269" i="12" s="1"/>
  <c r="J305" i="12"/>
  <c r="L305" i="12" s="1"/>
  <c r="J341" i="12"/>
  <c r="L341" i="12" s="1"/>
  <c r="J365" i="12"/>
  <c r="L365" i="12" s="1"/>
  <c r="J389" i="12"/>
  <c r="L389" i="12" s="1"/>
  <c r="J413" i="12"/>
  <c r="L413" i="12" s="1"/>
  <c r="J437" i="12"/>
  <c r="L437" i="12" s="1"/>
  <c r="J473" i="12"/>
  <c r="L473" i="12" s="1"/>
  <c r="J521" i="12"/>
  <c r="L521" i="12" s="1"/>
  <c r="J557" i="12"/>
  <c r="L557" i="12" s="1"/>
  <c r="J569" i="12"/>
  <c r="L569" i="12" s="1"/>
  <c r="J594" i="12"/>
  <c r="L594" i="12" s="1"/>
  <c r="J630" i="12"/>
  <c r="L630" i="12" s="1"/>
  <c r="J666" i="12"/>
  <c r="L666" i="12" s="1"/>
  <c r="J57" i="12"/>
  <c r="L57" i="12" s="1"/>
  <c r="J146" i="12"/>
  <c r="L146" i="12" s="1"/>
  <c r="J236" i="12"/>
  <c r="L236" i="12" s="1"/>
  <c r="J332" i="12"/>
  <c r="L332" i="12" s="1"/>
  <c r="J416" i="12"/>
  <c r="L416" i="12" s="1"/>
  <c r="J512" i="12"/>
  <c r="L512" i="12" s="1"/>
  <c r="J609" i="12"/>
  <c r="L609" i="12" s="1"/>
  <c r="J7" i="12"/>
  <c r="L7" i="12" s="1"/>
  <c r="J20" i="12"/>
  <c r="L20" i="12" s="1"/>
  <c r="J32" i="12"/>
  <c r="L32" i="12" s="1"/>
  <c r="J45" i="12"/>
  <c r="L45" i="12" s="1"/>
  <c r="J58" i="12"/>
  <c r="L58" i="12" s="1"/>
  <c r="J70" i="12"/>
  <c r="L70" i="12" s="1"/>
  <c r="J83" i="12"/>
  <c r="L83" i="12" s="1"/>
  <c r="J98" i="12"/>
  <c r="L98" i="12" s="1"/>
  <c r="J110" i="12"/>
  <c r="L110" i="12" s="1"/>
  <c r="J122" i="12"/>
  <c r="L122" i="12" s="1"/>
  <c r="J135" i="12"/>
  <c r="L135" i="12" s="1"/>
  <c r="J147" i="12"/>
  <c r="L147" i="12" s="1"/>
  <c r="J161" i="12"/>
  <c r="L161" i="12" s="1"/>
  <c r="J175" i="12"/>
  <c r="L175" i="12" s="1"/>
  <c r="J188" i="12"/>
  <c r="L188" i="12" s="1"/>
  <c r="J201" i="12"/>
  <c r="L201" i="12" s="1"/>
  <c r="J213" i="12"/>
  <c r="L213" i="12" s="1"/>
  <c r="J225" i="12"/>
  <c r="L225" i="12" s="1"/>
  <c r="J237" i="12"/>
  <c r="L237" i="12" s="1"/>
  <c r="J249" i="12"/>
  <c r="L249" i="12" s="1"/>
  <c r="J261" i="12"/>
  <c r="L261" i="12" s="1"/>
  <c r="J273" i="12"/>
  <c r="L273" i="12" s="1"/>
  <c r="J285" i="12"/>
  <c r="L285" i="12" s="1"/>
  <c r="J297" i="12"/>
  <c r="L297" i="12" s="1"/>
  <c r="J309" i="12"/>
  <c r="L309" i="12" s="1"/>
  <c r="J321" i="12"/>
  <c r="L321" i="12" s="1"/>
  <c r="J333" i="12"/>
  <c r="L333" i="12" s="1"/>
  <c r="J345" i="12"/>
  <c r="L345" i="12" s="1"/>
  <c r="J357" i="12"/>
  <c r="L357" i="12" s="1"/>
  <c r="J369" i="12"/>
  <c r="L369" i="12" s="1"/>
  <c r="J381" i="12"/>
  <c r="L381" i="12" s="1"/>
  <c r="J393" i="12"/>
  <c r="L393" i="12" s="1"/>
  <c r="J405" i="12"/>
  <c r="L405" i="12" s="1"/>
  <c r="J417" i="12"/>
  <c r="L417" i="12" s="1"/>
  <c r="J429" i="12"/>
  <c r="L429" i="12" s="1"/>
  <c r="J441" i="12"/>
  <c r="L441" i="12" s="1"/>
  <c r="J453" i="12"/>
  <c r="L453" i="12" s="1"/>
  <c r="J465" i="12"/>
  <c r="L465" i="12" s="1"/>
  <c r="J477" i="12"/>
  <c r="L477" i="12" s="1"/>
  <c r="J489" i="12"/>
  <c r="L489" i="12" s="1"/>
  <c r="J501" i="12"/>
  <c r="L501" i="12" s="1"/>
  <c r="J513" i="12"/>
  <c r="L513" i="12" s="1"/>
  <c r="J525" i="12"/>
  <c r="L525" i="12" s="1"/>
  <c r="J537" i="12"/>
  <c r="L537" i="12" s="1"/>
  <c r="J549" i="12"/>
  <c r="L549" i="12" s="1"/>
  <c r="J561" i="12"/>
  <c r="L561" i="12" s="1"/>
  <c r="J573" i="12"/>
  <c r="L573" i="12" s="1"/>
  <c r="J586" i="12"/>
  <c r="L586" i="12" s="1"/>
  <c r="J598" i="12"/>
  <c r="L598" i="12" s="1"/>
  <c r="J610" i="12"/>
  <c r="L610" i="12" s="1"/>
  <c r="J622" i="12"/>
  <c r="L622" i="12" s="1"/>
  <c r="J634" i="12"/>
  <c r="L634" i="12" s="1"/>
  <c r="J646" i="12"/>
  <c r="L646" i="12" s="1"/>
  <c r="J658" i="12"/>
  <c r="L658" i="12" s="1"/>
  <c r="J670" i="12"/>
  <c r="L670" i="12" s="1"/>
  <c r="J12" i="12"/>
  <c r="L12" i="12" s="1"/>
  <c r="J180" i="12"/>
  <c r="L180" i="12" s="1"/>
  <c r="J350" i="12"/>
  <c r="L350" i="12" s="1"/>
  <c r="J530" i="12"/>
  <c r="L530" i="12" s="1"/>
  <c r="J41" i="12"/>
  <c r="L41" i="12" s="1"/>
  <c r="J209" i="12"/>
  <c r="L209" i="12" s="1"/>
  <c r="J353" i="12"/>
  <c r="L353" i="12" s="1"/>
  <c r="J497" i="12"/>
  <c r="L497" i="12" s="1"/>
  <c r="J654" i="12"/>
  <c r="L654" i="12" s="1"/>
  <c r="J186" i="12"/>
  <c r="L186" i="12" s="1"/>
  <c r="J99" i="12"/>
  <c r="L99" i="12" s="1"/>
  <c r="J214" i="12"/>
  <c r="L214" i="12" s="1"/>
  <c r="J322" i="12"/>
  <c r="L322" i="12" s="1"/>
  <c r="J430" i="12"/>
  <c r="L430" i="12" s="1"/>
  <c r="J562" i="12"/>
  <c r="L562" i="12" s="1"/>
  <c r="J103" i="12"/>
  <c r="L103" i="12" s="1"/>
  <c r="J266" i="12"/>
  <c r="L266" i="12" s="1"/>
  <c r="J422" i="12"/>
  <c r="L422" i="12" s="1"/>
  <c r="J566" i="12"/>
  <c r="L566" i="12" s="1"/>
  <c r="J3" i="12"/>
  <c r="L3" i="12" s="1"/>
  <c r="J143" i="12"/>
  <c r="L143" i="12" s="1"/>
  <c r="J281" i="12"/>
  <c r="L281" i="12" s="1"/>
  <c r="J401" i="12"/>
  <c r="L401" i="12" s="1"/>
  <c r="J509" i="12"/>
  <c r="L509" i="12" s="1"/>
  <c r="J606" i="12"/>
  <c r="L606" i="12" s="1"/>
  <c r="J31" i="12"/>
  <c r="L31" i="12" s="1"/>
  <c r="J69" i="12"/>
  <c r="L69" i="12" s="1"/>
  <c r="J97" i="12"/>
  <c r="L97" i="12" s="1"/>
  <c r="J134" i="12"/>
  <c r="L134" i="12" s="1"/>
  <c r="J174" i="12"/>
  <c r="L174" i="12" s="1"/>
  <c r="J224" i="12"/>
  <c r="L224" i="12" s="1"/>
  <c r="J260" i="12"/>
  <c r="L260" i="12" s="1"/>
  <c r="J284" i="12"/>
  <c r="L284" i="12" s="1"/>
  <c r="J320" i="12"/>
  <c r="L320" i="12" s="1"/>
  <c r="J356" i="12"/>
  <c r="L356" i="12" s="1"/>
  <c r="J392" i="12"/>
  <c r="L392" i="12" s="1"/>
  <c r="J428" i="12"/>
  <c r="L428" i="12" s="1"/>
  <c r="J452" i="12"/>
  <c r="L452" i="12" s="1"/>
  <c r="J488" i="12"/>
  <c r="L488" i="12" s="1"/>
  <c r="J524" i="12"/>
  <c r="L524" i="12" s="1"/>
  <c r="J548" i="12"/>
  <c r="L548" i="12" s="1"/>
  <c r="J585" i="12"/>
  <c r="L585" i="12" s="1"/>
  <c r="J621" i="12"/>
  <c r="L621" i="12" s="1"/>
  <c r="J645" i="12"/>
  <c r="L645" i="12" s="1"/>
  <c r="J21" i="12"/>
  <c r="L21" i="12" s="1"/>
  <c r="J136" i="12"/>
  <c r="L136" i="12" s="1"/>
  <c r="J250" i="12"/>
  <c r="L250" i="12" s="1"/>
  <c r="J358" i="12"/>
  <c r="L358" i="12" s="1"/>
  <c r="J478" i="12"/>
  <c r="L478" i="12" s="1"/>
  <c r="J599" i="12"/>
  <c r="L599" i="12" s="1"/>
  <c r="J85" i="12"/>
  <c r="L85" i="12" s="1"/>
  <c r="J251" i="12"/>
  <c r="L251" i="12" s="1"/>
  <c r="J455" i="12"/>
  <c r="L455" i="12" s="1"/>
  <c r="J648" i="12"/>
  <c r="L648" i="12" s="1"/>
  <c r="J38" i="12"/>
  <c r="L38" i="12" s="1"/>
  <c r="J206" i="12"/>
  <c r="L206" i="12" s="1"/>
  <c r="J386" i="12"/>
  <c r="L386" i="12" s="1"/>
  <c r="J542" i="12"/>
  <c r="L542" i="12" s="1"/>
  <c r="J66" i="12"/>
  <c r="L66" i="12" s="1"/>
  <c r="J171" i="12"/>
  <c r="L171" i="12" s="1"/>
  <c r="J293" i="12"/>
  <c r="L293" i="12" s="1"/>
  <c r="J425" i="12"/>
  <c r="L425" i="12" s="1"/>
  <c r="J533" i="12"/>
  <c r="L533" i="12" s="1"/>
  <c r="J618" i="12"/>
  <c r="L618" i="12" s="1"/>
  <c r="J19" i="12"/>
  <c r="L19" i="12" s="1"/>
  <c r="J109" i="12"/>
  <c r="L109" i="12" s="1"/>
  <c r="J200" i="12"/>
  <c r="L200" i="12" s="1"/>
  <c r="J296" i="12"/>
  <c r="L296" i="12" s="1"/>
  <c r="J380" i="12"/>
  <c r="L380" i="12" s="1"/>
  <c r="J476" i="12"/>
  <c r="L476" i="12" s="1"/>
  <c r="J572" i="12"/>
  <c r="L572" i="12" s="1"/>
  <c r="J669" i="12"/>
  <c r="L669" i="12" s="1"/>
  <c r="J576" i="12"/>
  <c r="L576" i="12" s="1"/>
  <c r="J33" i="12"/>
  <c r="L33" i="12" s="1"/>
  <c r="J59" i="12"/>
  <c r="L59" i="12" s="1"/>
  <c r="J84" i="12"/>
  <c r="L84" i="12" s="1"/>
  <c r="J123" i="12"/>
  <c r="L123" i="12" s="1"/>
  <c r="J164" i="12"/>
  <c r="L164" i="12" s="1"/>
  <c r="J189" i="12"/>
  <c r="L189" i="12" s="1"/>
  <c r="J226" i="12"/>
  <c r="L226" i="12" s="1"/>
  <c r="J262" i="12"/>
  <c r="L262" i="12" s="1"/>
  <c r="J286" i="12"/>
  <c r="L286" i="12" s="1"/>
  <c r="J310" i="12"/>
  <c r="L310" i="12" s="1"/>
  <c r="J346" i="12"/>
  <c r="L346" i="12" s="1"/>
  <c r="J382" i="12"/>
  <c r="L382" i="12" s="1"/>
  <c r="J394" i="12"/>
  <c r="L394" i="12" s="1"/>
  <c r="J418" i="12"/>
  <c r="L418" i="12" s="1"/>
  <c r="J454" i="12"/>
  <c r="L454" i="12" s="1"/>
  <c r="J490" i="12"/>
  <c r="L490" i="12" s="1"/>
  <c r="J514" i="12"/>
  <c r="L514" i="12" s="1"/>
  <c r="J587" i="12"/>
  <c r="L587" i="12" s="1"/>
  <c r="J623" i="12"/>
  <c r="L623" i="12" s="1"/>
  <c r="J647" i="12"/>
  <c r="L647" i="12" s="1"/>
  <c r="J671" i="12"/>
  <c r="L671" i="12" s="1"/>
  <c r="J22" i="12"/>
  <c r="L22" i="12" s="1"/>
  <c r="J48" i="12"/>
  <c r="L48" i="12" s="1"/>
  <c r="J72" i="12"/>
  <c r="L72" i="12" s="1"/>
  <c r="J100" i="12"/>
  <c r="L100" i="12" s="1"/>
  <c r="J124" i="12"/>
  <c r="L124" i="12" s="1"/>
  <c r="J149" i="12"/>
  <c r="L149" i="12" s="1"/>
  <c r="J177" i="12"/>
  <c r="L177" i="12" s="1"/>
  <c r="J203" i="12"/>
  <c r="L203" i="12" s="1"/>
  <c r="J227" i="12"/>
  <c r="L227" i="12" s="1"/>
  <c r="J263" i="12"/>
  <c r="L263" i="12" s="1"/>
  <c r="J287" i="12"/>
  <c r="L287" i="12" s="1"/>
  <c r="J311" i="12"/>
  <c r="L311" i="12" s="1"/>
  <c r="J335" i="12"/>
  <c r="L335" i="12" s="1"/>
  <c r="J359" i="12"/>
  <c r="L359" i="12" s="1"/>
  <c r="J383" i="12"/>
  <c r="L383" i="12" s="1"/>
  <c r="J407" i="12"/>
  <c r="L407" i="12" s="1"/>
  <c r="J431" i="12"/>
  <c r="L431" i="12" s="1"/>
  <c r="J467" i="12"/>
  <c r="L467" i="12" s="1"/>
  <c r="J491" i="12"/>
  <c r="L491" i="12" s="1"/>
  <c r="J515" i="12"/>
  <c r="L515" i="12" s="1"/>
  <c r="J563" i="12"/>
  <c r="L563" i="12" s="1"/>
  <c r="J588" i="12"/>
  <c r="L588" i="12" s="1"/>
  <c r="J600" i="12"/>
  <c r="L600" i="12" s="1"/>
  <c r="J612" i="12"/>
  <c r="L612" i="12" s="1"/>
  <c r="J636" i="12"/>
  <c r="L636" i="12" s="1"/>
  <c r="J672" i="12"/>
  <c r="L672" i="12" s="1"/>
  <c r="J23" i="12"/>
  <c r="L23" i="12" s="1"/>
  <c r="J61" i="12"/>
  <c r="L61" i="12" s="1"/>
  <c r="J86" i="12"/>
  <c r="L86" i="12" s="1"/>
  <c r="J113" i="12"/>
  <c r="L113" i="12" s="1"/>
  <c r="J138" i="12"/>
  <c r="L138" i="12" s="1"/>
  <c r="J166" i="12"/>
  <c r="L166" i="12" s="1"/>
  <c r="J191" i="12"/>
  <c r="L191" i="12" s="1"/>
  <c r="J216" i="12"/>
  <c r="L216" i="12" s="1"/>
  <c r="J240" i="12"/>
  <c r="L240" i="12" s="1"/>
  <c r="J264" i="12"/>
  <c r="L264" i="12" s="1"/>
  <c r="J288" i="12"/>
  <c r="L288" i="12" s="1"/>
  <c r="J312" i="12"/>
  <c r="L312" i="12" s="1"/>
  <c r="J348" i="12"/>
  <c r="L348" i="12" s="1"/>
  <c r="J372" i="12"/>
  <c r="L372" i="12" s="1"/>
  <c r="J396" i="12"/>
  <c r="L396" i="12" s="1"/>
  <c r="J420" i="12"/>
  <c r="L420" i="12" s="1"/>
  <c r="J444" i="12"/>
  <c r="L444" i="12" s="1"/>
  <c r="J468" i="12"/>
  <c r="L468" i="12" s="1"/>
  <c r="J492" i="12"/>
  <c r="L492" i="12" s="1"/>
  <c r="J516" i="12"/>
  <c r="L516" i="12" s="1"/>
  <c r="J540" i="12"/>
  <c r="L540" i="12" s="1"/>
  <c r="J564" i="12"/>
  <c r="L564" i="12" s="1"/>
  <c r="J589" i="12"/>
  <c r="L589" i="12" s="1"/>
  <c r="J613" i="12"/>
  <c r="L613" i="12" s="1"/>
  <c r="J637" i="12"/>
  <c r="L637" i="12" s="1"/>
  <c r="J661" i="12"/>
  <c r="L661" i="12" s="1"/>
  <c r="J152" i="12"/>
  <c r="L152" i="12" s="1"/>
  <c r="J302" i="12"/>
  <c r="L302" i="12" s="1"/>
  <c r="J458" i="12"/>
  <c r="L458" i="12" s="1"/>
  <c r="J603" i="12"/>
  <c r="L603" i="12" s="1"/>
  <c r="J131" i="12"/>
  <c r="L131" i="12" s="1"/>
  <c r="J257" i="12"/>
  <c r="L257" i="12" s="1"/>
  <c r="J377" i="12"/>
  <c r="L377" i="12" s="1"/>
  <c r="J461" i="12"/>
  <c r="L461" i="12" s="1"/>
  <c r="J582" i="12"/>
  <c r="L582" i="12" s="1"/>
  <c r="J6" i="12"/>
  <c r="L6" i="12" s="1"/>
  <c r="J44" i="12"/>
  <c r="L44" i="12" s="1"/>
  <c r="J82" i="12"/>
  <c r="L82" i="12" s="1"/>
  <c r="J121" i="12"/>
  <c r="L121" i="12" s="1"/>
  <c r="J160" i="12"/>
  <c r="L160" i="12" s="1"/>
  <c r="J212" i="12"/>
  <c r="L212" i="12" s="1"/>
  <c r="J248" i="12"/>
  <c r="L248" i="12" s="1"/>
  <c r="J272" i="12"/>
  <c r="L272" i="12" s="1"/>
  <c r="J308" i="12"/>
  <c r="L308" i="12" s="1"/>
  <c r="J344" i="12"/>
  <c r="L344" i="12" s="1"/>
  <c r="J368" i="12"/>
  <c r="L368" i="12" s="1"/>
  <c r="J404" i="12"/>
  <c r="L404" i="12" s="1"/>
  <c r="J440" i="12"/>
  <c r="L440" i="12" s="1"/>
  <c r="J464" i="12"/>
  <c r="L464" i="12" s="1"/>
  <c r="J500" i="12"/>
  <c r="L500" i="12" s="1"/>
  <c r="J536" i="12"/>
  <c r="L536" i="12" s="1"/>
  <c r="J560" i="12"/>
  <c r="L560" i="12" s="1"/>
  <c r="J597" i="12"/>
  <c r="L597" i="12" s="1"/>
  <c r="J633" i="12"/>
  <c r="L633" i="12" s="1"/>
  <c r="J657" i="12"/>
  <c r="L657" i="12" s="1"/>
  <c r="J8" i="12"/>
  <c r="L8" i="12" s="1"/>
  <c r="J47" i="12"/>
  <c r="L47" i="12" s="1"/>
  <c r="J71" i="12"/>
  <c r="L71" i="12" s="1"/>
  <c r="J111" i="12"/>
  <c r="L111" i="12" s="1"/>
  <c r="J148" i="12"/>
  <c r="L148" i="12" s="1"/>
  <c r="J176" i="12"/>
  <c r="L176" i="12" s="1"/>
  <c r="J202" i="12"/>
  <c r="L202" i="12" s="1"/>
  <c r="J238" i="12"/>
  <c r="L238" i="12" s="1"/>
  <c r="J274" i="12"/>
  <c r="L274" i="12" s="1"/>
  <c r="J298" i="12"/>
  <c r="L298" i="12" s="1"/>
  <c r="J334" i="12"/>
  <c r="L334" i="12" s="1"/>
  <c r="J370" i="12"/>
  <c r="L370" i="12" s="1"/>
  <c r="J406" i="12"/>
  <c r="L406" i="12" s="1"/>
  <c r="J442" i="12"/>
  <c r="L442" i="12" s="1"/>
  <c r="J466" i="12"/>
  <c r="L466" i="12" s="1"/>
  <c r="J502" i="12"/>
  <c r="L502" i="12" s="1"/>
  <c r="J526" i="12"/>
  <c r="L526" i="12" s="1"/>
  <c r="J538" i="12"/>
  <c r="L538" i="12" s="1"/>
  <c r="J550" i="12"/>
  <c r="L550" i="12" s="1"/>
  <c r="J574" i="12"/>
  <c r="L574" i="12" s="1"/>
  <c r="J611" i="12"/>
  <c r="L611" i="12" s="1"/>
  <c r="J635" i="12"/>
  <c r="L635" i="12" s="1"/>
  <c r="J659" i="12"/>
  <c r="L659" i="12" s="1"/>
  <c r="J9" i="12"/>
  <c r="L9" i="12" s="1"/>
  <c r="J35" i="12"/>
  <c r="L35" i="12" s="1"/>
  <c r="J60" i="12"/>
  <c r="L60" i="12" s="1"/>
  <c r="J112" i="12"/>
  <c r="L112" i="12" s="1"/>
  <c r="J137" i="12"/>
  <c r="L137" i="12" s="1"/>
  <c r="J165" i="12"/>
  <c r="L165" i="12" s="1"/>
  <c r="J190" i="12"/>
  <c r="L190" i="12" s="1"/>
  <c r="J215" i="12"/>
  <c r="L215" i="12" s="1"/>
  <c r="J239" i="12"/>
  <c r="L239" i="12" s="1"/>
  <c r="J275" i="12"/>
  <c r="L275" i="12" s="1"/>
  <c r="J299" i="12"/>
  <c r="L299" i="12" s="1"/>
  <c r="J323" i="12"/>
  <c r="L323" i="12" s="1"/>
  <c r="J347" i="12"/>
  <c r="L347" i="12" s="1"/>
  <c r="J371" i="12"/>
  <c r="L371" i="12" s="1"/>
  <c r="J395" i="12"/>
  <c r="L395" i="12" s="1"/>
  <c r="J419" i="12"/>
  <c r="L419" i="12" s="1"/>
  <c r="J443" i="12"/>
  <c r="L443" i="12" s="1"/>
  <c r="J479" i="12"/>
  <c r="L479" i="12" s="1"/>
  <c r="J503" i="12"/>
  <c r="L503" i="12" s="1"/>
  <c r="J527" i="12"/>
  <c r="L527" i="12" s="1"/>
  <c r="J539" i="12"/>
  <c r="L539" i="12" s="1"/>
  <c r="J551" i="12"/>
  <c r="L551" i="12" s="1"/>
  <c r="J575" i="12"/>
  <c r="L575" i="12" s="1"/>
  <c r="J624" i="12"/>
  <c r="L624" i="12" s="1"/>
  <c r="J660" i="12"/>
  <c r="L660" i="12" s="1"/>
  <c r="J10" i="12"/>
  <c r="L10" i="12" s="1"/>
  <c r="J36" i="12"/>
  <c r="L36" i="12" s="1"/>
  <c r="J49" i="12"/>
  <c r="L49" i="12" s="1"/>
  <c r="J73" i="12"/>
  <c r="L73" i="12" s="1"/>
  <c r="J101" i="12"/>
  <c r="L101" i="12" s="1"/>
  <c r="J125" i="12"/>
  <c r="L125" i="12" s="1"/>
  <c r="J150" i="12"/>
  <c r="L150" i="12" s="1"/>
  <c r="J178" i="12"/>
  <c r="L178" i="12" s="1"/>
  <c r="J204" i="12"/>
  <c r="L204" i="12" s="1"/>
  <c r="J228" i="12"/>
  <c r="L228" i="12" s="1"/>
  <c r="J252" i="12"/>
  <c r="L252" i="12" s="1"/>
  <c r="J276" i="12"/>
  <c r="L276" i="12" s="1"/>
  <c r="J300" i="12"/>
  <c r="L300" i="12" s="1"/>
  <c r="J324" i="12"/>
  <c r="L324" i="12" s="1"/>
  <c r="J336" i="12"/>
  <c r="L336" i="12" s="1"/>
  <c r="J360" i="12"/>
  <c r="L360" i="12" s="1"/>
  <c r="J384" i="12"/>
  <c r="L384" i="12" s="1"/>
  <c r="J408" i="12"/>
  <c r="L408" i="12" s="1"/>
  <c r="J432" i="12"/>
  <c r="L432" i="12" s="1"/>
  <c r="J456" i="12"/>
  <c r="L456" i="12" s="1"/>
  <c r="J480" i="12"/>
  <c r="L480" i="12" s="1"/>
  <c r="J504" i="12"/>
  <c r="L504" i="12" s="1"/>
  <c r="J528" i="12"/>
  <c r="L528" i="12" s="1"/>
  <c r="J552" i="12"/>
  <c r="L552" i="12" s="1"/>
  <c r="J577" i="12"/>
  <c r="L577" i="12" s="1"/>
  <c r="J601" i="12"/>
  <c r="L601" i="12" s="1"/>
  <c r="J625" i="12"/>
  <c r="L625" i="12" s="1"/>
  <c r="J649" i="12"/>
  <c r="L649" i="12" s="1"/>
  <c r="J673" i="12"/>
  <c r="L673" i="12" s="1"/>
  <c r="J11" i="12"/>
  <c r="L11" i="12" s="1"/>
  <c r="J24" i="12"/>
  <c r="L24" i="12" s="1"/>
  <c r="J37" i="12"/>
  <c r="L37" i="12" s="1"/>
  <c r="J50" i="12"/>
  <c r="L50" i="12" s="1"/>
  <c r="J62" i="12"/>
  <c r="L62" i="12" s="1"/>
  <c r="J74" i="12"/>
  <c r="L74" i="12" s="1"/>
  <c r="J87" i="12"/>
  <c r="L87" i="12" s="1"/>
  <c r="J102" i="12"/>
  <c r="L102" i="12" s="1"/>
  <c r="J114" i="12"/>
  <c r="L114" i="12" s="1"/>
  <c r="J126" i="12"/>
  <c r="L126" i="12" s="1"/>
  <c r="J139" i="12"/>
  <c r="L139" i="12" s="1"/>
  <c r="J151" i="12"/>
  <c r="L151" i="12" s="1"/>
  <c r="J167" i="12"/>
  <c r="L167" i="12" s="1"/>
  <c r="J179" i="12"/>
  <c r="L179" i="12" s="1"/>
  <c r="J192" i="12"/>
  <c r="L192" i="12" s="1"/>
  <c r="J205" i="12"/>
  <c r="L205" i="12" s="1"/>
  <c r="J217" i="12"/>
  <c r="L217" i="12" s="1"/>
  <c r="J229" i="12"/>
  <c r="L229" i="12" s="1"/>
  <c r="J241" i="12"/>
  <c r="L241" i="12" s="1"/>
  <c r="J253" i="12"/>
  <c r="L253" i="12" s="1"/>
  <c r="J265" i="12"/>
  <c r="L265" i="12" s="1"/>
  <c r="J277" i="12"/>
  <c r="L277" i="12" s="1"/>
  <c r="J289" i="12"/>
  <c r="L289" i="12" s="1"/>
  <c r="J301" i="12"/>
  <c r="L301" i="12" s="1"/>
  <c r="J313" i="12"/>
  <c r="L313" i="12" s="1"/>
  <c r="J325" i="12"/>
  <c r="L325" i="12" s="1"/>
  <c r="J337" i="12"/>
  <c r="L337" i="12" s="1"/>
  <c r="J349" i="12"/>
  <c r="L349" i="12" s="1"/>
  <c r="J361" i="12"/>
  <c r="L361" i="12" s="1"/>
  <c r="J373" i="12"/>
  <c r="L373" i="12" s="1"/>
  <c r="J385" i="12"/>
  <c r="L385" i="12" s="1"/>
  <c r="J397" i="12"/>
  <c r="L397" i="12" s="1"/>
  <c r="J409" i="12"/>
  <c r="L409" i="12" s="1"/>
  <c r="J421" i="12"/>
  <c r="L421" i="12" s="1"/>
  <c r="J433" i="12"/>
  <c r="L433" i="12" s="1"/>
  <c r="J445" i="12"/>
  <c r="L445" i="12" s="1"/>
  <c r="J457" i="12"/>
  <c r="L457" i="12" s="1"/>
  <c r="J469" i="12"/>
  <c r="L469" i="12" s="1"/>
  <c r="J481" i="12"/>
  <c r="L481" i="12" s="1"/>
  <c r="J493" i="12"/>
  <c r="L493" i="12" s="1"/>
  <c r="J505" i="12"/>
  <c r="L505" i="12" s="1"/>
  <c r="J517" i="12"/>
  <c r="L517" i="12" s="1"/>
  <c r="J529" i="12"/>
  <c r="L529" i="12" s="1"/>
  <c r="J541" i="12"/>
  <c r="L541" i="12" s="1"/>
  <c r="J553" i="12"/>
  <c r="L553" i="12" s="1"/>
  <c r="J565" i="12"/>
  <c r="L565" i="12" s="1"/>
  <c r="J578" i="12"/>
  <c r="L578" i="12" s="1"/>
  <c r="J590" i="12"/>
  <c r="L590" i="12" s="1"/>
  <c r="J602" i="12"/>
  <c r="L602" i="12" s="1"/>
  <c r="J614" i="12"/>
  <c r="L614" i="12" s="1"/>
  <c r="J626" i="12"/>
  <c r="L626" i="12" s="1"/>
  <c r="J638" i="12"/>
  <c r="L638" i="12" s="1"/>
  <c r="J650" i="12"/>
  <c r="L650" i="12" s="1"/>
  <c r="J662" i="12"/>
  <c r="L662" i="12" s="1"/>
  <c r="J674" i="12"/>
  <c r="L674" i="12" s="1"/>
  <c r="J1142" i="12" l="1"/>
  <c r="L1142" i="12" s="1"/>
  <c r="J982" i="12"/>
  <c r="L982" i="12" s="1"/>
  <c r="J1156" i="12"/>
  <c r="L1156" i="12" s="1"/>
  <c r="J1162" i="12"/>
  <c r="L1162" i="12" s="1"/>
  <c r="J1114" i="12"/>
  <c r="L1114" i="12" s="1"/>
  <c r="J1102" i="12"/>
  <c r="L1102" i="12" s="1"/>
  <c r="J1043" i="12"/>
  <c r="L1043" i="12" s="1"/>
  <c r="J804" i="12"/>
  <c r="L804" i="12" s="1"/>
  <c r="J753" i="12"/>
  <c r="L753" i="12" s="1"/>
  <c r="J934" i="12"/>
  <c r="L934" i="12" s="1"/>
  <c r="J900" i="12"/>
  <c r="L900" i="12" s="1"/>
  <c r="J843" i="12"/>
  <c r="L843" i="12" s="1"/>
  <c r="J949" i="12"/>
  <c r="L949" i="12" s="1"/>
  <c r="J742" i="12"/>
  <c r="L742" i="12" s="1"/>
  <c r="J1079" i="12" l="1"/>
  <c r="L1079" i="12" s="1"/>
  <c r="J1078" i="12"/>
  <c r="L1078" i="12" s="1"/>
  <c r="I39" i="12"/>
  <c r="I182" i="12"/>
  <c r="I158" i="12"/>
  <c r="I134" i="12"/>
  <c r="I111" i="12"/>
  <c r="I87" i="12"/>
  <c r="I180" i="12"/>
  <c r="I62" i="12"/>
  <c r="I130" i="12"/>
  <c r="I84" i="12"/>
  <c r="I150" i="12"/>
  <c r="I106" i="12"/>
  <c r="I110" i="12"/>
  <c r="I147" i="12"/>
  <c r="I126" i="12"/>
  <c r="I102" i="12"/>
  <c r="I146" i="12"/>
  <c r="I30" i="12"/>
  <c r="I133" i="12"/>
  <c r="I169" i="12"/>
  <c r="I145" i="12"/>
  <c r="I122" i="12"/>
  <c r="I75" i="12"/>
  <c r="I27" i="12"/>
  <c r="I168" i="12"/>
  <c r="I144" i="12"/>
  <c r="I121" i="12"/>
  <c r="I97" i="12"/>
  <c r="I74" i="12"/>
  <c r="I50" i="12"/>
  <c r="I26" i="12"/>
  <c r="I156" i="12"/>
  <c r="I142" i="12"/>
  <c r="I120" i="12"/>
  <c r="I96" i="12"/>
  <c r="I73" i="12"/>
  <c r="I49" i="12"/>
  <c r="I132" i="12"/>
  <c r="I162" i="12"/>
  <c r="I138" i="12"/>
  <c r="I118" i="12"/>
  <c r="I94" i="12"/>
  <c r="I48" i="12"/>
  <c r="I86" i="12"/>
  <c r="I85" i="12"/>
  <c r="I183" i="12"/>
  <c r="I159" i="12"/>
  <c r="I135" i="12"/>
  <c r="I114" i="12"/>
  <c r="I90" i="12"/>
  <c r="I22" i="12"/>
  <c r="I179" i="12"/>
  <c r="I155" i="12"/>
  <c r="I143" i="12"/>
  <c r="I131" i="12"/>
  <c r="I119" i="12"/>
  <c r="I107" i="12"/>
  <c r="I95" i="12"/>
  <c r="I71" i="12"/>
  <c r="I47" i="12"/>
  <c r="I177" i="12"/>
  <c r="I153" i="12"/>
  <c r="I141" i="12"/>
  <c r="I129" i="12"/>
  <c r="I117" i="12"/>
  <c r="I105" i="12"/>
  <c r="I93" i="12"/>
  <c r="I69" i="12"/>
  <c r="I57" i="12"/>
  <c r="I45" i="12"/>
  <c r="I176" i="12"/>
  <c r="I164" i="12"/>
  <c r="I152" i="12"/>
  <c r="I140" i="12"/>
  <c r="I116" i="12"/>
  <c r="I92" i="12"/>
  <c r="I56" i="12"/>
  <c r="I20" i="12"/>
  <c r="I175" i="12"/>
  <c r="I163" i="12"/>
  <c r="I151" i="12"/>
  <c r="I139" i="12"/>
  <c r="I115" i="12"/>
  <c r="I103" i="12"/>
  <c r="I91" i="12"/>
  <c r="I79" i="12"/>
  <c r="I67" i="12"/>
  <c r="I43" i="12"/>
  <c r="I185" i="12"/>
  <c r="I173" i="12"/>
  <c r="I161" i="12"/>
  <c r="I149" i="12"/>
  <c r="I137" i="12"/>
  <c r="I125" i="12"/>
  <c r="I113" i="12"/>
  <c r="I101" i="12"/>
  <c r="I89" i="12"/>
  <c r="I53" i="12"/>
  <c r="I184" i="12"/>
  <c r="I172" i="12"/>
  <c r="I160" i="12"/>
  <c r="I148" i="12"/>
  <c r="I124" i="12"/>
  <c r="I112" i="12"/>
  <c r="I100" i="12"/>
  <c r="I88" i="12"/>
  <c r="I76" i="12"/>
  <c r="I40" i="12"/>
  <c r="I28" i="12"/>
  <c r="I178" i="12"/>
  <c r="I80" i="12"/>
  <c r="I98" i="12"/>
  <c r="I42" i="12"/>
  <c r="I78" i="12"/>
  <c r="I14" i="12"/>
  <c r="I123" i="12"/>
  <c r="I13" i="12"/>
  <c r="I82" i="12"/>
  <c r="I17" i="12"/>
  <c r="I41" i="12"/>
  <c r="I61" i="12"/>
  <c r="I167" i="12"/>
  <c r="I128" i="12"/>
  <c r="I63" i="12"/>
  <c r="I46" i="12"/>
  <c r="I15" i="12"/>
  <c r="I99" i="12"/>
  <c r="I59" i="12"/>
  <c r="I37" i="12"/>
  <c r="I51" i="12"/>
  <c r="I58" i="12"/>
  <c r="I157" i="12"/>
  <c r="I109" i="12"/>
  <c r="I32" i="12"/>
  <c r="I154" i="12"/>
  <c r="I66" i="12"/>
  <c r="I104" i="12"/>
  <c r="I246" i="12"/>
  <c r="I38" i="12"/>
  <c r="I65" i="12"/>
  <c r="I165" i="12"/>
  <c r="I68" i="12"/>
  <c r="I83" i="12"/>
  <c r="I60" i="12"/>
  <c r="I52" i="12"/>
  <c r="I33" i="12"/>
  <c r="I36" i="12"/>
  <c r="I247" i="12"/>
  <c r="I24" i="12"/>
  <c r="I166" i="12"/>
  <c r="I35" i="12"/>
  <c r="I19" i="12"/>
  <c r="I55" i="12"/>
  <c r="I171" i="12"/>
  <c r="I258" i="12"/>
  <c r="I64" i="12"/>
  <c r="I29" i="12"/>
  <c r="I23" i="12"/>
  <c r="I18" i="12"/>
  <c r="I174" i="12"/>
  <c r="I54" i="12"/>
  <c r="I21" i="12"/>
  <c r="I70" i="12"/>
  <c r="I72" i="12"/>
  <c r="I25" i="12"/>
  <c r="I108" i="12"/>
  <c r="I16" i="12"/>
  <c r="I81" i="12"/>
  <c r="I31" i="12"/>
  <c r="I136" i="12"/>
  <c r="I244" i="12"/>
  <c r="I44" i="12"/>
  <c r="I197" i="12" l="1"/>
  <c r="I192" i="12"/>
  <c r="I196" i="12"/>
  <c r="I195" i="12"/>
  <c r="I215" i="12"/>
  <c r="I201" i="12"/>
  <c r="I206" i="12"/>
  <c r="I208" i="12"/>
  <c r="I203" i="12"/>
  <c r="I209" i="12"/>
  <c r="I190" i="12"/>
  <c r="I193" i="12"/>
  <c r="I188" i="12"/>
  <c r="I235" i="12"/>
  <c r="I204" i="12"/>
  <c r="I364" i="12"/>
  <c r="I199" i="12"/>
  <c r="I238" i="12"/>
  <c r="I202" i="12"/>
  <c r="I223" i="12"/>
  <c r="I194" i="12"/>
  <c r="I239" i="12"/>
  <c r="I186" i="12"/>
  <c r="I265" i="12"/>
  <c r="I207" i="12"/>
  <c r="I355" i="12"/>
  <c r="I189" i="12"/>
  <c r="I224" i="12"/>
  <c r="I216" i="12"/>
  <c r="I227" i="12"/>
  <c r="I218" i="12"/>
  <c r="I230" i="12"/>
  <c r="I234" i="12"/>
  <c r="I233" i="12"/>
  <c r="I252" i="12"/>
  <c r="I287" i="12"/>
  <c r="I211" i="12"/>
  <c r="I272" i="12"/>
  <c r="I220" i="12"/>
  <c r="I280" i="12"/>
  <c r="I225" i="12"/>
  <c r="I329" i="12"/>
  <c r="I213" i="12"/>
  <c r="I278" i="12"/>
  <c r="I420" i="12"/>
  <c r="I345" i="12"/>
  <c r="I214" i="12"/>
  <c r="I324" i="12"/>
  <c r="I221" i="12"/>
  <c r="I384" i="12"/>
  <c r="I219" i="12"/>
  <c r="I294" i="12"/>
  <c r="I411" i="12"/>
  <c r="I232" i="12"/>
  <c r="I408" i="12"/>
  <c r="I237" i="12"/>
  <c r="I254" i="12"/>
  <c r="I249" i="12"/>
  <c r="I291" i="12"/>
  <c r="I242" i="12"/>
  <c r="I261" i="12"/>
  <c r="I245" i="12"/>
  <c r="I251" i="12"/>
  <c r="I313" i="12"/>
  <c r="I241" i="12"/>
  <c r="I259" i="12"/>
  <c r="I285" i="12"/>
  <c r="I310" i="12"/>
  <c r="I255" i="12"/>
  <c r="I284" i="12"/>
  <c r="I250" i="12"/>
  <c r="I273" i="12"/>
  <c r="I262" i="12"/>
  <c r="I266" i="12"/>
  <c r="I263" i="12"/>
  <c r="I439" i="12"/>
  <c r="I399" i="12"/>
  <c r="I302" i="12"/>
  <c r="I264" i="12"/>
  <c r="I360" i="12"/>
  <c r="I267" i="12"/>
  <c r="I307" i="12"/>
  <c r="I305" i="12"/>
  <c r="I275" i="12"/>
  <c r="I303" i="12"/>
  <c r="I282" i="12"/>
  <c r="I353" i="12"/>
  <c r="I400" i="12"/>
  <c r="I308" i="12"/>
  <c r="I319" i="12"/>
  <c r="I488" i="12"/>
  <c r="I344" i="12"/>
  <c r="I318" i="12"/>
  <c r="I283" i="12"/>
  <c r="I292" i="12"/>
  <c r="I367" i="12"/>
  <c r="I289" i="12"/>
  <c r="I322" i="12"/>
  <c r="I393" i="12"/>
  <c r="I323" i="12"/>
  <c r="I346" i="12"/>
  <c r="I317" i="12"/>
  <c r="I326" i="12"/>
  <c r="I371" i="12"/>
  <c r="I358" i="12"/>
  <c r="I320" i="12"/>
  <c r="I392" i="12"/>
  <c r="I321" i="12"/>
  <c r="I333" i="12"/>
  <c r="I347" i="12"/>
  <c r="I350" i="12"/>
  <c r="I331" i="12"/>
  <c r="I373" i="12"/>
  <c r="I328" i="12"/>
  <c r="I397" i="12"/>
  <c r="I330" i="12"/>
  <c r="I385" i="12"/>
  <c r="I334" i="12"/>
  <c r="I396" i="12"/>
  <c r="I342" i="12"/>
  <c r="I369" i="12"/>
  <c r="I338" i="12"/>
  <c r="I388" i="12"/>
  <c r="I339" i="12"/>
  <c r="I343" i="12"/>
  <c r="I349" i="12"/>
  <c r="I340" i="12"/>
  <c r="I380" i="12"/>
  <c r="I348" i="12"/>
  <c r="I375" i="12"/>
  <c r="I336" i="12"/>
  <c r="I398" i="12"/>
  <c r="I341" i="12"/>
  <c r="I376" i="12"/>
  <c r="I352" i="12"/>
  <c r="I377" i="12"/>
  <c r="I362" i="12"/>
  <c r="I379" i="12"/>
  <c r="I370" i="12"/>
  <c r="I378" i="12"/>
  <c r="I374" i="12"/>
  <c r="I383" i="12"/>
  <c r="I386" i="12"/>
  <c r="I409" i="12"/>
  <c r="I423" i="12"/>
  <c r="I412" i="12"/>
  <c r="I504" i="12"/>
  <c r="I483" i="12"/>
  <c r="I405" i="12"/>
  <c r="I413" i="12"/>
  <c r="I455" i="12"/>
  <c r="I432" i="12"/>
  <c r="I507" i="12"/>
  <c r="I431" i="12"/>
  <c r="I314" i="12"/>
  <c r="I414" i="12"/>
  <c r="I404" i="12"/>
  <c r="I430" i="12"/>
  <c r="I437" i="12"/>
  <c r="I415" i="12"/>
  <c r="I366" i="12"/>
  <c r="I520" i="12"/>
  <c r="I485" i="12"/>
  <c r="I501" i="12"/>
  <c r="I452" i="12"/>
  <c r="I447" i="12"/>
  <c r="I493" i="12"/>
  <c r="I426" i="12"/>
  <c r="I401" i="12"/>
  <c r="I416" i="12"/>
  <c r="I402" i="12"/>
  <c r="I422" i="12"/>
  <c r="I429" i="12"/>
  <c r="I514" i="12"/>
  <c r="I443" i="12"/>
  <c r="I417" i="12"/>
  <c r="I468" i="12"/>
  <c r="I421" i="12"/>
  <c r="I433" i="12"/>
  <c r="I425" i="12"/>
  <c r="I436" i="12"/>
  <c r="I515" i="12"/>
  <c r="I466" i="12"/>
  <c r="I524" i="12"/>
  <c r="I438" i="12"/>
  <c r="I502" i="12"/>
  <c r="I435" i="12"/>
  <c r="I490" i="12"/>
  <c r="I440" i="12"/>
  <c r="I457" i="12"/>
  <c r="I446" i="12"/>
  <c r="I442" i="12"/>
  <c r="I477" i="12"/>
  <c r="I441" i="12"/>
  <c r="I500" i="12"/>
  <c r="I445" i="12"/>
  <c r="I471" i="12"/>
  <c r="I449" i="12"/>
  <c r="I511" i="12"/>
  <c r="I451" i="12"/>
  <c r="I453" i="12"/>
  <c r="I450" i="12"/>
  <c r="I497" i="12"/>
  <c r="I463" i="12"/>
  <c r="I462" i="12"/>
  <c r="I510" i="12"/>
  <c r="I470" i="12"/>
  <c r="I481" i="12"/>
  <c r="I467" i="12"/>
  <c r="I505" i="12"/>
  <c r="I469" i="12"/>
  <c r="I506" i="12"/>
  <c r="I523" i="12"/>
  <c r="I479" i="12"/>
  <c r="I513" i="12"/>
  <c r="I480" i="12"/>
  <c r="I496" i="12"/>
  <c r="I486" i="12"/>
  <c r="I484" i="12"/>
  <c r="I521" i="12"/>
  <c r="I489" i="12"/>
  <c r="I522" i="12"/>
  <c r="I495" i="12"/>
  <c r="I509" i="12"/>
  <c r="I494" i="12"/>
  <c r="I517" i="12"/>
  <c r="I508" i="12"/>
  <c r="I544" i="12"/>
  <c r="I859" i="12"/>
  <c r="I472" i="12"/>
  <c r="I640" i="12"/>
  <c r="I724" i="12"/>
  <c r="I372" i="12"/>
  <c r="I624" i="12"/>
  <c r="I564" i="12"/>
  <c r="I911" i="12"/>
  <c r="I475" i="12"/>
  <c r="I662" i="12"/>
  <c r="I300" i="12"/>
  <c r="I548" i="12"/>
  <c r="I581" i="12"/>
  <c r="I274" i="12"/>
  <c r="I298" i="12"/>
  <c r="I568" i="12"/>
  <c r="I555" i="12"/>
  <c r="I528" i="12"/>
  <c r="I570" i="12"/>
  <c r="I296" i="12"/>
  <c r="I684" i="12"/>
  <c r="I269" i="12"/>
  <c r="I271" i="12"/>
  <c r="I569" i="12"/>
  <c r="I670" i="12"/>
  <c r="I636" i="12"/>
  <c r="I542" i="12"/>
  <c r="I540" i="12"/>
  <c r="I529" i="12"/>
  <c r="I536" i="12"/>
  <c r="I946" i="12"/>
  <c r="I533" i="12"/>
  <c r="I316" i="12"/>
  <c r="I572" i="12"/>
  <c r="I526" i="12"/>
  <c r="I628" i="12"/>
  <c r="I534" i="12"/>
  <c r="I595" i="12"/>
  <c r="I551" i="12"/>
  <c r="I562" i="12"/>
  <c r="I532" i="12"/>
  <c r="I545" i="12"/>
  <c r="I594" i="12"/>
  <c r="I538" i="12"/>
  <c r="I574" i="12"/>
  <c r="I546" i="12"/>
  <c r="I613" i="12"/>
  <c r="I547" i="12"/>
  <c r="I525" i="12"/>
  <c r="I531" i="12"/>
  <c r="I601" i="12"/>
  <c r="I527" i="12"/>
  <c r="I605" i="12"/>
  <c r="I558" i="12"/>
  <c r="I577" i="12"/>
  <c r="I659" i="12"/>
  <c r="I580" i="12"/>
  <c r="I593" i="12"/>
  <c r="I554" i="12"/>
  <c r="I552" i="12"/>
  <c r="I561" i="12"/>
  <c r="I614" i="12"/>
  <c r="I578" i="12"/>
  <c r="I553" i="12"/>
  <c r="I582" i="12"/>
  <c r="I571" i="12"/>
  <c r="I638" i="12"/>
  <c r="I573" i="12"/>
  <c r="I641" i="12"/>
  <c r="I575" i="12"/>
  <c r="I556" i="12"/>
  <c r="I579" i="12"/>
  <c r="I560" i="12"/>
  <c r="I610" i="12"/>
  <c r="I589" i="12"/>
  <c r="I675" i="12"/>
  <c r="I587" i="12"/>
  <c r="I620" i="12"/>
  <c r="I583" i="12"/>
  <c r="I608" i="12"/>
  <c r="I596" i="12"/>
  <c r="I656" i="12"/>
  <c r="I602" i="12"/>
  <c r="I600" i="12"/>
  <c r="I591" i="12"/>
  <c r="I617" i="12"/>
  <c r="I660" i="12"/>
  <c r="I607" i="12"/>
  <c r="I619" i="12"/>
  <c r="I616" i="12"/>
  <c r="I611" i="12"/>
  <c r="I673" i="12"/>
  <c r="I648" i="12"/>
  <c r="I680" i="12"/>
  <c r="I651" i="12"/>
  <c r="I650" i="12"/>
  <c r="I630" i="12"/>
  <c r="I726" i="12"/>
  <c r="I627" i="12"/>
  <c r="I635" i="12"/>
  <c r="I677" i="12"/>
  <c r="I626" i="12"/>
  <c r="I653" i="12"/>
  <c r="I631" i="12"/>
  <c r="I832" i="12"/>
  <c r="I625" i="12"/>
  <c r="I685" i="12"/>
  <c r="I652" i="12"/>
  <c r="I621" i="12"/>
  <c r="I623" i="12"/>
  <c r="I633" i="12"/>
  <c r="I794" i="12"/>
  <c r="I642" i="12"/>
  <c r="I763" i="12"/>
  <c r="I622" i="12"/>
  <c r="I639" i="12"/>
  <c r="I649" i="12"/>
  <c r="I644" i="12"/>
  <c r="I629" i="12"/>
  <c r="I674" i="12"/>
  <c r="I658" i="12"/>
  <c r="I812" i="12"/>
  <c r="I667" i="12"/>
  <c r="I716" i="12"/>
  <c r="I665" i="12"/>
  <c r="I725" i="12"/>
  <c r="I663" i="12"/>
  <c r="I678" i="12"/>
  <c r="I666" i="12"/>
  <c r="I682" i="12"/>
  <c r="I654" i="12"/>
  <c r="I762" i="12"/>
  <c r="I676" i="12"/>
  <c r="I758" i="12"/>
  <c r="I842" i="12"/>
  <c r="I715" i="12"/>
  <c r="I841" i="12"/>
  <c r="I701" i="12"/>
  <c r="I744" i="12"/>
  <c r="I827" i="12"/>
  <c r="I809" i="12"/>
  <c r="I717" i="12"/>
  <c r="I721" i="12"/>
  <c r="I796" i="12"/>
  <c r="I737" i="12"/>
  <c r="I835" i="12"/>
  <c r="I765" i="12"/>
  <c r="I576" i="12"/>
  <c r="I815" i="12"/>
  <c r="I694" i="12"/>
  <c r="I766" i="12"/>
  <c r="I814" i="12"/>
  <c r="I833" i="12"/>
  <c r="I751" i="12"/>
  <c r="I775" i="12"/>
  <c r="I704" i="12"/>
  <c r="I746" i="12"/>
  <c r="I729" i="12"/>
  <c r="I706" i="12"/>
  <c r="I813" i="12"/>
  <c r="I732" i="12"/>
  <c r="I793" i="12"/>
  <c r="I735" i="12"/>
  <c r="I785" i="12"/>
  <c r="I731" i="12"/>
  <c r="I811" i="12"/>
  <c r="I789" i="12"/>
  <c r="I730" i="12"/>
  <c r="I710" i="12"/>
  <c r="I790" i="12"/>
  <c r="I711" i="12"/>
  <c r="I840" i="12"/>
  <c r="I769" i="12"/>
  <c r="I741" i="12"/>
  <c r="I692" i="12"/>
  <c r="I791" i="12"/>
  <c r="I733" i="12"/>
  <c r="I770" i="12"/>
  <c r="I830" i="12"/>
  <c r="I723" i="12"/>
  <c r="I819" i="12"/>
  <c r="I688" i="12"/>
  <c r="I750" i="12"/>
  <c r="I774" i="12"/>
  <c r="I792" i="12"/>
  <c r="I820" i="12"/>
  <c r="I761" i="12"/>
  <c r="I691" i="12"/>
  <c r="I745" i="12"/>
  <c r="I818" i="12"/>
  <c r="I795" i="12"/>
  <c r="I764" i="12"/>
  <c r="I705" i="12"/>
  <c r="I748" i="12"/>
  <c r="I756" i="12"/>
  <c r="I598" i="12"/>
  <c r="I782" i="12"/>
  <c r="I781" i="12"/>
  <c r="I718" i="12"/>
  <c r="I810" i="12"/>
  <c r="I722" i="12"/>
  <c r="I760" i="12"/>
  <c r="I740" i="12"/>
  <c r="I801" i="12"/>
  <c r="I836" i="12"/>
  <c r="I755" i="12"/>
  <c r="I687" i="12"/>
  <c r="I759" i="12"/>
  <c r="I783" i="12"/>
  <c r="I843" i="12"/>
  <c r="I700" i="12"/>
  <c r="I773" i="12"/>
  <c r="I738" i="12"/>
  <c r="I834" i="12"/>
  <c r="I823" i="12"/>
  <c r="I728" i="12"/>
  <c r="I804" i="12"/>
  <c r="I753" i="12"/>
  <c r="I777" i="12"/>
  <c r="I742" i="12"/>
  <c r="I720" i="12"/>
  <c r="I845" i="12"/>
  <c r="I1150" i="12"/>
  <c r="I968" i="12"/>
  <c r="I734" i="12"/>
  <c r="I948" i="12"/>
  <c r="I910" i="12"/>
  <c r="I954" i="12"/>
  <c r="I869" i="12"/>
  <c r="I1120" i="12"/>
  <c r="I931" i="12"/>
  <c r="I1099" i="12"/>
  <c r="I1055" i="12"/>
  <c r="I945" i="12"/>
  <c r="I860" i="12"/>
  <c r="I951" i="12"/>
  <c r="I927" i="12"/>
  <c r="I870" i="12"/>
  <c r="I891" i="12"/>
  <c r="I971" i="12"/>
  <c r="I952" i="12"/>
  <c r="I895" i="12"/>
  <c r="I1056" i="12"/>
  <c r="I865" i="12"/>
  <c r="I964" i="12"/>
  <c r="I944" i="12"/>
  <c r="I1082" i="12"/>
  <c r="I960" i="12"/>
  <c r="I1013" i="12"/>
  <c r="I863" i="12"/>
  <c r="I943" i="12"/>
  <c r="I1103" i="12"/>
  <c r="I976" i="12"/>
  <c r="I1086" i="12"/>
  <c r="I889" i="12"/>
  <c r="I957" i="12"/>
  <c r="I861" i="12"/>
  <c r="I892" i="12"/>
  <c r="I935" i="12"/>
  <c r="I1001" i="12"/>
  <c r="I970" i="12"/>
  <c r="I883" i="12"/>
  <c r="I979" i="12"/>
  <c r="I897" i="12"/>
  <c r="I904" i="12"/>
  <c r="I900" i="12"/>
  <c r="I938" i="12"/>
  <c r="I949" i="12"/>
  <c r="I913" i="12"/>
  <c r="I887" i="12"/>
  <c r="I934" i="12"/>
  <c r="I908" i="12"/>
  <c r="I953" i="12"/>
  <c r="I881" i="12"/>
  <c r="I848" i="12"/>
  <c r="I965" i="12"/>
  <c r="I854" i="12"/>
  <c r="I918" i="12"/>
  <c r="I1073" i="12"/>
  <c r="I966" i="12"/>
  <c r="I847" i="12"/>
  <c r="I1042" i="12"/>
  <c r="I937" i="12"/>
  <c r="I907" i="12"/>
  <c r="I1032" i="12"/>
  <c r="I932" i="12"/>
  <c r="I1040" i="12"/>
  <c r="I872" i="12"/>
  <c r="I939" i="12"/>
  <c r="I925" i="12"/>
  <c r="I901" i="12"/>
  <c r="I959" i="12"/>
  <c r="I851" i="12"/>
  <c r="I873" i="12"/>
  <c r="I884" i="12"/>
  <c r="I898" i="12"/>
  <c r="I862" i="12"/>
  <c r="I933" i="12"/>
  <c r="I912" i="12"/>
  <c r="I849" i="12"/>
  <c r="I967" i="12"/>
  <c r="I929" i="12"/>
  <c r="I1002" i="12"/>
  <c r="I961" i="12"/>
  <c r="I871" i="12"/>
  <c r="I856" i="12"/>
  <c r="I896" i="12"/>
  <c r="I930" i="12"/>
  <c r="I846" i="12"/>
  <c r="I1011" i="12"/>
  <c r="I879" i="12"/>
  <c r="I926" i="12"/>
  <c r="I1051" i="12"/>
  <c r="I874" i="12"/>
  <c r="I1052" i="12"/>
  <c r="I890" i="12"/>
  <c r="I947" i="12"/>
  <c r="I1077" i="12"/>
  <c r="I878" i="12"/>
  <c r="I963" i="12"/>
  <c r="I876" i="12"/>
  <c r="I903" i="12"/>
  <c r="I950" i="12"/>
  <c r="I853" i="12"/>
  <c r="I886" i="12"/>
  <c r="I941" i="12"/>
  <c r="I917" i="12"/>
  <c r="I1119" i="12"/>
  <c r="I1030" i="12"/>
  <c r="I1095" i="12"/>
  <c r="I1018" i="12"/>
  <c r="I1133" i="12"/>
  <c r="I1033" i="12"/>
  <c r="I1043" i="12"/>
  <c r="I1005" i="12"/>
  <c r="I1015" i="12"/>
  <c r="I985" i="12"/>
  <c r="I1041" i="12"/>
  <c r="I1127" i="12"/>
  <c r="I988" i="12"/>
  <c r="I993" i="12"/>
  <c r="I1019" i="12"/>
  <c r="I1054" i="12"/>
  <c r="I982" i="12"/>
  <c r="I1049" i="12"/>
  <c r="I1023" i="12"/>
  <c r="I1137" i="12"/>
  <c r="I1031" i="12"/>
  <c r="I1106" i="12"/>
  <c r="I1026" i="12"/>
  <c r="I1004" i="12"/>
  <c r="I1075" i="12"/>
  <c r="I1028" i="12"/>
  <c r="I1130" i="12"/>
  <c r="I994" i="12"/>
  <c r="I1020" i="12"/>
  <c r="I984" i="12"/>
  <c r="I1029" i="12"/>
  <c r="I1000" i="12"/>
  <c r="I1134" i="12"/>
  <c r="I1014" i="12"/>
  <c r="I1144" i="12"/>
  <c r="I990" i="12"/>
  <c r="I1035" i="12"/>
  <c r="I1093" i="12"/>
  <c r="I1038" i="12"/>
  <c r="I1008" i="12"/>
  <c r="I1036" i="12"/>
  <c r="I1143" i="12"/>
  <c r="I1050" i="12"/>
  <c r="I1118" i="12"/>
  <c r="I1009" i="12"/>
  <c r="I1048" i="12"/>
  <c r="I1034" i="12"/>
  <c r="I998" i="12"/>
  <c r="I980" i="12"/>
  <c r="I1003" i="12"/>
  <c r="I1096" i="12"/>
  <c r="I1147" i="12"/>
  <c r="I1083" i="12"/>
  <c r="I1067" i="12"/>
  <c r="I1089" i="12"/>
  <c r="I1069" i="12"/>
  <c r="I1076" i="12"/>
  <c r="I1066" i="12"/>
  <c r="I1059" i="12"/>
  <c r="I1102" i="12"/>
  <c r="I1104" i="12"/>
  <c r="I1071" i="12"/>
  <c r="I1084" i="12"/>
  <c r="I1146" i="12"/>
  <c r="I1068" i="12"/>
  <c r="I1122" i="12"/>
  <c r="I1090" i="12"/>
  <c r="I1107" i="12"/>
  <c r="I1064" i="12"/>
  <c r="I1101" i="12"/>
  <c r="I1141" i="12"/>
  <c r="I1115" i="12"/>
  <c r="I1123" i="12"/>
  <c r="I1124" i="12"/>
  <c r="I1114" i="12"/>
  <c r="I1142" i="12"/>
  <c r="I1145" i="12"/>
  <c r="I1138" i="12"/>
  <c r="I1113" i="12"/>
  <c r="I1126" i="12"/>
  <c r="I1129" i="12"/>
  <c r="I1161" i="12"/>
  <c r="I1111" i="12"/>
  <c r="I1140" i="12"/>
  <c r="I1158" i="12"/>
  <c r="I1117" i="12"/>
  <c r="I1131" i="12"/>
  <c r="I1121" i="12"/>
  <c r="I1154" i="12"/>
  <c r="I1162" i="12"/>
  <c r="I1156" i="12"/>
  <c r="I1153" i="12"/>
  <c r="I1155" i="12"/>
  <c r="I708" i="12"/>
  <c r="I671" i="12" l="1"/>
  <c r="I1112" i="12" l="1"/>
  <c r="I690" i="12"/>
  <c r="I736" i="12"/>
  <c r="I837" i="12"/>
  <c r="I885" i="12"/>
  <c r="I803" i="12"/>
  <c r="I973" i="12"/>
  <c r="I474" i="12" l="1"/>
  <c r="I788" i="12"/>
  <c r="I428" i="12"/>
  <c r="I407" i="12"/>
  <c r="I800" i="12"/>
  <c r="I707" i="12" l="1"/>
  <c r="I535" i="12"/>
  <c r="I645" i="12"/>
  <c r="I940" i="12"/>
  <c r="I1094" i="12"/>
  <c r="I327" i="12" l="1"/>
  <c r="I655" i="12" l="1"/>
  <c r="I786" i="12"/>
  <c r="I1160" i="12"/>
  <c r="I315" i="12"/>
  <c r="I418" i="12"/>
  <c r="I390" i="12" l="1"/>
  <c r="I356" i="12"/>
  <c r="I549" i="12"/>
  <c r="I499" i="12"/>
  <c r="I603" i="12"/>
  <c r="I311" i="12"/>
  <c r="I987" i="12"/>
  <c r="I1157" i="12" l="1"/>
  <c r="I288" i="12" l="1"/>
  <c r="I975" i="12"/>
  <c r="I1128" i="12" l="1"/>
  <c r="I606" i="12"/>
  <c r="I473" i="12"/>
  <c r="I805" i="12"/>
  <c r="I270" i="12" l="1"/>
  <c r="I699" i="12"/>
  <c r="I1085" i="12" l="1"/>
  <c r="I228" i="12" l="1"/>
  <c r="I460" i="12"/>
  <c r="I956" i="12" l="1"/>
  <c r="I714" i="12"/>
  <c r="I229" i="12" l="1"/>
  <c r="I867" i="12"/>
  <c r="I217" i="12"/>
  <c r="I519" i="12"/>
  <c r="I696" i="12" l="1"/>
  <c r="I424" i="12"/>
  <c r="I646" i="12"/>
  <c r="I866" i="12"/>
  <c r="I588" i="12"/>
  <c r="I995" i="12"/>
  <c r="I198" i="12" l="1"/>
  <c r="I476" i="12"/>
  <c r="I1088" i="12" l="1"/>
  <c r="I363" i="12"/>
  <c r="I584" i="12"/>
  <c r="I757" i="12"/>
  <c r="I191" i="12" l="1"/>
  <c r="I5" i="12"/>
  <c r="I6" i="12"/>
  <c r="I9" i="12"/>
  <c r="I7" i="12"/>
  <c r="I11" i="12"/>
  <c r="I12" i="12"/>
  <c r="I8" i="12"/>
  <c r="I10" i="12"/>
  <c r="I999" i="12"/>
  <c r="I277" i="12"/>
  <c r="I541" i="12"/>
  <c r="I226" i="12"/>
  <c r="I444" i="12" l="1"/>
  <c r="I391" i="12"/>
  <c r="I387" i="12"/>
  <c r="I365" i="12"/>
  <c r="I1125" i="12"/>
  <c r="I936" i="12"/>
  <c r="I389" i="12"/>
  <c r="I972" i="12"/>
  <c r="I354" i="12"/>
  <c r="I802" i="12"/>
  <c r="I295" i="12"/>
  <c r="I461" i="12"/>
  <c r="I1087" i="12"/>
  <c r="I351" i="12"/>
  <c r="I615" i="12"/>
  <c r="I852" i="12"/>
  <c r="I1151" i="12"/>
  <c r="I309" i="12"/>
  <c r="I1072" i="12"/>
  <c r="I200" i="12"/>
  <c r="I1080" i="12"/>
  <c r="I727" i="12"/>
  <c r="I222" i="12"/>
  <c r="I986" i="12"/>
  <c r="I427" i="12"/>
  <c r="I875" i="12"/>
  <c r="I1046" i="12"/>
  <c r="I780" i="12"/>
  <c r="I747" i="12"/>
  <c r="I1065" i="12"/>
  <c r="I776" i="12"/>
  <c r="I491" i="12"/>
  <c r="I1098" i="12"/>
  <c r="I902" i="12"/>
  <c r="I243" i="12"/>
  <c r="I567" i="12"/>
  <c r="I325" i="12"/>
  <c r="I557" i="12"/>
  <c r="I893" i="12"/>
  <c r="I337" i="12"/>
  <c r="I609" i="12"/>
  <c r="I767" i="12"/>
  <c r="I482" i="12"/>
  <c r="I637" i="12"/>
  <c r="I839" i="12"/>
  <c r="I905" i="12"/>
  <c r="I955" i="12"/>
  <c r="I915" i="12"/>
  <c r="I312" i="12"/>
  <c r="I382" i="12"/>
  <c r="I844" i="12"/>
  <c r="I559" i="12"/>
  <c r="I668" i="12"/>
  <c r="I703" i="12"/>
  <c r="I286" i="12"/>
  <c r="I661" i="12"/>
  <c r="I702" i="12"/>
  <c r="I1116" i="12"/>
  <c r="I1022" i="12"/>
  <c r="I410" i="12"/>
  <c r="I464" i="12"/>
  <c r="I592" i="12"/>
  <c r="I997" i="12"/>
  <c r="I1012" i="12"/>
  <c r="I248" i="12"/>
  <c r="I709" i="12"/>
  <c r="I403" i="12"/>
  <c r="I419" i="12"/>
  <c r="I693" i="12"/>
  <c r="I304" i="12"/>
  <c r="I1109" i="12"/>
  <c r="I478" i="12"/>
  <c r="I787" i="12"/>
  <c r="I1017" i="12"/>
  <c r="I1024" i="12"/>
  <c r="I456" i="12"/>
  <c r="I749" i="12"/>
  <c r="I1070" i="12"/>
  <c r="I923" i="12"/>
  <c r="I864" i="12"/>
  <c r="I492" i="12"/>
  <c r="I828" i="12"/>
  <c r="I1139" i="12"/>
  <c r="I669" i="12"/>
  <c r="I212" i="12"/>
  <c r="I585" i="12"/>
  <c r="I361" i="12"/>
  <c r="I1061" i="12"/>
  <c r="I877" i="12"/>
  <c r="I539" i="12"/>
  <c r="I306" i="12"/>
  <c r="I1135" i="12"/>
  <c r="I817" i="12"/>
  <c r="I1132" i="12"/>
  <c r="I1105" i="12"/>
  <c r="I597" i="12"/>
  <c r="I205" i="12"/>
  <c r="I1027" i="12"/>
  <c r="I643" i="12"/>
  <c r="I434" i="12"/>
  <c r="I498" i="12"/>
  <c r="I590" i="12"/>
  <c r="I880" i="12"/>
  <c r="I681" i="12"/>
  <c r="I686" i="12"/>
  <c r="I332" i="12"/>
  <c r="I301" i="12"/>
  <c r="I664" i="12"/>
  <c r="I899" i="12"/>
  <c r="I537" i="12"/>
  <c r="I909" i="12"/>
  <c r="I922" i="12"/>
  <c r="I962" i="12"/>
  <c r="I357" i="12"/>
  <c r="I672" i="12"/>
  <c r="I465" i="12"/>
  <c r="I958" i="12"/>
  <c r="I689" i="12"/>
  <c r="I210" i="12"/>
  <c r="I1053" i="12"/>
  <c r="I512" i="12"/>
  <c r="I1100" i="12"/>
  <c r="I858" i="12"/>
  <c r="I454" i="12"/>
  <c r="I719" i="12"/>
  <c r="I697" i="12"/>
  <c r="I279" i="12"/>
  <c r="I857" i="12"/>
  <c r="I713" i="12"/>
  <c r="I1025" i="12"/>
  <c r="I503" i="12"/>
  <c r="I1021" i="12"/>
  <c r="I888" i="12"/>
  <c r="I260" i="12"/>
  <c r="I543" i="12"/>
  <c r="I771" i="12"/>
  <c r="I530" i="12"/>
  <c r="I563" i="12"/>
  <c r="I831" i="12"/>
  <c r="I550" i="12"/>
  <c r="I981" i="12"/>
  <c r="I516" i="12"/>
  <c r="I942" i="12"/>
  <c r="I632" i="12"/>
  <c r="I1037" i="12"/>
  <c r="I253" i="12"/>
  <c r="I281" i="12"/>
  <c r="I276" i="12"/>
  <c r="I916" i="12"/>
  <c r="I989" i="12"/>
  <c r="I612" i="12"/>
  <c r="I2" i="12" l="1"/>
  <c r="I1149" i="12"/>
  <c r="I359" i="12" l="1"/>
  <c r="I297" i="12"/>
  <c r="I236" i="12"/>
  <c r="I921" i="12"/>
  <c r="I647" i="12"/>
  <c r="I565" i="12"/>
  <c r="I739" i="12"/>
  <c r="I772" i="12"/>
  <c r="I458" i="12"/>
  <c r="I822" i="12"/>
  <c r="I1045" i="12"/>
  <c r="I599" i="12"/>
  <c r="I394" i="12"/>
  <c r="I974" i="12"/>
  <c r="I768" i="12" l="1"/>
  <c r="I368" i="12"/>
  <c r="I991" i="12"/>
  <c r="I566" i="12"/>
  <c r="I448" i="12"/>
  <c r="I268" i="12"/>
  <c r="I855" i="12"/>
  <c r="I618" i="12"/>
  <c r="I743" i="12"/>
  <c r="I657" i="12"/>
  <c r="I1148" i="12"/>
  <c r="I799" i="12"/>
  <c r="I518" i="12"/>
  <c r="I231" i="12"/>
  <c r="I335" i="12"/>
  <c r="I752" i="12"/>
  <c r="I920" i="12"/>
  <c r="I825" i="12"/>
  <c r="I406" i="12"/>
  <c r="I487" i="12"/>
  <c r="I1044" i="12"/>
  <c r="I293" i="12"/>
  <c r="I381" i="12"/>
  <c r="I1058" i="12"/>
  <c r="I4" i="12"/>
  <c r="I634" i="12"/>
  <c r="I992" i="12" l="1"/>
  <c r="I395" i="12"/>
  <c r="I679" i="12"/>
  <c r="I838" i="12"/>
  <c r="I586" i="12"/>
  <c r="I299" i="12"/>
  <c r="I3" i="12"/>
  <c r="I459" i="12"/>
</calcChain>
</file>

<file path=xl/comments1.xml><?xml version="1.0" encoding="utf-8"?>
<comments xmlns="http://schemas.openxmlformats.org/spreadsheetml/2006/main">
  <authors>
    <author>wuhui8</author>
  </authors>
  <commentList>
    <comment ref="G682" authorId="0" shapeId="0">
      <text>
        <r>
          <rPr>
            <b/>
            <sz val="9"/>
            <color indexed="81"/>
            <rFont val="細明體"/>
            <family val="3"/>
            <charset val="136"/>
          </rPr>
          <t>育汝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D9920</t>
        </r>
        <r>
          <rPr>
            <sz val="9"/>
            <color indexed="81"/>
            <rFont val="細明體"/>
            <family val="3"/>
            <charset val="136"/>
          </rPr>
          <t>分裝</t>
        </r>
        <r>
          <rPr>
            <sz val="9"/>
            <color indexed="81"/>
            <rFont val="Tahoma"/>
            <family val="2"/>
          </rPr>
          <t>18KG*20</t>
        </r>
        <r>
          <rPr>
            <sz val="9"/>
            <color indexed="81"/>
            <rFont val="細明體"/>
            <family val="3"/>
            <charset val="136"/>
          </rPr>
          <t>桶</t>
        </r>
      </text>
    </comment>
    <comment ref="D1660" authorId="0" shapeId="0">
      <text>
        <r>
          <rPr>
            <b/>
            <sz val="9"/>
            <color indexed="81"/>
            <rFont val="Tahoma"/>
            <family val="2"/>
          </rPr>
          <t>wuhui8: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3060" authorId="0" shapeId="0">
      <text>
        <r>
          <rPr>
            <b/>
            <sz val="9"/>
            <color indexed="81"/>
            <rFont val="Tahoma"/>
            <family val="2"/>
          </rPr>
          <t>wuhui8: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2026/6/18</t>
        </r>
        <r>
          <rPr>
            <sz val="11"/>
            <color indexed="81"/>
            <rFont val="細明體"/>
            <family val="3"/>
            <charset val="136"/>
          </rPr>
          <t>烘烤暫行配方</t>
        </r>
        <r>
          <rPr>
            <sz val="11"/>
            <color indexed="81"/>
            <rFont val="Tahoma"/>
            <family val="2"/>
          </rPr>
          <t>T</t>
        </r>
        <r>
          <rPr>
            <sz val="11"/>
            <color indexed="81"/>
            <rFont val="細明體"/>
            <family val="3"/>
            <charset val="136"/>
          </rPr>
          <t>ommy借走。</t>
        </r>
      </text>
    </comment>
  </commentList>
</comments>
</file>

<file path=xl/comments2.xml><?xml version="1.0" encoding="utf-8"?>
<comments xmlns="http://schemas.openxmlformats.org/spreadsheetml/2006/main">
  <authors>
    <author>Amon</author>
    <author>wuhui8</author>
  </authors>
  <commentList>
    <comment ref="F7" authorId="0" shapeId="0">
      <text>
        <r>
          <rPr>
            <b/>
            <sz val="9"/>
            <color indexed="81"/>
            <rFont val="Tahoma"/>
            <family val="2"/>
          </rPr>
          <t xml:space="preserve">yuru:
</t>
        </r>
        <r>
          <rPr>
            <sz val="9"/>
            <color indexed="81"/>
            <rFont val="Tahoma"/>
            <family val="2"/>
          </rPr>
          <t>10/11
16:00~16:40</t>
        </r>
      </text>
    </comment>
    <comment ref="F18" authorId="0" shapeId="0">
      <text>
        <r>
          <rPr>
            <b/>
            <sz val="9"/>
            <color indexed="81"/>
            <rFont val="Tahoma"/>
            <family val="2"/>
          </rPr>
          <t>yuru:</t>
        </r>
        <r>
          <rPr>
            <sz val="9"/>
            <color indexed="81"/>
            <rFont val="Tahoma"/>
            <family val="2"/>
          </rPr>
          <t xml:space="preserve">
10/15
14:00~16:00</t>
        </r>
      </text>
    </comment>
    <comment ref="F24" authorId="0" shapeId="0">
      <text>
        <r>
          <rPr>
            <b/>
            <sz val="9"/>
            <color indexed="81"/>
            <rFont val="Tahoma"/>
            <family val="2"/>
          </rPr>
          <t>yuru:</t>
        </r>
        <r>
          <rPr>
            <sz val="9"/>
            <color indexed="81"/>
            <rFont val="Tahoma"/>
            <family val="2"/>
          </rPr>
          <t xml:space="preserve">
17:30~:18:00</t>
        </r>
      </text>
    </comment>
    <comment ref="D844" authorId="1" shapeId="0">
      <text>
        <r>
          <rPr>
            <b/>
            <sz val="9"/>
            <color indexed="81"/>
            <rFont val="Tahoma"/>
            <family val="2"/>
          </rPr>
          <t>wuhui8: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<sst xmlns="http://schemas.openxmlformats.org/spreadsheetml/2006/main" count="18349" uniqueCount="1896">
  <si>
    <t>料號</t>
    <phoneticPr fontId="2" type="noConversion"/>
  </si>
  <si>
    <t>D0230</t>
    <phoneticPr fontId="2" type="noConversion"/>
  </si>
  <si>
    <t>D0210</t>
    <phoneticPr fontId="2" type="noConversion"/>
  </si>
  <si>
    <t>C1020</t>
    <phoneticPr fontId="2" type="noConversion"/>
  </si>
  <si>
    <t>A2020</t>
    <phoneticPr fontId="2" type="noConversion"/>
  </si>
  <si>
    <t>B2040</t>
    <phoneticPr fontId="2" type="noConversion"/>
  </si>
  <si>
    <t>A1020</t>
    <phoneticPr fontId="2" type="noConversion"/>
  </si>
  <si>
    <t>D0310</t>
    <phoneticPr fontId="2" type="noConversion"/>
  </si>
  <si>
    <t>D0330</t>
    <phoneticPr fontId="2" type="noConversion"/>
  </si>
  <si>
    <t>B2011</t>
    <phoneticPr fontId="2" type="noConversion"/>
  </si>
  <si>
    <t>B2031</t>
    <phoneticPr fontId="2" type="noConversion"/>
  </si>
  <si>
    <t>B1040</t>
    <phoneticPr fontId="2" type="noConversion"/>
  </si>
  <si>
    <t>B1011</t>
    <phoneticPr fontId="2" type="noConversion"/>
  </si>
  <si>
    <t>D0121</t>
    <phoneticPr fontId="2" type="noConversion"/>
  </si>
  <si>
    <t>D0610</t>
    <phoneticPr fontId="2" type="noConversion"/>
  </si>
  <si>
    <t>B5011</t>
    <phoneticPr fontId="2" type="noConversion"/>
  </si>
  <si>
    <t>D0131</t>
    <phoneticPr fontId="2" type="noConversion"/>
  </si>
  <si>
    <t>A2060</t>
    <phoneticPr fontId="2" type="noConversion"/>
  </si>
  <si>
    <t>A2050</t>
    <phoneticPr fontId="2" type="noConversion"/>
  </si>
  <si>
    <t>B3020</t>
    <phoneticPr fontId="2" type="noConversion"/>
  </si>
  <si>
    <t>D2212</t>
    <phoneticPr fontId="2" type="noConversion"/>
  </si>
  <si>
    <t>A1050</t>
    <phoneticPr fontId="2" type="noConversion"/>
  </si>
  <si>
    <t>A2040</t>
    <phoneticPr fontId="2" type="noConversion"/>
  </si>
  <si>
    <t>B2021</t>
    <phoneticPr fontId="2" type="noConversion"/>
  </si>
  <si>
    <t>A3010</t>
    <phoneticPr fontId="2" type="noConversion"/>
  </si>
  <si>
    <t>A3011</t>
    <phoneticPr fontId="2" type="noConversion"/>
  </si>
  <si>
    <t>D0291</t>
    <phoneticPr fontId="2" type="noConversion"/>
  </si>
  <si>
    <t>D0530</t>
    <phoneticPr fontId="2" type="noConversion"/>
  </si>
  <si>
    <t>D0520</t>
    <phoneticPr fontId="2" type="noConversion"/>
  </si>
  <si>
    <t>C1010</t>
    <phoneticPr fontId="2" type="noConversion"/>
  </si>
  <si>
    <t>D2531</t>
    <phoneticPr fontId="2" type="noConversion"/>
  </si>
  <si>
    <t>C7010</t>
    <phoneticPr fontId="2" type="noConversion"/>
  </si>
  <si>
    <t>D2813</t>
    <phoneticPr fontId="2" type="noConversion"/>
  </si>
  <si>
    <t>D0422</t>
    <phoneticPr fontId="2" type="noConversion"/>
  </si>
  <si>
    <t>D0420</t>
    <phoneticPr fontId="2" type="noConversion"/>
  </si>
  <si>
    <t>A1032</t>
    <phoneticPr fontId="2" type="noConversion"/>
  </si>
  <si>
    <t>A1040</t>
    <phoneticPr fontId="2" type="noConversion"/>
  </si>
  <si>
    <t>D1390</t>
    <phoneticPr fontId="2" type="noConversion"/>
  </si>
  <si>
    <t>C3010</t>
    <phoneticPr fontId="2" type="noConversion"/>
  </si>
  <si>
    <t>C3020</t>
    <phoneticPr fontId="2" type="noConversion"/>
  </si>
  <si>
    <t>D0296</t>
    <phoneticPr fontId="2" type="noConversion"/>
  </si>
  <si>
    <t>C3070</t>
    <phoneticPr fontId="2" type="noConversion"/>
  </si>
  <si>
    <t>C5010</t>
    <phoneticPr fontId="2" type="noConversion"/>
  </si>
  <si>
    <t>新城風糖桶柑</t>
    <phoneticPr fontId="2" type="noConversion"/>
  </si>
  <si>
    <t>E0120</t>
    <phoneticPr fontId="2" type="noConversion"/>
  </si>
  <si>
    <t>D9921</t>
    <phoneticPr fontId="2" type="noConversion"/>
  </si>
  <si>
    <t>400kg</t>
    <phoneticPr fontId="2" type="noConversion"/>
  </si>
  <si>
    <t>日期</t>
  </si>
  <si>
    <t>料號</t>
  </si>
  <si>
    <t>品項</t>
  </si>
  <si>
    <t>異常單號</t>
  </si>
  <si>
    <t>D0230</t>
  </si>
  <si>
    <t>2(包)</t>
  </si>
  <si>
    <t>D0290</t>
  </si>
  <si>
    <t>D0210</t>
  </si>
  <si>
    <t>C1020</t>
  </si>
  <si>
    <t>C9030</t>
  </si>
  <si>
    <t>D2330</t>
  </si>
  <si>
    <t>A2020</t>
  </si>
  <si>
    <t>B2040</t>
  </si>
  <si>
    <t>61kg</t>
  </si>
  <si>
    <t>A1020</t>
  </si>
  <si>
    <t>5(包)</t>
  </si>
  <si>
    <t>D0310</t>
  </si>
  <si>
    <t>D0330</t>
  </si>
  <si>
    <t>B2011</t>
  </si>
  <si>
    <t>B2031</t>
  </si>
  <si>
    <t>54kg</t>
  </si>
  <si>
    <t>B1040</t>
  </si>
  <si>
    <t>1130104-01A</t>
  </si>
  <si>
    <t>含600美之城</t>
  </si>
  <si>
    <t>B1011</t>
  </si>
  <si>
    <t>D0113</t>
  </si>
  <si>
    <t>D0121</t>
  </si>
  <si>
    <t>1(包)</t>
  </si>
  <si>
    <t>D0114</t>
  </si>
  <si>
    <t>D0111</t>
  </si>
  <si>
    <t>D0610</t>
  </si>
  <si>
    <t>69.3kg</t>
  </si>
  <si>
    <t>1130106-02A</t>
  </si>
  <si>
    <t>B5011</t>
  </si>
  <si>
    <t>D0131</t>
  </si>
  <si>
    <t>A2060</t>
  </si>
  <si>
    <t>A2050</t>
  </si>
  <si>
    <t>43kg</t>
  </si>
  <si>
    <t>含佳樂美200箱</t>
  </si>
  <si>
    <t>B3020</t>
  </si>
  <si>
    <t>B3011</t>
  </si>
  <si>
    <t>D2212</t>
  </si>
  <si>
    <t>D9920</t>
  </si>
  <si>
    <t>65kg</t>
  </si>
  <si>
    <t>A1050</t>
  </si>
  <si>
    <t>D0730</t>
  </si>
  <si>
    <t>D1410</t>
  </si>
  <si>
    <t>60kg</t>
  </si>
  <si>
    <t>含美之城100箱</t>
  </si>
  <si>
    <t>A2040</t>
  </si>
  <si>
    <t>D9922</t>
  </si>
  <si>
    <t>57kg</t>
  </si>
  <si>
    <t>D0250</t>
  </si>
  <si>
    <t>D0242</t>
  </si>
  <si>
    <t>C9050</t>
  </si>
  <si>
    <t>D0910</t>
  </si>
  <si>
    <t>D9921</t>
  </si>
  <si>
    <t>B2021</t>
  </si>
  <si>
    <t>50kg</t>
  </si>
  <si>
    <t>A3010</t>
  </si>
  <si>
    <t>D1130</t>
  </si>
  <si>
    <t>D0120</t>
  </si>
  <si>
    <t>D0291</t>
  </si>
  <si>
    <t>D0122</t>
  </si>
  <si>
    <t>1130117-02A</t>
  </si>
  <si>
    <t>1130117-01A</t>
  </si>
  <si>
    <t>含佳樂美220箱</t>
  </si>
  <si>
    <t>A1040</t>
  </si>
  <si>
    <t>C3070</t>
  </si>
  <si>
    <t>C3020</t>
  </si>
  <si>
    <t>D0810</t>
  </si>
  <si>
    <t>D1211</t>
  </si>
  <si>
    <t>D2021</t>
  </si>
  <si>
    <t>67kg</t>
  </si>
  <si>
    <t>1130122-01A</t>
  </si>
  <si>
    <t>16.8kg</t>
  </si>
  <si>
    <t>D0422</t>
  </si>
  <si>
    <t>11.2kg</t>
  </si>
  <si>
    <t>53.2kg</t>
  </si>
  <si>
    <t>D1210</t>
  </si>
  <si>
    <t>D1391</t>
  </si>
  <si>
    <t>D1010</t>
  </si>
  <si>
    <t>8.4kg</t>
  </si>
  <si>
    <t>C5010</t>
  </si>
  <si>
    <t>D0420</t>
  </si>
  <si>
    <t>1130130-01A</t>
  </si>
  <si>
    <t>D0630</t>
  </si>
  <si>
    <t>D0114</t>
    <phoneticPr fontId="2" type="noConversion"/>
  </si>
  <si>
    <t>D0591</t>
    <phoneticPr fontId="2" type="noConversion"/>
  </si>
  <si>
    <t>D0593</t>
    <phoneticPr fontId="2" type="noConversion"/>
  </si>
  <si>
    <t>D0910</t>
    <phoneticPr fontId="2" type="noConversion"/>
  </si>
  <si>
    <t>D0242</t>
    <phoneticPr fontId="2" type="noConversion"/>
  </si>
  <si>
    <t>D1410</t>
    <phoneticPr fontId="2" type="noConversion"/>
  </si>
  <si>
    <t>D0111</t>
    <phoneticPr fontId="2" type="noConversion"/>
  </si>
  <si>
    <t>D0122</t>
    <phoneticPr fontId="2" type="noConversion"/>
  </si>
  <si>
    <t>D0120</t>
    <phoneticPr fontId="2" type="noConversion"/>
  </si>
  <si>
    <t>桶柑果醬(桔)</t>
    <phoneticPr fontId="2" type="noConversion"/>
  </si>
  <si>
    <t>柑橘醬(新)</t>
    <phoneticPr fontId="2" type="noConversion"/>
  </si>
  <si>
    <t>D1130</t>
    <phoneticPr fontId="2" type="noConversion"/>
  </si>
  <si>
    <t>D1211</t>
    <phoneticPr fontId="2" type="noConversion"/>
  </si>
  <si>
    <t>D0990</t>
    <phoneticPr fontId="2" type="noConversion"/>
  </si>
  <si>
    <t>D0521</t>
    <phoneticPr fontId="2" type="noConversion"/>
  </si>
  <si>
    <t>D0250</t>
    <phoneticPr fontId="2" type="noConversion"/>
  </si>
  <si>
    <t>D0290</t>
    <phoneticPr fontId="2" type="noConversion"/>
  </si>
  <si>
    <t>D0810</t>
    <phoneticPr fontId="2" type="noConversion"/>
  </si>
  <si>
    <t>D1620</t>
    <phoneticPr fontId="2" type="noConversion"/>
  </si>
  <si>
    <t>品名</t>
  </si>
  <si>
    <t>平均1鍋生產量</t>
    <phoneticPr fontId="8" type="noConversion"/>
  </si>
  <si>
    <t>單位</t>
  </si>
  <si>
    <t>大圓草莓-新</t>
  </si>
  <si>
    <t>瓶</t>
  </si>
  <si>
    <t>A1032</t>
  </si>
  <si>
    <t>小圓草莓(1*170g)</t>
  </si>
  <si>
    <t>A1040</t>
    <phoneticPr fontId="8" type="noConversion"/>
  </si>
  <si>
    <t>開心草莓果醬(1*430g)</t>
  </si>
  <si>
    <t>A1050</t>
    <phoneticPr fontId="8" type="noConversion"/>
  </si>
  <si>
    <t>梨山草莓果醬(1*430g)</t>
  </si>
  <si>
    <t>A2020</t>
    <phoneticPr fontId="8" type="noConversion"/>
  </si>
  <si>
    <t>PET大花生(1*400g)</t>
  </si>
  <si>
    <t>A2040</t>
    <phoneticPr fontId="8" type="noConversion"/>
  </si>
  <si>
    <t>PET瓶花生(1*340g)</t>
  </si>
  <si>
    <t>A2050</t>
    <phoneticPr fontId="8" type="noConversion"/>
  </si>
  <si>
    <t>PET瓶花生(粒)(1*340g)</t>
  </si>
  <si>
    <t>A2060</t>
    <phoneticPr fontId="8" type="noConversion"/>
  </si>
  <si>
    <t>顆粒花生醬(全)</t>
  </si>
  <si>
    <t>A3010</t>
    <phoneticPr fontId="8" type="noConversion"/>
  </si>
  <si>
    <t>小藍莓1*260G</t>
  </si>
  <si>
    <t>A3011</t>
    <phoneticPr fontId="8" type="noConversion"/>
  </si>
  <si>
    <t>B1011</t>
    <phoneticPr fontId="8" type="noConversion"/>
  </si>
  <si>
    <t>＃1草莓(1*3.2kg)</t>
  </si>
  <si>
    <t>罐</t>
    <phoneticPr fontId="8" type="noConversion"/>
  </si>
  <si>
    <t>B1020</t>
    <phoneticPr fontId="8" type="noConversion"/>
  </si>
  <si>
    <t>＃1蜂草(1*3.5kg)</t>
  </si>
  <si>
    <t>B1030</t>
    <phoneticPr fontId="8" type="noConversion"/>
  </si>
  <si>
    <t>＃1草莓原漿(1*3.5kg)</t>
  </si>
  <si>
    <t>B1031</t>
    <phoneticPr fontId="8" type="noConversion"/>
  </si>
  <si>
    <t>＃1草莓原漿(1*3.4kg)</t>
  </si>
  <si>
    <t>B1040</t>
    <phoneticPr fontId="8" type="noConversion"/>
  </si>
  <si>
    <t>#2草莓果醬(1*900g)</t>
  </si>
  <si>
    <t>B1041</t>
    <phoneticPr fontId="8" type="noConversion"/>
  </si>
  <si>
    <t>上好佳草莓餡(1*900g)</t>
  </si>
  <si>
    <t>B2011</t>
    <phoneticPr fontId="8" type="noConversion"/>
  </si>
  <si>
    <t>＃1花生(1*2.8kg)</t>
  </si>
  <si>
    <t>B2021</t>
    <phoneticPr fontId="8" type="noConversion"/>
  </si>
  <si>
    <t>＃1花生(粒)(1*2.8kg)</t>
  </si>
  <si>
    <t>B2030</t>
    <phoneticPr fontId="8" type="noConversion"/>
  </si>
  <si>
    <t>＃2花生(1*900g)</t>
  </si>
  <si>
    <t>B2031</t>
    <phoneticPr fontId="8" type="noConversion"/>
  </si>
  <si>
    <t>＃2花生(1*800g)</t>
  </si>
  <si>
    <t>B2040</t>
    <phoneticPr fontId="8" type="noConversion"/>
  </si>
  <si>
    <t>＃2花生（粒）(1*900g)</t>
  </si>
  <si>
    <t>B3011</t>
    <phoneticPr fontId="8" type="noConversion"/>
  </si>
  <si>
    <t>＃1藍莓(1*3.2kg)</t>
  </si>
  <si>
    <t>B3020</t>
    <phoneticPr fontId="8" type="noConversion"/>
  </si>
  <si>
    <t>＃2藍莓(1*900g)</t>
  </si>
  <si>
    <t>B5011</t>
    <phoneticPr fontId="8" type="noConversion"/>
  </si>
  <si>
    <t>＃1桔子(1*3.2kg)</t>
  </si>
  <si>
    <t>C1010</t>
    <phoneticPr fontId="8" type="noConversion"/>
  </si>
  <si>
    <t>草莓果醬(桶)(1*9.5KG)</t>
  </si>
  <si>
    <t>桶</t>
    <phoneticPr fontId="8" type="noConversion"/>
  </si>
  <si>
    <t>C1020</t>
    <phoneticPr fontId="8" type="noConversion"/>
  </si>
  <si>
    <t>天天開心草莓餡4.5KG</t>
  </si>
  <si>
    <t>C3010</t>
    <phoneticPr fontId="8" type="noConversion"/>
  </si>
  <si>
    <t>藍莓餡（小）(1*4.5kg)</t>
  </si>
  <si>
    <t>C3020</t>
    <phoneticPr fontId="8" type="noConversion"/>
  </si>
  <si>
    <t>藍莓餡（大）(1*9.08kg)</t>
  </si>
  <si>
    <t>C3070</t>
    <phoneticPr fontId="8" type="noConversion"/>
  </si>
  <si>
    <t>天天開心藍莓餡4.5KG</t>
  </si>
  <si>
    <t>C5010</t>
    <phoneticPr fontId="8" type="noConversion"/>
  </si>
  <si>
    <t>天天開心柳橙餡4.5KG</t>
  </si>
  <si>
    <t>C7010</t>
    <phoneticPr fontId="8" type="noConversion"/>
  </si>
  <si>
    <t>天天開心芒果餡4.5KG</t>
  </si>
  <si>
    <t>C9030</t>
    <phoneticPr fontId="8" type="noConversion"/>
  </si>
  <si>
    <t>天天熱帶水果餡 4.5KG</t>
  </si>
  <si>
    <t>C9050</t>
    <phoneticPr fontId="8" type="noConversion"/>
  </si>
  <si>
    <t>上好佳綜合莓餡4.5KG</t>
  </si>
  <si>
    <t>D0111</t>
    <phoneticPr fontId="8" type="noConversion"/>
  </si>
  <si>
    <t>草莓餡(1*6Kg)</t>
  </si>
  <si>
    <t>包</t>
    <phoneticPr fontId="8" type="noConversion"/>
  </si>
  <si>
    <t>D0113</t>
    <phoneticPr fontId="8" type="noConversion"/>
  </si>
  <si>
    <t>草莓餡45%(1*6Kg)</t>
  </si>
  <si>
    <t>D0114</t>
    <phoneticPr fontId="8" type="noConversion"/>
  </si>
  <si>
    <t>草莓椰果餡(1*6Kg)</t>
  </si>
  <si>
    <t>D0120</t>
    <phoneticPr fontId="8" type="noConversion"/>
  </si>
  <si>
    <t>顆粒花生醬(1*12KG)</t>
  </si>
  <si>
    <t>D0121</t>
    <phoneticPr fontId="8" type="noConversion"/>
  </si>
  <si>
    <t>D0122</t>
    <phoneticPr fontId="8" type="noConversion"/>
  </si>
  <si>
    <t>D0131</t>
    <phoneticPr fontId="8" type="noConversion"/>
  </si>
  <si>
    <t>藍莓餡(1*6Kg)</t>
  </si>
  <si>
    <t>D0132</t>
    <phoneticPr fontId="8" type="noConversion"/>
  </si>
  <si>
    <t>綜合莓果餡(1*6Kg)</t>
  </si>
  <si>
    <t>D0140</t>
    <phoneticPr fontId="8" type="noConversion"/>
  </si>
  <si>
    <t>蜜桃餡(1*6Kg)</t>
  </si>
  <si>
    <t>D0150</t>
    <phoneticPr fontId="8" type="noConversion"/>
  </si>
  <si>
    <t>柑橘蒟蒻餡(1*6Kg)</t>
  </si>
  <si>
    <t>D0173</t>
    <phoneticPr fontId="8" type="noConversion"/>
  </si>
  <si>
    <t>鳳梨百香果餡(1*6Kg)</t>
  </si>
  <si>
    <t>D0191</t>
    <phoneticPr fontId="8" type="noConversion"/>
  </si>
  <si>
    <t>蘋果餡(1*6Kg)</t>
  </si>
  <si>
    <t>D0194</t>
    <phoneticPr fontId="8" type="noConversion"/>
  </si>
  <si>
    <t>檸檬蒟蒻餡(1*6Kg)</t>
  </si>
  <si>
    <t>D0195</t>
    <phoneticPr fontId="8" type="noConversion"/>
  </si>
  <si>
    <t>檸檬餡(1*6Kg)</t>
  </si>
  <si>
    <t>D0210</t>
    <phoneticPr fontId="8" type="noConversion"/>
  </si>
  <si>
    <t>草莓醬(1*6kg)</t>
  </si>
  <si>
    <t>D0230</t>
    <phoneticPr fontId="8" type="noConversion"/>
  </si>
  <si>
    <t>藍莓醬(1*6kg)</t>
  </si>
  <si>
    <t>D0241</t>
    <phoneticPr fontId="8" type="noConversion"/>
  </si>
  <si>
    <t>水蜜桃醬(1*6kg)</t>
  </si>
  <si>
    <t>D0242</t>
    <phoneticPr fontId="8" type="noConversion"/>
  </si>
  <si>
    <t>芒果蜜桃醬(1*6kg)</t>
  </si>
  <si>
    <t>D0250</t>
    <phoneticPr fontId="8" type="noConversion"/>
  </si>
  <si>
    <t>葡萄奇異果醬(1*6kg)</t>
  </si>
  <si>
    <t>D0290</t>
    <phoneticPr fontId="8" type="noConversion"/>
  </si>
  <si>
    <t>鳳梨芒果百香果醬(1*6KG)</t>
  </si>
  <si>
    <t>D0291</t>
    <phoneticPr fontId="8" type="noConversion"/>
  </si>
  <si>
    <t>蔓越莓醬(1*6KG)</t>
  </si>
  <si>
    <t>D0296</t>
    <phoneticPr fontId="8" type="noConversion"/>
  </si>
  <si>
    <t>蜂蜜蘋果醬(1*6KG)</t>
  </si>
  <si>
    <t>D0310</t>
    <phoneticPr fontId="8" type="noConversion"/>
  </si>
  <si>
    <t>草莓蒟蒻餡(1*6kg)</t>
  </si>
  <si>
    <t>D0311</t>
    <phoneticPr fontId="8" type="noConversion"/>
  </si>
  <si>
    <t>蜂蜜風味餡(1*6kg)</t>
  </si>
  <si>
    <t>D0330</t>
    <phoneticPr fontId="8" type="noConversion"/>
  </si>
  <si>
    <t>藍莓餡(1*6KG)</t>
  </si>
  <si>
    <t>D0410</t>
    <phoneticPr fontId="8" type="noConversion"/>
  </si>
  <si>
    <t>D0420</t>
    <phoneticPr fontId="8" type="noConversion"/>
  </si>
  <si>
    <t>花生醬(1*18KG)</t>
  </si>
  <si>
    <t>箱</t>
    <phoneticPr fontId="8" type="noConversion"/>
  </si>
  <si>
    <t>D0422</t>
    <phoneticPr fontId="8" type="noConversion"/>
  </si>
  <si>
    <t>深烤焙花生醬(1*18KG)</t>
  </si>
  <si>
    <t>D0430</t>
    <phoneticPr fontId="8" type="noConversion"/>
  </si>
  <si>
    <t>D0520</t>
    <phoneticPr fontId="8" type="noConversion"/>
  </si>
  <si>
    <t>花生醬(1*290g)</t>
  </si>
  <si>
    <t>瓶</t>
    <phoneticPr fontId="8" type="noConversion"/>
  </si>
  <si>
    <t>D0521</t>
    <phoneticPr fontId="8" type="noConversion"/>
  </si>
  <si>
    <t>無加糖花生醬(1*290g)</t>
  </si>
  <si>
    <t>D0530</t>
    <phoneticPr fontId="8" type="noConversion"/>
  </si>
  <si>
    <t>藍莓果醬(1*210G)</t>
  </si>
  <si>
    <t>D0591</t>
    <phoneticPr fontId="8" type="noConversion"/>
  </si>
  <si>
    <t>桑椹果醬(1*190g)</t>
  </si>
  <si>
    <t>D0592</t>
    <phoneticPr fontId="8" type="noConversion"/>
  </si>
  <si>
    <t>桑椹果粒茶(1*400G)</t>
  </si>
  <si>
    <t>D0593</t>
    <phoneticPr fontId="8" type="noConversion"/>
  </si>
  <si>
    <t>文旦柚茶(1*420g)</t>
  </si>
  <si>
    <t>D0610</t>
    <phoneticPr fontId="8" type="noConversion"/>
  </si>
  <si>
    <t>草莓餡50°(1*6Kg)</t>
  </si>
  <si>
    <t>D0630</t>
    <phoneticPr fontId="8" type="noConversion"/>
  </si>
  <si>
    <t>D0730</t>
    <phoneticPr fontId="8" type="noConversion"/>
  </si>
  <si>
    <t>藍莓果茶(1*420g)</t>
  </si>
  <si>
    <t>D0731</t>
    <phoneticPr fontId="8" type="noConversion"/>
  </si>
  <si>
    <t>藍莓果漿(1*350g)</t>
  </si>
  <si>
    <t>D0732</t>
    <phoneticPr fontId="8" type="noConversion"/>
  </si>
  <si>
    <t>藍莓寡糖果醬(1*200G)</t>
  </si>
  <si>
    <t>D0790</t>
    <phoneticPr fontId="8" type="noConversion"/>
  </si>
  <si>
    <t>奇異果茶(1*420g)</t>
  </si>
  <si>
    <t>D0810</t>
    <phoneticPr fontId="8" type="noConversion"/>
  </si>
  <si>
    <t>草莓餡(1*4.5Kg)</t>
  </si>
  <si>
    <t>D0820</t>
    <phoneticPr fontId="8" type="noConversion"/>
  </si>
  <si>
    <t>花生醬(1*3.5KG)</t>
  </si>
  <si>
    <t>D0910</t>
    <phoneticPr fontId="8" type="noConversion"/>
  </si>
  <si>
    <t>耐烤草莓餡(1*4.5KG)</t>
  </si>
  <si>
    <t>D0990</t>
    <phoneticPr fontId="8" type="noConversion"/>
  </si>
  <si>
    <t>玫瑰洛神餡(1*4.5KG)</t>
  </si>
  <si>
    <t>D1010</t>
    <phoneticPr fontId="8" type="noConversion"/>
  </si>
  <si>
    <t>草莓椰果漿(1*6KG)</t>
  </si>
  <si>
    <t>D1130</t>
    <phoneticPr fontId="8" type="noConversion"/>
  </si>
  <si>
    <t>藍莓餡(1*6kg)</t>
  </si>
  <si>
    <t>D1210</t>
    <phoneticPr fontId="8" type="noConversion"/>
  </si>
  <si>
    <t>開心草莓餡P(1*6KG)</t>
  </si>
  <si>
    <t>D1211</t>
    <phoneticPr fontId="8" type="noConversion"/>
  </si>
  <si>
    <t>草莓餡(1*4.5kg)</t>
  </si>
  <si>
    <t>D1391</t>
    <phoneticPr fontId="8" type="noConversion"/>
  </si>
  <si>
    <t>水蜜桃寡糖果醬(1*260g)</t>
  </si>
  <si>
    <t>D1410</t>
    <phoneticPr fontId="8" type="noConversion"/>
  </si>
  <si>
    <t>草莓餡42°(1*6KG)</t>
  </si>
  <si>
    <t>D1620</t>
    <phoneticPr fontId="8" type="noConversion"/>
  </si>
  <si>
    <t>顆粒花生醬(1*8kg)</t>
  </si>
  <si>
    <t>D2130</t>
    <phoneticPr fontId="8" type="noConversion"/>
  </si>
  <si>
    <t>藍莓餡(1*9.08kg)</t>
  </si>
  <si>
    <t>D2212</t>
    <phoneticPr fontId="8" type="noConversion"/>
  </si>
  <si>
    <t>草莓餡(1*6KG)</t>
  </si>
  <si>
    <t>D2213</t>
    <phoneticPr fontId="8" type="noConversion"/>
  </si>
  <si>
    <t>草莓淋醬(1*6KG)</t>
  </si>
  <si>
    <t>D2231</t>
    <phoneticPr fontId="8" type="noConversion"/>
  </si>
  <si>
    <t>雙曲藍莓餡(1*9.08kg)</t>
  </si>
  <si>
    <t>D2330</t>
    <phoneticPr fontId="8" type="noConversion"/>
  </si>
  <si>
    <t>蘋果藍莓餡(1*9.08kg)</t>
  </si>
  <si>
    <t>D2531</t>
    <phoneticPr fontId="8" type="noConversion"/>
  </si>
  <si>
    <t>特殊藍莓餡(1*9.08kg)</t>
  </si>
  <si>
    <t>D2610</t>
    <phoneticPr fontId="8" type="noConversion"/>
  </si>
  <si>
    <t>草莓醬(1*6Kg)</t>
  </si>
  <si>
    <t>D2620</t>
    <phoneticPr fontId="8" type="noConversion"/>
  </si>
  <si>
    <t>花生醬(1*3KG)</t>
  </si>
  <si>
    <t>D2812</t>
    <phoneticPr fontId="8" type="noConversion"/>
  </si>
  <si>
    <t>D9922</t>
    <phoneticPr fontId="8" type="noConversion"/>
  </si>
  <si>
    <t>D9923</t>
    <phoneticPr fontId="8" type="noConversion"/>
  </si>
  <si>
    <t>D9990</t>
    <phoneticPr fontId="8" type="noConversion"/>
  </si>
  <si>
    <t>蘋果果醬(1*260G)</t>
  </si>
  <si>
    <t>D9991</t>
    <phoneticPr fontId="8" type="noConversion"/>
  </si>
  <si>
    <t>＃1蘋果果醬(1*3.3kg)</t>
  </si>
  <si>
    <t>順天紅棗醬</t>
    <phoneticPr fontId="8" type="noConversion"/>
  </si>
  <si>
    <t>順天紅棗醬</t>
  </si>
  <si>
    <t>新城柑橘果醬</t>
    <phoneticPr fontId="8" type="noConversion"/>
  </si>
  <si>
    <t>D9920</t>
    <phoneticPr fontId="2" type="noConversion"/>
  </si>
  <si>
    <t>D2021</t>
    <phoneticPr fontId="2" type="noConversion"/>
  </si>
  <si>
    <t>D2010</t>
    <phoneticPr fontId="2" type="noConversion"/>
  </si>
  <si>
    <t>D9920</t>
    <phoneticPr fontId="2" type="noConversion"/>
  </si>
  <si>
    <t>D0191</t>
    <phoneticPr fontId="2" type="noConversion"/>
  </si>
  <si>
    <t>D9922</t>
    <phoneticPr fontId="2" type="noConversion"/>
  </si>
  <si>
    <t>D2813</t>
  </si>
  <si>
    <t>花生醬（1*18kg)</t>
    <phoneticPr fontId="2" type="noConversion"/>
  </si>
  <si>
    <t>桶</t>
    <phoneticPr fontId="2" type="noConversion"/>
  </si>
  <si>
    <t>112年鍋數生產均數表(實際半成品數／鍋數）</t>
    <phoneticPr fontId="8" type="noConversion"/>
  </si>
  <si>
    <t>C9030</t>
    <phoneticPr fontId="2" type="noConversion"/>
  </si>
  <si>
    <t>D0592</t>
    <phoneticPr fontId="2" type="noConversion"/>
  </si>
  <si>
    <t>D0241</t>
    <phoneticPr fontId="2" type="noConversion"/>
  </si>
  <si>
    <t>D0140</t>
    <phoneticPr fontId="2" type="noConversion"/>
  </si>
  <si>
    <t>第2季調整</t>
    <phoneticPr fontId="2" type="noConversion"/>
  </si>
  <si>
    <t>第1季調整</t>
    <phoneticPr fontId="2" type="noConversion"/>
  </si>
  <si>
    <t>D1390</t>
  </si>
  <si>
    <t>蘋果寡糖果醬(260G)</t>
    <phoneticPr fontId="2" type="noConversion"/>
  </si>
  <si>
    <t>瓶</t>
    <phoneticPr fontId="2" type="noConversion"/>
  </si>
  <si>
    <t>D9921</t>
    <phoneticPr fontId="2" type="noConversion"/>
  </si>
  <si>
    <t>加退貨</t>
    <phoneticPr fontId="2" type="noConversion"/>
  </si>
  <si>
    <t>不用換線</t>
    <phoneticPr fontId="2" type="noConversion"/>
  </si>
  <si>
    <t>D0820</t>
    <phoneticPr fontId="2" type="noConversion"/>
  </si>
  <si>
    <t>B1041</t>
    <phoneticPr fontId="2" type="noConversion"/>
  </si>
  <si>
    <t>C9050</t>
    <phoneticPr fontId="2" type="noConversion"/>
  </si>
  <si>
    <t>D2330</t>
    <phoneticPr fontId="2" type="noConversion"/>
  </si>
  <si>
    <t>D0630</t>
    <phoneticPr fontId="2" type="noConversion"/>
  </si>
  <si>
    <t>連續製程</t>
    <phoneticPr fontId="2" type="noConversion"/>
  </si>
  <si>
    <t>備註</t>
    <phoneticPr fontId="2" type="noConversion"/>
  </si>
  <si>
    <t>D0196</t>
    <phoneticPr fontId="2" type="noConversion"/>
  </si>
  <si>
    <t>新品</t>
    <phoneticPr fontId="2" type="noConversion"/>
  </si>
  <si>
    <t>充填管路製程不同</t>
    <phoneticPr fontId="2" type="noConversion"/>
  </si>
  <si>
    <t>鍋數少</t>
    <phoneticPr fontId="2" type="noConversion"/>
  </si>
  <si>
    <t>D0292</t>
    <phoneticPr fontId="2" type="noConversion"/>
  </si>
  <si>
    <t>鍋數少、重量大</t>
    <phoneticPr fontId="2" type="noConversion"/>
  </si>
  <si>
    <t>未完成</t>
    <phoneticPr fontId="2" type="noConversion"/>
  </si>
  <si>
    <t>D1210</t>
    <phoneticPr fontId="2" type="noConversion"/>
  </si>
  <si>
    <t>D0132</t>
    <phoneticPr fontId="2" type="noConversion"/>
  </si>
  <si>
    <t>不良品數</t>
    <phoneticPr fontId="2" type="noConversion"/>
  </si>
  <si>
    <t>顆粒花生醬(1*12KG)</t>
    <phoneticPr fontId="2" type="noConversion"/>
  </si>
  <si>
    <t>規格
(kg)</t>
    <phoneticPr fontId="2" type="noConversion"/>
  </si>
  <si>
    <t>平均均數
(鍋)</t>
    <phoneticPr fontId="2" type="noConversion"/>
  </si>
  <si>
    <t>鍋數
(P)</t>
    <phoneticPr fontId="2" type="noConversion"/>
  </si>
  <si>
    <t>半成品數
(預估)</t>
    <phoneticPr fontId="2" type="noConversion"/>
  </si>
  <si>
    <t>半成品數
(實際)</t>
    <phoneticPr fontId="2" type="noConversion"/>
  </si>
  <si>
    <t>半成品重量(KG)
(實際)</t>
    <phoneticPr fontId="2" type="noConversion"/>
  </si>
  <si>
    <t>成品數
(實際)</t>
    <phoneticPr fontId="2" type="noConversion"/>
  </si>
  <si>
    <t>產品良率
(成品)</t>
    <phoneticPr fontId="2" type="noConversion"/>
  </si>
  <si>
    <t>生產達成率
(實際)</t>
    <phoneticPr fontId="2" type="noConversion"/>
  </si>
  <si>
    <t>生產達成率
(目標)</t>
    <phoneticPr fontId="2" type="noConversion"/>
  </si>
  <si>
    <t>品保取樣數</t>
    <phoneticPr fontId="2" type="noConversion"/>
  </si>
  <si>
    <t>生產達成率(目標)</t>
    <phoneticPr fontId="2" type="noConversion"/>
  </si>
  <si>
    <t>料號</t>
    <phoneticPr fontId="2" type="noConversion"/>
  </si>
  <si>
    <t>PET瓶花生(1*340g)</t>
    <phoneticPr fontId="2" type="noConversion"/>
  </si>
  <si>
    <t>PET瓶花生(粒)(1*340g)</t>
    <phoneticPr fontId="2" type="noConversion"/>
  </si>
  <si>
    <t>顆粒花生醬(全)</t>
    <phoneticPr fontId="2" type="noConversion"/>
  </si>
  <si>
    <t>草莓餡42°(1*6KG)</t>
    <phoneticPr fontId="2" type="noConversion"/>
  </si>
  <si>
    <t>＃2藍莓(1*900g)</t>
    <phoneticPr fontId="2" type="noConversion"/>
  </si>
  <si>
    <t>開心草莓果醬(1*430g)</t>
    <phoneticPr fontId="2" type="noConversion"/>
  </si>
  <si>
    <t>PET大花生(1*400g)</t>
    <phoneticPr fontId="2" type="noConversion"/>
  </si>
  <si>
    <t>大圓草莓-新</t>
    <phoneticPr fontId="2" type="noConversion"/>
  </si>
  <si>
    <t>＃1桔子(1*3.2kg)</t>
    <phoneticPr fontId="2" type="noConversion"/>
  </si>
  <si>
    <t>顆粒花生醬(1*12KG)</t>
    <phoneticPr fontId="2" type="noConversion"/>
  </si>
  <si>
    <t>鳳梨芒果百香果醬(1*6KG)</t>
    <phoneticPr fontId="2" type="noConversion"/>
  </si>
  <si>
    <t>草莓餡50°(1*6Kg)</t>
    <phoneticPr fontId="2" type="noConversion"/>
  </si>
  <si>
    <t>D2010</t>
    <phoneticPr fontId="8" type="noConversion"/>
  </si>
  <si>
    <t>美芝城草莓醬(1*9kg)</t>
    <phoneticPr fontId="2" type="noConversion"/>
  </si>
  <si>
    <t>D2021</t>
    <phoneticPr fontId="8" type="noConversion"/>
  </si>
  <si>
    <t>美芝城花生醬(1*2.8kg)</t>
    <phoneticPr fontId="2" type="noConversion"/>
  </si>
  <si>
    <t>顆粒花生醬（1*18kg)</t>
    <phoneticPr fontId="2" type="noConversion"/>
  </si>
  <si>
    <t>＃1草莓原漿(1*3.4kg)</t>
    <phoneticPr fontId="2" type="noConversion"/>
  </si>
  <si>
    <t>上好佳草莓餡(1*900g)</t>
    <phoneticPr fontId="2" type="noConversion"/>
  </si>
  <si>
    <t>D0311</t>
    <phoneticPr fontId="2" type="noConversion"/>
  </si>
  <si>
    <t>E0121</t>
    <phoneticPr fontId="2" type="noConversion"/>
  </si>
  <si>
    <t>D0820</t>
    <phoneticPr fontId="2" type="noConversion"/>
  </si>
  <si>
    <t>-</t>
    <phoneticPr fontId="2" type="noConversion"/>
  </si>
  <si>
    <t>說明：</t>
    <phoneticPr fontId="2" type="noConversion"/>
  </si>
  <si>
    <t>左項生產參數由生產單位定期檢討更新。</t>
    <phoneticPr fontId="2" type="noConversion"/>
  </si>
  <si>
    <t>差異統計
(實際-目標)</t>
    <phoneticPr fontId="2" type="noConversion"/>
  </si>
  <si>
    <t>規格
(kg)</t>
  </si>
  <si>
    <t>D0991</t>
  </si>
  <si>
    <t>D0991</t>
    <phoneticPr fontId="2" type="noConversion"/>
  </si>
  <si>
    <t>D2610</t>
    <phoneticPr fontId="2" type="noConversion"/>
  </si>
  <si>
    <t>F0010</t>
  </si>
  <si>
    <t>D0292</t>
  </si>
  <si>
    <t>文旦丁</t>
  </si>
  <si>
    <t>包</t>
  </si>
  <si>
    <t>凹罐*1</t>
    <phoneticPr fontId="2" type="noConversion"/>
  </si>
  <si>
    <t>破損*1</t>
    <phoneticPr fontId="2" type="noConversion"/>
  </si>
  <si>
    <t>E0121</t>
  </si>
  <si>
    <t>佳樂美花生醬(粒)(1*340g)</t>
  </si>
  <si>
    <t>E0121</t>
    <phoneticPr fontId="8" type="noConversion"/>
  </si>
  <si>
    <t>佳樂美花生醬(粒)(1*340g)</t>
    <phoneticPr fontId="8" type="noConversion"/>
  </si>
  <si>
    <t>D0292</t>
    <phoneticPr fontId="8" type="noConversion"/>
  </si>
  <si>
    <t>D0991</t>
    <phoneticPr fontId="8" type="noConversion"/>
  </si>
  <si>
    <t>文旦丁</t>
    <phoneticPr fontId="8" type="noConversion"/>
  </si>
  <si>
    <t>F0010</t>
    <phoneticPr fontId="8" type="noConversion"/>
  </si>
  <si>
    <t>蜜桔皮</t>
    <phoneticPr fontId="8" type="noConversion"/>
  </si>
  <si>
    <t>蜂蜜柚香醬(1*6KG)</t>
  </si>
  <si>
    <t>刪除</t>
    <phoneticPr fontId="2" type="noConversion"/>
  </si>
  <si>
    <t>D0241</t>
  </si>
  <si>
    <t>1130909- 01 D</t>
    <phoneticPr fontId="2" type="noConversion"/>
  </si>
  <si>
    <t>內容物漏出*1；發現包裝外袋濕黏，經檢查全208袋成品有63袋封口未完全密封。重工再充填D1010草莓重工產出有59包的數量。(9/11包裝完成)</t>
    <phoneticPr fontId="2" type="noConversion"/>
  </si>
  <si>
    <t>分裝D9920(18KG)*55桶</t>
    <phoneticPr fontId="2" type="noConversion"/>
  </si>
  <si>
    <t>封蓋不良*4</t>
    <phoneticPr fontId="2" type="noConversion"/>
  </si>
  <si>
    <t>D0591</t>
  </si>
  <si>
    <t>1130912- 01 D</t>
    <phoneticPr fontId="2" type="noConversion"/>
  </si>
  <si>
    <t>因馬口鐵封蓋機（2號罐）有油滲出，會影響封蓋，原本生產的B1040只生產了8P，剩餘的改成生產B1011（16P）。
二號罐第二趟泡水延長半小時。</t>
    <phoneticPr fontId="2" type="noConversion"/>
  </si>
  <si>
    <t>罐子毛邊</t>
    <phoneticPr fontId="2" type="noConversion"/>
  </si>
  <si>
    <t>B1031</t>
  </si>
  <si>
    <t>D0132</t>
  </si>
  <si>
    <t>異物*1</t>
    <phoneticPr fontId="2" type="noConversion"/>
  </si>
  <si>
    <t>分裝D2021(美芝城)*100箱</t>
    <phoneticPr fontId="2" type="noConversion"/>
  </si>
  <si>
    <t>破損*2，X光檢測*1，異物*2。</t>
    <phoneticPr fontId="2" type="noConversion"/>
  </si>
  <si>
    <t>1130918-01A</t>
    <phoneticPr fontId="2" type="noConversion"/>
  </si>
  <si>
    <t>糖多秤重一次，導致製程中糖度超標造成品質異常，生產工時延長三十分鐘</t>
    <phoneticPr fontId="2" type="noConversion"/>
  </si>
  <si>
    <t>分裝D9920(18KG)100桶</t>
    <phoneticPr fontId="2" type="noConversion"/>
  </si>
  <si>
    <t>9/25包裝進行中</t>
    <phoneticPr fontId="2" type="noConversion"/>
  </si>
  <si>
    <t>B1041</t>
  </si>
  <si>
    <t>C3010</t>
  </si>
  <si>
    <t>D0520</t>
  </si>
  <si>
    <t>D0530</t>
  </si>
  <si>
    <t>D0592</t>
  </si>
  <si>
    <t>D0992</t>
    <phoneticPr fontId="2" type="noConversion"/>
  </si>
  <si>
    <t>文旦絲(1*1KG/包)</t>
  </si>
  <si>
    <t>D0197</t>
    <phoneticPr fontId="2" type="noConversion"/>
  </si>
  <si>
    <t>D1792</t>
  </si>
  <si>
    <t>柚皮糖B</t>
  </si>
  <si>
    <t>加糖柑橘果皮(柳橙)</t>
  </si>
  <si>
    <t>糖漬桔皮絲</t>
  </si>
  <si>
    <t>糖漬檸檬絲</t>
  </si>
  <si>
    <t>蜜紅果6m/m</t>
  </si>
  <si>
    <t>蜜綠果6m/m</t>
  </si>
  <si>
    <t>蜜桔皮6m/m</t>
  </si>
  <si>
    <t>已殺菁桔皮(進口)</t>
  </si>
  <si>
    <t>蘿蔔RE</t>
  </si>
  <si>
    <t>D9920(18kg*110桶)</t>
    <phoneticPr fontId="2" type="noConversion"/>
  </si>
  <si>
    <t>D0992</t>
  </si>
  <si>
    <t>異物*1，貼麥味登標籤180箱，餘五惠</t>
    <phoneticPr fontId="2" type="noConversion"/>
  </si>
  <si>
    <t>失真空*1</t>
    <phoneticPr fontId="2" type="noConversion"/>
  </si>
  <si>
    <t>失真空*33,破損*1</t>
    <phoneticPr fontId="2" type="noConversion"/>
  </si>
  <si>
    <t>包裝中。</t>
    <phoneticPr fontId="2" type="noConversion"/>
  </si>
  <si>
    <t>封蓋不良*22</t>
    <phoneticPr fontId="2" type="noConversion"/>
  </si>
  <si>
    <t>D0197</t>
  </si>
  <si>
    <t>異物*6</t>
    <phoneticPr fontId="2" type="noConversion"/>
  </si>
  <si>
    <t>破損*1、X光機檢測不良品*1</t>
    <phoneticPr fontId="2" type="noConversion"/>
  </si>
  <si>
    <t>貼標中</t>
    <phoneticPr fontId="2" type="noConversion"/>
  </si>
  <si>
    <t>E0120佳樂美200箱。包裝中。</t>
    <phoneticPr fontId="2" type="noConversion"/>
  </si>
  <si>
    <t>D9920(18kg)*65</t>
    <phoneticPr fontId="2" type="noConversion"/>
  </si>
  <si>
    <t>F0020</t>
  </si>
  <si>
    <t>包裝50箱</t>
    <phoneticPr fontId="2" type="noConversion"/>
  </si>
  <si>
    <t>F0010</t>
    <phoneticPr fontId="2" type="noConversion"/>
  </si>
  <si>
    <t>E0121*2402(半)2400(成)</t>
    <phoneticPr fontId="2" type="noConversion"/>
  </si>
  <si>
    <t>D0191-1</t>
  </si>
  <si>
    <t>包裝中</t>
    <phoneticPr fontId="2" type="noConversion"/>
  </si>
  <si>
    <t>蜜餞水果(1*1kg)</t>
  </si>
  <si>
    <t>倒料方式生產</t>
    <phoneticPr fontId="2" type="noConversion"/>
  </si>
  <si>
    <t>10/14</t>
    <phoneticPr fontId="2" type="noConversion"/>
  </si>
  <si>
    <t>D1791</t>
  </si>
  <si>
    <t>10/15</t>
    <phoneticPr fontId="2" type="noConversion"/>
  </si>
  <si>
    <t>10/16</t>
    <phoneticPr fontId="2" type="noConversion"/>
  </si>
  <si>
    <t>10/17</t>
    <phoneticPr fontId="2" type="noConversion"/>
  </si>
  <si>
    <t>10/18</t>
    <phoneticPr fontId="2" type="noConversion"/>
  </si>
  <si>
    <t>D9920(18kg)*100桶，美芝城D2021*100箱</t>
    <phoneticPr fontId="2" type="noConversion"/>
  </si>
  <si>
    <t>總生產時間(分)</t>
    <phoneticPr fontId="2" type="noConversion"/>
  </si>
  <si>
    <t>柚皮糖</t>
    <phoneticPr fontId="2" type="noConversion"/>
  </si>
  <si>
    <t>人數</t>
    <phoneticPr fontId="2" type="noConversion"/>
  </si>
  <si>
    <t>前置作業</t>
    <phoneticPr fontId="2" type="noConversion"/>
  </si>
  <si>
    <t>生產開始時間</t>
    <phoneticPr fontId="2" type="noConversion"/>
  </si>
  <si>
    <t>生產結束時間</t>
    <phoneticPr fontId="2" type="noConversion"/>
  </si>
  <si>
    <t>生產時間(分)</t>
    <phoneticPr fontId="2" type="noConversion"/>
  </si>
  <si>
    <t>前置作業</t>
  </si>
  <si>
    <t>開始</t>
    <phoneticPr fontId="2" type="noConversion"/>
  </si>
  <si>
    <t>結束</t>
    <phoneticPr fontId="2" type="noConversion"/>
  </si>
  <si>
    <t>中午</t>
    <phoneticPr fontId="2" type="noConversion"/>
  </si>
  <si>
    <t>製造</t>
    <phoneticPr fontId="2" type="noConversion"/>
  </si>
  <si>
    <t>充填</t>
    <phoneticPr fontId="2" type="noConversion"/>
  </si>
  <si>
    <t>封蓋不良*12</t>
    <phoneticPr fontId="2" type="noConversion"/>
  </si>
  <si>
    <t>A3011</t>
  </si>
  <si>
    <t>失真空*9</t>
    <phoneticPr fontId="2" type="noConversion"/>
  </si>
  <si>
    <t>破包*1,失真空*23</t>
    <phoneticPr fontId="2" type="noConversion"/>
  </si>
  <si>
    <t>D2531</t>
  </si>
  <si>
    <t>10/22</t>
  </si>
  <si>
    <t>破包*1</t>
    <phoneticPr fontId="2" type="noConversion"/>
  </si>
  <si>
    <t>破包*3</t>
    <phoneticPr fontId="2" type="noConversion"/>
  </si>
  <si>
    <t>D0820</t>
  </si>
  <si>
    <t>美芝城D2010*50箱</t>
    <phoneticPr fontId="2" type="noConversion"/>
  </si>
  <si>
    <t>D0296</t>
  </si>
  <si>
    <t>D0593</t>
  </si>
  <si>
    <t>D0790</t>
  </si>
  <si>
    <t>10/21</t>
  </si>
  <si>
    <t>10/23</t>
  </si>
  <si>
    <t>10/24</t>
  </si>
  <si>
    <t>10/25</t>
  </si>
  <si>
    <t>蜜桔皮</t>
  </si>
  <si>
    <t>佳樂美E0120*300箱</t>
    <phoneticPr fontId="2" type="noConversion"/>
  </si>
  <si>
    <t>C1010</t>
  </si>
  <si>
    <t>C7010</t>
  </si>
  <si>
    <t>10/28</t>
  </si>
  <si>
    <t>10/29</t>
  </si>
  <si>
    <t>10/30</t>
  </si>
  <si>
    <t>10/31</t>
  </si>
  <si>
    <t>11/01</t>
  </si>
  <si>
    <t>B2021-1</t>
    <phoneticPr fontId="8" type="noConversion"/>
  </si>
  <si>
    <t>麥味登*180箱其餘五惠</t>
    <phoneticPr fontId="2" type="noConversion"/>
  </si>
  <si>
    <t>D9920(18KG)*30桶</t>
    <phoneticPr fontId="2" type="noConversion"/>
  </si>
  <si>
    <t>D2021美芝城*50箱</t>
    <phoneticPr fontId="2" type="noConversion"/>
  </si>
  <si>
    <t>B2021-1</t>
  </si>
  <si>
    <t>(研發測試白油)</t>
    <phoneticPr fontId="2" type="noConversion"/>
  </si>
  <si>
    <t>11/04</t>
  </si>
  <si>
    <t>11/05</t>
  </si>
  <si>
    <t>11/06</t>
  </si>
  <si>
    <t>11/07</t>
  </si>
  <si>
    <t>11/08</t>
  </si>
  <si>
    <t>10/9包裝163</t>
    <phoneticPr fontId="2" type="noConversion"/>
  </si>
  <si>
    <t>失真空*4</t>
    <phoneticPr fontId="2" type="noConversion"/>
  </si>
  <si>
    <t>X光不良*1</t>
    <phoneticPr fontId="2" type="noConversion"/>
  </si>
  <si>
    <t>封蓋不良*20</t>
    <phoneticPr fontId="2" type="noConversion"/>
  </si>
  <si>
    <t>NG*2</t>
    <phoneticPr fontId="2" type="noConversion"/>
  </si>
  <si>
    <t>不良品*1</t>
    <phoneticPr fontId="2" type="noConversion"/>
  </si>
  <si>
    <t>D0132-1</t>
  </si>
  <si>
    <t>D0132-1</t>
    <phoneticPr fontId="2" type="noConversion"/>
  </si>
  <si>
    <t>D9920(18kg)*30桶</t>
    <phoneticPr fontId="2" type="noConversion"/>
  </si>
  <si>
    <t>D2021美芝城(#1)*100箱</t>
    <phoneticPr fontId="2" type="noConversion"/>
  </si>
  <si>
    <t>E0120佳樂美*200箱</t>
    <phoneticPr fontId="2" type="noConversion"/>
  </si>
  <si>
    <t>13:00顆粒冷卻槽攪拌軸承脫落，</t>
    <phoneticPr fontId="2" type="noConversion"/>
  </si>
  <si>
    <t>11/11</t>
  </si>
  <si>
    <t>11/12</t>
  </si>
  <si>
    <t>11/13</t>
  </si>
  <si>
    <t>11/14</t>
  </si>
  <si>
    <t>11/15</t>
  </si>
  <si>
    <t>11/18</t>
    <phoneticPr fontId="2" type="noConversion"/>
  </si>
  <si>
    <t>D9920(18kg)*150桶</t>
    <phoneticPr fontId="2" type="noConversion"/>
  </si>
  <si>
    <t>11/19</t>
    <phoneticPr fontId="2" type="noConversion"/>
  </si>
  <si>
    <t>11/20</t>
    <phoneticPr fontId="2" type="noConversion"/>
  </si>
  <si>
    <t>11/21</t>
    <phoneticPr fontId="2" type="noConversion"/>
  </si>
  <si>
    <t>11/22</t>
    <phoneticPr fontId="2" type="noConversion"/>
  </si>
  <si>
    <t>11/28</t>
    <phoneticPr fontId="2" type="noConversion"/>
  </si>
  <si>
    <t>破損*1,異物*1</t>
    <phoneticPr fontId="2" type="noConversion"/>
  </si>
  <si>
    <t>D9920分裝18KG*20桶，D2021#1罐美之城300瓶。</t>
    <phoneticPr fontId="2" type="noConversion"/>
  </si>
  <si>
    <t>由E0121分裝220打</t>
    <phoneticPr fontId="2" type="noConversion"/>
  </si>
  <si>
    <t xml:space="preserve">果醬調理班生產的A1040，因第二趟未加香精，，導致第四、五車貼上待驗，經重工後又導致第六車草莓軟爛，停機時間9:55～10：15，之後正常生產。
2.有四桶未充填量共283kg，異常數量第四～五車（168＋53）共221瓶（未加香精），第六車225瓶（大概97.2kg草莓軟爛）
</t>
    <phoneticPr fontId="2" type="noConversion"/>
  </si>
  <si>
    <t>罐</t>
  </si>
  <si>
    <t>D0594</t>
  </si>
  <si>
    <t>柚皮鮮果乾(100g)</t>
  </si>
  <si>
    <t>11/25</t>
    <phoneticPr fontId="2" type="noConversion"/>
  </si>
  <si>
    <t>D0521</t>
  </si>
  <si>
    <t>11/26</t>
    <phoneticPr fontId="2" type="noConversion"/>
  </si>
  <si>
    <t>D9990</t>
  </si>
  <si>
    <t>D9920(18kg)*80桶</t>
    <phoneticPr fontId="2" type="noConversion"/>
  </si>
  <si>
    <t>11/27</t>
    <phoneticPr fontId="2" type="noConversion"/>
  </si>
  <si>
    <t>D1620</t>
  </si>
  <si>
    <t>11/29</t>
    <phoneticPr fontId="2" type="noConversion"/>
  </si>
  <si>
    <t>E0121佳樂美*400箱</t>
    <phoneticPr fontId="2" type="noConversion"/>
  </si>
  <si>
    <t>12/02</t>
    <phoneticPr fontId="2" type="noConversion"/>
  </si>
  <si>
    <t>新配方</t>
    <phoneticPr fontId="2" type="noConversion"/>
  </si>
  <si>
    <t>12/03</t>
    <phoneticPr fontId="2" type="noConversion"/>
  </si>
  <si>
    <t>D9950</t>
  </si>
  <si>
    <t>E0120佳樂美100箱</t>
    <phoneticPr fontId="2" type="noConversion"/>
  </si>
  <si>
    <t>12/04</t>
    <phoneticPr fontId="2" type="noConversion"/>
  </si>
  <si>
    <t>C3020-1</t>
  </si>
  <si>
    <t>貼萊成標籤(舊配方)</t>
    <phoneticPr fontId="2" type="noConversion"/>
  </si>
  <si>
    <t>12/05</t>
    <phoneticPr fontId="2" type="noConversion"/>
  </si>
  <si>
    <t>12/06</t>
    <phoneticPr fontId="2" type="noConversion"/>
  </si>
  <si>
    <t>紅棗醬(1*210G)</t>
  </si>
  <si>
    <t>桶</t>
  </si>
  <si>
    <t>D0594</t>
    <phoneticPr fontId="2" type="noConversion"/>
  </si>
  <si>
    <t>貼好市多上好佳。</t>
    <phoneticPr fontId="2" type="noConversion"/>
  </si>
  <si>
    <t>白色印字NY袋。</t>
    <phoneticPr fontId="2" type="noConversion"/>
  </si>
  <si>
    <t>D9921(18kg) 150桶</t>
    <phoneticPr fontId="2" type="noConversion"/>
  </si>
  <si>
    <t>12/09</t>
  </si>
  <si>
    <t>12/10</t>
  </si>
  <si>
    <t>12/11</t>
  </si>
  <si>
    <t>12/12</t>
  </si>
  <si>
    <t>12/13</t>
  </si>
  <si>
    <t>12/16</t>
    <phoneticPr fontId="2" type="noConversion"/>
  </si>
  <si>
    <t>D2010美芝城150箱</t>
    <phoneticPr fontId="2" type="noConversion"/>
  </si>
  <si>
    <t>D2021美芝城150箱</t>
    <phoneticPr fontId="2" type="noConversion"/>
  </si>
  <si>
    <t>12/17</t>
    <phoneticPr fontId="2" type="noConversion"/>
  </si>
  <si>
    <t>D0732</t>
  </si>
  <si>
    <t>D9991</t>
  </si>
  <si>
    <t>12/18</t>
    <phoneticPr fontId="2" type="noConversion"/>
  </si>
  <si>
    <t>12/19</t>
    <phoneticPr fontId="2" type="noConversion"/>
  </si>
  <si>
    <t>12/20</t>
    <phoneticPr fontId="2" type="noConversion"/>
  </si>
  <si>
    <t>麥味登貼180箱。</t>
    <phoneticPr fontId="2" type="noConversion"/>
  </si>
  <si>
    <t>專案</t>
  </si>
  <si>
    <t>小圓草</t>
  </si>
  <si>
    <t>小圓藍</t>
  </si>
  <si>
    <t>D2610</t>
  </si>
  <si>
    <t>D1520</t>
  </si>
  <si>
    <t>D1521</t>
  </si>
  <si>
    <t>B2041</t>
  </si>
  <si>
    <t>＃2花生（粒）(1*800g)</t>
  </si>
  <si>
    <t>C3080</t>
    <phoneticPr fontId="2" type="noConversion"/>
  </si>
  <si>
    <t>上好佳藍莓餡(大)4.5KG</t>
  </si>
  <si>
    <t>D0990</t>
  </si>
  <si>
    <t>顆花(四方)</t>
  </si>
  <si>
    <t>顆花(玻璃)</t>
  </si>
  <si>
    <t>其中166箱(國豐)</t>
    <phoneticPr fontId="2" type="noConversion"/>
  </si>
  <si>
    <t>E0120佳樂美450箱</t>
    <phoneticPr fontId="2" type="noConversion"/>
  </si>
  <si>
    <t>足量2403瓶，剩餘充A2040。</t>
    <phoneticPr fontId="2" type="noConversion"/>
  </si>
  <si>
    <t>D9920(18KG)65桶</t>
    <phoneticPr fontId="2" type="noConversion"/>
  </si>
  <si>
    <t>足量2403瓶，剩餘充A2060。</t>
    <phoneticPr fontId="2" type="noConversion"/>
  </si>
  <si>
    <t>舊配方</t>
    <phoneticPr fontId="2" type="noConversion"/>
  </si>
  <si>
    <t>白色印字NY袋</t>
    <phoneticPr fontId="2" type="noConversion"/>
  </si>
  <si>
    <t>D9920(18kg)*40桶</t>
    <phoneticPr fontId="2" type="noConversion"/>
  </si>
  <si>
    <t>12/30</t>
    <phoneticPr fontId="2" type="noConversion"/>
  </si>
  <si>
    <t>12/31</t>
    <phoneticPr fontId="2" type="noConversion"/>
  </si>
  <si>
    <t>1/2</t>
    <phoneticPr fontId="2" type="noConversion"/>
  </si>
  <si>
    <t>1/3</t>
    <phoneticPr fontId="2" type="noConversion"/>
  </si>
  <si>
    <t>C3080</t>
  </si>
  <si>
    <t>12/23</t>
  </si>
  <si>
    <t>12/24</t>
  </si>
  <si>
    <t>12/25</t>
  </si>
  <si>
    <t>12/26</t>
  </si>
  <si>
    <t>12/27</t>
  </si>
  <si>
    <t>2024/01/02</t>
  </si>
  <si>
    <t>2024/01/03</t>
  </si>
  <si>
    <t>2024/01/04</t>
  </si>
  <si>
    <t>2024/01/05</t>
  </si>
  <si>
    <t>2024/01/06</t>
  </si>
  <si>
    <t>2024/01/08</t>
  </si>
  <si>
    <t>2024/01/09</t>
  </si>
  <si>
    <t>2024/01/10</t>
  </si>
  <si>
    <t>2024/01/11</t>
  </si>
  <si>
    <t>2024/01/12</t>
  </si>
  <si>
    <t>2024/01/13</t>
  </si>
  <si>
    <t>2024/01/15</t>
  </si>
  <si>
    <t>2024/01/16</t>
  </si>
  <si>
    <t>2024/01/17</t>
  </si>
  <si>
    <t>2024/01/18</t>
  </si>
  <si>
    <t>2024/01/19</t>
  </si>
  <si>
    <t>2024/01/20</t>
  </si>
  <si>
    <t>2024/01/22</t>
  </si>
  <si>
    <t>2024/01/23</t>
  </si>
  <si>
    <t>2024/01/24</t>
  </si>
  <si>
    <t>2024/01/25</t>
  </si>
  <si>
    <t>2024/01/26</t>
  </si>
  <si>
    <t>2024/01/27</t>
  </si>
  <si>
    <t>2024/01/29</t>
  </si>
  <si>
    <t>2024/01/30</t>
  </si>
  <si>
    <t>2024/01/31</t>
  </si>
  <si>
    <t>2024/02/01</t>
  </si>
  <si>
    <t>2024/02/02</t>
  </si>
  <si>
    <t>2024/02/05</t>
  </si>
  <si>
    <t>2024/02/06</t>
  </si>
  <si>
    <t>2024/02/07</t>
  </si>
  <si>
    <t>2024/02/15</t>
  </si>
  <si>
    <t>2024/02/16</t>
  </si>
  <si>
    <t>2024/02/17</t>
  </si>
  <si>
    <t>2024/02/19</t>
  </si>
  <si>
    <t>2024/02/20</t>
  </si>
  <si>
    <t>2024/02/21</t>
  </si>
  <si>
    <t>2024/02/22</t>
  </si>
  <si>
    <t>2024/02/23</t>
  </si>
  <si>
    <t>2024/02/24</t>
  </si>
  <si>
    <t>2024/02/26</t>
  </si>
  <si>
    <t>2024/02/27</t>
  </si>
  <si>
    <t>2024/02/28</t>
  </si>
  <si>
    <t>2024/02/29</t>
  </si>
  <si>
    <t>2024/03/01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</si>
  <si>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</si>
  <si>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</si>
  <si>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</si>
  <si>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</si>
  <si>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</si>
  <si>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</si>
  <si>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</si>
  <si>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</si>
  <si>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</si>
  <si>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</si>
  <si>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</si>
  <si>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</si>
  <si>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2024/03/20</t>
  </si>
  <si>
    <t>2024/03/21</t>
  </si>
  <si>
    <t>2024/03/22</t>
  </si>
  <si>
    <t>2024/03/25</t>
  </si>
  <si>
    <t>2024/03/26</t>
  </si>
  <si>
    <t>2024/03/27</t>
  </si>
  <si>
    <t>2024/03/28</t>
  </si>
  <si>
    <t>2024/03/29</t>
  </si>
  <si>
    <t>2024/04/01</t>
  </si>
  <si>
    <t>2024/04/02</t>
  </si>
  <si>
    <t>2024/04/03</t>
  </si>
  <si>
    <t>2024/04/08</t>
  </si>
  <si>
    <t>2024/04/09</t>
  </si>
  <si>
    <t>2024/04/10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</si>
  <si>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</si>
  <si>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</si>
  <si>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</si>
  <si>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</si>
  <si>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</si>
  <si>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</si>
  <si>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</si>
  <si>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</si>
  <si>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</si>
  <si>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</si>
  <si>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</si>
  <si>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</si>
  <si>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</si>
  <si>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</si>
  <si>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</si>
  <si>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</si>
  <si>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2024/05/06</t>
  </si>
  <si>
    <t>2024/05/07</t>
  </si>
  <si>
    <t>2024/05/08</t>
  </si>
  <si>
    <t>2024/05/09</t>
  </si>
  <si>
    <t>2024/05/10</t>
  </si>
  <si>
    <t>2024/05/13</t>
  </si>
  <si>
    <t>2024/05/14</t>
  </si>
  <si>
    <t>2024/05/15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</si>
  <si>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</si>
  <si>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</si>
  <si>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</si>
  <si>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</si>
  <si>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</si>
  <si>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</si>
  <si>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</si>
  <si>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</si>
  <si>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</si>
  <si>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</si>
  <si>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</si>
  <si>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</si>
  <si>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2024/06/01</t>
  </si>
  <si>
    <t>2024/06/03</t>
  </si>
  <si>
    <t>2024/06/04</t>
  </si>
  <si>
    <t>2024/06/05</t>
  </si>
  <si>
    <t>2024/06/06</t>
  </si>
  <si>
    <t>2024/06/07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</si>
  <si>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</si>
  <si>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</si>
  <si>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</si>
  <si>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</si>
  <si>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</si>
  <si>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</si>
  <si>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</si>
  <si>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</si>
  <si>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</si>
  <si>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</si>
  <si>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</si>
  <si>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</si>
  <si>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</si>
  <si>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</si>
  <si>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</si>
  <si>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</si>
  <si>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</si>
  <si>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</si>
  <si>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</si>
  <si>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</si>
  <si>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</si>
  <si>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</si>
  <si>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</si>
  <si>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</si>
  <si>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</si>
  <si>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</si>
  <si>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</si>
  <si>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</si>
  <si>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</si>
  <si>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</si>
  <si>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</si>
  <si>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</si>
  <si>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</si>
  <si>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</si>
  <si>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</si>
  <si>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</si>
  <si>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</si>
  <si>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</si>
  <si>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</si>
  <si>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</si>
  <si>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</si>
  <si>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</si>
  <si>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2024/10/03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</si>
  <si>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</si>
  <si>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</si>
  <si>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</si>
  <si>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</si>
  <si>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</si>
  <si>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</si>
  <si>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</si>
  <si>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</si>
  <si>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</si>
  <si>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</si>
  <si>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</si>
  <si>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</si>
  <si>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</si>
  <si>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</si>
  <si>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</si>
  <si>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</si>
  <si>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</si>
  <si>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</si>
  <si>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2024/10/31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</si>
  <si>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</si>
  <si>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</si>
  <si>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</si>
  <si>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</si>
  <si>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</si>
  <si>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</si>
  <si>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</si>
  <si>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</si>
  <si>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</si>
  <si>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</si>
  <si>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</si>
  <si>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</si>
  <si>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</si>
  <si>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</si>
  <si>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</si>
  <si>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</si>
  <si>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</si>
  <si>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</si>
  <si>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</si>
  <si>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</si>
  <si>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</si>
  <si>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</si>
  <si>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</si>
  <si>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</si>
  <si>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</si>
  <si>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</si>
  <si>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</si>
  <si>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</si>
  <si>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</si>
  <si>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</si>
  <si>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</si>
  <si>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</si>
  <si>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</si>
  <si>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</si>
  <si>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</si>
  <si>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</si>
  <si>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</si>
  <si>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</si>
  <si>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</si>
  <si>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</si>
  <si>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</si>
  <si>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</si>
  <si>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</si>
  <si>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D0115</t>
  </si>
  <si>
    <t>草莓蔓越莓餡(1*6KG)</t>
  </si>
  <si>
    <t>A3012</t>
  </si>
  <si>
    <t>檸檬藍莓醬1*260G</t>
  </si>
  <si>
    <t>1/6</t>
    <phoneticPr fontId="2" type="noConversion"/>
  </si>
  <si>
    <t>D2021美芝城100箱。D9920(18KG)*15桶</t>
    <phoneticPr fontId="2" type="noConversion"/>
  </si>
  <si>
    <t>1/7</t>
    <phoneticPr fontId="2" type="noConversion"/>
  </si>
  <si>
    <t>1/8</t>
    <phoneticPr fontId="2" type="noConversion"/>
  </si>
  <si>
    <t>1/9</t>
  </si>
  <si>
    <t>D9920(18KG)*85桶(2026.01.09)</t>
    <phoneticPr fontId="2" type="noConversion"/>
  </si>
  <si>
    <t>1/9</t>
    <phoneticPr fontId="2" type="noConversion"/>
  </si>
  <si>
    <t>1/10</t>
    <phoneticPr fontId="2" type="noConversion"/>
  </si>
  <si>
    <t>A3011足量9打(108瓶)</t>
    <phoneticPr fontId="2" type="noConversion"/>
  </si>
  <si>
    <t>D9920(18KG)*100桶(2026.01.10)</t>
    <phoneticPr fontId="2" type="noConversion"/>
  </si>
  <si>
    <t>2025/1/2</t>
    <phoneticPr fontId="2" type="noConversion"/>
  </si>
  <si>
    <t>2025/1/3</t>
    <phoneticPr fontId="2" type="noConversion"/>
  </si>
  <si>
    <t>2025/1/6</t>
    <phoneticPr fontId="2" type="noConversion"/>
  </si>
  <si>
    <t>2025/1/7</t>
  </si>
  <si>
    <t>2025/1/8</t>
  </si>
  <si>
    <t>2025/1/9</t>
  </si>
  <si>
    <t>2025/1/10</t>
  </si>
  <si>
    <t>2025/1/10</t>
    <phoneticPr fontId="2" type="noConversion"/>
  </si>
  <si>
    <t>2025Q1調整</t>
    <phoneticPr fontId="2" type="noConversion"/>
  </si>
  <si>
    <t>調降</t>
    <phoneticPr fontId="2" type="noConversion"/>
  </si>
  <si>
    <t>藍莓餡（大）(1*9.08kg)</t>
    <phoneticPr fontId="2" type="noConversion"/>
  </si>
  <si>
    <t>調降</t>
    <phoneticPr fontId="2" type="noConversion"/>
  </si>
  <si>
    <t>D0196</t>
    <phoneticPr fontId="8" type="noConversion"/>
  </si>
  <si>
    <t>檸檬餡(1*6Kg)</t>
    <phoneticPr fontId="2" type="noConversion"/>
  </si>
  <si>
    <t>金桔檸檬餡(福)(1*6Kg)</t>
    <phoneticPr fontId="2" type="noConversion"/>
  </si>
  <si>
    <t>調降</t>
    <phoneticPr fontId="2" type="noConversion"/>
  </si>
  <si>
    <t>佳樂美細花(1*340g)</t>
    <phoneticPr fontId="2" type="noConversion"/>
  </si>
  <si>
    <t>麥味登180箱。</t>
  </si>
  <si>
    <t>D2021美之城50箱。</t>
  </si>
  <si>
    <t>果餡調理糖多放20KG</t>
  </si>
  <si>
    <t>D9920(18kg)100桶</t>
    <phoneticPr fontId="2" type="noConversion"/>
  </si>
  <si>
    <t>加重工A2050</t>
  </si>
  <si>
    <t>加重工A2050</t>
    <phoneticPr fontId="2" type="noConversion"/>
  </si>
  <si>
    <t>E0121佳樂美200箱，加重工A2050</t>
    <phoneticPr fontId="2" type="noConversion"/>
  </si>
  <si>
    <t>加重工A2050</t>
    <phoneticPr fontId="2" type="noConversion"/>
  </si>
  <si>
    <t>D9921(18kg)*20桶，加重工A2050</t>
    <phoneticPr fontId="2" type="noConversion"/>
  </si>
  <si>
    <t>加重工D1410(1131218-02A)</t>
    <phoneticPr fontId="2" type="noConversion"/>
  </si>
  <si>
    <t>加重工A2050(1131115-01D)</t>
    <phoneticPr fontId="2" type="noConversion"/>
  </si>
  <si>
    <t>加重工A2050(1131115-01D)</t>
    <phoneticPr fontId="2" type="noConversion"/>
  </si>
  <si>
    <t>加重工A2050(1131115-01D)</t>
    <phoneticPr fontId="2" type="noConversion"/>
  </si>
  <si>
    <t>加重工B1011(1130130-01A)</t>
    <phoneticPr fontId="2" type="noConversion"/>
  </si>
  <si>
    <t>加重工A1032(1130219-01A)</t>
    <phoneticPr fontId="2" type="noConversion"/>
  </si>
  <si>
    <t>加重工A1032(1130219-01A)</t>
    <phoneticPr fontId="2" type="noConversion"/>
  </si>
  <si>
    <t>加退貨24包(加重工D0291(1130418-01B))</t>
    <phoneticPr fontId="2" type="noConversion"/>
  </si>
  <si>
    <t>加退貨64包(加重工D0291(1130418-01B))</t>
    <phoneticPr fontId="2" type="noConversion"/>
  </si>
  <si>
    <t>加退貨48包(加重工D0291(1130418-01B))</t>
    <phoneticPr fontId="2" type="noConversion"/>
  </si>
  <si>
    <t>加退貨71包(加重工D0291(1130418-01B))</t>
    <phoneticPr fontId="2" type="noConversion"/>
  </si>
  <si>
    <t>加重工D0114(1130918-01A)</t>
    <phoneticPr fontId="2" type="noConversion"/>
  </si>
  <si>
    <t>加重工A1040(1131113-01A)</t>
    <phoneticPr fontId="2" type="noConversion"/>
  </si>
  <si>
    <t>(加重工C1020(1130409-01A)</t>
    <phoneticPr fontId="2" type="noConversion"/>
  </si>
  <si>
    <t>加重工D0330(1130119-01B)</t>
    <phoneticPr fontId="2" type="noConversion"/>
  </si>
  <si>
    <t>加退貨36包(加重工D1130(1130603-01B)</t>
    <phoneticPr fontId="2" type="noConversion"/>
  </si>
  <si>
    <t>加退貨20包(加重工D1130(1130603-01B)</t>
    <phoneticPr fontId="2" type="noConversion"/>
  </si>
  <si>
    <t>麥味登180箱。</t>
    <phoneticPr fontId="2" type="noConversion"/>
  </si>
  <si>
    <t>F0011</t>
  </si>
  <si>
    <t>D2021美芝城100箱。</t>
    <phoneticPr fontId="2" type="noConversion"/>
  </si>
  <si>
    <t>E0120佳樂美200箱。</t>
    <phoneticPr fontId="2" type="noConversion"/>
  </si>
  <si>
    <t>D9920(18kg)*15桶</t>
    <phoneticPr fontId="2" type="noConversion"/>
  </si>
  <si>
    <t>E0121佳樂美*200箱</t>
    <phoneticPr fontId="2" type="noConversion"/>
  </si>
  <si>
    <t>D9921(18kg)*10桶</t>
    <phoneticPr fontId="2" type="noConversion"/>
  </si>
  <si>
    <t>KG</t>
  </si>
  <si>
    <t>成品數量為616，半成品紀錄為610</t>
    <phoneticPr fontId="2" type="noConversion"/>
  </si>
  <si>
    <t>D2231</t>
  </si>
  <si>
    <t>蜜桔皮(10kg/桶)</t>
    <phoneticPr fontId="2" type="noConversion"/>
  </si>
  <si>
    <t>D9920(18kg)*20桶</t>
    <phoneticPr fontId="2" type="noConversion"/>
  </si>
  <si>
    <t>研發</t>
  </si>
  <si>
    <t>A1040-1</t>
  </si>
  <si>
    <t>(研發測試草莓原料)</t>
  </si>
  <si>
    <t>白色PE袋勿印文字(貼標籤)</t>
    <phoneticPr fontId="2" type="noConversion"/>
  </si>
  <si>
    <t>A1040-1</t>
    <phoneticPr fontId="8" type="noConversion"/>
  </si>
  <si>
    <t>特級芒果蜜桃(佳)</t>
  </si>
  <si>
    <t>生產時間*人數</t>
    <phoneticPr fontId="2" type="noConversion"/>
  </si>
  <si>
    <t>D2021美芝城*100箱、D9920(18kg)*15桶</t>
    <phoneticPr fontId="2" type="noConversion"/>
  </si>
  <si>
    <t>D9921(18kg)*100桶</t>
    <phoneticPr fontId="2" type="noConversion"/>
  </si>
  <si>
    <t>特級藍莓(佳)</t>
  </si>
  <si>
    <t>重工數(kg)</t>
    <phoneticPr fontId="2" type="noConversion"/>
  </si>
  <si>
    <t>D1410-1</t>
  </si>
  <si>
    <t>草莓餡°(1*6KG)</t>
  </si>
  <si>
    <t>E0121佳樂美*200箱。</t>
    <phoneticPr fontId="2" type="noConversion"/>
  </si>
  <si>
    <t>E0120佳樂美*300箱。</t>
    <phoneticPr fontId="2" type="noConversion"/>
  </si>
  <si>
    <t>D2021美芝城*50箱、D9920(18kg)*30桶</t>
    <phoneticPr fontId="2" type="noConversion"/>
  </si>
  <si>
    <t>D9940</t>
  </si>
  <si>
    <t>關西錦山</t>
    <phoneticPr fontId="2" type="noConversion"/>
  </si>
  <si>
    <t>研發測試草莓原料。</t>
    <phoneticPr fontId="2" type="noConversion"/>
  </si>
  <si>
    <t>麥味登*180箱。</t>
    <phoneticPr fontId="2" type="noConversion"/>
  </si>
  <si>
    <t>D9940</t>
    <phoneticPr fontId="2" type="noConversion"/>
  </si>
  <si>
    <t>柑桔果醬450G</t>
  </si>
  <si>
    <t>特殊製程(2p)1140220-01B</t>
    <phoneticPr fontId="2" type="noConversion"/>
  </si>
  <si>
    <t>特殊製程(4p)1140220-01B</t>
    <phoneticPr fontId="2" type="noConversion"/>
  </si>
  <si>
    <t>特殊製程(1.5P)1140220-01B</t>
    <phoneticPr fontId="2" type="noConversion"/>
  </si>
  <si>
    <t>B3011-1</t>
  </si>
  <si>
    <t>測試蘋果丁。</t>
    <phoneticPr fontId="2" type="noConversion"/>
  </si>
  <si>
    <t>特殊製程(1140213-01A)</t>
    <phoneticPr fontId="2" type="noConversion"/>
  </si>
  <si>
    <t xml:space="preserve">1140401-01A  </t>
  </si>
  <si>
    <t>糖度超標(176包)</t>
    <phoneticPr fontId="2" type="noConversion"/>
  </si>
  <si>
    <t>D0191-2</t>
  </si>
  <si>
    <t>充填281g~285g</t>
    <phoneticPr fontId="2" type="noConversion"/>
  </si>
  <si>
    <t>此批裝NY箱、五惠板。</t>
    <phoneticPr fontId="2" type="noConversion"/>
  </si>
  <si>
    <t>特殊製程(1140213-01A)</t>
    <phoneticPr fontId="2" type="noConversion"/>
  </si>
  <si>
    <t>D9920(18kg)*50桶，特殊製程(1140213-01A)</t>
    <phoneticPr fontId="2" type="noConversion"/>
  </si>
  <si>
    <t>D9920(18KG)*20桶，特殊製程(1140213-01A)</t>
    <phoneticPr fontId="2" type="noConversion"/>
  </si>
  <si>
    <t>510</t>
  </si>
  <si>
    <t>525</t>
  </si>
  <si>
    <t>特殊製程(1140213-01A)</t>
    <phoneticPr fontId="2" type="noConversion"/>
  </si>
  <si>
    <t>D9920(18kg)*130桶，特殊製程(1140213-01A)。</t>
    <phoneticPr fontId="2" type="noConversion"/>
  </si>
  <si>
    <t>D2021美之城*100箱)，特殊製程(1140213-01A)</t>
    <phoneticPr fontId="2" type="noConversion"/>
  </si>
  <si>
    <t>B3020-1</t>
  </si>
  <si>
    <t>D9920(18kg)*60桶，特殊製程(1140213-01A)。</t>
    <phoneticPr fontId="2" type="noConversion"/>
  </si>
  <si>
    <t>D0140-1</t>
  </si>
  <si>
    <t>，白色印字NY袋。</t>
  </si>
  <si>
    <t>，麥味登180箱。</t>
  </si>
  <si>
    <t>D2010美芝城100箱</t>
    <phoneticPr fontId="2" type="noConversion"/>
  </si>
  <si>
    <t>D1520(290g)足量2403。
剩餘充A2040(340g)880。</t>
    <phoneticPr fontId="2" type="noConversion"/>
  </si>
  <si>
    <t>0</t>
  </si>
  <si>
    <t>(160kg/鍋)</t>
    <phoneticPr fontId="2" type="noConversion"/>
  </si>
  <si>
    <t>瓶器225cc醬菜瓶。</t>
    <phoneticPr fontId="2" type="noConversion"/>
  </si>
  <si>
    <t>特殊製程(1140213-01A)。</t>
    <phoneticPr fontId="2" type="noConversion"/>
  </si>
  <si>
    <t>花生醬(1*290g)</t>
    <phoneticPr fontId="2" type="noConversion"/>
  </si>
  <si>
    <t>C3020-2</t>
  </si>
  <si>
    <t>D9920(18kg)*100桶</t>
    <phoneticPr fontId="2" type="noConversion"/>
  </si>
  <si>
    <t>充填281g~285g</t>
    <phoneticPr fontId="2" type="noConversion"/>
  </si>
  <si>
    <t>充填281g~285g</t>
    <phoneticPr fontId="2" type="noConversion"/>
  </si>
  <si>
    <t>1140401-01D</t>
    <phoneticPr fontId="2" type="noConversion"/>
  </si>
  <si>
    <t>PE袋夾帶故障</t>
    <phoneticPr fontId="2" type="noConversion"/>
  </si>
  <si>
    <t>1140225-01D</t>
    <phoneticPr fontId="2" type="noConversion"/>
  </si>
  <si>
    <t>印製位置故障</t>
    <phoneticPr fontId="2" type="noConversion"/>
  </si>
  <si>
    <t xml:space="preserve">1140205-01D </t>
    <phoneticPr fontId="2" type="noConversion"/>
  </si>
  <si>
    <t>果醬充填殺菌釜操作面板故障</t>
    <phoneticPr fontId="2" type="noConversion"/>
  </si>
  <si>
    <t>1140117-01D</t>
    <phoneticPr fontId="2" type="noConversion"/>
  </si>
  <si>
    <t>PE袋充填機WHM224無法正常運作下午3:40左右PE袋充填機故障，原因:伺服器機異常，因無法及時排除異常故決議剩餘12p改週六生產。</t>
    <phoneticPr fontId="2" type="noConversion"/>
  </si>
  <si>
    <t xml:space="preserve">1140507- 01D
1140508-02A </t>
    <phoneticPr fontId="2" type="noConversion"/>
  </si>
  <si>
    <t>因玻璃瓶封蓋機發生故障
工務無法立即修好，產線已停，於15:25開始人工封蓋，2025/05/08製造課課長通報包裝班於進行小圓草封膜加熱處理時，發現封蓋機真空鈕異常跳起，導致瓶內失真空</t>
    <phoneticPr fontId="2" type="noConversion"/>
  </si>
  <si>
    <t>1140508-01A</t>
    <phoneticPr fontId="2" type="noConversion"/>
  </si>
  <si>
    <t>前一日（5月7日）推送裝有草莓原料的推車進入貨梯時，推車傾倒，造成1P草莓原料灑出</t>
    <phoneticPr fontId="2" type="noConversion"/>
  </si>
  <si>
    <t>1140507-01A</t>
    <phoneticPr fontId="2" type="noConversion"/>
  </si>
  <si>
    <t>約9:50發現第一趟、第二趟的D0122未加鹽</t>
    <phoneticPr fontId="2" type="noConversion"/>
  </si>
  <si>
    <t>1140506-01A</t>
    <phoneticPr fontId="2" type="noConversion"/>
  </si>
  <si>
    <t>日期噴印錯誤。初步估計有6個棧板的成品日期噴印錯誤(第2~7的棧板)</t>
    <phoneticPr fontId="2" type="noConversion"/>
  </si>
  <si>
    <t>1140502- 01 D
1140502-01A</t>
    <phoneticPr fontId="2" type="noConversion"/>
  </si>
  <si>
    <t>因PE袋充填機WHM224發生夾帶故障
作業人員得於操作倒料機過程中因操作不當，導致部分半成品自設備中傾瀉而出，灑落於地面</t>
    <phoneticPr fontId="2" type="noConversion"/>
  </si>
  <si>
    <t>1140429-01A</t>
    <phoneticPr fontId="2" type="noConversion"/>
  </si>
  <si>
    <t>入料槽操作時發生機械損壞事件。因刮板不慎遭機構捲入，造成滾壓袋子的捲軸斷裂，導致設備異常停機。</t>
    <phoneticPr fontId="2" type="noConversion"/>
  </si>
  <si>
    <t>1140425-01A</t>
    <phoneticPr fontId="2" type="noConversion"/>
  </si>
  <si>
    <t>114年04月25日上午，檢驗人員於進行例行檢驗時，發現前日生產之D0330(B)產品糖度偏高</t>
    <phoneticPr fontId="2" type="noConversion"/>
  </si>
  <si>
    <t>1140310-01A</t>
    <phoneticPr fontId="2" type="noConversion"/>
  </si>
  <si>
    <t>真空鍋花生溢出</t>
    <phoneticPr fontId="2" type="noConversion"/>
  </si>
  <si>
    <t xml:space="preserve">1140219-01A </t>
    <phoneticPr fontId="2" type="noConversion"/>
  </si>
  <si>
    <t>充填281g-285g，真空鍋花生醬溢出</t>
    <phoneticPr fontId="2" type="noConversion"/>
  </si>
  <si>
    <t>1140213-01A</t>
    <phoneticPr fontId="2" type="noConversion"/>
  </si>
  <si>
    <t xml:space="preserve"> 長柄握把破裂掉入攪拌槽</t>
    <phoneticPr fontId="2" type="noConversion"/>
  </si>
  <si>
    <t>花生醬(1*290g)</t>
    <phoneticPr fontId="2" type="noConversion"/>
  </si>
  <si>
    <t>花生醬(粒)(1*270g)</t>
    <phoneticPr fontId="2" type="noConversion"/>
  </si>
  <si>
    <t>麥味登*180箱。</t>
    <phoneticPr fontId="2" type="noConversion"/>
  </si>
  <si>
    <t>D9920(18kg)*70桶</t>
    <phoneticPr fontId="2" type="noConversion"/>
  </si>
  <si>
    <t>新配方。</t>
    <phoneticPr fontId="2" type="noConversion"/>
  </si>
  <si>
    <t>佳樂美200箱</t>
    <phoneticPr fontId="2" type="noConversion"/>
  </si>
  <si>
    <t>D0243</t>
  </si>
  <si>
    <t>D0231</t>
  </si>
  <si>
    <t>新品。</t>
    <phoneticPr fontId="2" type="noConversion"/>
  </si>
  <si>
    <t>D9920(18KG)*20桶，特殊製程(1140507-01A)。</t>
    <phoneticPr fontId="2" type="noConversion"/>
  </si>
  <si>
    <t>特殊製程(1140507-01A)。</t>
    <phoneticPr fontId="2" type="noConversion"/>
  </si>
  <si>
    <t>因WHM-242白桶封膜封蓋機約11:00發生故障，工務無法立即排除故障，討論決議更換舊設備來生產，因當下約有2P的藍莓餡延遲約1小時40分未充填重工。(C3080藍莓餡208公斤重工)</t>
    <phoneticPr fontId="2" type="noConversion"/>
  </si>
  <si>
    <t xml:space="preserve">1140606-01A </t>
    <phoneticPr fontId="2" type="noConversion"/>
  </si>
  <si>
    <t>1140604-01A</t>
    <phoneticPr fontId="2" type="noConversion"/>
  </si>
  <si>
    <t>因溝通不良誤倒白油導致缺料(未告之應倒入鐵桶內有沙拉油的鐵桶，故而倒錯未加沙拉油的鐵桶造成第三趟製程中沙拉油短少約7.5公斤。)</t>
    <phoneticPr fontId="2" type="noConversion"/>
  </si>
  <si>
    <t>1140526-01A</t>
    <phoneticPr fontId="2" type="noConversion"/>
  </si>
  <si>
    <t>D9921(18kg)*100桶， B2021入料人員有一趟少放一包鹽巴。</t>
    <phoneticPr fontId="2" type="noConversion"/>
  </si>
  <si>
    <t>芒果蜜桃醬(含桃丁)</t>
  </si>
  <si>
    <t>藍莓顆粒果醬(1*6kg)</t>
  </si>
  <si>
    <t>D2021美芝城*100箱(2027.06.10)</t>
    <phoneticPr fontId="2" type="noConversion"/>
  </si>
  <si>
    <t>6/13包裝</t>
    <phoneticPr fontId="2" type="noConversion"/>
  </si>
  <si>
    <t>D0115-1</t>
  </si>
  <si>
    <t>B1011-1</t>
  </si>
  <si>
    <t>C7020</t>
  </si>
  <si>
    <t>(舊)</t>
  </si>
  <si>
    <t>上好佳芒果餡(大)4.5KG</t>
  </si>
  <si>
    <t>2025/05/20包裝</t>
    <phoneticPr fontId="2" type="noConversion"/>
  </si>
  <si>
    <t>研發測試草莓原料。</t>
    <phoneticPr fontId="2" type="noConversion"/>
  </si>
  <si>
    <t>D2021美芝城*50箱，D9920(18kg)*25桶</t>
    <phoneticPr fontId="2" type="noConversion"/>
  </si>
  <si>
    <t>佳樂美E0121*200箱(2026.06.17)</t>
    <phoneticPr fontId="2" type="noConversion"/>
  </si>
  <si>
    <t>充填281g~285g</t>
    <phoneticPr fontId="2" type="noConversion"/>
  </si>
  <si>
    <t>D0731</t>
  </si>
  <si>
    <t>，白色印字NY袋(A12.B8)。</t>
  </si>
  <si>
    <t>，白色印字NY袋(A12.B12)。</t>
  </si>
  <si>
    <t>，白色印字NY袋(A8.B8)。</t>
  </si>
  <si>
    <t>特殊製程(1140429-01A)。</t>
    <phoneticPr fontId="2" type="noConversion"/>
  </si>
  <si>
    <t xml:space="preserve">1140618-01A </t>
    <phoneticPr fontId="2" type="noConversion"/>
  </si>
  <si>
    <t>晚上8:38分通報因泵浦軸封漏水滲漏到冰水熱交換機，導致花生充填管路無法充填。由於現場人員無法即時排除故障，故將剩餘放置在真空鍋未降溫餘料漏出，以鐵桶盛裝備妥，待下次重工使用。</t>
    <phoneticPr fontId="2" type="noConversion"/>
  </si>
  <si>
    <t>，D9920(18kg)*35桶(2026.07.08)</t>
  </si>
  <si>
    <t>麥味登180箱</t>
    <phoneticPr fontId="2" type="noConversion"/>
  </si>
  <si>
    <t>E0120佳樂美400箱</t>
    <phoneticPr fontId="2" type="noConversion"/>
  </si>
  <si>
    <t>充填281g~285g</t>
    <phoneticPr fontId="2" type="noConversion"/>
  </si>
  <si>
    <t>特殊製程(下市)</t>
    <phoneticPr fontId="2" type="noConversion"/>
  </si>
  <si>
    <t>特殊製程(1140401-01A)。</t>
    <phoneticPr fontId="2" type="noConversion"/>
  </si>
  <si>
    <t>特殊製程(1140618-01A)。</t>
    <phoneticPr fontId="2" type="noConversion"/>
  </si>
  <si>
    <t>特殊製程(1140618-01A)。</t>
    <phoneticPr fontId="2" type="noConversion"/>
  </si>
  <si>
    <t>D9920(18KG)*25桶，特殊製程(1140618-01A)。</t>
    <phoneticPr fontId="2" type="noConversion"/>
  </si>
  <si>
    <t>D2021美芝城*150箱、D9920(18kg)*55桶、特殊製程(1140213-01A)</t>
    <phoneticPr fontId="2" type="noConversion"/>
  </si>
  <si>
    <t>特殊製程(1140213-01A)</t>
    <phoneticPr fontId="2" type="noConversion"/>
  </si>
  <si>
    <t>D0350-1</t>
  </si>
  <si>
    <t>D2820</t>
  </si>
  <si>
    <t>裝箱</t>
    <phoneticPr fontId="2" type="noConversion"/>
  </si>
  <si>
    <t>F0020</t>
    <phoneticPr fontId="2" type="noConversion"/>
  </si>
  <si>
    <t>E0121佳樂美*200箱</t>
    <phoneticPr fontId="2" type="noConversion"/>
  </si>
  <si>
    <t>D9920(18kg)*30桶</t>
    <phoneticPr fontId="2" type="noConversion"/>
  </si>
  <si>
    <t>D2021美芝城*150箱</t>
    <phoneticPr fontId="2" type="noConversion"/>
  </si>
  <si>
    <t>蜜桔皮(10kg/桶)</t>
  </si>
  <si>
    <t>D0350-1</t>
    <phoneticPr fontId="2" type="noConversion"/>
  </si>
  <si>
    <t>糖蜜桔皮(1*3KG)</t>
  </si>
  <si>
    <t>D2820</t>
    <phoneticPr fontId="2" type="noConversion"/>
  </si>
  <si>
    <t>D0160</t>
  </si>
  <si>
    <t>特殊製程</t>
    <phoneticPr fontId="2" type="noConversion"/>
  </si>
  <si>
    <t>瓶器225cc醬菜瓶</t>
    <phoneticPr fontId="2" type="noConversion"/>
  </si>
  <si>
    <t>百香綠茶餡(1*6Kg)</t>
  </si>
  <si>
    <t>榛果醬</t>
  </si>
  <si>
    <t>柚皮糖</t>
  </si>
  <si>
    <t>花生醬(粒)(1*270g)</t>
  </si>
  <si>
    <t>蘋果寡糖果醬(260G)</t>
  </si>
  <si>
    <t>D9921(18kg)*10桶</t>
    <phoneticPr fontId="2" type="noConversion"/>
  </si>
  <si>
    <t>D9920(18kg)*50桶</t>
    <phoneticPr fontId="2" type="noConversion"/>
  </si>
  <si>
    <t>E0121佳樂美*200箱</t>
    <phoneticPr fontId="2" type="noConversion"/>
  </si>
  <si>
    <t>D9920(18kg)*50桶</t>
    <phoneticPr fontId="2" type="noConversion"/>
  </si>
  <si>
    <t>，D2010美芝城50箱(2026.08.06)</t>
  </si>
  <si>
    <t>，D9920(18kg)*35桶(2026.08.06)</t>
  </si>
  <si>
    <t>，E0120佳樂美*300箱(2026.08.08)</t>
  </si>
  <si>
    <t>，D2021美芝城*50箱</t>
  </si>
  <si>
    <t>，D9920(18kg)*50桶(2026.08.11)</t>
  </si>
  <si>
    <t>，D9921(18kg)*100桶(2026.08.12)</t>
  </si>
  <si>
    <t>，麥味登180箱</t>
  </si>
  <si>
    <t>2025/8/5包裝</t>
    <phoneticPr fontId="2" type="noConversion"/>
  </si>
  <si>
    <t>2025/8/12包裝</t>
    <phoneticPr fontId="2" type="noConversion"/>
  </si>
  <si>
    <t>2025/8/15包裝</t>
    <phoneticPr fontId="2" type="noConversion"/>
  </si>
  <si>
    <t>，E0121佳樂美300箱(2026.08.18)</t>
  </si>
  <si>
    <t>，生產90kg，特殊製程(4)，白色印字NY袋。。</t>
  </si>
  <si>
    <t>，D2021美芝城*50箱(2027.08.20)；D9920(18KG)20桶(2026.08.20)</t>
  </si>
  <si>
    <t>特殊製程(1140603-01A)。</t>
    <phoneticPr fontId="2" type="noConversion"/>
  </si>
  <si>
    <t>8/12早上約11:44分作業人員在進行投料作業前，球型真空鍋下料管路開關閥沒有關閉而造成膠體流失產生製程異常。                                            
現場遺漏之膠體已污染地面，須視同報廢膠體</t>
  </si>
  <si>
    <t>1140812-01A</t>
  </si>
  <si>
    <t>D9920*55桶</t>
    <phoneticPr fontId="2" type="noConversion"/>
  </si>
  <si>
    <t>D2021*50箱，D9920(18kg)*50桶</t>
    <phoneticPr fontId="2" type="noConversion"/>
  </si>
  <si>
    <t>E0120佳樂美*300箱)</t>
    <phoneticPr fontId="2" type="noConversion"/>
  </si>
  <si>
    <t>1140908-01A</t>
    <phoneticPr fontId="2" type="noConversion"/>
  </si>
  <si>
    <t>用電動拖車搬運鐵籠過程中，未將鐵籠安全門扣妥，導致鐵籠內之成品滑落至地面而受損，此次異常品數量約54罐</t>
    <phoneticPr fontId="2" type="noConversion"/>
  </si>
  <si>
    <t>特殊製程(1140812-01A)。</t>
    <phoneticPr fontId="2" type="noConversion"/>
  </si>
  <si>
    <t>麥味登 180箱</t>
    <phoneticPr fontId="2" type="noConversion"/>
  </si>
  <si>
    <t>充填281g~285g</t>
    <phoneticPr fontId="2" type="noConversion"/>
  </si>
  <si>
    <t>專案草莓醬</t>
  </si>
  <si>
    <t>，D2021*50箱D9920(18KG)*160桶</t>
    <phoneticPr fontId="2" type="noConversion"/>
  </si>
  <si>
    <t>D9920(18kg)*150桶，D2021美芝城*50箱</t>
    <phoneticPr fontId="2" type="noConversion"/>
  </si>
  <si>
    <t>D2021美芝城*50箱</t>
    <phoneticPr fontId="2" type="noConversion"/>
  </si>
  <si>
    <t>麥味登*180箱</t>
    <phoneticPr fontId="2" type="noConversion"/>
  </si>
  <si>
    <t>D9920(18kg)*20桶</t>
    <phoneticPr fontId="2" type="noConversion"/>
  </si>
  <si>
    <t>瓶器225cc醬菜瓶。</t>
    <phoneticPr fontId="2" type="noConversion"/>
  </si>
  <si>
    <t>D2010美芝城50箱</t>
    <phoneticPr fontId="2" type="noConversion"/>
  </si>
  <si>
    <t>D2021美芝城*50箱</t>
    <phoneticPr fontId="2" type="noConversion"/>
  </si>
  <si>
    <t>(5-7mm)</t>
    <phoneticPr fontId="2" type="noConversion"/>
  </si>
  <si>
    <t>糖蜜柚泥</t>
  </si>
  <si>
    <t>KG</t>
    <phoneticPr fontId="2" type="noConversion"/>
  </si>
  <si>
    <t>特殊製程</t>
    <phoneticPr fontId="2" type="noConversion"/>
  </si>
  <si>
    <t>D9920(18kg)*75桶</t>
    <phoneticPr fontId="2" type="noConversion"/>
  </si>
  <si>
    <t>麥味登180箱。</t>
    <phoneticPr fontId="2" type="noConversion"/>
  </si>
  <si>
    <t>充填281g~285g</t>
    <phoneticPr fontId="2" type="noConversion"/>
  </si>
  <si>
    <t>D2021美芝城*50箱</t>
    <phoneticPr fontId="2" type="noConversion"/>
  </si>
  <si>
    <t>1141029-01A</t>
    <phoneticPr fontId="2" type="noConversion"/>
  </si>
  <si>
    <t/>
  </si>
  <si>
    <t>D9920(18kg)*135桶</t>
    <phoneticPr fontId="2" type="noConversion"/>
  </si>
  <si>
    <t>D1521出貨足量1803(製造日期:S14K25)。</t>
    <phoneticPr fontId="2" type="noConversion"/>
  </si>
  <si>
    <t>D9921(18kg)*100桶</t>
    <phoneticPr fontId="2" type="noConversion"/>
  </si>
  <si>
    <t>D0820性狀太軟重工</t>
    <phoneticPr fontId="2" type="noConversion"/>
  </si>
  <si>
    <t>D1521</t>
    <phoneticPr fontId="2" type="noConversion"/>
  </si>
  <si>
    <t>D1521</t>
    <phoneticPr fontId="2" type="noConversion"/>
  </si>
  <si>
    <t>花生醬(粒)(1*290g)</t>
    <phoneticPr fontId="2" type="noConversion"/>
  </si>
  <si>
    <t>花生醬(粒)(1*290g)</t>
    <phoneticPr fontId="2" type="noConversion"/>
  </si>
  <si>
    <t>D0331</t>
  </si>
  <si>
    <t>(新品)</t>
  </si>
  <si>
    <t>D2021美芝城*50箱</t>
    <phoneticPr fontId="2" type="noConversion"/>
  </si>
  <si>
    <t>D0331</t>
    <phoneticPr fontId="8" type="noConversion"/>
  </si>
  <si>
    <t xml:space="preserve">1141117-01A </t>
    <phoneticPr fontId="2" type="noConversion"/>
  </si>
  <si>
    <t>D1521出貨足量1803(製造日期:S14K25)。第1趟產品開罐檢驗，性狀偏軟，未達預期硬度。</t>
    <phoneticPr fontId="2" type="noConversion"/>
  </si>
  <si>
    <t>(研發測試)</t>
  </si>
  <si>
    <t>(新)</t>
  </si>
  <si>
    <t>麥味登*180箱。</t>
    <phoneticPr fontId="2" type="noConversion"/>
  </si>
  <si>
    <t>D2021美芝城*100箱，D9920(18kg)*55桶</t>
    <phoneticPr fontId="2" type="noConversion"/>
  </si>
  <si>
    <t>E0120佳樂美*200箱+味榮D1520(290g)出貨足量241瓶(製造日期:S25K25)。</t>
    <phoneticPr fontId="2" type="noConversion"/>
  </si>
  <si>
    <t>E0121佳樂美*200箱</t>
    <phoneticPr fontId="2" type="noConversion"/>
  </si>
  <si>
    <t>D1520</t>
    <phoneticPr fontId="2" type="noConversion"/>
  </si>
  <si>
    <t>D9920(18kg)*25桶</t>
    <phoneticPr fontId="2" type="noConversion"/>
  </si>
  <si>
    <t>1141104-01A</t>
    <phoneticPr fontId="2" type="noConversion"/>
  </si>
  <si>
    <t>刀具掉入入料槽導致馬達故障</t>
    <phoneticPr fontId="2" type="noConversion"/>
  </si>
  <si>
    <t>果醬成品硬度偏軟</t>
    <phoneticPr fontId="2" type="noConversion"/>
  </si>
  <si>
    <t xml:space="preserve">1141208-01A </t>
    <phoneticPr fontId="2" type="noConversion"/>
  </si>
  <si>
    <t>包裝班於2025.11.28上午08:15通報，2025.12.11客戶要求不得有果皮，因此本批產品決定不出貨。異常數量147包(882公斤)依重工製程規範進入後續生產流程</t>
    <phoneticPr fontId="2" type="noConversion"/>
  </si>
  <si>
    <t>1140924-01B</t>
    <phoneticPr fontId="2" type="noConversion"/>
  </si>
  <si>
    <t>D9920(18kg)100桶</t>
    <phoneticPr fontId="2" type="noConversion"/>
  </si>
  <si>
    <t>D9920(18kg)25桶</t>
    <phoneticPr fontId="2" type="noConversion"/>
  </si>
  <si>
    <t>F0010</t>
    <phoneticPr fontId="2" type="noConversion"/>
  </si>
  <si>
    <t>F0020</t>
    <phoneticPr fontId="2" type="noConversion"/>
  </si>
  <si>
    <t>加糖檸檬皮</t>
    <phoneticPr fontId="2" type="noConversion"/>
  </si>
  <si>
    <t>加糖檸檬皮</t>
  </si>
  <si>
    <t>，瓶器225cc醬菜瓶。</t>
  </si>
  <si>
    <t>(貼誠成標籤)</t>
  </si>
  <si>
    <t>美芝城*50箱、D9920(18kg)*55桶</t>
    <phoneticPr fontId="2" type="noConversion"/>
  </si>
  <si>
    <t>E0120佳樂美300箱(紅蓋)，味榮(D1520)充填281g~286g出貨足量1801瓶</t>
    <phoneticPr fontId="2" type="noConversion"/>
  </si>
  <si>
    <t>，麥味登*360箱</t>
  </si>
  <si>
    <t>D9921(18kg)100桶</t>
    <phoneticPr fontId="2" type="noConversion"/>
  </si>
  <si>
    <t>D2010美芝城100箱</t>
    <phoneticPr fontId="2" type="noConversion"/>
  </si>
  <si>
    <t>D2021美芝城100箱；D9920(18kg)*65桶</t>
    <phoneticPr fontId="2" type="noConversion"/>
  </si>
  <si>
    <t>A2020-1</t>
  </si>
  <si>
    <t>，(5-7mm)</t>
  </si>
  <si>
    <t>，(A16.B12)。</t>
  </si>
  <si>
    <t>D1211</t>
    <phoneticPr fontId="2" type="noConversion"/>
  </si>
  <si>
    <t>D0310</t>
    <phoneticPr fontId="2" type="noConversion"/>
  </si>
  <si>
    <t>D0810</t>
    <phoneticPr fontId="2" type="noConversion"/>
  </si>
  <si>
    <t>C7010</t>
    <phoneticPr fontId="2" type="noConversion"/>
  </si>
  <si>
    <t>D0910</t>
    <phoneticPr fontId="2" type="noConversion"/>
  </si>
  <si>
    <t>D0113</t>
    <phoneticPr fontId="2" type="noConversion"/>
  </si>
  <si>
    <t>D0330</t>
    <phoneticPr fontId="2" type="noConversion"/>
  </si>
  <si>
    <t>D0111</t>
    <phoneticPr fontId="2" type="noConversion"/>
  </si>
  <si>
    <t>C3020</t>
    <phoneticPr fontId="2" type="noConversion"/>
  </si>
  <si>
    <t>B2021</t>
    <phoneticPr fontId="2" type="noConversion"/>
  </si>
  <si>
    <t>F0020</t>
    <phoneticPr fontId="2" type="noConversion"/>
  </si>
  <si>
    <t>D9921*121桶</t>
    <phoneticPr fontId="2" type="noConversion"/>
  </si>
  <si>
    <t>D9920*50桶</t>
    <phoneticPr fontId="2" type="noConversion"/>
  </si>
  <si>
    <t>A2040-1</t>
  </si>
  <si>
    <t>(紅蓋)(研發測試)</t>
  </si>
  <si>
    <t>(紅蓋)+E0120佳樂美(紅蓋)200箱(2027.01.12)</t>
  </si>
  <si>
    <t>(黃蓋)+E0121佳樂美(黃蓋)200箱(2027.01.12)</t>
  </si>
  <si>
    <t>A2040-1</t>
    <phoneticPr fontId="8" type="noConversion"/>
  </si>
  <si>
    <t>1150109-01A</t>
    <phoneticPr fontId="2" type="noConversion"/>
  </si>
  <si>
    <t>現場D0111暫行配方研發課未更新為最新版本，導致現場人員仍用舊版本進行製程，發現時已生產完畢。當下已全部投料無法作調整，因此之後需當重工品再使用</t>
    <phoneticPr fontId="2" type="noConversion"/>
  </si>
  <si>
    <t>(特殊製程)</t>
  </si>
  <si>
    <t>D9920(18kg)55桶</t>
    <phoneticPr fontId="2" type="noConversion"/>
  </si>
  <si>
    <t>麥味登180箱。</t>
    <phoneticPr fontId="2" type="noConversion"/>
  </si>
  <si>
    <t>東豐100包，其餘里仁。</t>
    <phoneticPr fontId="2" type="noConversion"/>
  </si>
  <si>
    <t>充填281g~285g</t>
    <phoneticPr fontId="2" type="noConversion"/>
  </si>
  <si>
    <t>D9920(18kg)*20桶</t>
    <phoneticPr fontId="2" type="noConversion"/>
  </si>
  <si>
    <t>，D9920(18kg)*20桶(2027.01.27)</t>
  </si>
  <si>
    <t>，D2021美芝城*50箱(2028.01.29)</t>
  </si>
  <si>
    <t>(NY箱*20個)</t>
  </si>
  <si>
    <t>日期</t>
    <phoneticPr fontId="2" type="noConversion"/>
  </si>
  <si>
    <t>，D2021美芝城*150箱。(2028.02.10)
D9920(18kg)*15桶(2027.02.10)</t>
  </si>
  <si>
    <t>，充填281g~285g</t>
  </si>
  <si>
    <t xml:space="preserve">1141208-01A </t>
  </si>
  <si>
    <t xml:space="preserve">1141208-01A </t>
    <phoneticPr fontId="2" type="noConversion"/>
  </si>
  <si>
    <t>1141003-01B</t>
    <phoneticPr fontId="2" type="noConversion"/>
  </si>
  <si>
    <t>1141003-01B</t>
    <phoneticPr fontId="2" type="noConversion"/>
  </si>
  <si>
    <t>1141003-01B</t>
    <phoneticPr fontId="2" type="noConversion"/>
  </si>
  <si>
    <t>1141003-01B</t>
    <phoneticPr fontId="2" type="noConversion"/>
  </si>
  <si>
    <t>1141003-01B</t>
    <phoneticPr fontId="2" type="noConversion"/>
  </si>
  <si>
    <t xml:space="preserve">1141208-01A </t>
    <phoneticPr fontId="2" type="noConversion"/>
  </si>
  <si>
    <t xml:space="preserve">1141107-01A </t>
    <phoneticPr fontId="2" type="noConversion"/>
  </si>
  <si>
    <t>1141001-02A</t>
    <phoneticPr fontId="2" type="noConversion"/>
  </si>
  <si>
    <t>1141001-02A</t>
    <phoneticPr fontId="2" type="noConversion"/>
  </si>
  <si>
    <t>1141029-01A</t>
    <phoneticPr fontId="2" type="noConversion"/>
  </si>
  <si>
    <t>270</t>
  </si>
  <si>
    <t>240</t>
  </si>
  <si>
    <t>435</t>
  </si>
  <si>
    <t>105</t>
  </si>
  <si>
    <t>570</t>
  </si>
  <si>
    <t>130</t>
  </si>
  <si>
    <t>125</t>
  </si>
  <si>
    <t>200</t>
  </si>
  <si>
    <t>185</t>
  </si>
  <si>
    <t>540</t>
  </si>
  <si>
    <t>545</t>
  </si>
  <si>
    <t>220</t>
  </si>
  <si>
    <t>280</t>
  </si>
  <si>
    <t>190</t>
  </si>
  <si>
    <t>310</t>
  </si>
  <si>
    <t>290</t>
  </si>
  <si>
    <t>255</t>
  </si>
  <si>
    <t>Z0001</t>
  </si>
  <si>
    <t>Z0002</t>
  </si>
  <si>
    <t>，D9920(18kg)*60桶(2027.03.02)</t>
  </si>
  <si>
    <t>，(A8.B8)。</t>
  </si>
  <si>
    <t>(黃蓋)</t>
  </si>
  <si>
    <t>(紅蓋)</t>
  </si>
  <si>
    <t>(常溫)</t>
  </si>
  <si>
    <t>，(7-9mm)</t>
  </si>
  <si>
    <t>，(A12.B12)。</t>
  </si>
  <si>
    <t>柑橘果醬(1*220G)</t>
  </si>
  <si>
    <t>柑橘果醬(1*6Kg)</t>
  </si>
  <si>
    <t>麥味登180箱(RP99空白箱)(2160瓶)</t>
    <phoneticPr fontId="2" type="noConversion"/>
  </si>
  <si>
    <t>D9921(18kg)* 10桶</t>
    <phoneticPr fontId="2" type="noConversion"/>
  </si>
  <si>
    <t>(冷凍)</t>
    <phoneticPr fontId="2" type="noConversion"/>
  </si>
  <si>
    <t>，D9921(18kg)*100桶(2027.03.10)</t>
  </si>
  <si>
    <t>，(A12.B8)。</t>
  </si>
  <si>
    <t>太軟785</t>
    <phoneticPr fontId="2" type="noConversion"/>
  </si>
  <si>
    <t>(非有機)</t>
  </si>
  <si>
    <t>(紅蓋)，E0120佳樂美400箱</t>
  </si>
  <si>
    <t>(黃蓋)，E0121佳樂美300箱</t>
  </si>
  <si>
    <t>，D2021美芝城50箱，D9920(18Kg)60桶(2027.03.18)</t>
  </si>
  <si>
    <t>，裝2箱#1顆花，其餘裝D9921(18kg)
(2027.03.19)</t>
  </si>
  <si>
    <t>Z1001</t>
  </si>
  <si>
    <t>桔光抹醬(1*190g)</t>
  </si>
  <si>
    <t>，D9920(18kg)25桶(2027.04.08)</t>
  </si>
  <si>
    <t>，D9921(18kg)30桶(2027.04.10)</t>
  </si>
  <si>
    <t>B2011</t>
    <phoneticPr fontId="2" type="noConversion"/>
  </si>
  <si>
    <t>D0141</t>
  </si>
  <si>
    <t>，D2021美芝城100箱。</t>
  </si>
  <si>
    <t>麥味登180箱(2160瓶)。</t>
  </si>
  <si>
    <t>，D9921(18kg)10桶(2027.04.17)</t>
  </si>
  <si>
    <t>白桃烏龍餡(1*6Kg)</t>
  </si>
  <si>
    <t>480</t>
  </si>
  <si>
    <t>237</t>
  </si>
  <si>
    <t>263</t>
  </si>
  <si>
    <t>282</t>
  </si>
  <si>
    <t>120</t>
  </si>
  <si>
    <t>103</t>
  </si>
  <si>
    <t>150</t>
  </si>
  <si>
    <t>205</t>
  </si>
  <si>
    <t>173</t>
  </si>
  <si>
    <t>155</t>
  </si>
  <si>
    <t>700</t>
  </si>
  <si>
    <t>210</t>
  </si>
  <si>
    <t>275</t>
  </si>
  <si>
    <t>295</t>
  </si>
  <si>
    <t>325</t>
  </si>
  <si>
    <t>490</t>
  </si>
  <si>
    <t>600</t>
  </si>
  <si>
    <t>450</t>
  </si>
  <si>
    <t>238</t>
  </si>
  <si>
    <t>250</t>
  </si>
  <si>
    <t>127</t>
  </si>
  <si>
    <t>140</t>
  </si>
  <si>
    <t>170</t>
  </si>
  <si>
    <t>165</t>
  </si>
  <si>
    <t>180</t>
  </si>
  <si>
    <t>720</t>
  </si>
  <si>
    <t>660</t>
  </si>
  <si>
    <t>298</t>
  </si>
  <si>
    <t>330</t>
  </si>
  <si>
    <t>360</t>
  </si>
  <si>
    <t>60</t>
  </si>
  <si>
    <t>75</t>
  </si>
  <si>
    <t>135</t>
  </si>
  <si>
    <t>160</t>
  </si>
  <si>
    <t>175</t>
  </si>
  <si>
    <t>300</t>
  </si>
  <si>
    <t>400</t>
  </si>
  <si>
    <t>390</t>
  </si>
  <si>
    <t>345</t>
  </si>
  <si>
    <t>145</t>
  </si>
  <si>
    <t>230</t>
  </si>
  <si>
    <t>443</t>
  </si>
  <si>
    <t>415</t>
  </si>
  <si>
    <t>285</t>
  </si>
  <si>
    <t>690</t>
  </si>
  <si>
    <t>410</t>
  </si>
  <si>
    <t>470</t>
  </si>
  <si>
    <t>340</t>
  </si>
  <si>
    <t>495</t>
  </si>
  <si>
    <t>420</t>
  </si>
  <si>
    <t>142</t>
  </si>
  <si>
    <t>128</t>
  </si>
  <si>
    <t>172</t>
  </si>
  <si>
    <t>138</t>
  </si>
  <si>
    <t>153</t>
  </si>
  <si>
    <t>286</t>
  </si>
  <si>
    <t>346</t>
  </si>
  <si>
    <t>224</t>
  </si>
  <si>
    <t>580</t>
  </si>
  <si>
    <t>520</t>
  </si>
  <si>
    <t>550</t>
  </si>
  <si>
    <t>380</t>
  </si>
  <si>
    <t>335</t>
  </si>
  <si>
    <t>215</t>
  </si>
  <si>
    <t>265</t>
  </si>
  <si>
    <t>320</t>
  </si>
  <si>
    <t>355</t>
  </si>
  <si>
    <t>235</t>
  </si>
  <si>
    <t>365</t>
  </si>
  <si>
    <t>635</t>
  </si>
  <si>
    <t>278</t>
  </si>
  <si>
    <t>348</t>
  </si>
  <si>
    <t>122</t>
  </si>
  <si>
    <t>245</t>
  </si>
  <si>
    <t>246</t>
  </si>
  <si>
    <t>264</t>
  </si>
  <si>
    <t>294</t>
  </si>
  <si>
    <t>630</t>
  </si>
  <si>
    <t>6300</t>
  </si>
  <si>
    <t>354</t>
  </si>
  <si>
    <t>414</t>
  </si>
  <si>
    <t>156</t>
  </si>
  <si>
    <t>385</t>
  </si>
  <si>
    <t>90</t>
  </si>
  <si>
    <t>178</t>
  </si>
  <si>
    <t>110</t>
  </si>
  <si>
    <t>152</t>
  </si>
  <si>
    <t>260</t>
  </si>
  <si>
    <t>225</t>
  </si>
  <si>
    <t>750</t>
  </si>
  <si>
    <t>192</t>
  </si>
  <si>
    <t>375</t>
  </si>
  <si>
    <t>378</t>
  </si>
  <si>
    <t>98</t>
  </si>
  <si>
    <t>100</t>
  </si>
  <si>
    <t>202</t>
  </si>
  <si>
    <t>232</t>
  </si>
  <si>
    <t>143</t>
  </si>
  <si>
    <t>197</t>
  </si>
  <si>
    <t>195</t>
  </si>
  <si>
    <t>840</t>
  </si>
  <si>
    <t>332</t>
  </si>
  <si>
    <t>362</t>
  </si>
  <si>
    <t>530</t>
  </si>
  <si>
    <t>322</t>
  </si>
  <si>
    <t>188</t>
  </si>
  <si>
    <t>119</t>
  </si>
  <si>
    <t>321</t>
  </si>
  <si>
    <t>351</t>
  </si>
  <si>
    <t>315</t>
  </si>
  <si>
    <t>395</t>
  </si>
  <si>
    <t>430</t>
  </si>
  <si>
    <t>83</t>
  </si>
  <si>
    <t>95</t>
  </si>
  <si>
    <t>445</t>
  </si>
  <si>
    <t>186</t>
  </si>
  <si>
    <t>324</t>
  </si>
  <si>
    <t>392</t>
  </si>
  <si>
    <t>88</t>
  </si>
  <si>
    <t>118</t>
  </si>
  <si>
    <t>114</t>
  </si>
  <si>
    <t>106</t>
  </si>
  <si>
    <t>146</t>
  </si>
  <si>
    <t>350</t>
  </si>
  <si>
    <t>116</t>
  </si>
  <si>
    <t>84</t>
  </si>
  <si>
    <t>134</t>
  </si>
  <si>
    <t>555</t>
  </si>
  <si>
    <t>80</t>
  </si>
  <si>
    <t>221</t>
  </si>
  <si>
    <t>349</t>
  </si>
  <si>
    <t>117</t>
  </si>
  <si>
    <t>148</t>
  </si>
  <si>
    <t>208</t>
  </si>
  <si>
    <t>308</t>
  </si>
  <si>
    <t>338</t>
  </si>
  <si>
    <t>585</t>
  </si>
  <si>
    <t>218</t>
  </si>
  <si>
    <t>82</t>
  </si>
  <si>
    <t>182</t>
  </si>
  <si>
    <t>352</t>
  </si>
  <si>
    <t>248</t>
  </si>
  <si>
    <t>277</t>
  </si>
  <si>
    <t>382</t>
  </si>
  <si>
    <t>144</t>
  </si>
  <si>
    <t>174</t>
  </si>
  <si>
    <t>102</t>
  </si>
  <si>
    <t>283</t>
  </si>
  <si>
    <t>121</t>
  </si>
  <si>
    <t>164</t>
  </si>
  <si>
    <t>70</t>
  </si>
  <si>
    <t>58</t>
  </si>
  <si>
    <t>30</t>
  </si>
  <si>
    <t>323</t>
  </si>
  <si>
    <t>107</t>
  </si>
  <si>
    <t>55</t>
  </si>
  <si>
    <t>68</t>
  </si>
  <si>
    <t>258</t>
  </si>
  <si>
    <t>158</t>
  </si>
  <si>
    <t>147</t>
  </si>
  <si>
    <t>434</t>
  </si>
  <si>
    <t>465</t>
  </si>
  <si>
    <t>464</t>
  </si>
  <si>
    <t>455</t>
  </si>
  <si>
    <t>425</t>
  </si>
  <si>
    <t>115</t>
  </si>
  <si>
    <t>372</t>
  </si>
  <si>
    <t>440</t>
  </si>
  <si>
    <t>168</t>
  </si>
  <si>
    <t>368</t>
  </si>
  <si>
    <t>18</t>
  </si>
  <si>
    <t>40</t>
  </si>
  <si>
    <t>52</t>
  </si>
  <si>
    <t>500</t>
  </si>
  <si>
    <t>305</t>
  </si>
  <si>
    <t>196</t>
  </si>
  <si>
    <t>293</t>
  </si>
  <si>
    <t>141</t>
  </si>
  <si>
    <t>201</t>
  </si>
  <si>
    <t>370</t>
  </si>
  <si>
    <t>61</t>
  </si>
  <si>
    <t>65</t>
  </si>
  <si>
    <t>409</t>
  </si>
  <si>
    <t>183</t>
  </si>
  <si>
    <t>243</t>
  </si>
  <si>
    <t>92</t>
  </si>
  <si>
    <t>15</t>
  </si>
  <si>
    <t>48</t>
  </si>
  <si>
    <t>176</t>
  </si>
  <si>
    <t>184</t>
  </si>
  <si>
    <t>207</t>
  </si>
  <si>
    <t>199</t>
  </si>
  <si>
    <t>267</t>
  </si>
  <si>
    <t>187</t>
  </si>
  <si>
    <t>219</t>
  </si>
  <si>
    <t>269</t>
  </si>
  <si>
    <t>407</t>
  </si>
  <si>
    <t>163</t>
  </si>
  <si>
    <t>191</t>
  </si>
  <si>
    <t>139</t>
  </si>
  <si>
    <t>78</t>
  </si>
  <si>
    <t>417</t>
  </si>
  <si>
    <t>460</t>
  </si>
  <si>
    <t>123</t>
  </si>
  <si>
    <t>318</t>
  </si>
  <si>
    <t>-545</t>
  </si>
  <si>
    <t>485</t>
  </si>
  <si>
    <t>194</t>
  </si>
  <si>
    <t>376</t>
  </si>
  <si>
    <t>357</t>
  </si>
  <si>
    <t>292</t>
  </si>
  <si>
    <t>214</t>
  </si>
  <si>
    <t>236</t>
  </si>
  <si>
    <t>101</t>
  </si>
  <si>
    <t>379</t>
  </si>
  <si>
    <t>316</t>
  </si>
  <si>
    <t>222</t>
  </si>
  <si>
    <t>254</t>
  </si>
  <si>
    <t>154</t>
  </si>
  <si>
    <t>228</t>
  </si>
  <si>
    <t>49</t>
  </si>
  <si>
    <t>50</t>
  </si>
  <si>
    <t>94</t>
  </si>
  <si>
    <t>149</t>
  </si>
  <si>
    <t>151</t>
  </si>
  <si>
    <t>342</t>
  </si>
  <si>
    <t>167</t>
  </si>
  <si>
    <t>223</t>
  </si>
  <si>
    <t>216</t>
  </si>
  <si>
    <t>108</t>
  </si>
  <si>
    <t>233</t>
  </si>
  <si>
    <t>234</t>
  </si>
  <si>
    <t>276</t>
  </si>
  <si>
    <t>66</t>
  </si>
  <si>
    <t>96</t>
  </si>
  <si>
    <t>405</t>
  </si>
  <si>
    <t>126</t>
  </si>
  <si>
    <t>364</t>
  </si>
  <si>
    <t>112</t>
  </si>
  <si>
    <t>413</t>
  </si>
  <si>
    <t>109</t>
  </si>
  <si>
    <t>76</t>
  </si>
  <si>
    <t>85</t>
  </si>
  <si>
    <t>97</t>
  </si>
  <si>
    <t>39</t>
  </si>
  <si>
    <t>16</t>
  </si>
  <si>
    <t>54</t>
  </si>
  <si>
    <t>136</t>
  </si>
  <si>
    <t>74</t>
  </si>
  <si>
    <t>313</t>
  </si>
  <si>
    <t>132</t>
  </si>
  <si>
    <t>162</t>
  </si>
  <si>
    <t>266</t>
  </si>
  <si>
    <t>86</t>
  </si>
  <si>
    <t>157</t>
  </si>
  <si>
    <t>93</t>
  </si>
  <si>
    <t>137</t>
  </si>
  <si>
    <t>393</t>
  </si>
  <si>
    <t>423</t>
  </si>
  <si>
    <t>87</t>
  </si>
  <si>
    <t>366</t>
  </si>
  <si>
    <t>331</t>
  </si>
  <si>
    <t>361</t>
  </si>
  <si>
    <t>780</t>
  </si>
  <si>
    <t>257</t>
  </si>
  <si>
    <t>307</t>
  </si>
  <si>
    <t>113</t>
  </si>
  <si>
    <t>344</t>
  </si>
  <si>
    <t>77</t>
  </si>
  <si>
    <t>404</t>
  </si>
  <si>
    <t>610</t>
  </si>
  <si>
    <t>217</t>
  </si>
  <si>
    <t>262</t>
  </si>
  <si>
    <t>212</t>
  </si>
  <si>
    <t>242</t>
  </si>
  <si>
    <t>229</t>
  </si>
  <si>
    <t>279</t>
  </si>
  <si>
    <t>193</t>
  </si>
  <si>
    <t>1020</t>
  </si>
  <si>
    <t>327</t>
  </si>
  <si>
    <t>273</t>
  </si>
  <si>
    <t>179</t>
  </si>
  <si>
    <t>166</t>
  </si>
  <si>
    <t>560</t>
  </si>
  <si>
    <t>565</t>
  </si>
  <si>
    <t>256</t>
  </si>
  <si>
    <t>326</t>
  </si>
  <si>
    <t>356</t>
  </si>
  <si>
    <t>227</t>
  </si>
  <si>
    <t>203</t>
  </si>
  <si>
    <t>133</t>
  </si>
  <si>
    <t>302</t>
  </si>
  <si>
    <t>645</t>
  </si>
  <si>
    <t>625</t>
  </si>
  <si>
    <t>161</t>
  </si>
  <si>
    <t>341</t>
  </si>
  <si>
    <t>268</t>
  </si>
  <si>
    <t>328</t>
  </si>
  <si>
    <t>402</t>
  </si>
  <si>
    <t>312</t>
  </si>
  <si>
    <t>650</t>
  </si>
  <si>
    <t>99</t>
  </si>
  <si>
    <t>640</t>
  </si>
  <si>
    <t>296</t>
  </si>
  <si>
    <t>10</t>
  </si>
  <si>
    <t>62</t>
  </si>
  <si>
    <t>505</t>
  </si>
  <si>
    <t>317</t>
  </si>
  <si>
    <t>198</t>
  </si>
  <si>
    <t>388</t>
  </si>
  <si>
    <t>448</t>
  </si>
  <si>
    <t>406</t>
  </si>
  <si>
    <t>124</t>
  </si>
  <si>
    <t>247</t>
  </si>
  <si>
    <t>575</t>
  </si>
  <si>
    <t>329</t>
  </si>
  <si>
    <t>359</t>
  </si>
  <si>
    <t>655</t>
  </si>
  <si>
    <t>665</t>
  </si>
  <si>
    <t>79</t>
  </si>
  <si>
    <t>590</t>
  </si>
  <si>
    <t>515</t>
  </si>
  <si>
    <t>620</t>
  </si>
  <si>
    <t>615</t>
  </si>
  <si>
    <t>475</t>
  </si>
  <si>
    <t>288</t>
  </si>
  <si>
    <t>89</t>
  </si>
  <si>
    <t>605</t>
  </si>
  <si>
    <t>595</t>
  </si>
  <si>
    <t>398</t>
  </si>
  <si>
    <t>239</t>
  </si>
  <si>
    <t>213</t>
  </si>
  <si>
    <t>297</t>
  </si>
  <si>
    <t>177</t>
  </si>
  <si>
    <t>303</t>
  </si>
  <si>
    <t>333</t>
  </si>
  <si>
    <t>64</t>
  </si>
  <si>
    <t>535</t>
  </si>
  <si>
    <t>472</t>
  </si>
  <si>
    <t>532</t>
  </si>
  <si>
    <t>319</t>
  </si>
  <si>
    <t>53</t>
  </si>
  <si>
    <t>171</t>
  </si>
  <si>
    <t>304</t>
  </si>
  <si>
    <t>301</t>
  </si>
  <si>
    <t>91</t>
  </si>
  <si>
    <t>373</t>
  </si>
  <si>
    <t>433</t>
  </si>
  <si>
    <t>287</t>
  </si>
  <si>
    <t>347</t>
  </si>
  <si>
    <t>377</t>
  </si>
  <si>
    <t>428</t>
  </si>
  <si>
    <t>314</t>
  </si>
  <si>
    <t>226</t>
  </si>
  <si>
    <t>261</t>
  </si>
  <si>
    <t>73</t>
  </si>
  <si>
    <t>241</t>
  </si>
  <si>
    <t>271</t>
  </si>
  <si>
    <t>272</t>
  </si>
  <si>
    <t>336</t>
  </si>
  <si>
    <t>358</t>
  </si>
  <si>
    <t>63</t>
  </si>
  <si>
    <t>442</t>
  </si>
  <si>
    <t>129</t>
  </si>
  <si>
    <t>111</t>
  </si>
  <si>
    <t>33</t>
  </si>
  <si>
    <t>291</t>
  </si>
  <si>
    <t>284</t>
  </si>
  <si>
    <t>7</t>
  </si>
  <si>
    <t>289</t>
  </si>
  <si>
    <t>159</t>
  </si>
  <si>
    <t>47</t>
  </si>
  <si>
    <t>104</t>
  </si>
  <si>
    <t>343</t>
  </si>
  <si>
    <t>339</t>
  </si>
  <si>
    <t>D0174</t>
  </si>
  <si>
    <t>楊枝甘露餡(1*6Kg)</t>
  </si>
  <si>
    <t>D0820-1</t>
  </si>
  <si>
    <t>(油脂測試)</t>
  </si>
  <si>
    <t>D2010美芝城*50箱。</t>
    <phoneticPr fontId="2" type="noConversion"/>
  </si>
  <si>
    <t>D0820-1</t>
    <phoneticPr fontId="8" type="noConversion"/>
  </si>
  <si>
    <t>D0133</t>
  </si>
  <si>
    <t>D0133</t>
    <phoneticPr fontId="8" type="noConversion"/>
  </si>
  <si>
    <t>1150427-01A</t>
    <phoneticPr fontId="2" type="noConversion"/>
  </si>
  <si>
    <t>A3010小藍莓醬於生產調理過中，原預定投料比例為完整顆粒藍莓48公斤及切碎藍莓92公斤。惟作業人員於投料時誤投，實際投料比例誤為完整顆粒藍莓96公斤及切碎藍莓46公斤，與標準配方不符，致使產品配比異常。</t>
    <phoneticPr fontId="2" type="noConversion"/>
  </si>
  <si>
    <t>1150421-01A</t>
    <phoneticPr fontId="2" type="noConversion"/>
  </si>
  <si>
    <t>D0122福比花生醬砂糖重量投料錯誤(應投入19kg、誤投21kg)</t>
    <phoneticPr fontId="2" type="noConversion"/>
  </si>
  <si>
    <t>1150430-01A</t>
    <phoneticPr fontId="2" type="noConversion"/>
  </si>
  <si>
    <t>2026/04/30(10:00)測試製程性狀太稀，製造課長已與研發討論，不進行充填。(4鍋/半成品60罐/鐵桶裝16桶共244kg)</t>
    <phoneticPr fontId="2" type="noConversion"/>
  </si>
  <si>
    <t>1150130-01A</t>
    <phoneticPr fontId="2" type="noConversion"/>
  </si>
  <si>
    <t>膠體流失約15kg</t>
    <phoneticPr fontId="2" type="noConversion"/>
  </si>
  <si>
    <t>，D2021美芝城50箱，D9920(18kg)20桶(2027.04.02)</t>
  </si>
  <si>
    <t>，瓶器225cc醬菜瓶。(含測試4p)</t>
  </si>
  <si>
    <t>，充填281g~285g。</t>
  </si>
  <si>
    <t>E0120佳樂美*200箱。</t>
    <phoneticPr fontId="2" type="noConversion"/>
  </si>
  <si>
    <t>E0120佳樂美*100箱。</t>
    <phoneticPr fontId="2" type="noConversion"/>
  </si>
  <si>
    <t>E0121佳樂美*300箱</t>
    <phoneticPr fontId="2" type="noConversion"/>
  </si>
  <si>
    <t>D9920(18kg)55桶</t>
    <phoneticPr fontId="2" type="noConversion"/>
  </si>
  <si>
    <t>麥味登*180箱(2160瓶)</t>
  </si>
  <si>
    <t>D9920(18kg)*110桶；D2021美芝城150箱</t>
    <phoneticPr fontId="2" type="noConversion"/>
  </si>
  <si>
    <t>，D2010美芝城*50箱。</t>
  </si>
  <si>
    <t>，麥味登360箱(4320瓶)</t>
  </si>
  <si>
    <t>D0991</t>
    <phoneticPr fontId="2" type="noConversion"/>
  </si>
  <si>
    <t>，D9920(18kg)65桶</t>
    <phoneticPr fontId="2" type="noConversion"/>
  </si>
  <si>
    <t>D0195-1</t>
  </si>
  <si>
    <t>D0390</t>
  </si>
  <si>
    <t>C1030</t>
  </si>
  <si>
    <t>C7021</t>
  </si>
  <si>
    <t>，(D2021美芝城*50箱)</t>
  </si>
  <si>
    <t>(紅蓋)E0120佳樂美300箱</t>
  </si>
  <si>
    <t>暫存配方
回收時間</t>
    <phoneticPr fontId="2" type="noConversion"/>
  </si>
  <si>
    <t>暫存配方
領取時間</t>
    <phoneticPr fontId="2" type="noConversion"/>
  </si>
  <si>
    <t>領料單(調)
交回時間</t>
    <phoneticPr fontId="2" type="noConversion"/>
  </si>
  <si>
    <t>C1030</t>
    <phoneticPr fontId="8" type="noConversion"/>
  </si>
  <si>
    <t>上好佳綜合莓餡4.5KG</t>
    <phoneticPr fontId="2" type="noConversion"/>
  </si>
  <si>
    <t>上好佳草莓餡4.5KG</t>
    <phoneticPr fontId="2" type="noConversion"/>
  </si>
  <si>
    <t>C7021</t>
    <phoneticPr fontId="2" type="noConversion"/>
  </si>
  <si>
    <t>C3081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</si>
  <si>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</si>
  <si>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</si>
  <si>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</si>
  <si>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</si>
  <si>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</si>
  <si>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</si>
  <si>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，D9920(18kg)*65桶</t>
    <phoneticPr fontId="2" type="noConversion"/>
  </si>
  <si>
    <t>化應子(1*2.5KG)</t>
  </si>
  <si>
    <t>鳳梨芒果百香果醬</t>
  </si>
  <si>
    <t>桑葚果粒茶</t>
  </si>
  <si>
    <t>草莓果醬</t>
  </si>
  <si>
    <t>-</t>
    <phoneticPr fontId="2" type="noConversion"/>
  </si>
  <si>
    <t>C5020</t>
  </si>
  <si>
    <t>，麥味登90箱(1080瓶)</t>
  </si>
  <si>
    <t>(黃蓋)E0121佳樂美*200箱</t>
  </si>
  <si>
    <t>，充填281g~285g(瓶器285cc輕十二角瓶)</t>
  </si>
  <si>
    <t>C5020</t>
    <phoneticPr fontId="8" type="noConversion"/>
  </si>
  <si>
    <t>上好佳芒果餡(大)4.5KG</t>
    <phoneticPr fontId="2" type="noConversion"/>
  </si>
  <si>
    <t>上好佳柳橙餡4.5KG</t>
  </si>
  <si>
    <t>上好佳柳橙餡4.5KG</t>
    <phoneticPr fontId="2" type="noConversion"/>
  </si>
  <si>
    <t>超過
天數(調)</t>
    <phoneticPr fontId="2" type="noConversion"/>
  </si>
  <si>
    <t>超過
天數(充)</t>
    <phoneticPr fontId="2" type="noConversion"/>
  </si>
  <si>
    <t>-</t>
    <phoneticPr fontId="2" type="noConversion"/>
  </si>
  <si>
    <t>-</t>
    <phoneticPr fontId="2" type="noConversion"/>
  </si>
  <si>
    <t>上好佳草莓餡4.5KG</t>
  </si>
  <si>
    <t>2024/10/08</t>
    <phoneticPr fontId="2" type="noConversion"/>
  </si>
  <si>
    <t>F0020</t>
    <phoneticPr fontId="2" type="noConversion"/>
  </si>
  <si>
    <t>D0134</t>
  </si>
  <si>
    <t>，D9920(18KG)*60桶</t>
    <phoneticPr fontId="2" type="noConversion"/>
  </si>
  <si>
    <t>，D2021美芝城100箱，D9920(18KG)60桶</t>
    <phoneticPr fontId="2" type="noConversion"/>
  </si>
  <si>
    <t>，D9921(18kg)*100桶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</si>
  <si>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</si>
  <si>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</si>
  <si>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</si>
  <si>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</si>
  <si>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D2712</t>
  </si>
  <si>
    <t>D2712</t>
    <phoneticPr fontId="2" type="noConversion"/>
  </si>
  <si>
    <t>草莓果醬(1*6KG)</t>
  </si>
  <si>
    <t>B2011</t>
    <phoneticPr fontId="2" type="noConversion"/>
  </si>
  <si>
    <t>C1010</t>
    <phoneticPr fontId="2" type="noConversion"/>
  </si>
  <si>
    <t>7/1收到半成品入庫單，6/30已進行包裝</t>
    <phoneticPr fontId="2" type="noConversion"/>
  </si>
  <si>
    <t>D2712</t>
    <phoneticPr fontId="2" type="noConversion"/>
  </si>
  <si>
    <t>-</t>
    <phoneticPr fontId="2" type="noConversion"/>
  </si>
  <si>
    <t>C3081</t>
  </si>
  <si>
    <t>Z2001</t>
  </si>
  <si>
    <t>藍莓果醬</t>
  </si>
  <si>
    <t>-</t>
    <phoneticPr fontId="2" type="noConversion"/>
  </si>
  <si>
    <t>-</t>
    <phoneticPr fontId="2" type="noConversion"/>
  </si>
  <si>
    <t>D9920*15桶</t>
    <phoneticPr fontId="2" type="noConversion"/>
  </si>
  <si>
    <t>-</t>
    <phoneticPr fontId="2" type="noConversion"/>
  </si>
  <si>
    <t>Z3001</t>
  </si>
  <si>
    <t>，D9920(18KG)*20桶(2027.07.14)、D2021*100箱(2028.07.14)</t>
  </si>
  <si>
    <t>-</t>
    <phoneticPr fontId="2" type="noConversion"/>
  </si>
  <si>
    <t>7/1包裝180kg(211)+6/1生產31KG、7/9包裝312KG</t>
    <phoneticPr fontId="2" type="noConversion"/>
  </si>
  <si>
    <t>-</t>
    <phoneticPr fontId="2" type="noConversion"/>
  </si>
  <si>
    <t>-</t>
    <phoneticPr fontId="2" type="noConversion"/>
  </si>
  <si>
    <t>D2712</t>
    <phoneticPr fontId="2" type="noConversion"/>
  </si>
  <si>
    <t>鳳梨果茶醬(1*210G)</t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</si>
  <si>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</si>
  <si>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</si>
  <si>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</si>
  <si>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</si>
  <si>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</si>
  <si>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</si>
  <si>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，D9920(18kg)*70桶(2027.07.20)</t>
  </si>
  <si>
    <t>(待出貨通知後裝箱)</t>
  </si>
  <si>
    <t>(紅蓋)
E0120佳樂美300箱(2027.07.17)</t>
    <phoneticPr fontId="2" type="noConversion"/>
  </si>
  <si>
    <t xml:space="preserve">，A2050(黃蓋)不足使用(紅蓋)
E0121佳樂美(紅蓋)300箱(2027.07.17) 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</si>
  <si>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</si>
  <si>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</si>
  <si>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</si>
  <si>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</si>
  <si>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</si>
  <si>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</si>
  <si>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</si>
  <si>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*</t>
  </si>
  <si>
    <t>，D2021*50箱(2028.07.29)；D9920*20桶(2027.07.29)</t>
  </si>
  <si>
    <t>(紅蓋)分裝味榮(D1520)(細)(充填281g~285g)出貨足量1201瓶(製造日期:S30G26)剩餘充A2040。</t>
  </si>
  <si>
    <t>(紅蓋)分裝味榮(D1521)(顆)(充填281g~285g)出貨足量1201瓶(製造日期:S30G26)剩餘充A2060。</t>
  </si>
  <si>
    <t>分裝麥味登180箱(2160瓶)(RP99空白箱)</t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</si>
  <si>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</si>
  <si>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</si>
  <si>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</si>
  <si>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</si>
  <si>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</si>
  <si>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</si>
  <si>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</si>
  <si>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</si>
  <si>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</si>
  <si>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</si>
  <si>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</si>
  <si>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B5011-1</t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</si>
  <si>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</si>
  <si>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</si>
  <si>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</si>
  <si>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</si>
  <si>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B5011-1</t>
    <phoneticPr fontId="2" type="noConversion"/>
  </si>
  <si>
    <t>-</t>
    <phoneticPr fontId="2" type="noConversion"/>
  </si>
  <si>
    <t>-</t>
    <phoneticPr fontId="2" type="noConversion"/>
  </si>
  <si>
    <t>上好佳綜合莓餡4.5KG</t>
    <phoneticPr fontId="2" type="noConversion"/>
  </si>
  <si>
    <t>上好佳草莓餡4.5KG</t>
    <phoneticPr fontId="2" type="noConversion"/>
  </si>
  <si>
    <t>C1030</t>
    <phoneticPr fontId="8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</si>
  <si>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</si>
  <si>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</si>
  <si>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</si>
  <si>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</si>
  <si>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</si>
  <si>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(紅蓋)E0121佳樂美200箱</t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</si>
  <si>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</si>
  <si>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</si>
  <si>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</si>
  <si>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</si>
  <si>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</si>
  <si>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</si>
  <si>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</si>
  <si>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，D2021*100箱(2028.08.17)；D9920*72桶(2027.08.17)</t>
  </si>
  <si>
    <t>，D2010美芝城*50箱</t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</si>
  <si>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</si>
  <si>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</si>
  <si>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</si>
  <si>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</si>
  <si>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，D9920(18KG)*50桶(2027.08.24)</t>
  </si>
  <si>
    <t>，D9921(18KG)*100桶(2027.08.26)</t>
  </si>
  <si>
    <t>V</t>
    <phoneticPr fontId="2" type="noConversion"/>
  </si>
  <si>
    <t>V</t>
    <phoneticPr fontId="2" type="noConversion"/>
  </si>
  <si>
    <t>V</t>
    <phoneticPr fontId="2" type="noConversion"/>
  </si>
  <si>
    <t>V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</si>
  <si>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</si>
  <si>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</si>
  <si>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</si>
  <si>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</si>
  <si>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V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</si>
  <si>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</si>
  <si>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</si>
  <si>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</si>
  <si>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</si>
  <si>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</si>
  <si>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果餡班</t>
  </si>
  <si>
    <t>花生班</t>
  </si>
  <si>
    <t>果醬班</t>
  </si>
  <si>
    <t>原料班</t>
  </si>
  <si>
    <t>包裝班</t>
  </si>
  <si>
    <t>-</t>
    <phoneticPr fontId="2" type="noConversion"/>
  </si>
  <si>
    <t>總計</t>
  </si>
  <si>
    <t>日期</t>
    <phoneticPr fontId="2" type="noConversion"/>
  </si>
  <si>
    <t>組別</t>
  </si>
  <si>
    <t>領料單(調)</t>
  </si>
  <si>
    <t>調理</t>
    <phoneticPr fontId="2" type="noConversion"/>
  </si>
  <si>
    <t>充填</t>
    <phoneticPr fontId="2" type="noConversion"/>
  </si>
  <si>
    <t>充填繳回超過7天</t>
  </si>
  <si>
    <t>調理繳回超過7天</t>
  </si>
  <si>
    <t>-</t>
    <phoneticPr fontId="2" type="noConversion"/>
  </si>
  <si>
    <t>批量調整，預估為95kg/鍋</t>
    <phoneticPr fontId="2" type="noConversion"/>
  </si>
  <si>
    <t>，D2021美芝城50箱，D9920(18KG)*25桶(2027.09.02)</t>
  </si>
  <si>
    <t>調理繳回單位</t>
    <phoneticPr fontId="2" type="noConversion"/>
  </si>
  <si>
    <t>充填繳回單位</t>
    <phoneticPr fontId="2" type="noConversion"/>
  </si>
  <si>
    <t>D0390</t>
    <phoneticPr fontId="2" type="noConversion"/>
  </si>
  <si>
    <t>資材</t>
  </si>
  <si>
    <t>資材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</si>
  <si>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</si>
  <si>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</si>
  <si>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</si>
  <si>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</si>
  <si>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領料單(充)
交回時間</t>
    <phoneticPr fontId="2" type="noConversion"/>
  </si>
  <si>
    <t>批量調整，預估為218kg/鍋</t>
    <phoneticPr fontId="2" type="noConversion"/>
  </si>
  <si>
    <t>D2233</t>
  </si>
  <si>
    <t>，D2021美芝城*100箱。D9920(18kg)120桶(2027.09.16)。</t>
  </si>
  <si>
    <t>(誠成)</t>
  </si>
  <si>
    <t>水蜜桃果醬</t>
  </si>
  <si>
    <t>蜜桃鳳梨果醬</t>
  </si>
  <si>
    <t>蜜桃芒果果醬</t>
  </si>
  <si>
    <t>上好佳藍莓餡(1*4.5kg)</t>
  </si>
  <si>
    <t>D2233</t>
    <phoneticPr fontId="2" type="noConversion"/>
  </si>
  <si>
    <t>-</t>
    <phoneticPr fontId="2" type="noConversion"/>
  </si>
  <si>
    <t>-</t>
    <phoneticPr fontId="2" type="noConversion"/>
  </si>
  <si>
    <t>充填單位簽核日期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</si>
  <si>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</si>
  <si>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</si>
  <si>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</si>
  <si>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</si>
  <si>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D0131</t>
    <phoneticPr fontId="2" type="noConversion"/>
  </si>
  <si>
    <t>D0330</t>
    <phoneticPr fontId="2" type="noConversion"/>
  </si>
  <si>
    <t>-</t>
    <phoneticPr fontId="2" type="noConversion"/>
  </si>
  <si>
    <t>(綠6)</t>
  </si>
  <si>
    <t>，D9920(18KG)100桶(2027.09.21)</t>
  </si>
  <si>
    <t>(測試)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</si>
</sst>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#,##0.0_ ;[Red]\-#,##0.0\ "/>
    <numFmt numFmtId="177" formatCode="0.0"/>
    <numFmt numFmtId="178" formatCode="#,##0_ "/>
    <numFmt numFmtId="179" formatCode="0.0%"/>
    <numFmt numFmtId="180" formatCode="h:mm;@"/>
    <numFmt numFmtId="181" formatCode="0_);[Red]\(0\)"/>
  </numFmts>
  <fonts count="2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  <font>
      <sz val="12"/>
      <name val="新細明體"/>
      <family val="1"/>
      <charset val="136"/>
    </font>
    <font>
      <b/>
      <sz val="12"/>
      <color rgb="FF000000"/>
      <name val="新細明體"/>
      <family val="1"/>
      <charset val="136"/>
    </font>
    <font>
      <sz val="14"/>
      <name val="微軟正黑體"/>
      <family val="2"/>
      <charset val="136"/>
    </font>
    <font>
      <sz val="9"/>
      <name val="細明體"/>
      <family val="3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4"/>
      <color rgb="FFFF0000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2"/>
      <name val="新細明體"/>
      <family val="1"/>
      <charset val="136"/>
      <scheme val="minor"/>
    </font>
    <font>
      <b/>
      <sz val="12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10"/>
      <name val="Arial"/>
      <family val="2"/>
    </font>
    <font>
      <sz val="12"/>
      <color rgb="FFFF0000"/>
      <name val="新細明體"/>
      <family val="1"/>
      <charset val="136"/>
    </font>
    <font>
      <b/>
      <sz val="12"/>
      <color rgb="FFFF0000"/>
      <name val="新細明體"/>
      <family val="1"/>
      <charset val="136"/>
      <scheme val="minor"/>
    </font>
    <font>
      <sz val="11"/>
      <color indexed="81"/>
      <name val="Tahoma"/>
      <family val="2"/>
    </font>
    <font>
      <sz val="11"/>
      <color indexed="81"/>
      <name val="細明體"/>
      <family val="3"/>
      <charset val="136"/>
    </font>
    <font>
      <b/>
      <sz val="16"/>
      <color theme="1"/>
      <name val="新細明體"/>
      <family val="1"/>
      <charset val="136"/>
      <scheme val="minor"/>
    </font>
    <font>
      <b/>
      <sz val="14"/>
      <name val="微軟正黑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2" fillId="0" borderId="0"/>
    <xf numFmtId="0" fontId="1" fillId="0" borderId="0">
      <alignment vertical="center"/>
    </xf>
  </cellStyleXfs>
  <cellXfs count="509">
    <xf numFmtId="0" fontId="0" fillId="0" borderId="0" xfId="0">
      <alignment vertical="center"/>
    </xf>
    <xf numFmtId="0" fontId="0" fillId="0" borderId="1" xfId="0" applyBorder="1">
      <alignment vertical="center"/>
    </xf>
    <xf numFmtId="0" fontId="7" fillId="0" borderId="0" xfId="0" applyFont="1" applyAlignment="1"/>
    <xf numFmtId="49" fontId="7" fillId="0" borderId="1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49" fontId="7" fillId="0" borderId="1" xfId="0" applyNumberFormat="1" applyFont="1" applyBorder="1" applyAlignment="1">
      <alignment shrinkToFit="1"/>
    </xf>
    <xf numFmtId="0" fontId="7" fillId="0" borderId="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2" borderId="0" xfId="0" applyFill="1">
      <alignment vertical="center"/>
    </xf>
    <xf numFmtId="0" fontId="0" fillId="0" borderId="1" xfId="0" applyBorder="1" applyAlignment="1">
      <alignment horizontal="center" vertical="center"/>
    </xf>
    <xf numFmtId="179" fontId="7" fillId="0" borderId="1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76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/>
    <xf numFmtId="49" fontId="7" fillId="0" borderId="1" xfId="0" applyNumberFormat="1" applyFont="1" applyBorder="1" applyAlignment="1">
      <alignment horizontal="center"/>
    </xf>
    <xf numFmtId="49" fontId="7" fillId="0" borderId="0" xfId="0" applyNumberFormat="1" applyFont="1" applyAlignment="1">
      <alignment shrinkToFit="1"/>
    </xf>
    <xf numFmtId="176" fontId="7" fillId="0" borderId="0" xfId="0" applyNumberFormat="1" applyFont="1" applyAlignment="1"/>
    <xf numFmtId="0" fontId="7" fillId="0" borderId="0" xfId="0" applyFont="1" applyAlignment="1">
      <alignment horizontal="left" vertical="center"/>
    </xf>
    <xf numFmtId="179" fontId="4" fillId="0" borderId="1" xfId="1" applyNumberFormat="1" applyFont="1" applyFill="1" applyBorder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4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 wrapText="1"/>
    </xf>
    <xf numFmtId="179" fontId="10" fillId="0" borderId="0" xfId="1" applyNumberFormat="1" applyFont="1" applyFill="1">
      <alignment vertical="center"/>
    </xf>
    <xf numFmtId="179" fontId="5" fillId="0" borderId="1" xfId="1" applyNumberFormat="1" applyFont="1" applyFill="1" applyBorder="1">
      <alignment vertical="center"/>
    </xf>
    <xf numFmtId="10" fontId="5" fillId="0" borderId="1" xfId="1" applyNumberFormat="1" applyFont="1" applyFill="1" applyBorder="1">
      <alignment vertical="center"/>
    </xf>
    <xf numFmtId="49" fontId="0" fillId="0" borderId="1" xfId="0" applyNumberForma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179" fontId="10" fillId="0" borderId="0" xfId="0" applyNumberFormat="1" applyFont="1">
      <alignment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10" fillId="0" borderId="1" xfId="1" applyNumberFormat="1" applyFont="1" applyFill="1" applyBorder="1" applyAlignment="1">
      <alignment horizontal="right" vertical="center"/>
    </xf>
    <xf numFmtId="0" fontId="14" fillId="0" borderId="1" xfId="1" applyNumberFormat="1" applyFont="1" applyFill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4" fillId="0" borderId="1" xfId="1" applyNumberFormat="1" applyFont="1" applyFill="1" applyBorder="1">
      <alignment vertical="center"/>
    </xf>
    <xf numFmtId="0" fontId="14" fillId="0" borderId="1" xfId="0" applyFont="1" applyBorder="1" applyAlignment="1">
      <alignment horizontal="left" vertical="center" wrapText="1"/>
    </xf>
    <xf numFmtId="177" fontId="14" fillId="0" borderId="1" xfId="0" applyNumberFormat="1" applyFont="1" applyBorder="1" applyAlignment="1">
      <alignment horizontal="right" vertical="center"/>
    </xf>
    <xf numFmtId="178" fontId="5" fillId="0" borderId="1" xfId="0" applyNumberFormat="1" applyFont="1" applyBorder="1">
      <alignment vertical="center"/>
    </xf>
    <xf numFmtId="49" fontId="14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77" fontId="5" fillId="0" borderId="1" xfId="0" applyNumberFormat="1" applyFont="1" applyBorder="1">
      <alignment vertical="center"/>
    </xf>
    <xf numFmtId="179" fontId="5" fillId="0" borderId="1" xfId="1" applyNumberFormat="1" applyFont="1" applyFill="1" applyBorder="1" applyAlignment="1" applyProtection="1">
      <alignment vertical="center"/>
    </xf>
    <xf numFmtId="179" fontId="5" fillId="0" borderId="1" xfId="1" applyNumberFormat="1" applyFont="1" applyFill="1" applyBorder="1" applyAlignment="1" applyProtection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14" fillId="0" borderId="2" xfId="0" applyFont="1" applyBorder="1" applyAlignment="1">
      <alignment horizontal="center" vertical="center"/>
    </xf>
    <xf numFmtId="0" fontId="3" fillId="0" borderId="5" xfId="1" applyNumberFormat="1" applyFont="1" applyFill="1" applyBorder="1" applyAlignment="1">
      <alignment horizontal="center" vertical="center" wrapText="1"/>
    </xf>
    <xf numFmtId="0" fontId="3" fillId="0" borderId="6" xfId="1" applyNumberFormat="1" applyFont="1" applyFill="1" applyBorder="1" applyAlignment="1">
      <alignment horizontal="center" vertical="center" wrapText="1"/>
    </xf>
    <xf numFmtId="0" fontId="3" fillId="0" borderId="7" xfId="1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20" fontId="0" fillId="0" borderId="18" xfId="0" applyNumberFormat="1" applyBorder="1">
      <alignment vertical="center"/>
    </xf>
    <xf numFmtId="20" fontId="0" fillId="0" borderId="19" xfId="0" applyNumberFormat="1" applyBorder="1">
      <alignment vertical="center"/>
    </xf>
    <xf numFmtId="49" fontId="14" fillId="0" borderId="2" xfId="0" applyNumberFormat="1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1" xfId="1" applyNumberFormat="1" applyFont="1" applyFill="1" applyBorder="1">
      <alignment vertical="center"/>
    </xf>
    <xf numFmtId="0" fontId="14" fillId="0" borderId="22" xfId="1" applyNumberFormat="1" applyFont="1" applyFill="1" applyBorder="1">
      <alignment vertical="center"/>
    </xf>
    <xf numFmtId="180" fontId="14" fillId="0" borderId="1" xfId="1" applyNumberFormat="1" applyFont="1" applyFill="1" applyBorder="1">
      <alignment vertical="center"/>
    </xf>
    <xf numFmtId="0" fontId="14" fillId="0" borderId="21" xfId="0" applyFont="1" applyBorder="1">
      <alignment vertical="center"/>
    </xf>
    <xf numFmtId="0" fontId="14" fillId="0" borderId="22" xfId="0" applyFont="1" applyBorder="1">
      <alignment vertical="center"/>
    </xf>
    <xf numFmtId="20" fontId="14" fillId="0" borderId="1" xfId="0" applyNumberFormat="1" applyFont="1" applyBorder="1">
      <alignment vertical="center"/>
    </xf>
    <xf numFmtId="0" fontId="14" fillId="0" borderId="20" xfId="0" applyFont="1" applyBorder="1">
      <alignment vertical="center"/>
    </xf>
    <xf numFmtId="180" fontId="14" fillId="2" borderId="1" xfId="0" applyNumberFormat="1" applyFont="1" applyFill="1" applyBorder="1">
      <alignment vertical="center"/>
    </xf>
    <xf numFmtId="0" fontId="10" fillId="0" borderId="21" xfId="1" applyNumberFormat="1" applyFont="1" applyFill="1" applyBorder="1">
      <alignment vertical="center"/>
    </xf>
    <xf numFmtId="0" fontId="10" fillId="0" borderId="22" xfId="1" applyNumberFormat="1" applyFont="1" applyFill="1" applyBorder="1">
      <alignment vertical="center"/>
    </xf>
    <xf numFmtId="180" fontId="10" fillId="0" borderId="1" xfId="1" applyNumberFormat="1" applyFont="1" applyFill="1" applyBorder="1">
      <alignment vertical="center"/>
    </xf>
    <xf numFmtId="0" fontId="0" fillId="0" borderId="21" xfId="0" applyBorder="1">
      <alignment vertical="center"/>
    </xf>
    <xf numFmtId="20" fontId="0" fillId="0" borderId="22" xfId="0" applyNumberFormat="1" applyBorder="1">
      <alignment vertical="center"/>
    </xf>
    <xf numFmtId="20" fontId="0" fillId="0" borderId="1" xfId="0" applyNumberFormat="1" applyBorder="1">
      <alignment vertical="center"/>
    </xf>
    <xf numFmtId="0" fontId="0" fillId="0" borderId="22" xfId="0" applyBorder="1">
      <alignment vertical="center"/>
    </xf>
    <xf numFmtId="20" fontId="0" fillId="0" borderId="0" xfId="0" applyNumberFormat="1">
      <alignment vertical="center"/>
    </xf>
    <xf numFmtId="0" fontId="14" fillId="5" borderId="0" xfId="0" applyFont="1" applyFill="1">
      <alignment vertical="center"/>
    </xf>
    <xf numFmtId="20" fontId="14" fillId="0" borderId="22" xfId="0" applyNumberFormat="1" applyFont="1" applyBorder="1">
      <alignment vertical="center"/>
    </xf>
    <xf numFmtId="177" fontId="0" fillId="0" borderId="1" xfId="0" applyNumberFormat="1" applyBorder="1">
      <alignment vertical="center"/>
    </xf>
    <xf numFmtId="0" fontId="11" fillId="0" borderId="1" xfId="0" applyFont="1" applyBorder="1" applyAlignment="1">
      <alignment horizontal="left" vertical="center"/>
    </xf>
    <xf numFmtId="0" fontId="11" fillId="0" borderId="0" xfId="0" applyFont="1">
      <alignment vertical="center"/>
    </xf>
    <xf numFmtId="179" fontId="4" fillId="0" borderId="1" xfId="1" applyNumberFormat="1" applyFont="1" applyFill="1" applyBorder="1" applyAlignment="1" applyProtection="1">
      <alignment horizontal="right" vertical="center"/>
    </xf>
    <xf numFmtId="10" fontId="4" fillId="0" borderId="1" xfId="1" applyNumberFormat="1" applyFont="1" applyFill="1" applyBorder="1">
      <alignment vertical="center"/>
    </xf>
    <xf numFmtId="0" fontId="10" fillId="0" borderId="1" xfId="0" applyFont="1" applyBorder="1" applyAlignment="1">
      <alignment horizontal="left" vertical="center"/>
    </xf>
    <xf numFmtId="178" fontId="4" fillId="0" borderId="1" xfId="0" applyNumberFormat="1" applyFont="1" applyBorder="1">
      <alignment vertical="center"/>
    </xf>
    <xf numFmtId="0" fontId="10" fillId="0" borderId="1" xfId="0" applyFont="1" applyBorder="1" applyAlignment="1">
      <alignment horizontal="left" vertical="center" wrapText="1"/>
    </xf>
    <xf numFmtId="0" fontId="14" fillId="0" borderId="14" xfId="0" applyFont="1" applyBorder="1">
      <alignment vertical="center"/>
    </xf>
    <xf numFmtId="20" fontId="14" fillId="0" borderId="15" xfId="0" applyNumberFormat="1" applyFont="1" applyBorder="1">
      <alignment vertical="center"/>
    </xf>
    <xf numFmtId="20" fontId="14" fillId="0" borderId="3" xfId="0" applyNumberFormat="1" applyFont="1" applyBorder="1">
      <alignment vertical="center"/>
    </xf>
    <xf numFmtId="0" fontId="14" fillId="0" borderId="15" xfId="0" applyFont="1" applyBorder="1">
      <alignment vertical="center"/>
    </xf>
    <xf numFmtId="0" fontId="14" fillId="0" borderId="4" xfId="0" applyFont="1" applyBorder="1">
      <alignment vertical="center"/>
    </xf>
    <xf numFmtId="180" fontId="14" fillId="2" borderId="3" xfId="0" applyNumberFormat="1" applyFont="1" applyFill="1" applyBorder="1">
      <alignment vertical="center"/>
    </xf>
    <xf numFmtId="0" fontId="0" fillId="5" borderId="0" xfId="0" applyFill="1">
      <alignment vertical="center"/>
    </xf>
    <xf numFmtId="20" fontId="14" fillId="0" borderId="0" xfId="0" applyNumberFormat="1" applyFont="1">
      <alignment vertical="center"/>
    </xf>
    <xf numFmtId="0" fontId="14" fillId="2" borderId="1" xfId="0" applyFont="1" applyFill="1" applyBorder="1" applyAlignment="1">
      <alignment horizontal="left" vertical="center"/>
    </xf>
    <xf numFmtId="179" fontId="14" fillId="0" borderId="1" xfId="0" applyNumberFormat="1" applyFont="1" applyBorder="1">
      <alignment vertical="center"/>
    </xf>
    <xf numFmtId="0" fontId="0" fillId="0" borderId="0" xfId="0" applyAlignment="1">
      <alignment horizontal="left" vertical="center"/>
    </xf>
    <xf numFmtId="179" fontId="4" fillId="0" borderId="1" xfId="1" applyNumberFormat="1" applyFont="1" applyFill="1" applyBorder="1" applyAlignment="1" applyProtection="1">
      <alignment vertical="center"/>
    </xf>
    <xf numFmtId="49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2" xfId="0" applyFill="1" applyBorder="1">
      <alignment vertical="center"/>
    </xf>
    <xf numFmtId="0" fontId="0" fillId="7" borderId="1" xfId="0" applyFill="1" applyBorder="1">
      <alignment vertical="center"/>
    </xf>
    <xf numFmtId="0" fontId="14" fillId="7" borderId="1" xfId="0" applyFont="1" applyFill="1" applyBorder="1">
      <alignment vertical="center"/>
    </xf>
    <xf numFmtId="20" fontId="14" fillId="7" borderId="1" xfId="0" applyNumberFormat="1" applyFont="1" applyFill="1" applyBorder="1">
      <alignment vertical="center"/>
    </xf>
    <xf numFmtId="0" fontId="0" fillId="0" borderId="0" xfId="0" applyAlignment="1">
      <alignment horizontal="right" vertical="center"/>
    </xf>
    <xf numFmtId="0" fontId="14" fillId="0" borderId="1" xfId="0" applyFont="1" applyBorder="1" applyAlignment="1">
      <alignment horizontal="left" vertical="top" wrapText="1"/>
    </xf>
    <xf numFmtId="10" fontId="5" fillId="0" borderId="1" xfId="1" applyNumberFormat="1" applyFont="1" applyFill="1" applyBorder="1" applyAlignment="1" applyProtection="1">
      <alignment horizontal="right" vertical="center"/>
    </xf>
    <xf numFmtId="178" fontId="10" fillId="0" borderId="1" xfId="0" applyNumberFormat="1" applyFont="1" applyBorder="1">
      <alignment vertical="center"/>
    </xf>
    <xf numFmtId="178" fontId="14" fillId="0" borderId="1" xfId="0" applyNumberFormat="1" applyFont="1" applyBorder="1">
      <alignment vertical="center"/>
    </xf>
    <xf numFmtId="178" fontId="11" fillId="0" borderId="1" xfId="0" applyNumberFormat="1" applyFont="1" applyBorder="1">
      <alignment vertical="center"/>
    </xf>
    <xf numFmtId="178" fontId="10" fillId="0" borderId="0" xfId="0" applyNumberFormat="1" applyFont="1">
      <alignment vertical="center"/>
    </xf>
    <xf numFmtId="176" fontId="7" fillId="6" borderId="1" xfId="0" applyNumberFormat="1" applyFont="1" applyFill="1" applyBorder="1" applyAlignment="1">
      <alignment horizontal="center" vertical="center" wrapText="1"/>
    </xf>
    <xf numFmtId="176" fontId="7" fillId="6" borderId="1" xfId="0" applyNumberFormat="1" applyFont="1" applyFill="1" applyBorder="1" applyAlignment="1"/>
    <xf numFmtId="49" fontId="7" fillId="6" borderId="1" xfId="0" applyNumberFormat="1" applyFont="1" applyFill="1" applyBorder="1" applyAlignment="1">
      <alignment horizontal="center" vertical="center" wrapText="1"/>
    </xf>
    <xf numFmtId="179" fontId="7" fillId="6" borderId="1" xfId="1" applyNumberFormat="1" applyFont="1" applyFill="1" applyBorder="1" applyAlignment="1">
      <alignment horizontal="center"/>
    </xf>
    <xf numFmtId="0" fontId="21" fillId="0" borderId="1" xfId="0" applyFont="1" applyBorder="1">
      <alignment vertical="center"/>
    </xf>
    <xf numFmtId="0" fontId="7" fillId="0" borderId="1" xfId="0" applyFont="1" applyFill="1" applyBorder="1" applyAlignment="1"/>
    <xf numFmtId="49" fontId="7" fillId="0" borderId="1" xfId="0" applyNumberFormat="1" applyFont="1" applyFill="1" applyBorder="1" applyAlignment="1">
      <alignment shrinkToFit="1"/>
    </xf>
    <xf numFmtId="0" fontId="7" fillId="0" borderId="1" xfId="0" applyFont="1" applyFill="1" applyBorder="1" applyAlignment="1">
      <alignment shrinkToFit="1"/>
    </xf>
    <xf numFmtId="176" fontId="7" fillId="0" borderId="1" xfId="0" applyNumberFormat="1" applyFont="1" applyFill="1" applyBorder="1" applyAlignment="1"/>
    <xf numFmtId="49" fontId="7" fillId="0" borderId="1" xfId="0" applyNumberFormat="1" applyFont="1" applyFill="1" applyBorder="1" applyAlignment="1">
      <alignment horizontal="center"/>
    </xf>
    <xf numFmtId="0" fontId="7" fillId="0" borderId="0" xfId="0" applyFont="1" applyFill="1" applyAlignment="1"/>
    <xf numFmtId="176" fontId="7" fillId="0" borderId="0" xfId="0" applyNumberFormat="1" applyFont="1" applyFill="1" applyAlignment="1"/>
    <xf numFmtId="0" fontId="7" fillId="0" borderId="1" xfId="0" applyFont="1" applyFill="1" applyBorder="1" applyAlignment="1">
      <alignment horizontal="center"/>
    </xf>
    <xf numFmtId="0" fontId="7" fillId="0" borderId="0" xfId="0" applyFont="1" applyFill="1" applyAlignment="1">
      <alignment horizontal="center"/>
    </xf>
    <xf numFmtId="176" fontId="12" fillId="0" borderId="1" xfId="0" applyNumberFormat="1" applyFont="1" applyFill="1" applyBorder="1" applyAlignment="1"/>
    <xf numFmtId="0" fontId="7" fillId="0" borderId="1" xfId="0" applyFont="1" applyFill="1" applyBorder="1" applyAlignment="1">
      <alignment horizontal="left"/>
    </xf>
    <xf numFmtId="49" fontId="7" fillId="0" borderId="1" xfId="0" applyNumberFormat="1" applyFont="1" applyFill="1" applyBorder="1" applyAlignment="1">
      <alignment horizontal="center" vertical="center" shrinkToFit="1"/>
    </xf>
    <xf numFmtId="49" fontId="7" fillId="0" borderId="1" xfId="0" applyNumberFormat="1" applyFont="1" applyFill="1" applyBorder="1" applyAlignment="1"/>
    <xf numFmtId="0" fontId="7" fillId="0" borderId="0" xfId="0" applyFont="1" applyFill="1" applyAlignment="1">
      <alignment shrinkToFit="1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179" fontId="10" fillId="0" borderId="1" xfId="1" applyNumberFormat="1" applyFont="1" applyFill="1" applyBorder="1" applyAlignment="1">
      <alignment horizontal="right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0" fontId="5" fillId="0" borderId="1" xfId="0" applyFont="1" applyFill="1" applyBorder="1">
      <alignment vertical="center"/>
    </xf>
    <xf numFmtId="177" fontId="14" fillId="0" borderId="1" xfId="0" applyNumberFormat="1" applyFont="1" applyFill="1" applyBorder="1" applyAlignment="1">
      <alignment horizontal="right" vertical="center"/>
    </xf>
    <xf numFmtId="177" fontId="5" fillId="0" borderId="1" xfId="0" applyNumberFormat="1" applyFont="1" applyFill="1" applyBorder="1">
      <alignment vertical="center"/>
    </xf>
    <xf numFmtId="0" fontId="14" fillId="0" borderId="1" xfId="0" applyFont="1" applyFill="1" applyBorder="1">
      <alignment vertical="center"/>
    </xf>
    <xf numFmtId="179" fontId="14" fillId="0" borderId="1" xfId="0" applyNumberFormat="1" applyFont="1" applyFill="1" applyBorder="1">
      <alignment vertical="center"/>
    </xf>
    <xf numFmtId="0" fontId="0" fillId="0" borderId="0" xfId="0" applyFill="1">
      <alignment vertical="center"/>
    </xf>
    <xf numFmtId="1" fontId="0" fillId="0" borderId="1" xfId="0" applyNumberForma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4" fillId="0" borderId="1" xfId="0" applyFont="1" applyFill="1" applyBorder="1" applyAlignment="1">
      <alignment horizontal="right" vertical="center"/>
    </xf>
    <xf numFmtId="0" fontId="10" fillId="0" borderId="1" xfId="0" applyFont="1" applyFill="1" applyBorder="1" applyAlignment="1">
      <alignment horizontal="right" vertical="center"/>
    </xf>
    <xf numFmtId="2" fontId="10" fillId="0" borderId="1" xfId="0" applyNumberFormat="1" applyFont="1" applyFill="1" applyBorder="1" applyAlignment="1">
      <alignment horizontal="right" vertical="center"/>
    </xf>
    <xf numFmtId="0" fontId="10" fillId="0" borderId="1" xfId="0" applyFont="1" applyFill="1" applyBorder="1">
      <alignment vertical="center"/>
    </xf>
    <xf numFmtId="2" fontId="14" fillId="0" borderId="1" xfId="0" applyNumberFormat="1" applyFont="1" applyFill="1" applyBorder="1">
      <alignment vertical="center"/>
    </xf>
    <xf numFmtId="0" fontId="0" fillId="0" borderId="1" xfId="0" applyFill="1" applyBorder="1">
      <alignment vertical="center"/>
    </xf>
    <xf numFmtId="0" fontId="14" fillId="0" borderId="22" xfId="0" applyFont="1" applyFill="1" applyBorder="1">
      <alignment vertical="center"/>
    </xf>
    <xf numFmtId="0" fontId="14" fillId="0" borderId="0" xfId="0" applyFont="1" applyFill="1">
      <alignment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1" applyNumberFormat="1" applyFont="1" applyFill="1" applyBorder="1" applyAlignment="1" applyProtection="1">
      <alignment vertical="center"/>
    </xf>
    <xf numFmtId="0" fontId="14" fillId="0" borderId="1" xfId="1" applyNumberFormat="1" applyFont="1" applyFill="1" applyBorder="1" applyAlignment="1" applyProtection="1">
      <alignment vertical="center"/>
    </xf>
    <xf numFmtId="0" fontId="4" fillId="0" borderId="1" xfId="0" applyFont="1" applyFill="1" applyBorder="1" applyAlignment="1">
      <alignment horizontal="center" vertical="center"/>
    </xf>
    <xf numFmtId="0" fontId="10" fillId="0" borderId="0" xfId="0" applyFont="1" applyFill="1">
      <alignment vertical="center"/>
    </xf>
    <xf numFmtId="0" fontId="0" fillId="0" borderId="22" xfId="0" applyFill="1" applyBorder="1">
      <alignment vertical="center"/>
    </xf>
    <xf numFmtId="20" fontId="0" fillId="0" borderId="1" xfId="0" applyNumberFormat="1" applyFill="1" applyBorder="1">
      <alignment vertical="center"/>
    </xf>
    <xf numFmtId="20" fontId="14" fillId="0" borderId="1" xfId="0" applyNumberFormat="1" applyFont="1" applyFill="1" applyBorder="1">
      <alignment vertical="center"/>
    </xf>
    <xf numFmtId="0" fontId="14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/>
    </xf>
    <xf numFmtId="0" fontId="14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49" fontId="14" fillId="0" borderId="1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14" fillId="0" borderId="1" xfId="0" applyNumberFormat="1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1" fontId="0" fillId="7" borderId="1" xfId="0" applyNumberFormat="1" applyFill="1" applyBorder="1" applyAlignment="1">
      <alignment horizontal="center" vertical="center"/>
    </xf>
    <xf numFmtId="20" fontId="0" fillId="7" borderId="1" xfId="0" applyNumberFormat="1" applyFill="1" applyBorder="1">
      <alignment vertical="center"/>
    </xf>
    <xf numFmtId="0" fontId="7" fillId="0" borderId="1" xfId="0" applyFont="1" applyBorder="1" applyAlignment="1">
      <alignment horizontal="center"/>
    </xf>
    <xf numFmtId="0" fontId="11" fillId="0" borderId="1" xfId="0" applyFont="1" applyFill="1" applyBorder="1">
      <alignment vertical="center"/>
    </xf>
    <xf numFmtId="177" fontId="0" fillId="7" borderId="1" xfId="0" applyNumberFormat="1" applyFill="1" applyBorder="1" applyAlignment="1">
      <alignment horizontal="center" vertical="center"/>
    </xf>
    <xf numFmtId="0" fontId="13" fillId="0" borderId="1" xfId="0" applyFont="1" applyFill="1" applyBorder="1">
      <alignment vertical="center"/>
    </xf>
    <xf numFmtId="1" fontId="14" fillId="0" borderId="1" xfId="0" applyNumberFormat="1" applyFont="1" applyFill="1" applyBorder="1" applyAlignment="1">
      <alignment horizontal="right" vertical="center"/>
    </xf>
    <xf numFmtId="1" fontId="10" fillId="0" borderId="1" xfId="0" applyNumberFormat="1" applyFont="1" applyFill="1" applyBorder="1" applyAlignment="1">
      <alignment horizontal="right" vertical="center"/>
    </xf>
    <xf numFmtId="1" fontId="0" fillId="0" borderId="1" xfId="0" applyNumberFormat="1" applyFill="1" applyBorder="1" applyAlignment="1">
      <alignment horizontal="right" vertical="center"/>
    </xf>
    <xf numFmtId="177" fontId="0" fillId="0" borderId="1" xfId="0" applyNumberFormat="1" applyFill="1" applyBorder="1" applyAlignment="1">
      <alignment horizontal="right" vertical="center"/>
    </xf>
    <xf numFmtId="1" fontId="0" fillId="7" borderId="1" xfId="0" applyNumberFormat="1" applyFill="1" applyBorder="1" applyAlignment="1">
      <alignment horizontal="right" vertical="center"/>
    </xf>
    <xf numFmtId="0" fontId="3" fillId="0" borderId="4" xfId="1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176" fontId="7" fillId="2" borderId="1" xfId="0" applyNumberFormat="1" applyFont="1" applyFill="1" applyBorder="1" applyAlignment="1"/>
    <xf numFmtId="49" fontId="7" fillId="2" borderId="1" xfId="0" applyNumberFormat="1" applyFont="1" applyFill="1" applyBorder="1" applyAlignment="1">
      <alignment horizontal="center"/>
    </xf>
    <xf numFmtId="0" fontId="3" fillId="0" borderId="26" xfId="1" applyNumberFormat="1" applyFont="1" applyFill="1" applyBorder="1" applyAlignment="1">
      <alignment horizontal="center" vertical="center" wrapText="1"/>
    </xf>
    <xf numFmtId="181" fontId="14" fillId="0" borderId="20" xfId="0" applyNumberFormat="1" applyFont="1" applyBorder="1">
      <alignment vertical="center"/>
    </xf>
    <xf numFmtId="49" fontId="0" fillId="0" borderId="1" xfId="0" applyNumberFormat="1" applyFill="1" applyBorder="1" applyAlignment="1">
      <alignment horizontal="left" vertical="center"/>
    </xf>
    <xf numFmtId="0" fontId="7" fillId="0" borderId="0" xfId="0" applyFont="1" applyAlignment="1">
      <alignment horizontal="center"/>
    </xf>
    <xf numFmtId="9" fontId="10" fillId="0" borderId="1" xfId="1" applyNumberFormat="1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left"/>
    </xf>
    <xf numFmtId="0" fontId="12" fillId="0" borderId="2" xfId="0" applyFont="1" applyFill="1" applyBorder="1" applyAlignment="1">
      <alignment shrinkToFit="1"/>
    </xf>
    <xf numFmtId="0" fontId="7" fillId="0" borderId="2" xfId="0" applyFont="1" applyFill="1" applyBorder="1" applyAlignment="1">
      <alignment shrinkToFit="1"/>
    </xf>
    <xf numFmtId="176" fontId="7" fillId="0" borderId="2" xfId="0" applyNumberFormat="1" applyFont="1" applyFill="1" applyBorder="1" applyAlignment="1"/>
    <xf numFmtId="176" fontId="7" fillId="6" borderId="2" xfId="0" applyNumberFormat="1" applyFont="1" applyFill="1" applyBorder="1" applyAlignment="1"/>
    <xf numFmtId="0" fontId="7" fillId="0" borderId="2" xfId="0" applyFont="1" applyFill="1" applyBorder="1" applyAlignment="1">
      <alignment horizontal="center"/>
    </xf>
    <xf numFmtId="14" fontId="10" fillId="0" borderId="1" xfId="0" applyNumberFormat="1" applyFont="1" applyBorder="1" applyAlignment="1">
      <alignment horizontal="left" vertical="center"/>
    </xf>
    <xf numFmtId="49" fontId="7" fillId="0" borderId="2" xfId="0" applyNumberFormat="1" applyFont="1" applyFill="1" applyBorder="1" applyAlignment="1">
      <alignment shrinkToFit="1"/>
    </xf>
    <xf numFmtId="14" fontId="10" fillId="0" borderId="1" xfId="0" applyNumberFormat="1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1" fontId="10" fillId="7" borderId="1" xfId="0" applyNumberFormat="1" applyFont="1" applyFill="1" applyBorder="1" applyAlignment="1">
      <alignment horizontal="right" vertical="center"/>
    </xf>
    <xf numFmtId="14" fontId="13" fillId="0" borderId="1" xfId="0" applyNumberFormat="1" applyFont="1" applyBorder="1" applyAlignment="1">
      <alignment horizontal="left" vertical="center"/>
    </xf>
    <xf numFmtId="0" fontId="13" fillId="0" borderId="1" xfId="0" applyFont="1" applyFill="1" applyBorder="1" applyAlignment="1">
      <alignment horizontal="center" vertical="center"/>
    </xf>
    <xf numFmtId="179" fontId="14" fillId="0" borderId="1" xfId="1" applyNumberFormat="1" applyFont="1" applyFill="1" applyBorder="1" applyAlignment="1">
      <alignment horizontal="right" vertical="center"/>
    </xf>
    <xf numFmtId="0" fontId="14" fillId="0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3" fillId="0" borderId="8" xfId="1" applyNumberFormat="1" applyFont="1" applyFill="1" applyBorder="1" applyAlignment="1">
      <alignment horizontal="right" vertical="center" wrapText="1"/>
    </xf>
    <xf numFmtId="20" fontId="14" fillId="0" borderId="23" xfId="1" applyNumberFormat="1" applyFont="1" applyFill="1" applyBorder="1" applyAlignment="1">
      <alignment horizontal="right" vertical="center"/>
    </xf>
    <xf numFmtId="0" fontId="14" fillId="0" borderId="23" xfId="1" applyNumberFormat="1" applyFont="1" applyFill="1" applyBorder="1" applyAlignment="1">
      <alignment horizontal="right" vertical="center"/>
    </xf>
    <xf numFmtId="0" fontId="14" fillId="0" borderId="16" xfId="1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4" fillId="7" borderId="1" xfId="0" applyFont="1" applyFill="1" applyBorder="1" applyAlignment="1">
      <alignment horizontal="right" vertical="center"/>
    </xf>
    <xf numFmtId="0" fontId="3" fillId="0" borderId="9" xfId="1" applyNumberFormat="1" applyFont="1" applyFill="1" applyBorder="1" applyAlignment="1">
      <alignment horizontal="right" vertical="center" wrapText="1"/>
    </xf>
    <xf numFmtId="0" fontId="14" fillId="0" borderId="20" xfId="0" applyFont="1" applyBorder="1" applyAlignment="1">
      <alignment horizontal="right" vertical="center"/>
    </xf>
    <xf numFmtId="0" fontId="14" fillId="0" borderId="4" xfId="0" applyFont="1" applyBorder="1" applyAlignment="1">
      <alignment horizontal="right" vertical="center"/>
    </xf>
    <xf numFmtId="0" fontId="14" fillId="0" borderId="24" xfId="0" applyFont="1" applyBorder="1" applyAlignment="1">
      <alignment horizontal="right" vertical="center"/>
    </xf>
    <xf numFmtId="0" fontId="0" fillId="0" borderId="24" xfId="0" applyBorder="1" applyAlignment="1">
      <alignment horizontal="right" vertical="center"/>
    </xf>
    <xf numFmtId="0" fontId="14" fillId="0" borderId="25" xfId="0" applyFont="1" applyBorder="1" applyAlignment="1">
      <alignment horizontal="right" vertical="center"/>
    </xf>
    <xf numFmtId="0" fontId="14" fillId="7" borderId="24" xfId="0" applyFont="1" applyFill="1" applyBorder="1" applyAlignment="1">
      <alignment horizontal="right" vertical="center"/>
    </xf>
    <xf numFmtId="0" fontId="14" fillId="0" borderId="24" xfId="0" applyFont="1" applyFill="1" applyBorder="1" applyAlignment="1">
      <alignment horizontal="right" vertical="center"/>
    </xf>
    <xf numFmtId="0" fontId="3" fillId="0" borderId="1" xfId="1" applyNumberFormat="1" applyFont="1" applyFill="1" applyBorder="1" applyAlignment="1">
      <alignment horizontal="right" vertical="center" wrapText="1"/>
    </xf>
    <xf numFmtId="179" fontId="5" fillId="0" borderId="1" xfId="1" applyNumberFormat="1" applyFont="1" applyFill="1" applyBorder="1" applyAlignment="1">
      <alignment horizontal="right" vertical="center"/>
    </xf>
    <xf numFmtId="179" fontId="10" fillId="0" borderId="0" xfId="1" applyNumberFormat="1" applyFont="1" applyFill="1" applyAlignment="1">
      <alignment horizontal="right" vertical="center"/>
    </xf>
    <xf numFmtId="0" fontId="14" fillId="7" borderId="1" xfId="0" applyFont="1" applyFill="1" applyBorder="1" applyAlignment="1">
      <alignment horizontal="center" vertical="center"/>
    </xf>
    <xf numFmtId="1" fontId="14" fillId="7" borderId="1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right" vertical="center"/>
    </xf>
    <xf numFmtId="1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center" vertical="center"/>
    </xf>
    <xf numFmtId="14" fontId="14" fillId="0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10" fillId="7" borderId="1" xfId="0" applyNumberFormat="1" applyFont="1" applyFill="1" applyBorder="1" applyAlignment="1">
      <alignment horizontal="center" vertical="center"/>
    </xf>
    <xf numFmtId="14" fontId="14" fillId="7" borderId="1" xfId="0" applyNumberFormat="1" applyFont="1" applyFill="1" applyBorder="1" applyAlignment="1">
      <alignment horizontal="center" vertical="center"/>
    </xf>
    <xf numFmtId="14" fontId="10" fillId="7" borderId="1" xfId="0" applyNumberFormat="1" applyFont="1" applyFill="1" applyBorder="1" applyAlignment="1">
      <alignment horizontal="left" vertical="center"/>
    </xf>
    <xf numFmtId="180" fontId="14" fillId="7" borderId="1" xfId="0" applyNumberFormat="1" applyFont="1" applyFill="1" applyBorder="1">
      <alignment vertical="center"/>
    </xf>
    <xf numFmtId="177" fontId="0" fillId="7" borderId="1" xfId="0" applyNumberFormat="1" applyFill="1" applyBorder="1" applyAlignment="1">
      <alignment horizontal="right" vertical="center"/>
    </xf>
    <xf numFmtId="14" fontId="10" fillId="0" borderId="3" xfId="0" applyNumberFormat="1" applyFont="1" applyBorder="1" applyAlignment="1">
      <alignment horizontal="left" vertical="center"/>
    </xf>
    <xf numFmtId="0" fontId="10" fillId="0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 vertical="center"/>
    </xf>
    <xf numFmtId="0" fontId="5" fillId="0" borderId="3" xfId="0" applyFont="1" applyBorder="1">
      <alignment vertical="center"/>
    </xf>
    <xf numFmtId="177" fontId="14" fillId="0" borderId="3" xfId="0" applyNumberFormat="1" applyFont="1" applyFill="1" applyBorder="1" applyAlignment="1">
      <alignment horizontal="right" vertical="center"/>
    </xf>
    <xf numFmtId="177" fontId="5" fillId="0" borderId="3" xfId="0" applyNumberFormat="1" applyFont="1" applyFill="1" applyBorder="1">
      <alignment vertical="center"/>
    </xf>
    <xf numFmtId="0" fontId="10" fillId="0" borderId="3" xfId="0" applyFont="1" applyFill="1" applyBorder="1">
      <alignment vertical="center"/>
    </xf>
    <xf numFmtId="0" fontId="14" fillId="0" borderId="3" xfId="0" applyFont="1" applyBorder="1">
      <alignment vertical="center"/>
    </xf>
    <xf numFmtId="179" fontId="4" fillId="0" borderId="3" xfId="1" applyNumberFormat="1" applyFont="1" applyFill="1" applyBorder="1" applyAlignment="1" applyProtection="1">
      <alignment vertical="center"/>
    </xf>
    <xf numFmtId="179" fontId="5" fillId="0" borderId="3" xfId="1" applyNumberFormat="1" applyFont="1" applyFill="1" applyBorder="1" applyAlignment="1" applyProtection="1">
      <alignment horizontal="right" vertical="center"/>
    </xf>
    <xf numFmtId="179" fontId="4" fillId="0" borderId="3" xfId="1" applyNumberFormat="1" applyFont="1" applyFill="1" applyBorder="1">
      <alignment vertical="center"/>
    </xf>
    <xf numFmtId="179" fontId="10" fillId="0" borderId="3" xfId="1" applyNumberFormat="1" applyFont="1" applyFill="1" applyBorder="1" applyAlignment="1">
      <alignment horizontal="right" vertical="center"/>
    </xf>
    <xf numFmtId="0" fontId="14" fillId="0" borderId="3" xfId="0" applyFont="1" applyFill="1" applyBorder="1">
      <alignment vertical="center"/>
    </xf>
    <xf numFmtId="179" fontId="14" fillId="0" borderId="3" xfId="0" applyNumberFormat="1" applyFont="1" applyBorder="1">
      <alignment vertical="center"/>
    </xf>
    <xf numFmtId="0" fontId="14" fillId="0" borderId="3" xfId="0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14" fontId="10" fillId="8" borderId="1" xfId="0" applyNumberFormat="1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4" fillId="8" borderId="1" xfId="0" applyFont="1" applyFill="1" applyBorder="1" applyAlignment="1">
      <alignment horizontal="left" vertical="center"/>
    </xf>
    <xf numFmtId="0" fontId="5" fillId="8" borderId="1" xfId="0" applyFont="1" applyFill="1" applyBorder="1">
      <alignment vertical="center"/>
    </xf>
    <xf numFmtId="177" fontId="14" fillId="8" borderId="1" xfId="0" applyNumberFormat="1" applyFont="1" applyFill="1" applyBorder="1" applyAlignment="1">
      <alignment horizontal="right" vertical="center"/>
    </xf>
    <xf numFmtId="177" fontId="5" fillId="8" borderId="1" xfId="0" applyNumberFormat="1" applyFont="1" applyFill="1" applyBorder="1">
      <alignment vertical="center"/>
    </xf>
    <xf numFmtId="177" fontId="10" fillId="8" borderId="1" xfId="0" applyNumberFormat="1" applyFont="1" applyFill="1" applyBorder="1">
      <alignment vertical="center"/>
    </xf>
    <xf numFmtId="0" fontId="14" fillId="8" borderId="1" xfId="0" applyFont="1" applyFill="1" applyBorder="1">
      <alignment vertical="center"/>
    </xf>
    <xf numFmtId="179" fontId="4" fillId="8" borderId="1" xfId="1" applyNumberFormat="1" applyFont="1" applyFill="1" applyBorder="1" applyAlignment="1" applyProtection="1">
      <alignment vertical="center"/>
    </xf>
    <xf numFmtId="179" fontId="5" fillId="8" borderId="1" xfId="1" applyNumberFormat="1" applyFont="1" applyFill="1" applyBorder="1" applyAlignment="1" applyProtection="1">
      <alignment horizontal="right" vertical="center"/>
    </xf>
    <xf numFmtId="179" fontId="4" fillId="8" borderId="1" xfId="1" applyNumberFormat="1" applyFont="1" applyFill="1" applyBorder="1">
      <alignment vertical="center"/>
    </xf>
    <xf numFmtId="179" fontId="10" fillId="8" borderId="1" xfId="1" applyNumberFormat="1" applyFont="1" applyFill="1" applyBorder="1" applyAlignment="1">
      <alignment horizontal="right" vertical="center"/>
    </xf>
    <xf numFmtId="0" fontId="10" fillId="8" borderId="1" xfId="0" applyFont="1" applyFill="1" applyBorder="1">
      <alignment vertical="center"/>
    </xf>
    <xf numFmtId="179" fontId="14" fillId="8" borderId="1" xfId="0" applyNumberFormat="1" applyFont="1" applyFill="1" applyBorder="1">
      <alignment vertical="center"/>
    </xf>
    <xf numFmtId="0" fontId="14" fillId="8" borderId="1" xfId="0" applyFont="1" applyFill="1" applyBorder="1" applyAlignment="1">
      <alignment horizontal="right" vertical="center"/>
    </xf>
    <xf numFmtId="0" fontId="0" fillId="8" borderId="1" xfId="0" applyFill="1" applyBorder="1">
      <alignment vertical="center"/>
    </xf>
    <xf numFmtId="0" fontId="0" fillId="8" borderId="0" xfId="0" applyFill="1">
      <alignment vertical="center"/>
    </xf>
    <xf numFmtId="0" fontId="10" fillId="0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vertical="center" wrapText="1"/>
    </xf>
    <xf numFmtId="1" fontId="5" fillId="0" borderId="1" xfId="0" applyNumberFormat="1" applyFont="1" applyFill="1" applyBorder="1" applyAlignment="1">
      <alignment vertical="center"/>
    </xf>
    <xf numFmtId="1" fontId="14" fillId="0" borderId="1" xfId="0" applyNumberFormat="1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" fontId="10" fillId="0" borderId="1" xfId="0" applyNumberFormat="1" applyFont="1" applyFill="1" applyBorder="1" applyAlignment="1">
      <alignment vertical="center"/>
    </xf>
    <xf numFmtId="1" fontId="10" fillId="0" borderId="2" xfId="0" applyNumberFormat="1" applyFont="1" applyFill="1" applyBorder="1" applyAlignment="1">
      <alignment vertical="center"/>
    </xf>
    <xf numFmtId="177" fontId="10" fillId="0" borderId="1" xfId="0" applyNumberFormat="1" applyFont="1" applyFill="1" applyBorder="1" applyAlignment="1">
      <alignment vertical="center"/>
    </xf>
    <xf numFmtId="1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2" fontId="0" fillId="0" borderId="1" xfId="0" applyNumberFormat="1" applyFill="1" applyBorder="1" applyAlignment="1">
      <alignment vertical="center"/>
    </xf>
    <xf numFmtId="1" fontId="10" fillId="0" borderId="3" xfId="0" applyNumberFormat="1" applyFont="1" applyFill="1" applyBorder="1" applyAlignment="1">
      <alignment vertical="center"/>
    </xf>
    <xf numFmtId="1" fontId="0" fillId="8" borderId="1" xfId="0" applyNumberForma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177" fontId="0" fillId="0" borderId="0" xfId="0" applyNumberFormat="1" applyFill="1" applyAlignment="1">
      <alignment vertical="center"/>
    </xf>
    <xf numFmtId="0" fontId="14" fillId="7" borderId="1" xfId="0" applyFont="1" applyFill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49" fontId="0" fillId="0" borderId="2" xfId="0" applyNumberFormat="1" applyBorder="1" applyAlignment="1">
      <alignment horizontal="left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0" fillId="0" borderId="2" xfId="0" applyFill="1" applyBorder="1" applyAlignment="1">
      <alignment vertical="center"/>
    </xf>
    <xf numFmtId="0" fontId="5" fillId="0" borderId="2" xfId="0" applyFont="1" applyBorder="1">
      <alignment vertical="center"/>
    </xf>
    <xf numFmtId="177" fontId="14" fillId="0" borderId="2" xfId="0" applyNumberFormat="1" applyFont="1" applyBorder="1" applyAlignment="1">
      <alignment horizontal="right" vertical="center"/>
    </xf>
    <xf numFmtId="177" fontId="5" fillId="0" borderId="2" xfId="0" applyNumberFormat="1" applyFont="1" applyBorder="1">
      <alignment vertical="center"/>
    </xf>
    <xf numFmtId="0" fontId="14" fillId="0" borderId="2" xfId="0" applyFont="1" applyFill="1" applyBorder="1">
      <alignment vertical="center"/>
    </xf>
    <xf numFmtId="0" fontId="14" fillId="0" borderId="2" xfId="0" applyFont="1" applyBorder="1">
      <alignment vertical="center"/>
    </xf>
    <xf numFmtId="179" fontId="4" fillId="0" borderId="2" xfId="1" applyNumberFormat="1" applyFont="1" applyFill="1" applyBorder="1" applyAlignment="1" applyProtection="1">
      <alignment vertical="center"/>
    </xf>
    <xf numFmtId="179" fontId="5" fillId="0" borderId="2" xfId="1" applyNumberFormat="1" applyFont="1" applyFill="1" applyBorder="1" applyAlignment="1" applyProtection="1">
      <alignment horizontal="right" vertical="center"/>
    </xf>
    <xf numFmtId="179" fontId="4" fillId="0" borderId="2" xfId="1" applyNumberFormat="1" applyFont="1" applyFill="1" applyBorder="1">
      <alignment vertical="center"/>
    </xf>
    <xf numFmtId="0" fontId="14" fillId="0" borderId="2" xfId="1" applyNumberFormat="1" applyFont="1" applyFill="1" applyBorder="1" applyAlignment="1">
      <alignment horizontal="right" vertical="center"/>
    </xf>
    <xf numFmtId="0" fontId="14" fillId="0" borderId="28" xfId="0" applyFont="1" applyFill="1" applyBorder="1">
      <alignment vertical="center"/>
    </xf>
    <xf numFmtId="179" fontId="14" fillId="0" borderId="2" xfId="0" applyNumberFormat="1" applyFont="1" applyBorder="1">
      <alignment vertical="center"/>
    </xf>
    <xf numFmtId="0" fontId="14" fillId="0" borderId="2" xfId="0" applyFont="1" applyBorder="1" applyAlignment="1">
      <alignment horizontal="right" vertical="center"/>
    </xf>
    <xf numFmtId="49" fontId="14" fillId="0" borderId="27" xfId="0" applyNumberFormat="1" applyFont="1" applyBorder="1" applyAlignment="1">
      <alignment horizontal="left" vertical="center"/>
    </xf>
    <xf numFmtId="0" fontId="14" fillId="0" borderId="27" xfId="0" applyFont="1" applyFill="1" applyBorder="1" applyAlignment="1">
      <alignment horizontal="center" vertical="center"/>
    </xf>
    <xf numFmtId="0" fontId="14" fillId="0" borderId="27" xfId="0" applyFont="1" applyBorder="1" applyAlignment="1">
      <alignment horizontal="left" vertical="center"/>
    </xf>
    <xf numFmtId="1" fontId="14" fillId="0" borderId="27" xfId="0" applyNumberFormat="1" applyFont="1" applyFill="1" applyBorder="1" applyAlignment="1">
      <alignment vertical="center"/>
    </xf>
    <xf numFmtId="0" fontId="5" fillId="0" borderId="27" xfId="0" applyFont="1" applyBorder="1">
      <alignment vertical="center"/>
    </xf>
    <xf numFmtId="177" fontId="14" fillId="0" borderId="27" xfId="0" applyNumberFormat="1" applyFont="1" applyBorder="1" applyAlignment="1">
      <alignment horizontal="right" vertical="center"/>
    </xf>
    <xf numFmtId="177" fontId="5" fillId="0" borderId="27" xfId="0" applyNumberFormat="1" applyFont="1" applyBorder="1">
      <alignment vertical="center"/>
    </xf>
    <xf numFmtId="0" fontId="14" fillId="0" borderId="27" xfId="0" applyFont="1" applyFill="1" applyBorder="1">
      <alignment vertical="center"/>
    </xf>
    <xf numFmtId="0" fontId="14" fillId="0" borderId="27" xfId="0" applyFont="1" applyBorder="1">
      <alignment vertical="center"/>
    </xf>
    <xf numFmtId="179" fontId="5" fillId="0" borderId="27" xfId="1" applyNumberFormat="1" applyFont="1" applyFill="1" applyBorder="1" applyAlignment="1" applyProtection="1">
      <alignment vertical="center"/>
    </xf>
    <xf numFmtId="179" fontId="5" fillId="0" borderId="27" xfId="1" applyNumberFormat="1" applyFont="1" applyFill="1" applyBorder="1" applyAlignment="1" applyProtection="1">
      <alignment horizontal="right" vertical="center"/>
    </xf>
    <xf numFmtId="179" fontId="4" fillId="0" borderId="27" xfId="1" applyNumberFormat="1" applyFont="1" applyFill="1" applyBorder="1">
      <alignment vertical="center"/>
    </xf>
    <xf numFmtId="0" fontId="14" fillId="0" borderId="27" xfId="1" applyNumberFormat="1" applyFont="1" applyFill="1" applyBorder="1" applyAlignment="1">
      <alignment horizontal="right" vertical="center"/>
    </xf>
    <xf numFmtId="0" fontId="14" fillId="0" borderId="29" xfId="0" applyFont="1" applyFill="1" applyBorder="1">
      <alignment vertical="center"/>
    </xf>
    <xf numFmtId="179" fontId="14" fillId="0" borderId="27" xfId="0" applyNumberFormat="1" applyFont="1" applyBorder="1">
      <alignment vertical="center"/>
    </xf>
    <xf numFmtId="0" fontId="14" fillId="0" borderId="27" xfId="0" applyFont="1" applyBorder="1" applyAlignment="1">
      <alignment horizontal="right" vertical="center"/>
    </xf>
    <xf numFmtId="14" fontId="10" fillId="0" borderId="2" xfId="0" applyNumberFormat="1" applyFont="1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177" fontId="14" fillId="0" borderId="2" xfId="0" applyNumberFormat="1" applyFont="1" applyFill="1" applyBorder="1" applyAlignment="1">
      <alignment horizontal="right" vertical="center"/>
    </xf>
    <xf numFmtId="177" fontId="5" fillId="0" borderId="2" xfId="0" applyNumberFormat="1" applyFont="1" applyFill="1" applyBorder="1">
      <alignment vertical="center"/>
    </xf>
    <xf numFmtId="0" fontId="10" fillId="0" borderId="2" xfId="0" applyFont="1" applyFill="1" applyBorder="1">
      <alignment vertical="center"/>
    </xf>
    <xf numFmtId="179" fontId="10" fillId="0" borderId="2" xfId="1" applyNumberFormat="1" applyFont="1" applyFill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14" fontId="10" fillId="0" borderId="27" xfId="0" applyNumberFormat="1" applyFont="1" applyFill="1" applyBorder="1" applyAlignment="1">
      <alignment horizontal="left" vertical="center"/>
    </xf>
    <xf numFmtId="0" fontId="0" fillId="0" borderId="27" xfId="0" applyFill="1" applyBorder="1" applyAlignment="1">
      <alignment horizontal="center" vertical="center"/>
    </xf>
    <xf numFmtId="0" fontId="14" fillId="0" borderId="27" xfId="0" applyFont="1" applyFill="1" applyBorder="1" applyAlignment="1">
      <alignment horizontal="left" vertical="center"/>
    </xf>
    <xf numFmtId="0" fontId="14" fillId="0" borderId="27" xfId="0" applyFont="1" applyFill="1" applyBorder="1" applyAlignment="1">
      <alignment vertical="center"/>
    </xf>
    <xf numFmtId="0" fontId="5" fillId="0" borderId="27" xfId="0" applyFont="1" applyFill="1" applyBorder="1">
      <alignment vertical="center"/>
    </xf>
    <xf numFmtId="177" fontId="14" fillId="0" borderId="27" xfId="0" applyNumberFormat="1" applyFont="1" applyFill="1" applyBorder="1" applyAlignment="1">
      <alignment horizontal="right" vertical="center"/>
    </xf>
    <xf numFmtId="177" fontId="5" fillId="0" borderId="27" xfId="0" applyNumberFormat="1" applyFont="1" applyFill="1" applyBorder="1">
      <alignment vertical="center"/>
    </xf>
    <xf numFmtId="0" fontId="10" fillId="0" borderId="27" xfId="0" applyFont="1" applyFill="1" applyBorder="1">
      <alignment vertical="center"/>
    </xf>
    <xf numFmtId="179" fontId="4" fillId="0" borderId="27" xfId="1" applyNumberFormat="1" applyFont="1" applyFill="1" applyBorder="1" applyAlignment="1" applyProtection="1">
      <alignment vertical="center"/>
    </xf>
    <xf numFmtId="179" fontId="10" fillId="0" borderId="27" xfId="1" applyNumberFormat="1" applyFont="1" applyFill="1" applyBorder="1" applyAlignment="1">
      <alignment horizontal="right" vertical="center"/>
    </xf>
    <xf numFmtId="179" fontId="14" fillId="0" borderId="27" xfId="0" applyNumberFormat="1" applyFont="1" applyFill="1" applyBorder="1">
      <alignment vertical="center"/>
    </xf>
    <xf numFmtId="0" fontId="14" fillId="0" borderId="27" xfId="0" applyFont="1" applyFill="1" applyBorder="1" applyAlignment="1">
      <alignment horizontal="right" vertical="center"/>
    </xf>
    <xf numFmtId="0" fontId="10" fillId="0" borderId="27" xfId="0" applyFont="1" applyFill="1" applyBorder="1" applyAlignment="1">
      <alignment horizontal="center" vertical="center"/>
    </xf>
    <xf numFmtId="177" fontId="23" fillId="9" borderId="1" xfId="0" applyNumberFormat="1" applyFont="1" applyFill="1" applyBorder="1">
      <alignment vertical="center"/>
    </xf>
    <xf numFmtId="177" fontId="23" fillId="8" borderId="1" xfId="0" applyNumberFormat="1" applyFont="1" applyFill="1" applyBorder="1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0" fontId="9" fillId="0" borderId="1" xfId="0" applyFont="1" applyBorder="1" applyAlignment="1">
      <alignment horizontal="right" vertical="center" wrapText="1"/>
    </xf>
    <xf numFmtId="0" fontId="14" fillId="0" borderId="1" xfId="0" applyFont="1" applyBorder="1" applyAlignment="1">
      <alignment horizontal="left" vertical="center"/>
    </xf>
    <xf numFmtId="20" fontId="14" fillId="0" borderId="1" xfId="0" applyNumberFormat="1" applyFont="1" applyBorder="1">
      <alignment vertical="center"/>
    </xf>
    <xf numFmtId="180" fontId="14" fillId="2" borderId="1" xfId="0" applyNumberFormat="1" applyFont="1" applyFill="1" applyBorder="1">
      <alignment vertical="center"/>
    </xf>
    <xf numFmtId="0" fontId="14" fillId="0" borderId="24" xfId="0" applyFont="1" applyBorder="1" applyAlignment="1">
      <alignment horizontal="right" vertical="center"/>
    </xf>
    <xf numFmtId="20" fontId="0" fillId="0" borderId="1" xfId="0" applyNumberFormat="1" applyBorder="1">
      <alignment vertical="center"/>
    </xf>
    <xf numFmtId="0" fontId="0" fillId="0" borderId="22" xfId="0" applyBorder="1">
      <alignment vertical="center"/>
    </xf>
    <xf numFmtId="0" fontId="0" fillId="0" borderId="1" xfId="0" applyBorder="1">
      <alignment vertical="center"/>
    </xf>
    <xf numFmtId="0" fontId="14" fillId="0" borderId="1" xfId="0" applyFont="1" applyBorder="1">
      <alignment vertical="center"/>
    </xf>
    <xf numFmtId="0" fontId="14" fillId="0" borderId="1" xfId="0" applyFont="1" applyBorder="1" applyAlignment="1">
      <alignment horizontal="right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>
      <alignment vertical="center"/>
    </xf>
    <xf numFmtId="0" fontId="14" fillId="0" borderId="1" xfId="0" applyFont="1" applyFill="1" applyBorder="1" applyAlignment="1">
      <alignment horizontal="left" vertical="center"/>
    </xf>
    <xf numFmtId="0" fontId="0" fillId="0" borderId="22" xfId="0" applyFill="1" applyBorder="1">
      <alignment vertical="center"/>
    </xf>
    <xf numFmtId="20" fontId="0" fillId="0" borderId="1" xfId="0" applyNumberFormat="1" applyFill="1" applyBorder="1">
      <alignment vertical="center"/>
    </xf>
    <xf numFmtId="0" fontId="14" fillId="0" borderId="1" xfId="0" applyFont="1" applyFill="1" applyBorder="1" applyAlignment="1">
      <alignment horizontal="right" vertical="center"/>
    </xf>
    <xf numFmtId="20" fontId="14" fillId="0" borderId="1" xfId="0" applyNumberFormat="1" applyFont="1" applyFill="1" applyBorder="1">
      <alignment vertical="center"/>
    </xf>
    <xf numFmtId="0" fontId="14" fillId="0" borderId="24" xfId="0" applyFont="1" applyFill="1" applyBorder="1" applyAlignment="1">
      <alignment horizontal="right" vertical="center"/>
    </xf>
    <xf numFmtId="0" fontId="0" fillId="0" borderId="0" xfId="0" applyFill="1">
      <alignment vertical="center"/>
    </xf>
    <xf numFmtId="49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22" xfId="0" applyFill="1" applyBorder="1">
      <alignment vertical="center"/>
    </xf>
    <xf numFmtId="0" fontId="0" fillId="7" borderId="1" xfId="0" applyFill="1" applyBorder="1">
      <alignment vertical="center"/>
    </xf>
    <xf numFmtId="0" fontId="14" fillId="7" borderId="1" xfId="0" applyFont="1" applyFill="1" applyBorder="1" applyAlignment="1">
      <alignment horizontal="right" vertical="center"/>
    </xf>
    <xf numFmtId="0" fontId="14" fillId="7" borderId="1" xfId="0" applyFont="1" applyFill="1" applyBorder="1">
      <alignment vertical="center"/>
    </xf>
    <xf numFmtId="20" fontId="14" fillId="7" borderId="1" xfId="0" applyNumberFormat="1" applyFont="1" applyFill="1" applyBorder="1">
      <alignment vertical="center"/>
    </xf>
    <xf numFmtId="0" fontId="14" fillId="7" borderId="24" xfId="0" applyFont="1" applyFill="1" applyBorder="1" applyAlignment="1">
      <alignment horizontal="right" vertical="center"/>
    </xf>
    <xf numFmtId="0" fontId="14" fillId="7" borderId="1" xfId="0" applyFont="1" applyFill="1" applyBorder="1" applyAlignment="1">
      <alignment horizontal="left" vertical="center"/>
    </xf>
    <xf numFmtId="180" fontId="14" fillId="7" borderId="1" xfId="0" applyNumberFormat="1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Fill="1" applyBorder="1" applyAlignment="1">
      <alignment horizontal="right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20" fontId="0" fillId="7" borderId="1" xfId="0" applyNumberFormat="1" applyFill="1" applyBorder="1">
      <alignment vertical="center"/>
    </xf>
    <xf numFmtId="1" fontId="0" fillId="7" borderId="1" xfId="0" applyNumberFormat="1" applyFill="1" applyBorder="1" applyAlignment="1">
      <alignment horizontal="right" vertical="center"/>
    </xf>
    <xf numFmtId="0" fontId="10" fillId="0" borderId="1" xfId="0" applyFont="1" applyFill="1" applyBorder="1" applyAlignment="1">
      <alignment horizontal="center" vertical="center"/>
    </xf>
    <xf numFmtId="1" fontId="10" fillId="0" borderId="1" xfId="0" applyNumberFormat="1" applyFont="1" applyFill="1" applyBorder="1" applyAlignment="1">
      <alignment horizontal="right" vertical="center"/>
    </xf>
    <xf numFmtId="14" fontId="10" fillId="0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left" vertical="center"/>
    </xf>
    <xf numFmtId="14" fontId="10" fillId="7" borderId="1" xfId="0" applyNumberFormat="1" applyFont="1" applyFill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4" fillId="7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180" fontId="14" fillId="0" borderId="1" xfId="0" applyNumberFormat="1" applyFont="1" applyFill="1" applyBorder="1">
      <alignment vertical="center"/>
    </xf>
    <xf numFmtId="49" fontId="14" fillId="7" borderId="1" xfId="0" applyNumberFormat="1" applyFont="1" applyFill="1" applyBorder="1" applyAlignment="1">
      <alignment horizontal="center" vertical="center"/>
    </xf>
    <xf numFmtId="0" fontId="14" fillId="7" borderId="20" xfId="0" applyFont="1" applyFill="1" applyBorder="1" applyAlignment="1">
      <alignment horizontal="center" vertical="center"/>
    </xf>
    <xf numFmtId="0" fontId="14" fillId="7" borderId="21" xfId="0" applyFont="1" applyFill="1" applyBorder="1">
      <alignment vertical="center"/>
    </xf>
    <xf numFmtId="0" fontId="14" fillId="7" borderId="22" xfId="0" applyFont="1" applyFill="1" applyBorder="1">
      <alignment vertical="center"/>
    </xf>
    <xf numFmtId="0" fontId="14" fillId="7" borderId="23" xfId="1" applyNumberFormat="1" applyFont="1" applyFill="1" applyBorder="1" applyAlignment="1">
      <alignment horizontal="right" vertical="center"/>
    </xf>
    <xf numFmtId="0" fontId="14" fillId="7" borderId="20" xfId="0" applyFont="1" applyFill="1" applyBorder="1" applyAlignment="1">
      <alignment horizontal="right" vertical="center"/>
    </xf>
    <xf numFmtId="0" fontId="14" fillId="7" borderId="20" xfId="0" applyFont="1" applyFill="1" applyBorder="1">
      <alignment vertical="center"/>
    </xf>
    <xf numFmtId="0" fontId="0" fillId="7" borderId="1" xfId="0" applyFill="1" applyBorder="1" applyAlignment="1">
      <alignment horizontal="right" vertical="center"/>
    </xf>
    <xf numFmtId="20" fontId="13" fillId="0" borderId="1" xfId="0" applyNumberFormat="1" applyFont="1" applyBorder="1">
      <alignment vertical="center"/>
    </xf>
    <xf numFmtId="14" fontId="14" fillId="0" borderId="1" xfId="0" applyNumberFormat="1" applyFont="1" applyFill="1" applyBorder="1" applyAlignment="1">
      <alignment horizontal="left" vertical="center"/>
    </xf>
    <xf numFmtId="0" fontId="24" fillId="0" borderId="1" xfId="0" applyFont="1" applyBorder="1" applyAlignment="1">
      <alignment vertical="center"/>
    </xf>
    <xf numFmtId="0" fontId="24" fillId="0" borderId="1" xfId="0" applyFont="1" applyFill="1" applyBorder="1" applyAlignment="1">
      <alignment vertical="center"/>
    </xf>
    <xf numFmtId="0" fontId="0" fillId="0" borderId="1" xfId="0" applyNumberFormat="1" applyBorder="1">
      <alignment vertical="center"/>
    </xf>
    <xf numFmtId="14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14" fontId="3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20" fontId="11" fillId="0" borderId="1" xfId="0" applyNumberFormat="1" applyFont="1" applyBorder="1">
      <alignment vertical="center"/>
    </xf>
    <xf numFmtId="14" fontId="3" fillId="0" borderId="1" xfId="0" applyNumberFormat="1" applyFont="1" applyFill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41" fontId="3" fillId="0" borderId="1" xfId="0" applyNumberFormat="1" applyFont="1" applyFill="1" applyBorder="1" applyAlignment="1">
      <alignment horizontal="center" vertical="center"/>
    </xf>
    <xf numFmtId="14" fontId="14" fillId="7" borderId="1" xfId="0" applyNumberFormat="1" applyFont="1" applyFill="1" applyBorder="1" applyAlignment="1">
      <alignment horizontal="left" vertical="center"/>
    </xf>
    <xf numFmtId="14" fontId="11" fillId="0" borderId="1" xfId="0" applyNumberFormat="1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22" xfId="0" applyFont="1" applyBorder="1">
      <alignment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right" vertical="center"/>
    </xf>
    <xf numFmtId="180" fontId="11" fillId="2" borderId="1" xfId="0" applyNumberFormat="1" applyFont="1" applyFill="1" applyBorder="1">
      <alignment vertical="center"/>
    </xf>
    <xf numFmtId="0" fontId="11" fillId="0" borderId="24" xfId="0" applyFont="1" applyBorder="1" applyAlignment="1">
      <alignment horizontal="right" vertical="center"/>
    </xf>
    <xf numFmtId="14" fontId="10" fillId="2" borderId="1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0" fontId="5" fillId="2" borderId="1" xfId="0" applyFont="1" applyFill="1" applyBorder="1">
      <alignment vertical="center"/>
    </xf>
    <xf numFmtId="177" fontId="14" fillId="2" borderId="1" xfId="0" applyNumberFormat="1" applyFont="1" applyFill="1" applyBorder="1" applyAlignment="1">
      <alignment horizontal="right" vertical="center"/>
    </xf>
    <xf numFmtId="177" fontId="5" fillId="2" borderId="1" xfId="0" applyNumberFormat="1" applyFont="1" applyFill="1" applyBorder="1">
      <alignment vertical="center"/>
    </xf>
    <xf numFmtId="0" fontId="10" fillId="2" borderId="1" xfId="0" applyFont="1" applyFill="1" applyBorder="1">
      <alignment vertical="center"/>
    </xf>
    <xf numFmtId="0" fontId="14" fillId="2" borderId="1" xfId="0" applyFont="1" applyFill="1" applyBorder="1">
      <alignment vertical="center"/>
    </xf>
    <xf numFmtId="179" fontId="4" fillId="2" borderId="1" xfId="1" applyNumberFormat="1" applyFont="1" applyFill="1" applyBorder="1" applyAlignment="1" applyProtection="1">
      <alignment vertical="center"/>
    </xf>
    <xf numFmtId="179" fontId="5" fillId="2" borderId="1" xfId="1" applyNumberFormat="1" applyFont="1" applyFill="1" applyBorder="1" applyAlignment="1" applyProtection="1">
      <alignment horizontal="right" vertical="center"/>
    </xf>
    <xf numFmtId="179" fontId="4" fillId="2" borderId="1" xfId="1" applyNumberFormat="1" applyFont="1" applyFill="1" applyBorder="1">
      <alignment vertical="center"/>
    </xf>
    <xf numFmtId="179" fontId="10" fillId="2" borderId="1" xfId="1" applyNumberFormat="1" applyFont="1" applyFill="1" applyBorder="1" applyAlignment="1">
      <alignment horizontal="right" vertical="center"/>
    </xf>
    <xf numFmtId="179" fontId="14" fillId="2" borderId="1" xfId="0" applyNumberFormat="1" applyFont="1" applyFill="1" applyBorder="1">
      <alignment vertical="center"/>
    </xf>
    <xf numFmtId="0" fontId="14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20" fontId="14" fillId="10" borderId="1" xfId="0" applyNumberFormat="1" applyFont="1" applyFill="1" applyBorder="1">
      <alignment vertical="center"/>
    </xf>
    <xf numFmtId="0" fontId="14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8" borderId="0" xfId="0" applyFill="1" applyBorder="1">
      <alignment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0" fillId="0" borderId="0" xfId="0" pivotButton="1">
      <alignment vertical="center"/>
    </xf>
    <xf numFmtId="14" fontId="0" fillId="0" borderId="0" xfId="0" applyNumberFormat="1">
      <alignment vertical="center"/>
    </xf>
    <xf numFmtId="0" fontId="27" fillId="2" borderId="0" xfId="0" applyFont="1" applyFill="1">
      <alignment vertical="center"/>
    </xf>
    <xf numFmtId="179" fontId="28" fillId="6" borderId="1" xfId="1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1" fontId="24" fillId="0" borderId="1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" fillId="0" borderId="11" xfId="1" applyNumberFormat="1" applyFont="1" applyFill="1" applyBorder="1" applyAlignment="1">
      <alignment horizontal="center" vertical="center" wrapText="1"/>
    </xf>
    <xf numFmtId="0" fontId="3" fillId="0" borderId="10" xfId="1" applyNumberFormat="1" applyFont="1" applyFill="1" applyBorder="1" applyAlignment="1">
      <alignment horizontal="center" vertical="center" wrapText="1"/>
    </xf>
    <xf numFmtId="0" fontId="3" fillId="0" borderId="14" xfId="1" applyNumberFormat="1" applyFont="1" applyFill="1" applyBorder="1" applyAlignment="1">
      <alignment horizontal="center" vertical="center" wrapText="1"/>
    </xf>
    <xf numFmtId="0" fontId="3" fillId="0" borderId="15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16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20" fillId="0" borderId="4" xfId="0" applyFont="1" applyBorder="1" applyAlignment="1">
      <alignment horizontal="right" vertical="center" wrapText="1"/>
    </xf>
    <xf numFmtId="0" fontId="20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right" vertical="center" wrapText="1"/>
    </xf>
    <xf numFmtId="0" fontId="0" fillId="0" borderId="17" xfId="0" applyBorder="1" applyAlignment="1">
      <alignment horizontal="right" vertical="center" wrapText="1"/>
    </xf>
    <xf numFmtId="14" fontId="10" fillId="11" borderId="1" xfId="0" applyNumberFormat="1" applyFont="1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/>
    </xf>
    <xf numFmtId="0" fontId="14" fillId="11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vertical="center"/>
    </xf>
    <xf numFmtId="0" fontId="5" fillId="11" borderId="1" xfId="0" applyFont="1" applyFill="1" applyBorder="1">
      <alignment vertical="center"/>
    </xf>
    <xf numFmtId="177" fontId="14" fillId="11" borderId="1" xfId="0" applyNumberFormat="1" applyFont="1" applyFill="1" applyBorder="1" applyAlignment="1">
      <alignment horizontal="right" vertical="center"/>
    </xf>
    <xf numFmtId="177" fontId="5" fillId="11" borderId="1" xfId="0" applyNumberFormat="1" applyFont="1" applyFill="1" applyBorder="1">
      <alignment vertical="center"/>
    </xf>
    <xf numFmtId="0" fontId="10" fillId="11" borderId="1" xfId="0" applyFont="1" applyFill="1" applyBorder="1">
      <alignment vertical="center"/>
    </xf>
    <xf numFmtId="0" fontId="14" fillId="11" borderId="1" xfId="0" applyFont="1" applyFill="1" applyBorder="1">
      <alignment vertical="center"/>
    </xf>
    <xf numFmtId="179" fontId="4" fillId="11" borderId="1" xfId="1" applyNumberFormat="1" applyFont="1" applyFill="1" applyBorder="1" applyAlignment="1" applyProtection="1">
      <alignment vertical="center"/>
    </xf>
    <xf numFmtId="179" fontId="5" fillId="11" borderId="1" xfId="1" applyNumberFormat="1" applyFont="1" applyFill="1" applyBorder="1" applyAlignment="1" applyProtection="1">
      <alignment horizontal="right" vertical="center"/>
    </xf>
    <xf numFmtId="179" fontId="4" fillId="11" borderId="1" xfId="1" applyNumberFormat="1" applyFont="1" applyFill="1" applyBorder="1">
      <alignment vertical="center"/>
    </xf>
    <xf numFmtId="179" fontId="10" fillId="11" borderId="1" xfId="1" applyNumberFormat="1" applyFont="1" applyFill="1" applyBorder="1" applyAlignment="1">
      <alignment horizontal="right" vertical="center"/>
    </xf>
    <xf numFmtId="179" fontId="14" fillId="11" borderId="1" xfId="0" applyNumberFormat="1" applyFont="1" applyFill="1" applyBorder="1">
      <alignment vertical="center"/>
    </xf>
    <xf numFmtId="0" fontId="14" fillId="11" borderId="1" xfId="0" applyFont="1" applyFill="1" applyBorder="1" applyAlignment="1">
      <alignment horizontal="right" vertical="center"/>
    </xf>
    <xf numFmtId="0" fontId="10" fillId="11" borderId="1" xfId="0" applyFont="1" applyFill="1" applyBorder="1" applyAlignment="1">
      <alignment horizontal="center" vertical="center"/>
    </xf>
    <xf numFmtId="14" fontId="3" fillId="11" borderId="1" xfId="0" applyNumberFormat="1" applyFont="1" applyFill="1" applyBorder="1" applyAlignment="1">
      <alignment horizontal="center" vertical="center"/>
    </xf>
    <xf numFmtId="1" fontId="3" fillId="11" borderId="1" xfId="0" applyNumberFormat="1" applyFont="1" applyFill="1" applyBorder="1" applyAlignment="1">
      <alignment horizontal="center" vertical="center"/>
    </xf>
    <xf numFmtId="0" fontId="0" fillId="11" borderId="0" xfId="0" applyFill="1">
      <alignment vertical="center"/>
    </xf>
  </cellXfs>
  <cellStyles count="4">
    <cellStyle name="一般" xfId="0" builtinId="0"/>
    <cellStyle name="一般 2" xfId="2"/>
    <cellStyle name="一般 3" xfId="3"/>
    <cellStyle name="百分比" xfId="1" builtinId="5"/>
  </cellStyles>
  <dxfs count="24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uhui8" refreshedDate="46262.378806134257" createdVersion="5" refreshedVersion="5" minRefreshableVersion="3" recordCount="3871">
  <cacheSource type="worksheet">
    <worksheetSource ref="A1:AD1048576" sheet="資料總表"/>
  </cacheSource>
  <cacheFields count="28">
    <cacheField name="日期" numFmtId="0">
      <sharedItems containsDate="1" containsBlank="1" containsMixedTypes="1" minDate="2025-01-13T00:00:00" maxDate="2026-08-29T00:00:00" count="623">
        <s v="2024/01/02"/>
        <s v="2024/01/03"/>
        <s v="2024/01/04"/>
        <s v="2024/01/05"/>
        <s v="2024/01/06"/>
        <s v="2024/01/08"/>
        <s v="2024/01/09"/>
        <s v="2024/01/10"/>
        <s v="2024/01/11"/>
        <s v="2024/01/12"/>
        <s v="2024/01/13"/>
        <s v="2024/01/15"/>
        <s v="2024/01/16"/>
        <s v="2024/01/17"/>
        <s v="2024/01/18"/>
        <s v="2024/01/19"/>
        <s v="2024/01/20"/>
        <s v="2024/01/22"/>
        <s v="2024/01/23"/>
        <s v="2024/01/24"/>
        <s v="2024/01/25"/>
        <s v="2024/01/26"/>
        <s v="2024/01/27"/>
        <s v="2024/01/29"/>
        <s v="2024/01/30"/>
        <s v="2024/01/31"/>
        <s v="2024/02/01"/>
        <s v="2024/02/02"/>
        <s v="2024/02/05"/>
        <s v="2024/02/06"/>
        <s v="2024/02/07"/>
        <s v="2024/02/15"/>
        <s v="2024/02/16"/>
        <s v="2024/02/17"/>
        <s v="2024/02/19"/>
        <s v="2024/02/20"/>
        <s v="2024/02/21"/>
        <s v="2024/02/22"/>
        <s v="2024/02/23"/>
        <s v="2024/02/24"/>
        <s v="2024/02/26"/>
        <s v="2024/02/27"/>
        <s v="2024/02/28"/>
        <s v="2024/02/29"/>
        <s v="2024/03/01"/>
        <s v="2024/03/04"/>
        <s v="2024/03/05"/>
        <s v="2024/03/06"/>
        <s v="2024/03/07"/>
        <s v="2024/03/08"/>
        <s v="2024/03/11"/>
        <s v="2024/03/12"/>
        <s v="2024/03/13"/>
        <s v="2024/03/14"/>
        <s v="2024/03/15"/>
        <s v="2024/03/18"/>
        <s v="2024/03/19"/>
        <s v="2024/03/20"/>
        <s v="2024/03/21"/>
        <s v="2024/03/22"/>
        <s v="2024/03/25"/>
        <s v="2024/03/26"/>
        <s v="2024/03/27"/>
        <s v="2024/03/28"/>
        <s v="2024/03/29"/>
        <s v="2024/04/01"/>
        <s v="2024/04/02"/>
        <s v="2024/04/03"/>
        <s v="2024/04/08"/>
        <s v="2024/04/09"/>
        <s v="2024/04/10"/>
        <s v="2024/04/11"/>
        <s v="2024/04/12"/>
        <s v="2024/04/15"/>
        <s v="2024/04/16"/>
        <s v="2024/04/17"/>
        <s v="2024/04/18"/>
        <s v="2024/04/19"/>
        <s v="2024/04/22"/>
        <s v="2024/04/23"/>
        <s v="2024/04/24"/>
        <s v="2024/04/25"/>
        <s v="2024/04/26"/>
        <s v="2024/04/29"/>
        <s v="2024/04/30"/>
        <s v="2024/05/02"/>
        <s v="2024/05/03"/>
        <s v="2024/05/06"/>
        <s v="2024/05/07"/>
        <s v="2024/05/08"/>
        <s v="2024/05/09"/>
        <s v="2024/05/10"/>
        <s v="2024/05/13"/>
        <s v="2024/05/14"/>
        <s v="2024/05/15"/>
        <s v="2024/05/16"/>
        <s v="2024/05/17"/>
        <s v="2024/05/20"/>
        <s v="2024/05/21"/>
        <s v="2024/05/22"/>
        <s v="2024/05/23"/>
        <s v="2024/05/24"/>
        <s v="2024/05/27"/>
        <s v="2024/05/28"/>
        <s v="2024/05/29"/>
        <s v="2024/05/30"/>
        <s v="2024/05/31"/>
        <s v="2024/06/01"/>
        <s v="2024/06/03"/>
        <s v="2024/06/04"/>
        <s v="2024/06/05"/>
        <s v="2024/06/06"/>
        <s v="2024/06/07"/>
        <s v="2024/06/11"/>
        <s v="2024/06/12"/>
        <s v="2024/06/13"/>
        <s v="2024/06/14"/>
        <s v="2024/06/17"/>
        <s v="2024/06/18"/>
        <s v="2024/06/19"/>
        <s v="2024/06/20"/>
        <s v="2024/06/21"/>
        <s v="2024/06/24"/>
        <s v="2024/06/25"/>
        <s v="2024/06/26"/>
        <s v="2024/06/27"/>
        <s v="2024/06/28"/>
        <s v="2024/07/01"/>
        <s v="2024/07/02"/>
        <s v="2024/07/03"/>
        <s v="2024/07/04"/>
        <s v="2024/07/05"/>
        <s v="2024/07/08"/>
        <s v="2024/07/09"/>
        <s v="2024/09/02"/>
        <s v="2024/09/03"/>
        <s v="2024/09/04"/>
        <s v="2024/09/05"/>
        <s v="2024/09/06"/>
        <s v="2024/09/09"/>
        <s v="2024/09/10"/>
        <s v="2024/09/11"/>
        <s v="2024/09/12"/>
        <s v="2024/09/13"/>
        <s v="2024/09/16"/>
        <s v="2024/09/18"/>
        <s v="2024/09/19"/>
        <s v="2024/09/20"/>
        <s v="2024/09/23"/>
        <s v="2024/09/24"/>
        <s v="2024/09/25"/>
        <s v="2024/09/26"/>
        <s v="2024/09/27"/>
        <s v="2024/09/30"/>
        <s v="2024/10/01"/>
        <s v="2024/10/03"/>
        <s v="2024/10/04"/>
        <s v="2024/10/07"/>
        <s v="2024/10/08"/>
        <s v="2024/10/09"/>
        <s v="2024/10/11"/>
        <s v="2024/10/14"/>
        <s v="2024/10/15"/>
        <s v="2024/10/16"/>
        <s v="2024/10/17"/>
        <s v="2024/10/18"/>
        <s v="2024/10/21"/>
        <s v="2024/10/22"/>
        <s v="2024/10/23"/>
        <s v="2024/10/24"/>
        <s v="2024/10/25"/>
        <s v="2024/10/28"/>
        <s v="2024/10/29"/>
        <s v="2024/10/30"/>
        <s v="2024/10/31"/>
        <s v="2024/11/01"/>
        <s v="2024/11/04"/>
        <s v="2024/11/05"/>
        <s v="2024/11/06"/>
        <s v="2024/11/07"/>
        <s v="2024/11/08"/>
        <s v="2024/11/11"/>
        <s v="2024/11/12"/>
        <s v="2024/11/13"/>
        <s v="2024/11/14"/>
        <s v="2024/11/15"/>
        <s v="2024/11/18"/>
        <s v="2024/11/19"/>
        <s v="2024/11/20"/>
        <s v="2024/11/21"/>
        <s v="2024/11/22"/>
        <s v="2024/11/25"/>
        <s v="2024/11/26"/>
        <s v="2024/11/27"/>
        <s v="2024/11/28"/>
        <s v="2024/11/29"/>
        <s v="2024/12/02"/>
        <s v="2024/12/03"/>
        <s v="2024/12/04"/>
        <s v="2024/12/05"/>
        <s v="2024/12/06"/>
        <s v="2024/12/09"/>
        <s v="2024/12/10"/>
        <s v="2024/12/11"/>
        <s v="2024/12/12"/>
        <s v="2024/12/13"/>
        <s v="2024/12/16"/>
        <s v="2024/12/17"/>
        <s v="2024/12/18"/>
        <s v="2024/12/19"/>
        <s v="2024/12/20"/>
        <s v="2024/12/23"/>
        <s v="2024/12/24"/>
        <s v="2024/12/25"/>
        <s v="2024/12/26"/>
        <s v="2024/12/27"/>
        <s v="2024/12/30"/>
        <s v="2024/12/31"/>
        <s v="2025/1/2"/>
        <s v="2025/1/3"/>
        <s v="2025/1/6"/>
        <s v="2025/1/7"/>
        <s v="2025/1/8"/>
        <s v="2025/1/9"/>
        <s v="2025/1/10"/>
        <d v="2025-01-13T00:00:00"/>
        <d v="2025-01-14T00:00:00"/>
        <d v="2025-01-15T00:00:00"/>
        <d v="2025-01-16T00:00:00"/>
        <d v="2025-01-17T00:00:00"/>
        <d v="2025-01-18T00:00:00"/>
        <d v="2025-01-20T00:00:00"/>
        <d v="2025-01-21T00:00:00"/>
        <d v="2025-01-22T00:00:00"/>
        <d v="2025-01-23T00:00:00"/>
        <d v="2025-01-24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  <d v="2025-04-02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18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6-02T00:00:00"/>
        <d v="2025-06-03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3T00:00:00"/>
        <d v="2025-06-16T00:00:00"/>
        <d v="2025-06-17T00:00:00"/>
        <d v="2025-06-18T00:00:00"/>
        <d v="2025-06-19T00:00:00"/>
        <d v="2025-06-20T00:00:00"/>
        <d v="2025-06-23T00:00:00"/>
        <d v="2025-06-24T00:00:00"/>
        <d v="2025-06-25T00:00:00"/>
        <d v="2025-06-26T00:00:00"/>
        <d v="2025-06-27T00:00:00"/>
        <d v="2025-06-28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4T00:00:00"/>
        <d v="2025-08-05T00:00:00"/>
        <d v="2025-08-06T00:00:00"/>
        <d v="2025-08-07T00:00:00"/>
        <d v="2025-08-08T00:00:00"/>
        <d v="2025-08-11T00:00:00"/>
        <d v="2025-08-12T00:00:00"/>
        <d v="2025-08-13T00:00:00"/>
        <d v="2025-08-14T00:00:00"/>
        <d v="2025-08-15T00:00:00"/>
        <d v="2025-08-18T00:00:00"/>
        <d v="2025-08-19T00:00:00"/>
        <d v="2025-08-20T00:00:00"/>
        <d v="2025-08-21T00:00:00"/>
        <d v="2025-08-22T00:00:00"/>
        <d v="2025-08-25T00:00:00"/>
        <d v="2025-08-26T00:00:00"/>
        <d v="2025-08-27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1T00:00:00"/>
        <d v="2025-09-12T00:00:00"/>
        <d v="2025-09-15T00:00:00"/>
        <d v="2025-09-16T00:00:00"/>
        <d v="2025-09-17T00:00:00"/>
        <d v="2025-09-18T00:00:00"/>
        <d v="2025-09-19T00:00:00"/>
        <d v="2025-09-22T00:00:00"/>
        <d v="2025-09-23T00:00:00"/>
        <d v="2025-09-24T00:00:00"/>
        <d v="2025-09-25T00:00:00"/>
        <d v="2025-09-26T00:00:00"/>
        <d v="2025-09-30T00:00:00"/>
        <d v="2025-10-01T00:00:00"/>
        <d v="2025-10-02T00:00:00"/>
        <d v="2025-10-03T00:00:00"/>
        <d v="2025-10-07T00:00:00"/>
        <d v="2025-10-08T00:00:00"/>
        <d v="2025-10-09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7T00:00:00"/>
        <d v="2025-11-28T00:00:00"/>
        <d v="2025-12-01T00:00:00"/>
        <d v="2025-12-02T00:00:00"/>
        <d v="2025-12-03T00:00:00"/>
        <d v="2025-12-04T00:00:00"/>
        <d v="2025-12-05T00:00:00"/>
        <d v="2025-12-08T00:00:00"/>
        <d v="2025-12-09T00:00:00"/>
        <d v="2025-12-10T00:00:00"/>
        <d v="2025-12-11T00:00:00"/>
        <d v="2025-12-12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9T00:00:00"/>
        <d v="2025-12-30T00:00:00"/>
        <d v="2025-12-31T00:00:00"/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12T00:00:00"/>
        <d v="2026-02-13T00:00:00"/>
        <d v="2026-02-23T00:00:00"/>
        <d v="2026-02-24T00:00:00"/>
        <d v="2026-02-25T00:00:00"/>
        <d v="2026-02-26T00:00:00"/>
        <d v="2026-03-02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6T00:00:00"/>
        <d v="2026-03-17T00:00:00"/>
        <d v="2026-03-18T00:00:00"/>
        <d v="2026-03-19T00:00:00"/>
        <d v="2026-03-20T00:00:00"/>
        <d v="2026-03-23T00:00:00"/>
        <d v="2026-03-24T00:00:00"/>
        <d v="2026-03-25T00:00:00"/>
        <d v="2026-03-26T00:00:00"/>
        <d v="2026-03-27T00:00:00"/>
        <d v="2026-03-30T00:00:00"/>
        <d v="2026-03-31T00:00:00"/>
        <d v="2026-04-01T00:00:00"/>
        <d v="2026-04-02T00:00:00"/>
        <d v="2026-04-06T00:00:00"/>
        <d v="2026-04-07T00:00:00"/>
        <d v="2026-04-08T00:00:00"/>
        <d v="2026-04-09T00:00:00"/>
        <d v="2026-04-10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5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6-06-04T00:00:00"/>
        <d v="2026-06-05T00:00:00"/>
        <d v="2026-06-08T00:00:00"/>
        <d v="2026-06-09T00:00:00"/>
        <d v="2026-06-10T00:00:00"/>
        <d v="2026-06-11T00:00:00"/>
        <d v="2026-06-12T00:00:00"/>
        <d v="2026-06-15T00:00:00"/>
        <d v="2026-06-16T00:00:00"/>
        <d v="2026-06-17T00:00:00"/>
        <d v="2026-06-18T00:00:00"/>
        <d v="2026-06-22T00:00:00"/>
        <d v="2026-06-23T00:00:00"/>
        <d v="2026-06-24T00:00:00"/>
        <d v="2026-06-25T00:00:00"/>
        <d v="2026-06-29T00:00:00"/>
        <d v="2026-06-30T00:00:00"/>
        <d v="2026-07-01T00:00:00"/>
        <d v="2026-07-02T00:00:00"/>
        <d v="2026-07-03T00:00:00"/>
        <d v="2026-07-06T00:00:00"/>
        <d v="2026-07-07T00:00:00"/>
        <d v="2026-07-08T00:00:00"/>
        <d v="2026-07-09T00:00:00"/>
        <d v="2026-07-13T00:00:00"/>
        <d v="2026-07-14T00:00:00"/>
        <d v="2026-07-15T00:00:00"/>
        <d v="2026-07-16T00:00:00"/>
        <d v="2026-07-17T00:00:00"/>
        <d v="2026-07-20T00:00:00"/>
        <d v="2026-07-21T00:00:00"/>
        <d v="2026-07-22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d v="2026-08-13T00:00:00"/>
        <d v="2026-08-14T00:00:00"/>
        <d v="2026-08-17T00:00:00"/>
        <d v="2026-08-18T00:00:00"/>
        <d v="2026-08-19T00:00:00"/>
        <d v="2026-08-20T00:00:00"/>
        <d v="2026-08-21T00:00:00"/>
        <d v="2026-08-24T00:00:00"/>
        <d v="2026-08-25T00:00:00"/>
        <d v="2026-08-26T00:00:00"/>
        <d v="2026-08-27T00:00:00"/>
        <d v="2026-08-28T00:00:00"/>
        <m/>
      </sharedItems>
    </cacheField>
    <cacheField name="料號" numFmtId="0">
      <sharedItems containsBlank="1" containsMixedTypes="1" containsNumber="1" containsInteger="1" minValue="111010" maxValue="155121" count="163">
        <s v="D0230"/>
        <s v="D0290"/>
        <s v="D0210"/>
        <s v="C1020"/>
        <s v="C9030"/>
        <s v="D2330"/>
        <s v="A2020"/>
        <s v="B2040"/>
        <s v="A1020"/>
        <s v="D0310"/>
        <s v="D0330"/>
        <s v="B2011"/>
        <s v="B2031"/>
        <s v="B1040"/>
        <s v="D2010"/>
        <s v="B1011"/>
        <s v="D0113"/>
        <s v="D0121"/>
        <s v="D0114"/>
        <s v="D0111"/>
        <s v="D0610"/>
        <s v="B5011"/>
        <s v="D0131"/>
        <s v="A2060"/>
        <s v="A2050"/>
        <s v="E0121"/>
        <s v="B3020"/>
        <s v="B3011"/>
        <s v="D2212"/>
        <s v="D9920"/>
        <s v="A1050"/>
        <s v="D0730"/>
        <s v="D1410"/>
        <s v="D2021"/>
        <s v="A2040"/>
        <s v="D9922"/>
        <s v="D0250"/>
        <s v="D0242"/>
        <s v="C9050"/>
        <s v="D0910"/>
        <s v="D9921"/>
        <s v="B2021"/>
        <s v="D0820"/>
        <s v="A3010"/>
        <s v="A3011"/>
        <s v="D1130"/>
        <s v="D0120"/>
        <s v="D0291"/>
        <s v="D0122"/>
        <s v="A1040"/>
        <s v="C3070"/>
        <s v="C3020"/>
        <s v="D0810"/>
        <s v="D1211"/>
        <s v="D0311"/>
        <s v="D0422"/>
        <s v="D1210"/>
        <s v="D1391"/>
        <s v="D1010"/>
        <s v="C5010"/>
        <s v="E0120"/>
        <s v="D0420"/>
        <s v="D0630"/>
        <s v="D0530"/>
        <s v="D0520"/>
        <s v="C1010"/>
        <s v="D2531"/>
        <s v="C7010"/>
        <s v="-"/>
        <s v="D2813"/>
        <s v="B1031"/>
        <s v="A1032"/>
        <s v="D1390"/>
        <s v="C3010"/>
        <s v="D0296"/>
        <s v="D0591"/>
        <s v="D0593"/>
        <s v="D0990"/>
        <s v="D0521"/>
        <s v="D1620"/>
        <s v="D0191"/>
        <s v="D0592"/>
        <s v="D0241"/>
        <s v="D0140"/>
        <s v="B1041"/>
        <s v="D0196"/>
        <s v="D0132"/>
        <s v="D0991"/>
        <s v="D0292"/>
        <s v="D2610"/>
        <s v="D0992"/>
        <s v="D1792"/>
        <n v="111050"/>
        <s v="D0197"/>
        <n v="153010"/>
        <n v="111010"/>
        <s v="F0020"/>
        <s v="F0010"/>
        <s v="D0191-1"/>
        <s v="D1791"/>
        <n v="152010"/>
        <s v="D0790"/>
        <n v="151010"/>
        <s v="B2021-1"/>
        <s v="D0132-1"/>
        <s v="D0594"/>
        <s v="D9990"/>
        <s v="D9950"/>
        <s v="C3020-1"/>
        <s v="D0732"/>
        <s v="D9991"/>
        <s v="專案"/>
        <s v="D1520"/>
        <s v="D1521"/>
        <s v="B2041"/>
        <s v="C3080"/>
        <s v="D0115"/>
        <s v="A3012"/>
        <s v="F0011"/>
        <s v="D2231"/>
        <s v="研發"/>
        <s v="A1040-1"/>
        <s v="D1410-1"/>
        <s v="D9940"/>
        <s v="B3011-1"/>
        <s v="D0191-2"/>
        <s v="B3020-1"/>
        <s v="D0140-1"/>
        <s v="C3020-2"/>
        <s v="D0243"/>
        <s v="D0231"/>
        <s v="D0115-1"/>
        <s v="B1011-1"/>
        <s v="C7020"/>
        <s v="D0731"/>
        <s v="D0350-1"/>
        <s v="D2820"/>
        <s v="D0160"/>
        <s v="榛果醬"/>
        <n v="155121"/>
        <s v="D0331"/>
        <n v="111060"/>
        <s v="A2020-1"/>
        <s v="A2040-1"/>
        <s v="Z0001"/>
        <s v="Z0002"/>
        <s v="Z1001"/>
        <s v="D0141"/>
        <s v="D0820-1"/>
        <s v="D0133"/>
        <s v="D0174"/>
        <s v="D0390"/>
        <s v="C1030"/>
        <s v="C7021"/>
        <s v="D0195-1"/>
        <s v="C5020"/>
        <s v="D2712"/>
        <s v="D0134"/>
        <s v="C3081"/>
        <s v="Z3001"/>
        <s v="B5011-1"/>
        <s v="Z2001"/>
        <m/>
      </sharedItems>
    </cacheField>
    <cacheField name="品項" numFmtId="0">
      <sharedItems containsBlank="1" count="134">
        <s v="藍莓醬(1*6kg)"/>
        <s v="鳳梨芒果百香果醬(1*6KG)"/>
        <s v="草莓醬(1*6kg)"/>
        <s v="天天開心草莓餡4.5KG"/>
        <s v="天天熱帶水果餡 4.5KG"/>
        <s v="蘋果藍莓餡(1*9.08kg)"/>
        <s v="PET大花生(1*400g)"/>
        <s v="＃2花生（粒）(1*900g)"/>
        <s v="大圓草莓-新"/>
        <s v="草莓蒟蒻餡(1*6kg)"/>
        <s v="藍莓餡(1*6KG)"/>
        <s v="＃1花生(1*2.8kg)"/>
        <s v="＃2花生(1*800g)"/>
        <s v="#2草莓果醬(1*900g)"/>
        <s v="美芝城草莓醬(1*9kg)"/>
        <s v="＃1草莓(1*3.2kg)"/>
        <s v="草莓餡45%(1*6Kg)"/>
        <s v="顆粒花生醬(1*12KG)"/>
        <s v="草莓椰果餡(1*6Kg)"/>
        <s v="草莓餡(1*6Kg)"/>
        <s v="草莓餡50°(1*6Kg)"/>
        <s v="＃1桔子(1*3.2kg)"/>
        <s v="顆粒花生醬(全)"/>
        <s v="PET瓶花生(粒)(1*340g)"/>
        <s v="佳樂美花生醬(粒)(1*340g)"/>
        <s v="＃2藍莓(1*900g)"/>
        <s v="＃1藍莓(1*3.2kg)"/>
        <s v="花生醬（1*18kg)"/>
        <s v="梨山草莓果醬(1*430g)"/>
        <s v="藍莓果茶(1*420g)"/>
        <s v="草莓餡42°(1*6KG)"/>
        <s v="美芝城花生醬(1*2.8kg)"/>
        <s v="PET瓶花生(1*340g)"/>
        <s v="花生醬(1*18KG)"/>
        <s v="葡萄奇異果醬(1*6kg)"/>
        <s v="芒果蜜桃醬(1*6kg)"/>
        <s v="上好佳綜合莓餡4.5KG"/>
        <s v="耐烤草莓餡(1*4.5KG)"/>
        <s v="顆粒花生醬（1*18kg)"/>
        <s v="＃1花生(粒)(1*2.8kg)"/>
        <s v="花生醬(1*3.5KG)"/>
        <s v="小藍莓1*260G"/>
        <s v="蔓越莓醬(1*6KG)"/>
        <s v="開心草莓果醬(1*430g)"/>
        <s v="天天開心藍莓餡4.5KG"/>
        <s v="藍莓餡（大）(1*9.08kg)"/>
        <s v="草莓餡(1*4.5Kg)"/>
        <s v="蜂蜜風味餡(1*6kg)"/>
        <s v="深烤焙花生醬(1*18KG)"/>
        <s v="開心草莓餡P(1*6KG)"/>
        <s v="水蜜桃寡糖果醬(1*260g)"/>
        <s v="草莓椰果漿(1*6KG)"/>
        <s v="天天開心柳橙餡4.5KG"/>
        <s v="佳樂美細花(1*340g)"/>
        <s v="藍莓果醬(1*210G)"/>
        <s v="花生醬(1*290g)"/>
        <s v="草莓果醬(桶)(1*9.5KG)"/>
        <s v="特殊藍莓餡(1*9.08kg)"/>
        <s v="天天開心芒果餡4.5KG"/>
        <s v="新城風糖桶柑"/>
        <s v="＃1草莓原漿(1*3.4kg)"/>
        <s v="小圓草莓(1*170g)"/>
        <s v="蘋果寡糖果醬(260G)"/>
        <s v="藍莓餡（小）(1*4.5kg)"/>
        <s v="蜂蜜蘋果醬(1*6KG)"/>
        <s v="桑椹果醬(1*190g)"/>
        <s v="文旦柚茶(1*420g)"/>
        <s v="桶柑果醬(桔)"/>
        <s v="柑橘醬(新)"/>
        <s v="玫瑰洛神餡(1*4.5KG)"/>
        <s v="無加糖花生醬(1*290g)"/>
        <s v="顆粒花生醬(1*8kg)"/>
        <s v="蘋果餡(1*6Kg)"/>
        <s v="桑椹果粒茶(1*400G)"/>
        <s v="水蜜桃醬(1*6kg)"/>
        <s v="蜜桃餡(1*6Kg)"/>
        <s v="上好佳草莓餡(1*900g)"/>
        <s v="金桔檸檬餡(福)(1*6Kg)"/>
        <s v="綜合莓果餡(1*6Kg)"/>
        <s v="文旦丁"/>
        <s v="蜂蜜柚香醬(1*6KG)"/>
        <s v="文旦絲(1*1KG/包)"/>
        <s v="柚皮糖B"/>
        <s v="糖漬檸檬絲"/>
        <s v="檸檬餡(1*6Kg)"/>
        <s v="蜜桔皮6m/m"/>
        <s v="糖漬桔皮絲"/>
        <s v="蜜餞水果(1*1kg)"/>
        <s v="蜜桔皮"/>
        <s v="柚皮糖"/>
        <s v="蜜綠果6m/m"/>
        <s v="奇異果茶(1*420g)"/>
        <s v="蜜紅果6m/m"/>
        <s v="柚皮鮮果乾(100g)"/>
        <s v="蘋果果醬(1*260G)"/>
        <s v="紅棗醬(1*210G)"/>
        <s v="藍莓寡糖果醬(1*200G)"/>
        <s v="＃1蘋果果醬(1*3.3kg)"/>
        <s v="小圓草"/>
        <s v="小圓藍"/>
        <s v="顆花(四方)"/>
        <s v="顆花(玻璃)"/>
        <s v="花生醬(粒)(1*290g)"/>
        <s v="＃2花生（粒）(1*800g)"/>
        <s v="上好佳藍莓餡(大)4.5KG"/>
        <s v="草莓蔓越莓餡(1*6KG)"/>
        <s v="檸檬藍莓醬1*260G"/>
        <s v="蜜桔皮(10kg/桶)"/>
        <s v="雙曲藍莓餡(1*9.08kg)"/>
        <s v="特級芒果蜜桃(佳)"/>
        <s v="特級藍莓(佳)"/>
        <s v="草莓餡°(1*6KG)"/>
        <s v="柑桔果醬450G"/>
        <s v="芒果蜜桃醬(含桃丁)"/>
        <s v="藍莓顆粒果醬(1*6kg)"/>
        <s v="上好佳芒果餡(大)4.5KG"/>
        <s v="藍莓果漿(1*350g)"/>
        <s v="糖蜜桔皮(1*3KG)"/>
        <s v="百香綠茶餡(1*6Kg)"/>
        <e v="#N/A"/>
        <s v="糖蜜柚泥"/>
        <s v="加糖檸檬皮"/>
        <s v="柑橘果醬(1*220G)"/>
        <s v="柑橘果醬(1*6Kg)"/>
        <s v="桔光抹醬(1*190g)"/>
        <s v="白桃烏龍餡(1*6Kg)"/>
        <s v="楊枝甘露餡(1*6Kg)"/>
        <s v="化應子(1*2.5KG)"/>
        <s v="上好佳草莓餡4.5KG"/>
        <s v="上好佳柳橙餡4.5KG"/>
        <s v="草莓果醬(1*6KG)"/>
        <s v="鳳梨果茶醬(1*210G)"/>
        <s v="藍莓果醬"/>
        <m/>
      </sharedItems>
    </cacheField>
    <cacheField name="鍋數_x000a_(P)" numFmtId="0">
      <sharedItems containsString="0" containsBlank="1" containsNumber="1" minValue="0.42666666666666669" maxValue="1206"/>
    </cacheField>
    <cacheField name="規格_x000a_(kg)" numFmtId="0">
      <sharedItems containsBlank="1" containsMixedTypes="1" containsNumber="1" minValue="0" maxValue="18"/>
    </cacheField>
    <cacheField name="平均均數_x000a_(鍋)" numFmtId="0">
      <sharedItems containsBlank="1" containsMixedTypes="1" containsNumber="1" minValue="0" maxValue="1732"/>
    </cacheField>
    <cacheField name="半成品數_x000a_(預估)" numFmtId="0">
      <sharedItems containsBlank="1" containsMixedTypes="1" containsNumber="1" minValue="0" maxValue="16512"/>
    </cacheField>
    <cacheField name="半成品數_x000a_(實際)" numFmtId="0">
      <sharedItems containsString="0" containsBlank="1" containsNumber="1" minValue="0" maxValue="99334"/>
    </cacheField>
    <cacheField name="半成品重量(KG)_x000a_(實際)" numFmtId="0">
      <sharedItems containsBlank="1" containsMixedTypes="1" containsNumber="1" minValue="0" maxValue="87917.2"/>
    </cacheField>
    <cacheField name="生產達成率_x000a_(實際)" numFmtId="179">
      <sharedItems containsBlank="1" containsMixedTypes="1" containsNumber="1" minValue="0" maxValue="10.312915282392026"/>
    </cacheField>
    <cacheField name="生產達成率_x000a_(目標)" numFmtId="0">
      <sharedItems containsBlank="1" containsMixedTypes="1" containsNumber="1" containsInteger="1" minValue="0" maxValue="1"/>
    </cacheField>
    <cacheField name="差異統計_x000a_(實際-目標)" numFmtId="179">
      <sharedItems containsBlank="1" containsMixedTypes="1" containsNumber="1" minValue="-1" maxValue="9.3130000000000006"/>
    </cacheField>
    <cacheField name="總生產時間(分)" numFmtId="0">
      <sharedItems containsBlank="1" containsMixedTypes="1" containsNumber="1" containsInteger="1" minValue="0" maxValue="0"/>
    </cacheField>
    <cacheField name="品保取樣數" numFmtId="0">
      <sharedItems containsString="0" containsBlank="1" containsNumber="1" containsInteger="1" minValue="0" maxValue="8"/>
    </cacheField>
    <cacheField name="不良品數" numFmtId="0">
      <sharedItems containsString="0" containsBlank="1" containsNumber="1" minValue="-648" maxValue="90005"/>
    </cacheField>
    <cacheField name="成品數_x000a_(實際)" numFmtId="0">
      <sharedItems containsString="0" containsBlank="1" containsNumber="1" containsInteger="1" minValue="0" maxValue="16396"/>
    </cacheField>
    <cacheField name="產品良率_x000a_(成品)" numFmtId="0">
      <sharedItems containsBlank="1" containsMixedTypes="1" containsNumber="1" minValue="0" maxValue="1.0609756097560976"/>
    </cacheField>
    <cacheField name="異常單號" numFmtId="0">
      <sharedItems containsBlank="1"/>
    </cacheField>
    <cacheField name="重工數(kg)" numFmtId="0">
      <sharedItems containsBlank="1" containsMixedTypes="1" containsNumber="1" minValue="20" maxValue="720"/>
    </cacheField>
    <cacheField name="備註" numFmtId="0">
      <sharedItems containsBlank="1" containsMixedTypes="1" containsNumber="1" containsInteger="1" minValue="0" maxValue="0"/>
    </cacheField>
    <cacheField name="刪除" numFmtId="0">
      <sharedItems containsNonDate="0" containsString="0" containsBlank="1"/>
    </cacheField>
    <cacheField name="組別" numFmtId="0">
      <sharedItems containsBlank="1" count="6">
        <m/>
        <s v="果餡班"/>
        <s v="花生班"/>
        <s v="果醬班"/>
        <s v="原料班"/>
        <s v="包裝班"/>
      </sharedItems>
    </cacheField>
    <cacheField name="領料單(調)_x000a_交回時間" numFmtId="14">
      <sharedItems containsDate="1" containsBlank="1" containsMixedTypes="1" minDate="2026-06-10T00:00:00" maxDate="2026-08-28T00:00:00" count="55">
        <m/>
        <d v="2026-06-12T00:00:00"/>
        <d v="2026-06-10T00:00:00"/>
        <d v="2026-06-15T00:00:00"/>
        <d v="2026-06-16T00:00:00"/>
        <d v="2026-06-18T00:00:00"/>
        <d v="2026-06-17T00:00:00"/>
        <d v="2026-06-22T15:35:39"/>
        <s v="-"/>
        <d v="2026-06-22T00:00:00"/>
        <d v="2026-06-23T00:00:00"/>
        <d v="2026-06-25T00:00:00"/>
        <d v="2026-06-24T00:00:00"/>
        <d v="2026-06-29T00:00:00"/>
        <d v="2026-07-01T00:00:00"/>
        <d v="2026-06-30T00:00:00"/>
        <d v="2026-07-02T00:00:00"/>
        <d v="2026-07-03T00:00:00"/>
        <d v="2026-07-06T00:00:00"/>
        <d v="2026-07-07T00:00:00"/>
        <d v="2026-07-08T00:00:00"/>
        <d v="2026-07-09T00:00:00"/>
        <d v="2026-07-15T00:00:00"/>
        <d v="2026-07-13T00:00:00"/>
        <d v="2026-07-14T00:00:00"/>
        <d v="2026-07-16T00:00:00"/>
        <d v="2026-07-17T00:00:00"/>
        <d v="2026-07-20T00:00:00"/>
        <d v="2026-07-22T00:00:00"/>
        <d v="2026-07-21T00:00:00"/>
        <d v="2026-07-23T00:00:00"/>
        <d v="2026-07-29T00:00:00"/>
        <d v="2026-07-24T00:00:00"/>
        <d v="2026-07-27T00:00:00"/>
        <d v="2026-07-28T00:00:00"/>
        <d v="2026-07-30T00:00:00"/>
        <d v="2026-08-03T00:00:00"/>
        <d v="2026-07-31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d v="2026-08-13T00:00:00"/>
        <d v="2026-08-17T00:00:00"/>
        <d v="2026-08-18T00:00:00"/>
        <d v="2026-08-14T00:00:00"/>
        <d v="2026-08-20T00:00:00"/>
        <d v="2026-08-25T00:00:00"/>
        <d v="2026-08-24T00:00:00"/>
        <d v="2026-08-21T00:00:00"/>
        <d v="2026-08-26T00:00:00"/>
        <d v="2026-08-27T00:00:00"/>
      </sharedItems>
    </cacheField>
    <cacheField name="領料單(充)_x000a_交回時間" numFmtId="0">
      <sharedItems containsDate="1" containsBlank="1" containsMixedTypes="1" minDate="2026-06-10T00:00:00" maxDate="2026-08-28T00:00:00"/>
    </cacheField>
    <cacheField name="暫存配方_x000a_領取時間" numFmtId="14">
      <sharedItems containsDate="1" containsBlank="1" containsMixedTypes="1" minDate="2026-06-09T00:00:00" maxDate="2026-08-28T00:00:00"/>
    </cacheField>
    <cacheField name="暫存配方_x000a_回收時間" numFmtId="14">
      <sharedItems containsDate="1" containsBlank="1" containsMixedTypes="1" minDate="2026-06-10T00:00:00" maxDate="2026-08-28T00:00:00"/>
    </cacheField>
    <cacheField name="超過_x000a_天數(調)" numFmtId="0">
      <sharedItems containsBlank="1" containsMixedTypes="1" containsNumber="1" minValue="0" maxValue="8" count="12">
        <m/>
        <n v="2"/>
        <n v="0"/>
        <n v="1"/>
        <n v="3"/>
        <n v="5.6497624999974505"/>
        <n v="6"/>
        <n v="5"/>
        <n v="4"/>
        <s v="未收到"/>
        <e v="#VALUE!"/>
        <n v="8" u="1"/>
      </sharedItems>
    </cacheField>
    <cacheField name="超過_x000a_天數(充)" numFmtId="0">
      <sharedItems containsBlank="1" containsMixedTypes="1" containsNumber="1" containsInteger="1" minValue="0" maxValue="8" count="12">
        <m/>
        <n v="2"/>
        <n v="0"/>
        <n v="4"/>
        <n v="1"/>
        <n v="3"/>
        <n v="5"/>
        <n v="8"/>
        <n v="7"/>
        <n v="6"/>
        <e v="#VALUE!"/>
        <s v="未收到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71">
  <r>
    <x v="0"/>
    <x v="0"/>
    <x v="0"/>
    <n v="20"/>
    <n v="6"/>
    <n v="25.5"/>
    <n v="510"/>
    <n v="504"/>
    <n v="3024"/>
    <n v="0.9882352941176471"/>
    <n v="1"/>
    <n v="-1.2E-2"/>
    <m/>
    <m/>
    <n v="2"/>
    <n v="502"/>
    <n v="0.99603174603174605"/>
    <m/>
    <s v="2(包)"/>
    <m/>
    <m/>
    <x v="0"/>
    <x v="0"/>
    <m/>
    <m/>
    <m/>
    <x v="0"/>
    <x v="0"/>
  </r>
  <r>
    <x v="0"/>
    <x v="1"/>
    <x v="1"/>
    <n v="12"/>
    <n v="6"/>
    <n v="25.7"/>
    <n v="308.39999999999998"/>
    <n v="301"/>
    <n v="1806"/>
    <n v="0.97600518806744496"/>
    <n v="1"/>
    <n v="-2.4E-2"/>
    <m/>
    <m/>
    <n v="2"/>
    <n v="299"/>
    <n v="0.99335548172757471"/>
    <m/>
    <m/>
    <m/>
    <m/>
    <x v="0"/>
    <x v="0"/>
    <m/>
    <m/>
    <m/>
    <x v="0"/>
    <x v="0"/>
  </r>
  <r>
    <x v="0"/>
    <x v="2"/>
    <x v="2"/>
    <n v="16"/>
    <n v="6"/>
    <n v="26.6"/>
    <n v="425.6"/>
    <n v="412"/>
    <n v="2472"/>
    <n v="0.96804511278195482"/>
    <n v="1"/>
    <n v="-3.2000000000000001E-2"/>
    <m/>
    <m/>
    <n v="2"/>
    <n v="410"/>
    <n v="0.99514563106796117"/>
    <m/>
    <m/>
    <m/>
    <m/>
    <x v="0"/>
    <x v="0"/>
    <m/>
    <m/>
    <m/>
    <x v="0"/>
    <x v="0"/>
  </r>
  <r>
    <x v="0"/>
    <x v="3"/>
    <x v="3"/>
    <n v="20"/>
    <n v="4.5"/>
    <n v="36.299999999999997"/>
    <n v="726"/>
    <n v="713"/>
    <n v="3208.5"/>
    <n v="0.98209366391184572"/>
    <n v="1"/>
    <n v="-1.7999999999999999E-2"/>
    <m/>
    <m/>
    <n v="1"/>
    <n v="712"/>
    <n v="0.99859747545582045"/>
    <m/>
    <m/>
    <m/>
    <m/>
    <x v="0"/>
    <x v="0"/>
    <m/>
    <m/>
    <m/>
    <x v="0"/>
    <x v="0"/>
  </r>
  <r>
    <x v="0"/>
    <x v="4"/>
    <x v="4"/>
    <n v="8"/>
    <n v="4.5"/>
    <n v="34.5"/>
    <n v="276"/>
    <n v="270"/>
    <n v="1215"/>
    <n v="0.97826086956521741"/>
    <n v="1"/>
    <n v="-2.1999999999999999E-2"/>
    <m/>
    <m/>
    <n v="0"/>
    <n v="270"/>
    <n v="1"/>
    <m/>
    <m/>
    <m/>
    <m/>
    <x v="0"/>
    <x v="0"/>
    <m/>
    <m/>
    <m/>
    <x v="0"/>
    <x v="0"/>
  </r>
  <r>
    <x v="0"/>
    <x v="5"/>
    <x v="5"/>
    <n v="24"/>
    <n v="9.08"/>
    <n v="17.3"/>
    <n v="415.20000000000005"/>
    <n v="409"/>
    <n v="3713.7200000000003"/>
    <n v="0.98506743737957603"/>
    <n v="1"/>
    <n v="-1.4999999999999999E-2"/>
    <m/>
    <m/>
    <n v="0"/>
    <n v="409"/>
    <n v="1"/>
    <m/>
    <m/>
    <m/>
    <m/>
    <x v="0"/>
    <x v="0"/>
    <m/>
    <m/>
    <m/>
    <x v="0"/>
    <x v="0"/>
  </r>
  <r>
    <x v="0"/>
    <x v="6"/>
    <x v="6"/>
    <n v="24"/>
    <n v="0.4"/>
    <n v="309.2"/>
    <n v="7420.7999999999993"/>
    <n v="7587"/>
    <n v="3034.8"/>
    <n v="1.022396507115136"/>
    <n v="1"/>
    <n v="2.1999999999999999E-2"/>
    <m/>
    <m/>
    <n v="4"/>
    <n v="7583"/>
    <n v="0.99947278239093185"/>
    <m/>
    <m/>
    <m/>
    <m/>
    <x v="0"/>
    <x v="0"/>
    <m/>
    <m/>
    <m/>
    <x v="0"/>
    <x v="0"/>
  </r>
  <r>
    <x v="0"/>
    <x v="7"/>
    <x v="7"/>
    <n v="12"/>
    <n v="0.9"/>
    <n v="139.30000000000001"/>
    <n v="1671.6000000000001"/>
    <n v="1659"/>
    <n v="1493.1000000000001"/>
    <n v="0.99246231155778886"/>
    <n v="1"/>
    <n v="-8.0000000000000002E-3"/>
    <m/>
    <m/>
    <n v="2"/>
    <n v="1657"/>
    <n v="0.99879445449065707"/>
    <m/>
    <s v="61kg"/>
    <m/>
    <m/>
    <x v="0"/>
    <x v="0"/>
    <m/>
    <m/>
    <m/>
    <x v="0"/>
    <x v="0"/>
  </r>
  <r>
    <x v="1"/>
    <x v="8"/>
    <x v="8"/>
    <n v="24"/>
    <n v="0.44"/>
    <n v="344"/>
    <n v="8256"/>
    <n v="8050"/>
    <n v="3542"/>
    <n v="0.97504844961240311"/>
    <n v="1"/>
    <n v="-2.5000000000000001E-2"/>
    <m/>
    <m/>
    <n v="6"/>
    <n v="8044"/>
    <n v="0.9992546583850932"/>
    <m/>
    <m/>
    <m/>
    <m/>
    <x v="0"/>
    <x v="0"/>
    <m/>
    <m/>
    <m/>
    <x v="0"/>
    <x v="0"/>
  </r>
  <r>
    <x v="1"/>
    <x v="2"/>
    <x v="2"/>
    <n v="24"/>
    <n v="6"/>
    <n v="26.6"/>
    <n v="638.40000000000009"/>
    <n v="630"/>
    <n v="3780"/>
    <n v="0.98684210526315774"/>
    <n v="1"/>
    <n v="-1.2999999999999999E-2"/>
    <m/>
    <m/>
    <n v="2"/>
    <n v="628"/>
    <n v="0.99682539682539684"/>
    <m/>
    <s v="5(包)"/>
    <m/>
    <m/>
    <x v="0"/>
    <x v="0"/>
    <m/>
    <m/>
    <m/>
    <x v="0"/>
    <x v="0"/>
  </r>
  <r>
    <x v="1"/>
    <x v="9"/>
    <x v="9"/>
    <n v="28"/>
    <n v="6"/>
    <n v="25.7"/>
    <n v="719.6"/>
    <n v="709"/>
    <n v="4254"/>
    <n v="0.9852695942190105"/>
    <n v="1"/>
    <n v="-1.4999999999999999E-2"/>
    <m/>
    <m/>
    <n v="5"/>
    <n v="704"/>
    <n v="0.99294781382228492"/>
    <m/>
    <m/>
    <m/>
    <m/>
    <x v="0"/>
    <x v="0"/>
    <m/>
    <m/>
    <m/>
    <x v="0"/>
    <x v="0"/>
  </r>
  <r>
    <x v="1"/>
    <x v="10"/>
    <x v="10"/>
    <n v="20"/>
    <n v="6"/>
    <n v="25.4"/>
    <n v="508"/>
    <n v="487"/>
    <n v="2922"/>
    <n v="0.95866141732283461"/>
    <n v="1"/>
    <n v="-4.1000000000000002E-2"/>
    <m/>
    <m/>
    <n v="4"/>
    <n v="483"/>
    <n v="0.99178644763860369"/>
    <m/>
    <m/>
    <m/>
    <m/>
    <x v="0"/>
    <x v="0"/>
    <m/>
    <m/>
    <m/>
    <x v="0"/>
    <x v="0"/>
  </r>
  <r>
    <x v="1"/>
    <x v="11"/>
    <x v="11"/>
    <n v="44"/>
    <n v="2.8"/>
    <n v="44.5"/>
    <n v="1958"/>
    <n v="2110"/>
    <n v="5908"/>
    <n v="1.0776302349336058"/>
    <n v="1"/>
    <n v="7.8E-2"/>
    <m/>
    <m/>
    <n v="1"/>
    <n v="2109"/>
    <n v="0.99952606635071095"/>
    <m/>
    <m/>
    <m/>
    <m/>
    <x v="0"/>
    <x v="0"/>
    <m/>
    <m/>
    <m/>
    <x v="0"/>
    <x v="0"/>
  </r>
  <r>
    <x v="1"/>
    <x v="12"/>
    <x v="12"/>
    <n v="20"/>
    <n v="0.8"/>
    <n v="157.69999999999999"/>
    <n v="3154"/>
    <n v="3127"/>
    <n v="2501.6000000000004"/>
    <n v="0.99143944197844003"/>
    <n v="1"/>
    <n v="-8.9999999999999993E-3"/>
    <m/>
    <m/>
    <n v="2"/>
    <n v="3125"/>
    <n v="0.99936040933802361"/>
    <m/>
    <s v="54kg"/>
    <m/>
    <m/>
    <x v="0"/>
    <x v="0"/>
    <m/>
    <m/>
    <m/>
    <x v="0"/>
    <x v="0"/>
  </r>
  <r>
    <x v="2"/>
    <x v="13"/>
    <x v="13"/>
    <n v="16.3"/>
    <n v="0.9"/>
    <n v="160.5"/>
    <n v="2616.15"/>
    <n v="2696"/>
    <n v="2426.4"/>
    <n v="1.0305219501939873"/>
    <n v="1"/>
    <n v="3.1E-2"/>
    <m/>
    <m/>
    <n v="2"/>
    <n v="2694"/>
    <n v="0.99925816023738867"/>
    <s v="1130104-01A"/>
    <m/>
    <s v="含600美之城"/>
    <m/>
    <x v="0"/>
    <x v="0"/>
    <m/>
    <m/>
    <m/>
    <x v="0"/>
    <x v="0"/>
  </r>
  <r>
    <x v="2"/>
    <x v="14"/>
    <x v="14"/>
    <n v="3.7"/>
    <n v="0.9"/>
    <n v="158.69999999999999"/>
    <n v="587.18999999999994"/>
    <n v="600"/>
    <n v="540"/>
    <n v="1.0218157666172789"/>
    <n v="1"/>
    <n v="2.1999999999999999E-2"/>
    <m/>
    <m/>
    <n v="0"/>
    <n v="600"/>
    <n v="1"/>
    <m/>
    <m/>
    <m/>
    <m/>
    <x v="0"/>
    <x v="0"/>
    <m/>
    <m/>
    <m/>
    <x v="0"/>
    <x v="0"/>
  </r>
  <r>
    <x v="2"/>
    <x v="15"/>
    <x v="15"/>
    <n v="44"/>
    <n v="3.2"/>
    <n v="46.8"/>
    <n v="2059.1999999999998"/>
    <n v="2026"/>
    <n v="6483.2000000000007"/>
    <n v="0.98387723387723391"/>
    <n v="1"/>
    <n v="-1.6E-2"/>
    <m/>
    <m/>
    <n v="3"/>
    <n v="2023"/>
    <n v="0.99851924975320827"/>
    <m/>
    <m/>
    <m/>
    <m/>
    <x v="0"/>
    <x v="0"/>
    <m/>
    <m/>
    <m/>
    <x v="0"/>
    <x v="0"/>
  </r>
  <r>
    <x v="2"/>
    <x v="16"/>
    <x v="16"/>
    <n v="20"/>
    <n v="6"/>
    <n v="26.1"/>
    <n v="522"/>
    <n v="517"/>
    <n v="3102"/>
    <n v="0.99042145593869735"/>
    <n v="1"/>
    <n v="-0.01"/>
    <m/>
    <m/>
    <n v="1"/>
    <n v="516"/>
    <n v="0.99806576402321079"/>
    <m/>
    <m/>
    <m/>
    <m/>
    <x v="0"/>
    <x v="0"/>
    <m/>
    <m/>
    <m/>
    <x v="0"/>
    <x v="0"/>
  </r>
  <r>
    <x v="2"/>
    <x v="9"/>
    <x v="9"/>
    <n v="24"/>
    <n v="6"/>
    <n v="25.7"/>
    <n v="616.79999999999995"/>
    <n v="614"/>
    <n v="3684"/>
    <n v="0.99546044098573294"/>
    <n v="1"/>
    <n v="-5.0000000000000001E-3"/>
    <m/>
    <m/>
    <n v="3"/>
    <n v="611"/>
    <n v="0.99511400651465798"/>
    <m/>
    <m/>
    <m/>
    <m/>
    <x v="0"/>
    <x v="0"/>
    <m/>
    <m/>
    <m/>
    <x v="0"/>
    <x v="0"/>
  </r>
  <r>
    <x v="2"/>
    <x v="17"/>
    <x v="17"/>
    <n v="24"/>
    <n v="3"/>
    <n v="29.7"/>
    <n v="712.8"/>
    <n v="724"/>
    <n v="2172"/>
    <n v="1.0157126823793492"/>
    <n v="1"/>
    <n v="1.6E-2"/>
    <m/>
    <m/>
    <n v="0"/>
    <n v="724"/>
    <n v="1"/>
    <m/>
    <m/>
    <m/>
    <m/>
    <x v="0"/>
    <x v="0"/>
    <m/>
    <m/>
    <m/>
    <x v="0"/>
    <x v="0"/>
  </r>
  <r>
    <x v="3"/>
    <x v="2"/>
    <x v="2"/>
    <n v="48"/>
    <n v="6"/>
    <n v="26.6"/>
    <n v="1276.8000000000002"/>
    <n v="1242"/>
    <n v="7452"/>
    <n v="0.97274436090225547"/>
    <n v="1"/>
    <n v="-2.7E-2"/>
    <m/>
    <m/>
    <n v="8"/>
    <n v="1234"/>
    <n v="0.99355877616747179"/>
    <m/>
    <s v="1(包)"/>
    <m/>
    <m/>
    <x v="0"/>
    <x v="0"/>
    <m/>
    <m/>
    <m/>
    <x v="0"/>
    <x v="0"/>
  </r>
  <r>
    <x v="3"/>
    <x v="18"/>
    <x v="18"/>
    <n v="16"/>
    <n v="6"/>
    <n v="26.4"/>
    <n v="422.4"/>
    <n v="424"/>
    <n v="2544"/>
    <n v="1.0037878787878789"/>
    <n v="1"/>
    <n v="4.0000000000000001E-3"/>
    <m/>
    <m/>
    <n v="2"/>
    <n v="422"/>
    <n v="0.99528301886792447"/>
    <m/>
    <m/>
    <m/>
    <m/>
    <x v="0"/>
    <x v="0"/>
    <m/>
    <m/>
    <m/>
    <x v="0"/>
    <x v="0"/>
  </r>
  <r>
    <x v="3"/>
    <x v="19"/>
    <x v="19"/>
    <n v="20"/>
    <n v="6"/>
    <n v="25.5"/>
    <n v="510"/>
    <n v="509"/>
    <n v="3054"/>
    <n v="0.99803921568627452"/>
    <n v="1"/>
    <n v="-2E-3"/>
    <m/>
    <m/>
    <n v="1"/>
    <n v="508"/>
    <n v="0.99803536345776034"/>
    <m/>
    <m/>
    <m/>
    <m/>
    <x v="0"/>
    <x v="0"/>
    <m/>
    <m/>
    <m/>
    <x v="0"/>
    <x v="0"/>
  </r>
  <r>
    <x v="3"/>
    <x v="20"/>
    <x v="20"/>
    <n v="16"/>
    <n v="6"/>
    <n v="25"/>
    <n v="400"/>
    <n v="404"/>
    <n v="2424"/>
    <n v="1.01"/>
    <n v="1"/>
    <n v="0.01"/>
    <m/>
    <m/>
    <n v="1"/>
    <n v="403"/>
    <n v="0.99752475247524752"/>
    <m/>
    <m/>
    <m/>
    <m/>
    <x v="0"/>
    <x v="0"/>
    <m/>
    <m/>
    <m/>
    <x v="0"/>
    <x v="0"/>
  </r>
  <r>
    <x v="3"/>
    <x v="11"/>
    <x v="11"/>
    <n v="72"/>
    <n v="2.8"/>
    <n v="44.5"/>
    <n v="3204"/>
    <n v="3456"/>
    <n v="9676.7999999999993"/>
    <n v="1.0786516853932584"/>
    <n v="1"/>
    <n v="7.9000000000000001E-2"/>
    <m/>
    <m/>
    <n v="1"/>
    <n v="3455"/>
    <n v="0.99971064814814814"/>
    <m/>
    <s v="69.3kg"/>
    <m/>
    <m/>
    <x v="0"/>
    <x v="0"/>
    <m/>
    <m/>
    <m/>
    <x v="0"/>
    <x v="0"/>
  </r>
  <r>
    <x v="4"/>
    <x v="15"/>
    <x v="15"/>
    <n v="88"/>
    <n v="3.2"/>
    <n v="46.8"/>
    <n v="4118.3999999999996"/>
    <n v="4090"/>
    <n v="13088"/>
    <n v="0.99310411810411814"/>
    <n v="1"/>
    <n v="-7.0000000000000001E-3"/>
    <m/>
    <m/>
    <n v="2"/>
    <n v="4088"/>
    <n v="0.99951100244498781"/>
    <s v="1130106-02A"/>
    <m/>
    <m/>
    <m/>
    <x v="0"/>
    <x v="0"/>
    <m/>
    <m/>
    <m/>
    <x v="0"/>
    <x v="0"/>
  </r>
  <r>
    <x v="4"/>
    <x v="9"/>
    <x v="9"/>
    <n v="40"/>
    <n v="6"/>
    <n v="25.7"/>
    <n v="1028"/>
    <n v="990"/>
    <n v="5940"/>
    <n v="0.96303501945525294"/>
    <n v="1"/>
    <n v="-3.6999999999999998E-2"/>
    <m/>
    <m/>
    <n v="5"/>
    <n v="985"/>
    <n v="0.99494949494949492"/>
    <m/>
    <m/>
    <m/>
    <m/>
    <x v="0"/>
    <x v="0"/>
    <m/>
    <m/>
    <m/>
    <x v="0"/>
    <x v="0"/>
  </r>
  <r>
    <x v="5"/>
    <x v="21"/>
    <x v="21"/>
    <n v="36"/>
    <n v="3.2"/>
    <n v="46.4"/>
    <n v="1670.3999999999999"/>
    <n v="1710"/>
    <n v="5472"/>
    <n v="1.0237068965517242"/>
    <n v="1"/>
    <n v="2.4E-2"/>
    <m/>
    <m/>
    <n v="2"/>
    <n v="1708"/>
    <n v="0.99883040935672518"/>
    <m/>
    <m/>
    <m/>
    <m/>
    <x v="0"/>
    <x v="0"/>
    <m/>
    <m/>
    <m/>
    <x v="0"/>
    <x v="0"/>
  </r>
  <r>
    <x v="5"/>
    <x v="9"/>
    <x v="9"/>
    <n v="24"/>
    <n v="6"/>
    <n v="25.7"/>
    <n v="616.79999999999995"/>
    <n v="610"/>
    <n v="3660"/>
    <n v="0.98897535667963687"/>
    <n v="1"/>
    <n v="-1.0999999999999999E-2"/>
    <m/>
    <m/>
    <n v="3"/>
    <n v="607"/>
    <n v="0.9950819672131147"/>
    <m/>
    <m/>
    <m/>
    <m/>
    <x v="0"/>
    <x v="0"/>
    <m/>
    <m/>
    <m/>
    <x v="0"/>
    <x v="0"/>
  </r>
  <r>
    <x v="5"/>
    <x v="22"/>
    <x v="10"/>
    <n v="20"/>
    <n v="6"/>
    <n v="25.1"/>
    <n v="502"/>
    <n v="503"/>
    <n v="3018"/>
    <n v="1.00199203187251"/>
    <n v="1"/>
    <n v="2E-3"/>
    <m/>
    <m/>
    <n v="2"/>
    <n v="501"/>
    <n v="0.99602385685884687"/>
    <m/>
    <m/>
    <m/>
    <m/>
    <x v="0"/>
    <x v="0"/>
    <m/>
    <m/>
    <m/>
    <x v="0"/>
    <x v="0"/>
  </r>
  <r>
    <x v="5"/>
    <x v="23"/>
    <x v="22"/>
    <n v="36"/>
    <n v="0.34"/>
    <n v="364.6"/>
    <n v="13125.6"/>
    <n v="12829"/>
    <n v="4361.8600000000006"/>
    <n v="0.97740293777046383"/>
    <n v="1"/>
    <n v="-2.3E-2"/>
    <m/>
    <m/>
    <n v="3"/>
    <n v="12826"/>
    <n v="0.99976615480551878"/>
    <m/>
    <m/>
    <m/>
    <m/>
    <x v="0"/>
    <x v="0"/>
    <m/>
    <m/>
    <m/>
    <x v="0"/>
    <x v="0"/>
  </r>
  <r>
    <x v="5"/>
    <x v="24"/>
    <x v="23"/>
    <n v="4.88"/>
    <n v="0.34"/>
    <n v="366"/>
    <n v="1786.08"/>
    <n v="1721"/>
    <n v="585.14"/>
    <n v="0.96356266236674737"/>
    <n v="1"/>
    <n v="-3.5999999999999997E-2"/>
    <m/>
    <m/>
    <n v="5"/>
    <n v="1716"/>
    <n v="0.99709471237652525"/>
    <m/>
    <s v="43kg"/>
    <s v="含佳樂美200箱"/>
    <m/>
    <x v="0"/>
    <x v="0"/>
    <m/>
    <m/>
    <m/>
    <x v="0"/>
    <x v="0"/>
  </r>
  <r>
    <x v="5"/>
    <x v="25"/>
    <x v="24"/>
    <n v="7.12"/>
    <n v="0.34"/>
    <n v="366"/>
    <n v="2605.92"/>
    <n v="2640"/>
    <n v="897.6"/>
    <n v="1.013077914901455"/>
    <n v="1"/>
    <n v="1.2999999999999999E-2"/>
    <m/>
    <m/>
    <n v="0"/>
    <n v="2640"/>
    <n v="1"/>
    <m/>
    <m/>
    <m/>
    <m/>
    <x v="0"/>
    <x v="0"/>
    <m/>
    <m/>
    <m/>
    <x v="0"/>
    <x v="0"/>
  </r>
  <r>
    <x v="6"/>
    <x v="26"/>
    <x v="25"/>
    <n v="20"/>
    <n v="0.9"/>
    <n v="163"/>
    <n v="3260"/>
    <n v="3399"/>
    <n v="3059.1"/>
    <n v="1.042638036809816"/>
    <n v="1"/>
    <n v="4.2999999999999997E-2"/>
    <m/>
    <m/>
    <n v="2"/>
    <n v="3397"/>
    <n v="0.99941159164460136"/>
    <m/>
    <s v="1(包)"/>
    <m/>
    <m/>
    <x v="0"/>
    <x v="0"/>
    <m/>
    <m/>
    <m/>
    <x v="0"/>
    <x v="0"/>
  </r>
  <r>
    <x v="6"/>
    <x v="27"/>
    <x v="26"/>
    <n v="36"/>
    <n v="3.2"/>
    <n v="47.5"/>
    <n v="1710"/>
    <n v="1666"/>
    <n v="5331.2000000000007"/>
    <n v="0.97426900584795317"/>
    <n v="1"/>
    <n v="-2.5999999999999999E-2"/>
    <m/>
    <m/>
    <n v="1"/>
    <n v="1665"/>
    <n v="0.99939975990396157"/>
    <m/>
    <s v="2(包)"/>
    <m/>
    <m/>
    <x v="0"/>
    <x v="0"/>
    <m/>
    <m/>
    <m/>
    <x v="0"/>
    <x v="0"/>
  </r>
  <r>
    <x v="6"/>
    <x v="28"/>
    <x v="19"/>
    <n v="40"/>
    <n v="6"/>
    <n v="25.5"/>
    <n v="1020"/>
    <n v="1028"/>
    <n v="6168"/>
    <n v="1.0078431372549019"/>
    <n v="1"/>
    <n v="8.0000000000000002E-3"/>
    <m/>
    <m/>
    <n v="1"/>
    <n v="1027"/>
    <n v="0.99902723735408561"/>
    <m/>
    <m/>
    <m/>
    <m/>
    <x v="0"/>
    <x v="0"/>
    <m/>
    <m/>
    <m/>
    <x v="0"/>
    <x v="0"/>
  </r>
  <r>
    <x v="6"/>
    <x v="29"/>
    <x v="27"/>
    <n v="9"/>
    <n v="18"/>
    <n v="6.7"/>
    <n v="60.300000000000004"/>
    <n v="60"/>
    <n v="1080"/>
    <n v="0.99502487562189046"/>
    <n v="1"/>
    <n v="-5.0000000000000001E-3"/>
    <m/>
    <m/>
    <n v="0"/>
    <n v="60"/>
    <n v="1"/>
    <m/>
    <m/>
    <m/>
    <m/>
    <x v="0"/>
    <x v="0"/>
    <m/>
    <m/>
    <m/>
    <x v="0"/>
    <x v="0"/>
  </r>
  <r>
    <x v="6"/>
    <x v="11"/>
    <x v="11"/>
    <n v="50"/>
    <n v="2.8"/>
    <n v="44.5"/>
    <n v="2225"/>
    <n v="2502"/>
    <n v="7005.5999999999995"/>
    <n v="1.124494382022472"/>
    <n v="1"/>
    <n v="0.124"/>
    <m/>
    <m/>
    <n v="1"/>
    <n v="2501"/>
    <n v="0.9996003197442046"/>
    <m/>
    <s v="65kg"/>
    <m/>
    <m/>
    <x v="0"/>
    <x v="0"/>
    <m/>
    <m/>
    <m/>
    <x v="0"/>
    <x v="0"/>
  </r>
  <r>
    <x v="7"/>
    <x v="8"/>
    <x v="8"/>
    <n v="24"/>
    <n v="0.44"/>
    <n v="344"/>
    <n v="8256"/>
    <n v="8071"/>
    <n v="3551.2400000000002"/>
    <n v="0.97759205426356588"/>
    <n v="1"/>
    <n v="-2.1999999999999999E-2"/>
    <m/>
    <m/>
    <n v="9"/>
    <n v="8062"/>
    <n v="0.99888489654317925"/>
    <m/>
    <m/>
    <m/>
    <m/>
    <x v="0"/>
    <x v="0"/>
    <m/>
    <m/>
    <m/>
    <x v="0"/>
    <x v="0"/>
  </r>
  <r>
    <x v="7"/>
    <x v="30"/>
    <x v="28"/>
    <n v="12"/>
    <n v="0.43"/>
    <n v="340.4"/>
    <n v="4084.7999999999997"/>
    <n v="4032"/>
    <n v="1733.76"/>
    <n v="0.98707403055229148"/>
    <n v="1"/>
    <n v="-1.2999999999999999E-2"/>
    <m/>
    <m/>
    <n v="4"/>
    <n v="4028"/>
    <n v="0.99900793650793651"/>
    <m/>
    <m/>
    <m/>
    <m/>
    <x v="0"/>
    <x v="0"/>
    <m/>
    <m/>
    <m/>
    <x v="0"/>
    <x v="0"/>
  </r>
  <r>
    <x v="7"/>
    <x v="31"/>
    <x v="29"/>
    <n v="4"/>
    <n v="0.42"/>
    <n v="364"/>
    <n v="1456"/>
    <n v="1464"/>
    <n v="614.88"/>
    <n v="1.0054945054945055"/>
    <n v="1"/>
    <n v="5.0000000000000001E-3"/>
    <m/>
    <m/>
    <n v="5"/>
    <n v="1459"/>
    <n v="0.99658469945355188"/>
    <m/>
    <m/>
    <m/>
    <m/>
    <x v="0"/>
    <x v="0"/>
    <m/>
    <m/>
    <m/>
    <x v="0"/>
    <x v="0"/>
  </r>
  <r>
    <x v="7"/>
    <x v="9"/>
    <x v="9"/>
    <n v="28"/>
    <n v="6"/>
    <n v="25.7"/>
    <n v="719.6"/>
    <n v="717"/>
    <n v="4302"/>
    <n v="0.9963868816008894"/>
    <n v="1"/>
    <n v="-4.0000000000000001E-3"/>
    <m/>
    <m/>
    <n v="4"/>
    <n v="713"/>
    <n v="0.99442119944211993"/>
    <m/>
    <m/>
    <m/>
    <m/>
    <x v="0"/>
    <x v="0"/>
    <m/>
    <m/>
    <m/>
    <x v="0"/>
    <x v="0"/>
  </r>
  <r>
    <x v="7"/>
    <x v="32"/>
    <x v="30"/>
    <n v="20"/>
    <n v="6"/>
    <n v="25.2"/>
    <n v="504"/>
    <n v="503"/>
    <n v="3018"/>
    <n v="0.99801587301587302"/>
    <n v="1"/>
    <n v="-2E-3"/>
    <m/>
    <m/>
    <n v="1"/>
    <n v="502"/>
    <n v="0.99801192842942343"/>
    <m/>
    <m/>
    <m/>
    <m/>
    <x v="0"/>
    <x v="0"/>
    <m/>
    <m/>
    <m/>
    <x v="0"/>
    <x v="0"/>
  </r>
  <r>
    <x v="7"/>
    <x v="11"/>
    <x v="11"/>
    <n v="48.8"/>
    <n v="2.8"/>
    <n v="44.5"/>
    <n v="2171.6"/>
    <n v="2287"/>
    <n v="6403.5999999999995"/>
    <n v="1.0531405415361945"/>
    <n v="1"/>
    <n v="5.2999999999999999E-2"/>
    <m/>
    <m/>
    <n v="1"/>
    <n v="2286"/>
    <n v="0.99956274595540007"/>
    <m/>
    <s v="60kg"/>
    <s v="含美之城100箱"/>
    <m/>
    <x v="0"/>
    <x v="0"/>
    <m/>
    <m/>
    <m/>
    <x v="0"/>
    <x v="0"/>
  </r>
  <r>
    <x v="7"/>
    <x v="33"/>
    <x v="31"/>
    <n v="11.2"/>
    <n v="2.8"/>
    <n v="46"/>
    <n v="515.19999999999993"/>
    <n v="600"/>
    <n v="1680"/>
    <n v="1.1645962732919257"/>
    <n v="1"/>
    <n v="0.16500000000000001"/>
    <m/>
    <m/>
    <n v="0"/>
    <n v="600"/>
    <n v="1"/>
    <m/>
    <m/>
    <m/>
    <m/>
    <x v="0"/>
    <x v="0"/>
    <m/>
    <m/>
    <m/>
    <x v="0"/>
    <x v="0"/>
  </r>
  <r>
    <x v="8"/>
    <x v="15"/>
    <x v="15"/>
    <n v="40"/>
    <n v="3.2"/>
    <n v="46.8"/>
    <n v="1872"/>
    <n v="1875"/>
    <n v="6000"/>
    <n v="1.0016025641025641"/>
    <n v="1"/>
    <n v="2E-3"/>
    <m/>
    <m/>
    <n v="1"/>
    <n v="1874"/>
    <n v="0.99946666666666661"/>
    <m/>
    <m/>
    <m/>
    <m/>
    <x v="0"/>
    <x v="0"/>
    <m/>
    <m/>
    <m/>
    <x v="0"/>
    <x v="0"/>
  </r>
  <r>
    <x v="8"/>
    <x v="13"/>
    <x v="13"/>
    <n v="20"/>
    <n v="0.9"/>
    <n v="160.5"/>
    <n v="3210"/>
    <n v="3209"/>
    <n v="2888.1"/>
    <n v="0.99968847352024925"/>
    <n v="1"/>
    <n v="0"/>
    <m/>
    <m/>
    <n v="3"/>
    <n v="3206"/>
    <n v="0.99906512932377689"/>
    <m/>
    <m/>
    <m/>
    <m/>
    <x v="0"/>
    <x v="0"/>
    <m/>
    <m/>
    <m/>
    <x v="0"/>
    <x v="0"/>
  </r>
  <r>
    <x v="8"/>
    <x v="9"/>
    <x v="9"/>
    <n v="24"/>
    <n v="6"/>
    <n v="25.7"/>
    <n v="616.79999999999995"/>
    <n v="619"/>
    <n v="3714"/>
    <n v="1.0035667963683528"/>
    <n v="1"/>
    <n v="4.0000000000000001E-3"/>
    <m/>
    <m/>
    <n v="12"/>
    <n v="607"/>
    <n v="0.98061389337641358"/>
    <m/>
    <m/>
    <m/>
    <m/>
    <x v="0"/>
    <x v="0"/>
    <m/>
    <m/>
    <m/>
    <x v="0"/>
    <x v="0"/>
  </r>
  <r>
    <x v="8"/>
    <x v="10"/>
    <x v="10"/>
    <n v="24"/>
    <n v="6"/>
    <n v="25.4"/>
    <n v="609.59999999999991"/>
    <n v="603"/>
    <n v="3618"/>
    <n v="0.98917322834645682"/>
    <n v="1"/>
    <n v="-1.0999999999999999E-2"/>
    <m/>
    <m/>
    <n v="3"/>
    <n v="600"/>
    <n v="0.99502487562189057"/>
    <m/>
    <m/>
    <m/>
    <m/>
    <x v="0"/>
    <x v="0"/>
    <m/>
    <m/>
    <m/>
    <x v="0"/>
    <x v="0"/>
  </r>
  <r>
    <x v="8"/>
    <x v="34"/>
    <x v="32"/>
    <n v="12"/>
    <n v="0.34"/>
    <n v="358.3"/>
    <n v="4299.6000000000004"/>
    <n v="4289"/>
    <n v="1458.2600000000002"/>
    <n v="0.9975346543864545"/>
    <n v="1"/>
    <n v="-2E-3"/>
    <m/>
    <m/>
    <n v="3"/>
    <n v="4286"/>
    <n v="0.99930053625553739"/>
    <m/>
    <m/>
    <m/>
    <m/>
    <x v="0"/>
    <x v="0"/>
    <m/>
    <m/>
    <m/>
    <x v="0"/>
    <x v="0"/>
  </r>
  <r>
    <x v="8"/>
    <x v="35"/>
    <x v="33"/>
    <n v="8"/>
    <n v="18"/>
    <n v="6.6"/>
    <n v="52.8"/>
    <n v="56"/>
    <n v="1008"/>
    <n v="1.0606060606060606"/>
    <n v="1"/>
    <n v="6.0999999999999999E-2"/>
    <m/>
    <m/>
    <n v="0"/>
    <n v="56"/>
    <n v="1"/>
    <m/>
    <m/>
    <m/>
    <m/>
    <x v="0"/>
    <x v="0"/>
    <m/>
    <m/>
    <m/>
    <x v="0"/>
    <x v="0"/>
  </r>
  <r>
    <x v="8"/>
    <x v="11"/>
    <x v="11"/>
    <n v="24"/>
    <n v="2.8"/>
    <n v="44.5"/>
    <n v="1068"/>
    <n v="1163"/>
    <n v="3256.3999999999996"/>
    <n v="1.0889513108614233"/>
    <n v="1"/>
    <n v="8.8999999999999996E-2"/>
    <m/>
    <m/>
    <n v="1"/>
    <n v="1162"/>
    <n v="0.99914015477214102"/>
    <m/>
    <s v="57kg"/>
    <m/>
    <m/>
    <x v="0"/>
    <x v="0"/>
    <m/>
    <m/>
    <m/>
    <x v="0"/>
    <x v="0"/>
  </r>
  <r>
    <x v="9"/>
    <x v="36"/>
    <x v="34"/>
    <n v="5"/>
    <n v="6"/>
    <n v="24.3"/>
    <n v="121.5"/>
    <n v="118"/>
    <n v="708"/>
    <n v="0.9711934156378601"/>
    <n v="1"/>
    <n v="-2.9000000000000001E-2"/>
    <m/>
    <m/>
    <n v="1"/>
    <n v="117"/>
    <n v="0.99152542372881358"/>
    <m/>
    <m/>
    <m/>
    <m/>
    <x v="0"/>
    <x v="0"/>
    <m/>
    <m/>
    <m/>
    <x v="0"/>
    <x v="0"/>
  </r>
  <r>
    <x v="9"/>
    <x v="37"/>
    <x v="35"/>
    <n v="12"/>
    <n v="6"/>
    <n v="25.6"/>
    <n v="307.20000000000005"/>
    <n v="303"/>
    <n v="1818"/>
    <n v="0.98632812499999989"/>
    <n v="1"/>
    <n v="-1.4E-2"/>
    <m/>
    <m/>
    <n v="4"/>
    <n v="299"/>
    <n v="0.98679867986798675"/>
    <m/>
    <m/>
    <m/>
    <m/>
    <x v="0"/>
    <x v="0"/>
    <m/>
    <m/>
    <m/>
    <x v="0"/>
    <x v="0"/>
  </r>
  <r>
    <x v="9"/>
    <x v="2"/>
    <x v="2"/>
    <n v="20"/>
    <n v="6"/>
    <n v="26.6"/>
    <n v="532"/>
    <n v="515"/>
    <n v="3090"/>
    <n v="0.96804511278195493"/>
    <n v="1"/>
    <n v="-3.2000000000000001E-2"/>
    <m/>
    <m/>
    <n v="2"/>
    <n v="513"/>
    <n v="0.99611650485436898"/>
    <m/>
    <m/>
    <m/>
    <m/>
    <x v="0"/>
    <x v="0"/>
    <m/>
    <m/>
    <m/>
    <x v="0"/>
    <x v="0"/>
  </r>
  <r>
    <x v="9"/>
    <x v="3"/>
    <x v="3"/>
    <n v="12"/>
    <n v="4.5"/>
    <n v="36.299999999999997"/>
    <n v="435.59999999999997"/>
    <n v="418"/>
    <n v="1881"/>
    <n v="0.95959595959595967"/>
    <n v="1"/>
    <n v="-0.04"/>
    <m/>
    <m/>
    <n v="0"/>
    <n v="418"/>
    <n v="1"/>
    <m/>
    <m/>
    <m/>
    <m/>
    <x v="0"/>
    <x v="0"/>
    <m/>
    <m/>
    <m/>
    <x v="0"/>
    <x v="0"/>
  </r>
  <r>
    <x v="9"/>
    <x v="38"/>
    <x v="36"/>
    <n v="3"/>
    <n v="4.5"/>
    <n v="32.799999999999997"/>
    <n v="98.399999999999991"/>
    <n v="100"/>
    <n v="450"/>
    <n v="1.0162601626016261"/>
    <n v="1"/>
    <n v="1.6E-2"/>
    <m/>
    <m/>
    <n v="0"/>
    <n v="100"/>
    <n v="1"/>
    <m/>
    <m/>
    <m/>
    <m/>
    <x v="0"/>
    <x v="0"/>
    <m/>
    <m/>
    <m/>
    <x v="0"/>
    <x v="0"/>
  </r>
  <r>
    <x v="9"/>
    <x v="39"/>
    <x v="37"/>
    <n v="15"/>
    <n v="4.5"/>
    <n v="36"/>
    <n v="540"/>
    <n v="539"/>
    <n v="2425.5"/>
    <n v="0.99814814814814812"/>
    <n v="1"/>
    <n v="-2E-3"/>
    <m/>
    <m/>
    <n v="0"/>
    <n v="539"/>
    <n v="1"/>
    <m/>
    <m/>
    <m/>
    <m/>
    <x v="0"/>
    <x v="0"/>
    <m/>
    <m/>
    <m/>
    <x v="0"/>
    <x v="0"/>
  </r>
  <r>
    <x v="9"/>
    <x v="40"/>
    <x v="38"/>
    <n v="7.14"/>
    <n v="18"/>
    <n v="7"/>
    <n v="49.98"/>
    <n v="50"/>
    <n v="900"/>
    <n v="1.0004001600640258"/>
    <n v="1"/>
    <n v="0"/>
    <m/>
    <m/>
    <n v="0"/>
    <n v="50"/>
    <n v="1"/>
    <m/>
    <m/>
    <m/>
    <m/>
    <x v="0"/>
    <x v="0"/>
    <m/>
    <m/>
    <m/>
    <x v="0"/>
    <x v="0"/>
  </r>
  <r>
    <x v="9"/>
    <x v="41"/>
    <x v="39"/>
    <n v="52.86"/>
    <n v="2.8"/>
    <n v="44.2"/>
    <n v="2336.4120000000003"/>
    <n v="2350"/>
    <n v="6580"/>
    <n v="1.0058157550979878"/>
    <n v="1"/>
    <n v="6.0000000000000001E-3"/>
    <m/>
    <m/>
    <n v="1"/>
    <n v="2349"/>
    <n v="0.99957446808510642"/>
    <m/>
    <m/>
    <m/>
    <m/>
    <x v="0"/>
    <x v="0"/>
    <m/>
    <m/>
    <m/>
    <x v="0"/>
    <x v="0"/>
  </r>
  <r>
    <x v="10"/>
    <x v="9"/>
    <x v="9"/>
    <n v="24"/>
    <n v="6"/>
    <n v="25.7"/>
    <n v="616.79999999999995"/>
    <n v="614"/>
    <n v="3684"/>
    <n v="0.99546044098573294"/>
    <n v="1"/>
    <n v="-5.0000000000000001E-3"/>
    <m/>
    <m/>
    <n v="3"/>
    <n v="611"/>
    <n v="0.99511400651465798"/>
    <m/>
    <s v="50kg"/>
    <m/>
    <m/>
    <x v="0"/>
    <x v="0"/>
    <m/>
    <m/>
    <m/>
    <x v="0"/>
    <x v="0"/>
  </r>
  <r>
    <x v="10"/>
    <x v="42"/>
    <x v="40"/>
    <n v="9"/>
    <n v="3.5"/>
    <n v="25.4"/>
    <n v="228.6"/>
    <n v="230"/>
    <n v="805"/>
    <n v="1.0061242344706911"/>
    <n v="1"/>
    <n v="6.0000000000000001E-3"/>
    <m/>
    <m/>
    <n v="0"/>
    <n v="230"/>
    <n v="1"/>
    <m/>
    <m/>
    <m/>
    <m/>
    <x v="0"/>
    <x v="0"/>
    <m/>
    <m/>
    <m/>
    <x v="0"/>
    <x v="0"/>
  </r>
  <r>
    <x v="11"/>
    <x v="43"/>
    <x v="41"/>
    <n v="12"/>
    <n v="0.26"/>
    <n v="584.29999999999995"/>
    <n v="7011.5999999999995"/>
    <n v="7104"/>
    <n v="1847.04"/>
    <n v="1.0131781619031319"/>
    <n v="1"/>
    <n v="1.2999999999999999E-2"/>
    <m/>
    <m/>
    <n v="14"/>
    <n v="7090"/>
    <n v="0.99802927927927931"/>
    <m/>
    <m/>
    <m/>
    <m/>
    <x v="0"/>
    <x v="0"/>
    <m/>
    <m/>
    <m/>
    <x v="0"/>
    <x v="0"/>
  </r>
  <r>
    <x v="11"/>
    <x v="44"/>
    <x v="41"/>
    <n v="4"/>
    <n v="0.26"/>
    <n v="592"/>
    <n v="2368"/>
    <n v="2067"/>
    <n v="537.42000000000007"/>
    <n v="0.87288851351351349"/>
    <n v="1"/>
    <n v="-0.127"/>
    <m/>
    <m/>
    <n v="4"/>
    <n v="2063"/>
    <n v="0.99806482825350751"/>
    <m/>
    <m/>
    <m/>
    <m/>
    <x v="0"/>
    <x v="0"/>
    <m/>
    <m/>
    <m/>
    <x v="0"/>
    <x v="0"/>
  </r>
  <r>
    <x v="11"/>
    <x v="45"/>
    <x v="10"/>
    <n v="16"/>
    <n v="6"/>
    <n v="26.4"/>
    <n v="422.4"/>
    <n v="421"/>
    <n v="2526"/>
    <n v="0.99668560606060608"/>
    <n v="1"/>
    <n v="-3.0000000000000001E-3"/>
    <m/>
    <m/>
    <n v="1"/>
    <n v="420"/>
    <n v="0.99762470308788598"/>
    <m/>
    <m/>
    <m/>
    <m/>
    <x v="0"/>
    <x v="0"/>
    <m/>
    <m/>
    <m/>
    <x v="0"/>
    <x v="0"/>
  </r>
  <r>
    <x v="11"/>
    <x v="9"/>
    <x v="9"/>
    <n v="28"/>
    <n v="6"/>
    <n v="25.7"/>
    <n v="719.6"/>
    <n v="713"/>
    <n v="4278"/>
    <n v="0.99082823790994989"/>
    <n v="1"/>
    <n v="-8.9999999999999993E-3"/>
    <m/>
    <m/>
    <n v="5"/>
    <n v="708"/>
    <n v="0.99298737727910236"/>
    <m/>
    <m/>
    <m/>
    <m/>
    <x v="0"/>
    <x v="0"/>
    <m/>
    <m/>
    <m/>
    <x v="0"/>
    <x v="0"/>
  </r>
  <r>
    <x v="11"/>
    <x v="46"/>
    <x v="17"/>
    <n v="21"/>
    <n v="3"/>
    <n v="31.6"/>
    <n v="663.6"/>
    <n v="672"/>
    <n v="2016"/>
    <n v="1.0126582278481013"/>
    <n v="1"/>
    <n v="1.2999999999999999E-2"/>
    <m/>
    <m/>
    <n v="0"/>
    <n v="672"/>
    <n v="1"/>
    <m/>
    <m/>
    <m/>
    <m/>
    <x v="0"/>
    <x v="0"/>
    <m/>
    <m/>
    <m/>
    <x v="0"/>
    <x v="0"/>
  </r>
  <r>
    <x v="12"/>
    <x v="8"/>
    <x v="8"/>
    <n v="24"/>
    <n v="0.44"/>
    <n v="344"/>
    <n v="8256"/>
    <n v="8106"/>
    <n v="3566.64"/>
    <n v="0.98183139534883723"/>
    <n v="1"/>
    <n v="-1.7999999999999999E-2"/>
    <m/>
    <m/>
    <n v="22"/>
    <n v="8084"/>
    <n v="0.997285961016531"/>
    <m/>
    <m/>
    <m/>
    <m/>
    <x v="0"/>
    <x v="0"/>
    <m/>
    <m/>
    <m/>
    <x v="0"/>
    <x v="0"/>
  </r>
  <r>
    <x v="12"/>
    <x v="47"/>
    <x v="42"/>
    <n v="1"/>
    <n v="6"/>
    <n v="25.6"/>
    <n v="25.6"/>
    <n v="23"/>
    <n v="138"/>
    <n v="0.8984375"/>
    <n v="1"/>
    <n v="-0.10199999999999999"/>
    <m/>
    <m/>
    <n v="1"/>
    <n v="22"/>
    <n v="0.95652173913043481"/>
    <m/>
    <m/>
    <m/>
    <m/>
    <x v="0"/>
    <x v="0"/>
    <m/>
    <m/>
    <m/>
    <x v="0"/>
    <x v="0"/>
  </r>
  <r>
    <x v="12"/>
    <x v="28"/>
    <x v="19"/>
    <n v="40"/>
    <n v="6"/>
    <n v="25.5"/>
    <n v="1020"/>
    <n v="1024"/>
    <n v="6144"/>
    <n v="1.003921568627451"/>
    <n v="1"/>
    <n v="4.0000000000000001E-3"/>
    <m/>
    <m/>
    <n v="3"/>
    <n v="1021"/>
    <n v="0.9970703125"/>
    <m/>
    <m/>
    <m/>
    <m/>
    <x v="0"/>
    <x v="0"/>
    <m/>
    <m/>
    <m/>
    <x v="0"/>
    <x v="0"/>
  </r>
  <r>
    <x v="12"/>
    <x v="48"/>
    <x v="17"/>
    <n v="21"/>
    <n v="3"/>
    <n v="30.8"/>
    <n v="646.80000000000007"/>
    <n v="656"/>
    <n v="1968"/>
    <n v="1.0142238713667284"/>
    <n v="1"/>
    <n v="1.4E-2"/>
    <m/>
    <m/>
    <n v="0"/>
    <n v="656"/>
    <n v="1"/>
    <m/>
    <m/>
    <m/>
    <m/>
    <x v="0"/>
    <x v="0"/>
    <m/>
    <m/>
    <m/>
    <x v="0"/>
    <x v="0"/>
  </r>
  <r>
    <x v="13"/>
    <x v="15"/>
    <x v="15"/>
    <n v="60"/>
    <n v="3.2"/>
    <n v="46.8"/>
    <n v="2808"/>
    <n v="2775"/>
    <n v="8880"/>
    <n v="0.98824786324786329"/>
    <n v="1"/>
    <n v="-1.2E-2"/>
    <m/>
    <m/>
    <n v="9"/>
    <n v="2766"/>
    <n v="0.99675675675675679"/>
    <s v="1130117-02A"/>
    <m/>
    <m/>
    <m/>
    <x v="0"/>
    <x v="0"/>
    <m/>
    <m/>
    <m/>
    <x v="0"/>
    <x v="0"/>
  </r>
  <r>
    <x v="13"/>
    <x v="10"/>
    <x v="10"/>
    <n v="28"/>
    <n v="6"/>
    <n v="25.4"/>
    <n v="711.19999999999993"/>
    <n v="710"/>
    <n v="4260"/>
    <n v="0.99831271091113616"/>
    <n v="1"/>
    <n v="-2E-3"/>
    <m/>
    <m/>
    <n v="4"/>
    <n v="706"/>
    <n v="0.9943661971830986"/>
    <m/>
    <m/>
    <m/>
    <m/>
    <x v="0"/>
    <x v="0"/>
    <m/>
    <m/>
    <m/>
    <x v="0"/>
    <x v="0"/>
  </r>
  <r>
    <x v="13"/>
    <x v="20"/>
    <x v="20"/>
    <n v="16"/>
    <n v="6"/>
    <n v="25"/>
    <n v="400"/>
    <n v="406"/>
    <n v="2436"/>
    <n v="1.0149999999999999"/>
    <n v="1"/>
    <n v="1.4999999999999999E-2"/>
    <m/>
    <m/>
    <n v="1"/>
    <n v="405"/>
    <n v="0.99753694581280783"/>
    <m/>
    <m/>
    <m/>
    <m/>
    <x v="0"/>
    <x v="0"/>
    <m/>
    <m/>
    <m/>
    <x v="0"/>
    <x v="0"/>
  </r>
  <r>
    <x v="13"/>
    <x v="23"/>
    <x v="22"/>
    <n v="26.015999999999998"/>
    <n v="0.34"/>
    <n v="364.6"/>
    <n v="9485.4336000000003"/>
    <n v="8751"/>
    <n v="2975.34"/>
    <n v="0.92257247997603398"/>
    <n v="1"/>
    <n v="-7.6999999999999999E-2"/>
    <m/>
    <m/>
    <n v="3"/>
    <n v="8748"/>
    <n v="0.99965718203633869"/>
    <s v="1130117-01A"/>
    <m/>
    <s v="含佳樂美220箱"/>
    <m/>
    <x v="0"/>
    <x v="0"/>
    <m/>
    <m/>
    <m/>
    <x v="0"/>
    <x v="0"/>
  </r>
  <r>
    <x v="13"/>
    <x v="25"/>
    <x v="24"/>
    <n v="5.984"/>
    <n v="0.34"/>
    <n v="366"/>
    <n v="2190.1439999999998"/>
    <n v="2640"/>
    <n v="897.6"/>
    <n v="1.205400192864031"/>
    <n v="1"/>
    <n v="0.20499999999999999"/>
    <m/>
    <m/>
    <n v="0"/>
    <n v="2640"/>
    <n v="1"/>
    <m/>
    <m/>
    <m/>
    <m/>
    <x v="0"/>
    <x v="0"/>
    <m/>
    <m/>
    <m/>
    <x v="0"/>
    <x v="0"/>
  </r>
  <r>
    <x v="14"/>
    <x v="49"/>
    <x v="43"/>
    <n v="15"/>
    <n v="0.43"/>
    <n v="364"/>
    <n v="5460"/>
    <n v="5323"/>
    <n v="2288.89"/>
    <n v="0.97490842490842489"/>
    <n v="1"/>
    <n v="-2.5000000000000001E-2"/>
    <m/>
    <m/>
    <n v="9"/>
    <n v="5314"/>
    <n v="0.99830922412173584"/>
    <m/>
    <m/>
    <m/>
    <m/>
    <x v="0"/>
    <x v="0"/>
    <m/>
    <m/>
    <m/>
    <x v="0"/>
    <x v="0"/>
  </r>
  <r>
    <x v="14"/>
    <x v="15"/>
    <x v="15"/>
    <n v="20"/>
    <n v="3.2"/>
    <n v="46.8"/>
    <n v="936"/>
    <n v="914"/>
    <n v="2924.8"/>
    <n v="0.97649572649572647"/>
    <n v="1"/>
    <n v="-2.4E-2"/>
    <m/>
    <m/>
    <n v="1"/>
    <n v="913"/>
    <n v="0.9989059080962801"/>
    <m/>
    <m/>
    <m/>
    <m/>
    <x v="0"/>
    <x v="0"/>
    <m/>
    <m/>
    <m/>
    <x v="0"/>
    <x v="0"/>
  </r>
  <r>
    <x v="14"/>
    <x v="50"/>
    <x v="44"/>
    <n v="12"/>
    <n v="4.5"/>
    <n v="36.799999999999997"/>
    <n v="441.59999999999997"/>
    <n v="436"/>
    <n v="1962"/>
    <n v="0.9873188405797102"/>
    <n v="1"/>
    <n v="-1.2999999999999999E-2"/>
    <m/>
    <m/>
    <n v="0"/>
    <n v="436"/>
    <n v="1"/>
    <m/>
    <m/>
    <m/>
    <m/>
    <x v="0"/>
    <x v="0"/>
    <m/>
    <m/>
    <m/>
    <x v="0"/>
    <x v="0"/>
  </r>
  <r>
    <x v="14"/>
    <x v="51"/>
    <x v="45"/>
    <n v="12"/>
    <n v="9.08"/>
    <n v="17.8"/>
    <n v="213.60000000000002"/>
    <n v="212"/>
    <n v="1924.96"/>
    <n v="0.99250936329588002"/>
    <n v="1"/>
    <n v="-7.0000000000000001E-3"/>
    <m/>
    <m/>
    <n v="0"/>
    <n v="212"/>
    <n v="1"/>
    <m/>
    <m/>
    <m/>
    <m/>
    <x v="0"/>
    <x v="0"/>
    <m/>
    <m/>
    <m/>
    <x v="0"/>
    <x v="0"/>
  </r>
  <r>
    <x v="14"/>
    <x v="52"/>
    <x v="46"/>
    <n v="6"/>
    <n v="4.5"/>
    <n v="35.6"/>
    <n v="213.60000000000002"/>
    <n v="211"/>
    <n v="949.5"/>
    <n v="0.98782771535580516"/>
    <n v="1"/>
    <n v="-1.2E-2"/>
    <m/>
    <m/>
    <n v="0"/>
    <n v="211"/>
    <n v="1"/>
    <m/>
    <m/>
    <m/>
    <m/>
    <x v="0"/>
    <x v="0"/>
    <m/>
    <m/>
    <m/>
    <x v="0"/>
    <x v="0"/>
  </r>
  <r>
    <x v="14"/>
    <x v="53"/>
    <x v="46"/>
    <n v="4"/>
    <n v="4.5"/>
    <n v="34.5"/>
    <n v="138"/>
    <n v="136"/>
    <n v="612"/>
    <n v="0.98550724637681164"/>
    <n v="1"/>
    <n v="-1.4E-2"/>
    <m/>
    <m/>
    <n v="0"/>
    <n v="136"/>
    <n v="1"/>
    <m/>
    <m/>
    <m/>
    <m/>
    <x v="0"/>
    <x v="0"/>
    <m/>
    <m/>
    <m/>
    <x v="0"/>
    <x v="0"/>
  </r>
  <r>
    <x v="14"/>
    <x v="41"/>
    <x v="39"/>
    <n v="60"/>
    <n v="2.8"/>
    <n v="44.2"/>
    <n v="2652"/>
    <n v="2657"/>
    <n v="7439.5999999999995"/>
    <n v="1.0018853695324283"/>
    <n v="1"/>
    <n v="2E-3"/>
    <m/>
    <m/>
    <n v="1"/>
    <n v="2656"/>
    <n v="0.99962363567933765"/>
    <m/>
    <m/>
    <m/>
    <m/>
    <x v="0"/>
    <x v="0"/>
    <m/>
    <m/>
    <m/>
    <x v="0"/>
    <x v="0"/>
  </r>
  <r>
    <x v="15"/>
    <x v="27"/>
    <x v="26"/>
    <n v="32"/>
    <n v="3.2"/>
    <n v="47.5"/>
    <n v="1520"/>
    <n v="1476"/>
    <n v="4723.2"/>
    <n v="0.97105263157894739"/>
    <n v="1"/>
    <n v="-2.9000000000000001E-2"/>
    <m/>
    <m/>
    <n v="1"/>
    <n v="1475"/>
    <n v="0.99932249322493227"/>
    <m/>
    <m/>
    <m/>
    <m/>
    <x v="0"/>
    <x v="0"/>
    <m/>
    <m/>
    <m/>
    <x v="0"/>
    <x v="0"/>
  </r>
  <r>
    <x v="15"/>
    <x v="9"/>
    <x v="9"/>
    <n v="24"/>
    <n v="6"/>
    <n v="25.7"/>
    <n v="616.79999999999995"/>
    <n v="621"/>
    <n v="3726"/>
    <n v="1.0068093385214008"/>
    <n v="1"/>
    <n v="7.0000000000000001E-3"/>
    <m/>
    <m/>
    <n v="3"/>
    <n v="618"/>
    <n v="0.99516908212560384"/>
    <m/>
    <m/>
    <m/>
    <m/>
    <x v="0"/>
    <x v="0"/>
    <m/>
    <m/>
    <m/>
    <x v="0"/>
    <x v="0"/>
  </r>
  <r>
    <x v="15"/>
    <x v="16"/>
    <x v="16"/>
    <n v="16"/>
    <n v="6"/>
    <n v="26.1"/>
    <n v="417.6"/>
    <n v="445"/>
    <n v="2670"/>
    <n v="1.0656130268199233"/>
    <n v="1"/>
    <n v="6.6000000000000003E-2"/>
    <m/>
    <m/>
    <n v="1"/>
    <n v="444"/>
    <n v="0.99775280898876406"/>
    <m/>
    <m/>
    <m/>
    <m/>
    <x v="0"/>
    <x v="0"/>
    <m/>
    <m/>
    <m/>
    <x v="0"/>
    <x v="0"/>
  </r>
  <r>
    <x v="15"/>
    <x v="11"/>
    <x v="11"/>
    <n v="29.37"/>
    <n v="2.8"/>
    <n v="44.5"/>
    <n v="1306.9650000000001"/>
    <n v="1205"/>
    <n v="3374"/>
    <n v="0.92198337369401617"/>
    <n v="1"/>
    <n v="-7.8E-2"/>
    <m/>
    <m/>
    <n v="1"/>
    <n v="1204"/>
    <n v="0.9991701244813278"/>
    <m/>
    <s v="60kg"/>
    <m/>
    <m/>
    <x v="0"/>
    <x v="0"/>
    <m/>
    <m/>
    <m/>
    <x v="0"/>
    <x v="0"/>
  </r>
  <r>
    <x v="15"/>
    <x v="33"/>
    <x v="31"/>
    <n v="11.2"/>
    <n v="2.8"/>
    <n v="46"/>
    <n v="515.19999999999993"/>
    <n v="600"/>
    <n v="1680"/>
    <n v="1.1645962732919257"/>
    <n v="1"/>
    <n v="0.16500000000000001"/>
    <m/>
    <m/>
    <n v="0"/>
    <n v="600"/>
    <n v="1"/>
    <m/>
    <m/>
    <m/>
    <m/>
    <x v="0"/>
    <x v="0"/>
    <m/>
    <m/>
    <m/>
    <x v="0"/>
    <x v="0"/>
  </r>
  <r>
    <x v="15"/>
    <x v="29"/>
    <x v="27"/>
    <n v="11.43"/>
    <n v="18"/>
    <n v="6.7"/>
    <n v="76.581000000000003"/>
    <n v="80"/>
    <n v="1440"/>
    <n v="1.0446455387106461"/>
    <n v="1"/>
    <n v="4.4999999999999998E-2"/>
    <m/>
    <m/>
    <n v="0"/>
    <n v="80"/>
    <n v="1"/>
    <m/>
    <m/>
    <m/>
    <m/>
    <x v="0"/>
    <x v="0"/>
    <m/>
    <m/>
    <m/>
    <x v="0"/>
    <x v="0"/>
  </r>
  <r>
    <x v="16"/>
    <x v="9"/>
    <x v="9"/>
    <n v="20"/>
    <n v="6"/>
    <n v="25.7"/>
    <n v="514"/>
    <n v="504"/>
    <n v="3024"/>
    <n v="0.98054474708171202"/>
    <n v="1"/>
    <n v="-1.9E-2"/>
    <m/>
    <m/>
    <n v="4"/>
    <n v="500"/>
    <n v="0.99206349206349209"/>
    <m/>
    <m/>
    <m/>
    <m/>
    <x v="0"/>
    <x v="0"/>
    <m/>
    <m/>
    <m/>
    <x v="0"/>
    <x v="0"/>
  </r>
  <r>
    <x v="16"/>
    <x v="41"/>
    <x v="39"/>
    <n v="60"/>
    <n v="2.8"/>
    <n v="44.2"/>
    <n v="2652"/>
    <n v="2679"/>
    <n v="7501.2"/>
    <n v="1.0101809954751131"/>
    <n v="1"/>
    <n v="0.01"/>
    <m/>
    <m/>
    <n v="1"/>
    <n v="2678"/>
    <n v="0.99962672639044414"/>
    <m/>
    <s v="60kg"/>
    <m/>
    <m/>
    <x v="0"/>
    <x v="0"/>
    <m/>
    <m/>
    <m/>
    <x v="0"/>
    <x v="0"/>
  </r>
  <r>
    <x v="17"/>
    <x v="15"/>
    <x v="15"/>
    <n v="80"/>
    <n v="3.2"/>
    <n v="46.8"/>
    <n v="3744"/>
    <n v="3724"/>
    <n v="11916.800000000001"/>
    <n v="0.99465811965811968"/>
    <n v="1"/>
    <n v="-5.0000000000000001E-3"/>
    <m/>
    <m/>
    <n v="2"/>
    <n v="3722"/>
    <n v="0.99946294307196559"/>
    <m/>
    <s v="67kg"/>
    <m/>
    <m/>
    <x v="0"/>
    <x v="0"/>
    <m/>
    <m/>
    <m/>
    <x v="0"/>
    <x v="0"/>
  </r>
  <r>
    <x v="17"/>
    <x v="28"/>
    <x v="19"/>
    <n v="48"/>
    <n v="6"/>
    <n v="25.5"/>
    <n v="1224"/>
    <n v="1241"/>
    <n v="7446"/>
    <n v="1.0138888888888888"/>
    <n v="1"/>
    <n v="1.4E-2"/>
    <m/>
    <m/>
    <n v="2"/>
    <n v="1239"/>
    <n v="0.99838839645447219"/>
    <m/>
    <m/>
    <m/>
    <m/>
    <x v="0"/>
    <x v="0"/>
    <m/>
    <m/>
    <m/>
    <x v="0"/>
    <x v="0"/>
  </r>
  <r>
    <x v="17"/>
    <x v="11"/>
    <x v="11"/>
    <n v="60"/>
    <n v="2.8"/>
    <n v="44.5"/>
    <n v="2670"/>
    <n v="2799"/>
    <n v="7837.2"/>
    <n v="1.048314606741573"/>
    <n v="1"/>
    <n v="4.8000000000000001E-2"/>
    <m/>
    <m/>
    <n v="2"/>
    <n v="2797"/>
    <n v="0.99928545909253308"/>
    <s v="1130122-01A"/>
    <m/>
    <m/>
    <m/>
    <x v="0"/>
    <x v="0"/>
    <m/>
    <m/>
    <m/>
    <x v="0"/>
    <x v="0"/>
  </r>
  <r>
    <x v="18"/>
    <x v="8"/>
    <x v="8"/>
    <n v="48"/>
    <n v="0.44"/>
    <n v="344"/>
    <n v="16512"/>
    <n v="16416"/>
    <n v="7223.04"/>
    <n v="0.9941860465116279"/>
    <n v="1"/>
    <n v="-6.0000000000000001E-3"/>
    <m/>
    <m/>
    <n v="20"/>
    <n v="16396"/>
    <n v="0.99878167641325533"/>
    <m/>
    <s v="16.8kg"/>
    <m/>
    <m/>
    <x v="0"/>
    <x v="0"/>
    <m/>
    <m/>
    <m/>
    <x v="0"/>
    <x v="0"/>
  </r>
  <r>
    <x v="18"/>
    <x v="9"/>
    <x v="9"/>
    <n v="35"/>
    <n v="6"/>
    <n v="25.7"/>
    <n v="899.5"/>
    <n v="916"/>
    <n v="5496"/>
    <n v="1.0183435241801"/>
    <n v="1"/>
    <n v="1.7999999999999999E-2"/>
    <m/>
    <m/>
    <n v="109"/>
    <n v="807"/>
    <n v="0.88100436681222705"/>
    <m/>
    <m/>
    <m/>
    <m/>
    <x v="0"/>
    <x v="0"/>
    <m/>
    <m/>
    <m/>
    <x v="0"/>
    <x v="0"/>
  </r>
  <r>
    <x v="18"/>
    <x v="54"/>
    <x v="47"/>
    <n v="4"/>
    <n v="6"/>
    <n v="27.4"/>
    <n v="109.6"/>
    <n v="110"/>
    <n v="660"/>
    <n v="1.0036496350364965"/>
    <n v="1"/>
    <n v="4.0000000000000001E-3"/>
    <m/>
    <m/>
    <n v="1"/>
    <n v="109"/>
    <n v="0.99090909090909096"/>
    <m/>
    <m/>
    <m/>
    <m/>
    <x v="0"/>
    <x v="0"/>
    <m/>
    <m/>
    <m/>
    <x v="0"/>
    <x v="0"/>
  </r>
  <r>
    <x v="18"/>
    <x v="55"/>
    <x v="48"/>
    <n v="40"/>
    <n v="18"/>
    <n v="6.9"/>
    <n v="276"/>
    <n v="281"/>
    <n v="5058"/>
    <n v="1.0181159420289856"/>
    <n v="1"/>
    <n v="1.7999999999999999E-2"/>
    <m/>
    <m/>
    <n v="0"/>
    <n v="281"/>
    <n v="1"/>
    <m/>
    <m/>
    <m/>
    <m/>
    <x v="0"/>
    <x v="0"/>
    <m/>
    <m/>
    <m/>
    <x v="0"/>
    <x v="0"/>
  </r>
  <r>
    <x v="19"/>
    <x v="21"/>
    <x v="21"/>
    <n v="36"/>
    <n v="3.2"/>
    <n v="46.4"/>
    <n v="1670.3999999999999"/>
    <n v="1672"/>
    <n v="5350.4000000000005"/>
    <n v="1.0009578544061304"/>
    <n v="1"/>
    <n v="1E-3"/>
    <m/>
    <m/>
    <n v="1"/>
    <n v="1671"/>
    <n v="0.99940191387559807"/>
    <m/>
    <s v="11.2kg"/>
    <m/>
    <m/>
    <x v="0"/>
    <x v="0"/>
    <m/>
    <m/>
    <m/>
    <x v="0"/>
    <x v="0"/>
  </r>
  <r>
    <x v="19"/>
    <x v="15"/>
    <x v="15"/>
    <n v="40"/>
    <n v="3.2"/>
    <n v="46.8"/>
    <n v="1872"/>
    <n v="1861"/>
    <n v="5955.2000000000007"/>
    <n v="0.99412393162393164"/>
    <n v="1"/>
    <n v="-6.0000000000000001E-3"/>
    <m/>
    <m/>
    <n v="2"/>
    <n v="1859"/>
    <n v="0.99892530897367005"/>
    <m/>
    <s v="53.2kg"/>
    <m/>
    <m/>
    <x v="0"/>
    <x v="0"/>
    <m/>
    <m/>
    <m/>
    <x v="0"/>
    <x v="0"/>
  </r>
  <r>
    <x v="19"/>
    <x v="9"/>
    <x v="9"/>
    <n v="24"/>
    <n v="6"/>
    <n v="25.7"/>
    <n v="616.79999999999995"/>
    <n v="614"/>
    <n v="3684"/>
    <n v="0.99546044098573294"/>
    <n v="1"/>
    <n v="-5.0000000000000001E-3"/>
    <m/>
    <m/>
    <n v="3"/>
    <n v="611"/>
    <n v="0.99511400651465798"/>
    <m/>
    <m/>
    <m/>
    <m/>
    <x v="0"/>
    <x v="0"/>
    <m/>
    <m/>
    <m/>
    <x v="0"/>
    <x v="0"/>
  </r>
  <r>
    <x v="19"/>
    <x v="32"/>
    <x v="30"/>
    <n v="12"/>
    <n v="6"/>
    <n v="25.2"/>
    <n v="302.39999999999998"/>
    <n v="300"/>
    <n v="1800"/>
    <n v="0.99206349206349209"/>
    <n v="1"/>
    <n v="-8.0000000000000002E-3"/>
    <m/>
    <m/>
    <n v="2"/>
    <n v="298"/>
    <n v="0.99333333333333329"/>
    <m/>
    <m/>
    <m/>
    <m/>
    <x v="0"/>
    <x v="0"/>
    <m/>
    <m/>
    <m/>
    <x v="0"/>
    <x v="0"/>
  </r>
  <r>
    <x v="19"/>
    <x v="56"/>
    <x v="49"/>
    <n v="6"/>
    <n v="6"/>
    <n v="25.3"/>
    <n v="151.80000000000001"/>
    <n v="151"/>
    <n v="906"/>
    <n v="0.99472990777338599"/>
    <n v="1"/>
    <n v="-5.0000000000000001E-3"/>
    <m/>
    <m/>
    <n v="1"/>
    <n v="150"/>
    <n v="0.99337748344370858"/>
    <m/>
    <m/>
    <m/>
    <m/>
    <x v="0"/>
    <x v="0"/>
    <m/>
    <m/>
    <m/>
    <x v="0"/>
    <x v="0"/>
  </r>
  <r>
    <x v="19"/>
    <x v="29"/>
    <x v="27"/>
    <n v="4.29"/>
    <n v="18"/>
    <n v="6.7"/>
    <n v="28.743000000000002"/>
    <n v="30"/>
    <n v="540"/>
    <n v="1.0437323870159689"/>
    <n v="1"/>
    <n v="4.3999999999999997E-2"/>
    <m/>
    <m/>
    <n v="0"/>
    <n v="30"/>
    <n v="1"/>
    <m/>
    <m/>
    <m/>
    <m/>
    <x v="0"/>
    <x v="0"/>
    <m/>
    <m/>
    <m/>
    <x v="0"/>
    <x v="0"/>
  </r>
  <r>
    <x v="19"/>
    <x v="11"/>
    <x v="11"/>
    <n v="55.71"/>
    <n v="2.8"/>
    <n v="44.5"/>
    <n v="2479.0950000000003"/>
    <n v="2489"/>
    <n v="6969.2"/>
    <n v="1.0039954096152022"/>
    <n v="1"/>
    <n v="4.0000000000000001E-3"/>
    <m/>
    <m/>
    <n v="1"/>
    <n v="2488"/>
    <n v="0.9995982322217758"/>
    <m/>
    <m/>
    <m/>
    <m/>
    <x v="0"/>
    <x v="0"/>
    <m/>
    <m/>
    <m/>
    <x v="0"/>
    <x v="0"/>
  </r>
  <r>
    <x v="20"/>
    <x v="13"/>
    <x v="13"/>
    <n v="24"/>
    <n v="0.9"/>
    <n v="160.5"/>
    <n v="3852"/>
    <n v="3835"/>
    <n v="3451.5"/>
    <n v="0.99558670820353068"/>
    <n v="1"/>
    <n v="-4.0000000000000001E-3"/>
    <m/>
    <m/>
    <n v="2"/>
    <n v="3833"/>
    <n v="0.99947848761408087"/>
    <m/>
    <m/>
    <m/>
    <m/>
    <x v="0"/>
    <x v="0"/>
    <m/>
    <m/>
    <m/>
    <x v="0"/>
    <x v="0"/>
  </r>
  <r>
    <x v="20"/>
    <x v="57"/>
    <x v="50"/>
    <n v="3"/>
    <n v="0.26"/>
    <n v="595"/>
    <n v="1785"/>
    <n v="1795"/>
    <n v="466.7"/>
    <n v="1.0056022408963585"/>
    <n v="1"/>
    <n v="6.0000000000000001E-3"/>
    <m/>
    <m/>
    <n v="5"/>
    <n v="1790"/>
    <n v="0.99721448467966578"/>
    <m/>
    <m/>
    <m/>
    <m/>
    <x v="0"/>
    <x v="0"/>
    <m/>
    <m/>
    <m/>
    <x v="0"/>
    <x v="0"/>
  </r>
  <r>
    <x v="20"/>
    <x v="58"/>
    <x v="51"/>
    <n v="8"/>
    <n v="6"/>
    <n v="25.7"/>
    <n v="205.6"/>
    <n v="205"/>
    <n v="1230"/>
    <n v="0.99708171206225682"/>
    <n v="1"/>
    <n v="-3.0000000000000001E-3"/>
    <m/>
    <m/>
    <n v="2"/>
    <n v="203"/>
    <n v="0.99024390243902438"/>
    <m/>
    <m/>
    <m/>
    <m/>
    <x v="0"/>
    <x v="0"/>
    <m/>
    <m/>
    <m/>
    <x v="0"/>
    <x v="0"/>
  </r>
  <r>
    <x v="20"/>
    <x v="16"/>
    <x v="16"/>
    <n v="16"/>
    <n v="6"/>
    <n v="26.1"/>
    <n v="417.6"/>
    <n v="415"/>
    <n v="2490"/>
    <n v="0.99377394636015315"/>
    <n v="1"/>
    <n v="-6.0000000000000001E-3"/>
    <m/>
    <m/>
    <n v="1"/>
    <n v="414"/>
    <n v="0.99759036144578317"/>
    <m/>
    <m/>
    <m/>
    <m/>
    <x v="0"/>
    <x v="0"/>
    <m/>
    <m/>
    <m/>
    <x v="0"/>
    <x v="0"/>
  </r>
  <r>
    <x v="20"/>
    <x v="22"/>
    <x v="10"/>
    <n v="16"/>
    <n v="6"/>
    <n v="25.1"/>
    <n v="401.6"/>
    <n v="401"/>
    <n v="2406"/>
    <n v="0.99850597609561742"/>
    <n v="1"/>
    <n v="-1E-3"/>
    <m/>
    <m/>
    <n v="2"/>
    <n v="399"/>
    <n v="0.99501246882793015"/>
    <m/>
    <m/>
    <m/>
    <m/>
    <x v="0"/>
    <x v="0"/>
    <m/>
    <m/>
    <m/>
    <x v="0"/>
    <x v="0"/>
  </r>
  <r>
    <x v="20"/>
    <x v="17"/>
    <x v="17"/>
    <n v="21"/>
    <n v="3"/>
    <n v="29.7"/>
    <n v="623.69999999999993"/>
    <n v="632"/>
    <n v="1896"/>
    <n v="1.0133076799743468"/>
    <n v="1"/>
    <n v="1.2999999999999999E-2"/>
    <m/>
    <m/>
    <n v="0"/>
    <n v="632"/>
    <n v="1"/>
    <m/>
    <m/>
    <m/>
    <m/>
    <x v="0"/>
    <x v="0"/>
    <m/>
    <m/>
    <m/>
    <x v="0"/>
    <x v="0"/>
  </r>
  <r>
    <x v="21"/>
    <x v="15"/>
    <x v="15"/>
    <n v="80"/>
    <n v="3.2"/>
    <n v="46.8"/>
    <n v="3744"/>
    <n v="3714"/>
    <n v="11884.800000000001"/>
    <n v="0.99198717948717952"/>
    <n v="1"/>
    <n v="-8.0000000000000002E-3"/>
    <m/>
    <m/>
    <n v="2"/>
    <n v="3712"/>
    <n v="0.99946149703823373"/>
    <m/>
    <m/>
    <m/>
    <m/>
    <x v="0"/>
    <x v="0"/>
    <m/>
    <m/>
    <m/>
    <x v="0"/>
    <x v="0"/>
  </r>
  <r>
    <x v="21"/>
    <x v="19"/>
    <x v="19"/>
    <n v="20"/>
    <n v="6"/>
    <n v="25.5"/>
    <n v="510"/>
    <n v="504"/>
    <n v="3024"/>
    <n v="0.9882352941176471"/>
    <n v="1"/>
    <n v="-1.2E-2"/>
    <m/>
    <m/>
    <n v="1"/>
    <n v="503"/>
    <n v="0.99801587301587302"/>
    <m/>
    <m/>
    <m/>
    <m/>
    <x v="0"/>
    <x v="0"/>
    <m/>
    <m/>
    <m/>
    <x v="0"/>
    <x v="0"/>
  </r>
  <r>
    <x v="21"/>
    <x v="18"/>
    <x v="18"/>
    <n v="20"/>
    <n v="6"/>
    <n v="26.4"/>
    <n v="528"/>
    <n v="532"/>
    <n v="3192"/>
    <n v="1.0075757575757576"/>
    <n v="1"/>
    <n v="8.0000000000000002E-3"/>
    <m/>
    <m/>
    <n v="1"/>
    <n v="531"/>
    <n v="0.99812030075187974"/>
    <m/>
    <m/>
    <m/>
    <m/>
    <x v="0"/>
    <x v="0"/>
    <m/>
    <m/>
    <m/>
    <x v="0"/>
    <x v="0"/>
  </r>
  <r>
    <x v="21"/>
    <x v="11"/>
    <x v="11"/>
    <n v="72"/>
    <n v="2.8"/>
    <n v="44.5"/>
    <n v="3204"/>
    <n v="3212"/>
    <n v="8993.5999999999985"/>
    <n v="1.0024968789013733"/>
    <n v="1"/>
    <n v="2E-3"/>
    <m/>
    <m/>
    <n v="1"/>
    <n v="3211"/>
    <n v="0.99968866749688667"/>
    <m/>
    <m/>
    <m/>
    <m/>
    <x v="0"/>
    <x v="0"/>
    <m/>
    <m/>
    <m/>
    <x v="0"/>
    <x v="0"/>
  </r>
  <r>
    <x v="22"/>
    <x v="46"/>
    <x v="17"/>
    <n v="21"/>
    <n v="3"/>
    <n v="31.6"/>
    <n v="663.6"/>
    <n v="672"/>
    <n v="2016"/>
    <n v="1.0126582278481013"/>
    <n v="1"/>
    <n v="1.2999999999999999E-2"/>
    <m/>
    <m/>
    <n v="0"/>
    <n v="672"/>
    <n v="1"/>
    <m/>
    <m/>
    <m/>
    <m/>
    <x v="0"/>
    <x v="0"/>
    <m/>
    <m/>
    <m/>
    <x v="0"/>
    <x v="0"/>
  </r>
  <r>
    <x v="22"/>
    <x v="23"/>
    <x v="22"/>
    <n v="16"/>
    <n v="0.34"/>
    <n v="364.6"/>
    <n v="5833.6"/>
    <n v="5821"/>
    <n v="1979.14"/>
    <n v="0.99784009873834334"/>
    <n v="1"/>
    <n v="-2E-3"/>
    <m/>
    <m/>
    <n v="3"/>
    <n v="5818"/>
    <n v="0.99948462463494248"/>
    <m/>
    <m/>
    <m/>
    <m/>
    <x v="0"/>
    <x v="0"/>
    <m/>
    <m/>
    <m/>
    <x v="0"/>
    <x v="0"/>
  </r>
  <r>
    <x v="22"/>
    <x v="11"/>
    <x v="11"/>
    <n v="28"/>
    <n v="2.8"/>
    <n v="44.5"/>
    <n v="1246"/>
    <n v="1240"/>
    <n v="3472"/>
    <n v="0.9951845906902087"/>
    <n v="1"/>
    <n v="-5.0000000000000001E-3"/>
    <m/>
    <m/>
    <n v="1"/>
    <n v="1239"/>
    <n v="0.99919354838709673"/>
    <s v="1130122-01A"/>
    <m/>
    <m/>
    <m/>
    <x v="0"/>
    <x v="0"/>
    <m/>
    <m/>
    <m/>
    <x v="0"/>
    <x v="0"/>
  </r>
  <r>
    <x v="23"/>
    <x v="27"/>
    <x v="26"/>
    <n v="36"/>
    <n v="3.2"/>
    <n v="47.5"/>
    <n v="1710"/>
    <n v="1711"/>
    <n v="5475.2000000000007"/>
    <n v="1.0005847953216374"/>
    <n v="1"/>
    <n v="1E-3"/>
    <m/>
    <m/>
    <n v="1"/>
    <n v="1710"/>
    <n v="0.99941554646405606"/>
    <m/>
    <s v="8.4kg"/>
    <m/>
    <m/>
    <x v="0"/>
    <x v="0"/>
    <m/>
    <m/>
    <m/>
    <x v="0"/>
    <x v="0"/>
  </r>
  <r>
    <x v="23"/>
    <x v="26"/>
    <x v="25"/>
    <n v="20"/>
    <n v="0.9"/>
    <n v="163"/>
    <n v="3260"/>
    <n v="3194"/>
    <n v="2874.6"/>
    <n v="0.97975460122699387"/>
    <n v="1"/>
    <n v="-0.02"/>
    <m/>
    <m/>
    <n v="2"/>
    <n v="3192"/>
    <n v="0.9993738259236068"/>
    <m/>
    <m/>
    <m/>
    <m/>
    <x v="0"/>
    <x v="0"/>
    <m/>
    <m/>
    <m/>
    <x v="0"/>
    <x v="0"/>
  </r>
  <r>
    <x v="23"/>
    <x v="9"/>
    <x v="9"/>
    <n v="16"/>
    <n v="6"/>
    <n v="25.7"/>
    <n v="411.2"/>
    <n v="405"/>
    <n v="2430"/>
    <n v="0.9849221789883269"/>
    <n v="1"/>
    <n v="-1.4999999999999999E-2"/>
    <m/>
    <m/>
    <n v="2"/>
    <n v="403"/>
    <n v="0.99506172839506168"/>
    <m/>
    <m/>
    <m/>
    <m/>
    <x v="0"/>
    <x v="0"/>
    <m/>
    <m/>
    <m/>
    <x v="0"/>
    <x v="0"/>
  </r>
  <r>
    <x v="23"/>
    <x v="59"/>
    <x v="52"/>
    <n v="8"/>
    <n v="4.5"/>
    <n v="34.9"/>
    <n v="279.2"/>
    <n v="280"/>
    <n v="1260"/>
    <n v="1.002865329512894"/>
    <n v="1"/>
    <n v="3.0000000000000001E-3"/>
    <m/>
    <m/>
    <n v="0"/>
    <n v="280"/>
    <n v="1"/>
    <m/>
    <m/>
    <m/>
    <m/>
    <x v="0"/>
    <x v="0"/>
    <m/>
    <m/>
    <m/>
    <x v="0"/>
    <x v="0"/>
  </r>
  <r>
    <x v="23"/>
    <x v="50"/>
    <x v="44"/>
    <n v="12"/>
    <n v="4.5"/>
    <n v="36.799999999999997"/>
    <n v="441.59999999999997"/>
    <n v="438"/>
    <n v="1971"/>
    <n v="0.99184782608695665"/>
    <n v="1"/>
    <n v="-8.0000000000000002E-3"/>
    <m/>
    <m/>
    <n v="0"/>
    <n v="438"/>
    <n v="1"/>
    <m/>
    <m/>
    <m/>
    <m/>
    <x v="0"/>
    <x v="0"/>
    <m/>
    <m/>
    <m/>
    <x v="0"/>
    <x v="0"/>
  </r>
  <r>
    <x v="23"/>
    <x v="6"/>
    <x v="6"/>
    <n v="24"/>
    <n v="0.4"/>
    <n v="309.2"/>
    <n v="7420.7999999999993"/>
    <n v="7567"/>
    <n v="3026.8"/>
    <n v="1.0197013799051315"/>
    <n v="1"/>
    <n v="0.02"/>
    <m/>
    <m/>
    <n v="3"/>
    <n v="7564"/>
    <n v="0.99960354169419852"/>
    <m/>
    <m/>
    <m/>
    <m/>
    <x v="0"/>
    <x v="0"/>
    <m/>
    <m/>
    <m/>
    <x v="0"/>
    <x v="0"/>
  </r>
  <r>
    <x v="23"/>
    <x v="34"/>
    <x v="32"/>
    <n v="4.82"/>
    <n v="0.34"/>
    <n v="358.3"/>
    <n v="1727.0060000000001"/>
    <n v="1594"/>
    <n v="541.96"/>
    <n v="0.92298463352182902"/>
    <n v="1"/>
    <n v="-7.6999999999999999E-2"/>
    <m/>
    <m/>
    <n v="3"/>
    <n v="1591"/>
    <n v="0.99811794228356332"/>
    <m/>
    <m/>
    <m/>
    <m/>
    <x v="0"/>
    <x v="0"/>
    <m/>
    <m/>
    <m/>
    <x v="0"/>
    <x v="0"/>
  </r>
  <r>
    <x v="23"/>
    <x v="60"/>
    <x v="53"/>
    <n v="7.18"/>
    <n v="0.34"/>
    <n v="366"/>
    <n v="2627.88"/>
    <n v="2640"/>
    <n v="897.6"/>
    <n v="1.0046120827435043"/>
    <n v="1"/>
    <n v="5.0000000000000001E-3"/>
    <m/>
    <m/>
    <n v="0"/>
    <n v="2640"/>
    <n v="1"/>
    <m/>
    <m/>
    <m/>
    <m/>
    <x v="0"/>
    <x v="0"/>
    <m/>
    <m/>
    <m/>
    <x v="0"/>
    <x v="0"/>
  </r>
  <r>
    <x v="23"/>
    <x v="61"/>
    <x v="33"/>
    <n v="20"/>
    <n v="18"/>
    <n v="6.9"/>
    <n v="138"/>
    <n v="140"/>
    <n v="2520"/>
    <n v="1.0144927536231885"/>
    <n v="1"/>
    <n v="1.4E-2"/>
    <m/>
    <m/>
    <n v="0"/>
    <n v="140"/>
    <n v="1"/>
    <m/>
    <m/>
    <m/>
    <m/>
    <x v="0"/>
    <x v="0"/>
    <m/>
    <m/>
    <m/>
    <x v="0"/>
    <x v="0"/>
  </r>
  <r>
    <x v="24"/>
    <x v="15"/>
    <x v="15"/>
    <n v="80"/>
    <n v="3.2"/>
    <n v="46.8"/>
    <n v="3744"/>
    <n v="3592"/>
    <n v="11494.400000000001"/>
    <n v="0.95940170940170943"/>
    <n v="1"/>
    <n v="-4.1000000000000002E-2"/>
    <m/>
    <m/>
    <n v="3"/>
    <n v="3589"/>
    <n v="0.99916481069042318"/>
    <s v="1130130-01A"/>
    <m/>
    <m/>
    <m/>
    <x v="0"/>
    <x v="0"/>
    <m/>
    <m/>
    <m/>
    <x v="0"/>
    <x v="0"/>
  </r>
  <r>
    <x v="24"/>
    <x v="48"/>
    <x v="17"/>
    <n v="21"/>
    <n v="3"/>
    <n v="30.8"/>
    <n v="646.80000000000007"/>
    <n v="648"/>
    <n v="1944"/>
    <n v="1.0018552875695732"/>
    <n v="1"/>
    <n v="2E-3"/>
    <m/>
    <m/>
    <n v="0"/>
    <n v="648"/>
    <n v="1"/>
    <m/>
    <m/>
    <m/>
    <m/>
    <x v="0"/>
    <x v="0"/>
    <m/>
    <m/>
    <m/>
    <x v="0"/>
    <x v="0"/>
  </r>
  <r>
    <x v="24"/>
    <x v="11"/>
    <x v="11"/>
    <n v="72"/>
    <n v="2.8"/>
    <n v="44.5"/>
    <n v="3204"/>
    <n v="3241"/>
    <n v="9074.7999999999993"/>
    <n v="1.0115480649188515"/>
    <n v="1"/>
    <n v="1.2E-2"/>
    <m/>
    <m/>
    <n v="1"/>
    <n v="3240"/>
    <n v="0.99969145325516817"/>
    <m/>
    <m/>
    <m/>
    <m/>
    <x v="0"/>
    <x v="0"/>
    <m/>
    <m/>
    <m/>
    <x v="0"/>
    <x v="0"/>
  </r>
  <r>
    <x v="25"/>
    <x v="15"/>
    <x v="15"/>
    <n v="40"/>
    <n v="3.2"/>
    <n v="46.8"/>
    <n v="1872"/>
    <n v="1819"/>
    <n v="5820.8"/>
    <n v="0.97168803418803418"/>
    <n v="1"/>
    <n v="-2.8000000000000001E-2"/>
    <m/>
    <m/>
    <n v="1"/>
    <n v="1818"/>
    <n v="0.99945024738867505"/>
    <m/>
    <n v="40"/>
    <s v="加重工B1011(1130130-01A)"/>
    <m/>
    <x v="0"/>
    <x v="0"/>
    <m/>
    <m/>
    <m/>
    <x v="0"/>
    <x v="0"/>
  </r>
  <r>
    <x v="25"/>
    <x v="13"/>
    <x v="13"/>
    <n v="20"/>
    <n v="0.9"/>
    <n v="160.5"/>
    <n v="3210"/>
    <n v="3254"/>
    <n v="2928.6"/>
    <n v="1.0137071651090344"/>
    <n v="1"/>
    <n v="1.4E-2"/>
    <m/>
    <m/>
    <n v="2"/>
    <n v="3252"/>
    <n v="0.99938537185003073"/>
    <m/>
    <n v="20"/>
    <s v="加重工B1011(1130130-01A)"/>
    <m/>
    <x v="0"/>
    <x v="0"/>
    <m/>
    <m/>
    <m/>
    <x v="0"/>
    <x v="0"/>
  </r>
  <r>
    <x v="25"/>
    <x v="10"/>
    <x v="10"/>
    <n v="16"/>
    <n v="6"/>
    <n v="25.4"/>
    <n v="406.4"/>
    <n v="407"/>
    <n v="2442"/>
    <n v="1.001476377952756"/>
    <n v="1"/>
    <n v="1E-3"/>
    <m/>
    <m/>
    <n v="3"/>
    <n v="404"/>
    <n v="0.99262899262899262"/>
    <m/>
    <m/>
    <m/>
    <m/>
    <x v="0"/>
    <x v="0"/>
    <m/>
    <m/>
    <m/>
    <x v="0"/>
    <x v="0"/>
  </r>
  <r>
    <x v="25"/>
    <x v="58"/>
    <x v="51"/>
    <n v="8"/>
    <n v="6"/>
    <n v="25.7"/>
    <n v="205.6"/>
    <n v="202"/>
    <n v="1212"/>
    <n v="0.98249027237354092"/>
    <n v="1"/>
    <n v="-1.7999999999999999E-2"/>
    <m/>
    <m/>
    <n v="1"/>
    <n v="201"/>
    <n v="0.99504950495049505"/>
    <m/>
    <m/>
    <m/>
    <m/>
    <x v="0"/>
    <x v="0"/>
    <m/>
    <m/>
    <m/>
    <x v="0"/>
    <x v="0"/>
  </r>
  <r>
    <x v="25"/>
    <x v="62"/>
    <x v="10"/>
    <n v="6"/>
    <n v="6"/>
    <n v="25.5"/>
    <n v="153"/>
    <n v="153"/>
    <n v="918"/>
    <n v="1"/>
    <n v="1"/>
    <n v="0"/>
    <m/>
    <m/>
    <n v="1"/>
    <n v="152"/>
    <n v="0.99346405228758172"/>
    <m/>
    <m/>
    <m/>
    <m/>
    <x v="0"/>
    <x v="0"/>
    <m/>
    <m/>
    <m/>
    <x v="0"/>
    <x v="0"/>
  </r>
  <r>
    <x v="25"/>
    <x v="11"/>
    <x v="11"/>
    <n v="44"/>
    <n v="2.8"/>
    <n v="44.5"/>
    <n v="1958"/>
    <n v="1950"/>
    <n v="5460"/>
    <n v="0.99591419816138915"/>
    <n v="1"/>
    <n v="-4.0000000000000001E-3"/>
    <m/>
    <m/>
    <n v="1"/>
    <n v="1949"/>
    <n v="0.99948717948717947"/>
    <m/>
    <m/>
    <m/>
    <m/>
    <x v="0"/>
    <x v="0"/>
    <m/>
    <m/>
    <m/>
    <x v="0"/>
    <x v="0"/>
  </r>
  <r>
    <x v="25"/>
    <x v="12"/>
    <x v="12"/>
    <n v="20"/>
    <n v="0.8"/>
    <n v="157.69999999999999"/>
    <n v="3154"/>
    <n v="3191"/>
    <n v="2552.8000000000002"/>
    <n v="1.0117311350665821"/>
    <n v="1"/>
    <n v="1.2E-2"/>
    <m/>
    <m/>
    <n v="2"/>
    <n v="3189"/>
    <n v="0.99937323722970861"/>
    <m/>
    <m/>
    <m/>
    <m/>
    <x v="0"/>
    <x v="0"/>
    <m/>
    <m/>
    <m/>
    <x v="0"/>
    <x v="0"/>
  </r>
  <r>
    <x v="26"/>
    <x v="43"/>
    <x v="41"/>
    <n v="16"/>
    <n v="0.26"/>
    <n v="584.29999999999995"/>
    <n v="9348.7999999999993"/>
    <n v="9273"/>
    <n v="2410.98"/>
    <n v="0.99189200753037832"/>
    <n v="1"/>
    <n v="-8.0000000000000002E-3"/>
    <m/>
    <m/>
    <n v="7"/>
    <n v="9266"/>
    <n v="0.99924512024156154"/>
    <m/>
    <m/>
    <m/>
    <m/>
    <x v="0"/>
    <x v="0"/>
    <m/>
    <m/>
    <m/>
    <x v="0"/>
    <x v="0"/>
  </r>
  <r>
    <x v="26"/>
    <x v="15"/>
    <x v="15"/>
    <n v="36"/>
    <n v="3.2"/>
    <n v="46.8"/>
    <n v="1684.8"/>
    <n v="1657"/>
    <n v="5302.4000000000005"/>
    <n v="0.98349952516619188"/>
    <n v="1"/>
    <n v="-1.7000000000000001E-2"/>
    <m/>
    <m/>
    <n v="1"/>
    <n v="1656"/>
    <n v="0.99939649969824984"/>
    <m/>
    <n v="36"/>
    <s v="加重工B1011(1130130-01A)"/>
    <m/>
    <x v="0"/>
    <x v="0"/>
    <m/>
    <m/>
    <m/>
    <x v="0"/>
    <x v="0"/>
  </r>
  <r>
    <x v="26"/>
    <x v="16"/>
    <x v="16"/>
    <n v="12"/>
    <n v="6"/>
    <n v="26.1"/>
    <n v="313.20000000000005"/>
    <n v="309"/>
    <n v="1854"/>
    <n v="0.98659003831417613"/>
    <n v="1"/>
    <n v="-1.2999999999999999E-2"/>
    <m/>
    <m/>
    <n v="1"/>
    <n v="308"/>
    <n v="0.99676375404530748"/>
    <m/>
    <m/>
    <m/>
    <m/>
    <x v="0"/>
    <x v="0"/>
    <m/>
    <m/>
    <m/>
    <x v="0"/>
    <x v="0"/>
  </r>
  <r>
    <x v="26"/>
    <x v="9"/>
    <x v="9"/>
    <n v="24"/>
    <n v="6"/>
    <n v="25.7"/>
    <n v="616.79999999999995"/>
    <n v="616"/>
    <n v="3696"/>
    <n v="0.99870298313878092"/>
    <n v="1"/>
    <n v="-1E-3"/>
    <m/>
    <m/>
    <n v="3"/>
    <n v="613"/>
    <n v="0.99512987012987009"/>
    <m/>
    <m/>
    <m/>
    <m/>
    <x v="0"/>
    <x v="0"/>
    <m/>
    <m/>
    <m/>
    <x v="0"/>
    <x v="0"/>
  </r>
  <r>
    <x v="26"/>
    <x v="41"/>
    <x v="39"/>
    <n v="48"/>
    <n v="2.8"/>
    <n v="44.2"/>
    <n v="2121.6000000000004"/>
    <n v="2135"/>
    <n v="5978"/>
    <n v="1.0063159879336347"/>
    <n v="1"/>
    <n v="6.0000000000000001E-3"/>
    <m/>
    <m/>
    <n v="1"/>
    <n v="2134"/>
    <n v="0.99953161592505857"/>
    <m/>
    <m/>
    <m/>
    <m/>
    <x v="0"/>
    <x v="0"/>
    <m/>
    <m/>
    <m/>
    <x v="0"/>
    <x v="0"/>
  </r>
  <r>
    <x v="26"/>
    <x v="7"/>
    <x v="7"/>
    <n v="20"/>
    <n v="0.9"/>
    <n v="139.30000000000001"/>
    <n v="2786"/>
    <n v="2788"/>
    <n v="2509.2000000000003"/>
    <n v="1.0007178750897343"/>
    <n v="1"/>
    <n v="1E-3"/>
    <m/>
    <m/>
    <n v="3"/>
    <n v="2785"/>
    <n v="0.99892395982783355"/>
    <m/>
    <m/>
    <m/>
    <m/>
    <x v="0"/>
    <x v="0"/>
    <m/>
    <m/>
    <m/>
    <x v="0"/>
    <x v="0"/>
  </r>
  <r>
    <x v="27"/>
    <x v="15"/>
    <x v="15"/>
    <n v="80"/>
    <n v="3.2"/>
    <n v="46.8"/>
    <n v="3744"/>
    <n v="3746"/>
    <n v="11987.2"/>
    <n v="1.000534188034188"/>
    <n v="1"/>
    <n v="1E-3"/>
    <m/>
    <m/>
    <n v="3"/>
    <n v="3743"/>
    <n v="0.99919914575547253"/>
    <m/>
    <n v="80"/>
    <s v="加重工B1011(1130130-01A)"/>
    <m/>
    <x v="0"/>
    <x v="0"/>
    <m/>
    <m/>
    <m/>
    <x v="0"/>
    <x v="0"/>
  </r>
  <r>
    <x v="27"/>
    <x v="0"/>
    <x v="0"/>
    <n v="12"/>
    <n v="6"/>
    <n v="25.5"/>
    <n v="306"/>
    <n v="295"/>
    <n v="1770"/>
    <n v="0.96405228758169936"/>
    <n v="1"/>
    <n v="-3.5999999999999997E-2"/>
    <m/>
    <m/>
    <n v="1"/>
    <n v="294"/>
    <n v="0.99661016949152548"/>
    <m/>
    <m/>
    <m/>
    <m/>
    <x v="0"/>
    <x v="0"/>
    <m/>
    <m/>
    <m/>
    <x v="0"/>
    <x v="0"/>
  </r>
  <r>
    <x v="27"/>
    <x v="28"/>
    <x v="19"/>
    <n v="24"/>
    <n v="6"/>
    <n v="25.5"/>
    <n v="612"/>
    <n v="605"/>
    <n v="3630"/>
    <n v="0.98856209150326801"/>
    <n v="1"/>
    <n v="-1.0999999999999999E-2"/>
    <m/>
    <m/>
    <n v="1"/>
    <n v="604"/>
    <n v="0.99834710743801658"/>
    <m/>
    <m/>
    <m/>
    <m/>
    <x v="0"/>
    <x v="0"/>
    <m/>
    <m/>
    <m/>
    <x v="0"/>
    <x v="0"/>
  </r>
  <r>
    <x v="27"/>
    <x v="11"/>
    <x v="11"/>
    <n v="72"/>
    <n v="2.8"/>
    <n v="44.5"/>
    <n v="3204"/>
    <n v="3203"/>
    <n v="8968.4"/>
    <n v="0.99968789013732839"/>
    <n v="1"/>
    <n v="0"/>
    <m/>
    <m/>
    <n v="1"/>
    <n v="3202"/>
    <n v="0.99968779269434904"/>
    <m/>
    <m/>
    <m/>
    <m/>
    <x v="0"/>
    <x v="0"/>
    <m/>
    <m/>
    <m/>
    <x v="0"/>
    <x v="0"/>
  </r>
  <r>
    <x v="28"/>
    <x v="15"/>
    <x v="15"/>
    <n v="80"/>
    <n v="3.2"/>
    <n v="46.8"/>
    <n v="3744"/>
    <n v="3711"/>
    <n v="11875.2"/>
    <n v="0.99118589743589747"/>
    <n v="1"/>
    <n v="-8.9999999999999993E-3"/>
    <m/>
    <m/>
    <n v="6"/>
    <n v="3705"/>
    <n v="0.99838318512530311"/>
    <m/>
    <n v="80"/>
    <s v="加重工B1011(1130130-01A)"/>
    <m/>
    <x v="0"/>
    <x v="0"/>
    <m/>
    <m/>
    <m/>
    <x v="0"/>
    <x v="0"/>
  </r>
  <r>
    <x v="28"/>
    <x v="17"/>
    <x v="17"/>
    <n v="21"/>
    <n v="3"/>
    <n v="29.7"/>
    <n v="623.69999999999993"/>
    <n v="632"/>
    <n v="1896"/>
    <n v="1.0133076799743468"/>
    <n v="1"/>
    <n v="1.2999999999999999E-2"/>
    <m/>
    <m/>
    <n v="0"/>
    <n v="632"/>
    <n v="1"/>
    <m/>
    <m/>
    <m/>
    <m/>
    <x v="0"/>
    <x v="0"/>
    <m/>
    <m/>
    <m/>
    <x v="0"/>
    <x v="0"/>
  </r>
  <r>
    <x v="28"/>
    <x v="34"/>
    <x v="32"/>
    <n v="12"/>
    <n v="0.34"/>
    <n v="358.3"/>
    <n v="4299.6000000000004"/>
    <n v="4517"/>
    <n v="1535.7800000000002"/>
    <n v="1.0505628430551679"/>
    <n v="1"/>
    <n v="5.0999999999999997E-2"/>
    <m/>
    <m/>
    <n v="1"/>
    <n v="4516"/>
    <n v="0.99977861412441882"/>
    <m/>
    <m/>
    <m/>
    <m/>
    <x v="0"/>
    <x v="0"/>
    <m/>
    <m/>
    <m/>
    <x v="0"/>
    <x v="0"/>
  </r>
  <r>
    <x v="28"/>
    <x v="6"/>
    <x v="6"/>
    <n v="24"/>
    <n v="0.4"/>
    <n v="309.2"/>
    <n v="7420.7999999999993"/>
    <n v="7374"/>
    <n v="2949.6000000000004"/>
    <n v="0.99369340232859005"/>
    <n v="1"/>
    <n v="-6.0000000000000001E-3"/>
    <m/>
    <m/>
    <n v="3"/>
    <n v="7371"/>
    <n v="0.99959316517493901"/>
    <m/>
    <m/>
    <m/>
    <m/>
    <x v="0"/>
    <x v="0"/>
    <m/>
    <m/>
    <m/>
    <x v="0"/>
    <x v="0"/>
  </r>
  <r>
    <x v="29"/>
    <x v="21"/>
    <x v="21"/>
    <n v="52"/>
    <n v="3.2"/>
    <n v="46.4"/>
    <n v="2412.7999999999997"/>
    <n v="2370"/>
    <n v="7584"/>
    <n v="0.98226127320954915"/>
    <n v="1"/>
    <n v="-1.7999999999999999E-2"/>
    <m/>
    <m/>
    <n v="2"/>
    <n v="2368"/>
    <n v="0.99915611814345995"/>
    <m/>
    <m/>
    <m/>
    <m/>
    <x v="0"/>
    <x v="0"/>
    <m/>
    <m/>
    <m/>
    <x v="0"/>
    <x v="0"/>
  </r>
  <r>
    <x v="29"/>
    <x v="63"/>
    <x v="54"/>
    <n v="4"/>
    <n v="0.21"/>
    <n v="698.4"/>
    <n v="2793.6"/>
    <n v="2844"/>
    <n v="597.24"/>
    <n v="1.018041237113402"/>
    <n v="1"/>
    <n v="1.7999999999999999E-2"/>
    <m/>
    <m/>
    <n v="5"/>
    <n v="2839"/>
    <n v="0.99824191279887486"/>
    <m/>
    <m/>
    <s v="倒料方式生產"/>
    <m/>
    <x v="0"/>
    <x v="0"/>
    <m/>
    <m/>
    <m/>
    <x v="0"/>
    <x v="0"/>
  </r>
  <r>
    <x v="29"/>
    <x v="47"/>
    <x v="42"/>
    <n v="12"/>
    <n v="6"/>
    <n v="25.6"/>
    <n v="307.20000000000005"/>
    <n v="307"/>
    <n v="1842"/>
    <n v="0.99934895833333315"/>
    <n v="1"/>
    <n v="-1E-3"/>
    <m/>
    <m/>
    <n v="2"/>
    <n v="305"/>
    <n v="0.99348534201954397"/>
    <m/>
    <m/>
    <m/>
    <m/>
    <x v="0"/>
    <x v="0"/>
    <m/>
    <m/>
    <m/>
    <x v="0"/>
    <x v="0"/>
  </r>
  <r>
    <x v="29"/>
    <x v="9"/>
    <x v="9"/>
    <n v="20"/>
    <n v="6"/>
    <n v="25.7"/>
    <n v="514"/>
    <n v="505"/>
    <n v="3030"/>
    <n v="0.98249027237354081"/>
    <n v="1"/>
    <n v="-1.7999999999999999E-2"/>
    <m/>
    <m/>
    <n v="3"/>
    <n v="502"/>
    <n v="0.99405940594059405"/>
    <m/>
    <m/>
    <m/>
    <m/>
    <x v="0"/>
    <x v="0"/>
    <m/>
    <m/>
    <m/>
    <x v="0"/>
    <x v="0"/>
  </r>
  <r>
    <x v="29"/>
    <x v="64"/>
    <x v="55"/>
    <n v="8"/>
    <n v="0.28999999999999998"/>
    <n v="412.6"/>
    <n v="3300.8"/>
    <n v="3336"/>
    <n v="967.43999999999994"/>
    <n v="1.0106640814348036"/>
    <n v="1"/>
    <n v="1.0999999999999999E-2"/>
    <m/>
    <m/>
    <n v="3"/>
    <n v="3333"/>
    <n v="0.99910071942446044"/>
    <m/>
    <m/>
    <m/>
    <m/>
    <x v="0"/>
    <x v="0"/>
    <m/>
    <m/>
    <m/>
    <x v="0"/>
    <x v="0"/>
  </r>
  <r>
    <x v="29"/>
    <x v="11"/>
    <x v="11"/>
    <n v="15.01"/>
    <n v="2.8"/>
    <n v="44.5"/>
    <n v="667.94499999999994"/>
    <n v="663"/>
    <n v="1856.3999999999999"/>
    <n v="0.99259669583573507"/>
    <n v="1"/>
    <n v="-7.0000000000000001E-3"/>
    <m/>
    <m/>
    <n v="1"/>
    <n v="662"/>
    <n v="0.99849170437405732"/>
    <m/>
    <m/>
    <m/>
    <m/>
    <x v="0"/>
    <x v="0"/>
    <m/>
    <m/>
    <m/>
    <x v="0"/>
    <x v="0"/>
  </r>
  <r>
    <x v="29"/>
    <x v="33"/>
    <x v="31"/>
    <n v="12.99"/>
    <n v="2.8"/>
    <n v="46"/>
    <n v="597.54"/>
    <n v="600"/>
    <n v="1680"/>
    <n v="1.0041168792047395"/>
    <n v="1"/>
    <n v="4.0000000000000001E-3"/>
    <m/>
    <m/>
    <n v="0"/>
    <n v="600"/>
    <n v="1"/>
    <m/>
    <m/>
    <m/>
    <m/>
    <x v="0"/>
    <x v="0"/>
    <m/>
    <m/>
    <m/>
    <x v="0"/>
    <x v="0"/>
  </r>
  <r>
    <x v="30"/>
    <x v="8"/>
    <x v="8"/>
    <n v="36"/>
    <n v="0.44"/>
    <n v="344"/>
    <n v="12384"/>
    <n v="11937"/>
    <n v="5252.28"/>
    <n v="0.96390503875968991"/>
    <n v="1"/>
    <n v="-3.5999999999999997E-2"/>
    <m/>
    <m/>
    <n v="12"/>
    <n v="11925"/>
    <n v="0.99899472229203312"/>
    <m/>
    <m/>
    <m/>
    <m/>
    <x v="0"/>
    <x v="0"/>
    <m/>
    <m/>
    <m/>
    <x v="0"/>
    <x v="0"/>
  </r>
  <r>
    <x v="30"/>
    <x v="23"/>
    <x v="22"/>
    <n v="24"/>
    <n v="0.34"/>
    <n v="364.6"/>
    <n v="8750.4000000000015"/>
    <n v="8771"/>
    <n v="2982.1400000000003"/>
    <n v="1.0023541780947156"/>
    <n v="1"/>
    <n v="2E-3"/>
    <m/>
    <m/>
    <n v="3"/>
    <n v="8768"/>
    <n v="0.99965796374415683"/>
    <m/>
    <m/>
    <m/>
    <m/>
    <x v="0"/>
    <x v="0"/>
    <m/>
    <m/>
    <m/>
    <x v="0"/>
    <x v="0"/>
  </r>
  <r>
    <x v="31"/>
    <x v="13"/>
    <x v="13"/>
    <n v="16.23"/>
    <n v="0.9"/>
    <n v="160.5"/>
    <n v="2604.915"/>
    <n v="2560"/>
    <n v="2304"/>
    <n v="0.98275759477756475"/>
    <n v="1"/>
    <n v="-1.7000000000000001E-2"/>
    <m/>
    <m/>
    <n v="2"/>
    <n v="2558"/>
    <n v="0.99921875000000004"/>
    <m/>
    <m/>
    <m/>
    <m/>
    <x v="0"/>
    <x v="0"/>
    <m/>
    <m/>
    <m/>
    <x v="0"/>
    <x v="0"/>
  </r>
  <r>
    <x v="31"/>
    <x v="14"/>
    <x v="14"/>
    <n v="3.77"/>
    <n v="0.9"/>
    <n v="158.69999999999999"/>
    <n v="598.29899999999998"/>
    <n v="600"/>
    <n v="540"/>
    <n v="1.0028430600753135"/>
    <n v="1"/>
    <n v="3.0000000000000001E-3"/>
    <m/>
    <m/>
    <n v="0"/>
    <n v="600"/>
    <n v="1"/>
    <m/>
    <m/>
    <m/>
    <m/>
    <x v="0"/>
    <x v="0"/>
    <m/>
    <m/>
    <m/>
    <x v="0"/>
    <x v="0"/>
  </r>
  <r>
    <x v="31"/>
    <x v="26"/>
    <x v="25"/>
    <n v="20"/>
    <n v="0.9"/>
    <n v="163"/>
    <n v="3260"/>
    <n v="3238"/>
    <n v="2914.2000000000003"/>
    <n v="0.99325153374233133"/>
    <n v="1"/>
    <n v="-7.0000000000000001E-3"/>
    <m/>
    <m/>
    <n v="2"/>
    <n v="3236"/>
    <n v="0.99938233477455218"/>
    <m/>
    <m/>
    <m/>
    <m/>
    <x v="0"/>
    <x v="0"/>
    <m/>
    <m/>
    <m/>
    <x v="0"/>
    <x v="0"/>
  </r>
  <r>
    <x v="31"/>
    <x v="65"/>
    <x v="56"/>
    <n v="12"/>
    <n v="9.5"/>
    <n v="16.600000000000001"/>
    <n v="199.20000000000002"/>
    <n v="189"/>
    <n v="1795.5"/>
    <n v="0.94879518072289148"/>
    <n v="1"/>
    <n v="-5.0999999999999997E-2"/>
    <m/>
    <m/>
    <n v="2"/>
    <n v="187"/>
    <n v="0.98941798941798942"/>
    <m/>
    <m/>
    <m/>
    <m/>
    <x v="0"/>
    <x v="0"/>
    <m/>
    <m/>
    <m/>
    <x v="0"/>
    <x v="0"/>
  </r>
  <r>
    <x v="31"/>
    <x v="66"/>
    <x v="57"/>
    <n v="12"/>
    <n v="9.08"/>
    <n v="17.5"/>
    <n v="210"/>
    <n v="209"/>
    <n v="1897.72"/>
    <n v="0.99523809523809526"/>
    <n v="1"/>
    <n v="-5.0000000000000001E-3"/>
    <m/>
    <m/>
    <n v="0"/>
    <n v="209"/>
    <n v="1"/>
    <m/>
    <m/>
    <m/>
    <m/>
    <x v="0"/>
    <x v="0"/>
    <m/>
    <m/>
    <m/>
    <x v="0"/>
    <x v="0"/>
  </r>
  <r>
    <x v="31"/>
    <x v="67"/>
    <x v="58"/>
    <n v="8"/>
    <n v="4.5"/>
    <n v="33.200000000000003"/>
    <n v="265.60000000000002"/>
    <n v="265"/>
    <n v="1192.5"/>
    <n v="0.99774096385542155"/>
    <n v="1"/>
    <n v="-2E-3"/>
    <m/>
    <m/>
    <n v="0"/>
    <n v="265"/>
    <n v="1"/>
    <m/>
    <m/>
    <m/>
    <m/>
    <x v="0"/>
    <x v="0"/>
    <m/>
    <m/>
    <m/>
    <x v="0"/>
    <x v="0"/>
  </r>
  <r>
    <x v="31"/>
    <x v="41"/>
    <x v="39"/>
    <n v="52"/>
    <n v="2.8"/>
    <n v="44.2"/>
    <n v="2298.4"/>
    <n v="2309"/>
    <n v="6465.2"/>
    <n v="1.0046119039331709"/>
    <n v="1"/>
    <n v="5.0000000000000001E-3"/>
    <m/>
    <m/>
    <n v="-4"/>
    <n v="2313"/>
    <n v="1.0017323516673884"/>
    <m/>
    <m/>
    <m/>
    <m/>
    <x v="0"/>
    <x v="0"/>
    <m/>
    <m/>
    <m/>
    <x v="0"/>
    <x v="0"/>
  </r>
  <r>
    <x v="32"/>
    <x v="27"/>
    <x v="26"/>
    <n v="72"/>
    <n v="3.2"/>
    <n v="47.5"/>
    <n v="3420"/>
    <n v="3356"/>
    <n v="10739.2"/>
    <n v="0.98128654970760232"/>
    <n v="1"/>
    <n v="-1.9E-2"/>
    <m/>
    <m/>
    <n v="2"/>
    <n v="3354"/>
    <n v="0.99940405244338493"/>
    <m/>
    <m/>
    <m/>
    <m/>
    <x v="0"/>
    <x v="0"/>
    <m/>
    <m/>
    <m/>
    <x v="0"/>
    <x v="0"/>
  </r>
  <r>
    <x v="32"/>
    <x v="68"/>
    <x v="59"/>
    <n v="16.5"/>
    <n v="6"/>
    <n v="26.9"/>
    <n v="443.84999999999997"/>
    <n v="444"/>
    <n v="2664"/>
    <n v="1.0003379520108144"/>
    <n v="1"/>
    <n v="0"/>
    <m/>
    <m/>
    <n v="1"/>
    <n v="443"/>
    <n v="0.99774774774774777"/>
    <m/>
    <m/>
    <m/>
    <m/>
    <x v="0"/>
    <x v="0"/>
    <m/>
    <m/>
    <m/>
    <x v="0"/>
    <x v="0"/>
  </r>
  <r>
    <x v="32"/>
    <x v="69"/>
    <x v="2"/>
    <n v="16"/>
    <n v="6"/>
    <n v="25.5"/>
    <n v="408"/>
    <n v="406"/>
    <n v="2436"/>
    <n v="0.99509803921568629"/>
    <n v="1"/>
    <n v="-5.0000000000000001E-3"/>
    <m/>
    <m/>
    <n v="1"/>
    <n v="405"/>
    <n v="0.99753694581280783"/>
    <m/>
    <m/>
    <m/>
    <m/>
    <x v="0"/>
    <x v="0"/>
    <m/>
    <m/>
    <m/>
    <x v="0"/>
    <x v="0"/>
  </r>
  <r>
    <x v="32"/>
    <x v="55"/>
    <x v="48"/>
    <n v="28"/>
    <n v="18"/>
    <n v="6.9"/>
    <n v="193.20000000000002"/>
    <n v="193"/>
    <n v="3474"/>
    <n v="0.99896480331262927"/>
    <n v="1"/>
    <n v="-1E-3"/>
    <m/>
    <m/>
    <n v="0"/>
    <n v="193"/>
    <n v="1"/>
    <m/>
    <m/>
    <m/>
    <m/>
    <x v="0"/>
    <x v="0"/>
    <m/>
    <m/>
    <m/>
    <x v="0"/>
    <x v="0"/>
  </r>
  <r>
    <x v="32"/>
    <x v="61"/>
    <x v="33"/>
    <n v="32"/>
    <n v="18"/>
    <n v="6.9"/>
    <n v="220.8"/>
    <n v="226"/>
    <n v="4068"/>
    <n v="1.0235507246376812"/>
    <n v="1"/>
    <n v="2.4E-2"/>
    <m/>
    <m/>
    <n v="0"/>
    <n v="226"/>
    <n v="1"/>
    <m/>
    <m/>
    <m/>
    <m/>
    <x v="0"/>
    <x v="0"/>
    <m/>
    <m/>
    <m/>
    <x v="0"/>
    <x v="0"/>
  </r>
  <r>
    <x v="33"/>
    <x v="70"/>
    <x v="60"/>
    <n v="8"/>
    <n v="3.4"/>
    <n v="43"/>
    <n v="344"/>
    <n v="337"/>
    <n v="1145.8"/>
    <n v="0.97965116279069764"/>
    <n v="1"/>
    <n v="-0.02"/>
    <m/>
    <m/>
    <n v="1"/>
    <n v="336"/>
    <n v="0.9970326409495549"/>
    <m/>
    <m/>
    <m/>
    <m/>
    <x v="0"/>
    <x v="0"/>
    <m/>
    <m/>
    <m/>
    <x v="0"/>
    <x v="0"/>
  </r>
  <r>
    <x v="33"/>
    <x v="15"/>
    <x v="15"/>
    <n v="60"/>
    <n v="3.2"/>
    <n v="46.8"/>
    <n v="2808"/>
    <n v="2787"/>
    <n v="8918.4"/>
    <n v="0.99252136752136755"/>
    <n v="1"/>
    <n v="-7.0000000000000001E-3"/>
    <m/>
    <m/>
    <n v="3"/>
    <n v="2784"/>
    <n v="0.99892357373519913"/>
    <m/>
    <m/>
    <m/>
    <m/>
    <x v="0"/>
    <x v="0"/>
    <m/>
    <m/>
    <m/>
    <x v="0"/>
    <x v="0"/>
  </r>
  <r>
    <x v="33"/>
    <x v="3"/>
    <x v="3"/>
    <n v="40"/>
    <n v="4.5"/>
    <n v="36.299999999999997"/>
    <n v="1452"/>
    <n v="1432"/>
    <n v="6444"/>
    <n v="0.98622589531680438"/>
    <n v="1"/>
    <n v="-1.4E-2"/>
    <m/>
    <m/>
    <n v="0"/>
    <n v="1432"/>
    <n v="1"/>
    <m/>
    <m/>
    <m/>
    <m/>
    <x v="0"/>
    <x v="0"/>
    <m/>
    <m/>
    <m/>
    <x v="0"/>
    <x v="0"/>
  </r>
  <r>
    <x v="33"/>
    <x v="11"/>
    <x v="11"/>
    <n v="60"/>
    <n v="2.8"/>
    <n v="44.5"/>
    <n v="2670"/>
    <n v="2677"/>
    <n v="7495.5999999999995"/>
    <n v="1.002621722846442"/>
    <n v="1"/>
    <n v="3.0000000000000001E-3"/>
    <m/>
    <m/>
    <n v="0"/>
    <n v="2677"/>
    <n v="1"/>
    <m/>
    <m/>
    <m/>
    <m/>
    <x v="0"/>
    <x v="0"/>
    <m/>
    <m/>
    <m/>
    <x v="0"/>
    <x v="0"/>
  </r>
  <r>
    <x v="34"/>
    <x v="71"/>
    <x v="61"/>
    <n v="12"/>
    <n v="0.17"/>
    <n v="912.6"/>
    <n v="10951.2"/>
    <n v="8487"/>
    <n v="1442.7900000000002"/>
    <n v="0.77498356344510189"/>
    <n v="1"/>
    <n v="-0.22500000000000001"/>
    <m/>
    <m/>
    <n v="6"/>
    <n v="8481"/>
    <n v="0.99929303640862499"/>
    <m/>
    <s v="400kg"/>
    <m/>
    <m/>
    <x v="0"/>
    <x v="0"/>
    <m/>
    <m/>
    <m/>
    <x v="0"/>
    <x v="0"/>
  </r>
  <r>
    <x v="34"/>
    <x v="49"/>
    <x v="43"/>
    <n v="15"/>
    <n v="0.43"/>
    <n v="364"/>
    <n v="5460"/>
    <n v="5280"/>
    <n v="2270.4"/>
    <n v="0.96703296703296704"/>
    <n v="1"/>
    <n v="-3.3000000000000002E-2"/>
    <m/>
    <m/>
    <n v="11"/>
    <n v="5269"/>
    <n v="0.99791666666666667"/>
    <m/>
    <m/>
    <m/>
    <m/>
    <x v="0"/>
    <x v="0"/>
    <m/>
    <m/>
    <m/>
    <x v="0"/>
    <x v="0"/>
  </r>
  <r>
    <x v="34"/>
    <x v="24"/>
    <x v="23"/>
    <n v="12.67"/>
    <n v="0.34"/>
    <n v="366"/>
    <n v="4637.22"/>
    <n v="4563"/>
    <n v="1551.42"/>
    <n v="0.98399472097506691"/>
    <n v="1"/>
    <n v="-1.6E-2"/>
    <m/>
    <m/>
    <n v="3"/>
    <n v="4560"/>
    <n v="0.99934253780407623"/>
    <m/>
    <m/>
    <m/>
    <m/>
    <x v="0"/>
    <x v="0"/>
    <m/>
    <m/>
    <m/>
    <x v="0"/>
    <x v="0"/>
  </r>
  <r>
    <x v="34"/>
    <x v="25"/>
    <x v="24"/>
    <n v="7.33"/>
    <n v="0.34"/>
    <n v="366"/>
    <n v="2682.78"/>
    <n v="2640"/>
    <n v="897.6"/>
    <n v="0.984053854583678"/>
    <n v="1"/>
    <n v="-1.6E-2"/>
    <m/>
    <m/>
    <n v="0"/>
    <n v="2640"/>
    <n v="1"/>
    <m/>
    <m/>
    <m/>
    <m/>
    <x v="0"/>
    <x v="0"/>
    <m/>
    <m/>
    <m/>
    <x v="0"/>
    <x v="0"/>
  </r>
  <r>
    <x v="34"/>
    <x v="41"/>
    <x v="39"/>
    <n v="28"/>
    <n v="2.8"/>
    <n v="44.2"/>
    <n v="1237.6000000000001"/>
    <n v="1250"/>
    <n v="3500"/>
    <n v="1.0100193923723335"/>
    <n v="1"/>
    <n v="0.01"/>
    <m/>
    <m/>
    <n v="1"/>
    <n v="1249"/>
    <n v="0.99919999999999998"/>
    <m/>
    <m/>
    <m/>
    <m/>
    <x v="0"/>
    <x v="0"/>
    <m/>
    <m/>
    <m/>
    <x v="0"/>
    <x v="0"/>
  </r>
  <r>
    <x v="35"/>
    <x v="15"/>
    <x v="15"/>
    <n v="80"/>
    <n v="3.2"/>
    <n v="46.8"/>
    <n v="3744"/>
    <n v="3725"/>
    <n v="11920"/>
    <n v="0.99492521367521369"/>
    <n v="1"/>
    <n v="-5.0000000000000001E-3"/>
    <m/>
    <m/>
    <n v="2"/>
    <n v="3723"/>
    <n v="0.99946308724832211"/>
    <m/>
    <n v="74"/>
    <s v="加重工B1011(1130130-01A)"/>
    <m/>
    <x v="0"/>
    <x v="0"/>
    <m/>
    <m/>
    <m/>
    <x v="0"/>
    <x v="0"/>
  </r>
  <r>
    <x v="35"/>
    <x v="2"/>
    <x v="2"/>
    <n v="24"/>
    <n v="6"/>
    <n v="26.6"/>
    <n v="638.40000000000009"/>
    <n v="636"/>
    <n v="3816"/>
    <n v="0.99624060150375926"/>
    <n v="1"/>
    <n v="-4.0000000000000001E-3"/>
    <m/>
    <m/>
    <n v="1"/>
    <n v="635"/>
    <n v="0.99842767295597479"/>
    <m/>
    <m/>
    <m/>
    <m/>
    <x v="0"/>
    <x v="0"/>
    <m/>
    <m/>
    <m/>
    <x v="0"/>
    <x v="0"/>
  </r>
  <r>
    <x v="35"/>
    <x v="10"/>
    <x v="10"/>
    <n v="20"/>
    <n v="6"/>
    <n v="25.4"/>
    <n v="508"/>
    <n v="543"/>
    <n v="3258"/>
    <n v="1.0688976377952757"/>
    <n v="1"/>
    <n v="6.9000000000000006E-2"/>
    <m/>
    <m/>
    <n v="3"/>
    <n v="540"/>
    <n v="0.99447513812154698"/>
    <m/>
    <n v="198"/>
    <s v="加重工D0330(1130119-01B)"/>
    <m/>
    <x v="0"/>
    <x v="0"/>
    <m/>
    <m/>
    <m/>
    <x v="0"/>
    <x v="0"/>
  </r>
  <r>
    <x v="35"/>
    <x v="34"/>
    <x v="32"/>
    <n v="8.86"/>
    <n v="0.34"/>
    <n v="358.3"/>
    <n v="3174.538"/>
    <n v="3170"/>
    <n v="1077.8000000000002"/>
    <n v="0.9985705006523784"/>
    <n v="1"/>
    <n v="-1E-3"/>
    <m/>
    <m/>
    <n v="3"/>
    <n v="3167"/>
    <n v="0.99905362776025242"/>
    <m/>
    <m/>
    <m/>
    <m/>
    <x v="0"/>
    <x v="0"/>
    <m/>
    <m/>
    <m/>
    <x v="0"/>
    <x v="0"/>
  </r>
  <r>
    <x v="35"/>
    <x v="60"/>
    <x v="53"/>
    <n v="7.14"/>
    <n v="0.34"/>
    <n v="366"/>
    <n v="2613.2399999999998"/>
    <n v="2628"/>
    <n v="893.5200000000001"/>
    <n v="1.0056481609037058"/>
    <n v="1"/>
    <n v="6.0000000000000001E-3"/>
    <m/>
    <m/>
    <n v="0"/>
    <n v="2628"/>
    <n v="1"/>
    <m/>
    <m/>
    <m/>
    <m/>
    <x v="0"/>
    <x v="0"/>
    <m/>
    <m/>
    <m/>
    <x v="0"/>
    <x v="0"/>
  </r>
  <r>
    <x v="35"/>
    <x v="7"/>
    <x v="7"/>
    <n v="20"/>
    <n v="0.9"/>
    <n v="139.30000000000001"/>
    <n v="2786"/>
    <n v="2771"/>
    <n v="2493.9"/>
    <n v="0.99461593682699212"/>
    <n v="1"/>
    <n v="-5.0000000000000001E-3"/>
    <m/>
    <m/>
    <n v="2"/>
    <n v="2769"/>
    <n v="0.99927823890292311"/>
    <m/>
    <m/>
    <m/>
    <m/>
    <x v="0"/>
    <x v="0"/>
    <m/>
    <m/>
    <m/>
    <x v="0"/>
    <x v="0"/>
  </r>
  <r>
    <x v="36"/>
    <x v="30"/>
    <x v="28"/>
    <n v="12"/>
    <n v="0.43"/>
    <n v="340.4"/>
    <n v="4084.7999999999997"/>
    <n v="4012"/>
    <n v="1725.16"/>
    <n v="0.98217783000391701"/>
    <n v="1"/>
    <n v="-1.7999999999999999E-2"/>
    <m/>
    <m/>
    <n v="4"/>
    <n v="4008"/>
    <n v="0.99900299102691925"/>
    <m/>
    <m/>
    <m/>
    <m/>
    <x v="0"/>
    <x v="0"/>
    <m/>
    <m/>
    <m/>
    <x v="0"/>
    <x v="0"/>
  </r>
  <r>
    <x v="36"/>
    <x v="8"/>
    <x v="8"/>
    <n v="24"/>
    <n v="0.44"/>
    <n v="344"/>
    <n v="8256"/>
    <n v="8092"/>
    <n v="3560.48"/>
    <n v="0.98013565891472865"/>
    <n v="1"/>
    <n v="-0.02"/>
    <m/>
    <m/>
    <n v="7"/>
    <n v="8085"/>
    <n v="0.99913494809688586"/>
    <m/>
    <m/>
    <m/>
    <m/>
    <x v="0"/>
    <x v="0"/>
    <m/>
    <m/>
    <m/>
    <x v="0"/>
    <x v="0"/>
  </r>
  <r>
    <x v="36"/>
    <x v="72"/>
    <x v="62"/>
    <n v="3"/>
    <n v="0.26"/>
    <n v="580"/>
    <n v="1740"/>
    <n v="1744"/>
    <n v="453.44"/>
    <n v="1.0022988505747126"/>
    <n v="1"/>
    <n v="2E-3"/>
    <m/>
    <m/>
    <n v="6"/>
    <n v="1738"/>
    <n v="0.99655963302752293"/>
    <m/>
    <m/>
    <m/>
    <m/>
    <x v="0"/>
    <x v="0"/>
    <m/>
    <m/>
    <m/>
    <x v="0"/>
    <x v="0"/>
  </r>
  <r>
    <x v="36"/>
    <x v="20"/>
    <x v="20"/>
    <n v="8"/>
    <n v="6"/>
    <n v="25"/>
    <n v="200"/>
    <n v="199"/>
    <n v="1194"/>
    <n v="0.995"/>
    <n v="1"/>
    <n v="-5.0000000000000001E-3"/>
    <m/>
    <m/>
    <n v="1"/>
    <n v="198"/>
    <n v="0.99497487437185927"/>
    <m/>
    <m/>
    <m/>
    <m/>
    <x v="0"/>
    <x v="0"/>
    <m/>
    <m/>
    <m/>
    <x v="0"/>
    <x v="0"/>
  </r>
  <r>
    <x v="36"/>
    <x v="9"/>
    <x v="9"/>
    <n v="28"/>
    <n v="6"/>
    <n v="25.7"/>
    <n v="719.6"/>
    <n v="715"/>
    <n v="4290"/>
    <n v="0.9936075597554197"/>
    <n v="1"/>
    <n v="-6.0000000000000001E-3"/>
    <m/>
    <m/>
    <n v="4"/>
    <n v="711"/>
    <n v="0.9944055944055944"/>
    <m/>
    <m/>
    <m/>
    <m/>
    <x v="0"/>
    <x v="0"/>
    <m/>
    <m/>
    <m/>
    <x v="0"/>
    <x v="0"/>
  </r>
  <r>
    <x v="36"/>
    <x v="41"/>
    <x v="39"/>
    <n v="45.74"/>
    <n v="2.8"/>
    <n v="44.2"/>
    <n v="2021.7080000000003"/>
    <n v="2034"/>
    <n v="5695.2"/>
    <n v="1.0060800075975362"/>
    <n v="1"/>
    <n v="6.0000000000000001E-3"/>
    <m/>
    <m/>
    <n v="1"/>
    <n v="2033"/>
    <n v="0.99950835791543757"/>
    <m/>
    <m/>
    <m/>
    <m/>
    <x v="0"/>
    <x v="0"/>
    <m/>
    <m/>
    <m/>
    <x v="0"/>
    <x v="0"/>
  </r>
  <r>
    <x v="36"/>
    <x v="40"/>
    <x v="38"/>
    <n v="14.26"/>
    <n v="18"/>
    <n v="7"/>
    <n v="99.82"/>
    <n v="100"/>
    <n v="1800"/>
    <n v="1.0018032458425166"/>
    <n v="1"/>
    <n v="2E-3"/>
    <m/>
    <m/>
    <n v="0"/>
    <n v="100"/>
    <n v="1"/>
    <m/>
    <m/>
    <m/>
    <m/>
    <x v="0"/>
    <x v="0"/>
    <m/>
    <m/>
    <m/>
    <x v="0"/>
    <x v="0"/>
  </r>
  <r>
    <x v="37"/>
    <x v="26"/>
    <x v="25"/>
    <n v="20"/>
    <n v="0.9"/>
    <n v="163"/>
    <n v="3260"/>
    <n v="3260"/>
    <n v="2934"/>
    <n v="1"/>
    <n v="1"/>
    <n v="0"/>
    <m/>
    <m/>
    <n v="2"/>
    <n v="3258"/>
    <n v="0.99938650306748467"/>
    <m/>
    <m/>
    <m/>
    <m/>
    <x v="0"/>
    <x v="0"/>
    <m/>
    <m/>
    <m/>
    <x v="0"/>
    <x v="0"/>
  </r>
  <r>
    <x v="37"/>
    <x v="13"/>
    <x v="13"/>
    <n v="20"/>
    <n v="0.9"/>
    <n v="160.5"/>
    <n v="3210"/>
    <n v="3205"/>
    <n v="2884.5"/>
    <n v="0.99844236760124616"/>
    <n v="1"/>
    <n v="-2E-3"/>
    <m/>
    <m/>
    <n v="3"/>
    <n v="3202"/>
    <n v="0.99906396255850238"/>
    <m/>
    <m/>
    <m/>
    <m/>
    <x v="0"/>
    <x v="0"/>
    <m/>
    <m/>
    <m/>
    <x v="0"/>
    <x v="0"/>
  </r>
  <r>
    <x v="37"/>
    <x v="73"/>
    <x v="63"/>
    <n v="4"/>
    <n v="4.5"/>
    <n v="35"/>
    <n v="140"/>
    <n v="135"/>
    <n v="607.5"/>
    <n v="0.9642857142857143"/>
    <n v="1"/>
    <n v="-3.5999999999999997E-2"/>
    <m/>
    <m/>
    <n v="0"/>
    <n v="135"/>
    <n v="1"/>
    <m/>
    <m/>
    <m/>
    <m/>
    <x v="0"/>
    <x v="0"/>
    <m/>
    <m/>
    <m/>
    <x v="0"/>
    <x v="0"/>
  </r>
  <r>
    <x v="37"/>
    <x v="51"/>
    <x v="45"/>
    <n v="8"/>
    <n v="9.08"/>
    <n v="17.8"/>
    <n v="142.4"/>
    <n v="142"/>
    <n v="1289.3599999999999"/>
    <n v="0.99719101123595499"/>
    <n v="1"/>
    <n v="-3.0000000000000001E-3"/>
    <m/>
    <m/>
    <n v="0"/>
    <n v="142"/>
    <n v="1"/>
    <m/>
    <m/>
    <m/>
    <m/>
    <x v="0"/>
    <x v="0"/>
    <m/>
    <m/>
    <m/>
    <x v="0"/>
    <x v="0"/>
  </r>
  <r>
    <x v="37"/>
    <x v="3"/>
    <x v="3"/>
    <n v="24"/>
    <n v="4.5"/>
    <n v="36.299999999999997"/>
    <n v="871.19999999999993"/>
    <n v="861"/>
    <n v="3874.5"/>
    <n v="0.98829201101928388"/>
    <n v="1"/>
    <n v="-1.2E-2"/>
    <m/>
    <m/>
    <n v="0"/>
    <n v="861"/>
    <n v="1"/>
    <m/>
    <m/>
    <m/>
    <m/>
    <x v="0"/>
    <x v="0"/>
    <m/>
    <m/>
    <m/>
    <x v="0"/>
    <x v="0"/>
  </r>
  <r>
    <x v="37"/>
    <x v="11"/>
    <x v="11"/>
    <n v="40"/>
    <n v="2.8"/>
    <n v="44.5"/>
    <n v="1780"/>
    <n v="1789"/>
    <n v="5009.2"/>
    <n v="1.0050561797752808"/>
    <n v="1"/>
    <n v="5.0000000000000001E-3"/>
    <m/>
    <m/>
    <n v="1"/>
    <n v="1788"/>
    <n v="0.99944102850754613"/>
    <m/>
    <m/>
    <m/>
    <m/>
    <x v="0"/>
    <x v="0"/>
    <m/>
    <m/>
    <m/>
    <x v="0"/>
    <x v="0"/>
  </r>
  <r>
    <x v="37"/>
    <x v="12"/>
    <x v="12"/>
    <n v="20"/>
    <n v="0.8"/>
    <n v="157.69999999999999"/>
    <n v="3154"/>
    <n v="3079"/>
    <n v="2463.2000000000003"/>
    <n v="0.97622067216233355"/>
    <n v="1"/>
    <n v="-2.4E-2"/>
    <m/>
    <m/>
    <n v="2"/>
    <n v="3077"/>
    <n v="0.99935043845404348"/>
    <m/>
    <m/>
    <m/>
    <m/>
    <x v="0"/>
    <x v="0"/>
    <m/>
    <m/>
    <m/>
    <x v="0"/>
    <x v="0"/>
  </r>
  <r>
    <x v="38"/>
    <x v="15"/>
    <x v="15"/>
    <n v="80"/>
    <n v="3.2"/>
    <n v="46.8"/>
    <n v="3744"/>
    <n v="3743"/>
    <n v="11977.6"/>
    <n v="0.99973290598290598"/>
    <n v="1"/>
    <n v="0"/>
    <m/>
    <m/>
    <n v="2"/>
    <n v="3741"/>
    <n v="0.99946566924926528"/>
    <m/>
    <n v="80"/>
    <s v="加重工A1032(1130219-01A)"/>
    <m/>
    <x v="0"/>
    <x v="0"/>
    <m/>
    <m/>
    <m/>
    <x v="0"/>
    <x v="0"/>
  </r>
  <r>
    <x v="38"/>
    <x v="22"/>
    <x v="10"/>
    <n v="12"/>
    <n v="6"/>
    <n v="25.1"/>
    <n v="301.20000000000005"/>
    <n v="299"/>
    <n v="1794"/>
    <n v="0.99269588313413004"/>
    <n v="1"/>
    <n v="-7.0000000000000001E-3"/>
    <m/>
    <m/>
    <n v="1"/>
    <n v="298"/>
    <n v="0.99665551839464883"/>
    <m/>
    <m/>
    <m/>
    <m/>
    <x v="0"/>
    <x v="0"/>
    <m/>
    <m/>
    <m/>
    <x v="0"/>
    <x v="0"/>
  </r>
  <r>
    <x v="38"/>
    <x v="9"/>
    <x v="9"/>
    <n v="24"/>
    <n v="6"/>
    <n v="25.7"/>
    <n v="616.79999999999995"/>
    <n v="608"/>
    <n v="3648"/>
    <n v="0.9857328145265889"/>
    <n v="1"/>
    <n v="-1.4E-2"/>
    <m/>
    <m/>
    <n v="4"/>
    <n v="604"/>
    <n v="0.99342105263157898"/>
    <m/>
    <m/>
    <m/>
    <m/>
    <x v="0"/>
    <x v="0"/>
    <m/>
    <m/>
    <m/>
    <x v="0"/>
    <x v="0"/>
  </r>
  <r>
    <x v="38"/>
    <x v="11"/>
    <x v="11"/>
    <n v="72"/>
    <n v="2.8"/>
    <n v="44.5"/>
    <n v="3204"/>
    <n v="3210"/>
    <n v="8988"/>
    <n v="1.0018726591760299"/>
    <n v="1"/>
    <n v="2E-3"/>
    <m/>
    <m/>
    <n v="1"/>
    <n v="3209"/>
    <n v="0.99968847352024925"/>
    <m/>
    <m/>
    <m/>
    <m/>
    <x v="0"/>
    <x v="0"/>
    <m/>
    <m/>
    <m/>
    <x v="0"/>
    <x v="0"/>
  </r>
  <r>
    <x v="39"/>
    <x v="17"/>
    <x v="17"/>
    <n v="21"/>
    <n v="3"/>
    <n v="29.7"/>
    <n v="623.69999999999993"/>
    <n v="628"/>
    <n v="1884"/>
    <n v="1.0068943402276738"/>
    <n v="1"/>
    <n v="7.0000000000000001E-3"/>
    <m/>
    <m/>
    <n v="0"/>
    <n v="628"/>
    <n v="1"/>
    <m/>
    <m/>
    <m/>
    <m/>
    <x v="0"/>
    <x v="0"/>
    <m/>
    <m/>
    <m/>
    <x v="0"/>
    <x v="0"/>
  </r>
  <r>
    <x v="39"/>
    <x v="11"/>
    <x v="11"/>
    <n v="60"/>
    <n v="2.8"/>
    <n v="44.5"/>
    <n v="2670"/>
    <n v="2683"/>
    <n v="7512.4"/>
    <n v="1.0048689138576778"/>
    <n v="1"/>
    <n v="5.0000000000000001E-3"/>
    <m/>
    <m/>
    <n v="1"/>
    <n v="2682"/>
    <n v="0.99962728289228475"/>
    <m/>
    <m/>
    <m/>
    <m/>
    <x v="0"/>
    <x v="0"/>
    <m/>
    <m/>
    <m/>
    <x v="0"/>
    <x v="0"/>
  </r>
  <r>
    <x v="40"/>
    <x v="15"/>
    <x v="15"/>
    <n v="88"/>
    <n v="3.2"/>
    <n v="46.8"/>
    <n v="4118.3999999999996"/>
    <n v="4119"/>
    <n v="13180.800000000001"/>
    <n v="1.0001456876456878"/>
    <n v="1"/>
    <n v="0"/>
    <m/>
    <m/>
    <n v="2"/>
    <n v="4117"/>
    <n v="0.99951444525370237"/>
    <m/>
    <n v="88"/>
    <s v="加重工A1032(1130219-01A)"/>
    <m/>
    <x v="0"/>
    <x v="0"/>
    <m/>
    <m/>
    <m/>
    <x v="0"/>
    <x v="0"/>
  </r>
  <r>
    <x v="40"/>
    <x v="9"/>
    <x v="9"/>
    <n v="28"/>
    <n v="6"/>
    <n v="25.7"/>
    <n v="719.6"/>
    <n v="710"/>
    <n v="4260"/>
    <n v="0.98665925514174535"/>
    <n v="1"/>
    <n v="-1.2999999999999999E-2"/>
    <m/>
    <m/>
    <n v="4"/>
    <n v="706"/>
    <n v="0.9943661971830986"/>
    <m/>
    <m/>
    <m/>
    <m/>
    <x v="0"/>
    <x v="0"/>
    <m/>
    <m/>
    <m/>
    <x v="0"/>
    <x v="0"/>
  </r>
  <r>
    <x v="40"/>
    <x v="10"/>
    <x v="10"/>
    <n v="16"/>
    <n v="6"/>
    <n v="25.4"/>
    <n v="406.4"/>
    <n v="401"/>
    <n v="2406"/>
    <n v="0.98671259842519687"/>
    <n v="1"/>
    <n v="-1.2999999999999999E-2"/>
    <m/>
    <m/>
    <n v="2"/>
    <n v="399"/>
    <n v="0.99501246882793015"/>
    <m/>
    <m/>
    <m/>
    <m/>
    <x v="0"/>
    <x v="0"/>
    <m/>
    <m/>
    <m/>
    <x v="0"/>
    <x v="0"/>
  </r>
  <r>
    <x v="40"/>
    <x v="6"/>
    <x v="6"/>
    <n v="40"/>
    <n v="0.4"/>
    <n v="309.2"/>
    <n v="12368"/>
    <n v="12461"/>
    <n v="4984.4000000000005"/>
    <n v="1.007519404915912"/>
    <n v="1"/>
    <n v="8.0000000000000002E-3"/>
    <m/>
    <m/>
    <n v="3"/>
    <n v="12458"/>
    <n v="0.99975924885643208"/>
    <m/>
    <m/>
    <m/>
    <m/>
    <x v="0"/>
    <x v="0"/>
    <m/>
    <m/>
    <m/>
    <x v="0"/>
    <x v="0"/>
  </r>
  <r>
    <x v="41"/>
    <x v="44"/>
    <x v="41"/>
    <n v="3.58"/>
    <n v="0.26"/>
    <n v="592"/>
    <n v="2119.36"/>
    <n v="2037"/>
    <n v="529.62"/>
    <n v="0.96113921183753581"/>
    <n v="1"/>
    <n v="-3.9E-2"/>
    <m/>
    <m/>
    <n v="5"/>
    <n v="2032"/>
    <n v="0.99754540991654395"/>
    <m/>
    <m/>
    <m/>
    <m/>
    <x v="0"/>
    <x v="0"/>
    <m/>
    <m/>
    <m/>
    <x v="0"/>
    <x v="0"/>
  </r>
  <r>
    <x v="41"/>
    <x v="26"/>
    <x v="25"/>
    <n v="16"/>
    <n v="0.9"/>
    <n v="163"/>
    <n v="2608"/>
    <n v="2610"/>
    <n v="2349"/>
    <n v="1.0007668711656441"/>
    <n v="1"/>
    <n v="1E-3"/>
    <m/>
    <m/>
    <n v="2"/>
    <n v="2608"/>
    <n v="0.99923371647509573"/>
    <m/>
    <m/>
    <m/>
    <m/>
    <x v="0"/>
    <x v="0"/>
    <m/>
    <m/>
    <m/>
    <x v="0"/>
    <x v="0"/>
  </r>
  <r>
    <x v="41"/>
    <x v="11"/>
    <x v="11"/>
    <n v="60"/>
    <n v="2.8"/>
    <n v="44.5"/>
    <n v="2670"/>
    <n v="2689"/>
    <n v="7529.2"/>
    <n v="1.0071161048689139"/>
    <n v="1"/>
    <n v="7.0000000000000001E-3"/>
    <m/>
    <m/>
    <n v="1"/>
    <n v="2688"/>
    <n v="0.99962811454072142"/>
    <m/>
    <m/>
    <m/>
    <m/>
    <x v="0"/>
    <x v="0"/>
    <m/>
    <m/>
    <m/>
    <x v="0"/>
    <x v="0"/>
  </r>
  <r>
    <x v="42"/>
    <x v="15"/>
    <x v="15"/>
    <n v="88"/>
    <n v="3.2"/>
    <n v="46.8"/>
    <n v="4118.3999999999996"/>
    <n v="4105"/>
    <n v="13136"/>
    <n v="0.99674630924630936"/>
    <n v="1"/>
    <n v="-3.0000000000000001E-3"/>
    <m/>
    <m/>
    <n v="2"/>
    <n v="4103"/>
    <n v="0.99951278928136422"/>
    <m/>
    <n v="88"/>
    <s v="加重工A1032(1130219-01A)"/>
    <m/>
    <x v="0"/>
    <x v="0"/>
    <m/>
    <m/>
    <m/>
    <x v="0"/>
    <x v="0"/>
  </r>
  <r>
    <x v="42"/>
    <x v="74"/>
    <x v="64"/>
    <n v="6"/>
    <n v="6"/>
    <n v="25.2"/>
    <n v="151.19999999999999"/>
    <n v="152"/>
    <n v="912"/>
    <n v="1.0052910052910053"/>
    <n v="1"/>
    <n v="5.0000000000000001E-3"/>
    <m/>
    <m/>
    <n v="1"/>
    <n v="151"/>
    <n v="0.99342105263157898"/>
    <m/>
    <m/>
    <m/>
    <m/>
    <x v="0"/>
    <x v="0"/>
    <m/>
    <m/>
    <m/>
    <x v="0"/>
    <x v="0"/>
  </r>
  <r>
    <x v="42"/>
    <x v="11"/>
    <x v="11"/>
    <n v="60"/>
    <n v="2.8"/>
    <n v="44.5"/>
    <n v="2670"/>
    <n v="2677"/>
    <n v="7495.5999999999995"/>
    <n v="1.002621722846442"/>
    <n v="1"/>
    <n v="3.0000000000000001E-3"/>
    <m/>
    <m/>
    <n v="1"/>
    <n v="2676"/>
    <n v="0.99962644751587593"/>
    <m/>
    <m/>
    <m/>
    <m/>
    <x v="0"/>
    <x v="0"/>
    <m/>
    <m/>
    <m/>
    <x v="0"/>
    <x v="0"/>
  </r>
  <r>
    <x v="43"/>
    <x v="27"/>
    <x v="26"/>
    <n v="72"/>
    <n v="3.2"/>
    <n v="47.5"/>
    <n v="3420"/>
    <n v="3383"/>
    <n v="10825.6"/>
    <n v="0.98918128654970761"/>
    <n v="1"/>
    <n v="-1.0999999999999999E-2"/>
    <m/>
    <m/>
    <n v="3"/>
    <n v="3380"/>
    <n v="0.99911321312444579"/>
    <m/>
    <m/>
    <m/>
    <m/>
    <x v="0"/>
    <x v="0"/>
    <m/>
    <m/>
    <m/>
    <x v="0"/>
    <x v="0"/>
  </r>
  <r>
    <x v="43"/>
    <x v="50"/>
    <x v="44"/>
    <n v="24"/>
    <n v="4.5"/>
    <n v="36.799999999999997"/>
    <n v="883.19999999999993"/>
    <n v="889"/>
    <n v="4000.5"/>
    <n v="1.0065670289855073"/>
    <n v="1"/>
    <n v="7.0000000000000001E-3"/>
    <m/>
    <m/>
    <n v="2"/>
    <n v="887"/>
    <n v="0.9977502812148481"/>
    <m/>
    <m/>
    <m/>
    <m/>
    <x v="0"/>
    <x v="0"/>
    <m/>
    <m/>
    <m/>
    <x v="0"/>
    <x v="0"/>
  </r>
  <r>
    <x v="43"/>
    <x v="59"/>
    <x v="52"/>
    <n v="8"/>
    <n v="4.5"/>
    <n v="34.9"/>
    <n v="279.2"/>
    <n v="285"/>
    <n v="1282.5"/>
    <n v="1.0207736389684814"/>
    <n v="1"/>
    <n v="2.1000000000000001E-2"/>
    <m/>
    <m/>
    <n v="0"/>
    <n v="285"/>
    <n v="1"/>
    <m/>
    <m/>
    <m/>
    <m/>
    <x v="0"/>
    <x v="0"/>
    <m/>
    <m/>
    <m/>
    <x v="0"/>
    <x v="0"/>
  </r>
  <r>
    <x v="43"/>
    <x v="3"/>
    <x v="3"/>
    <n v="12"/>
    <n v="4.5"/>
    <n v="36.299999999999997"/>
    <n v="435.59999999999997"/>
    <n v="429"/>
    <n v="1930.5"/>
    <n v="0.98484848484848497"/>
    <n v="1"/>
    <n v="-1.4999999999999999E-2"/>
    <m/>
    <m/>
    <n v="0"/>
    <n v="429"/>
    <n v="1"/>
    <m/>
    <m/>
    <m/>
    <m/>
    <x v="0"/>
    <x v="0"/>
    <m/>
    <m/>
    <m/>
    <x v="0"/>
    <x v="0"/>
  </r>
  <r>
    <x v="43"/>
    <x v="41"/>
    <x v="39"/>
    <n v="60"/>
    <n v="2.8"/>
    <n v="44.2"/>
    <n v="2652"/>
    <n v="2677"/>
    <n v="7495.5999999999995"/>
    <n v="1.0094268476621417"/>
    <n v="1"/>
    <n v="8.9999999999999993E-3"/>
    <m/>
    <m/>
    <n v="1"/>
    <n v="2676"/>
    <n v="0.99962644751587593"/>
    <m/>
    <m/>
    <m/>
    <m/>
    <x v="0"/>
    <x v="0"/>
    <m/>
    <m/>
    <m/>
    <x v="0"/>
    <x v="0"/>
  </r>
  <r>
    <x v="44"/>
    <x v="15"/>
    <x v="15"/>
    <n v="88"/>
    <n v="3.2"/>
    <n v="46.8"/>
    <n v="4118.3999999999996"/>
    <n v="4107"/>
    <n v="13142.400000000001"/>
    <n v="0.99723193473193483"/>
    <n v="1"/>
    <n v="-3.0000000000000001E-3"/>
    <m/>
    <m/>
    <n v="2"/>
    <n v="4105"/>
    <n v="0.99951302654005358"/>
    <m/>
    <n v="88"/>
    <s v="加重工A1032(1130219-01A)"/>
    <m/>
    <x v="0"/>
    <x v="0"/>
    <m/>
    <m/>
    <m/>
    <x v="0"/>
    <x v="0"/>
  </r>
  <r>
    <x v="44"/>
    <x v="18"/>
    <x v="18"/>
    <n v="12"/>
    <n v="6"/>
    <n v="26.4"/>
    <n v="316.79999999999995"/>
    <n v="310"/>
    <n v="1860"/>
    <n v="0.9785353535353537"/>
    <n v="1"/>
    <n v="-2.1000000000000001E-2"/>
    <m/>
    <m/>
    <n v="1"/>
    <n v="309"/>
    <n v="0.99677419354838714"/>
    <m/>
    <m/>
    <m/>
    <m/>
    <x v="0"/>
    <x v="0"/>
    <m/>
    <m/>
    <m/>
    <x v="0"/>
    <x v="0"/>
  </r>
  <r>
    <x v="44"/>
    <x v="3"/>
    <x v="3"/>
    <n v="28"/>
    <n v="4.5"/>
    <n v="36.299999999999997"/>
    <n v="1016.3999999999999"/>
    <n v="1015"/>
    <n v="4567.5"/>
    <n v="0.99862258953168059"/>
    <n v="1"/>
    <n v="-1E-3"/>
    <m/>
    <m/>
    <n v="0"/>
    <n v="1015"/>
    <n v="1"/>
    <m/>
    <m/>
    <m/>
    <m/>
    <x v="0"/>
    <x v="0"/>
    <m/>
    <m/>
    <m/>
    <x v="0"/>
    <x v="0"/>
  </r>
  <r>
    <x v="44"/>
    <x v="11"/>
    <x v="11"/>
    <n v="60"/>
    <n v="2.8"/>
    <n v="44.5"/>
    <n v="2670"/>
    <n v="2678"/>
    <n v="7498.4"/>
    <n v="1.002996254681648"/>
    <n v="1"/>
    <n v="3.0000000000000001E-3"/>
    <m/>
    <m/>
    <n v="1"/>
    <n v="2677"/>
    <n v="0.99962658700522777"/>
    <m/>
    <m/>
    <m/>
    <m/>
    <x v="0"/>
    <x v="0"/>
    <m/>
    <m/>
    <m/>
    <x v="0"/>
    <x v="0"/>
  </r>
  <r>
    <x v="45"/>
    <x v="75"/>
    <x v="65"/>
    <n v="4"/>
    <n v="0.19"/>
    <n v="759.3"/>
    <n v="3037.2"/>
    <n v="3123"/>
    <n v="593.37"/>
    <n v="1.0282497036744371"/>
    <n v="1"/>
    <n v="2.8000000000000001E-2"/>
    <m/>
    <m/>
    <n v="8"/>
    <n v="3115"/>
    <n v="0.99743836055075252"/>
    <m/>
    <m/>
    <m/>
    <m/>
    <x v="0"/>
    <x v="0"/>
    <m/>
    <m/>
    <m/>
    <x v="0"/>
    <x v="0"/>
  </r>
  <r>
    <x v="45"/>
    <x v="76"/>
    <x v="66"/>
    <n v="6"/>
    <n v="0.42"/>
    <n v="365.1"/>
    <n v="2190.6000000000004"/>
    <n v="2177"/>
    <n v="914.33999999999992"/>
    <n v="0.99379165525426805"/>
    <n v="1"/>
    <n v="-6.0000000000000001E-3"/>
    <m/>
    <m/>
    <n v="5"/>
    <n v="2172"/>
    <n v="0.99770326136885623"/>
    <m/>
    <m/>
    <m/>
    <m/>
    <x v="0"/>
    <x v="0"/>
    <m/>
    <m/>
    <m/>
    <x v="0"/>
    <x v="0"/>
  </r>
  <r>
    <x v="45"/>
    <x v="27"/>
    <x v="26"/>
    <n v="36"/>
    <n v="3.2"/>
    <n v="47.5"/>
    <n v="1710"/>
    <n v="1676"/>
    <n v="5363.2000000000007"/>
    <n v="0.9801169590643275"/>
    <n v="1"/>
    <n v="-0.02"/>
    <m/>
    <m/>
    <n v="2"/>
    <n v="1674"/>
    <n v="0.99880668257756566"/>
    <m/>
    <m/>
    <m/>
    <m/>
    <x v="0"/>
    <x v="0"/>
    <m/>
    <m/>
    <m/>
    <x v="0"/>
    <x v="0"/>
  </r>
  <r>
    <x v="45"/>
    <x v="2"/>
    <x v="2"/>
    <n v="30"/>
    <n v="6"/>
    <n v="26.6"/>
    <n v="798"/>
    <n v="787"/>
    <n v="4722"/>
    <n v="0.98621553884711777"/>
    <n v="1"/>
    <n v="-1.4E-2"/>
    <m/>
    <m/>
    <n v="3"/>
    <n v="784"/>
    <n v="0.99618805590851334"/>
    <m/>
    <m/>
    <m/>
    <m/>
    <x v="0"/>
    <x v="0"/>
    <m/>
    <m/>
    <m/>
    <x v="0"/>
    <x v="0"/>
  </r>
  <r>
    <x v="45"/>
    <x v="39"/>
    <x v="37"/>
    <n v="12"/>
    <n v="4.5"/>
    <n v="36"/>
    <n v="432"/>
    <n v="428"/>
    <n v="1926"/>
    <n v="0.9907407407407407"/>
    <n v="1"/>
    <n v="-8.9999999999999993E-3"/>
    <m/>
    <m/>
    <n v="0"/>
    <n v="428"/>
    <n v="1"/>
    <m/>
    <m/>
    <m/>
    <m/>
    <x v="0"/>
    <x v="0"/>
    <m/>
    <m/>
    <m/>
    <x v="0"/>
    <x v="0"/>
  </r>
  <r>
    <x v="45"/>
    <x v="41"/>
    <x v="39"/>
    <n v="60"/>
    <n v="2.8"/>
    <n v="44.2"/>
    <n v="2652"/>
    <n v="2669"/>
    <n v="7473.2"/>
    <n v="1.0064102564102564"/>
    <n v="1"/>
    <n v="6.0000000000000001E-3"/>
    <m/>
    <m/>
    <n v="4"/>
    <n v="2665"/>
    <n v="0.99850131135256648"/>
    <m/>
    <m/>
    <m/>
    <m/>
    <x v="0"/>
    <x v="0"/>
    <m/>
    <m/>
    <m/>
    <x v="0"/>
    <x v="0"/>
  </r>
  <r>
    <x v="46"/>
    <x v="15"/>
    <x v="15"/>
    <n v="80"/>
    <n v="3.2"/>
    <n v="46.8"/>
    <n v="3744"/>
    <n v="3732"/>
    <n v="11942.400000000001"/>
    <n v="0.99679487179487181"/>
    <n v="1"/>
    <n v="-3.0000000000000001E-3"/>
    <m/>
    <m/>
    <n v="2"/>
    <n v="3730"/>
    <n v="0.99946409431939975"/>
    <m/>
    <n v="60"/>
    <s v="加重工A1032(1130219-01A)"/>
    <m/>
    <x v="0"/>
    <x v="0"/>
    <m/>
    <m/>
    <m/>
    <x v="0"/>
    <x v="0"/>
  </r>
  <r>
    <x v="46"/>
    <x v="22"/>
    <x v="10"/>
    <n v="20"/>
    <n v="6"/>
    <n v="25.1"/>
    <n v="502"/>
    <n v="500"/>
    <n v="3000"/>
    <n v="0.99601593625498008"/>
    <n v="1"/>
    <n v="-4.0000000000000001E-3"/>
    <m/>
    <m/>
    <n v="2"/>
    <n v="498"/>
    <n v="0.996"/>
    <m/>
    <m/>
    <m/>
    <m/>
    <x v="0"/>
    <x v="0"/>
    <m/>
    <m/>
    <m/>
    <x v="0"/>
    <x v="0"/>
  </r>
  <r>
    <x v="46"/>
    <x v="0"/>
    <x v="0"/>
    <n v="18"/>
    <n v="6"/>
    <n v="25.5"/>
    <n v="459"/>
    <n v="452"/>
    <n v="2712"/>
    <n v="0.98474945533769065"/>
    <n v="1"/>
    <n v="-1.4999999999999999E-2"/>
    <m/>
    <m/>
    <n v="2"/>
    <n v="450"/>
    <n v="0.99557522123893805"/>
    <m/>
    <m/>
    <m/>
    <m/>
    <x v="0"/>
    <x v="0"/>
    <m/>
    <m/>
    <m/>
    <x v="0"/>
    <x v="0"/>
  </r>
  <r>
    <x v="46"/>
    <x v="37"/>
    <x v="35"/>
    <n v="6"/>
    <n v="6"/>
    <n v="25.6"/>
    <n v="153.60000000000002"/>
    <n v="157"/>
    <n v="942"/>
    <n v="1.0221354166666665"/>
    <n v="1"/>
    <n v="2.1999999999999999E-2"/>
    <m/>
    <m/>
    <n v="1"/>
    <n v="156"/>
    <n v="0.99363057324840764"/>
    <m/>
    <m/>
    <m/>
    <m/>
    <x v="0"/>
    <x v="0"/>
    <m/>
    <m/>
    <m/>
    <x v="0"/>
    <x v="0"/>
  </r>
  <r>
    <x v="46"/>
    <x v="12"/>
    <x v="12"/>
    <n v="20"/>
    <n v="0.8"/>
    <n v="157.69999999999999"/>
    <n v="3154"/>
    <n v="3106"/>
    <n v="2484.8000000000002"/>
    <n v="0.98478123018389352"/>
    <n v="1"/>
    <n v="-1.4999999999999999E-2"/>
    <m/>
    <m/>
    <n v="2"/>
    <n v="3104"/>
    <n v="0.99935608499678041"/>
    <m/>
    <m/>
    <m/>
    <m/>
    <x v="0"/>
    <x v="0"/>
    <m/>
    <m/>
    <m/>
    <x v="0"/>
    <x v="0"/>
  </r>
  <r>
    <x v="46"/>
    <x v="34"/>
    <x v="32"/>
    <n v="9.49"/>
    <n v="0.34"/>
    <n v="358.3"/>
    <n v="3400.2670000000003"/>
    <n v="3359"/>
    <n v="1142.0600000000002"/>
    <n v="0.98786360012316676"/>
    <n v="1"/>
    <n v="-1.2E-2"/>
    <m/>
    <m/>
    <n v="3"/>
    <n v="3356"/>
    <n v="0.99910687704674006"/>
    <m/>
    <m/>
    <m/>
    <m/>
    <x v="0"/>
    <x v="0"/>
    <m/>
    <m/>
    <m/>
    <x v="0"/>
    <x v="0"/>
  </r>
  <r>
    <x v="46"/>
    <x v="60"/>
    <x v="53"/>
    <n v="6.51"/>
    <n v="0.34"/>
    <n v="366"/>
    <n v="2382.66"/>
    <n v="2402"/>
    <n v="816.68000000000006"/>
    <n v="1.0081169785030177"/>
    <n v="1"/>
    <n v="8.0000000000000002E-3"/>
    <m/>
    <m/>
    <n v="2"/>
    <n v="2400"/>
    <n v="0.99916736053288924"/>
    <m/>
    <m/>
    <m/>
    <m/>
    <x v="0"/>
    <x v="0"/>
    <m/>
    <m/>
    <m/>
    <x v="0"/>
    <x v="0"/>
  </r>
  <r>
    <x v="47"/>
    <x v="49"/>
    <x v="43"/>
    <n v="15"/>
    <n v="0.43"/>
    <n v="364"/>
    <n v="5460"/>
    <n v="5433"/>
    <n v="2336.19"/>
    <n v="0.99505494505494507"/>
    <n v="1"/>
    <n v="-5.0000000000000001E-3"/>
    <m/>
    <m/>
    <n v="5"/>
    <n v="5428"/>
    <n v="0.99907969814099029"/>
    <m/>
    <m/>
    <m/>
    <m/>
    <x v="0"/>
    <x v="0"/>
    <m/>
    <m/>
    <m/>
    <x v="0"/>
    <x v="0"/>
  </r>
  <r>
    <x v="47"/>
    <x v="13"/>
    <x v="13"/>
    <n v="20"/>
    <n v="0.9"/>
    <n v="160.5"/>
    <n v="3210"/>
    <n v="3206"/>
    <n v="2885.4"/>
    <n v="0.99875389408099691"/>
    <n v="1"/>
    <n v="-1E-3"/>
    <m/>
    <m/>
    <n v="3"/>
    <n v="3203"/>
    <n v="0.99906425452276981"/>
    <m/>
    <m/>
    <m/>
    <m/>
    <x v="0"/>
    <x v="0"/>
    <m/>
    <m/>
    <m/>
    <x v="0"/>
    <x v="0"/>
  </r>
  <r>
    <x v="47"/>
    <x v="9"/>
    <x v="9"/>
    <n v="24"/>
    <n v="6"/>
    <n v="25.7"/>
    <n v="616.79999999999995"/>
    <n v="608"/>
    <n v="3648"/>
    <n v="0.9857328145265889"/>
    <n v="1"/>
    <n v="-1.4E-2"/>
    <m/>
    <m/>
    <n v="4"/>
    <n v="604"/>
    <n v="0.99342105263157898"/>
    <m/>
    <m/>
    <m/>
    <m/>
    <x v="0"/>
    <x v="0"/>
    <m/>
    <m/>
    <m/>
    <x v="0"/>
    <x v="0"/>
  </r>
  <r>
    <x v="47"/>
    <x v="32"/>
    <x v="30"/>
    <n v="16"/>
    <n v="6"/>
    <n v="25.2"/>
    <n v="403.2"/>
    <n v="402"/>
    <n v="2412"/>
    <n v="0.99702380952380953"/>
    <n v="1"/>
    <n v="-3.0000000000000001E-3"/>
    <m/>
    <m/>
    <n v="1"/>
    <n v="401"/>
    <n v="0.99751243781094523"/>
    <m/>
    <m/>
    <m/>
    <m/>
    <x v="0"/>
    <x v="0"/>
    <m/>
    <m/>
    <m/>
    <x v="0"/>
    <x v="0"/>
  </r>
  <r>
    <x v="47"/>
    <x v="11"/>
    <x v="11"/>
    <n v="55.53"/>
    <n v="2.8"/>
    <n v="44.5"/>
    <n v="2471.085"/>
    <n v="2495"/>
    <n v="6986"/>
    <n v="1.0096779349961655"/>
    <n v="1"/>
    <n v="0.01"/>
    <m/>
    <m/>
    <n v="1"/>
    <n v="2494"/>
    <n v="0.99959919839679356"/>
    <m/>
    <m/>
    <m/>
    <m/>
    <x v="0"/>
    <x v="0"/>
    <m/>
    <m/>
    <m/>
    <x v="0"/>
    <x v="0"/>
  </r>
  <r>
    <x v="47"/>
    <x v="29"/>
    <x v="27"/>
    <n v="4.47"/>
    <n v="18"/>
    <n v="6.7"/>
    <n v="29.948999999999998"/>
    <n v="30"/>
    <n v="540"/>
    <n v="1.0017028949213664"/>
    <n v="1"/>
    <n v="2E-3"/>
    <m/>
    <m/>
    <n v="0"/>
    <n v="30"/>
    <n v="1"/>
    <m/>
    <m/>
    <m/>
    <m/>
    <x v="0"/>
    <x v="0"/>
    <m/>
    <m/>
    <m/>
    <x v="0"/>
    <x v="0"/>
  </r>
  <r>
    <x v="48"/>
    <x v="19"/>
    <x v="19"/>
    <n v="16"/>
    <n v="6"/>
    <n v="25.5"/>
    <n v="408"/>
    <n v="401"/>
    <n v="2406"/>
    <n v="0.98284313725490191"/>
    <n v="1"/>
    <n v="-1.7000000000000001E-2"/>
    <m/>
    <m/>
    <n v="1"/>
    <n v="400"/>
    <n v="0.99750623441396513"/>
    <m/>
    <m/>
    <m/>
    <m/>
    <x v="0"/>
    <x v="0"/>
    <m/>
    <m/>
    <m/>
    <x v="0"/>
    <x v="0"/>
  </r>
  <r>
    <x v="48"/>
    <x v="9"/>
    <x v="9"/>
    <n v="24"/>
    <n v="6"/>
    <n v="25.7"/>
    <n v="616.79999999999995"/>
    <n v="612"/>
    <n v="3672"/>
    <n v="0.99221789883268485"/>
    <n v="1"/>
    <n v="-8.0000000000000002E-3"/>
    <m/>
    <m/>
    <n v="3"/>
    <n v="609"/>
    <n v="0.99509803921568629"/>
    <m/>
    <m/>
    <m/>
    <m/>
    <x v="0"/>
    <x v="0"/>
    <m/>
    <m/>
    <m/>
    <x v="0"/>
    <x v="0"/>
  </r>
  <r>
    <x v="48"/>
    <x v="48"/>
    <x v="17"/>
    <n v="21"/>
    <n v="3"/>
    <n v="30.8"/>
    <n v="646.80000000000007"/>
    <n v="644"/>
    <n v="1932"/>
    <n v="0.9956709956709956"/>
    <n v="1"/>
    <n v="-4.0000000000000001E-3"/>
    <m/>
    <m/>
    <n v="0"/>
    <n v="644"/>
    <n v="1"/>
    <m/>
    <m/>
    <m/>
    <m/>
    <x v="0"/>
    <x v="0"/>
    <m/>
    <m/>
    <m/>
    <x v="0"/>
    <x v="0"/>
  </r>
  <r>
    <x v="48"/>
    <x v="61"/>
    <x v="33"/>
    <n v="28"/>
    <n v="18"/>
    <n v="6.9"/>
    <n v="193.20000000000002"/>
    <n v="190"/>
    <n v="3420"/>
    <n v="0.98343685300207029"/>
    <n v="1"/>
    <n v="-1.7000000000000001E-2"/>
    <m/>
    <m/>
    <n v="0"/>
    <n v="190"/>
    <n v="1"/>
    <m/>
    <m/>
    <m/>
    <m/>
    <x v="0"/>
    <x v="0"/>
    <m/>
    <m/>
    <m/>
    <x v="0"/>
    <x v="0"/>
  </r>
  <r>
    <x v="48"/>
    <x v="11"/>
    <x v="11"/>
    <n v="28"/>
    <n v="2.8"/>
    <n v="44.5"/>
    <n v="1246"/>
    <n v="1297"/>
    <n v="3631.6"/>
    <n v="1.0409309791332264"/>
    <n v="1"/>
    <n v="4.1000000000000002E-2"/>
    <m/>
    <m/>
    <n v="1"/>
    <n v="1296"/>
    <n v="0.99922898997686971"/>
    <m/>
    <m/>
    <m/>
    <m/>
    <x v="0"/>
    <x v="0"/>
    <m/>
    <m/>
    <m/>
    <x v="0"/>
    <x v="0"/>
  </r>
  <r>
    <x v="49"/>
    <x v="15"/>
    <x v="15"/>
    <n v="60"/>
    <n v="3.2"/>
    <n v="46.8"/>
    <n v="2808"/>
    <n v="2827"/>
    <n v="9046.4"/>
    <n v="1.0067663817663817"/>
    <n v="1"/>
    <n v="7.0000000000000001E-3"/>
    <m/>
    <m/>
    <n v="2"/>
    <n v="2825"/>
    <n v="0.99929253625751679"/>
    <m/>
    <m/>
    <m/>
    <m/>
    <x v="0"/>
    <x v="0"/>
    <m/>
    <m/>
    <m/>
    <x v="0"/>
    <x v="0"/>
  </r>
  <r>
    <x v="49"/>
    <x v="9"/>
    <x v="9"/>
    <n v="24"/>
    <n v="6"/>
    <n v="25.7"/>
    <n v="616.79999999999995"/>
    <n v="609"/>
    <n v="3654"/>
    <n v="0.98735408560311289"/>
    <n v="1"/>
    <n v="-1.2999999999999999E-2"/>
    <m/>
    <m/>
    <n v="3"/>
    <n v="606"/>
    <n v="0.99507389162561577"/>
    <m/>
    <m/>
    <m/>
    <m/>
    <x v="0"/>
    <x v="0"/>
    <m/>
    <m/>
    <m/>
    <x v="0"/>
    <x v="0"/>
  </r>
  <r>
    <x v="49"/>
    <x v="16"/>
    <x v="16"/>
    <n v="16"/>
    <n v="6"/>
    <n v="26.1"/>
    <n v="417.6"/>
    <n v="413"/>
    <n v="2478"/>
    <n v="0.98898467432950188"/>
    <n v="1"/>
    <n v="-1.0999999999999999E-2"/>
    <m/>
    <m/>
    <n v="1"/>
    <n v="412"/>
    <n v="0.99757869249394671"/>
    <m/>
    <m/>
    <m/>
    <m/>
    <x v="0"/>
    <x v="0"/>
    <m/>
    <m/>
    <m/>
    <x v="0"/>
    <x v="0"/>
  </r>
  <r>
    <x v="49"/>
    <x v="46"/>
    <x v="17"/>
    <n v="21"/>
    <n v="3"/>
    <n v="31.6"/>
    <n v="663.6"/>
    <n v="664"/>
    <n v="1992"/>
    <n v="1.0006027727546714"/>
    <n v="1"/>
    <n v="1E-3"/>
    <m/>
    <m/>
    <n v="0"/>
    <n v="664"/>
    <n v="1"/>
    <m/>
    <m/>
    <m/>
    <m/>
    <x v="0"/>
    <x v="0"/>
    <m/>
    <m/>
    <m/>
    <x v="0"/>
    <x v="0"/>
  </r>
  <r>
    <x v="50"/>
    <x v="68"/>
    <x v="67"/>
    <n v="4"/>
    <n v="0.45"/>
    <n v="359"/>
    <n v="1436"/>
    <n v="1436"/>
    <n v="646.20000000000005"/>
    <n v="1"/>
    <n v="1"/>
    <n v="0"/>
    <m/>
    <m/>
    <n v="8"/>
    <n v="1428"/>
    <n v="0.99442896935933145"/>
    <m/>
    <m/>
    <m/>
    <m/>
    <x v="0"/>
    <x v="0"/>
    <m/>
    <m/>
    <m/>
    <x v="0"/>
    <x v="0"/>
  </r>
  <r>
    <x v="50"/>
    <x v="68"/>
    <x v="68"/>
    <n v="4"/>
    <n v="0.22"/>
    <n v="697"/>
    <n v="2788"/>
    <n v="2788"/>
    <n v="613.36"/>
    <n v="1"/>
    <n v="1"/>
    <n v="0"/>
    <m/>
    <m/>
    <n v="11"/>
    <n v="2777"/>
    <n v="0.99605451936872313"/>
    <m/>
    <m/>
    <m/>
    <m/>
    <x v="0"/>
    <x v="0"/>
    <m/>
    <m/>
    <m/>
    <x v="0"/>
    <x v="0"/>
  </r>
  <r>
    <x v="50"/>
    <x v="43"/>
    <x v="41"/>
    <n v="16"/>
    <n v="0.26"/>
    <n v="584.29999999999995"/>
    <n v="9348.7999999999993"/>
    <n v="9368"/>
    <n v="2435.6800000000003"/>
    <n v="1.0020537395173712"/>
    <n v="1"/>
    <n v="2E-3"/>
    <m/>
    <m/>
    <n v="16"/>
    <n v="9352"/>
    <n v="0.99829205807002563"/>
    <m/>
    <m/>
    <m/>
    <m/>
    <x v="0"/>
    <x v="0"/>
    <m/>
    <m/>
    <m/>
    <x v="0"/>
    <x v="0"/>
  </r>
  <r>
    <x v="50"/>
    <x v="45"/>
    <x v="10"/>
    <n v="8"/>
    <n v="6"/>
    <n v="26.4"/>
    <n v="211.2"/>
    <n v="201"/>
    <n v="1206"/>
    <n v="0.95170454545454553"/>
    <n v="1"/>
    <n v="-4.8000000000000001E-2"/>
    <m/>
    <m/>
    <n v="1"/>
    <n v="200"/>
    <n v="0.99502487562189057"/>
    <m/>
    <m/>
    <m/>
    <m/>
    <x v="0"/>
    <x v="0"/>
    <m/>
    <m/>
    <m/>
    <x v="0"/>
    <x v="0"/>
  </r>
  <r>
    <x v="50"/>
    <x v="3"/>
    <x v="3"/>
    <n v="32"/>
    <n v="4.5"/>
    <n v="36.299999999999997"/>
    <n v="1161.5999999999999"/>
    <n v="1177"/>
    <n v="5296.5"/>
    <n v="1.0132575757575759"/>
    <n v="1"/>
    <n v="1.2999999999999999E-2"/>
    <m/>
    <m/>
    <n v="0"/>
    <n v="1177"/>
    <n v="1"/>
    <m/>
    <m/>
    <m/>
    <m/>
    <x v="0"/>
    <x v="0"/>
    <m/>
    <m/>
    <m/>
    <x v="0"/>
    <x v="0"/>
  </r>
  <r>
    <x v="50"/>
    <x v="11"/>
    <x v="11"/>
    <n v="44.55"/>
    <n v="2.8"/>
    <n v="44.5"/>
    <n v="1982.4749999999999"/>
    <n v="2006"/>
    <n v="5616.7999999999993"/>
    <n v="1.011866480031274"/>
    <n v="1"/>
    <n v="1.2E-2"/>
    <m/>
    <m/>
    <n v="1"/>
    <n v="2005"/>
    <n v="0.99950149551345957"/>
    <m/>
    <m/>
    <m/>
    <m/>
    <x v="0"/>
    <x v="0"/>
    <m/>
    <m/>
    <m/>
    <x v="0"/>
    <x v="0"/>
  </r>
  <r>
    <x v="50"/>
    <x v="29"/>
    <x v="27"/>
    <n v="7.45"/>
    <n v="18"/>
    <n v="6.7"/>
    <n v="49.914999999999999"/>
    <n v="50"/>
    <n v="900"/>
    <n v="1.0017028949213664"/>
    <n v="1"/>
    <n v="2E-3"/>
    <m/>
    <m/>
    <n v="0"/>
    <n v="50"/>
    <n v="1"/>
    <m/>
    <m/>
    <m/>
    <m/>
    <x v="0"/>
    <x v="0"/>
    <m/>
    <m/>
    <m/>
    <x v="0"/>
    <x v="0"/>
  </r>
  <r>
    <x v="51"/>
    <x v="20"/>
    <x v="20"/>
    <n v="8"/>
    <n v="6"/>
    <n v="25"/>
    <n v="200"/>
    <n v="198"/>
    <n v="1188"/>
    <n v="0.99"/>
    <n v="1"/>
    <n v="-0.01"/>
    <m/>
    <m/>
    <n v="1"/>
    <n v="197"/>
    <n v="0.99494949494949492"/>
    <m/>
    <m/>
    <m/>
    <m/>
    <x v="0"/>
    <x v="0"/>
    <m/>
    <m/>
    <m/>
    <x v="0"/>
    <x v="0"/>
  </r>
  <r>
    <x v="51"/>
    <x v="69"/>
    <x v="2"/>
    <n v="32"/>
    <n v="6"/>
    <n v="25.5"/>
    <n v="816"/>
    <n v="815"/>
    <n v="4890"/>
    <n v="0.99877450980392157"/>
    <n v="1"/>
    <n v="-1E-3"/>
    <m/>
    <m/>
    <n v="3"/>
    <n v="812"/>
    <n v="0.996319018404908"/>
    <m/>
    <m/>
    <m/>
    <m/>
    <x v="0"/>
    <x v="0"/>
    <m/>
    <m/>
    <m/>
    <x v="0"/>
    <x v="0"/>
  </r>
  <r>
    <x v="51"/>
    <x v="17"/>
    <x v="17"/>
    <n v="21"/>
    <n v="3"/>
    <n v="29.7"/>
    <n v="623.69999999999993"/>
    <n v="632"/>
    <n v="1896"/>
    <n v="1.0133076799743468"/>
    <n v="1"/>
    <n v="1.2999999999999999E-2"/>
    <m/>
    <m/>
    <n v="0"/>
    <n v="632"/>
    <n v="1"/>
    <m/>
    <m/>
    <m/>
    <m/>
    <x v="0"/>
    <x v="0"/>
    <m/>
    <m/>
    <m/>
    <x v="0"/>
    <x v="0"/>
  </r>
  <r>
    <x v="51"/>
    <x v="55"/>
    <x v="48"/>
    <n v="44"/>
    <n v="18"/>
    <n v="6.9"/>
    <n v="303.60000000000002"/>
    <n v="305"/>
    <n v="5490"/>
    <n v="1.0046113306982871"/>
    <n v="1"/>
    <n v="5.0000000000000001E-3"/>
    <m/>
    <m/>
    <n v="0"/>
    <n v="305"/>
    <n v="1"/>
    <m/>
    <m/>
    <m/>
    <m/>
    <x v="0"/>
    <x v="0"/>
    <m/>
    <m/>
    <m/>
    <x v="0"/>
    <x v="0"/>
  </r>
  <r>
    <x v="52"/>
    <x v="47"/>
    <x v="42"/>
    <n v="12"/>
    <n v="6"/>
    <n v="25.6"/>
    <n v="307.20000000000005"/>
    <n v="303"/>
    <n v="1818"/>
    <n v="0.98632812499999989"/>
    <n v="1"/>
    <n v="-1.4E-2"/>
    <m/>
    <m/>
    <n v="1"/>
    <n v="302"/>
    <n v="0.99669966996699666"/>
    <m/>
    <m/>
    <m/>
    <m/>
    <x v="0"/>
    <x v="0"/>
    <m/>
    <m/>
    <m/>
    <x v="0"/>
    <x v="0"/>
  </r>
  <r>
    <x v="52"/>
    <x v="2"/>
    <x v="2"/>
    <n v="30"/>
    <n v="6"/>
    <n v="26.6"/>
    <n v="798"/>
    <n v="790"/>
    <n v="4740"/>
    <n v="0.9899749373433584"/>
    <n v="1"/>
    <n v="-0.01"/>
    <m/>
    <m/>
    <n v="2"/>
    <n v="788"/>
    <n v="0.99746835443037973"/>
    <m/>
    <m/>
    <m/>
    <m/>
    <x v="0"/>
    <x v="0"/>
    <m/>
    <m/>
    <m/>
    <x v="0"/>
    <x v="0"/>
  </r>
  <r>
    <x v="52"/>
    <x v="53"/>
    <x v="46"/>
    <n v="3"/>
    <n v="4.5"/>
    <n v="34.5"/>
    <n v="103.5"/>
    <n v="103"/>
    <n v="463.5"/>
    <n v="0.99516908212560384"/>
    <n v="1"/>
    <n v="-5.0000000000000001E-3"/>
    <m/>
    <m/>
    <n v="0"/>
    <n v="103"/>
    <n v="1"/>
    <m/>
    <m/>
    <m/>
    <m/>
    <x v="0"/>
    <x v="0"/>
    <m/>
    <m/>
    <m/>
    <x v="0"/>
    <x v="0"/>
  </r>
  <r>
    <x v="52"/>
    <x v="77"/>
    <x v="69"/>
    <n v="3"/>
    <n v="4.5"/>
    <n v="32.9"/>
    <n v="98.699999999999989"/>
    <n v="99"/>
    <n v="445.5"/>
    <n v="1.0030395136778116"/>
    <n v="1"/>
    <n v="3.0000000000000001E-3"/>
    <m/>
    <m/>
    <n v="0"/>
    <n v="99"/>
    <n v="1"/>
    <m/>
    <m/>
    <m/>
    <m/>
    <x v="0"/>
    <x v="0"/>
    <m/>
    <m/>
    <m/>
    <x v="0"/>
    <x v="0"/>
  </r>
  <r>
    <x v="52"/>
    <x v="67"/>
    <x v="58"/>
    <n v="12"/>
    <n v="4.5"/>
    <n v="33.200000000000003"/>
    <n v="398.40000000000003"/>
    <n v="400"/>
    <n v="1800"/>
    <n v="1.0040160642570279"/>
    <n v="1"/>
    <n v="4.0000000000000001E-3"/>
    <m/>
    <m/>
    <n v="0"/>
    <n v="400"/>
    <n v="1"/>
    <m/>
    <m/>
    <m/>
    <m/>
    <x v="0"/>
    <x v="0"/>
    <m/>
    <m/>
    <m/>
    <x v="0"/>
    <x v="0"/>
  </r>
  <r>
    <x v="52"/>
    <x v="50"/>
    <x v="44"/>
    <n v="12"/>
    <n v="4.5"/>
    <n v="36.799999999999997"/>
    <n v="441.59999999999997"/>
    <n v="444"/>
    <n v="1998"/>
    <n v="1.0054347826086958"/>
    <n v="1"/>
    <n v="5.0000000000000001E-3"/>
    <m/>
    <m/>
    <n v="0"/>
    <n v="444"/>
    <n v="1"/>
    <m/>
    <m/>
    <m/>
    <m/>
    <x v="0"/>
    <x v="0"/>
    <m/>
    <m/>
    <m/>
    <x v="0"/>
    <x v="0"/>
  </r>
  <r>
    <x v="52"/>
    <x v="11"/>
    <x v="11"/>
    <n v="52"/>
    <n v="2.8"/>
    <n v="44.5"/>
    <n v="2314"/>
    <n v="2329"/>
    <n v="6521.2"/>
    <n v="1.0064822817631807"/>
    <n v="1"/>
    <n v="6.0000000000000001E-3"/>
    <m/>
    <m/>
    <n v="2"/>
    <n v="2327"/>
    <n v="0.99914126234435385"/>
    <m/>
    <m/>
    <m/>
    <m/>
    <x v="0"/>
    <x v="0"/>
    <m/>
    <m/>
    <m/>
    <x v="0"/>
    <x v="0"/>
  </r>
  <r>
    <x v="53"/>
    <x v="21"/>
    <x v="21"/>
    <n v="60"/>
    <n v="3.2"/>
    <n v="46.4"/>
    <n v="2784"/>
    <n v="2769"/>
    <n v="8860.8000000000011"/>
    <n v="0.99461206896551724"/>
    <n v="1"/>
    <n v="-5.0000000000000001E-3"/>
    <m/>
    <m/>
    <n v="2"/>
    <n v="2767"/>
    <n v="0.99927771758757677"/>
    <m/>
    <m/>
    <m/>
    <m/>
    <x v="0"/>
    <x v="0"/>
    <m/>
    <m/>
    <m/>
    <x v="0"/>
    <x v="0"/>
  </r>
  <r>
    <x v="53"/>
    <x v="16"/>
    <x v="16"/>
    <n v="20"/>
    <n v="6"/>
    <n v="26.1"/>
    <n v="522"/>
    <n v="519"/>
    <n v="3114"/>
    <n v="0.99425287356321834"/>
    <n v="1"/>
    <n v="-6.0000000000000001E-3"/>
    <m/>
    <m/>
    <n v="1"/>
    <n v="518"/>
    <n v="0.9980732177263969"/>
    <m/>
    <m/>
    <m/>
    <m/>
    <x v="0"/>
    <x v="0"/>
    <m/>
    <m/>
    <m/>
    <x v="0"/>
    <x v="0"/>
  </r>
  <r>
    <x v="53"/>
    <x v="9"/>
    <x v="9"/>
    <n v="16"/>
    <n v="6"/>
    <n v="25.7"/>
    <n v="411.2"/>
    <n v="405"/>
    <n v="2430"/>
    <n v="0.9849221789883269"/>
    <n v="1"/>
    <n v="-1.4999999999999999E-2"/>
    <m/>
    <m/>
    <n v="2"/>
    <n v="403"/>
    <n v="0.99506172839506168"/>
    <m/>
    <m/>
    <m/>
    <m/>
    <x v="0"/>
    <x v="0"/>
    <m/>
    <m/>
    <m/>
    <x v="0"/>
    <x v="0"/>
  </r>
  <r>
    <x v="53"/>
    <x v="6"/>
    <x v="6"/>
    <n v="24"/>
    <n v="0.4"/>
    <n v="309.2"/>
    <n v="7420.7999999999993"/>
    <n v="7619"/>
    <n v="3047.6000000000004"/>
    <n v="1.0267087106511428"/>
    <n v="1"/>
    <n v="2.7E-2"/>
    <m/>
    <m/>
    <n v="3"/>
    <n v="7616"/>
    <n v="0.99960624753904714"/>
    <m/>
    <m/>
    <m/>
    <m/>
    <x v="0"/>
    <x v="0"/>
    <m/>
    <m/>
    <m/>
    <x v="0"/>
    <x v="0"/>
  </r>
  <r>
    <x v="53"/>
    <x v="34"/>
    <x v="32"/>
    <n v="16"/>
    <n v="0.34"/>
    <n v="358.3"/>
    <n v="5732.8"/>
    <n v="5672"/>
    <n v="1928.4800000000002"/>
    <n v="0.98939436226625732"/>
    <n v="1"/>
    <n v="-1.0999999999999999E-2"/>
    <m/>
    <m/>
    <n v="3"/>
    <n v="5669"/>
    <n v="0.99947108603667134"/>
    <m/>
    <m/>
    <m/>
    <m/>
    <x v="0"/>
    <x v="0"/>
    <m/>
    <m/>
    <m/>
    <x v="0"/>
    <x v="0"/>
  </r>
  <r>
    <x v="54"/>
    <x v="8"/>
    <x v="8"/>
    <n v="36"/>
    <n v="0.44"/>
    <n v="344"/>
    <n v="12384"/>
    <n v="12262"/>
    <n v="5395.28"/>
    <n v="0.99014857881136953"/>
    <n v="1"/>
    <n v="-0.01"/>
    <m/>
    <m/>
    <n v="17"/>
    <n v="12245"/>
    <n v="0.99861360300114177"/>
    <m/>
    <m/>
    <m/>
    <m/>
    <x v="0"/>
    <x v="0"/>
    <m/>
    <m/>
    <m/>
    <x v="0"/>
    <x v="0"/>
  </r>
  <r>
    <x v="54"/>
    <x v="18"/>
    <x v="18"/>
    <n v="16"/>
    <n v="6"/>
    <n v="26.4"/>
    <n v="422.4"/>
    <n v="420"/>
    <n v="2520"/>
    <n v="0.99431818181818188"/>
    <n v="1"/>
    <n v="-6.0000000000000001E-3"/>
    <m/>
    <m/>
    <n v="4"/>
    <n v="416"/>
    <n v="0.99047619047619051"/>
    <m/>
    <m/>
    <m/>
    <m/>
    <x v="0"/>
    <x v="0"/>
    <m/>
    <m/>
    <m/>
    <x v="0"/>
    <x v="0"/>
  </r>
  <r>
    <x v="54"/>
    <x v="9"/>
    <x v="9"/>
    <n v="24"/>
    <n v="6"/>
    <n v="25.7"/>
    <n v="616.79999999999995"/>
    <n v="610"/>
    <n v="3660"/>
    <n v="0.98897535667963687"/>
    <n v="1"/>
    <n v="-1.0999999999999999E-2"/>
    <m/>
    <m/>
    <n v="3"/>
    <n v="607"/>
    <n v="0.9950819672131147"/>
    <m/>
    <m/>
    <m/>
    <m/>
    <x v="0"/>
    <x v="0"/>
    <m/>
    <m/>
    <m/>
    <x v="0"/>
    <x v="0"/>
  </r>
  <r>
    <x v="54"/>
    <x v="11"/>
    <x v="11"/>
    <n v="6.97"/>
    <n v="2.8"/>
    <n v="44.5"/>
    <n v="310.16499999999996"/>
    <n v="304"/>
    <n v="851.19999999999993"/>
    <n v="0.98012348266245397"/>
    <n v="1"/>
    <n v="-0.02"/>
    <m/>
    <m/>
    <n v="1"/>
    <n v="303"/>
    <n v="0.99671052631578949"/>
    <m/>
    <m/>
    <m/>
    <m/>
    <x v="0"/>
    <x v="0"/>
    <m/>
    <m/>
    <m/>
    <x v="0"/>
    <x v="0"/>
  </r>
  <r>
    <x v="54"/>
    <x v="33"/>
    <x v="31"/>
    <n v="13.03"/>
    <n v="2.8"/>
    <n v="46"/>
    <n v="599.38"/>
    <n v="600"/>
    <n v="1680"/>
    <n v="1.0010344022156228"/>
    <n v="1"/>
    <n v="1E-3"/>
    <m/>
    <m/>
    <n v="0"/>
    <n v="600"/>
    <n v="1"/>
    <m/>
    <m/>
    <m/>
    <m/>
    <x v="0"/>
    <x v="0"/>
    <m/>
    <m/>
    <m/>
    <x v="0"/>
    <x v="0"/>
  </r>
  <r>
    <x v="54"/>
    <x v="61"/>
    <x v="33"/>
    <n v="28"/>
    <n v="18"/>
    <n v="6.9"/>
    <n v="193.20000000000002"/>
    <n v="190"/>
    <n v="3420"/>
    <n v="0.98343685300207029"/>
    <n v="1"/>
    <n v="-1.7000000000000001E-2"/>
    <m/>
    <m/>
    <n v="0"/>
    <n v="190"/>
    <n v="1"/>
    <m/>
    <m/>
    <m/>
    <m/>
    <x v="0"/>
    <x v="0"/>
    <m/>
    <m/>
    <m/>
    <x v="0"/>
    <x v="0"/>
  </r>
  <r>
    <x v="55"/>
    <x v="15"/>
    <x v="15"/>
    <n v="60"/>
    <n v="3.2"/>
    <n v="46.8"/>
    <n v="2808"/>
    <n v="2813"/>
    <n v="9001.6"/>
    <n v="1.0017806267806268"/>
    <n v="1"/>
    <n v="2E-3"/>
    <m/>
    <m/>
    <n v="2"/>
    <n v="2811"/>
    <n v="0.99928901528617131"/>
    <m/>
    <m/>
    <m/>
    <m/>
    <x v="0"/>
    <x v="0"/>
    <m/>
    <m/>
    <m/>
    <x v="0"/>
    <x v="0"/>
  </r>
  <r>
    <x v="55"/>
    <x v="9"/>
    <x v="9"/>
    <n v="20"/>
    <n v="6"/>
    <n v="25.7"/>
    <n v="514"/>
    <n v="506"/>
    <n v="3036"/>
    <n v="0.98443579766536971"/>
    <n v="1"/>
    <n v="-1.6E-2"/>
    <m/>
    <m/>
    <n v="3"/>
    <n v="503"/>
    <n v="0.99407114624505932"/>
    <m/>
    <m/>
    <m/>
    <m/>
    <x v="0"/>
    <x v="0"/>
    <m/>
    <m/>
    <m/>
    <x v="0"/>
    <x v="0"/>
  </r>
  <r>
    <x v="55"/>
    <x v="10"/>
    <x v="10"/>
    <n v="20"/>
    <n v="6"/>
    <n v="25.4"/>
    <n v="508"/>
    <n v="506"/>
    <n v="3036"/>
    <n v="0.99606299212598426"/>
    <n v="1"/>
    <n v="-4.0000000000000001E-3"/>
    <m/>
    <m/>
    <n v="3"/>
    <n v="503"/>
    <n v="0.99407114624505932"/>
    <m/>
    <m/>
    <m/>
    <m/>
    <x v="0"/>
    <x v="0"/>
    <m/>
    <m/>
    <m/>
    <x v="0"/>
    <x v="0"/>
  </r>
  <r>
    <x v="55"/>
    <x v="78"/>
    <x v="70"/>
    <n v="8"/>
    <n v="0.28999999999999998"/>
    <n v="388"/>
    <n v="3104"/>
    <n v="3093"/>
    <n v="896.96999999999991"/>
    <n v="0.99645618556701032"/>
    <n v="1"/>
    <n v="-4.0000000000000001E-3"/>
    <m/>
    <m/>
    <n v="3"/>
    <n v="3090"/>
    <n v="0.99903006789524729"/>
    <m/>
    <m/>
    <m/>
    <m/>
    <x v="0"/>
    <x v="0"/>
    <m/>
    <m/>
    <m/>
    <x v="0"/>
    <x v="0"/>
  </r>
  <r>
    <x v="55"/>
    <x v="24"/>
    <x v="23"/>
    <n v="4.88"/>
    <n v="0.34"/>
    <n v="366"/>
    <n v="1786.08"/>
    <n v="1812"/>
    <n v="616.08000000000004"/>
    <n v="1.014512227895727"/>
    <n v="1"/>
    <n v="1.4999999999999999E-2"/>
    <m/>
    <m/>
    <n v="3"/>
    <n v="1809"/>
    <n v="0.9983443708609272"/>
    <m/>
    <m/>
    <m/>
    <m/>
    <x v="0"/>
    <x v="0"/>
    <m/>
    <m/>
    <m/>
    <x v="0"/>
    <x v="0"/>
  </r>
  <r>
    <x v="55"/>
    <x v="25"/>
    <x v="24"/>
    <n v="7.12"/>
    <n v="0.34"/>
    <n v="366"/>
    <n v="2605.92"/>
    <n v="2640"/>
    <n v="897.6"/>
    <n v="1.013077914901455"/>
    <n v="1"/>
    <n v="1.2999999999999999E-2"/>
    <m/>
    <m/>
    <n v="0"/>
    <n v="2640"/>
    <n v="1"/>
    <m/>
    <m/>
    <m/>
    <m/>
    <x v="0"/>
    <x v="0"/>
    <m/>
    <m/>
    <m/>
    <x v="0"/>
    <x v="0"/>
  </r>
  <r>
    <x v="56"/>
    <x v="13"/>
    <x v="13"/>
    <n v="8.23"/>
    <n v="0.9"/>
    <n v="160.5"/>
    <n v="1320.915"/>
    <n v="1274"/>
    <n v="1146.6000000000001"/>
    <n v="0.96448295310447685"/>
    <n v="1"/>
    <n v="-3.5999999999999997E-2"/>
    <m/>
    <m/>
    <n v="2"/>
    <n v="1272"/>
    <n v="0.99843014128728413"/>
    <m/>
    <m/>
    <m/>
    <m/>
    <x v="0"/>
    <x v="0"/>
    <m/>
    <m/>
    <m/>
    <x v="0"/>
    <x v="0"/>
  </r>
  <r>
    <x v="56"/>
    <x v="14"/>
    <x v="14"/>
    <n v="3.77"/>
    <n v="0.9"/>
    <n v="158.69999999999999"/>
    <n v="598.29899999999998"/>
    <n v="600"/>
    <n v="540"/>
    <n v="1.0028430600753135"/>
    <n v="1"/>
    <n v="3.0000000000000001E-3"/>
    <m/>
    <m/>
    <n v="0"/>
    <n v="600"/>
    <n v="1"/>
    <m/>
    <m/>
    <m/>
    <m/>
    <x v="0"/>
    <x v="0"/>
    <m/>
    <m/>
    <m/>
    <x v="0"/>
    <x v="0"/>
  </r>
  <r>
    <x v="56"/>
    <x v="2"/>
    <x v="2"/>
    <n v="20"/>
    <n v="6"/>
    <n v="26.6"/>
    <n v="532"/>
    <n v="521"/>
    <n v="3126"/>
    <n v="0.97932330827067671"/>
    <n v="1"/>
    <n v="-2.1000000000000001E-2"/>
    <m/>
    <m/>
    <n v="2"/>
    <n v="519"/>
    <n v="0.99616122840690979"/>
    <m/>
    <m/>
    <m/>
    <m/>
    <x v="0"/>
    <x v="0"/>
    <m/>
    <m/>
    <m/>
    <x v="0"/>
    <x v="0"/>
  </r>
  <r>
    <x v="56"/>
    <x v="22"/>
    <x v="10"/>
    <n v="16"/>
    <n v="6"/>
    <n v="25.1"/>
    <n v="401.6"/>
    <n v="400"/>
    <n v="2400"/>
    <n v="0.99601593625497997"/>
    <n v="1"/>
    <n v="-4.0000000000000001E-3"/>
    <m/>
    <m/>
    <n v="1"/>
    <n v="399"/>
    <n v="0.99750000000000005"/>
    <m/>
    <m/>
    <m/>
    <m/>
    <x v="0"/>
    <x v="0"/>
    <m/>
    <m/>
    <m/>
    <x v="0"/>
    <x v="0"/>
  </r>
  <r>
    <x v="56"/>
    <x v="9"/>
    <x v="9"/>
    <n v="24"/>
    <n v="6"/>
    <n v="25.7"/>
    <n v="616.79999999999995"/>
    <n v="611"/>
    <n v="3666"/>
    <n v="0.99059662775616086"/>
    <n v="1"/>
    <n v="-8.9999999999999993E-3"/>
    <m/>
    <m/>
    <n v="3"/>
    <n v="608"/>
    <n v="0.9950900163666121"/>
    <m/>
    <m/>
    <m/>
    <m/>
    <x v="0"/>
    <x v="0"/>
    <m/>
    <m/>
    <m/>
    <x v="0"/>
    <x v="0"/>
  </r>
  <r>
    <x v="56"/>
    <x v="23"/>
    <x v="22"/>
    <n v="24"/>
    <n v="0.34"/>
    <n v="364.6"/>
    <n v="8750.4000000000015"/>
    <n v="8740"/>
    <n v="2971.6000000000004"/>
    <n v="0.99881148290363853"/>
    <n v="1"/>
    <n v="-1E-3"/>
    <m/>
    <m/>
    <n v="3"/>
    <n v="8737"/>
    <n v="0.99965675057208236"/>
    <m/>
    <m/>
    <m/>
    <m/>
    <x v="0"/>
    <x v="0"/>
    <m/>
    <m/>
    <m/>
    <x v="0"/>
    <x v="0"/>
  </r>
  <r>
    <x v="57"/>
    <x v="0"/>
    <x v="0"/>
    <n v="24"/>
    <n v="6"/>
    <n v="25.5"/>
    <n v="612"/>
    <n v="609"/>
    <n v="3654"/>
    <n v="0.99509803921568629"/>
    <n v="1"/>
    <n v="-5.0000000000000001E-3"/>
    <m/>
    <m/>
    <n v="4"/>
    <n v="605"/>
    <n v="0.99343185550082103"/>
    <m/>
    <m/>
    <m/>
    <m/>
    <x v="0"/>
    <x v="0"/>
    <m/>
    <m/>
    <m/>
    <x v="0"/>
    <x v="0"/>
  </r>
  <r>
    <x v="57"/>
    <x v="36"/>
    <x v="34"/>
    <n v="6"/>
    <n v="6"/>
    <n v="24.3"/>
    <n v="145.80000000000001"/>
    <n v="145"/>
    <n v="870"/>
    <n v="0.99451303155006854"/>
    <n v="1"/>
    <n v="-5.0000000000000001E-3"/>
    <m/>
    <m/>
    <n v="4"/>
    <n v="141"/>
    <n v="0.97241379310344822"/>
    <m/>
    <m/>
    <m/>
    <m/>
    <x v="0"/>
    <x v="0"/>
    <m/>
    <m/>
    <m/>
    <x v="0"/>
    <x v="0"/>
  </r>
  <r>
    <x v="57"/>
    <x v="1"/>
    <x v="1"/>
    <n v="6"/>
    <n v="6"/>
    <n v="25.7"/>
    <n v="154.19999999999999"/>
    <n v="146"/>
    <n v="876"/>
    <n v="0.94682230869001305"/>
    <n v="1"/>
    <n v="-5.2999999999999999E-2"/>
    <m/>
    <m/>
    <n v="1"/>
    <n v="145"/>
    <n v="0.99315068493150682"/>
    <m/>
    <m/>
    <m/>
    <m/>
    <x v="0"/>
    <x v="0"/>
    <m/>
    <m/>
    <m/>
    <x v="0"/>
    <x v="0"/>
  </r>
  <r>
    <x v="57"/>
    <x v="52"/>
    <x v="46"/>
    <n v="6"/>
    <n v="4.5"/>
    <n v="35.6"/>
    <n v="213.60000000000002"/>
    <n v="210"/>
    <n v="945"/>
    <n v="0.98314606741573018"/>
    <n v="1"/>
    <n v="-1.7000000000000001E-2"/>
    <m/>
    <m/>
    <n v="0"/>
    <n v="210"/>
    <n v="1"/>
    <m/>
    <m/>
    <m/>
    <m/>
    <x v="0"/>
    <x v="0"/>
    <m/>
    <m/>
    <m/>
    <x v="0"/>
    <x v="0"/>
  </r>
  <r>
    <x v="57"/>
    <x v="9"/>
    <x v="9"/>
    <n v="16"/>
    <n v="6"/>
    <n v="25.7"/>
    <n v="411.2"/>
    <n v="409"/>
    <n v="2454"/>
    <n v="0.99464980544747084"/>
    <n v="1"/>
    <n v="-5.0000000000000001E-3"/>
    <m/>
    <m/>
    <n v="2"/>
    <n v="407"/>
    <n v="0.99511002444987773"/>
    <m/>
    <m/>
    <m/>
    <m/>
    <x v="0"/>
    <x v="0"/>
    <m/>
    <m/>
    <m/>
    <x v="0"/>
    <x v="0"/>
  </r>
  <r>
    <x v="57"/>
    <x v="69"/>
    <x v="2"/>
    <n v="12"/>
    <n v="6"/>
    <n v="25.5"/>
    <n v="306"/>
    <n v="301"/>
    <n v="1806"/>
    <n v="0.9836601307189542"/>
    <n v="1"/>
    <n v="-1.6E-2"/>
    <m/>
    <m/>
    <n v="1"/>
    <n v="300"/>
    <n v="0.99667774086378735"/>
    <m/>
    <m/>
    <m/>
    <m/>
    <x v="0"/>
    <x v="0"/>
    <m/>
    <m/>
    <m/>
    <x v="0"/>
    <x v="0"/>
  </r>
  <r>
    <x v="57"/>
    <x v="11"/>
    <x v="11"/>
    <n v="40"/>
    <n v="2.8"/>
    <n v="44.5"/>
    <n v="1780"/>
    <n v="1807"/>
    <n v="5059.5999999999995"/>
    <n v="1.0151685393258427"/>
    <n v="1"/>
    <n v="1.4999999999999999E-2"/>
    <m/>
    <m/>
    <n v="1"/>
    <n v="1806"/>
    <n v="0.99944659656889878"/>
    <m/>
    <m/>
    <m/>
    <m/>
    <x v="0"/>
    <x v="0"/>
    <m/>
    <m/>
    <m/>
    <x v="0"/>
    <x v="0"/>
  </r>
  <r>
    <x v="57"/>
    <x v="7"/>
    <x v="7"/>
    <n v="12"/>
    <n v="0.9"/>
    <n v="139.30000000000001"/>
    <n v="1671.6000000000001"/>
    <n v="1638"/>
    <n v="1474.2"/>
    <n v="0.9798994974874371"/>
    <n v="1"/>
    <n v="-0.02"/>
    <m/>
    <m/>
    <n v="2"/>
    <n v="1636"/>
    <n v="0.99877899877899878"/>
    <m/>
    <m/>
    <m/>
    <m/>
    <x v="0"/>
    <x v="0"/>
    <m/>
    <m/>
    <m/>
    <x v="0"/>
    <x v="0"/>
  </r>
  <r>
    <x v="58"/>
    <x v="16"/>
    <x v="16"/>
    <n v="20"/>
    <n v="6"/>
    <n v="26.1"/>
    <n v="522"/>
    <n v="520"/>
    <n v="3120"/>
    <n v="0.99616858237547889"/>
    <n v="1"/>
    <n v="-4.0000000000000001E-3"/>
    <m/>
    <m/>
    <n v="2"/>
    <n v="518"/>
    <n v="0.99615384615384617"/>
    <m/>
    <m/>
    <m/>
    <m/>
    <x v="0"/>
    <x v="0"/>
    <m/>
    <m/>
    <m/>
    <x v="0"/>
    <x v="0"/>
  </r>
  <r>
    <x v="58"/>
    <x v="9"/>
    <x v="9"/>
    <n v="20"/>
    <n v="6"/>
    <n v="25.7"/>
    <n v="514"/>
    <n v="515"/>
    <n v="3090"/>
    <n v="1.0019455252918288"/>
    <n v="1"/>
    <n v="2E-3"/>
    <m/>
    <m/>
    <n v="4"/>
    <n v="511"/>
    <n v="0.99223300970873785"/>
    <m/>
    <m/>
    <m/>
    <m/>
    <x v="0"/>
    <x v="0"/>
    <m/>
    <m/>
    <m/>
    <x v="0"/>
    <x v="0"/>
  </r>
  <r>
    <x v="58"/>
    <x v="17"/>
    <x v="17"/>
    <n v="21"/>
    <n v="3"/>
    <n v="29.7"/>
    <n v="623.69999999999993"/>
    <n v="628"/>
    <n v="1884"/>
    <n v="1.0068943402276738"/>
    <n v="1"/>
    <n v="7.0000000000000001E-3"/>
    <m/>
    <m/>
    <n v="0"/>
    <n v="628"/>
    <n v="1"/>
    <m/>
    <m/>
    <m/>
    <m/>
    <x v="0"/>
    <x v="0"/>
    <m/>
    <m/>
    <m/>
    <x v="0"/>
    <x v="0"/>
  </r>
  <r>
    <x v="58"/>
    <x v="11"/>
    <x v="11"/>
    <n v="52"/>
    <n v="2.8"/>
    <n v="44.5"/>
    <n v="2314"/>
    <n v="2348"/>
    <n v="6574.4"/>
    <n v="1.0146931719965429"/>
    <n v="1"/>
    <n v="1.4999999999999999E-2"/>
    <m/>
    <m/>
    <n v="1"/>
    <n v="2347"/>
    <n v="0.99957410562180582"/>
    <m/>
    <m/>
    <m/>
    <m/>
    <x v="0"/>
    <x v="0"/>
    <m/>
    <m/>
    <m/>
    <x v="0"/>
    <x v="0"/>
  </r>
  <r>
    <x v="59"/>
    <x v="3"/>
    <x v="3"/>
    <n v="32"/>
    <n v="4.5"/>
    <n v="36.299999999999997"/>
    <n v="1161.5999999999999"/>
    <n v="1120"/>
    <n v="5040"/>
    <n v="0.96418732782369154"/>
    <n v="1"/>
    <n v="-3.5999999999999997E-2"/>
    <m/>
    <m/>
    <n v="0"/>
    <n v="1120"/>
    <n v="1"/>
    <m/>
    <m/>
    <m/>
    <m/>
    <x v="0"/>
    <x v="0"/>
    <m/>
    <m/>
    <m/>
    <x v="0"/>
    <x v="0"/>
  </r>
  <r>
    <x v="59"/>
    <x v="46"/>
    <x v="17"/>
    <n v="21"/>
    <n v="3"/>
    <n v="31.6"/>
    <n v="663.6"/>
    <n v="668"/>
    <n v="2004"/>
    <n v="1.0066305003013862"/>
    <n v="1"/>
    <n v="7.0000000000000001E-3"/>
    <m/>
    <m/>
    <n v="0"/>
    <n v="668"/>
    <n v="1"/>
    <m/>
    <m/>
    <m/>
    <m/>
    <x v="0"/>
    <x v="0"/>
    <m/>
    <m/>
    <m/>
    <x v="0"/>
    <x v="0"/>
  </r>
  <r>
    <x v="59"/>
    <x v="79"/>
    <x v="71"/>
    <n v="8"/>
    <n v="8"/>
    <n v="19.600000000000001"/>
    <n v="156.80000000000001"/>
    <n v="156"/>
    <n v="1248"/>
    <n v="0.99489795918367341"/>
    <n v="1"/>
    <n v="-5.0000000000000001E-3"/>
    <m/>
    <m/>
    <n v="0"/>
    <n v="156"/>
    <n v="1"/>
    <m/>
    <m/>
    <m/>
    <m/>
    <x v="0"/>
    <x v="0"/>
    <m/>
    <m/>
    <m/>
    <x v="0"/>
    <x v="0"/>
  </r>
  <r>
    <x v="60"/>
    <x v="8"/>
    <x v="8"/>
    <n v="20"/>
    <n v="0.44"/>
    <n v="344"/>
    <n v="6880"/>
    <n v="6695"/>
    <n v="2945.8"/>
    <n v="0.97311046511627908"/>
    <n v="1"/>
    <n v="-2.7E-2"/>
    <m/>
    <m/>
    <n v="5"/>
    <n v="6690"/>
    <n v="0.99925317401045555"/>
    <m/>
    <m/>
    <m/>
    <m/>
    <x v="0"/>
    <x v="0"/>
    <m/>
    <m/>
    <m/>
    <x v="0"/>
    <x v="0"/>
  </r>
  <r>
    <x v="60"/>
    <x v="49"/>
    <x v="43"/>
    <n v="12"/>
    <n v="0.43"/>
    <n v="364"/>
    <n v="4368"/>
    <n v="4216"/>
    <n v="1812.8799999999999"/>
    <n v="0.96520146520146521"/>
    <n v="1"/>
    <n v="-3.5000000000000003E-2"/>
    <m/>
    <m/>
    <n v="6"/>
    <n v="4210"/>
    <n v="0.99857685009487662"/>
    <m/>
    <m/>
    <m/>
    <m/>
    <x v="0"/>
    <x v="0"/>
    <m/>
    <m/>
    <m/>
    <x v="0"/>
    <x v="0"/>
  </r>
  <r>
    <x v="60"/>
    <x v="28"/>
    <x v="19"/>
    <n v="24"/>
    <n v="6"/>
    <n v="25.5"/>
    <n v="612"/>
    <n v="611"/>
    <n v="3666"/>
    <n v="0.99836601307189543"/>
    <n v="1"/>
    <n v="-2E-3"/>
    <m/>
    <m/>
    <n v="7"/>
    <n v="604"/>
    <n v="0.98854337152209493"/>
    <m/>
    <m/>
    <m/>
    <m/>
    <x v="0"/>
    <x v="0"/>
    <m/>
    <m/>
    <m/>
    <x v="0"/>
    <x v="0"/>
  </r>
  <r>
    <x v="60"/>
    <x v="80"/>
    <x v="72"/>
    <n v="16"/>
    <n v="6"/>
    <n v="25.3"/>
    <n v="404.8"/>
    <n v="406"/>
    <n v="2436"/>
    <n v="1.0029644268774702"/>
    <n v="1"/>
    <n v="3.0000000000000001E-3"/>
    <m/>
    <m/>
    <n v="1"/>
    <n v="405"/>
    <n v="0.99753694581280783"/>
    <m/>
    <m/>
    <m/>
    <m/>
    <x v="0"/>
    <x v="0"/>
    <m/>
    <m/>
    <m/>
    <x v="0"/>
    <x v="0"/>
  </r>
  <r>
    <x v="60"/>
    <x v="35"/>
    <x v="33"/>
    <n v="16"/>
    <n v="18"/>
    <n v="6.6"/>
    <n v="105.6"/>
    <n v="106"/>
    <n v="1908"/>
    <n v="1.0037878787878789"/>
    <n v="1"/>
    <n v="4.0000000000000001E-3"/>
    <m/>
    <m/>
    <n v="0"/>
    <n v="106"/>
    <n v="1"/>
    <m/>
    <m/>
    <m/>
    <m/>
    <x v="0"/>
    <x v="0"/>
    <m/>
    <m/>
    <m/>
    <x v="0"/>
    <x v="0"/>
  </r>
  <r>
    <x v="60"/>
    <x v="11"/>
    <x v="11"/>
    <n v="28"/>
    <n v="2.8"/>
    <n v="44.5"/>
    <n v="1246"/>
    <n v="1276"/>
    <n v="3572.7999999999997"/>
    <n v="1.0240770465489566"/>
    <n v="1"/>
    <n v="2.4E-2"/>
    <m/>
    <m/>
    <n v="1"/>
    <n v="1275"/>
    <n v="0.9992163009404389"/>
    <m/>
    <m/>
    <m/>
    <m/>
    <x v="0"/>
    <x v="0"/>
    <m/>
    <m/>
    <m/>
    <x v="0"/>
    <x v="0"/>
  </r>
  <r>
    <x v="61"/>
    <x v="69"/>
    <x v="2"/>
    <n v="24"/>
    <n v="6"/>
    <n v="25.5"/>
    <n v="612"/>
    <n v="609"/>
    <n v="3654"/>
    <n v="0.99509803921568629"/>
    <n v="1"/>
    <n v="-5.0000000000000001E-3"/>
    <m/>
    <m/>
    <n v="4"/>
    <n v="605"/>
    <n v="0.99343185550082103"/>
    <m/>
    <m/>
    <m/>
    <m/>
    <x v="0"/>
    <x v="0"/>
    <m/>
    <m/>
    <m/>
    <x v="0"/>
    <x v="0"/>
  </r>
  <r>
    <x v="61"/>
    <x v="22"/>
    <x v="10"/>
    <n v="16"/>
    <n v="6"/>
    <n v="25.1"/>
    <n v="401.6"/>
    <n v="386"/>
    <n v="2316"/>
    <n v="0.9611553784860557"/>
    <n v="1"/>
    <n v="-3.9E-2"/>
    <m/>
    <m/>
    <n v="4"/>
    <n v="382"/>
    <n v="0.98963730569948183"/>
    <m/>
    <m/>
    <m/>
    <m/>
    <x v="0"/>
    <x v="0"/>
    <m/>
    <m/>
    <m/>
    <x v="0"/>
    <x v="0"/>
  </r>
  <r>
    <x v="61"/>
    <x v="48"/>
    <x v="17"/>
    <n v="18"/>
    <n v="3"/>
    <n v="30.8"/>
    <n v="554.4"/>
    <n v="552"/>
    <n v="1656"/>
    <n v="0.99567099567099571"/>
    <n v="1"/>
    <n v="-4.0000000000000001E-3"/>
    <m/>
    <m/>
    <n v="0"/>
    <n v="552"/>
    <n v="1"/>
    <m/>
    <m/>
    <m/>
    <m/>
    <x v="0"/>
    <x v="0"/>
    <m/>
    <m/>
    <m/>
    <x v="0"/>
    <x v="0"/>
  </r>
  <r>
    <x v="61"/>
    <x v="55"/>
    <x v="48"/>
    <n v="60"/>
    <n v="18"/>
    <n v="6.9"/>
    <n v="414"/>
    <n v="280"/>
    <n v="5040"/>
    <n v="0.67632850241545894"/>
    <n v="1"/>
    <n v="-0.32400000000000001"/>
    <m/>
    <m/>
    <n v="0"/>
    <n v="280"/>
    <n v="1"/>
    <m/>
    <m/>
    <m/>
    <m/>
    <x v="0"/>
    <x v="0"/>
    <m/>
    <m/>
    <m/>
    <x v="0"/>
    <x v="0"/>
  </r>
  <r>
    <x v="62"/>
    <x v="15"/>
    <x v="15"/>
    <n v="60"/>
    <n v="3.2"/>
    <n v="46.8"/>
    <n v="2808"/>
    <n v="2800"/>
    <n v="8960"/>
    <n v="0.9971509971509972"/>
    <n v="1"/>
    <n v="-3.0000000000000001E-3"/>
    <m/>
    <m/>
    <n v="2"/>
    <n v="2798"/>
    <n v="0.99928571428571433"/>
    <m/>
    <m/>
    <m/>
    <m/>
    <x v="0"/>
    <x v="0"/>
    <m/>
    <m/>
    <m/>
    <x v="0"/>
    <x v="0"/>
  </r>
  <r>
    <x v="62"/>
    <x v="10"/>
    <x v="10"/>
    <n v="20"/>
    <n v="6"/>
    <n v="25.4"/>
    <n v="508"/>
    <n v="512"/>
    <n v="3072"/>
    <n v="1.0078740157480315"/>
    <n v="1"/>
    <n v="8.0000000000000002E-3"/>
    <m/>
    <m/>
    <n v="3"/>
    <n v="509"/>
    <n v="0.994140625"/>
    <m/>
    <m/>
    <m/>
    <m/>
    <x v="0"/>
    <x v="0"/>
    <m/>
    <m/>
    <m/>
    <x v="0"/>
    <x v="0"/>
  </r>
  <r>
    <x v="62"/>
    <x v="59"/>
    <x v="52"/>
    <n v="8"/>
    <n v="4.5"/>
    <n v="34.9"/>
    <n v="279.2"/>
    <n v="280"/>
    <n v="1260"/>
    <n v="1.002865329512894"/>
    <n v="1"/>
    <n v="3.0000000000000001E-3"/>
    <m/>
    <m/>
    <n v="0"/>
    <n v="280"/>
    <n v="1"/>
    <m/>
    <m/>
    <m/>
    <m/>
    <x v="0"/>
    <x v="0"/>
    <m/>
    <m/>
    <m/>
    <x v="0"/>
    <x v="0"/>
  </r>
  <r>
    <x v="62"/>
    <x v="4"/>
    <x v="4"/>
    <n v="12"/>
    <n v="4.5"/>
    <n v="34.5"/>
    <n v="414"/>
    <n v="414"/>
    <n v="1863"/>
    <n v="1"/>
    <n v="1"/>
    <n v="0"/>
    <m/>
    <m/>
    <n v="0"/>
    <n v="414"/>
    <n v="1"/>
    <m/>
    <m/>
    <m/>
    <m/>
    <x v="0"/>
    <x v="0"/>
    <m/>
    <m/>
    <m/>
    <x v="0"/>
    <x v="0"/>
  </r>
  <r>
    <x v="62"/>
    <x v="11"/>
    <x v="11"/>
    <n v="48"/>
    <n v="2.8"/>
    <n v="44.5"/>
    <n v="2136"/>
    <n v="1954"/>
    <n v="5471.2"/>
    <n v="0.91479400749063666"/>
    <n v="1"/>
    <n v="-8.5000000000000006E-2"/>
    <m/>
    <m/>
    <n v="1"/>
    <n v="1953"/>
    <n v="0.99948822927328562"/>
    <m/>
    <m/>
    <m/>
    <m/>
    <x v="0"/>
    <x v="0"/>
    <m/>
    <m/>
    <m/>
    <x v="0"/>
    <x v="0"/>
  </r>
  <r>
    <x v="63"/>
    <x v="81"/>
    <x v="73"/>
    <n v="6"/>
    <n v="0.4"/>
    <n v="366.4"/>
    <n v="2198.3999999999996"/>
    <n v="2180"/>
    <n v="872"/>
    <n v="0.99163027656477454"/>
    <n v="1"/>
    <n v="-8.0000000000000002E-3"/>
    <m/>
    <m/>
    <n v="11"/>
    <n v="2169"/>
    <n v="0.99495412844036701"/>
    <m/>
    <m/>
    <m/>
    <m/>
    <x v="0"/>
    <x v="0"/>
    <m/>
    <m/>
    <m/>
    <x v="0"/>
    <x v="0"/>
  </r>
  <r>
    <x v="63"/>
    <x v="43"/>
    <x v="41"/>
    <n v="12"/>
    <n v="0.26"/>
    <n v="584.29999999999995"/>
    <n v="7011.5999999999995"/>
    <n v="6788"/>
    <n v="1764.88"/>
    <n v="0.96810998916081925"/>
    <n v="1"/>
    <n v="-3.2000000000000001E-2"/>
    <m/>
    <m/>
    <n v="12"/>
    <n v="6776"/>
    <n v="0.99823217442545664"/>
    <m/>
    <m/>
    <m/>
    <m/>
    <x v="0"/>
    <x v="0"/>
    <m/>
    <m/>
    <m/>
    <x v="0"/>
    <x v="0"/>
  </r>
  <r>
    <x v="63"/>
    <x v="44"/>
    <x v="41"/>
    <n v="4"/>
    <n v="0.26"/>
    <n v="592"/>
    <n v="2368"/>
    <n v="2396"/>
    <n v="622.96"/>
    <n v="1.0118243243243243"/>
    <n v="1"/>
    <n v="1.2E-2"/>
    <m/>
    <m/>
    <n v="8"/>
    <n v="2388"/>
    <n v="0.996661101836394"/>
    <m/>
    <m/>
    <m/>
    <m/>
    <x v="0"/>
    <x v="0"/>
    <m/>
    <m/>
    <m/>
    <x v="0"/>
    <x v="0"/>
  </r>
  <r>
    <x v="63"/>
    <x v="19"/>
    <x v="19"/>
    <n v="12"/>
    <n v="6"/>
    <n v="25.5"/>
    <n v="306"/>
    <n v="305"/>
    <n v="1830"/>
    <n v="0.99673202614379086"/>
    <n v="1"/>
    <n v="-3.0000000000000001E-3"/>
    <m/>
    <m/>
    <n v="1"/>
    <n v="304"/>
    <n v="0.99672131147540988"/>
    <m/>
    <m/>
    <m/>
    <m/>
    <x v="0"/>
    <x v="0"/>
    <m/>
    <m/>
    <m/>
    <x v="0"/>
    <x v="0"/>
  </r>
  <r>
    <x v="63"/>
    <x v="20"/>
    <x v="20"/>
    <n v="8"/>
    <n v="6"/>
    <n v="25"/>
    <n v="200"/>
    <n v="200"/>
    <n v="1200"/>
    <n v="1"/>
    <n v="1"/>
    <n v="0"/>
    <m/>
    <m/>
    <n v="2"/>
    <n v="198"/>
    <n v="0.99"/>
    <m/>
    <m/>
    <m/>
    <m/>
    <x v="0"/>
    <x v="0"/>
    <m/>
    <m/>
    <m/>
    <x v="0"/>
    <x v="0"/>
  </r>
  <r>
    <x v="63"/>
    <x v="9"/>
    <x v="9"/>
    <n v="20"/>
    <n v="6"/>
    <n v="25.7"/>
    <n v="514"/>
    <n v="514"/>
    <n v="3084"/>
    <n v="1"/>
    <n v="1"/>
    <n v="0"/>
    <m/>
    <m/>
    <n v="3"/>
    <n v="511"/>
    <n v="0.99416342412451364"/>
    <m/>
    <m/>
    <m/>
    <m/>
    <x v="0"/>
    <x v="0"/>
    <m/>
    <m/>
    <m/>
    <x v="0"/>
    <x v="0"/>
  </r>
  <r>
    <x v="63"/>
    <x v="11"/>
    <x v="11"/>
    <n v="48"/>
    <n v="2.8"/>
    <n v="44.5"/>
    <n v="2136"/>
    <n v="2141"/>
    <n v="5994.7999999999993"/>
    <n v="1.0023408239700375"/>
    <n v="1"/>
    <n v="2E-3"/>
    <m/>
    <m/>
    <n v="1"/>
    <n v="2140"/>
    <n v="0.9995329285380663"/>
    <m/>
    <m/>
    <m/>
    <m/>
    <x v="0"/>
    <x v="0"/>
    <m/>
    <m/>
    <m/>
    <x v="0"/>
    <x v="0"/>
  </r>
  <r>
    <x v="64"/>
    <x v="21"/>
    <x v="21"/>
    <n v="32"/>
    <n v="3.2"/>
    <n v="46.4"/>
    <n v="1484.8"/>
    <n v="1477"/>
    <n v="4726.4000000000005"/>
    <n v="0.99474676724137934"/>
    <n v="1"/>
    <n v="-5.0000000000000001E-3"/>
    <m/>
    <m/>
    <n v="1"/>
    <n v="1476"/>
    <n v="0.99932295192958698"/>
    <m/>
    <m/>
    <m/>
    <m/>
    <x v="0"/>
    <x v="0"/>
    <m/>
    <m/>
    <m/>
    <x v="0"/>
    <x v="0"/>
  </r>
  <r>
    <x v="64"/>
    <x v="2"/>
    <x v="2"/>
    <n v="24"/>
    <n v="6"/>
    <n v="26.6"/>
    <n v="638.40000000000009"/>
    <n v="636"/>
    <n v="3816"/>
    <n v="0.99624060150375926"/>
    <n v="1"/>
    <n v="-4.0000000000000001E-3"/>
    <m/>
    <m/>
    <n v="2"/>
    <n v="634"/>
    <n v="0.99685534591194969"/>
    <m/>
    <m/>
    <m/>
    <m/>
    <x v="0"/>
    <x v="0"/>
    <m/>
    <m/>
    <m/>
    <x v="0"/>
    <x v="0"/>
  </r>
  <r>
    <x v="64"/>
    <x v="18"/>
    <x v="18"/>
    <n v="12"/>
    <n v="6"/>
    <n v="26.4"/>
    <n v="316.79999999999995"/>
    <n v="317"/>
    <n v="1902"/>
    <n v="1.0006313131313134"/>
    <n v="1"/>
    <n v="1E-3"/>
    <m/>
    <m/>
    <n v="2"/>
    <n v="315"/>
    <n v="0.99369085173501581"/>
    <m/>
    <m/>
    <m/>
    <m/>
    <x v="0"/>
    <x v="0"/>
    <m/>
    <m/>
    <m/>
    <x v="0"/>
    <x v="0"/>
  </r>
  <r>
    <x v="64"/>
    <x v="9"/>
    <x v="9"/>
    <n v="16"/>
    <n v="6"/>
    <n v="25.7"/>
    <n v="411.2"/>
    <n v="410"/>
    <n v="2460"/>
    <n v="0.99708171206225682"/>
    <n v="1"/>
    <n v="-3.0000000000000001E-3"/>
    <m/>
    <m/>
    <n v="2"/>
    <n v="408"/>
    <n v="0.99512195121951219"/>
    <m/>
    <m/>
    <m/>
    <m/>
    <x v="0"/>
    <x v="0"/>
    <m/>
    <m/>
    <m/>
    <x v="0"/>
    <x v="0"/>
  </r>
  <r>
    <x v="64"/>
    <x v="32"/>
    <x v="30"/>
    <n v="12"/>
    <n v="6"/>
    <n v="25.2"/>
    <n v="302.39999999999998"/>
    <n v="300"/>
    <n v="1800"/>
    <n v="0.99206349206349209"/>
    <n v="1"/>
    <n v="-8.0000000000000002E-3"/>
    <m/>
    <m/>
    <n v="1"/>
    <n v="299"/>
    <n v="0.9966666666666667"/>
    <m/>
    <m/>
    <m/>
    <m/>
    <x v="0"/>
    <x v="0"/>
    <m/>
    <m/>
    <m/>
    <x v="0"/>
    <x v="0"/>
  </r>
  <r>
    <x v="64"/>
    <x v="11"/>
    <x v="11"/>
    <n v="48"/>
    <n v="2.8"/>
    <n v="44.5"/>
    <n v="2136"/>
    <n v="2149"/>
    <n v="6017.2"/>
    <n v="1.0060861423220975"/>
    <n v="1"/>
    <n v="6.0000000000000001E-3"/>
    <m/>
    <m/>
    <n v="1"/>
    <n v="2148"/>
    <n v="0.99953466728711027"/>
    <m/>
    <m/>
    <m/>
    <m/>
    <x v="0"/>
    <x v="0"/>
    <m/>
    <m/>
    <m/>
    <x v="0"/>
    <x v="0"/>
  </r>
  <r>
    <x v="65"/>
    <x v="15"/>
    <x v="15"/>
    <n v="60"/>
    <n v="3.2"/>
    <n v="46.8"/>
    <n v="2808"/>
    <n v="2813"/>
    <n v="9001.6"/>
    <n v="1.0017806267806268"/>
    <n v="1"/>
    <n v="2E-3"/>
    <m/>
    <m/>
    <n v="2"/>
    <n v="2811"/>
    <n v="0.99928901528617131"/>
    <m/>
    <m/>
    <m/>
    <m/>
    <x v="0"/>
    <x v="0"/>
    <m/>
    <m/>
    <m/>
    <x v="0"/>
    <x v="0"/>
  </r>
  <r>
    <x v="65"/>
    <x v="69"/>
    <x v="2"/>
    <n v="24"/>
    <n v="6"/>
    <n v="25.5"/>
    <n v="612"/>
    <n v="620"/>
    <n v="3720"/>
    <n v="1.0130718954248366"/>
    <n v="1"/>
    <n v="1.2999999999999999E-2"/>
    <m/>
    <m/>
    <n v="1"/>
    <n v="619"/>
    <n v="0.99838709677419357"/>
    <m/>
    <m/>
    <m/>
    <m/>
    <x v="0"/>
    <x v="0"/>
    <m/>
    <m/>
    <m/>
    <x v="0"/>
    <x v="0"/>
  </r>
  <r>
    <x v="65"/>
    <x v="16"/>
    <x v="16"/>
    <n v="12"/>
    <n v="6"/>
    <n v="26.1"/>
    <n v="313.20000000000005"/>
    <n v="314"/>
    <n v="1884"/>
    <n v="1.0025542784163473"/>
    <n v="1"/>
    <n v="3.0000000000000001E-3"/>
    <m/>
    <m/>
    <n v="2"/>
    <n v="312"/>
    <n v="0.99363057324840764"/>
    <m/>
    <m/>
    <m/>
    <m/>
    <x v="0"/>
    <x v="0"/>
    <m/>
    <m/>
    <m/>
    <x v="0"/>
    <x v="0"/>
  </r>
  <r>
    <x v="65"/>
    <x v="11"/>
    <x v="11"/>
    <n v="48"/>
    <n v="2.8"/>
    <n v="44.5"/>
    <n v="2136"/>
    <n v="2140"/>
    <n v="5992"/>
    <n v="1.0018726591760299"/>
    <n v="1"/>
    <n v="2E-3"/>
    <m/>
    <m/>
    <n v="1"/>
    <n v="2139"/>
    <n v="0.99953271028037383"/>
    <m/>
    <m/>
    <m/>
    <m/>
    <x v="0"/>
    <x v="0"/>
    <m/>
    <m/>
    <m/>
    <x v="0"/>
    <x v="0"/>
  </r>
  <r>
    <x v="66"/>
    <x v="13"/>
    <x v="13"/>
    <n v="16"/>
    <n v="0.9"/>
    <n v="160.5"/>
    <n v="2568"/>
    <n v="2535"/>
    <n v="2281.5"/>
    <n v="0.98714953271028039"/>
    <n v="1"/>
    <n v="-1.2999999999999999E-2"/>
    <m/>
    <m/>
    <n v="3"/>
    <n v="2532"/>
    <n v="0.99881656804733732"/>
    <m/>
    <m/>
    <m/>
    <m/>
    <x v="0"/>
    <x v="0"/>
    <m/>
    <m/>
    <m/>
    <x v="0"/>
    <x v="0"/>
  </r>
  <r>
    <x v="66"/>
    <x v="26"/>
    <x v="25"/>
    <n v="12"/>
    <n v="0.9"/>
    <n v="163"/>
    <n v="1956"/>
    <n v="1884"/>
    <n v="1695.6000000000001"/>
    <n v="0.96319018404907975"/>
    <n v="1"/>
    <n v="-3.6999999999999998E-2"/>
    <m/>
    <m/>
    <n v="2"/>
    <n v="1882"/>
    <n v="0.99893842887473461"/>
    <m/>
    <m/>
    <m/>
    <m/>
    <x v="0"/>
    <x v="0"/>
    <m/>
    <m/>
    <m/>
    <x v="0"/>
    <x v="0"/>
  </r>
  <r>
    <x v="66"/>
    <x v="50"/>
    <x v="44"/>
    <n v="24"/>
    <n v="4.5"/>
    <n v="36.799999999999997"/>
    <n v="883.19999999999993"/>
    <n v="889"/>
    <n v="4000.5"/>
    <n v="1.0065670289855073"/>
    <n v="1"/>
    <n v="7.0000000000000001E-3"/>
    <m/>
    <m/>
    <n v="0"/>
    <n v="889"/>
    <n v="1"/>
    <m/>
    <m/>
    <m/>
    <m/>
    <x v="0"/>
    <x v="0"/>
    <m/>
    <m/>
    <m/>
    <x v="0"/>
    <x v="0"/>
  </r>
  <r>
    <x v="66"/>
    <x v="10"/>
    <x v="10"/>
    <n v="12"/>
    <n v="6"/>
    <n v="25.4"/>
    <n v="304.79999999999995"/>
    <n v="300"/>
    <n v="1800"/>
    <n v="0.98425196850393715"/>
    <n v="1"/>
    <n v="-1.6E-2"/>
    <m/>
    <m/>
    <n v="2"/>
    <n v="298"/>
    <n v="0.99333333333333329"/>
    <m/>
    <m/>
    <m/>
    <m/>
    <x v="0"/>
    <x v="0"/>
    <m/>
    <m/>
    <m/>
    <x v="0"/>
    <x v="0"/>
  </r>
  <r>
    <x v="66"/>
    <x v="17"/>
    <x v="17"/>
    <n v="18"/>
    <n v="3"/>
    <n v="29.7"/>
    <n v="534.6"/>
    <n v="540"/>
    <n v="1620"/>
    <n v="1.0101010101010102"/>
    <n v="1"/>
    <n v="0.01"/>
    <m/>
    <m/>
    <n v="0"/>
    <n v="540"/>
    <n v="1"/>
    <m/>
    <m/>
    <m/>
    <m/>
    <x v="0"/>
    <x v="0"/>
    <m/>
    <m/>
    <m/>
    <x v="0"/>
    <x v="0"/>
  </r>
  <r>
    <x v="67"/>
    <x v="15"/>
    <x v="15"/>
    <n v="60"/>
    <n v="3.2"/>
    <n v="46.8"/>
    <n v="2808"/>
    <n v="2810"/>
    <n v="8992"/>
    <n v="1.0007122507122508"/>
    <n v="1"/>
    <n v="1E-3"/>
    <m/>
    <m/>
    <n v="2"/>
    <n v="2808"/>
    <n v="0.99928825622775797"/>
    <m/>
    <m/>
    <m/>
    <m/>
    <x v="0"/>
    <x v="0"/>
    <m/>
    <m/>
    <m/>
    <x v="0"/>
    <x v="0"/>
  </r>
  <r>
    <x v="67"/>
    <x v="20"/>
    <x v="20"/>
    <n v="8"/>
    <n v="6"/>
    <n v="25"/>
    <n v="200"/>
    <n v="198"/>
    <n v="1188"/>
    <n v="0.99"/>
    <n v="1"/>
    <n v="-0.01"/>
    <m/>
    <m/>
    <n v="1"/>
    <n v="197"/>
    <n v="0.99494949494949492"/>
    <m/>
    <m/>
    <m/>
    <m/>
    <x v="0"/>
    <x v="0"/>
    <m/>
    <m/>
    <m/>
    <x v="0"/>
    <x v="0"/>
  </r>
  <r>
    <x v="67"/>
    <x v="9"/>
    <x v="9"/>
    <n v="28"/>
    <n v="6"/>
    <n v="25.7"/>
    <n v="719.6"/>
    <n v="717"/>
    <n v="4302"/>
    <n v="0.9963868816008894"/>
    <n v="1"/>
    <n v="-4.0000000000000001E-3"/>
    <m/>
    <m/>
    <n v="5"/>
    <n v="712"/>
    <n v="0.99302649930264997"/>
    <m/>
    <m/>
    <m/>
    <m/>
    <x v="0"/>
    <x v="0"/>
    <m/>
    <m/>
    <m/>
    <x v="0"/>
    <x v="0"/>
  </r>
  <r>
    <x v="67"/>
    <x v="41"/>
    <x v="39"/>
    <n v="20"/>
    <n v="2.8"/>
    <n v="44.2"/>
    <n v="884"/>
    <n v="891"/>
    <n v="2494.7999999999997"/>
    <n v="1.0079185520361991"/>
    <n v="1"/>
    <n v="8.0000000000000002E-3"/>
    <m/>
    <m/>
    <n v="1"/>
    <n v="890"/>
    <n v="0.99887766554433222"/>
    <m/>
    <m/>
    <m/>
    <m/>
    <x v="0"/>
    <x v="0"/>
    <m/>
    <m/>
    <m/>
    <x v="0"/>
    <x v="0"/>
  </r>
  <r>
    <x v="67"/>
    <x v="23"/>
    <x v="22"/>
    <n v="20"/>
    <n v="0.34"/>
    <n v="364.6"/>
    <n v="7292"/>
    <n v="7181"/>
    <n v="2441.54"/>
    <n v="0.98477783872737246"/>
    <n v="1"/>
    <n v="-1.4999999999999999E-2"/>
    <m/>
    <m/>
    <n v="6"/>
    <n v="7175"/>
    <n v="0.99916446177412621"/>
    <m/>
    <m/>
    <m/>
    <m/>
    <x v="0"/>
    <x v="0"/>
    <m/>
    <m/>
    <m/>
    <x v="0"/>
    <x v="0"/>
  </r>
  <r>
    <x v="68"/>
    <x v="8"/>
    <x v="8"/>
    <n v="24"/>
    <n v="0.44"/>
    <n v="344"/>
    <n v="8256"/>
    <n v="8105"/>
    <n v="3566.2"/>
    <n v="0.98171027131782951"/>
    <n v="1"/>
    <n v="-1.7999999999999999E-2"/>
    <m/>
    <m/>
    <n v="5"/>
    <n v="8100"/>
    <n v="0.99938309685379401"/>
    <m/>
    <m/>
    <m/>
    <m/>
    <x v="0"/>
    <x v="0"/>
    <m/>
    <m/>
    <m/>
    <x v="0"/>
    <x v="0"/>
  </r>
  <r>
    <x v="68"/>
    <x v="30"/>
    <x v="28"/>
    <n v="8"/>
    <n v="0.43"/>
    <n v="340.4"/>
    <n v="2723.2"/>
    <n v="2653"/>
    <n v="1140.79"/>
    <n v="0.9742215041128085"/>
    <n v="1"/>
    <n v="-2.5999999999999999E-2"/>
    <m/>
    <m/>
    <n v="11"/>
    <n v="2642"/>
    <n v="0.99585375047116476"/>
    <m/>
    <m/>
    <m/>
    <m/>
    <x v="0"/>
    <x v="0"/>
    <m/>
    <m/>
    <m/>
    <x v="0"/>
    <x v="0"/>
  </r>
  <r>
    <x v="68"/>
    <x v="80"/>
    <x v="72"/>
    <n v="8"/>
    <n v="6"/>
    <n v="25.3"/>
    <n v="202.4"/>
    <n v="200"/>
    <n v="1200"/>
    <n v="0.98814229249011853"/>
    <n v="1"/>
    <n v="-1.2E-2"/>
    <m/>
    <m/>
    <n v="1"/>
    <n v="199"/>
    <n v="0.995"/>
    <m/>
    <m/>
    <m/>
    <m/>
    <x v="0"/>
    <x v="0"/>
    <m/>
    <m/>
    <m/>
    <x v="0"/>
    <x v="0"/>
  </r>
  <r>
    <x v="68"/>
    <x v="9"/>
    <x v="9"/>
    <n v="28"/>
    <n v="6"/>
    <n v="25.7"/>
    <n v="719.6"/>
    <n v="720"/>
    <n v="4320"/>
    <n v="1.0005558643690939"/>
    <n v="1"/>
    <n v="1E-3"/>
    <m/>
    <m/>
    <n v="4"/>
    <n v="716"/>
    <n v="0.99444444444444446"/>
    <m/>
    <m/>
    <m/>
    <m/>
    <x v="0"/>
    <x v="0"/>
    <m/>
    <m/>
    <m/>
    <x v="0"/>
    <x v="0"/>
  </r>
  <r>
    <x v="68"/>
    <x v="48"/>
    <x v="17"/>
    <n v="18"/>
    <n v="3"/>
    <n v="30.8"/>
    <n v="554.4"/>
    <n v="556"/>
    <n v="1668"/>
    <n v="1.0028860028860029"/>
    <n v="1"/>
    <n v="3.0000000000000001E-3"/>
    <m/>
    <m/>
    <n v="0"/>
    <n v="556"/>
    <n v="1"/>
    <m/>
    <m/>
    <m/>
    <m/>
    <x v="0"/>
    <x v="0"/>
    <m/>
    <m/>
    <m/>
    <x v="0"/>
    <x v="0"/>
  </r>
  <r>
    <x v="69"/>
    <x v="0"/>
    <x v="0"/>
    <n v="18"/>
    <n v="6"/>
    <n v="25.5"/>
    <n v="459"/>
    <n v="450"/>
    <n v="2700"/>
    <n v="0.98039215686274506"/>
    <n v="1"/>
    <n v="-0.02"/>
    <m/>
    <m/>
    <n v="1"/>
    <n v="449"/>
    <n v="0.99777777777777776"/>
    <m/>
    <m/>
    <m/>
    <m/>
    <x v="0"/>
    <x v="0"/>
    <m/>
    <m/>
    <m/>
    <x v="0"/>
    <x v="0"/>
  </r>
  <r>
    <x v="69"/>
    <x v="47"/>
    <x v="42"/>
    <n v="18"/>
    <n v="6"/>
    <n v="25.6"/>
    <n v="460.8"/>
    <n v="463"/>
    <n v="2778"/>
    <n v="1.0047743055555556"/>
    <n v="1"/>
    <n v="5.0000000000000001E-3"/>
    <m/>
    <m/>
    <n v="2"/>
    <n v="461"/>
    <n v="0.99568034557235419"/>
    <m/>
    <m/>
    <m/>
    <m/>
    <x v="0"/>
    <x v="0"/>
    <m/>
    <m/>
    <m/>
    <x v="0"/>
    <x v="0"/>
  </r>
  <r>
    <x v="69"/>
    <x v="6"/>
    <x v="6"/>
    <n v="20"/>
    <n v="0.4"/>
    <n v="309.2"/>
    <n v="6184"/>
    <n v="6109"/>
    <n v="2443.6"/>
    <n v="0.98787192755498054"/>
    <n v="1"/>
    <n v="-1.2E-2"/>
    <m/>
    <m/>
    <n v="3"/>
    <n v="6106"/>
    <n v="0.99950892126370927"/>
    <m/>
    <m/>
    <m/>
    <m/>
    <x v="0"/>
    <x v="0"/>
    <m/>
    <m/>
    <m/>
    <x v="0"/>
    <x v="0"/>
  </r>
  <r>
    <x v="70"/>
    <x v="15"/>
    <x v="15"/>
    <n v="60"/>
    <n v="3.2"/>
    <n v="46.8"/>
    <n v="2808"/>
    <n v="2813"/>
    <n v="9001.6"/>
    <n v="1.0017806267806268"/>
    <n v="1"/>
    <n v="2E-3"/>
    <m/>
    <m/>
    <n v="2"/>
    <n v="2811"/>
    <n v="0.99928901528617131"/>
    <m/>
    <m/>
    <m/>
    <m/>
    <x v="0"/>
    <x v="0"/>
    <m/>
    <m/>
    <m/>
    <x v="0"/>
    <x v="0"/>
  </r>
  <r>
    <x v="70"/>
    <x v="73"/>
    <x v="63"/>
    <n v="4"/>
    <n v="4.5"/>
    <n v="35"/>
    <n v="140"/>
    <n v="141"/>
    <n v="634.5"/>
    <n v="1.0071428571428571"/>
    <n v="1"/>
    <n v="7.0000000000000001E-3"/>
    <m/>
    <m/>
    <n v="0"/>
    <n v="141"/>
    <n v="1"/>
    <m/>
    <m/>
    <m/>
    <m/>
    <x v="0"/>
    <x v="0"/>
    <m/>
    <m/>
    <m/>
    <x v="0"/>
    <x v="0"/>
  </r>
  <r>
    <x v="70"/>
    <x v="51"/>
    <x v="45"/>
    <n v="8"/>
    <n v="9.08"/>
    <n v="17.8"/>
    <n v="142.4"/>
    <n v="145"/>
    <n v="1316.6"/>
    <n v="1.018258426966292"/>
    <n v="1"/>
    <n v="1.7999999999999999E-2"/>
    <m/>
    <m/>
    <n v="0"/>
    <n v="145"/>
    <n v="1"/>
    <m/>
    <m/>
    <s v="不用換線"/>
    <m/>
    <x v="0"/>
    <x v="0"/>
    <m/>
    <m/>
    <m/>
    <x v="0"/>
    <x v="0"/>
  </r>
  <r>
    <x v="70"/>
    <x v="9"/>
    <x v="9"/>
    <n v="24"/>
    <n v="6"/>
    <n v="25.7"/>
    <n v="616.79999999999995"/>
    <n v="616"/>
    <n v="3696"/>
    <n v="0.99870298313878092"/>
    <n v="1"/>
    <n v="-1E-3"/>
    <m/>
    <m/>
    <n v="3"/>
    <n v="613"/>
    <n v="0.99512987012987009"/>
    <m/>
    <m/>
    <m/>
    <m/>
    <x v="0"/>
    <x v="0"/>
    <m/>
    <m/>
    <m/>
    <x v="0"/>
    <x v="0"/>
  </r>
  <r>
    <x v="70"/>
    <x v="64"/>
    <x v="55"/>
    <n v="12"/>
    <n v="0.28999999999999998"/>
    <n v="412.6"/>
    <n v="4951.2000000000007"/>
    <n v="4990"/>
    <n v="1447.1"/>
    <n v="1.0078364840846663"/>
    <n v="1"/>
    <n v="8.0000000000000002E-3"/>
    <m/>
    <m/>
    <n v="5"/>
    <n v="4985"/>
    <n v="0.99899799599198402"/>
    <m/>
    <m/>
    <m/>
    <m/>
    <x v="0"/>
    <x v="0"/>
    <m/>
    <m/>
    <m/>
    <x v="0"/>
    <x v="0"/>
  </r>
  <r>
    <x v="70"/>
    <x v="24"/>
    <x v="23"/>
    <n v="12"/>
    <n v="0.34"/>
    <n v="366"/>
    <n v="4392"/>
    <n v="4577"/>
    <n v="1556.18"/>
    <n v="1.0421220400728597"/>
    <n v="1"/>
    <n v="4.2000000000000003E-2"/>
    <m/>
    <m/>
    <n v="3"/>
    <n v="4574"/>
    <n v="0.99934454883111212"/>
    <m/>
    <m/>
    <m/>
    <m/>
    <x v="0"/>
    <x v="0"/>
    <m/>
    <m/>
    <m/>
    <x v="0"/>
    <x v="0"/>
  </r>
  <r>
    <x v="71"/>
    <x v="2"/>
    <x v="2"/>
    <n v="36"/>
    <n v="6"/>
    <n v="26.6"/>
    <n v="957.6"/>
    <n v="944"/>
    <n v="5664"/>
    <n v="0.98579782790309101"/>
    <n v="1"/>
    <n v="-1.4E-2"/>
    <m/>
    <m/>
    <n v="2"/>
    <n v="942"/>
    <n v="0.9978813559322034"/>
    <m/>
    <m/>
    <m/>
    <m/>
    <x v="0"/>
    <x v="0"/>
    <m/>
    <m/>
    <m/>
    <x v="0"/>
    <x v="0"/>
  </r>
  <r>
    <x v="71"/>
    <x v="32"/>
    <x v="30"/>
    <n v="20"/>
    <n v="6"/>
    <n v="25.2"/>
    <n v="504"/>
    <n v="508"/>
    <n v="3048"/>
    <n v="1.0079365079365079"/>
    <n v="1"/>
    <n v="8.0000000000000002E-3"/>
    <m/>
    <m/>
    <n v="1"/>
    <n v="507"/>
    <n v="0.99803149606299213"/>
    <m/>
    <m/>
    <m/>
    <m/>
    <x v="0"/>
    <x v="0"/>
    <m/>
    <m/>
    <m/>
    <x v="0"/>
    <x v="0"/>
  </r>
  <r>
    <x v="71"/>
    <x v="10"/>
    <x v="10"/>
    <n v="20"/>
    <n v="6"/>
    <n v="25.4"/>
    <n v="508"/>
    <n v="515"/>
    <n v="3090"/>
    <n v="1.0137795275590551"/>
    <n v="1"/>
    <n v="1.4E-2"/>
    <m/>
    <m/>
    <n v="3"/>
    <n v="512"/>
    <n v="0.99417475728155336"/>
    <m/>
    <m/>
    <m/>
    <m/>
    <x v="0"/>
    <x v="0"/>
    <m/>
    <m/>
    <m/>
    <x v="0"/>
    <x v="0"/>
  </r>
  <r>
    <x v="71"/>
    <x v="46"/>
    <x v="17"/>
    <n v="18"/>
    <n v="3"/>
    <n v="31.6"/>
    <n v="568.80000000000007"/>
    <n v="568"/>
    <n v="1704"/>
    <n v="0.99859353023909969"/>
    <n v="1"/>
    <n v="-1E-3"/>
    <m/>
    <m/>
    <n v="0"/>
    <n v="568"/>
    <n v="1"/>
    <m/>
    <m/>
    <m/>
    <m/>
    <x v="0"/>
    <x v="0"/>
    <m/>
    <m/>
    <m/>
    <x v="0"/>
    <x v="0"/>
  </r>
  <r>
    <x v="72"/>
    <x v="71"/>
    <x v="61"/>
    <n v="8"/>
    <n v="0.17"/>
    <n v="912.6"/>
    <n v="7300.8"/>
    <n v="7047"/>
    <n v="1197.99"/>
    <n v="0.96523668639053251"/>
    <n v="1"/>
    <n v="-3.5000000000000003E-2"/>
    <m/>
    <m/>
    <n v="4"/>
    <n v="7043"/>
    <n v="0.99943238257414502"/>
    <m/>
    <m/>
    <m/>
    <m/>
    <x v="0"/>
    <x v="0"/>
    <m/>
    <m/>
    <m/>
    <x v="0"/>
    <x v="0"/>
  </r>
  <r>
    <x v="72"/>
    <x v="43"/>
    <x v="41"/>
    <n v="16"/>
    <n v="0.26"/>
    <n v="584.29999999999995"/>
    <n v="9348.7999999999993"/>
    <n v="9318"/>
    <n v="2422.6800000000003"/>
    <n v="0.99670545952421707"/>
    <n v="1"/>
    <n v="-3.0000000000000001E-3"/>
    <m/>
    <m/>
    <n v="75"/>
    <n v="9243"/>
    <n v="0.99195106245975528"/>
    <m/>
    <m/>
    <m/>
    <m/>
    <x v="0"/>
    <x v="0"/>
    <m/>
    <m/>
    <m/>
    <x v="0"/>
    <x v="0"/>
  </r>
  <r>
    <x v="72"/>
    <x v="22"/>
    <x v="10"/>
    <n v="20"/>
    <n v="6"/>
    <n v="25.1"/>
    <n v="502"/>
    <n v="503"/>
    <n v="3018"/>
    <n v="1.00199203187251"/>
    <n v="1"/>
    <n v="2E-3"/>
    <m/>
    <m/>
    <n v="1"/>
    <n v="502"/>
    <n v="0.99801192842942343"/>
    <m/>
    <m/>
    <m/>
    <m/>
    <x v="0"/>
    <x v="0"/>
    <m/>
    <m/>
    <m/>
    <x v="0"/>
    <x v="0"/>
  </r>
  <r>
    <x v="72"/>
    <x v="18"/>
    <x v="18"/>
    <n v="20"/>
    <n v="6"/>
    <n v="26.4"/>
    <n v="528"/>
    <n v="536"/>
    <n v="3216"/>
    <n v="1.0151515151515151"/>
    <n v="1"/>
    <n v="1.4999999999999999E-2"/>
    <m/>
    <m/>
    <n v="1"/>
    <n v="535"/>
    <n v="0.99813432835820892"/>
    <m/>
    <m/>
    <m/>
    <m/>
    <x v="0"/>
    <x v="0"/>
    <m/>
    <m/>
    <m/>
    <x v="0"/>
    <x v="0"/>
  </r>
  <r>
    <x v="72"/>
    <x v="41"/>
    <x v="39"/>
    <n v="52"/>
    <n v="2.8"/>
    <n v="44.2"/>
    <n v="2298.4"/>
    <n v="2183"/>
    <n v="6112.4"/>
    <n v="0.94979115906717715"/>
    <n v="1"/>
    <n v="-0.05"/>
    <m/>
    <m/>
    <n v="1"/>
    <n v="2182"/>
    <n v="0.99954191479615206"/>
    <m/>
    <m/>
    <m/>
    <m/>
    <x v="0"/>
    <x v="0"/>
    <m/>
    <m/>
    <m/>
    <x v="0"/>
    <x v="0"/>
  </r>
  <r>
    <x v="73"/>
    <x v="15"/>
    <x v="15"/>
    <n v="60"/>
    <n v="3.2"/>
    <n v="46.8"/>
    <n v="2808"/>
    <n v="2812"/>
    <n v="8998.4"/>
    <n v="1.0014245014245013"/>
    <n v="1"/>
    <n v="1E-3"/>
    <m/>
    <m/>
    <n v="2"/>
    <n v="2810"/>
    <n v="0.99928876244665721"/>
    <m/>
    <m/>
    <m/>
    <m/>
    <x v="0"/>
    <x v="0"/>
    <m/>
    <m/>
    <m/>
    <x v="0"/>
    <x v="0"/>
  </r>
  <r>
    <x v="73"/>
    <x v="22"/>
    <x v="10"/>
    <n v="16"/>
    <n v="6"/>
    <n v="25.1"/>
    <n v="401.6"/>
    <n v="403"/>
    <n v="2418"/>
    <n v="1.0034860557768923"/>
    <n v="1"/>
    <n v="3.0000000000000001E-3"/>
    <m/>
    <m/>
    <n v="1"/>
    <n v="402"/>
    <n v="0.9975186104218362"/>
    <m/>
    <m/>
    <m/>
    <m/>
    <x v="0"/>
    <x v="0"/>
    <m/>
    <m/>
    <m/>
    <x v="0"/>
    <x v="0"/>
  </r>
  <r>
    <x v="73"/>
    <x v="10"/>
    <x v="10"/>
    <n v="24"/>
    <n v="6"/>
    <n v="25.4"/>
    <n v="609.59999999999991"/>
    <n v="619"/>
    <n v="3714"/>
    <n v="1.0154199475065617"/>
    <n v="1"/>
    <n v="1.4999999999999999E-2"/>
    <m/>
    <m/>
    <n v="3"/>
    <n v="616"/>
    <n v="0.99515347334410342"/>
    <m/>
    <m/>
    <m/>
    <m/>
    <x v="0"/>
    <x v="0"/>
    <m/>
    <m/>
    <m/>
    <x v="0"/>
    <x v="0"/>
  </r>
  <r>
    <x v="73"/>
    <x v="17"/>
    <x v="17"/>
    <n v="18"/>
    <n v="3"/>
    <n v="29.7"/>
    <n v="534.6"/>
    <n v="540"/>
    <n v="1620"/>
    <n v="1.0101010101010102"/>
    <n v="1"/>
    <n v="0.01"/>
    <m/>
    <m/>
    <n v="0"/>
    <n v="540"/>
    <n v="1"/>
    <m/>
    <m/>
    <m/>
    <m/>
    <x v="0"/>
    <x v="0"/>
    <m/>
    <m/>
    <m/>
    <x v="0"/>
    <x v="0"/>
  </r>
  <r>
    <x v="74"/>
    <x v="2"/>
    <x v="2"/>
    <n v="39"/>
    <n v="6"/>
    <n v="26.6"/>
    <n v="1037.4000000000001"/>
    <n v="1033"/>
    <n v="6198"/>
    <n v="0.99575862733757459"/>
    <n v="1"/>
    <n v="-4.0000000000000001E-3"/>
    <m/>
    <m/>
    <n v="1"/>
    <n v="1032"/>
    <n v="0.99903194578896415"/>
    <m/>
    <m/>
    <m/>
    <m/>
    <x v="0"/>
    <x v="0"/>
    <m/>
    <m/>
    <m/>
    <x v="0"/>
    <x v="0"/>
  </r>
  <r>
    <x v="74"/>
    <x v="3"/>
    <x v="3"/>
    <n v="44"/>
    <n v="4.5"/>
    <n v="36.299999999999997"/>
    <n v="1597.1999999999998"/>
    <n v="1677"/>
    <n v="7546.5"/>
    <n v="1.0499624342599549"/>
    <n v="1"/>
    <n v="0.05"/>
    <m/>
    <m/>
    <n v="0"/>
    <n v="1677"/>
    <n v="1"/>
    <m/>
    <n v="200"/>
    <s v="(加重工C1020(1130409-01A)"/>
    <m/>
    <x v="0"/>
    <x v="0"/>
    <m/>
    <m/>
    <m/>
    <x v="0"/>
    <x v="0"/>
  </r>
  <r>
    <x v="74"/>
    <x v="17"/>
    <x v="17"/>
    <n v="18"/>
    <n v="3"/>
    <n v="29.7"/>
    <n v="534.6"/>
    <n v="536"/>
    <n v="1608"/>
    <n v="1.0026187803965581"/>
    <n v="1"/>
    <n v="3.0000000000000001E-3"/>
    <m/>
    <m/>
    <n v="0"/>
    <n v="536"/>
    <n v="1"/>
    <m/>
    <m/>
    <m/>
    <m/>
    <x v="0"/>
    <x v="0"/>
    <m/>
    <m/>
    <m/>
    <x v="0"/>
    <x v="0"/>
  </r>
  <r>
    <x v="75"/>
    <x v="27"/>
    <x v="26"/>
    <n v="28"/>
    <n v="3.2"/>
    <n v="47.5"/>
    <n v="1330"/>
    <n v="1328"/>
    <n v="4249.6000000000004"/>
    <n v="0.99849624060150377"/>
    <n v="1"/>
    <n v="-2E-3"/>
    <m/>
    <m/>
    <n v="1"/>
    <n v="1327"/>
    <n v="0.99924698795180722"/>
    <m/>
    <m/>
    <m/>
    <m/>
    <x v="0"/>
    <x v="0"/>
    <m/>
    <m/>
    <m/>
    <x v="0"/>
    <x v="0"/>
  </r>
  <r>
    <x v="75"/>
    <x v="21"/>
    <x v="21"/>
    <n v="28"/>
    <n v="3.2"/>
    <n v="46.4"/>
    <n v="1299.2"/>
    <n v="1298"/>
    <n v="4153.6000000000004"/>
    <n v="0.99907635467980294"/>
    <n v="1"/>
    <n v="-1E-3"/>
    <m/>
    <m/>
    <n v="2"/>
    <n v="1296"/>
    <n v="0.99845916795069334"/>
    <m/>
    <m/>
    <m/>
    <m/>
    <x v="0"/>
    <x v="0"/>
    <m/>
    <m/>
    <m/>
    <x v="0"/>
    <x v="0"/>
  </r>
  <r>
    <x v="75"/>
    <x v="10"/>
    <x v="10"/>
    <n v="12"/>
    <n v="6"/>
    <n v="25.4"/>
    <n v="304.79999999999995"/>
    <n v="303"/>
    <n v="1818"/>
    <n v="0.9940944881889765"/>
    <n v="1"/>
    <n v="-6.0000000000000001E-3"/>
    <m/>
    <m/>
    <n v="2"/>
    <n v="301"/>
    <n v="0.99339933993399343"/>
    <m/>
    <m/>
    <m/>
    <m/>
    <x v="0"/>
    <x v="0"/>
    <m/>
    <m/>
    <m/>
    <x v="0"/>
    <x v="0"/>
  </r>
  <r>
    <x v="75"/>
    <x v="9"/>
    <x v="9"/>
    <n v="28"/>
    <n v="6"/>
    <n v="25.7"/>
    <n v="719.6"/>
    <n v="717"/>
    <n v="4302"/>
    <n v="0.9963868816008894"/>
    <n v="1"/>
    <n v="-4.0000000000000001E-3"/>
    <m/>
    <m/>
    <n v="4"/>
    <n v="713"/>
    <n v="0.99442119944211993"/>
    <m/>
    <m/>
    <m/>
    <m/>
    <x v="0"/>
    <x v="0"/>
    <m/>
    <m/>
    <m/>
    <x v="0"/>
    <x v="0"/>
  </r>
  <r>
    <x v="75"/>
    <x v="11"/>
    <x v="11"/>
    <n v="60"/>
    <n v="2.8"/>
    <n v="44.5"/>
    <n v="2670"/>
    <n v="2682"/>
    <n v="7509.5999999999995"/>
    <n v="1.0044943820224719"/>
    <n v="1"/>
    <n v="4.0000000000000001E-3"/>
    <m/>
    <m/>
    <n v="1"/>
    <n v="2681"/>
    <n v="0.99962714392244589"/>
    <m/>
    <m/>
    <m/>
    <m/>
    <x v="0"/>
    <x v="0"/>
    <m/>
    <m/>
    <m/>
    <x v="0"/>
    <x v="0"/>
  </r>
  <r>
    <x v="76"/>
    <x v="8"/>
    <x v="8"/>
    <n v="40"/>
    <n v="0.44"/>
    <n v="344"/>
    <n v="13760"/>
    <n v="13860"/>
    <n v="6098.4"/>
    <n v="1.007267441860465"/>
    <n v="1"/>
    <n v="7.0000000000000001E-3"/>
    <m/>
    <m/>
    <n v="13"/>
    <n v="13847"/>
    <n v="0.9990620490620491"/>
    <m/>
    <m/>
    <m/>
    <m/>
    <x v="0"/>
    <x v="0"/>
    <m/>
    <m/>
    <m/>
    <x v="0"/>
    <x v="0"/>
  </r>
  <r>
    <x v="76"/>
    <x v="80"/>
    <x v="72"/>
    <n v="8"/>
    <n v="6"/>
    <n v="25.3"/>
    <n v="202.4"/>
    <n v="204"/>
    <n v="1224"/>
    <n v="1.0079051383399209"/>
    <n v="1"/>
    <n v="8.0000000000000002E-3"/>
    <m/>
    <m/>
    <n v="1"/>
    <n v="203"/>
    <n v="0.99509803921568629"/>
    <m/>
    <m/>
    <m/>
    <m/>
    <x v="0"/>
    <x v="0"/>
    <m/>
    <m/>
    <m/>
    <x v="0"/>
    <x v="0"/>
  </r>
  <r>
    <x v="76"/>
    <x v="9"/>
    <x v="9"/>
    <n v="32"/>
    <n v="6"/>
    <n v="25.7"/>
    <n v="822.4"/>
    <n v="817"/>
    <n v="4902"/>
    <n v="0.99343385214007784"/>
    <n v="1"/>
    <n v="-7.0000000000000001E-3"/>
    <m/>
    <m/>
    <n v="6"/>
    <n v="811"/>
    <n v="0.99265605875152996"/>
    <m/>
    <m/>
    <m/>
    <m/>
    <x v="0"/>
    <x v="0"/>
    <m/>
    <m/>
    <m/>
    <x v="0"/>
    <x v="0"/>
  </r>
  <r>
    <x v="76"/>
    <x v="55"/>
    <x v="48"/>
    <n v="28"/>
    <n v="18"/>
    <n v="6.9"/>
    <n v="193.20000000000002"/>
    <n v="200"/>
    <n v="3600"/>
    <n v="1.0351966873706002"/>
    <n v="1"/>
    <n v="3.5000000000000003E-2"/>
    <m/>
    <m/>
    <n v="1"/>
    <n v="199"/>
    <n v="0.995"/>
    <m/>
    <m/>
    <m/>
    <m/>
    <x v="0"/>
    <x v="0"/>
    <m/>
    <m/>
    <m/>
    <x v="0"/>
    <x v="0"/>
  </r>
  <r>
    <x v="76"/>
    <x v="61"/>
    <x v="33"/>
    <n v="20"/>
    <n v="18"/>
    <n v="6.9"/>
    <n v="138"/>
    <n v="139"/>
    <n v="2502"/>
    <n v="1.0072463768115942"/>
    <n v="1"/>
    <n v="7.0000000000000001E-3"/>
    <m/>
    <m/>
    <n v="0"/>
    <n v="139"/>
    <n v="1"/>
    <m/>
    <m/>
    <m/>
    <m/>
    <x v="0"/>
    <x v="0"/>
    <m/>
    <m/>
    <m/>
    <x v="0"/>
    <x v="0"/>
  </r>
  <r>
    <x v="77"/>
    <x v="0"/>
    <x v="0"/>
    <n v="18"/>
    <n v="6"/>
    <n v="25.5"/>
    <n v="459"/>
    <n v="467"/>
    <n v="2802"/>
    <n v="1.0174291938997821"/>
    <n v="1"/>
    <n v="1.7000000000000001E-2"/>
    <m/>
    <m/>
    <n v="1"/>
    <n v="466"/>
    <n v="0.99785867237687365"/>
    <m/>
    <m/>
    <m/>
    <m/>
    <x v="0"/>
    <x v="0"/>
    <m/>
    <m/>
    <m/>
    <x v="0"/>
    <x v="0"/>
  </r>
  <r>
    <x v="77"/>
    <x v="1"/>
    <x v="1"/>
    <n v="6"/>
    <n v="6"/>
    <n v="25.7"/>
    <n v="154.19999999999999"/>
    <n v="149"/>
    <n v="894"/>
    <n v="0.96627756160830103"/>
    <n v="1"/>
    <n v="-3.4000000000000002E-2"/>
    <m/>
    <m/>
    <n v="1"/>
    <n v="148"/>
    <n v="0.99328859060402686"/>
    <m/>
    <m/>
    <m/>
    <m/>
    <x v="0"/>
    <x v="0"/>
    <m/>
    <m/>
    <m/>
    <x v="0"/>
    <x v="0"/>
  </r>
  <r>
    <x v="77"/>
    <x v="16"/>
    <x v="16"/>
    <n v="12"/>
    <n v="6"/>
    <n v="26.1"/>
    <n v="313.20000000000005"/>
    <n v="315"/>
    <n v="1890"/>
    <n v="1.0057471264367814"/>
    <n v="1"/>
    <n v="6.0000000000000001E-3"/>
    <m/>
    <m/>
    <n v="1"/>
    <n v="314"/>
    <n v="0.99682539682539684"/>
    <m/>
    <m/>
    <m/>
    <m/>
    <x v="0"/>
    <x v="0"/>
    <m/>
    <m/>
    <m/>
    <x v="0"/>
    <x v="0"/>
  </r>
  <r>
    <x v="77"/>
    <x v="19"/>
    <x v="19"/>
    <n v="12"/>
    <n v="6"/>
    <n v="25.5"/>
    <n v="306"/>
    <n v="309"/>
    <n v="1854"/>
    <n v="1.0098039215686274"/>
    <n v="1"/>
    <n v="0.01"/>
    <m/>
    <m/>
    <n v="1"/>
    <n v="308"/>
    <n v="0.99676375404530748"/>
    <m/>
    <m/>
    <m/>
    <m/>
    <x v="0"/>
    <x v="0"/>
    <m/>
    <m/>
    <m/>
    <x v="0"/>
    <x v="0"/>
  </r>
  <r>
    <x v="77"/>
    <x v="69"/>
    <x v="2"/>
    <n v="12"/>
    <n v="6"/>
    <n v="25.5"/>
    <n v="306"/>
    <n v="308"/>
    <n v="1848"/>
    <n v="1.0065359477124183"/>
    <n v="1"/>
    <n v="7.0000000000000001E-3"/>
    <m/>
    <m/>
    <n v="1"/>
    <n v="307"/>
    <n v="0.99675324675324672"/>
    <m/>
    <m/>
    <m/>
    <m/>
    <x v="0"/>
    <x v="0"/>
    <m/>
    <m/>
    <m/>
    <x v="0"/>
    <x v="0"/>
  </r>
  <r>
    <x v="77"/>
    <x v="53"/>
    <x v="46"/>
    <n v="4"/>
    <n v="4.5"/>
    <n v="34.5"/>
    <n v="138"/>
    <n v="139"/>
    <n v="625.5"/>
    <n v="1.0072463768115942"/>
    <n v="1"/>
    <n v="7.0000000000000001E-3"/>
    <m/>
    <m/>
    <n v="0"/>
    <n v="139"/>
    <n v="1"/>
    <m/>
    <m/>
    <m/>
    <m/>
    <x v="0"/>
    <x v="0"/>
    <m/>
    <m/>
    <m/>
    <x v="0"/>
    <x v="0"/>
  </r>
  <r>
    <x v="77"/>
    <x v="34"/>
    <x v="32"/>
    <n v="16"/>
    <n v="0.34"/>
    <n v="358.3"/>
    <n v="5732.8"/>
    <n v="5665"/>
    <n v="1926.1000000000001"/>
    <n v="0.98817331844822776"/>
    <n v="1"/>
    <n v="-1.2E-2"/>
    <m/>
    <m/>
    <n v="5"/>
    <n v="5660"/>
    <n v="0.99911738746690204"/>
    <m/>
    <m/>
    <m/>
    <m/>
    <x v="0"/>
    <x v="0"/>
    <m/>
    <m/>
    <m/>
    <x v="0"/>
    <x v="0"/>
  </r>
  <r>
    <x v="78"/>
    <x v="15"/>
    <x v="15"/>
    <n v="60"/>
    <n v="3.2"/>
    <n v="46.8"/>
    <n v="2808"/>
    <n v="2838"/>
    <n v="9081.6"/>
    <n v="1.0106837606837606"/>
    <n v="1"/>
    <n v="1.0999999999999999E-2"/>
    <m/>
    <m/>
    <n v="2"/>
    <n v="2836"/>
    <n v="0.99929527836504584"/>
    <m/>
    <m/>
    <m/>
    <m/>
    <x v="0"/>
    <x v="0"/>
    <m/>
    <m/>
    <m/>
    <x v="0"/>
    <x v="0"/>
  </r>
  <r>
    <x v="78"/>
    <x v="10"/>
    <x v="10"/>
    <n v="24"/>
    <n v="6"/>
    <n v="25.4"/>
    <n v="609.59999999999991"/>
    <n v="619"/>
    <n v="3714"/>
    <n v="1.0154199475065617"/>
    <n v="1"/>
    <n v="1.4999999999999999E-2"/>
    <m/>
    <m/>
    <n v="3"/>
    <n v="616"/>
    <n v="0.99515347334410342"/>
    <m/>
    <m/>
    <m/>
    <m/>
    <x v="0"/>
    <x v="0"/>
    <m/>
    <m/>
    <m/>
    <x v="0"/>
    <x v="0"/>
  </r>
  <r>
    <x v="78"/>
    <x v="9"/>
    <x v="9"/>
    <n v="20"/>
    <n v="6"/>
    <n v="25.7"/>
    <n v="514"/>
    <n v="515"/>
    <n v="3090"/>
    <n v="1.0019455252918288"/>
    <n v="1"/>
    <n v="2E-3"/>
    <m/>
    <m/>
    <n v="3"/>
    <n v="512"/>
    <n v="0.99417475728155336"/>
    <m/>
    <m/>
    <m/>
    <m/>
    <x v="0"/>
    <x v="0"/>
    <m/>
    <m/>
    <m/>
    <x v="0"/>
    <x v="0"/>
  </r>
  <r>
    <x v="78"/>
    <x v="23"/>
    <x v="22"/>
    <n v="24"/>
    <n v="0.34"/>
    <n v="364.6"/>
    <n v="8750.4000000000015"/>
    <n v="8731"/>
    <n v="2968.5400000000004"/>
    <n v="0.99778295849332588"/>
    <n v="1"/>
    <n v="-2E-3"/>
    <m/>
    <m/>
    <n v="3"/>
    <n v="8728"/>
    <n v="0.99965639674722251"/>
    <m/>
    <m/>
    <m/>
    <m/>
    <x v="0"/>
    <x v="0"/>
    <m/>
    <m/>
    <m/>
    <x v="0"/>
    <x v="0"/>
  </r>
  <r>
    <x v="78"/>
    <x v="41"/>
    <x v="39"/>
    <n v="20"/>
    <n v="2.8"/>
    <n v="44.2"/>
    <n v="884"/>
    <n v="884"/>
    <n v="2475.1999999999998"/>
    <n v="1"/>
    <n v="1"/>
    <n v="0"/>
    <m/>
    <m/>
    <n v="1"/>
    <n v="883"/>
    <n v="0.99886877828054299"/>
    <m/>
    <m/>
    <m/>
    <m/>
    <x v="0"/>
    <x v="0"/>
    <m/>
    <m/>
    <m/>
    <x v="0"/>
    <x v="0"/>
  </r>
  <r>
    <x v="79"/>
    <x v="2"/>
    <x v="2"/>
    <n v="24"/>
    <n v="6"/>
    <n v="26.6"/>
    <n v="638.40000000000009"/>
    <n v="645"/>
    <n v="3870"/>
    <n v="1.0103383458646615"/>
    <n v="1"/>
    <n v="0.01"/>
    <m/>
    <m/>
    <n v="1"/>
    <n v="644"/>
    <n v="0.99844961240310082"/>
    <m/>
    <m/>
    <m/>
    <m/>
    <x v="0"/>
    <x v="0"/>
    <m/>
    <m/>
    <m/>
    <x v="0"/>
    <x v="0"/>
  </r>
  <r>
    <x v="79"/>
    <x v="82"/>
    <x v="74"/>
    <n v="6"/>
    <n v="6"/>
    <n v="24.5"/>
    <n v="147"/>
    <n v="144"/>
    <n v="864"/>
    <n v="0.97959183673469385"/>
    <n v="1"/>
    <n v="-0.02"/>
    <m/>
    <m/>
    <n v="1"/>
    <n v="143"/>
    <n v="0.99305555555555558"/>
    <m/>
    <m/>
    <m/>
    <m/>
    <x v="0"/>
    <x v="0"/>
    <m/>
    <m/>
    <m/>
    <x v="0"/>
    <x v="0"/>
  </r>
  <r>
    <x v="79"/>
    <x v="37"/>
    <x v="35"/>
    <n v="6"/>
    <n v="6"/>
    <n v="25.6"/>
    <n v="153.60000000000002"/>
    <n v="155"/>
    <n v="930"/>
    <n v="1.0091145833333333"/>
    <n v="1"/>
    <n v="8.9999999999999993E-3"/>
    <m/>
    <m/>
    <n v="2"/>
    <n v="153"/>
    <n v="0.98709677419354835"/>
    <m/>
    <m/>
    <m/>
    <m/>
    <x v="0"/>
    <x v="0"/>
    <m/>
    <m/>
    <m/>
    <x v="0"/>
    <x v="0"/>
  </r>
  <r>
    <x v="79"/>
    <x v="47"/>
    <x v="42"/>
    <n v="6"/>
    <n v="6"/>
    <n v="25.6"/>
    <n v="153.60000000000002"/>
    <n v="175"/>
    <n v="1050"/>
    <n v="1.1393229166666665"/>
    <n v="1"/>
    <n v="0.13900000000000001"/>
    <m/>
    <m/>
    <n v="2"/>
    <n v="173"/>
    <n v="0.98857142857142855"/>
    <m/>
    <n v="144"/>
    <s v="加退貨24包(加重工D0291(1130418-01B))"/>
    <m/>
    <x v="0"/>
    <x v="0"/>
    <m/>
    <m/>
    <m/>
    <x v="0"/>
    <x v="0"/>
  </r>
  <r>
    <x v="79"/>
    <x v="3"/>
    <x v="3"/>
    <n v="24"/>
    <n v="4.5"/>
    <n v="36.299999999999997"/>
    <n v="871.19999999999993"/>
    <n v="904"/>
    <n v="4068"/>
    <n v="1.0376492194674014"/>
    <n v="1"/>
    <n v="3.7999999999999999E-2"/>
    <m/>
    <m/>
    <n v="0"/>
    <n v="904"/>
    <n v="1"/>
    <m/>
    <n v="180"/>
    <s v="(加重工C1020(1130409-01A)"/>
    <m/>
    <x v="0"/>
    <x v="0"/>
    <m/>
    <m/>
    <m/>
    <x v="0"/>
    <x v="0"/>
  </r>
  <r>
    <x v="79"/>
    <x v="39"/>
    <x v="37"/>
    <n v="12"/>
    <n v="4.5"/>
    <n v="36"/>
    <n v="432"/>
    <n v="455"/>
    <n v="2047.5"/>
    <n v="1.0532407407407407"/>
    <n v="1"/>
    <n v="5.2999999999999999E-2"/>
    <m/>
    <m/>
    <n v="0"/>
    <n v="455"/>
    <n v="1"/>
    <m/>
    <m/>
    <s v="加退貨"/>
    <m/>
    <x v="0"/>
    <x v="0"/>
    <m/>
    <m/>
    <m/>
    <x v="0"/>
    <x v="0"/>
  </r>
  <r>
    <x v="79"/>
    <x v="59"/>
    <x v="52"/>
    <n v="8"/>
    <n v="4.5"/>
    <n v="34.9"/>
    <n v="279.2"/>
    <n v="273"/>
    <n v="1228.5"/>
    <n v="0.97779369627507162"/>
    <n v="1"/>
    <n v="-2.1999999999999999E-2"/>
    <m/>
    <m/>
    <n v="0"/>
    <n v="273"/>
    <n v="1"/>
    <m/>
    <m/>
    <m/>
    <m/>
    <x v="0"/>
    <x v="0"/>
    <m/>
    <m/>
    <m/>
    <x v="0"/>
    <x v="0"/>
  </r>
  <r>
    <x v="79"/>
    <x v="11"/>
    <x v="11"/>
    <n v="60"/>
    <n v="2.8"/>
    <n v="44.5"/>
    <n v="2670"/>
    <n v="2665"/>
    <n v="7461.9999999999991"/>
    <n v="0.99812734082397003"/>
    <n v="1"/>
    <n v="-2E-3"/>
    <m/>
    <m/>
    <n v="1"/>
    <n v="2664"/>
    <n v="0.99962476547842405"/>
    <m/>
    <m/>
    <m/>
    <m/>
    <x v="0"/>
    <x v="0"/>
    <m/>
    <m/>
    <m/>
    <x v="0"/>
    <x v="0"/>
  </r>
  <r>
    <x v="80"/>
    <x v="49"/>
    <x v="43"/>
    <n v="15"/>
    <n v="0.43"/>
    <n v="364"/>
    <n v="5460"/>
    <n v="5289"/>
    <n v="2274.27"/>
    <n v="0.96868131868131868"/>
    <n v="1"/>
    <n v="-3.1E-2"/>
    <m/>
    <m/>
    <n v="5"/>
    <n v="5284"/>
    <n v="0.99905464170920777"/>
    <m/>
    <m/>
    <m/>
    <m/>
    <x v="0"/>
    <x v="0"/>
    <m/>
    <m/>
    <m/>
    <x v="0"/>
    <x v="0"/>
  </r>
  <r>
    <x v="80"/>
    <x v="26"/>
    <x v="25"/>
    <n v="20"/>
    <n v="0.9"/>
    <n v="163"/>
    <n v="3260"/>
    <n v="3311"/>
    <n v="2979.9"/>
    <n v="1.0156441717791411"/>
    <n v="1"/>
    <n v="1.6E-2"/>
    <m/>
    <m/>
    <n v="5"/>
    <n v="3306"/>
    <n v="0.99848988221081247"/>
    <m/>
    <m/>
    <m/>
    <m/>
    <x v="0"/>
    <x v="0"/>
    <m/>
    <m/>
    <m/>
    <x v="0"/>
    <x v="0"/>
  </r>
  <r>
    <x v="80"/>
    <x v="10"/>
    <x v="10"/>
    <n v="20"/>
    <n v="6"/>
    <n v="25.4"/>
    <n v="508"/>
    <n v="517"/>
    <n v="3102"/>
    <n v="1.0177165354330708"/>
    <n v="1"/>
    <n v="1.7999999999999999E-2"/>
    <m/>
    <m/>
    <n v="5"/>
    <n v="512"/>
    <n v="0.99032882011605416"/>
    <m/>
    <m/>
    <m/>
    <m/>
    <x v="0"/>
    <x v="0"/>
    <m/>
    <m/>
    <m/>
    <x v="0"/>
    <x v="0"/>
  </r>
  <r>
    <x v="80"/>
    <x v="45"/>
    <x v="10"/>
    <n v="8"/>
    <n v="6"/>
    <n v="26.4"/>
    <n v="211.2"/>
    <n v="210"/>
    <n v="1260"/>
    <n v="0.99431818181818188"/>
    <n v="1"/>
    <n v="-6.0000000000000001E-3"/>
    <m/>
    <m/>
    <n v="6"/>
    <n v="204"/>
    <n v="0.97142857142857142"/>
    <m/>
    <m/>
    <m/>
    <m/>
    <x v="0"/>
    <x v="0"/>
    <m/>
    <m/>
    <m/>
    <x v="0"/>
    <x v="0"/>
  </r>
  <r>
    <x v="80"/>
    <x v="80"/>
    <x v="72"/>
    <n v="12"/>
    <n v="6"/>
    <n v="25.3"/>
    <n v="303.60000000000002"/>
    <n v="306"/>
    <n v="1836"/>
    <n v="1.0079051383399209"/>
    <n v="1"/>
    <n v="8.0000000000000002E-3"/>
    <m/>
    <m/>
    <n v="4"/>
    <n v="302"/>
    <n v="0.98692810457516345"/>
    <m/>
    <m/>
    <m/>
    <m/>
    <x v="0"/>
    <x v="0"/>
    <m/>
    <m/>
    <m/>
    <x v="0"/>
    <x v="0"/>
  </r>
  <r>
    <x v="80"/>
    <x v="7"/>
    <x v="7"/>
    <n v="20"/>
    <n v="0.9"/>
    <n v="139.30000000000001"/>
    <n v="2786"/>
    <n v="2846"/>
    <n v="2561.4"/>
    <n v="1.0215362526920315"/>
    <n v="1"/>
    <n v="2.1999999999999999E-2"/>
    <m/>
    <m/>
    <n v="2"/>
    <n v="2844"/>
    <n v="0.99929725931131408"/>
    <m/>
    <m/>
    <m/>
    <m/>
    <x v="0"/>
    <x v="0"/>
    <m/>
    <m/>
    <m/>
    <x v="0"/>
    <x v="0"/>
  </r>
  <r>
    <x v="80"/>
    <x v="12"/>
    <x v="12"/>
    <n v="20"/>
    <n v="0.8"/>
    <n v="157.69999999999999"/>
    <n v="3154"/>
    <n v="3114"/>
    <n v="2491.2000000000003"/>
    <n v="0.98731769181991125"/>
    <n v="1"/>
    <n v="-1.2999999999999999E-2"/>
    <m/>
    <m/>
    <n v="2"/>
    <n v="3112"/>
    <n v="0.99935773924213234"/>
    <m/>
    <m/>
    <m/>
    <m/>
    <x v="0"/>
    <x v="0"/>
    <m/>
    <m/>
    <m/>
    <x v="0"/>
    <x v="0"/>
  </r>
  <r>
    <x v="81"/>
    <x v="13"/>
    <x v="13"/>
    <n v="20"/>
    <n v="0.9"/>
    <n v="160.5"/>
    <n v="3210"/>
    <n v="3240"/>
    <n v="2916"/>
    <n v="1.0093457943925233"/>
    <n v="1"/>
    <n v="8.9999999999999993E-3"/>
    <m/>
    <m/>
    <n v="2"/>
    <n v="3238"/>
    <n v="0.99938271604938267"/>
    <m/>
    <m/>
    <m/>
    <m/>
    <x v="0"/>
    <x v="0"/>
    <m/>
    <m/>
    <m/>
    <x v="0"/>
    <x v="0"/>
  </r>
  <r>
    <x v="81"/>
    <x v="47"/>
    <x v="42"/>
    <n v="16"/>
    <n v="6"/>
    <n v="25.6"/>
    <n v="409.6"/>
    <n v="480"/>
    <n v="2880"/>
    <n v="1.171875"/>
    <n v="1"/>
    <n v="0.17199999999999999"/>
    <m/>
    <m/>
    <n v="3"/>
    <n v="477"/>
    <n v="0.99375000000000002"/>
    <m/>
    <n v="384"/>
    <s v="加退貨64包(加重工D0291(1130418-01B))"/>
    <m/>
    <x v="0"/>
    <x v="0"/>
    <m/>
    <m/>
    <m/>
    <x v="0"/>
    <x v="0"/>
  </r>
  <r>
    <x v="81"/>
    <x v="16"/>
    <x v="16"/>
    <n v="18"/>
    <n v="6"/>
    <n v="26.1"/>
    <n v="469.8"/>
    <n v="465"/>
    <n v="2790"/>
    <n v="0.98978288633461042"/>
    <n v="1"/>
    <n v="-0.01"/>
    <m/>
    <m/>
    <n v="1"/>
    <n v="464"/>
    <n v="0.99784946236559136"/>
    <m/>
    <m/>
    <m/>
    <m/>
    <x v="0"/>
    <x v="0"/>
    <m/>
    <m/>
    <m/>
    <x v="0"/>
    <x v="0"/>
  </r>
  <r>
    <x v="81"/>
    <x v="74"/>
    <x v="64"/>
    <n v="6"/>
    <n v="6"/>
    <n v="25.2"/>
    <n v="151.19999999999999"/>
    <n v="154"/>
    <n v="924"/>
    <n v="1.0185185185185186"/>
    <n v="1"/>
    <n v="1.9E-2"/>
    <m/>
    <m/>
    <n v="1"/>
    <n v="153"/>
    <n v="0.99350649350649356"/>
    <m/>
    <m/>
    <m/>
    <m/>
    <x v="0"/>
    <x v="0"/>
    <m/>
    <m/>
    <m/>
    <x v="0"/>
    <x v="0"/>
  </r>
  <r>
    <x v="81"/>
    <x v="22"/>
    <x v="10"/>
    <n v="20"/>
    <n v="6"/>
    <n v="25.1"/>
    <n v="502"/>
    <n v="508"/>
    <n v="3048"/>
    <n v="1.0119521912350598"/>
    <n v="1"/>
    <n v="1.2E-2"/>
    <m/>
    <m/>
    <n v="3"/>
    <n v="505"/>
    <n v="0.99409448818897639"/>
    <m/>
    <m/>
    <m/>
    <m/>
    <x v="0"/>
    <x v="0"/>
    <m/>
    <m/>
    <m/>
    <x v="0"/>
    <x v="0"/>
  </r>
  <r>
    <x v="82"/>
    <x v="15"/>
    <x v="15"/>
    <n v="60"/>
    <n v="3.2"/>
    <n v="46.8"/>
    <n v="2808"/>
    <n v="2852"/>
    <n v="9126.4"/>
    <n v="1.0156695156695157"/>
    <n v="1"/>
    <n v="1.6E-2"/>
    <m/>
    <m/>
    <n v="2"/>
    <n v="2850"/>
    <n v="0.99929873772791022"/>
    <m/>
    <m/>
    <m/>
    <m/>
    <x v="0"/>
    <x v="0"/>
    <m/>
    <m/>
    <m/>
    <x v="0"/>
    <x v="0"/>
  </r>
  <r>
    <x v="82"/>
    <x v="9"/>
    <x v="9"/>
    <n v="28"/>
    <n v="6"/>
    <n v="25.7"/>
    <n v="719.6"/>
    <n v="734"/>
    <n v="4404"/>
    <n v="1.0200111172873818"/>
    <n v="1"/>
    <n v="0.02"/>
    <m/>
    <m/>
    <n v="8"/>
    <n v="726"/>
    <n v="0.98910081743869205"/>
    <m/>
    <m/>
    <m/>
    <m/>
    <x v="0"/>
    <x v="0"/>
    <m/>
    <m/>
    <m/>
    <x v="0"/>
    <x v="0"/>
  </r>
  <r>
    <x v="82"/>
    <x v="83"/>
    <x v="75"/>
    <n v="16"/>
    <n v="6"/>
    <n v="25.8"/>
    <n v="412.8"/>
    <n v="416"/>
    <n v="2496"/>
    <n v="1.0077519379844961"/>
    <n v="1"/>
    <n v="8.0000000000000002E-3"/>
    <m/>
    <m/>
    <n v="1"/>
    <n v="415"/>
    <n v="0.99759615384615385"/>
    <m/>
    <m/>
    <m/>
    <m/>
    <x v="0"/>
    <x v="0"/>
    <m/>
    <m/>
    <m/>
    <x v="0"/>
    <x v="0"/>
  </r>
  <r>
    <x v="82"/>
    <x v="11"/>
    <x v="11"/>
    <n v="72"/>
    <n v="2.8"/>
    <n v="44.5"/>
    <n v="3204"/>
    <n v="3203"/>
    <n v="8968.4"/>
    <n v="0.99968789013732839"/>
    <n v="1"/>
    <n v="0"/>
    <m/>
    <m/>
    <n v="1"/>
    <n v="3202"/>
    <n v="0.99968779269434904"/>
    <m/>
    <m/>
    <m/>
    <m/>
    <x v="0"/>
    <x v="0"/>
    <m/>
    <m/>
    <m/>
    <x v="0"/>
    <x v="0"/>
  </r>
  <r>
    <x v="83"/>
    <x v="30"/>
    <x v="28"/>
    <n v="8"/>
    <n v="0.43"/>
    <n v="340.4"/>
    <n v="2723.2"/>
    <n v="2722"/>
    <n v="1170.46"/>
    <n v="0.99955934195064633"/>
    <n v="1"/>
    <n v="0"/>
    <m/>
    <m/>
    <n v="4"/>
    <n v="2718"/>
    <n v="0.9985304922850845"/>
    <m/>
    <m/>
    <m/>
    <m/>
    <x v="0"/>
    <x v="0"/>
    <m/>
    <m/>
    <m/>
    <x v="0"/>
    <x v="0"/>
  </r>
  <r>
    <x v="83"/>
    <x v="43"/>
    <x v="41"/>
    <n v="12"/>
    <n v="0.26"/>
    <n v="584.29999999999995"/>
    <n v="7011.5999999999995"/>
    <n v="6981"/>
    <n v="1815.0600000000002"/>
    <n v="0.99563580352558623"/>
    <n v="1"/>
    <n v="-4.0000000000000001E-3"/>
    <m/>
    <m/>
    <n v="5"/>
    <n v="6976"/>
    <n v="0.99928377023349091"/>
    <m/>
    <m/>
    <m/>
    <m/>
    <x v="0"/>
    <x v="0"/>
    <m/>
    <m/>
    <m/>
    <x v="0"/>
    <x v="0"/>
  </r>
  <r>
    <x v="83"/>
    <x v="44"/>
    <x v="41"/>
    <n v="4"/>
    <n v="0.26"/>
    <n v="592"/>
    <n v="2368"/>
    <n v="2474"/>
    <n v="643.24"/>
    <n v="1.0447635135135136"/>
    <n v="1"/>
    <n v="4.4999999999999998E-2"/>
    <m/>
    <m/>
    <n v="6"/>
    <n v="2468"/>
    <n v="0.99757477768795477"/>
    <m/>
    <m/>
    <m/>
    <m/>
    <x v="0"/>
    <x v="0"/>
    <m/>
    <m/>
    <m/>
    <x v="0"/>
    <x v="0"/>
  </r>
  <r>
    <x v="83"/>
    <x v="22"/>
    <x v="10"/>
    <n v="16"/>
    <n v="6"/>
    <n v="25.1"/>
    <n v="401.6"/>
    <n v="408"/>
    <n v="2448"/>
    <n v="1.0159362549800797"/>
    <n v="1"/>
    <n v="1.6E-2"/>
    <m/>
    <m/>
    <n v="1"/>
    <n v="407"/>
    <n v="0.99754901960784315"/>
    <m/>
    <m/>
    <m/>
    <m/>
    <x v="0"/>
    <x v="0"/>
    <m/>
    <m/>
    <m/>
    <x v="0"/>
    <x v="0"/>
  </r>
  <r>
    <x v="83"/>
    <x v="9"/>
    <x v="9"/>
    <n v="28"/>
    <n v="6"/>
    <n v="25.7"/>
    <n v="719.6"/>
    <n v="726"/>
    <n v="4356"/>
    <n v="1.008893829905503"/>
    <n v="1"/>
    <n v="8.9999999999999993E-3"/>
    <m/>
    <m/>
    <n v="3"/>
    <n v="723"/>
    <n v="0.99586776859504134"/>
    <m/>
    <m/>
    <m/>
    <m/>
    <x v="0"/>
    <x v="0"/>
    <m/>
    <m/>
    <m/>
    <x v="0"/>
    <x v="0"/>
  </r>
  <r>
    <x v="83"/>
    <x v="61"/>
    <x v="33"/>
    <n v="24"/>
    <n v="18"/>
    <n v="6.9"/>
    <n v="165.60000000000002"/>
    <n v="164"/>
    <n v="2952"/>
    <n v="0.99033816425120758"/>
    <n v="1"/>
    <n v="-0.01"/>
    <m/>
    <m/>
    <n v="0"/>
    <n v="164"/>
    <n v="1"/>
    <m/>
    <m/>
    <m/>
    <m/>
    <x v="0"/>
    <x v="0"/>
    <m/>
    <m/>
    <m/>
    <x v="0"/>
    <x v="0"/>
  </r>
  <r>
    <x v="83"/>
    <x v="11"/>
    <x v="11"/>
    <n v="28"/>
    <n v="2.8"/>
    <n v="44.5"/>
    <n v="1246"/>
    <n v="1251"/>
    <n v="3502.7999999999997"/>
    <n v="1.0040128410914928"/>
    <n v="1"/>
    <n v="4.0000000000000001E-3"/>
    <m/>
    <m/>
    <n v="1"/>
    <n v="1250"/>
    <n v="0.99920063948840931"/>
    <m/>
    <m/>
    <m/>
    <m/>
    <x v="0"/>
    <x v="0"/>
    <m/>
    <m/>
    <m/>
    <x v="0"/>
    <x v="0"/>
  </r>
  <r>
    <x v="84"/>
    <x v="27"/>
    <x v="26"/>
    <n v="32"/>
    <n v="3.2"/>
    <n v="47.5"/>
    <n v="1520"/>
    <n v="1533"/>
    <n v="4905.6000000000004"/>
    <n v="1.0085526315789475"/>
    <n v="1"/>
    <n v="8.9999999999999993E-3"/>
    <m/>
    <m/>
    <n v="1"/>
    <n v="1532"/>
    <n v="0.99934768427919107"/>
    <m/>
    <m/>
    <m/>
    <m/>
    <x v="0"/>
    <x v="0"/>
    <m/>
    <m/>
    <m/>
    <x v="0"/>
    <x v="0"/>
  </r>
  <r>
    <x v="84"/>
    <x v="21"/>
    <x v="21"/>
    <n v="32"/>
    <n v="3.2"/>
    <n v="46.4"/>
    <n v="1484.8"/>
    <n v="1493"/>
    <n v="4777.6000000000004"/>
    <n v="1.0055226293103448"/>
    <n v="1"/>
    <n v="6.0000000000000001E-3"/>
    <m/>
    <m/>
    <n v="1"/>
    <n v="1492"/>
    <n v="0.99933020763563296"/>
    <m/>
    <m/>
    <m/>
    <m/>
    <x v="0"/>
    <x v="0"/>
    <m/>
    <m/>
    <m/>
    <x v="0"/>
    <x v="0"/>
  </r>
  <r>
    <x v="84"/>
    <x v="67"/>
    <x v="58"/>
    <n v="24"/>
    <n v="4.5"/>
    <n v="33.200000000000003"/>
    <n v="796.80000000000007"/>
    <n v="814"/>
    <n v="3663"/>
    <n v="1.0215863453815259"/>
    <n v="1"/>
    <n v="2.1999999999999999E-2"/>
    <m/>
    <m/>
    <n v="0"/>
    <n v="814"/>
    <n v="1"/>
    <m/>
    <m/>
    <m/>
    <m/>
    <x v="0"/>
    <x v="0"/>
    <m/>
    <m/>
    <m/>
    <x v="0"/>
    <x v="0"/>
  </r>
  <r>
    <x v="84"/>
    <x v="50"/>
    <x v="44"/>
    <n v="20"/>
    <n v="4.5"/>
    <n v="36.799999999999997"/>
    <n v="736"/>
    <n v="753"/>
    <n v="3388.5"/>
    <n v="1.0230978260869565"/>
    <n v="1"/>
    <n v="2.3E-2"/>
    <m/>
    <m/>
    <n v="0"/>
    <n v="753"/>
    <n v="1"/>
    <m/>
    <m/>
    <m/>
    <m/>
    <x v="0"/>
    <x v="0"/>
    <m/>
    <m/>
    <m/>
    <x v="0"/>
    <x v="0"/>
  </r>
  <r>
    <x v="84"/>
    <x v="51"/>
    <x v="45"/>
    <n v="8"/>
    <n v="9.08"/>
    <n v="17.8"/>
    <n v="142.4"/>
    <n v="146"/>
    <n v="1325.68"/>
    <n v="1.0252808988764044"/>
    <n v="1"/>
    <n v="2.5000000000000001E-2"/>
    <m/>
    <m/>
    <n v="0"/>
    <n v="146"/>
    <n v="1"/>
    <m/>
    <m/>
    <m/>
    <m/>
    <x v="0"/>
    <x v="0"/>
    <m/>
    <m/>
    <m/>
    <x v="0"/>
    <x v="0"/>
  </r>
  <r>
    <x v="84"/>
    <x v="11"/>
    <x v="11"/>
    <n v="60"/>
    <n v="2.8"/>
    <n v="44.5"/>
    <n v="2670"/>
    <n v="2681"/>
    <n v="7506.7999999999993"/>
    <n v="1.0041198501872659"/>
    <n v="1"/>
    <n v="4.0000000000000001E-3"/>
    <m/>
    <m/>
    <n v="1"/>
    <n v="2680"/>
    <n v="0.99962700484893696"/>
    <m/>
    <m/>
    <m/>
    <m/>
    <x v="0"/>
    <x v="0"/>
    <m/>
    <m/>
    <m/>
    <x v="0"/>
    <x v="0"/>
  </r>
  <r>
    <x v="85"/>
    <x v="45"/>
    <x v="10"/>
    <n v="8"/>
    <n v="6"/>
    <n v="26.4"/>
    <n v="211.2"/>
    <n v="209"/>
    <n v="1254"/>
    <n v="0.98958333333333337"/>
    <n v="1"/>
    <n v="-0.01"/>
    <m/>
    <m/>
    <n v="9"/>
    <n v="200"/>
    <n v="0.9569377990430622"/>
    <m/>
    <m/>
    <m/>
    <m/>
    <x v="0"/>
    <x v="0"/>
    <m/>
    <m/>
    <m/>
    <x v="0"/>
    <x v="0"/>
  </r>
  <r>
    <x v="85"/>
    <x v="9"/>
    <x v="9"/>
    <n v="36"/>
    <n v="6"/>
    <n v="25.7"/>
    <n v="925.19999999999993"/>
    <n v="936"/>
    <n v="5616"/>
    <n v="1.0116731517509729"/>
    <n v="1"/>
    <n v="1.2E-2"/>
    <m/>
    <m/>
    <n v="2"/>
    <n v="934"/>
    <n v="0.99786324786324787"/>
    <m/>
    <m/>
    <m/>
    <m/>
    <x v="0"/>
    <x v="0"/>
    <m/>
    <m/>
    <m/>
    <x v="0"/>
    <x v="0"/>
  </r>
  <r>
    <x v="85"/>
    <x v="46"/>
    <x v="17"/>
    <n v="18"/>
    <n v="3"/>
    <n v="31.6"/>
    <n v="568.80000000000007"/>
    <n v="572"/>
    <n v="1716"/>
    <n v="1.0056258790436003"/>
    <n v="1"/>
    <n v="6.0000000000000001E-3"/>
    <m/>
    <m/>
    <n v="0"/>
    <n v="572"/>
    <n v="1"/>
    <m/>
    <m/>
    <m/>
    <m/>
    <x v="0"/>
    <x v="0"/>
    <m/>
    <m/>
    <m/>
    <x v="0"/>
    <x v="0"/>
  </r>
  <r>
    <x v="85"/>
    <x v="11"/>
    <x v="11"/>
    <n v="48"/>
    <n v="2.8"/>
    <n v="44.5"/>
    <n v="2136"/>
    <n v="2162"/>
    <n v="6053.5999999999995"/>
    <n v="1.0121722846441947"/>
    <n v="1"/>
    <n v="1.2E-2"/>
    <m/>
    <m/>
    <n v="1"/>
    <n v="2161"/>
    <n v="0.99953746530989829"/>
    <m/>
    <m/>
    <m/>
    <m/>
    <x v="0"/>
    <x v="0"/>
    <m/>
    <m/>
    <m/>
    <x v="0"/>
    <x v="0"/>
  </r>
  <r>
    <x v="85"/>
    <x v="35"/>
    <x v="33"/>
    <n v="8"/>
    <n v="18"/>
    <n v="6.6"/>
    <n v="52.8"/>
    <n v="52"/>
    <n v="936"/>
    <n v="0.98484848484848486"/>
    <n v="1"/>
    <n v="-1.4999999999999999E-2"/>
    <m/>
    <m/>
    <n v="0"/>
    <n v="52"/>
    <n v="1"/>
    <m/>
    <m/>
    <m/>
    <m/>
    <x v="0"/>
    <x v="0"/>
    <m/>
    <m/>
    <m/>
    <x v="0"/>
    <x v="0"/>
  </r>
  <r>
    <x v="86"/>
    <x v="2"/>
    <x v="2"/>
    <n v="39"/>
    <n v="6"/>
    <n v="26.6"/>
    <n v="1037.4000000000001"/>
    <n v="1032"/>
    <n v="6192"/>
    <n v="0.99479467900520524"/>
    <n v="1"/>
    <n v="-5.0000000000000001E-3"/>
    <m/>
    <m/>
    <n v="1"/>
    <n v="1031"/>
    <n v="0.99903100775193798"/>
    <m/>
    <m/>
    <m/>
    <m/>
    <x v="0"/>
    <x v="0"/>
    <m/>
    <m/>
    <m/>
    <x v="0"/>
    <x v="0"/>
  </r>
  <r>
    <x v="86"/>
    <x v="16"/>
    <x v="16"/>
    <n v="16"/>
    <n v="6"/>
    <n v="26.1"/>
    <n v="417.6"/>
    <n v="415"/>
    <n v="2490"/>
    <n v="0.99377394636015315"/>
    <n v="1"/>
    <n v="-6.0000000000000001E-3"/>
    <m/>
    <m/>
    <n v="1"/>
    <n v="414"/>
    <n v="0.99759036144578317"/>
    <m/>
    <m/>
    <m/>
    <m/>
    <x v="0"/>
    <x v="0"/>
    <m/>
    <m/>
    <m/>
    <x v="0"/>
    <x v="0"/>
  </r>
  <r>
    <x v="86"/>
    <x v="10"/>
    <x v="10"/>
    <n v="16"/>
    <n v="6"/>
    <n v="25.4"/>
    <n v="406.4"/>
    <n v="406"/>
    <n v="2436"/>
    <n v="0.99901574803149606"/>
    <n v="1"/>
    <n v="-1E-3"/>
    <m/>
    <m/>
    <n v="1"/>
    <n v="405"/>
    <n v="0.99753694581280783"/>
    <m/>
    <m/>
    <m/>
    <m/>
    <x v="0"/>
    <x v="0"/>
    <m/>
    <m/>
    <m/>
    <x v="0"/>
    <x v="0"/>
  </r>
  <r>
    <x v="86"/>
    <x v="69"/>
    <x v="2"/>
    <n v="12"/>
    <n v="6"/>
    <n v="25.5"/>
    <n v="306"/>
    <n v="306"/>
    <n v="1836"/>
    <n v="1"/>
    <n v="1"/>
    <n v="0"/>
    <m/>
    <m/>
    <n v="1"/>
    <n v="305"/>
    <n v="0.99673202614379086"/>
    <m/>
    <m/>
    <m/>
    <m/>
    <x v="0"/>
    <x v="0"/>
    <m/>
    <m/>
    <m/>
    <x v="0"/>
    <x v="0"/>
  </r>
  <r>
    <x v="86"/>
    <x v="55"/>
    <x v="48"/>
    <n v="40"/>
    <n v="18"/>
    <n v="6.9"/>
    <n v="276"/>
    <n v="280"/>
    <n v="5040"/>
    <n v="1.0144927536231885"/>
    <n v="1"/>
    <n v="1.4E-2"/>
    <m/>
    <m/>
    <n v="0"/>
    <n v="280"/>
    <n v="1"/>
    <m/>
    <m/>
    <m/>
    <m/>
    <x v="0"/>
    <x v="0"/>
    <m/>
    <m/>
    <m/>
    <x v="0"/>
    <x v="0"/>
  </r>
  <r>
    <x v="87"/>
    <x v="10"/>
    <x v="10"/>
    <n v="16"/>
    <n v="6"/>
    <n v="25.4"/>
    <n v="406.4"/>
    <n v="407"/>
    <n v="2442"/>
    <n v="1.001476377952756"/>
    <n v="1"/>
    <n v="1E-3"/>
    <m/>
    <m/>
    <n v="1"/>
    <n v="406"/>
    <n v="0.99754299754299758"/>
    <m/>
    <m/>
    <m/>
    <m/>
    <x v="0"/>
    <x v="0"/>
    <m/>
    <m/>
    <m/>
    <x v="0"/>
    <x v="0"/>
  </r>
  <r>
    <x v="87"/>
    <x v="9"/>
    <x v="9"/>
    <n v="28"/>
    <n v="6"/>
    <n v="25.7"/>
    <n v="719.6"/>
    <n v="727"/>
    <n v="4362"/>
    <n v="1.0102834908282379"/>
    <n v="1"/>
    <n v="0.01"/>
    <m/>
    <m/>
    <n v="1"/>
    <n v="726"/>
    <n v="0.99862448418156813"/>
    <m/>
    <m/>
    <m/>
    <m/>
    <x v="0"/>
    <x v="0"/>
    <m/>
    <m/>
    <m/>
    <x v="0"/>
    <x v="0"/>
  </r>
  <r>
    <x v="87"/>
    <x v="17"/>
    <x v="17"/>
    <n v="18"/>
    <n v="3"/>
    <n v="29.7"/>
    <n v="534.6"/>
    <n v="536"/>
    <n v="1608"/>
    <n v="1.0026187803965581"/>
    <n v="1"/>
    <n v="3.0000000000000001E-3"/>
    <m/>
    <m/>
    <n v="0"/>
    <n v="536"/>
    <n v="1"/>
    <m/>
    <m/>
    <m/>
    <m/>
    <x v="0"/>
    <x v="0"/>
    <m/>
    <m/>
    <m/>
    <x v="0"/>
    <x v="0"/>
  </r>
  <r>
    <x v="87"/>
    <x v="6"/>
    <x v="6"/>
    <n v="24"/>
    <n v="0.4"/>
    <n v="309.2"/>
    <n v="7420.7999999999993"/>
    <n v="7412"/>
    <n v="2964.8"/>
    <n v="0.99881414402759816"/>
    <n v="1"/>
    <n v="-1E-3"/>
    <m/>
    <m/>
    <n v="3"/>
    <n v="7409"/>
    <n v="0.99959525094441448"/>
    <m/>
    <m/>
    <m/>
    <m/>
    <x v="0"/>
    <x v="0"/>
    <m/>
    <m/>
    <m/>
    <x v="0"/>
    <x v="0"/>
  </r>
  <r>
    <x v="87"/>
    <x v="11"/>
    <x v="11"/>
    <n v="24"/>
    <n v="2.8"/>
    <n v="44.5"/>
    <n v="1068"/>
    <n v="1073"/>
    <n v="3004.3999999999996"/>
    <n v="1.0046816479400749"/>
    <n v="1"/>
    <n v="5.0000000000000001E-3"/>
    <m/>
    <m/>
    <n v="1"/>
    <n v="1072"/>
    <n v="0.99906803355079221"/>
    <m/>
    <m/>
    <m/>
    <m/>
    <x v="0"/>
    <x v="0"/>
    <m/>
    <m/>
    <m/>
    <x v="0"/>
    <x v="0"/>
  </r>
  <r>
    <x v="88"/>
    <x v="0"/>
    <x v="0"/>
    <n v="16"/>
    <n v="6"/>
    <n v="25.5"/>
    <n v="408"/>
    <n v="413"/>
    <n v="2478"/>
    <n v="1.0122549019607843"/>
    <n v="1"/>
    <n v="1.2E-2"/>
    <m/>
    <m/>
    <n v="1"/>
    <n v="412"/>
    <n v="0.99757869249394671"/>
    <m/>
    <m/>
    <m/>
    <m/>
    <x v="0"/>
    <x v="0"/>
    <m/>
    <m/>
    <m/>
    <x v="0"/>
    <x v="0"/>
  </r>
  <r>
    <x v="88"/>
    <x v="1"/>
    <x v="1"/>
    <n v="12"/>
    <n v="6"/>
    <n v="25.7"/>
    <n v="308.39999999999998"/>
    <n v="312"/>
    <n v="1872"/>
    <n v="1.0116731517509729"/>
    <n v="1"/>
    <n v="1.2E-2"/>
    <m/>
    <m/>
    <n v="1"/>
    <n v="311"/>
    <n v="0.99679487179487181"/>
    <m/>
    <m/>
    <m/>
    <m/>
    <x v="0"/>
    <x v="0"/>
    <m/>
    <m/>
    <m/>
    <x v="0"/>
    <x v="0"/>
  </r>
  <r>
    <x v="88"/>
    <x v="75"/>
    <x v="65"/>
    <n v="3"/>
    <n v="0.19"/>
    <n v="759.3"/>
    <n v="2277.8999999999996"/>
    <n v="2261"/>
    <n v="429.59000000000003"/>
    <n v="0.99258088590368343"/>
    <n v="1"/>
    <n v="-7.0000000000000001E-3"/>
    <m/>
    <m/>
    <n v="7"/>
    <n v="2254"/>
    <n v="0.99690402476780182"/>
    <m/>
    <m/>
    <m/>
    <m/>
    <x v="0"/>
    <x v="0"/>
    <m/>
    <m/>
    <m/>
    <x v="0"/>
    <x v="0"/>
  </r>
  <r>
    <x v="88"/>
    <x v="3"/>
    <x v="3"/>
    <n v="32"/>
    <n v="4.5"/>
    <n v="36.299999999999997"/>
    <n v="1161.5999999999999"/>
    <n v="1225"/>
    <n v="5512.5"/>
    <n v="1.0545798898071626"/>
    <n v="1"/>
    <n v="5.5E-2"/>
    <m/>
    <m/>
    <n v="0"/>
    <n v="1225"/>
    <n v="1"/>
    <m/>
    <n v="180"/>
    <s v="(加重工C1020(1130409-01A)"/>
    <m/>
    <x v="0"/>
    <x v="0"/>
    <m/>
    <m/>
    <m/>
    <x v="0"/>
    <x v="0"/>
  </r>
  <r>
    <x v="88"/>
    <x v="65"/>
    <x v="56"/>
    <n v="12"/>
    <n v="9.5"/>
    <n v="16.600000000000001"/>
    <n v="199.20000000000002"/>
    <n v="202"/>
    <n v="1919"/>
    <n v="1.0140562248995983"/>
    <n v="1"/>
    <n v="1.4E-2"/>
    <m/>
    <m/>
    <n v="0"/>
    <n v="202"/>
    <n v="1"/>
    <m/>
    <m/>
    <m/>
    <m/>
    <x v="0"/>
    <x v="0"/>
    <m/>
    <m/>
    <m/>
    <x v="0"/>
    <x v="0"/>
  </r>
  <r>
    <x v="88"/>
    <x v="41"/>
    <x v="39"/>
    <n v="60"/>
    <n v="2.8"/>
    <n v="44.2"/>
    <n v="2652"/>
    <n v="2676"/>
    <n v="7492.7999999999993"/>
    <n v="1.0090497737556561"/>
    <n v="1"/>
    <n v="8.9999999999999993E-3"/>
    <m/>
    <m/>
    <n v="1"/>
    <n v="2675"/>
    <n v="0.99962630792227203"/>
    <m/>
    <m/>
    <m/>
    <m/>
    <x v="0"/>
    <x v="0"/>
    <m/>
    <m/>
    <m/>
    <x v="0"/>
    <x v="0"/>
  </r>
  <r>
    <x v="89"/>
    <x v="8"/>
    <x v="8"/>
    <n v="40"/>
    <n v="0.44"/>
    <n v="344"/>
    <n v="13760"/>
    <n v="13910"/>
    <n v="6120.4"/>
    <n v="1.0109011627906976"/>
    <n v="1"/>
    <n v="1.0999999999999999E-2"/>
    <m/>
    <m/>
    <n v="5"/>
    <n v="13905"/>
    <n v="0.99964054636951838"/>
    <m/>
    <m/>
    <m/>
    <m/>
    <x v="0"/>
    <x v="0"/>
    <m/>
    <m/>
    <m/>
    <x v="0"/>
    <x v="0"/>
  </r>
  <r>
    <x v="89"/>
    <x v="9"/>
    <x v="9"/>
    <n v="32"/>
    <n v="6"/>
    <n v="25.7"/>
    <n v="822.4"/>
    <n v="828"/>
    <n v="4968"/>
    <n v="1.0068093385214008"/>
    <n v="1"/>
    <n v="7.0000000000000001E-3"/>
    <m/>
    <m/>
    <n v="1"/>
    <n v="827"/>
    <n v="0.99879227053140096"/>
    <m/>
    <m/>
    <m/>
    <m/>
    <x v="0"/>
    <x v="0"/>
    <m/>
    <m/>
    <m/>
    <x v="0"/>
    <x v="0"/>
  </r>
  <r>
    <x v="89"/>
    <x v="22"/>
    <x v="10"/>
    <n v="12"/>
    <n v="6"/>
    <n v="25.1"/>
    <n v="301.20000000000005"/>
    <n v="302"/>
    <n v="1812"/>
    <n v="1.0026560424966797"/>
    <n v="1"/>
    <n v="3.0000000000000001E-3"/>
    <m/>
    <m/>
    <n v="2"/>
    <n v="300"/>
    <n v="0.99337748344370858"/>
    <m/>
    <m/>
    <m/>
    <m/>
    <x v="0"/>
    <x v="0"/>
    <m/>
    <m/>
    <m/>
    <x v="0"/>
    <x v="0"/>
  </r>
  <r>
    <x v="89"/>
    <x v="11"/>
    <x v="11"/>
    <n v="72"/>
    <n v="2.8"/>
    <n v="44.5"/>
    <n v="3204"/>
    <n v="3213"/>
    <n v="8996.4"/>
    <n v="1.002808988764045"/>
    <n v="1"/>
    <n v="3.0000000000000001E-3"/>
    <m/>
    <m/>
    <n v="1"/>
    <n v="3212"/>
    <n v="0.99968876439464671"/>
    <m/>
    <m/>
    <m/>
    <m/>
    <x v="0"/>
    <x v="0"/>
    <m/>
    <m/>
    <m/>
    <x v="0"/>
    <x v="0"/>
  </r>
  <r>
    <x v="90"/>
    <x v="13"/>
    <x v="13"/>
    <n v="40"/>
    <n v="0.9"/>
    <n v="160.5"/>
    <n v="6420"/>
    <n v="6574"/>
    <n v="5916.6"/>
    <n v="1.02398753894081"/>
    <n v="1"/>
    <n v="2.4E-2"/>
    <m/>
    <m/>
    <n v="2"/>
    <n v="6572"/>
    <n v="0.99969577121995745"/>
    <m/>
    <m/>
    <m/>
    <m/>
    <x v="0"/>
    <x v="0"/>
    <m/>
    <m/>
    <m/>
    <x v="0"/>
    <x v="0"/>
  </r>
  <r>
    <x v="90"/>
    <x v="19"/>
    <x v="19"/>
    <n v="16"/>
    <n v="6"/>
    <n v="25.5"/>
    <n v="408"/>
    <n v="419"/>
    <n v="2514"/>
    <n v="1.0269607843137254"/>
    <n v="1"/>
    <n v="2.7E-2"/>
    <m/>
    <m/>
    <n v="1"/>
    <n v="418"/>
    <n v="0.99761336515513122"/>
    <m/>
    <m/>
    <m/>
    <m/>
    <x v="0"/>
    <x v="0"/>
    <m/>
    <m/>
    <m/>
    <x v="0"/>
    <x v="0"/>
  </r>
  <r>
    <x v="90"/>
    <x v="18"/>
    <x v="18"/>
    <n v="16"/>
    <n v="6"/>
    <n v="26.4"/>
    <n v="422.4"/>
    <n v="434"/>
    <n v="2604"/>
    <n v="1.0274621212121213"/>
    <n v="1"/>
    <n v="2.7E-2"/>
    <m/>
    <m/>
    <n v="1"/>
    <n v="433"/>
    <n v="0.99769585253456217"/>
    <m/>
    <m/>
    <m/>
    <m/>
    <x v="0"/>
    <x v="0"/>
    <m/>
    <m/>
    <m/>
    <x v="0"/>
    <x v="0"/>
  </r>
  <r>
    <x v="90"/>
    <x v="16"/>
    <x v="16"/>
    <n v="12"/>
    <n v="6"/>
    <n v="26.1"/>
    <n v="313.20000000000005"/>
    <n v="316"/>
    <n v="1896"/>
    <n v="1.0089399744572156"/>
    <n v="1"/>
    <n v="8.9999999999999993E-3"/>
    <m/>
    <m/>
    <n v="1"/>
    <n v="315"/>
    <n v="0.99683544303797467"/>
    <m/>
    <m/>
    <m/>
    <m/>
    <x v="0"/>
    <x v="0"/>
    <m/>
    <m/>
    <m/>
    <x v="0"/>
    <x v="0"/>
  </r>
  <r>
    <x v="90"/>
    <x v="42"/>
    <x v="40"/>
    <n v="9"/>
    <n v="3.5"/>
    <n v="25.4"/>
    <n v="228.6"/>
    <n v="228"/>
    <n v="798"/>
    <n v="0.99737532808398954"/>
    <n v="1"/>
    <n v="-3.0000000000000001E-3"/>
    <m/>
    <m/>
    <n v="0"/>
    <n v="228"/>
    <n v="1"/>
    <m/>
    <m/>
    <m/>
    <m/>
    <x v="0"/>
    <x v="0"/>
    <m/>
    <m/>
    <m/>
    <x v="0"/>
    <x v="0"/>
  </r>
  <r>
    <x v="90"/>
    <x v="78"/>
    <x v="70"/>
    <n v="8"/>
    <n v="0.28999999999999998"/>
    <n v="388"/>
    <n v="3104"/>
    <n v="3183"/>
    <n v="923.06999999999994"/>
    <n v="1.0254510309278351"/>
    <n v="1"/>
    <n v="2.5000000000000001E-2"/>
    <m/>
    <m/>
    <n v="6"/>
    <n v="3177"/>
    <n v="0.998114985862394"/>
    <m/>
    <m/>
    <m/>
    <m/>
    <x v="0"/>
    <x v="0"/>
    <m/>
    <m/>
    <m/>
    <x v="0"/>
    <x v="0"/>
  </r>
  <r>
    <x v="91"/>
    <x v="84"/>
    <x v="76"/>
    <n v="4"/>
    <n v="0.9"/>
    <n v="173"/>
    <n v="692"/>
    <n v="700"/>
    <n v="630"/>
    <n v="1.0115606936416186"/>
    <n v="1"/>
    <n v="1.2E-2"/>
    <m/>
    <m/>
    <n v="2"/>
    <n v="698"/>
    <n v="0.99714285714285711"/>
    <m/>
    <m/>
    <m/>
    <m/>
    <x v="0"/>
    <x v="0"/>
    <m/>
    <m/>
    <m/>
    <x v="0"/>
    <x v="0"/>
  </r>
  <r>
    <x v="91"/>
    <x v="38"/>
    <x v="36"/>
    <n v="3"/>
    <n v="4.5"/>
    <n v="32.799999999999997"/>
    <n v="98.399999999999991"/>
    <n v="97"/>
    <n v="436.5"/>
    <n v="0.9857723577235773"/>
    <n v="1"/>
    <n v="-1.4E-2"/>
    <m/>
    <m/>
    <n v="0"/>
    <n v="97"/>
    <n v="1"/>
    <m/>
    <m/>
    <m/>
    <m/>
    <x v="0"/>
    <x v="0"/>
    <m/>
    <m/>
    <m/>
    <x v="0"/>
    <x v="0"/>
  </r>
  <r>
    <x v="91"/>
    <x v="73"/>
    <x v="63"/>
    <n v="4"/>
    <n v="4.5"/>
    <n v="35"/>
    <n v="140"/>
    <n v="132"/>
    <n v="594"/>
    <n v="0.94285714285714284"/>
    <n v="1"/>
    <n v="-5.7000000000000002E-2"/>
    <m/>
    <m/>
    <n v="0"/>
    <n v="132"/>
    <n v="1"/>
    <m/>
    <m/>
    <m/>
    <m/>
    <x v="0"/>
    <x v="0"/>
    <m/>
    <m/>
    <m/>
    <x v="0"/>
    <x v="0"/>
  </r>
  <r>
    <x v="91"/>
    <x v="51"/>
    <x v="45"/>
    <n v="8"/>
    <n v="9.08"/>
    <n v="17.8"/>
    <n v="142.4"/>
    <n v="145"/>
    <n v="1316.6"/>
    <n v="1.018258426966292"/>
    <n v="1"/>
    <n v="1.7999999999999999E-2"/>
    <m/>
    <m/>
    <n v="1"/>
    <n v="144"/>
    <n v="0.99310344827586206"/>
    <m/>
    <m/>
    <s v="連續製程"/>
    <m/>
    <x v="0"/>
    <x v="0"/>
    <m/>
    <m/>
    <m/>
    <x v="0"/>
    <x v="0"/>
  </r>
  <r>
    <x v="91"/>
    <x v="5"/>
    <x v="5"/>
    <n v="12"/>
    <n v="9.08"/>
    <n v="17.3"/>
    <n v="207.60000000000002"/>
    <n v="208"/>
    <n v="1888.64"/>
    <n v="1.0019267822736029"/>
    <n v="1"/>
    <n v="2E-3"/>
    <m/>
    <m/>
    <n v="0"/>
    <n v="208"/>
    <n v="1"/>
    <m/>
    <m/>
    <m/>
    <m/>
    <x v="0"/>
    <x v="0"/>
    <m/>
    <m/>
    <m/>
    <x v="0"/>
    <x v="0"/>
  </r>
  <r>
    <x v="91"/>
    <x v="17"/>
    <x v="17"/>
    <n v="18"/>
    <n v="3"/>
    <n v="29.7"/>
    <n v="534.6"/>
    <n v="532"/>
    <n v="1596"/>
    <n v="0.99513655069210616"/>
    <n v="1"/>
    <n v="-5.0000000000000001E-3"/>
    <m/>
    <m/>
    <n v="0"/>
    <n v="532"/>
    <n v="1"/>
    <m/>
    <m/>
    <m/>
    <m/>
    <x v="0"/>
    <x v="0"/>
    <m/>
    <m/>
    <m/>
    <x v="0"/>
    <x v="0"/>
  </r>
  <r>
    <x v="91"/>
    <x v="23"/>
    <x v="22"/>
    <n v="24"/>
    <n v="0.34"/>
    <n v="364.6"/>
    <n v="8750.4000000000015"/>
    <n v="8743"/>
    <n v="2972.6200000000003"/>
    <n v="0.99915432437374274"/>
    <n v="1"/>
    <n v="-1E-3"/>
    <m/>
    <m/>
    <n v="3"/>
    <n v="8740"/>
    <n v="0.99965686835182432"/>
    <m/>
    <m/>
    <m/>
    <m/>
    <x v="0"/>
    <x v="0"/>
    <m/>
    <m/>
    <m/>
    <x v="0"/>
    <x v="0"/>
  </r>
  <r>
    <x v="91"/>
    <x v="11"/>
    <x v="11"/>
    <n v="24"/>
    <n v="2.8"/>
    <n v="44.5"/>
    <n v="1068"/>
    <n v="1083"/>
    <n v="3032.3999999999996"/>
    <n v="1.0140449438202248"/>
    <n v="1"/>
    <n v="1.4E-2"/>
    <m/>
    <m/>
    <n v="1"/>
    <n v="1082"/>
    <n v="0.99907663896583565"/>
    <m/>
    <m/>
    <m/>
    <m/>
    <x v="0"/>
    <x v="0"/>
    <m/>
    <m/>
    <m/>
    <x v="0"/>
    <x v="0"/>
  </r>
  <r>
    <x v="92"/>
    <x v="9"/>
    <x v="9"/>
    <n v="20"/>
    <n v="6"/>
    <n v="25.7"/>
    <n v="514"/>
    <n v="519"/>
    <n v="3114"/>
    <n v="1.0097276264591439"/>
    <n v="1"/>
    <n v="0.01"/>
    <m/>
    <m/>
    <n v="3"/>
    <n v="516"/>
    <n v="0.9942196531791907"/>
    <m/>
    <m/>
    <m/>
    <m/>
    <x v="0"/>
    <x v="0"/>
    <m/>
    <m/>
    <m/>
    <x v="0"/>
    <x v="0"/>
  </r>
  <r>
    <x v="92"/>
    <x v="32"/>
    <x v="30"/>
    <n v="16"/>
    <n v="6"/>
    <n v="25.2"/>
    <n v="403.2"/>
    <n v="409"/>
    <n v="2454"/>
    <n v="1.0143849206349207"/>
    <n v="1"/>
    <n v="1.4E-2"/>
    <m/>
    <m/>
    <n v="1"/>
    <n v="408"/>
    <n v="0.99755501222493892"/>
    <m/>
    <m/>
    <m/>
    <m/>
    <x v="0"/>
    <x v="0"/>
    <m/>
    <m/>
    <m/>
    <x v="0"/>
    <x v="0"/>
  </r>
  <r>
    <x v="92"/>
    <x v="62"/>
    <x v="10"/>
    <n v="6"/>
    <n v="6"/>
    <n v="25.5"/>
    <n v="153"/>
    <n v="155"/>
    <n v="930"/>
    <n v="1.0130718954248366"/>
    <n v="1"/>
    <n v="1.2999999999999999E-2"/>
    <m/>
    <m/>
    <n v="1"/>
    <n v="154"/>
    <n v="0.99354838709677418"/>
    <m/>
    <m/>
    <m/>
    <m/>
    <x v="0"/>
    <x v="0"/>
    <m/>
    <m/>
    <m/>
    <x v="0"/>
    <x v="0"/>
  </r>
  <r>
    <x v="92"/>
    <x v="48"/>
    <x v="17"/>
    <n v="18"/>
    <n v="3"/>
    <n v="30.8"/>
    <n v="554.4"/>
    <n v="556"/>
    <n v="1668"/>
    <n v="1.0028860028860029"/>
    <n v="1"/>
    <n v="3.0000000000000001E-3"/>
    <m/>
    <m/>
    <n v="0"/>
    <n v="556"/>
    <n v="1"/>
    <m/>
    <m/>
    <m/>
    <m/>
    <x v="0"/>
    <x v="0"/>
    <m/>
    <m/>
    <m/>
    <x v="0"/>
    <x v="0"/>
  </r>
  <r>
    <x v="92"/>
    <x v="11"/>
    <x v="11"/>
    <n v="72"/>
    <n v="2.8"/>
    <n v="44.5"/>
    <n v="3204"/>
    <n v="3219"/>
    <n v="9013.1999999999989"/>
    <n v="1.0046816479400749"/>
    <n v="1"/>
    <n v="5.0000000000000001E-3"/>
    <m/>
    <m/>
    <n v="1"/>
    <n v="3218"/>
    <n v="0.9996893445169307"/>
    <m/>
    <m/>
    <m/>
    <m/>
    <x v="0"/>
    <x v="0"/>
    <m/>
    <m/>
    <m/>
    <x v="0"/>
    <x v="0"/>
  </r>
  <r>
    <x v="93"/>
    <x v="2"/>
    <x v="2"/>
    <n v="30"/>
    <n v="6"/>
    <n v="26.6"/>
    <n v="798"/>
    <n v="808"/>
    <n v="4848"/>
    <n v="1.0125313283208019"/>
    <n v="1"/>
    <n v="1.2999999999999999E-2"/>
    <m/>
    <m/>
    <n v="2"/>
    <n v="806"/>
    <n v="0.99752475247524752"/>
    <m/>
    <m/>
    <m/>
    <m/>
    <x v="0"/>
    <x v="0"/>
    <m/>
    <m/>
    <m/>
    <x v="0"/>
    <x v="0"/>
  </r>
  <r>
    <x v="93"/>
    <x v="36"/>
    <x v="34"/>
    <n v="6"/>
    <n v="6"/>
    <n v="24.3"/>
    <n v="145.80000000000001"/>
    <n v="149"/>
    <n v="894"/>
    <n v="1.0219478737997256"/>
    <n v="1"/>
    <n v="2.1999999999999999E-2"/>
    <m/>
    <m/>
    <n v="1"/>
    <n v="148"/>
    <n v="0.99328859060402686"/>
    <m/>
    <m/>
    <m/>
    <m/>
    <x v="0"/>
    <x v="0"/>
    <m/>
    <m/>
    <m/>
    <x v="0"/>
    <x v="0"/>
  </r>
  <r>
    <x v="93"/>
    <x v="67"/>
    <x v="58"/>
    <n v="12"/>
    <n v="4.5"/>
    <n v="33.200000000000003"/>
    <n v="398.40000000000003"/>
    <n v="406"/>
    <n v="1827"/>
    <n v="1.0190763052208835"/>
    <n v="1"/>
    <n v="1.9E-2"/>
    <m/>
    <m/>
    <n v="0"/>
    <n v="406"/>
    <n v="1"/>
    <m/>
    <m/>
    <m/>
    <m/>
    <x v="0"/>
    <x v="0"/>
    <m/>
    <m/>
    <m/>
    <x v="0"/>
    <x v="0"/>
  </r>
  <r>
    <x v="93"/>
    <x v="50"/>
    <x v="44"/>
    <n v="12"/>
    <n v="4.5"/>
    <n v="36.799999999999997"/>
    <n v="441.59999999999997"/>
    <n v="445"/>
    <n v="2002.5"/>
    <n v="1.0076992753623188"/>
    <n v="1"/>
    <n v="8.0000000000000002E-3"/>
    <m/>
    <m/>
    <n v="0"/>
    <n v="445"/>
    <n v="1"/>
    <m/>
    <m/>
    <m/>
    <m/>
    <x v="0"/>
    <x v="0"/>
    <m/>
    <m/>
    <m/>
    <x v="0"/>
    <x v="0"/>
  </r>
  <r>
    <x v="93"/>
    <x v="9"/>
    <x v="9"/>
    <n v="20"/>
    <n v="6"/>
    <n v="25.7"/>
    <n v="514"/>
    <n v="515"/>
    <n v="3090"/>
    <n v="1.0019455252918288"/>
    <n v="1"/>
    <n v="2E-3"/>
    <m/>
    <m/>
    <n v="1"/>
    <n v="514"/>
    <n v="0.99805825242718449"/>
    <m/>
    <m/>
    <m/>
    <m/>
    <x v="0"/>
    <x v="0"/>
    <m/>
    <m/>
    <m/>
    <x v="0"/>
    <x v="0"/>
  </r>
  <r>
    <x v="93"/>
    <x v="6"/>
    <x v="6"/>
    <n v="24"/>
    <n v="0.4"/>
    <n v="309.2"/>
    <n v="7420.7999999999993"/>
    <n v="7663"/>
    <n v="3065.2000000000003"/>
    <n v="1.0326379905131524"/>
    <n v="1"/>
    <n v="3.3000000000000002E-2"/>
    <m/>
    <m/>
    <n v="3"/>
    <n v="7660"/>
    <n v="0.99960850841706905"/>
    <m/>
    <m/>
    <m/>
    <m/>
    <x v="0"/>
    <x v="0"/>
    <m/>
    <m/>
    <m/>
    <x v="0"/>
    <x v="0"/>
  </r>
  <r>
    <x v="93"/>
    <x v="34"/>
    <x v="32"/>
    <n v="16"/>
    <n v="0.34"/>
    <n v="358.3"/>
    <n v="5732.8"/>
    <n v="5635"/>
    <n v="1915.9"/>
    <n v="0.98294027351381519"/>
    <n v="1"/>
    <n v="-1.7000000000000001E-2"/>
    <m/>
    <m/>
    <n v="3"/>
    <n v="5632"/>
    <n v="0.99946761313220944"/>
    <m/>
    <m/>
    <m/>
    <m/>
    <x v="0"/>
    <x v="0"/>
    <m/>
    <m/>
    <m/>
    <x v="0"/>
    <x v="0"/>
  </r>
  <r>
    <x v="94"/>
    <x v="15"/>
    <x v="15"/>
    <n v="64"/>
    <n v="3.2"/>
    <n v="46.8"/>
    <n v="2995.2"/>
    <n v="3033"/>
    <n v="9705.6"/>
    <n v="1.0126201923076923"/>
    <n v="1"/>
    <n v="1.2999999999999999E-2"/>
    <m/>
    <m/>
    <n v="2"/>
    <n v="3031"/>
    <n v="0.9993405868776789"/>
    <m/>
    <m/>
    <m/>
    <m/>
    <x v="0"/>
    <x v="0"/>
    <m/>
    <m/>
    <m/>
    <x v="0"/>
    <x v="0"/>
  </r>
  <r>
    <x v="94"/>
    <x v="22"/>
    <x v="10"/>
    <n v="40"/>
    <n v="6"/>
    <n v="25.1"/>
    <n v="1004"/>
    <n v="1039"/>
    <n v="6234"/>
    <n v="1.0348605577689243"/>
    <n v="1"/>
    <n v="3.5000000000000003E-2"/>
    <m/>
    <m/>
    <n v="1"/>
    <n v="1038"/>
    <n v="0.99903753609239654"/>
    <m/>
    <m/>
    <m/>
    <m/>
    <x v="0"/>
    <x v="0"/>
    <m/>
    <m/>
    <m/>
    <x v="0"/>
    <x v="0"/>
  </r>
  <r>
    <x v="94"/>
    <x v="11"/>
    <x v="11"/>
    <n v="28"/>
    <n v="2.8"/>
    <n v="44.5"/>
    <n v="1246"/>
    <n v="1264"/>
    <n v="3539.2"/>
    <n v="1.014446227929374"/>
    <n v="1"/>
    <n v="1.4E-2"/>
    <m/>
    <m/>
    <n v="1"/>
    <n v="1263"/>
    <n v="0.99920886075949367"/>
    <m/>
    <m/>
    <m/>
    <m/>
    <x v="0"/>
    <x v="0"/>
    <m/>
    <m/>
    <m/>
    <x v="0"/>
    <x v="0"/>
  </r>
  <r>
    <x v="94"/>
    <x v="41"/>
    <x v="39"/>
    <n v="28"/>
    <n v="2.8"/>
    <n v="44.2"/>
    <n v="1237.6000000000001"/>
    <n v="1240"/>
    <n v="3472"/>
    <n v="1.0019392372333549"/>
    <n v="1"/>
    <n v="2E-3"/>
    <m/>
    <m/>
    <n v="1"/>
    <n v="1239"/>
    <n v="0.99919354838709673"/>
    <m/>
    <m/>
    <m/>
    <m/>
    <x v="0"/>
    <x v="0"/>
    <m/>
    <m/>
    <m/>
    <x v="0"/>
    <x v="0"/>
  </r>
  <r>
    <x v="95"/>
    <x v="9"/>
    <x v="9"/>
    <n v="32"/>
    <n v="6"/>
    <n v="25.7"/>
    <n v="822.4"/>
    <n v="840"/>
    <n v="5040"/>
    <n v="1.0214007782101167"/>
    <n v="1"/>
    <n v="2.1000000000000001E-2"/>
    <m/>
    <m/>
    <n v="8"/>
    <n v="832"/>
    <n v="0.99047619047619051"/>
    <m/>
    <m/>
    <m/>
    <m/>
    <x v="0"/>
    <x v="0"/>
    <m/>
    <m/>
    <m/>
    <x v="0"/>
    <x v="0"/>
  </r>
  <r>
    <x v="95"/>
    <x v="80"/>
    <x v="72"/>
    <n v="8"/>
    <n v="6"/>
    <n v="25.3"/>
    <n v="202.4"/>
    <n v="199"/>
    <n v="1194"/>
    <n v="0.98320158102766797"/>
    <n v="1"/>
    <n v="-1.7000000000000001E-2"/>
    <m/>
    <m/>
    <n v="1"/>
    <n v="198"/>
    <n v="0.99497487437185927"/>
    <m/>
    <m/>
    <m/>
    <m/>
    <x v="0"/>
    <x v="0"/>
    <m/>
    <m/>
    <m/>
    <x v="0"/>
    <x v="0"/>
  </r>
  <r>
    <x v="95"/>
    <x v="46"/>
    <x v="17"/>
    <n v="18"/>
    <n v="3"/>
    <n v="31.6"/>
    <n v="568.80000000000007"/>
    <n v="572"/>
    <n v="1716"/>
    <n v="1.0056258790436003"/>
    <n v="1"/>
    <n v="6.0000000000000001E-3"/>
    <m/>
    <m/>
    <n v="0"/>
    <n v="572"/>
    <n v="1"/>
    <m/>
    <m/>
    <m/>
    <m/>
    <x v="0"/>
    <x v="0"/>
    <m/>
    <m/>
    <m/>
    <x v="0"/>
    <x v="0"/>
  </r>
  <r>
    <x v="95"/>
    <x v="24"/>
    <x v="23"/>
    <n v="12"/>
    <n v="0.34"/>
    <n v="366"/>
    <n v="4392"/>
    <n v="4497"/>
    <n v="1528.98"/>
    <n v="1.0239071038251366"/>
    <n v="1"/>
    <n v="2.4E-2"/>
    <m/>
    <m/>
    <n v="3"/>
    <n v="4494"/>
    <n v="0.99933288859239489"/>
    <m/>
    <m/>
    <m/>
    <m/>
    <x v="0"/>
    <x v="0"/>
    <m/>
    <m/>
    <m/>
    <x v="0"/>
    <x v="0"/>
  </r>
  <r>
    <x v="95"/>
    <x v="61"/>
    <x v="33"/>
    <n v="20"/>
    <n v="18"/>
    <n v="6.9"/>
    <n v="138"/>
    <n v="137"/>
    <n v="2466"/>
    <n v="0.99275362318840576"/>
    <n v="1"/>
    <n v="-7.0000000000000001E-3"/>
    <m/>
    <m/>
    <n v="0"/>
    <n v="137"/>
    <n v="1"/>
    <m/>
    <m/>
    <m/>
    <m/>
    <x v="0"/>
    <x v="0"/>
    <m/>
    <m/>
    <m/>
    <x v="0"/>
    <x v="0"/>
  </r>
  <r>
    <x v="96"/>
    <x v="8"/>
    <x v="8"/>
    <n v="24"/>
    <n v="0.44"/>
    <n v="344"/>
    <n v="8256"/>
    <n v="8302"/>
    <n v="3652.88"/>
    <n v="1.0055717054263567"/>
    <n v="1"/>
    <n v="6.0000000000000001E-3"/>
    <m/>
    <m/>
    <n v="11"/>
    <n v="8291"/>
    <n v="0.99867501806793546"/>
    <m/>
    <m/>
    <m/>
    <m/>
    <x v="0"/>
    <x v="0"/>
    <m/>
    <m/>
    <m/>
    <x v="0"/>
    <x v="0"/>
  </r>
  <r>
    <x v="96"/>
    <x v="71"/>
    <x v="61"/>
    <n v="8"/>
    <n v="0.17"/>
    <n v="912.6"/>
    <n v="7300.8"/>
    <n v="7366"/>
    <n v="1252.22"/>
    <n v="1.0089305281612975"/>
    <n v="1"/>
    <n v="8.9999999999999993E-3"/>
    <m/>
    <m/>
    <n v="9"/>
    <n v="7357"/>
    <n v="0.99877816997013302"/>
    <m/>
    <m/>
    <m/>
    <m/>
    <x v="0"/>
    <x v="0"/>
    <m/>
    <m/>
    <m/>
    <x v="0"/>
    <x v="0"/>
  </r>
  <r>
    <x v="96"/>
    <x v="19"/>
    <x v="19"/>
    <n v="16"/>
    <n v="6"/>
    <n v="25.5"/>
    <n v="408"/>
    <n v="418"/>
    <n v="2508"/>
    <n v="1.0245098039215685"/>
    <n v="1"/>
    <n v="2.5000000000000001E-2"/>
    <m/>
    <m/>
    <n v="1"/>
    <n v="417"/>
    <n v="0.99760765550239239"/>
    <m/>
    <m/>
    <m/>
    <m/>
    <x v="0"/>
    <x v="0"/>
    <m/>
    <m/>
    <m/>
    <x v="0"/>
    <x v="0"/>
  </r>
  <r>
    <x v="96"/>
    <x v="16"/>
    <x v="16"/>
    <n v="20"/>
    <n v="6"/>
    <n v="26.1"/>
    <n v="522"/>
    <n v="533"/>
    <n v="3198"/>
    <n v="1.0210727969348659"/>
    <n v="1"/>
    <n v="2.1000000000000001E-2"/>
    <m/>
    <m/>
    <n v="1"/>
    <n v="532"/>
    <n v="0.99812382739212002"/>
    <m/>
    <m/>
    <m/>
    <m/>
    <x v="0"/>
    <x v="0"/>
    <m/>
    <m/>
    <m/>
    <x v="0"/>
    <x v="0"/>
  </r>
  <r>
    <x v="96"/>
    <x v="20"/>
    <x v="20"/>
    <n v="8"/>
    <n v="6"/>
    <n v="25"/>
    <n v="200"/>
    <n v="205"/>
    <n v="1230"/>
    <n v="1.0249999999999999"/>
    <n v="1"/>
    <n v="2.5000000000000001E-2"/>
    <m/>
    <m/>
    <n v="1"/>
    <n v="204"/>
    <n v="0.99512195121951219"/>
    <m/>
    <m/>
    <m/>
    <m/>
    <x v="0"/>
    <x v="0"/>
    <m/>
    <m/>
    <m/>
    <x v="0"/>
    <x v="0"/>
  </r>
  <r>
    <x v="96"/>
    <x v="11"/>
    <x v="11"/>
    <n v="60"/>
    <n v="2.8"/>
    <n v="44.5"/>
    <n v="2670"/>
    <n v="2693"/>
    <n v="7540.4"/>
    <n v="1.0086142322097378"/>
    <n v="1"/>
    <n v="8.9999999999999993E-3"/>
    <m/>
    <m/>
    <n v="1"/>
    <n v="2692"/>
    <n v="0.99962866691422203"/>
    <m/>
    <m/>
    <m/>
    <m/>
    <x v="0"/>
    <x v="0"/>
    <m/>
    <m/>
    <m/>
    <x v="0"/>
    <x v="0"/>
  </r>
  <r>
    <x v="97"/>
    <x v="15"/>
    <x v="15"/>
    <n v="64"/>
    <n v="3.2"/>
    <n v="46.8"/>
    <n v="2995.2"/>
    <n v="3041"/>
    <n v="9731.2000000000007"/>
    <n v="1.0152911324786325"/>
    <n v="1"/>
    <n v="1.4999999999999999E-2"/>
    <m/>
    <m/>
    <n v="7"/>
    <n v="3034"/>
    <n v="0.99769812561657345"/>
    <m/>
    <m/>
    <m/>
    <m/>
    <x v="0"/>
    <x v="0"/>
    <m/>
    <m/>
    <m/>
    <x v="0"/>
    <x v="0"/>
  </r>
  <r>
    <x v="97"/>
    <x v="18"/>
    <x v="18"/>
    <n v="16"/>
    <n v="6"/>
    <n v="26.4"/>
    <n v="422.4"/>
    <n v="427"/>
    <n v="2562"/>
    <n v="1.0108901515151516"/>
    <n v="1"/>
    <n v="1.0999999999999999E-2"/>
    <m/>
    <m/>
    <n v="2"/>
    <n v="425"/>
    <n v="0.99531615925058547"/>
    <m/>
    <m/>
    <m/>
    <m/>
    <x v="0"/>
    <x v="0"/>
    <m/>
    <m/>
    <m/>
    <x v="0"/>
    <x v="0"/>
  </r>
  <r>
    <x v="97"/>
    <x v="69"/>
    <x v="2"/>
    <n v="12"/>
    <n v="6"/>
    <n v="25.5"/>
    <n v="306"/>
    <n v="307"/>
    <n v="1842"/>
    <n v="1.0032679738562091"/>
    <n v="1"/>
    <n v="3.0000000000000001E-3"/>
    <m/>
    <m/>
    <n v="1"/>
    <n v="306"/>
    <n v="0.99674267100977199"/>
    <m/>
    <m/>
    <m/>
    <m/>
    <x v="0"/>
    <x v="0"/>
    <m/>
    <m/>
    <m/>
    <x v="0"/>
    <x v="0"/>
  </r>
  <r>
    <x v="97"/>
    <x v="9"/>
    <x v="9"/>
    <n v="16"/>
    <n v="6"/>
    <n v="25.7"/>
    <n v="411.2"/>
    <n v="415"/>
    <n v="2490"/>
    <n v="1.0092412451361867"/>
    <n v="1"/>
    <n v="8.9999999999999993E-3"/>
    <m/>
    <m/>
    <n v="1"/>
    <n v="414"/>
    <n v="0.99759036144578317"/>
    <m/>
    <m/>
    <m/>
    <m/>
    <x v="0"/>
    <x v="0"/>
    <m/>
    <m/>
    <m/>
    <x v="0"/>
    <x v="0"/>
  </r>
  <r>
    <x v="97"/>
    <x v="23"/>
    <x v="22"/>
    <n v="36"/>
    <n v="0.34"/>
    <n v="364.6"/>
    <n v="13125.6"/>
    <n v="12923"/>
    <n v="4393.8200000000006"/>
    <n v="0.98456451514597421"/>
    <n v="1"/>
    <n v="-1.4999999999999999E-2"/>
    <m/>
    <m/>
    <n v="3"/>
    <n v="12920"/>
    <n v="0.99976785576104621"/>
    <m/>
    <m/>
    <m/>
    <m/>
    <x v="0"/>
    <x v="0"/>
    <m/>
    <m/>
    <m/>
    <x v="0"/>
    <x v="0"/>
  </r>
  <r>
    <x v="98"/>
    <x v="49"/>
    <x v="43"/>
    <n v="15"/>
    <n v="0.43"/>
    <n v="364"/>
    <n v="5460"/>
    <n v="5524"/>
    <n v="2375.3200000000002"/>
    <n v="1.0117216117216117"/>
    <n v="1"/>
    <n v="1.2E-2"/>
    <m/>
    <m/>
    <n v="7"/>
    <n v="5517"/>
    <n v="0.99873280231716144"/>
    <m/>
    <m/>
    <m/>
    <m/>
    <x v="0"/>
    <x v="0"/>
    <m/>
    <m/>
    <m/>
    <x v="0"/>
    <x v="0"/>
  </r>
  <r>
    <x v="98"/>
    <x v="43"/>
    <x v="41"/>
    <n v="16"/>
    <n v="0.26"/>
    <n v="584.29999999999995"/>
    <n v="9348.7999999999993"/>
    <n v="9436"/>
    <n v="2453.36"/>
    <n v="1.009327400308061"/>
    <n v="1"/>
    <n v="8.9999999999999993E-3"/>
    <m/>
    <m/>
    <n v="13"/>
    <n v="9423"/>
    <n v="0.9986222975837219"/>
    <m/>
    <m/>
    <m/>
    <m/>
    <x v="0"/>
    <x v="0"/>
    <m/>
    <m/>
    <m/>
    <x v="0"/>
    <x v="0"/>
  </r>
  <r>
    <x v="98"/>
    <x v="9"/>
    <x v="9"/>
    <n v="28"/>
    <n v="6"/>
    <n v="25.7"/>
    <n v="719.6"/>
    <n v="733"/>
    <n v="4398"/>
    <n v="1.018621456364647"/>
    <n v="1"/>
    <n v="1.9E-2"/>
    <m/>
    <m/>
    <n v="1"/>
    <n v="732"/>
    <n v="0.99863574351978168"/>
    <m/>
    <m/>
    <m/>
    <m/>
    <x v="0"/>
    <x v="0"/>
    <m/>
    <m/>
    <m/>
    <x v="0"/>
    <x v="0"/>
  </r>
  <r>
    <x v="98"/>
    <x v="11"/>
    <x v="11"/>
    <n v="60"/>
    <n v="2.8"/>
    <n v="44.5"/>
    <n v="2670"/>
    <n v="2667"/>
    <n v="7467.5999999999995"/>
    <n v="0.99887640449438198"/>
    <n v="1"/>
    <n v="-1E-3"/>
    <m/>
    <m/>
    <n v="1"/>
    <n v="2666"/>
    <n v="0.99962504686914133"/>
    <m/>
    <m/>
    <m/>
    <m/>
    <x v="0"/>
    <x v="0"/>
    <m/>
    <m/>
    <m/>
    <x v="0"/>
    <x v="0"/>
  </r>
  <r>
    <x v="99"/>
    <x v="2"/>
    <x v="2"/>
    <n v="30"/>
    <n v="6"/>
    <n v="26.6"/>
    <n v="798"/>
    <n v="814"/>
    <n v="4884"/>
    <n v="1.0200501253132832"/>
    <n v="1"/>
    <n v="0.02"/>
    <m/>
    <m/>
    <n v="1"/>
    <n v="813"/>
    <n v="0.99877149877149873"/>
    <m/>
    <m/>
    <m/>
    <m/>
    <x v="0"/>
    <x v="0"/>
    <m/>
    <m/>
    <m/>
    <x v="0"/>
    <x v="0"/>
  </r>
  <r>
    <x v="99"/>
    <x v="74"/>
    <x v="64"/>
    <n v="6"/>
    <n v="6"/>
    <n v="25.2"/>
    <n v="151.19999999999999"/>
    <n v="144"/>
    <n v="864"/>
    <n v="0.95238095238095244"/>
    <n v="1"/>
    <n v="-4.8000000000000001E-2"/>
    <m/>
    <m/>
    <n v="1"/>
    <n v="143"/>
    <n v="0.99305555555555558"/>
    <m/>
    <m/>
    <s v="充填管路製程不同"/>
    <m/>
    <x v="0"/>
    <x v="0"/>
    <m/>
    <m/>
    <m/>
    <x v="0"/>
    <x v="0"/>
  </r>
  <r>
    <x v="99"/>
    <x v="52"/>
    <x v="46"/>
    <n v="6"/>
    <n v="4.5"/>
    <n v="35.6"/>
    <n v="213.60000000000002"/>
    <n v="216"/>
    <n v="972"/>
    <n v="1.0112359550561796"/>
    <n v="1"/>
    <n v="1.0999999999999999E-2"/>
    <m/>
    <m/>
    <n v="0"/>
    <n v="216"/>
    <n v="1"/>
    <m/>
    <m/>
    <m/>
    <m/>
    <x v="0"/>
    <x v="0"/>
    <m/>
    <m/>
    <m/>
    <x v="0"/>
    <x v="0"/>
  </r>
  <r>
    <x v="99"/>
    <x v="67"/>
    <x v="58"/>
    <n v="24"/>
    <n v="4.5"/>
    <n v="33.200000000000003"/>
    <n v="796.80000000000007"/>
    <n v="805"/>
    <n v="3622.5"/>
    <n v="1.0102911646586346"/>
    <n v="1"/>
    <n v="0.01"/>
    <m/>
    <m/>
    <n v="0"/>
    <n v="805"/>
    <n v="1"/>
    <m/>
    <m/>
    <m/>
    <m/>
    <x v="0"/>
    <x v="0"/>
    <m/>
    <m/>
    <m/>
    <x v="0"/>
    <x v="0"/>
  </r>
  <r>
    <x v="99"/>
    <x v="22"/>
    <x v="10"/>
    <n v="12"/>
    <n v="6"/>
    <n v="25.1"/>
    <n v="301.20000000000005"/>
    <n v="305"/>
    <n v="1830"/>
    <n v="1.0126162018592295"/>
    <n v="1"/>
    <n v="1.2999999999999999E-2"/>
    <m/>
    <m/>
    <n v="1"/>
    <n v="304"/>
    <n v="0.99672131147540988"/>
    <m/>
    <m/>
    <m/>
    <m/>
    <x v="0"/>
    <x v="0"/>
    <m/>
    <m/>
    <m/>
    <x v="0"/>
    <x v="0"/>
  </r>
  <r>
    <x v="99"/>
    <x v="17"/>
    <x v="17"/>
    <n v="18"/>
    <n v="3"/>
    <n v="29.7"/>
    <n v="534.6"/>
    <n v="540"/>
    <n v="1620"/>
    <n v="1.0101010101010102"/>
    <n v="1"/>
    <n v="0.01"/>
    <m/>
    <m/>
    <n v="0"/>
    <n v="540"/>
    <n v="1"/>
    <m/>
    <m/>
    <m/>
    <m/>
    <x v="0"/>
    <x v="0"/>
    <m/>
    <m/>
    <m/>
    <x v="0"/>
    <x v="0"/>
  </r>
  <r>
    <x v="100"/>
    <x v="21"/>
    <x v="21"/>
    <n v="32"/>
    <n v="3.2"/>
    <n v="46.4"/>
    <n v="1484.8"/>
    <n v="1501"/>
    <n v="4803.2"/>
    <n v="1.0109105603448276"/>
    <n v="1"/>
    <n v="1.0999999999999999E-2"/>
    <m/>
    <m/>
    <n v="1"/>
    <n v="1500"/>
    <n v="0.99933377748167884"/>
    <m/>
    <m/>
    <m/>
    <m/>
    <x v="0"/>
    <x v="0"/>
    <m/>
    <m/>
    <m/>
    <x v="0"/>
    <x v="0"/>
  </r>
  <r>
    <x v="100"/>
    <x v="15"/>
    <x v="15"/>
    <n v="32"/>
    <n v="3.2"/>
    <n v="46.8"/>
    <n v="1497.6"/>
    <n v="1506"/>
    <n v="4819.2"/>
    <n v="1.0056089743589745"/>
    <n v="1"/>
    <n v="6.0000000000000001E-3"/>
    <m/>
    <m/>
    <n v="1"/>
    <n v="1505"/>
    <n v="0.99933598937583001"/>
    <m/>
    <m/>
    <m/>
    <m/>
    <x v="0"/>
    <x v="0"/>
    <m/>
    <m/>
    <m/>
    <x v="0"/>
    <x v="0"/>
  </r>
  <r>
    <x v="100"/>
    <x v="17"/>
    <x v="17"/>
    <n v="18"/>
    <n v="3"/>
    <n v="29.7"/>
    <n v="534.6"/>
    <n v="534"/>
    <n v="1602"/>
    <n v="0.99887766554433222"/>
    <n v="1"/>
    <n v="-1E-3"/>
    <m/>
    <m/>
    <n v="0"/>
    <n v="534"/>
    <n v="1"/>
    <m/>
    <m/>
    <m/>
    <m/>
    <x v="0"/>
    <x v="0"/>
    <m/>
    <m/>
    <m/>
    <x v="0"/>
    <x v="0"/>
  </r>
  <r>
    <x v="101"/>
    <x v="26"/>
    <x v="25"/>
    <n v="16"/>
    <n v="0.9"/>
    <n v="163"/>
    <n v="2608"/>
    <n v="2613"/>
    <n v="2351.7000000000003"/>
    <n v="1.0019171779141105"/>
    <n v="1"/>
    <n v="2E-3"/>
    <m/>
    <m/>
    <n v="11"/>
    <n v="2602"/>
    <n v="0.99579027937236897"/>
    <m/>
    <m/>
    <m/>
    <m/>
    <x v="0"/>
    <x v="0"/>
    <m/>
    <m/>
    <m/>
    <x v="0"/>
    <x v="0"/>
  </r>
  <r>
    <x v="101"/>
    <x v="27"/>
    <x v="26"/>
    <n v="36"/>
    <n v="3.2"/>
    <n v="47.5"/>
    <n v="1710"/>
    <n v="1755"/>
    <n v="5616"/>
    <n v="1.0263157894736843"/>
    <n v="1"/>
    <n v="2.5999999999999999E-2"/>
    <m/>
    <m/>
    <n v="2"/>
    <n v="1753"/>
    <n v="0.9988603988603989"/>
    <m/>
    <m/>
    <m/>
    <m/>
    <x v="0"/>
    <x v="0"/>
    <m/>
    <m/>
    <m/>
    <x v="0"/>
    <x v="0"/>
  </r>
  <r>
    <x v="101"/>
    <x v="16"/>
    <x v="16"/>
    <n v="20"/>
    <n v="6"/>
    <n v="26.1"/>
    <n v="522"/>
    <n v="528"/>
    <n v="3168"/>
    <n v="1.0114942528735633"/>
    <n v="1"/>
    <n v="1.0999999999999999E-2"/>
    <m/>
    <m/>
    <n v="1"/>
    <n v="527"/>
    <n v="0.99810606060606055"/>
    <m/>
    <m/>
    <m/>
    <m/>
    <x v="0"/>
    <x v="0"/>
    <m/>
    <m/>
    <m/>
    <x v="0"/>
    <x v="0"/>
  </r>
  <r>
    <x v="101"/>
    <x v="9"/>
    <x v="9"/>
    <n v="20"/>
    <n v="6"/>
    <n v="25.7"/>
    <n v="514"/>
    <n v="518"/>
    <n v="3108"/>
    <n v="1.0077821011673151"/>
    <n v="1"/>
    <n v="8.0000000000000002E-3"/>
    <m/>
    <m/>
    <n v="1"/>
    <n v="517"/>
    <n v="0.99806949806949807"/>
    <m/>
    <m/>
    <m/>
    <m/>
    <x v="0"/>
    <x v="0"/>
    <m/>
    <m/>
    <m/>
    <x v="0"/>
    <x v="0"/>
  </r>
  <r>
    <x v="102"/>
    <x v="15"/>
    <x v="15"/>
    <n v="60"/>
    <n v="3.2"/>
    <n v="46.8"/>
    <n v="2808"/>
    <n v="2839"/>
    <n v="9084.8000000000011"/>
    <n v="1.0110398860398861"/>
    <n v="1"/>
    <n v="1.0999999999999999E-2"/>
    <m/>
    <m/>
    <n v="2"/>
    <n v="2837"/>
    <n v="0.99929552659387111"/>
    <m/>
    <m/>
    <m/>
    <m/>
    <x v="0"/>
    <x v="0"/>
    <m/>
    <m/>
    <m/>
    <x v="0"/>
    <x v="0"/>
  </r>
  <r>
    <x v="102"/>
    <x v="10"/>
    <x v="10"/>
    <n v="28"/>
    <n v="6"/>
    <n v="25.4"/>
    <n v="711.19999999999993"/>
    <n v="723"/>
    <n v="4338"/>
    <n v="1.0165916760404949"/>
    <n v="1"/>
    <n v="1.7000000000000001E-2"/>
    <m/>
    <m/>
    <n v="1"/>
    <n v="722"/>
    <n v="0.99861687413554634"/>
    <m/>
    <m/>
    <m/>
    <m/>
    <x v="0"/>
    <x v="0"/>
    <m/>
    <m/>
    <m/>
    <x v="0"/>
    <x v="0"/>
  </r>
  <r>
    <x v="102"/>
    <x v="32"/>
    <x v="30"/>
    <n v="16"/>
    <n v="6"/>
    <n v="25.2"/>
    <n v="403.2"/>
    <n v="409"/>
    <n v="2454"/>
    <n v="1.0143849206349207"/>
    <n v="1"/>
    <n v="1.4E-2"/>
    <m/>
    <m/>
    <n v="0"/>
    <n v="409"/>
    <n v="1"/>
    <m/>
    <m/>
    <m/>
    <m/>
    <x v="0"/>
    <x v="0"/>
    <m/>
    <m/>
    <m/>
    <x v="0"/>
    <x v="0"/>
  </r>
  <r>
    <x v="102"/>
    <x v="46"/>
    <x v="17"/>
    <n v="18"/>
    <n v="3"/>
    <n v="31.6"/>
    <n v="568.80000000000007"/>
    <n v="572"/>
    <n v="1716"/>
    <n v="1.0056258790436003"/>
    <n v="1"/>
    <n v="6.0000000000000001E-3"/>
    <m/>
    <m/>
    <n v="0"/>
    <n v="572"/>
    <n v="1"/>
    <m/>
    <m/>
    <m/>
    <m/>
    <x v="0"/>
    <x v="0"/>
    <m/>
    <m/>
    <m/>
    <x v="0"/>
    <x v="0"/>
  </r>
  <r>
    <x v="103"/>
    <x v="82"/>
    <x v="74"/>
    <n v="6"/>
    <n v="6"/>
    <n v="24.5"/>
    <n v="147"/>
    <n v="141"/>
    <n v="846"/>
    <n v="0.95918367346938771"/>
    <n v="1"/>
    <n v="-4.1000000000000002E-2"/>
    <m/>
    <m/>
    <n v="1"/>
    <n v="140"/>
    <n v="0.99290780141843971"/>
    <m/>
    <m/>
    <s v="鍋數少"/>
    <m/>
    <x v="0"/>
    <x v="0"/>
    <m/>
    <m/>
    <m/>
    <x v="0"/>
    <x v="0"/>
  </r>
  <r>
    <x v="103"/>
    <x v="47"/>
    <x v="42"/>
    <n v="12"/>
    <n v="6"/>
    <n v="25.6"/>
    <n v="307.20000000000005"/>
    <n v="357"/>
    <n v="2142"/>
    <n v="1.1621093749999998"/>
    <n v="1"/>
    <n v="0.16200000000000001"/>
    <m/>
    <m/>
    <n v="1"/>
    <n v="356"/>
    <n v="0.99719887955182074"/>
    <m/>
    <n v="288"/>
    <s v="加退貨48包(加重工D0291(1130418-01B))"/>
    <m/>
    <x v="0"/>
    <x v="0"/>
    <m/>
    <m/>
    <m/>
    <x v="0"/>
    <x v="0"/>
  </r>
  <r>
    <x v="103"/>
    <x v="3"/>
    <x v="3"/>
    <n v="40"/>
    <n v="4.5"/>
    <n v="36.299999999999997"/>
    <n v="1452"/>
    <n v="1466"/>
    <n v="6597"/>
    <n v="1.0096418732782368"/>
    <n v="1"/>
    <n v="0.01"/>
    <m/>
    <m/>
    <n v="0"/>
    <n v="1466"/>
    <n v="1"/>
    <m/>
    <m/>
    <m/>
    <m/>
    <x v="0"/>
    <x v="0"/>
    <m/>
    <m/>
    <m/>
    <x v="0"/>
    <x v="0"/>
  </r>
  <r>
    <x v="103"/>
    <x v="48"/>
    <x v="17"/>
    <n v="18"/>
    <n v="3"/>
    <n v="30.8"/>
    <n v="554.4"/>
    <n v="556"/>
    <n v="1668"/>
    <n v="1.0028860028860029"/>
    <n v="1"/>
    <n v="3.0000000000000001E-3"/>
    <m/>
    <m/>
    <n v="0"/>
    <n v="556"/>
    <n v="1"/>
    <m/>
    <m/>
    <m/>
    <m/>
    <x v="0"/>
    <x v="0"/>
    <m/>
    <m/>
    <m/>
    <x v="0"/>
    <x v="0"/>
  </r>
  <r>
    <x v="104"/>
    <x v="8"/>
    <x v="8"/>
    <n v="24"/>
    <n v="0.44"/>
    <n v="344"/>
    <n v="8256"/>
    <n v="8200"/>
    <n v="3608"/>
    <n v="0.99321705426356588"/>
    <n v="1"/>
    <n v="-7.0000000000000001E-3"/>
    <m/>
    <m/>
    <n v="10"/>
    <n v="8190"/>
    <n v="0.99878048780487805"/>
    <m/>
    <m/>
    <m/>
    <m/>
    <x v="0"/>
    <x v="0"/>
    <m/>
    <m/>
    <m/>
    <x v="0"/>
    <x v="0"/>
  </r>
  <r>
    <x v="104"/>
    <x v="13"/>
    <x v="13"/>
    <n v="20"/>
    <n v="0.9"/>
    <n v="160.5"/>
    <n v="3210"/>
    <n v="3217"/>
    <n v="2895.3"/>
    <n v="1.0021806853582556"/>
    <n v="1"/>
    <n v="2E-3"/>
    <m/>
    <m/>
    <n v="2"/>
    <n v="3215"/>
    <n v="0.99937830276655271"/>
    <m/>
    <m/>
    <m/>
    <m/>
    <x v="0"/>
    <x v="0"/>
    <m/>
    <m/>
    <m/>
    <x v="0"/>
    <x v="0"/>
  </r>
  <r>
    <x v="104"/>
    <x v="4"/>
    <x v="4"/>
    <n v="8"/>
    <n v="4.5"/>
    <n v="34.5"/>
    <n v="276"/>
    <n v="285"/>
    <n v="1282.5"/>
    <n v="1.0326086956521738"/>
    <n v="1"/>
    <n v="3.3000000000000002E-2"/>
    <m/>
    <m/>
    <n v="0"/>
    <n v="285"/>
    <n v="1"/>
    <m/>
    <m/>
    <m/>
    <m/>
    <x v="0"/>
    <x v="0"/>
    <m/>
    <m/>
    <m/>
    <x v="0"/>
    <x v="0"/>
  </r>
  <r>
    <x v="104"/>
    <x v="59"/>
    <x v="52"/>
    <n v="8"/>
    <n v="4.5"/>
    <n v="34.9"/>
    <n v="279.2"/>
    <n v="284"/>
    <n v="1278"/>
    <n v="1.0171919770773639"/>
    <n v="1"/>
    <n v="1.7000000000000001E-2"/>
    <m/>
    <m/>
    <n v="0"/>
    <n v="284"/>
    <n v="1"/>
    <m/>
    <m/>
    <m/>
    <m/>
    <x v="0"/>
    <x v="0"/>
    <m/>
    <m/>
    <m/>
    <x v="0"/>
    <x v="0"/>
  </r>
  <r>
    <x v="104"/>
    <x v="9"/>
    <x v="9"/>
    <n v="24"/>
    <n v="6"/>
    <n v="25.7"/>
    <n v="616.79999999999995"/>
    <n v="629"/>
    <n v="3774"/>
    <n v="1.0197795071335929"/>
    <n v="1"/>
    <n v="0.02"/>
    <m/>
    <m/>
    <n v="4"/>
    <n v="625"/>
    <n v="0.99364069952305245"/>
    <m/>
    <m/>
    <m/>
    <m/>
    <x v="0"/>
    <x v="0"/>
    <m/>
    <m/>
    <m/>
    <x v="0"/>
    <x v="0"/>
  </r>
  <r>
    <x v="105"/>
    <x v="45"/>
    <x v="10"/>
    <n v="16"/>
    <n v="6"/>
    <n v="26.4"/>
    <n v="422.4"/>
    <n v="422"/>
    <n v="2532"/>
    <n v="0.99905303030303039"/>
    <n v="1"/>
    <n v="-1E-3"/>
    <m/>
    <m/>
    <n v="1"/>
    <n v="421"/>
    <n v="0.99763033175355453"/>
    <m/>
    <m/>
    <m/>
    <m/>
    <x v="0"/>
    <x v="0"/>
    <m/>
    <m/>
    <m/>
    <x v="0"/>
    <x v="0"/>
  </r>
  <r>
    <x v="105"/>
    <x v="10"/>
    <x v="10"/>
    <n v="24"/>
    <n v="6"/>
    <n v="25.4"/>
    <n v="609.59999999999991"/>
    <n v="623"/>
    <n v="3738"/>
    <n v="1.021981627296588"/>
    <n v="1"/>
    <n v="2.1999999999999999E-2"/>
    <m/>
    <m/>
    <n v="1"/>
    <n v="622"/>
    <n v="0.9983948635634029"/>
    <m/>
    <m/>
    <m/>
    <m/>
    <x v="0"/>
    <x v="0"/>
    <m/>
    <m/>
    <m/>
    <x v="0"/>
    <x v="0"/>
  </r>
  <r>
    <x v="105"/>
    <x v="41"/>
    <x v="39"/>
    <n v="60"/>
    <n v="2.8"/>
    <n v="44.2"/>
    <n v="2652"/>
    <n v="2677"/>
    <n v="7495.5999999999995"/>
    <n v="1.0094268476621417"/>
    <n v="1"/>
    <n v="8.9999999999999993E-3"/>
    <m/>
    <m/>
    <n v="5"/>
    <n v="2672"/>
    <n v="0.99813223757937986"/>
    <m/>
    <m/>
    <m/>
    <m/>
    <x v="0"/>
    <x v="0"/>
    <m/>
    <m/>
    <m/>
    <x v="0"/>
    <x v="0"/>
  </r>
  <r>
    <x v="106"/>
    <x v="43"/>
    <x v="41"/>
    <n v="24"/>
    <n v="0.26"/>
    <n v="584.29999999999995"/>
    <n v="14023.199999999999"/>
    <n v="14116"/>
    <n v="3670.1600000000003"/>
    <n v="1.0066176051115296"/>
    <n v="1"/>
    <n v="7.0000000000000001E-3"/>
    <m/>
    <m/>
    <n v="26"/>
    <n v="14090"/>
    <n v="0.99815811844715219"/>
    <m/>
    <m/>
    <m/>
    <m/>
    <x v="0"/>
    <x v="0"/>
    <m/>
    <m/>
    <m/>
    <x v="0"/>
    <x v="0"/>
  </r>
  <r>
    <x v="106"/>
    <x v="44"/>
    <x v="41"/>
    <n v="4"/>
    <n v="0.26"/>
    <n v="592"/>
    <n v="2368"/>
    <n v="2367"/>
    <n v="615.42000000000007"/>
    <n v="0.99957770270270274"/>
    <n v="1"/>
    <n v="0"/>
    <m/>
    <m/>
    <n v="6"/>
    <n v="2361"/>
    <n v="0.99746514575411915"/>
    <m/>
    <m/>
    <m/>
    <m/>
    <x v="0"/>
    <x v="0"/>
    <m/>
    <m/>
    <m/>
    <x v="0"/>
    <x v="0"/>
  </r>
  <r>
    <x v="106"/>
    <x v="80"/>
    <x v="72"/>
    <n v="8"/>
    <n v="6"/>
    <n v="25.3"/>
    <n v="202.4"/>
    <n v="210"/>
    <n v="1260"/>
    <n v="1.0375494071146245"/>
    <n v="1"/>
    <n v="3.7999999999999999E-2"/>
    <m/>
    <m/>
    <n v="2"/>
    <n v="208"/>
    <n v="0.99047619047619051"/>
    <m/>
    <m/>
    <m/>
    <m/>
    <x v="0"/>
    <x v="0"/>
    <m/>
    <m/>
    <m/>
    <x v="0"/>
    <x v="0"/>
  </r>
  <r>
    <x v="106"/>
    <x v="9"/>
    <x v="9"/>
    <n v="32"/>
    <n v="6"/>
    <n v="25.7"/>
    <n v="822.4"/>
    <n v="834"/>
    <n v="5004"/>
    <n v="1.0141050583657587"/>
    <n v="1"/>
    <n v="1.4E-2"/>
    <m/>
    <m/>
    <n v="2"/>
    <n v="832"/>
    <n v="0.99760191846522783"/>
    <m/>
    <m/>
    <m/>
    <m/>
    <x v="0"/>
    <x v="0"/>
    <m/>
    <m/>
    <m/>
    <x v="0"/>
    <x v="0"/>
  </r>
  <r>
    <x v="107"/>
    <x v="55"/>
    <x v="48"/>
    <n v="40"/>
    <n v="18"/>
    <n v="6.9"/>
    <n v="276"/>
    <n v="280"/>
    <n v="5040"/>
    <n v="1.0144927536231885"/>
    <n v="1"/>
    <n v="1.4E-2"/>
    <m/>
    <m/>
    <n v="0"/>
    <n v="280"/>
    <n v="1"/>
    <m/>
    <m/>
    <m/>
    <m/>
    <x v="0"/>
    <x v="0"/>
    <m/>
    <m/>
    <m/>
    <x v="0"/>
    <x v="0"/>
  </r>
  <r>
    <x v="108"/>
    <x v="15"/>
    <x v="15"/>
    <n v="60"/>
    <n v="3.2"/>
    <n v="46.8"/>
    <n v="2808"/>
    <n v="2851"/>
    <n v="9123.2000000000007"/>
    <n v="1.0153133903133904"/>
    <n v="1"/>
    <n v="1.4999999999999999E-2"/>
    <m/>
    <m/>
    <n v="2"/>
    <n v="2849"/>
    <n v="0.99929849175727814"/>
    <m/>
    <m/>
    <m/>
    <m/>
    <x v="0"/>
    <x v="0"/>
    <m/>
    <m/>
    <m/>
    <x v="0"/>
    <x v="0"/>
  </r>
  <r>
    <x v="108"/>
    <x v="16"/>
    <x v="16"/>
    <n v="16"/>
    <n v="6"/>
    <n v="26.1"/>
    <n v="417.6"/>
    <n v="426"/>
    <n v="2556"/>
    <n v="1.0201149425287355"/>
    <n v="1"/>
    <n v="0.02"/>
    <m/>
    <m/>
    <n v="1"/>
    <n v="425"/>
    <n v="0.99765258215962438"/>
    <m/>
    <m/>
    <m/>
    <m/>
    <x v="0"/>
    <x v="0"/>
    <m/>
    <m/>
    <m/>
    <x v="0"/>
    <x v="0"/>
  </r>
  <r>
    <x v="108"/>
    <x v="67"/>
    <x v="58"/>
    <n v="8"/>
    <n v="4.5"/>
    <n v="33.200000000000003"/>
    <n v="265.60000000000002"/>
    <n v="264"/>
    <n v="1188"/>
    <n v="0.99397590361445776"/>
    <n v="1"/>
    <n v="-6.0000000000000001E-3"/>
    <m/>
    <m/>
    <n v="0"/>
    <n v="264"/>
    <n v="1"/>
    <m/>
    <m/>
    <m/>
    <m/>
    <x v="0"/>
    <x v="0"/>
    <m/>
    <m/>
    <m/>
    <x v="0"/>
    <x v="0"/>
  </r>
  <r>
    <x v="108"/>
    <x v="69"/>
    <x v="2"/>
    <n v="16"/>
    <n v="6"/>
    <n v="25.5"/>
    <n v="408"/>
    <n v="406"/>
    <n v="2436"/>
    <n v="0.99509803921568629"/>
    <n v="1"/>
    <n v="-5.0000000000000001E-3"/>
    <m/>
    <m/>
    <n v="2"/>
    <n v="404"/>
    <n v="0.99507389162561577"/>
    <m/>
    <m/>
    <m/>
    <m/>
    <x v="0"/>
    <x v="0"/>
    <m/>
    <m/>
    <m/>
    <x v="0"/>
    <x v="0"/>
  </r>
  <r>
    <x v="108"/>
    <x v="11"/>
    <x v="11"/>
    <n v="60"/>
    <n v="2.8"/>
    <n v="44.5"/>
    <n v="2670"/>
    <n v="2675"/>
    <n v="7489.9999999999991"/>
    <n v="1.0018726591760299"/>
    <n v="1"/>
    <n v="2E-3"/>
    <m/>
    <m/>
    <n v="5"/>
    <n v="2670"/>
    <n v="0.9981308411214953"/>
    <m/>
    <m/>
    <m/>
    <m/>
    <x v="0"/>
    <x v="0"/>
    <m/>
    <m/>
    <m/>
    <x v="0"/>
    <x v="0"/>
  </r>
  <r>
    <x v="109"/>
    <x v="8"/>
    <x v="8"/>
    <n v="40"/>
    <n v="0.44"/>
    <n v="344"/>
    <n v="13760"/>
    <n v="13881"/>
    <n v="6107.64"/>
    <n v="1.0087936046511627"/>
    <n v="1"/>
    <n v="8.9999999999999993E-3"/>
    <m/>
    <m/>
    <n v="6"/>
    <n v="13875"/>
    <n v="0.99956775448454727"/>
    <m/>
    <m/>
    <m/>
    <m/>
    <x v="0"/>
    <x v="0"/>
    <m/>
    <m/>
    <m/>
    <x v="0"/>
    <x v="0"/>
  </r>
  <r>
    <x v="109"/>
    <x v="22"/>
    <x v="10"/>
    <n v="16"/>
    <n v="6"/>
    <n v="25.1"/>
    <n v="401.6"/>
    <n v="410"/>
    <n v="2460"/>
    <n v="1.0209163346613546"/>
    <n v="1"/>
    <n v="2.1000000000000001E-2"/>
    <m/>
    <m/>
    <n v="1"/>
    <n v="409"/>
    <n v="0.9975609756097561"/>
    <m/>
    <m/>
    <m/>
    <m/>
    <x v="0"/>
    <x v="0"/>
    <m/>
    <m/>
    <m/>
    <x v="0"/>
    <x v="0"/>
  </r>
  <r>
    <x v="109"/>
    <x v="9"/>
    <x v="9"/>
    <n v="24"/>
    <n v="6"/>
    <n v="25.7"/>
    <n v="616.79999999999995"/>
    <n v="623"/>
    <n v="3738"/>
    <n v="1.0100518806744487"/>
    <n v="1"/>
    <n v="0.01"/>
    <m/>
    <m/>
    <n v="0"/>
    <n v="623"/>
    <n v="1"/>
    <m/>
    <m/>
    <m/>
    <m/>
    <x v="0"/>
    <x v="0"/>
    <m/>
    <m/>
    <m/>
    <x v="0"/>
    <x v="0"/>
  </r>
  <r>
    <x v="109"/>
    <x v="11"/>
    <x v="11"/>
    <n v="60"/>
    <n v="2.8"/>
    <n v="44.5"/>
    <n v="2670"/>
    <n v="2678"/>
    <n v="7498.4"/>
    <n v="1.002996254681648"/>
    <n v="1"/>
    <n v="3.0000000000000001E-3"/>
    <m/>
    <m/>
    <n v="1"/>
    <n v="2677"/>
    <n v="0.99962658700522777"/>
    <m/>
    <m/>
    <m/>
    <m/>
    <x v="0"/>
    <x v="0"/>
    <m/>
    <m/>
    <m/>
    <x v="0"/>
    <x v="0"/>
  </r>
  <r>
    <x v="110"/>
    <x v="15"/>
    <x v="15"/>
    <n v="60"/>
    <n v="3.2"/>
    <n v="46.8"/>
    <n v="2808"/>
    <n v="2839"/>
    <n v="9084.8000000000011"/>
    <n v="1.0110398860398861"/>
    <n v="1"/>
    <n v="1.0999999999999999E-2"/>
    <m/>
    <m/>
    <n v="2"/>
    <n v="2837"/>
    <n v="0.99929552659387111"/>
    <m/>
    <m/>
    <m/>
    <m/>
    <x v="0"/>
    <x v="0"/>
    <m/>
    <m/>
    <m/>
    <x v="0"/>
    <x v="0"/>
  </r>
  <r>
    <x v="110"/>
    <x v="10"/>
    <x v="10"/>
    <n v="20"/>
    <n v="6"/>
    <n v="25.4"/>
    <n v="508"/>
    <n v="515"/>
    <n v="3090"/>
    <n v="1.0137795275590551"/>
    <n v="1"/>
    <n v="1.4E-2"/>
    <m/>
    <m/>
    <n v="1"/>
    <n v="514"/>
    <n v="0.99805825242718449"/>
    <m/>
    <m/>
    <m/>
    <m/>
    <x v="0"/>
    <x v="0"/>
    <m/>
    <m/>
    <m/>
    <x v="0"/>
    <x v="0"/>
  </r>
  <r>
    <x v="110"/>
    <x v="9"/>
    <x v="9"/>
    <n v="20"/>
    <n v="6"/>
    <n v="25.7"/>
    <n v="514"/>
    <n v="517"/>
    <n v="3102"/>
    <n v="1.0058365758754864"/>
    <n v="1"/>
    <n v="6.0000000000000001E-3"/>
    <m/>
    <m/>
    <n v="2"/>
    <n v="515"/>
    <n v="0.99613152804642169"/>
    <m/>
    <m/>
    <m/>
    <m/>
    <x v="0"/>
    <x v="0"/>
    <m/>
    <m/>
    <m/>
    <x v="0"/>
    <x v="0"/>
  </r>
  <r>
    <x v="110"/>
    <x v="61"/>
    <x v="33"/>
    <n v="40"/>
    <n v="18"/>
    <n v="6.9"/>
    <n v="276"/>
    <n v="279"/>
    <n v="5022"/>
    <n v="1.0108695652173914"/>
    <n v="1"/>
    <n v="1.0999999999999999E-2"/>
    <m/>
    <m/>
    <n v="0"/>
    <n v="279"/>
    <n v="1"/>
    <m/>
    <m/>
    <m/>
    <m/>
    <x v="0"/>
    <x v="0"/>
    <m/>
    <m/>
    <m/>
    <x v="0"/>
    <x v="0"/>
  </r>
  <r>
    <x v="111"/>
    <x v="0"/>
    <x v="0"/>
    <n v="12"/>
    <n v="6"/>
    <n v="25.5"/>
    <n v="306"/>
    <n v="307"/>
    <n v="1842"/>
    <n v="1.0032679738562091"/>
    <n v="1"/>
    <n v="3.0000000000000001E-3"/>
    <m/>
    <m/>
    <n v="1"/>
    <n v="306"/>
    <n v="0.99674267100977199"/>
    <m/>
    <m/>
    <m/>
    <m/>
    <x v="0"/>
    <x v="0"/>
    <m/>
    <m/>
    <m/>
    <x v="0"/>
    <x v="0"/>
  </r>
  <r>
    <x v="111"/>
    <x v="2"/>
    <x v="2"/>
    <n v="24"/>
    <n v="6"/>
    <n v="26.6"/>
    <n v="638.40000000000009"/>
    <n v="650"/>
    <n v="3900"/>
    <n v="1.0181704260651627"/>
    <n v="1"/>
    <n v="1.7999999999999999E-2"/>
    <m/>
    <m/>
    <n v="2"/>
    <n v="648"/>
    <n v="0.99692307692307691"/>
    <m/>
    <m/>
    <m/>
    <m/>
    <x v="0"/>
    <x v="0"/>
    <m/>
    <m/>
    <m/>
    <x v="0"/>
    <x v="0"/>
  </r>
  <r>
    <x v="111"/>
    <x v="9"/>
    <x v="9"/>
    <n v="20"/>
    <n v="6"/>
    <n v="25.7"/>
    <n v="514"/>
    <n v="528"/>
    <n v="3168"/>
    <n v="1.027237354085603"/>
    <n v="1"/>
    <n v="2.7E-2"/>
    <m/>
    <m/>
    <n v="1"/>
    <n v="527"/>
    <n v="0.99810606060606055"/>
    <m/>
    <m/>
    <m/>
    <m/>
    <x v="0"/>
    <x v="0"/>
    <m/>
    <m/>
    <m/>
    <x v="0"/>
    <x v="0"/>
  </r>
  <r>
    <x v="111"/>
    <x v="19"/>
    <x v="19"/>
    <n v="16"/>
    <n v="6"/>
    <n v="25.5"/>
    <n v="408"/>
    <n v="414"/>
    <n v="2484"/>
    <n v="1.0147058823529411"/>
    <n v="1"/>
    <n v="1.4999999999999999E-2"/>
    <m/>
    <m/>
    <n v="1"/>
    <n v="413"/>
    <n v="0.99758454106280192"/>
    <m/>
    <m/>
    <m/>
    <m/>
    <x v="0"/>
    <x v="0"/>
    <m/>
    <m/>
    <m/>
    <x v="0"/>
    <x v="0"/>
  </r>
  <r>
    <x v="111"/>
    <x v="34"/>
    <x v="32"/>
    <n v="20"/>
    <n v="0.34"/>
    <n v="358.3"/>
    <n v="7166"/>
    <n v="7256"/>
    <n v="2467.04"/>
    <n v="1.0125593078425901"/>
    <n v="1"/>
    <n v="1.2999999999999999E-2"/>
    <m/>
    <m/>
    <n v="5"/>
    <n v="7251"/>
    <n v="0.9993109151047409"/>
    <m/>
    <m/>
    <m/>
    <m/>
    <x v="0"/>
    <x v="0"/>
    <m/>
    <m/>
    <m/>
    <x v="0"/>
    <x v="0"/>
  </r>
  <r>
    <x v="111"/>
    <x v="23"/>
    <x v="22"/>
    <n v="12"/>
    <n v="0.34"/>
    <n v="364.6"/>
    <n v="4375.2000000000007"/>
    <n v="4526"/>
    <n v="1538.8400000000001"/>
    <n v="1.0344669957944779"/>
    <n v="1"/>
    <n v="3.4000000000000002E-2"/>
    <m/>
    <m/>
    <n v="4"/>
    <n v="4522"/>
    <n v="0.99911621741051704"/>
    <m/>
    <m/>
    <m/>
    <m/>
    <x v="0"/>
    <x v="0"/>
    <m/>
    <m/>
    <m/>
    <x v="0"/>
    <x v="0"/>
  </r>
  <r>
    <x v="112"/>
    <x v="18"/>
    <x v="18"/>
    <n v="8"/>
    <n v="6"/>
    <n v="26.4"/>
    <n v="211.2"/>
    <n v="206"/>
    <n v="1236"/>
    <n v="0.97537878787878796"/>
    <n v="1"/>
    <n v="-2.5000000000000001E-2"/>
    <m/>
    <m/>
    <n v="1"/>
    <n v="205"/>
    <n v="0.99514563106796117"/>
    <m/>
    <m/>
    <m/>
    <m/>
    <x v="0"/>
    <x v="0"/>
    <m/>
    <m/>
    <m/>
    <x v="0"/>
    <x v="0"/>
  </r>
  <r>
    <x v="112"/>
    <x v="17"/>
    <x v="17"/>
    <n v="18"/>
    <n v="3"/>
    <n v="29.7"/>
    <n v="534.6"/>
    <n v="540"/>
    <n v="1620"/>
    <n v="1.0101010101010102"/>
    <n v="1"/>
    <n v="0.01"/>
    <m/>
    <m/>
    <n v="0"/>
    <n v="540"/>
    <n v="1"/>
    <m/>
    <m/>
    <m/>
    <m/>
    <x v="0"/>
    <x v="0"/>
    <m/>
    <m/>
    <m/>
    <x v="0"/>
    <x v="0"/>
  </r>
  <r>
    <x v="112"/>
    <x v="35"/>
    <x v="33"/>
    <n v="8"/>
    <n v="18"/>
    <n v="6.6"/>
    <n v="52.8"/>
    <n v="51"/>
    <n v="918"/>
    <n v="0.96590909090909094"/>
    <n v="1"/>
    <n v="-3.4000000000000002E-2"/>
    <m/>
    <m/>
    <n v="0"/>
    <n v="51"/>
    <n v="1"/>
    <m/>
    <m/>
    <s v="鍋數少、重量大"/>
    <m/>
    <x v="0"/>
    <x v="0"/>
    <m/>
    <m/>
    <m/>
    <x v="0"/>
    <x v="0"/>
  </r>
  <r>
    <x v="112"/>
    <x v="41"/>
    <x v="39"/>
    <n v="48"/>
    <n v="2.8"/>
    <n v="44.2"/>
    <n v="2121.6000000000004"/>
    <n v="2126"/>
    <n v="5952.7999999999993"/>
    <n v="1.002073906485671"/>
    <n v="1"/>
    <n v="2E-3"/>
    <m/>
    <m/>
    <n v="1"/>
    <n v="2125"/>
    <n v="0.99952963311382881"/>
    <m/>
    <m/>
    <m/>
    <m/>
    <x v="0"/>
    <x v="0"/>
    <m/>
    <m/>
    <m/>
    <x v="0"/>
    <x v="0"/>
  </r>
  <r>
    <x v="113"/>
    <x v="30"/>
    <x v="28"/>
    <n v="8"/>
    <n v="0.43"/>
    <n v="340.4"/>
    <n v="2723.2"/>
    <n v="2717"/>
    <n v="1168.31"/>
    <n v="0.99772326674500589"/>
    <n v="1"/>
    <n v="-2E-3"/>
    <m/>
    <m/>
    <n v="6"/>
    <n v="2711"/>
    <n v="0.99779168200220836"/>
    <m/>
    <m/>
    <m/>
    <m/>
    <x v="0"/>
    <x v="0"/>
    <m/>
    <m/>
    <m/>
    <x v="0"/>
    <x v="0"/>
  </r>
  <r>
    <x v="113"/>
    <x v="63"/>
    <x v="54"/>
    <n v="4"/>
    <n v="0.21"/>
    <n v="698.4"/>
    <n v="2793.6"/>
    <n v="2829"/>
    <n v="594.09"/>
    <n v="1.0126718213058419"/>
    <n v="1"/>
    <n v="1.2999999999999999E-2"/>
    <m/>
    <m/>
    <n v="11"/>
    <n v="2818"/>
    <n v="0.99611170024743723"/>
    <m/>
    <m/>
    <s v="倒料方式生產"/>
    <m/>
    <x v="0"/>
    <x v="0"/>
    <m/>
    <m/>
    <m/>
    <x v="0"/>
    <x v="0"/>
  </r>
  <r>
    <x v="113"/>
    <x v="22"/>
    <x v="10"/>
    <n v="16"/>
    <n v="6"/>
    <n v="25.1"/>
    <n v="401.6"/>
    <n v="409"/>
    <n v="2454"/>
    <n v="1.018426294820717"/>
    <n v="1"/>
    <n v="1.7999999999999999E-2"/>
    <m/>
    <m/>
    <n v="2"/>
    <n v="407"/>
    <n v="0.99511002444987773"/>
    <m/>
    <m/>
    <m/>
    <m/>
    <x v="0"/>
    <x v="0"/>
    <m/>
    <m/>
    <m/>
    <x v="0"/>
    <x v="0"/>
  </r>
  <r>
    <x v="113"/>
    <x v="16"/>
    <x v="16"/>
    <n v="20"/>
    <n v="6"/>
    <n v="26.1"/>
    <n v="522"/>
    <n v="527"/>
    <n v="3162"/>
    <n v="1.0095785440613028"/>
    <n v="1"/>
    <n v="0.01"/>
    <m/>
    <m/>
    <n v="2"/>
    <n v="525"/>
    <n v="0.99620493358633777"/>
    <m/>
    <m/>
    <m/>
    <m/>
    <x v="0"/>
    <x v="0"/>
    <m/>
    <m/>
    <m/>
    <x v="0"/>
    <x v="0"/>
  </r>
  <r>
    <x v="113"/>
    <x v="11"/>
    <x v="11"/>
    <n v="72"/>
    <n v="2.8"/>
    <n v="44.5"/>
    <n v="3204"/>
    <n v="3255"/>
    <n v="9114"/>
    <n v="1.0159176029962547"/>
    <n v="1"/>
    <n v="1.6E-2"/>
    <m/>
    <m/>
    <n v="1"/>
    <n v="3254"/>
    <n v="0.99969278033794162"/>
    <m/>
    <m/>
    <m/>
    <m/>
    <x v="0"/>
    <x v="0"/>
    <m/>
    <m/>
    <m/>
    <x v="0"/>
    <x v="0"/>
  </r>
  <r>
    <x v="114"/>
    <x v="27"/>
    <x v="26"/>
    <n v="36"/>
    <n v="3.2"/>
    <n v="47.5"/>
    <n v="1710"/>
    <n v="1725"/>
    <n v="5520"/>
    <n v="1.0087719298245614"/>
    <n v="1"/>
    <n v="8.9999999999999993E-3"/>
    <m/>
    <m/>
    <n v="1"/>
    <n v="1724"/>
    <n v="0.99942028985507247"/>
    <m/>
    <m/>
    <m/>
    <m/>
    <x v="0"/>
    <x v="0"/>
    <m/>
    <m/>
    <m/>
    <x v="0"/>
    <x v="0"/>
  </r>
  <r>
    <x v="114"/>
    <x v="21"/>
    <x v="21"/>
    <n v="36"/>
    <n v="3.2"/>
    <n v="46.4"/>
    <n v="1670.3999999999999"/>
    <n v="1675"/>
    <n v="5360"/>
    <n v="1.0027538314176245"/>
    <n v="1"/>
    <n v="3.0000000000000001E-3"/>
    <m/>
    <m/>
    <n v="1"/>
    <n v="1674"/>
    <n v="0.99940298507462688"/>
    <m/>
    <m/>
    <m/>
    <m/>
    <x v="0"/>
    <x v="0"/>
    <m/>
    <m/>
    <m/>
    <x v="0"/>
    <x v="0"/>
  </r>
  <r>
    <x v="114"/>
    <x v="18"/>
    <x v="18"/>
    <n v="16"/>
    <n v="6"/>
    <n v="26.4"/>
    <n v="422.4"/>
    <n v="429"/>
    <n v="2574"/>
    <n v="1.015625"/>
    <n v="1"/>
    <n v="1.6E-2"/>
    <m/>
    <m/>
    <n v="1"/>
    <n v="428"/>
    <n v="0.99766899766899764"/>
    <m/>
    <m/>
    <m/>
    <m/>
    <x v="0"/>
    <x v="0"/>
    <m/>
    <m/>
    <m/>
    <x v="0"/>
    <x v="0"/>
  </r>
  <r>
    <x v="114"/>
    <x v="51"/>
    <x v="45"/>
    <n v="8"/>
    <n v="9.08"/>
    <n v="17.8"/>
    <n v="142.4"/>
    <n v="143"/>
    <n v="1298.44"/>
    <n v="1.0042134831460674"/>
    <n v="1"/>
    <n v="4.0000000000000001E-3"/>
    <m/>
    <m/>
    <n v="0"/>
    <n v="143"/>
    <n v="1"/>
    <m/>
    <m/>
    <m/>
    <m/>
    <x v="0"/>
    <x v="0"/>
    <m/>
    <m/>
    <m/>
    <x v="0"/>
    <x v="0"/>
  </r>
  <r>
    <x v="114"/>
    <x v="73"/>
    <x v="63"/>
    <n v="4"/>
    <n v="4.5"/>
    <n v="35"/>
    <n v="140"/>
    <n v="148"/>
    <n v="666"/>
    <n v="1.0571428571428572"/>
    <n v="1"/>
    <n v="5.7000000000000002E-2"/>
    <m/>
    <m/>
    <n v="0"/>
    <n v="148"/>
    <n v="1"/>
    <m/>
    <m/>
    <m/>
    <m/>
    <x v="0"/>
    <x v="0"/>
    <m/>
    <m/>
    <m/>
    <x v="0"/>
    <x v="0"/>
  </r>
  <r>
    <x v="114"/>
    <x v="6"/>
    <x v="6"/>
    <n v="36"/>
    <n v="0.4"/>
    <n v="309.2"/>
    <n v="11131.199999999999"/>
    <n v="11193"/>
    <n v="4477.2"/>
    <n v="1.005551962052609"/>
    <n v="1"/>
    <n v="6.0000000000000001E-3"/>
    <m/>
    <m/>
    <n v="3"/>
    <n v="11190"/>
    <n v="0.99973197534173142"/>
    <m/>
    <m/>
    <m/>
    <m/>
    <x v="0"/>
    <x v="0"/>
    <m/>
    <m/>
    <m/>
    <x v="0"/>
    <x v="0"/>
  </r>
  <r>
    <x v="115"/>
    <x v="1"/>
    <x v="1"/>
    <n v="12"/>
    <n v="6"/>
    <n v="25.7"/>
    <n v="308.39999999999998"/>
    <n v="303"/>
    <n v="1818"/>
    <n v="0.98249027237354092"/>
    <n v="1"/>
    <n v="-1.7999999999999999E-2"/>
    <m/>
    <m/>
    <n v="1"/>
    <n v="302"/>
    <n v="0.99669966996699666"/>
    <m/>
    <m/>
    <m/>
    <m/>
    <x v="0"/>
    <x v="0"/>
    <m/>
    <m/>
    <m/>
    <x v="0"/>
    <x v="0"/>
  </r>
  <r>
    <x v="115"/>
    <x v="37"/>
    <x v="35"/>
    <n v="6"/>
    <n v="6"/>
    <n v="25.6"/>
    <n v="153.60000000000002"/>
    <n v="149"/>
    <n v="894"/>
    <n v="0.97005208333333315"/>
    <n v="1"/>
    <n v="-0.03"/>
    <m/>
    <m/>
    <n v="0"/>
    <n v="149"/>
    <n v="1"/>
    <m/>
    <m/>
    <m/>
    <m/>
    <x v="0"/>
    <x v="0"/>
    <m/>
    <m/>
    <m/>
    <x v="0"/>
    <x v="0"/>
  </r>
  <r>
    <x v="115"/>
    <x v="74"/>
    <x v="64"/>
    <n v="6"/>
    <n v="6"/>
    <n v="25.2"/>
    <n v="151.19999999999999"/>
    <n v="152"/>
    <n v="912"/>
    <n v="1.0052910052910053"/>
    <n v="1"/>
    <n v="5.0000000000000001E-3"/>
    <m/>
    <m/>
    <n v="1"/>
    <n v="151"/>
    <n v="0.99342105263157898"/>
    <m/>
    <m/>
    <m/>
    <m/>
    <x v="0"/>
    <x v="0"/>
    <m/>
    <m/>
    <m/>
    <x v="0"/>
    <x v="0"/>
  </r>
  <r>
    <x v="115"/>
    <x v="10"/>
    <x v="10"/>
    <n v="16"/>
    <n v="6"/>
    <n v="25.4"/>
    <n v="406.4"/>
    <n v="409"/>
    <n v="2454"/>
    <n v="1.0063976377952757"/>
    <n v="1"/>
    <n v="6.0000000000000001E-3"/>
    <m/>
    <m/>
    <n v="1"/>
    <n v="408"/>
    <n v="0.99755501222493892"/>
    <m/>
    <m/>
    <m/>
    <m/>
    <x v="0"/>
    <x v="0"/>
    <m/>
    <m/>
    <m/>
    <x v="0"/>
    <x v="0"/>
  </r>
  <r>
    <x v="115"/>
    <x v="9"/>
    <x v="9"/>
    <n v="24"/>
    <n v="6"/>
    <n v="25.7"/>
    <n v="616.79999999999995"/>
    <n v="624"/>
    <n v="3744"/>
    <n v="1.0116731517509729"/>
    <n v="1"/>
    <n v="1.2E-2"/>
    <m/>
    <m/>
    <n v="1"/>
    <n v="623"/>
    <n v="0.9983974358974359"/>
    <m/>
    <m/>
    <m/>
    <m/>
    <x v="0"/>
    <x v="0"/>
    <m/>
    <m/>
    <m/>
    <x v="0"/>
    <x v="0"/>
  </r>
  <r>
    <x v="115"/>
    <x v="11"/>
    <x v="11"/>
    <n v="72"/>
    <n v="2.8"/>
    <n v="44.5"/>
    <n v="3204"/>
    <n v="3223"/>
    <n v="9024.4"/>
    <n v="1.0059300873907615"/>
    <n v="1"/>
    <n v="6.0000000000000001E-3"/>
    <m/>
    <m/>
    <n v="1"/>
    <n v="3222"/>
    <n v="0.99968973006515671"/>
    <m/>
    <m/>
    <m/>
    <m/>
    <x v="0"/>
    <x v="0"/>
    <m/>
    <m/>
    <m/>
    <x v="0"/>
    <x v="0"/>
  </r>
  <r>
    <x v="116"/>
    <x v="9"/>
    <x v="9"/>
    <n v="24"/>
    <n v="6"/>
    <n v="25.7"/>
    <n v="616.79999999999995"/>
    <n v="619"/>
    <n v="3714"/>
    <n v="1.0035667963683528"/>
    <n v="1"/>
    <n v="4.0000000000000001E-3"/>
    <m/>
    <m/>
    <n v="2"/>
    <n v="617"/>
    <n v="0.99676898222940225"/>
    <m/>
    <m/>
    <m/>
    <m/>
    <x v="0"/>
    <x v="0"/>
    <m/>
    <m/>
    <m/>
    <x v="0"/>
    <x v="0"/>
  </r>
  <r>
    <x v="116"/>
    <x v="67"/>
    <x v="58"/>
    <n v="12"/>
    <n v="4.5"/>
    <n v="33.200000000000003"/>
    <n v="398.40000000000003"/>
    <n v="400"/>
    <n v="1800"/>
    <n v="1.0040160642570279"/>
    <n v="1"/>
    <n v="4.0000000000000001E-3"/>
    <m/>
    <m/>
    <n v="0"/>
    <n v="400"/>
    <n v="1"/>
    <m/>
    <m/>
    <m/>
    <m/>
    <x v="0"/>
    <x v="0"/>
    <m/>
    <m/>
    <m/>
    <x v="0"/>
    <x v="0"/>
  </r>
  <r>
    <x v="116"/>
    <x v="48"/>
    <x v="17"/>
    <n v="18"/>
    <n v="3"/>
    <n v="30.8"/>
    <n v="554.4"/>
    <n v="556"/>
    <n v="1668"/>
    <n v="1.0028860028860029"/>
    <n v="1"/>
    <n v="3.0000000000000001E-3"/>
    <m/>
    <m/>
    <n v="0"/>
    <n v="556"/>
    <n v="1"/>
    <m/>
    <m/>
    <m/>
    <m/>
    <x v="0"/>
    <x v="0"/>
    <m/>
    <m/>
    <m/>
    <x v="0"/>
    <x v="0"/>
  </r>
  <r>
    <x v="116"/>
    <x v="55"/>
    <x v="48"/>
    <n v="60"/>
    <n v="18"/>
    <n v="6.9"/>
    <n v="414"/>
    <n v="419"/>
    <n v="7542"/>
    <n v="1.0120772946859904"/>
    <n v="1"/>
    <n v="1.2E-2"/>
    <m/>
    <m/>
    <n v="0"/>
    <n v="419"/>
    <n v="1"/>
    <m/>
    <m/>
    <m/>
    <m/>
    <x v="0"/>
    <x v="0"/>
    <m/>
    <m/>
    <m/>
    <x v="0"/>
    <x v="0"/>
  </r>
  <r>
    <x v="117"/>
    <x v="15"/>
    <x v="15"/>
    <n v="64"/>
    <n v="3.2"/>
    <n v="46.8"/>
    <n v="2995.2"/>
    <n v="3043"/>
    <n v="9737.6"/>
    <n v="1.0159588675213675"/>
    <n v="1"/>
    <n v="1.6E-2"/>
    <m/>
    <m/>
    <n v="4"/>
    <n v="3039"/>
    <n v="0.99868550772264209"/>
    <m/>
    <m/>
    <m/>
    <m/>
    <x v="0"/>
    <x v="0"/>
    <m/>
    <m/>
    <m/>
    <x v="0"/>
    <x v="0"/>
  </r>
  <r>
    <x v="117"/>
    <x v="9"/>
    <x v="9"/>
    <n v="16"/>
    <n v="6"/>
    <n v="25.7"/>
    <n v="411.2"/>
    <n v="415"/>
    <n v="2490"/>
    <n v="1.0092412451361867"/>
    <n v="1"/>
    <n v="8.9999999999999993E-3"/>
    <m/>
    <m/>
    <n v="2"/>
    <n v="413"/>
    <n v="0.99518072289156623"/>
    <m/>
    <m/>
    <m/>
    <m/>
    <x v="0"/>
    <x v="0"/>
    <m/>
    <m/>
    <m/>
    <x v="0"/>
    <x v="0"/>
  </r>
  <r>
    <x v="117"/>
    <x v="56"/>
    <x v="49"/>
    <n v="6"/>
    <n v="6"/>
    <n v="25.3"/>
    <n v="151.80000000000001"/>
    <n v="150"/>
    <n v="900"/>
    <n v="0.98814229249011853"/>
    <n v="1"/>
    <n v="-1.2E-2"/>
    <m/>
    <m/>
    <n v="1"/>
    <n v="149"/>
    <n v="0.99333333333333329"/>
    <m/>
    <m/>
    <m/>
    <m/>
    <x v="0"/>
    <x v="0"/>
    <m/>
    <m/>
    <m/>
    <x v="0"/>
    <x v="0"/>
  </r>
  <r>
    <x v="117"/>
    <x v="0"/>
    <x v="0"/>
    <n v="20"/>
    <n v="6"/>
    <n v="25.5"/>
    <n v="510"/>
    <n v="514"/>
    <n v="3084"/>
    <n v="1.0078431372549019"/>
    <n v="1"/>
    <n v="8.0000000000000002E-3"/>
    <m/>
    <m/>
    <n v="3"/>
    <n v="511"/>
    <n v="0.99416342412451364"/>
    <m/>
    <m/>
    <m/>
    <m/>
    <x v="0"/>
    <x v="0"/>
    <m/>
    <m/>
    <m/>
    <x v="0"/>
    <x v="0"/>
  </r>
  <r>
    <x v="117"/>
    <x v="11"/>
    <x v="11"/>
    <n v="72"/>
    <n v="2.8"/>
    <n v="44.5"/>
    <n v="3204"/>
    <n v="3223"/>
    <n v="9024.4"/>
    <n v="1.0059300873907615"/>
    <n v="1"/>
    <n v="6.0000000000000001E-3"/>
    <m/>
    <m/>
    <n v="1"/>
    <n v="3222"/>
    <n v="0.99968973006515671"/>
    <m/>
    <m/>
    <m/>
    <m/>
    <x v="0"/>
    <x v="0"/>
    <m/>
    <m/>
    <m/>
    <x v="0"/>
    <x v="0"/>
  </r>
  <r>
    <x v="118"/>
    <x v="26"/>
    <x v="25"/>
    <n v="20"/>
    <n v="0.9"/>
    <n v="163"/>
    <n v="3260"/>
    <n v="3304"/>
    <n v="2973.6"/>
    <n v="1.0134969325153373"/>
    <n v="1"/>
    <n v="1.2999999999999999E-2"/>
    <m/>
    <m/>
    <n v="7"/>
    <n v="3297"/>
    <n v="0.9978813559322034"/>
    <m/>
    <m/>
    <m/>
    <m/>
    <x v="0"/>
    <x v="0"/>
    <m/>
    <m/>
    <m/>
    <x v="0"/>
    <x v="0"/>
  </r>
  <r>
    <x v="118"/>
    <x v="13"/>
    <x v="13"/>
    <n v="20"/>
    <n v="0.9"/>
    <n v="160.5"/>
    <n v="3210"/>
    <n v="3207"/>
    <n v="2886.3"/>
    <n v="0.99906542056074765"/>
    <n v="1"/>
    <n v="-1E-3"/>
    <m/>
    <m/>
    <n v="7"/>
    <n v="3200"/>
    <n v="0.99781727471156845"/>
    <m/>
    <m/>
    <m/>
    <m/>
    <x v="0"/>
    <x v="0"/>
    <m/>
    <m/>
    <m/>
    <x v="0"/>
    <x v="0"/>
  </r>
  <r>
    <x v="118"/>
    <x v="80"/>
    <x v="72"/>
    <n v="6"/>
    <n v="6"/>
    <n v="25.3"/>
    <n v="151.80000000000001"/>
    <n v="153"/>
    <n v="918"/>
    <n v="1.0079051383399209"/>
    <n v="1"/>
    <n v="8.0000000000000002E-3"/>
    <m/>
    <m/>
    <n v="2"/>
    <n v="151"/>
    <n v="0.98692810457516345"/>
    <m/>
    <m/>
    <m/>
    <m/>
    <x v="0"/>
    <x v="0"/>
    <m/>
    <m/>
    <m/>
    <x v="0"/>
    <x v="0"/>
  </r>
  <r>
    <x v="118"/>
    <x v="85"/>
    <x v="77"/>
    <n v="8"/>
    <n v="6"/>
    <n v="26"/>
    <n v="208"/>
    <n v="209"/>
    <n v="1254"/>
    <n v="1.0048076923076923"/>
    <n v="1"/>
    <n v="5.0000000000000001E-3"/>
    <m/>
    <m/>
    <n v="1"/>
    <n v="208"/>
    <n v="0.99521531100478466"/>
    <m/>
    <m/>
    <s v="新品"/>
    <m/>
    <x v="0"/>
    <x v="0"/>
    <m/>
    <m/>
    <m/>
    <x v="0"/>
    <x v="0"/>
  </r>
  <r>
    <x v="118"/>
    <x v="22"/>
    <x v="10"/>
    <n v="24"/>
    <n v="6"/>
    <n v="25.1"/>
    <n v="602.40000000000009"/>
    <n v="621"/>
    <n v="3726"/>
    <n v="1.0308764940239041"/>
    <n v="1"/>
    <n v="3.1E-2"/>
    <m/>
    <m/>
    <n v="2"/>
    <n v="619"/>
    <n v="0.9967793880837359"/>
    <m/>
    <m/>
    <m/>
    <m/>
    <x v="0"/>
    <x v="0"/>
    <m/>
    <m/>
    <m/>
    <x v="0"/>
    <x v="0"/>
  </r>
  <r>
    <x v="118"/>
    <x v="78"/>
    <x v="70"/>
    <n v="8"/>
    <n v="0.28999999999999998"/>
    <n v="388"/>
    <n v="3104"/>
    <n v="3084"/>
    <n v="894.3599999999999"/>
    <n v="0.99355670103092786"/>
    <n v="1"/>
    <n v="-6.0000000000000001E-3"/>
    <m/>
    <m/>
    <n v="4"/>
    <n v="3080"/>
    <n v="0.99870298313878081"/>
    <m/>
    <m/>
    <m/>
    <m/>
    <x v="0"/>
    <x v="0"/>
    <m/>
    <m/>
    <m/>
    <x v="0"/>
    <x v="0"/>
  </r>
  <r>
    <x v="118"/>
    <x v="23"/>
    <x v="22"/>
    <n v="24"/>
    <n v="0.34"/>
    <n v="364.6"/>
    <n v="8750.4000000000015"/>
    <n v="8785"/>
    <n v="2986.9"/>
    <n v="1.0039541049552019"/>
    <n v="1"/>
    <n v="4.0000000000000001E-3"/>
    <m/>
    <m/>
    <n v="3"/>
    <n v="8782"/>
    <n v="0.99965850882185547"/>
    <m/>
    <m/>
    <m/>
    <m/>
    <x v="0"/>
    <x v="0"/>
    <m/>
    <m/>
    <m/>
    <x v="0"/>
    <x v="0"/>
  </r>
  <r>
    <x v="119"/>
    <x v="15"/>
    <x v="15"/>
    <n v="64"/>
    <n v="3.2"/>
    <n v="46.8"/>
    <n v="2995.2"/>
    <n v="3057"/>
    <n v="9782.4"/>
    <n v="1.0206330128205128"/>
    <n v="1"/>
    <n v="2.1000000000000001E-2"/>
    <m/>
    <m/>
    <n v="2"/>
    <n v="3055"/>
    <n v="0.99934576382073925"/>
    <m/>
    <m/>
    <m/>
    <m/>
    <x v="0"/>
    <x v="0"/>
    <m/>
    <m/>
    <m/>
    <x v="0"/>
    <x v="0"/>
  </r>
  <r>
    <x v="119"/>
    <x v="9"/>
    <x v="9"/>
    <n v="24"/>
    <n v="6"/>
    <n v="25.7"/>
    <n v="616.79999999999995"/>
    <n v="622"/>
    <n v="3732"/>
    <n v="1.0084306095979247"/>
    <n v="1"/>
    <n v="8.0000000000000002E-3"/>
    <m/>
    <m/>
    <n v="2"/>
    <n v="620"/>
    <n v="0.99678456591639875"/>
    <m/>
    <m/>
    <m/>
    <m/>
    <x v="0"/>
    <x v="0"/>
    <m/>
    <m/>
    <m/>
    <x v="0"/>
    <x v="0"/>
  </r>
  <r>
    <x v="119"/>
    <x v="10"/>
    <x v="10"/>
    <n v="20"/>
    <n v="6"/>
    <n v="25.4"/>
    <n v="508"/>
    <n v="514"/>
    <n v="3084"/>
    <n v="1.0118110236220472"/>
    <n v="1"/>
    <n v="1.2E-2"/>
    <m/>
    <m/>
    <n v="1"/>
    <n v="513"/>
    <n v="0.99805447470817121"/>
    <m/>
    <m/>
    <m/>
    <m/>
    <x v="0"/>
    <x v="0"/>
    <m/>
    <m/>
    <m/>
    <x v="0"/>
    <x v="0"/>
  </r>
  <r>
    <x v="119"/>
    <x v="11"/>
    <x v="11"/>
    <n v="72"/>
    <n v="2.8"/>
    <n v="44.5"/>
    <n v="3204"/>
    <n v="3224"/>
    <n v="9027.1999999999989"/>
    <n v="1.0062421972534332"/>
    <n v="1"/>
    <n v="6.0000000000000001E-3"/>
    <m/>
    <m/>
    <n v="1"/>
    <n v="3223"/>
    <n v="0.99968982630272951"/>
    <m/>
    <m/>
    <m/>
    <m/>
    <x v="0"/>
    <x v="0"/>
    <m/>
    <m/>
    <m/>
    <x v="0"/>
    <x v="0"/>
  </r>
  <r>
    <x v="120"/>
    <x v="8"/>
    <x v="8"/>
    <n v="24"/>
    <n v="0.44"/>
    <n v="344"/>
    <n v="8256"/>
    <n v="8267"/>
    <n v="3637.48"/>
    <n v="1.0013323643410852"/>
    <n v="1"/>
    <n v="1E-3"/>
    <m/>
    <m/>
    <n v="4"/>
    <n v="8263"/>
    <n v="0.99951614854239745"/>
    <m/>
    <m/>
    <m/>
    <m/>
    <x v="0"/>
    <x v="0"/>
    <m/>
    <m/>
    <m/>
    <x v="0"/>
    <x v="0"/>
  </r>
  <r>
    <x v="120"/>
    <x v="43"/>
    <x v="41"/>
    <n v="16"/>
    <n v="0.26"/>
    <n v="584.29999999999995"/>
    <n v="9348.7999999999993"/>
    <n v="9440"/>
    <n v="2454.4"/>
    <n v="1.0097552627075133"/>
    <n v="1"/>
    <n v="0.01"/>
    <m/>
    <m/>
    <n v="12"/>
    <n v="9428"/>
    <n v="0.99872881355932208"/>
    <m/>
    <m/>
    <m/>
    <m/>
    <x v="0"/>
    <x v="0"/>
    <m/>
    <m/>
    <m/>
    <x v="0"/>
    <x v="0"/>
  </r>
  <r>
    <x v="120"/>
    <x v="16"/>
    <x v="16"/>
    <n v="16"/>
    <n v="6"/>
    <n v="26.1"/>
    <n v="417.6"/>
    <n v="419"/>
    <n v="2514"/>
    <n v="1.0033524904214559"/>
    <n v="1"/>
    <n v="3.0000000000000001E-3"/>
    <m/>
    <m/>
    <n v="2"/>
    <n v="417"/>
    <n v="0.99522673031026254"/>
    <m/>
    <m/>
    <m/>
    <m/>
    <x v="0"/>
    <x v="0"/>
    <m/>
    <m/>
    <m/>
    <x v="0"/>
    <x v="0"/>
  </r>
  <r>
    <x v="120"/>
    <x v="9"/>
    <x v="9"/>
    <n v="28"/>
    <n v="6"/>
    <n v="25.7"/>
    <n v="719.6"/>
    <n v="730"/>
    <n v="4380"/>
    <n v="1.0144524735964424"/>
    <n v="1"/>
    <n v="1.4E-2"/>
    <m/>
    <m/>
    <n v="1"/>
    <n v="729"/>
    <n v="0.99863013698630132"/>
    <m/>
    <m/>
    <m/>
    <m/>
    <x v="0"/>
    <x v="0"/>
    <m/>
    <m/>
    <m/>
    <x v="0"/>
    <x v="0"/>
  </r>
  <r>
    <x v="120"/>
    <x v="11"/>
    <x v="11"/>
    <n v="72"/>
    <n v="2.8"/>
    <n v="44.5"/>
    <n v="3204"/>
    <n v="3212"/>
    <n v="8993.5999999999985"/>
    <n v="1.0024968789013733"/>
    <n v="1"/>
    <n v="2E-3"/>
    <m/>
    <m/>
    <n v="1"/>
    <n v="3211"/>
    <n v="0.99968866749688667"/>
    <m/>
    <m/>
    <m/>
    <m/>
    <x v="0"/>
    <x v="0"/>
    <m/>
    <m/>
    <m/>
    <x v="0"/>
    <x v="0"/>
  </r>
  <r>
    <x v="121"/>
    <x v="36"/>
    <x v="34"/>
    <n v="6"/>
    <n v="6"/>
    <n v="24.3"/>
    <n v="145.80000000000001"/>
    <n v="147"/>
    <n v="882"/>
    <n v="1.0082304526748971"/>
    <n v="1"/>
    <n v="8.0000000000000002E-3"/>
    <m/>
    <m/>
    <n v="2"/>
    <n v="145"/>
    <n v="0.98639455782312924"/>
    <m/>
    <m/>
    <m/>
    <m/>
    <x v="0"/>
    <x v="0"/>
    <m/>
    <m/>
    <m/>
    <x v="0"/>
    <x v="0"/>
  </r>
  <r>
    <x v="121"/>
    <x v="2"/>
    <x v="2"/>
    <n v="32"/>
    <n v="6"/>
    <n v="26.6"/>
    <n v="851.2"/>
    <n v="850"/>
    <n v="5100"/>
    <n v="0.99859022556390975"/>
    <n v="1"/>
    <n v="-1E-3"/>
    <m/>
    <m/>
    <n v="3"/>
    <n v="847"/>
    <n v="0.99647058823529411"/>
    <m/>
    <m/>
    <m/>
    <m/>
    <x v="0"/>
    <x v="0"/>
    <m/>
    <m/>
    <m/>
    <x v="0"/>
    <x v="0"/>
  </r>
  <r>
    <x v="121"/>
    <x v="65"/>
    <x v="56"/>
    <n v="12"/>
    <n v="9.5"/>
    <n v="16.600000000000001"/>
    <n v="199.20000000000002"/>
    <n v="198"/>
    <n v="1881"/>
    <n v="0.99397590361445776"/>
    <n v="1"/>
    <n v="-6.0000000000000001E-3"/>
    <m/>
    <m/>
    <n v="0"/>
    <n v="198"/>
    <n v="1"/>
    <m/>
    <m/>
    <m/>
    <m/>
    <x v="0"/>
    <x v="0"/>
    <m/>
    <m/>
    <m/>
    <x v="0"/>
    <x v="0"/>
  </r>
  <r>
    <x v="121"/>
    <x v="51"/>
    <x v="45"/>
    <n v="12"/>
    <n v="9.08"/>
    <n v="17.8"/>
    <n v="213.60000000000002"/>
    <n v="219"/>
    <n v="1988.52"/>
    <n v="1.0252808988764044"/>
    <n v="1"/>
    <n v="2.5000000000000001E-2"/>
    <m/>
    <m/>
    <n v="0"/>
    <n v="219"/>
    <n v="1"/>
    <m/>
    <m/>
    <m/>
    <m/>
    <x v="0"/>
    <x v="0"/>
    <m/>
    <m/>
    <m/>
    <x v="0"/>
    <x v="0"/>
  </r>
  <r>
    <x v="121"/>
    <x v="67"/>
    <x v="58"/>
    <n v="16"/>
    <n v="4.5"/>
    <n v="33.200000000000003"/>
    <n v="531.20000000000005"/>
    <n v="539"/>
    <n v="2425.5"/>
    <n v="1.0146837349397591"/>
    <n v="1"/>
    <n v="1.4999999999999999E-2"/>
    <m/>
    <m/>
    <n v="0"/>
    <n v="539"/>
    <n v="1"/>
    <m/>
    <m/>
    <m/>
    <m/>
    <x v="0"/>
    <x v="0"/>
    <m/>
    <m/>
    <m/>
    <x v="0"/>
    <x v="0"/>
  </r>
  <r>
    <x v="121"/>
    <x v="64"/>
    <x v="55"/>
    <n v="8"/>
    <n v="0.28999999999999998"/>
    <n v="412.6"/>
    <n v="3300.8"/>
    <n v="3245"/>
    <n v="941.05"/>
    <n v="0.98309500727096455"/>
    <n v="1"/>
    <n v="-1.7000000000000001E-2"/>
    <m/>
    <m/>
    <n v="4"/>
    <n v="3241"/>
    <n v="0.99876733436055465"/>
    <m/>
    <m/>
    <m/>
    <m/>
    <x v="0"/>
    <x v="0"/>
    <m/>
    <m/>
    <m/>
    <x v="0"/>
    <x v="0"/>
  </r>
  <r>
    <x v="121"/>
    <x v="41"/>
    <x v="39"/>
    <n v="28"/>
    <n v="2.8"/>
    <n v="44.2"/>
    <n v="1237.6000000000001"/>
    <n v="1275"/>
    <n v="3570"/>
    <n v="1.0302197802197801"/>
    <n v="1"/>
    <n v="0.03"/>
    <m/>
    <m/>
    <n v="1"/>
    <n v="1274"/>
    <n v="0.99921568627450985"/>
    <m/>
    <m/>
    <m/>
    <m/>
    <x v="0"/>
    <x v="0"/>
    <m/>
    <m/>
    <m/>
    <x v="0"/>
    <x v="0"/>
  </r>
  <r>
    <x v="122"/>
    <x v="20"/>
    <x v="20"/>
    <n v="8"/>
    <n v="6"/>
    <n v="25"/>
    <n v="200"/>
    <n v="200"/>
    <n v="1200"/>
    <n v="1"/>
    <n v="1"/>
    <n v="0"/>
    <m/>
    <m/>
    <n v="1"/>
    <n v="199"/>
    <n v="0.995"/>
    <m/>
    <m/>
    <m/>
    <m/>
    <x v="0"/>
    <x v="0"/>
    <m/>
    <m/>
    <m/>
    <x v="0"/>
    <x v="0"/>
  </r>
  <r>
    <x v="122"/>
    <x v="69"/>
    <x v="2"/>
    <n v="8"/>
    <n v="6"/>
    <n v="25.5"/>
    <n v="204"/>
    <n v="208"/>
    <n v="1248"/>
    <n v="1.0196078431372548"/>
    <n v="1"/>
    <n v="0.02"/>
    <m/>
    <m/>
    <n v="1"/>
    <n v="207"/>
    <n v="0.99519230769230771"/>
    <m/>
    <m/>
    <m/>
    <m/>
    <x v="0"/>
    <x v="0"/>
    <m/>
    <m/>
    <m/>
    <x v="0"/>
    <x v="0"/>
  </r>
  <r>
    <x v="122"/>
    <x v="22"/>
    <x v="10"/>
    <n v="8"/>
    <n v="6"/>
    <n v="25.1"/>
    <n v="200.8"/>
    <n v="194"/>
    <n v="1164"/>
    <n v="0.9661354581673306"/>
    <n v="1"/>
    <n v="-3.4000000000000002E-2"/>
    <m/>
    <m/>
    <n v="1"/>
    <n v="193"/>
    <n v="0.99484536082474229"/>
    <m/>
    <m/>
    <m/>
    <m/>
    <x v="0"/>
    <x v="0"/>
    <m/>
    <m/>
    <m/>
    <x v="0"/>
    <x v="0"/>
  </r>
  <r>
    <x v="122"/>
    <x v="62"/>
    <x v="10"/>
    <n v="8"/>
    <n v="6"/>
    <n v="25.5"/>
    <n v="204"/>
    <n v="199"/>
    <n v="1194"/>
    <n v="0.97549019607843135"/>
    <n v="1"/>
    <n v="-2.5000000000000001E-2"/>
    <m/>
    <m/>
    <n v="1"/>
    <n v="198"/>
    <n v="0.99497487437185927"/>
    <m/>
    <m/>
    <m/>
    <m/>
    <x v="0"/>
    <x v="0"/>
    <m/>
    <m/>
    <m/>
    <x v="0"/>
    <x v="0"/>
  </r>
  <r>
    <x v="122"/>
    <x v="46"/>
    <x v="17"/>
    <n v="18"/>
    <n v="3"/>
    <n v="31.6"/>
    <n v="568.80000000000007"/>
    <n v="572"/>
    <n v="1716"/>
    <n v="1.0056258790436003"/>
    <n v="1"/>
    <n v="6.0000000000000001E-3"/>
    <m/>
    <m/>
    <n v="0"/>
    <n v="572"/>
    <n v="1"/>
    <m/>
    <m/>
    <m/>
    <m/>
    <x v="0"/>
    <x v="0"/>
    <m/>
    <m/>
    <m/>
    <x v="0"/>
    <x v="0"/>
  </r>
  <r>
    <x v="122"/>
    <x v="11"/>
    <x v="11"/>
    <n v="72"/>
    <n v="2.8"/>
    <n v="44.5"/>
    <n v="3204"/>
    <n v="3212"/>
    <n v="8993.5999999999985"/>
    <n v="1.0024968789013733"/>
    <n v="1"/>
    <n v="2E-3"/>
    <m/>
    <m/>
    <n v="1"/>
    <n v="3211"/>
    <n v="0.99968866749688667"/>
    <m/>
    <m/>
    <m/>
    <m/>
    <x v="0"/>
    <x v="0"/>
    <m/>
    <m/>
    <m/>
    <x v="0"/>
    <x v="0"/>
  </r>
  <r>
    <x v="123"/>
    <x v="15"/>
    <x v="15"/>
    <n v="64"/>
    <n v="3.2"/>
    <n v="46.8"/>
    <n v="2995.2"/>
    <n v="3031"/>
    <n v="9699.2000000000007"/>
    <n v="1.0119524572649574"/>
    <n v="1"/>
    <n v="1.2E-2"/>
    <m/>
    <m/>
    <n v="2"/>
    <n v="3029"/>
    <n v="0.99934015176509405"/>
    <m/>
    <m/>
    <m/>
    <m/>
    <x v="0"/>
    <x v="0"/>
    <m/>
    <m/>
    <m/>
    <x v="0"/>
    <x v="0"/>
  </r>
  <r>
    <x v="123"/>
    <x v="10"/>
    <x v="10"/>
    <n v="20"/>
    <n v="6"/>
    <n v="25.4"/>
    <n v="508"/>
    <n v="520"/>
    <n v="3120"/>
    <n v="1.0236220472440944"/>
    <n v="1"/>
    <n v="2.4E-2"/>
    <m/>
    <m/>
    <n v="1"/>
    <n v="519"/>
    <n v="0.99807692307692308"/>
    <m/>
    <m/>
    <m/>
    <m/>
    <x v="0"/>
    <x v="0"/>
    <m/>
    <m/>
    <m/>
    <x v="0"/>
    <x v="0"/>
  </r>
  <r>
    <x v="123"/>
    <x v="9"/>
    <x v="9"/>
    <n v="24"/>
    <n v="6"/>
    <n v="25.7"/>
    <n v="616.79999999999995"/>
    <n v="622"/>
    <n v="3732"/>
    <n v="1.0084306095979247"/>
    <n v="1"/>
    <n v="8.0000000000000002E-3"/>
    <m/>
    <m/>
    <n v="3"/>
    <n v="619"/>
    <n v="0.99517684887459812"/>
    <m/>
    <m/>
    <m/>
    <m/>
    <x v="0"/>
    <x v="0"/>
    <m/>
    <m/>
    <m/>
    <x v="0"/>
    <x v="0"/>
  </r>
  <r>
    <x v="123"/>
    <x v="41"/>
    <x v="39"/>
    <n v="72"/>
    <n v="2.8"/>
    <n v="44.2"/>
    <n v="3182.4"/>
    <n v="3205"/>
    <n v="8974"/>
    <n v="1.0071015585721468"/>
    <n v="1"/>
    <n v="7.0000000000000001E-3"/>
    <m/>
    <m/>
    <n v="1"/>
    <n v="3204"/>
    <n v="0.99968798751950083"/>
    <m/>
    <m/>
    <m/>
    <m/>
    <x v="0"/>
    <x v="0"/>
    <m/>
    <m/>
    <m/>
    <x v="0"/>
    <x v="0"/>
  </r>
  <r>
    <x v="124"/>
    <x v="2"/>
    <x v="2"/>
    <n v="40"/>
    <n v="6"/>
    <n v="26.6"/>
    <n v="1064"/>
    <n v="1076"/>
    <n v="6456"/>
    <n v="1.0112781954887218"/>
    <n v="1"/>
    <n v="1.0999999999999999E-2"/>
    <m/>
    <m/>
    <n v="1"/>
    <n v="1075"/>
    <n v="0.99907063197026025"/>
    <m/>
    <m/>
    <m/>
    <m/>
    <x v="0"/>
    <x v="0"/>
    <m/>
    <m/>
    <m/>
    <x v="0"/>
    <x v="0"/>
  </r>
  <r>
    <x v="124"/>
    <x v="66"/>
    <x v="57"/>
    <n v="12"/>
    <n v="9.08"/>
    <n v="17.5"/>
    <n v="210"/>
    <n v="214"/>
    <n v="1943.1200000000001"/>
    <n v="1.019047619047619"/>
    <n v="1"/>
    <n v="1.9E-2"/>
    <m/>
    <m/>
    <n v="0"/>
    <n v="214"/>
    <n v="1"/>
    <m/>
    <m/>
    <m/>
    <m/>
    <x v="0"/>
    <x v="0"/>
    <m/>
    <m/>
    <m/>
    <x v="0"/>
    <x v="0"/>
  </r>
  <r>
    <x v="124"/>
    <x v="50"/>
    <x v="44"/>
    <n v="12"/>
    <n v="4.5"/>
    <n v="36.799999999999997"/>
    <n v="441.59999999999997"/>
    <n v="444"/>
    <n v="1998"/>
    <n v="1.0054347826086958"/>
    <n v="1"/>
    <n v="5.0000000000000001E-3"/>
    <m/>
    <m/>
    <n v="0"/>
    <n v="444"/>
    <n v="1"/>
    <m/>
    <m/>
    <m/>
    <m/>
    <x v="0"/>
    <x v="0"/>
    <m/>
    <m/>
    <m/>
    <x v="0"/>
    <x v="0"/>
  </r>
  <r>
    <x v="124"/>
    <x v="9"/>
    <x v="9"/>
    <n v="16"/>
    <n v="6"/>
    <n v="25.7"/>
    <n v="411.2"/>
    <n v="411"/>
    <n v="2466"/>
    <n v="0.9995136186770428"/>
    <n v="1"/>
    <n v="0"/>
    <m/>
    <m/>
    <n v="1"/>
    <n v="410"/>
    <n v="0.9975669099756691"/>
    <m/>
    <m/>
    <m/>
    <m/>
    <x v="0"/>
    <x v="0"/>
    <m/>
    <m/>
    <m/>
    <x v="0"/>
    <x v="0"/>
  </r>
  <r>
    <x v="124"/>
    <x v="35"/>
    <x v="33"/>
    <n v="8"/>
    <n v="18"/>
    <n v="6.6"/>
    <n v="52.8"/>
    <n v="50"/>
    <n v="900"/>
    <n v="0.94696969696969702"/>
    <n v="1"/>
    <n v="-5.2999999999999999E-2"/>
    <m/>
    <m/>
    <n v="0"/>
    <n v="50"/>
    <n v="1"/>
    <m/>
    <m/>
    <s v="鍋數少、重量大"/>
    <m/>
    <x v="0"/>
    <x v="0"/>
    <m/>
    <m/>
    <m/>
    <x v="0"/>
    <x v="0"/>
  </r>
  <r>
    <x v="124"/>
    <x v="11"/>
    <x v="11"/>
    <n v="60"/>
    <n v="2.8"/>
    <n v="44.5"/>
    <n v="2670"/>
    <n v="2711"/>
    <n v="7590.7999999999993"/>
    <n v="1.0153558052434457"/>
    <n v="1"/>
    <n v="1.4999999999999999E-2"/>
    <m/>
    <m/>
    <n v="1"/>
    <n v="2710"/>
    <n v="0.99963113242346002"/>
    <m/>
    <m/>
    <m/>
    <m/>
    <x v="0"/>
    <x v="0"/>
    <m/>
    <m/>
    <m/>
    <x v="0"/>
    <x v="0"/>
  </r>
  <r>
    <x v="125"/>
    <x v="49"/>
    <x v="43"/>
    <n v="15"/>
    <n v="0.43"/>
    <n v="364"/>
    <n v="5460"/>
    <n v="5574"/>
    <n v="2396.8200000000002"/>
    <n v="1.0208791208791208"/>
    <n v="1"/>
    <n v="2.1000000000000001E-2"/>
    <m/>
    <m/>
    <n v="6"/>
    <n v="5568"/>
    <n v="0.99892357373519913"/>
    <m/>
    <m/>
    <m/>
    <m/>
    <x v="0"/>
    <x v="0"/>
    <m/>
    <m/>
    <m/>
    <x v="0"/>
    <x v="0"/>
  </r>
  <r>
    <x v="125"/>
    <x v="30"/>
    <x v="28"/>
    <n v="12"/>
    <n v="0.43"/>
    <n v="340.4"/>
    <n v="4084.7999999999997"/>
    <n v="4120"/>
    <n v="1771.6"/>
    <n v="1.008617312965139"/>
    <n v="1"/>
    <n v="8.9999999999999993E-3"/>
    <m/>
    <m/>
    <n v="8"/>
    <n v="4112"/>
    <n v="0.99805825242718449"/>
    <m/>
    <m/>
    <m/>
    <m/>
    <x v="0"/>
    <x v="0"/>
    <m/>
    <m/>
    <m/>
    <x v="0"/>
    <x v="0"/>
  </r>
  <r>
    <x v="125"/>
    <x v="32"/>
    <x v="30"/>
    <n v="20"/>
    <n v="6"/>
    <n v="25.2"/>
    <n v="504"/>
    <n v="515"/>
    <n v="3090"/>
    <n v="1.0218253968253967"/>
    <n v="1"/>
    <n v="2.1999999999999999E-2"/>
    <m/>
    <m/>
    <n v="1"/>
    <n v="514"/>
    <n v="0.99805825242718449"/>
    <m/>
    <m/>
    <m/>
    <m/>
    <x v="0"/>
    <x v="0"/>
    <m/>
    <m/>
    <m/>
    <x v="0"/>
    <x v="0"/>
  </r>
  <r>
    <x v="125"/>
    <x v="9"/>
    <x v="9"/>
    <n v="24"/>
    <n v="6"/>
    <n v="25.7"/>
    <n v="616.79999999999995"/>
    <n v="627"/>
    <n v="3762"/>
    <n v="1.0165369649805449"/>
    <n v="1"/>
    <n v="1.7000000000000001E-2"/>
    <m/>
    <m/>
    <n v="2"/>
    <n v="625"/>
    <n v="0.99681020733652315"/>
    <m/>
    <m/>
    <m/>
    <m/>
    <x v="0"/>
    <x v="0"/>
    <m/>
    <m/>
    <m/>
    <x v="0"/>
    <x v="0"/>
  </r>
  <r>
    <x v="125"/>
    <x v="11"/>
    <x v="11"/>
    <n v="72"/>
    <n v="2.8"/>
    <n v="44.5"/>
    <n v="3204"/>
    <n v="3210"/>
    <n v="8988"/>
    <n v="1.0018726591760299"/>
    <n v="1"/>
    <n v="2E-3"/>
    <m/>
    <m/>
    <n v="1"/>
    <n v="3209"/>
    <n v="0.99968847352024925"/>
    <m/>
    <m/>
    <m/>
    <m/>
    <x v="0"/>
    <x v="0"/>
    <m/>
    <m/>
    <m/>
    <x v="0"/>
    <x v="0"/>
  </r>
  <r>
    <x v="126"/>
    <x v="82"/>
    <x v="74"/>
    <n v="6"/>
    <n v="6"/>
    <n v="24.5"/>
    <n v="147"/>
    <n v="151"/>
    <n v="906"/>
    <n v="1.0272108843537415"/>
    <n v="1"/>
    <n v="2.7E-2"/>
    <m/>
    <m/>
    <n v="1"/>
    <n v="150"/>
    <n v="0.99337748344370858"/>
    <m/>
    <m/>
    <m/>
    <m/>
    <x v="0"/>
    <x v="0"/>
    <m/>
    <m/>
    <m/>
    <x v="0"/>
    <x v="0"/>
  </r>
  <r>
    <x v="126"/>
    <x v="74"/>
    <x v="64"/>
    <n v="6"/>
    <n v="6"/>
    <n v="25.2"/>
    <n v="151.19999999999999"/>
    <n v="156"/>
    <n v="936"/>
    <n v="1.0317460317460319"/>
    <n v="1"/>
    <n v="3.2000000000000001E-2"/>
    <m/>
    <m/>
    <n v="1"/>
    <n v="155"/>
    <n v="0.99358974358974361"/>
    <m/>
    <m/>
    <m/>
    <m/>
    <x v="0"/>
    <x v="0"/>
    <m/>
    <m/>
    <m/>
    <x v="0"/>
    <x v="0"/>
  </r>
  <r>
    <x v="126"/>
    <x v="0"/>
    <x v="0"/>
    <n v="20"/>
    <n v="6"/>
    <n v="25.5"/>
    <n v="510"/>
    <n v="520"/>
    <n v="3120"/>
    <n v="1.0196078431372548"/>
    <n v="1"/>
    <n v="0.02"/>
    <m/>
    <m/>
    <n v="1"/>
    <n v="519"/>
    <n v="0.99807692307692308"/>
    <m/>
    <m/>
    <m/>
    <m/>
    <x v="0"/>
    <x v="0"/>
    <m/>
    <m/>
    <m/>
    <x v="0"/>
    <x v="0"/>
  </r>
  <r>
    <x v="126"/>
    <x v="17"/>
    <x v="17"/>
    <n v="18"/>
    <n v="3"/>
    <n v="29.7"/>
    <n v="534.6"/>
    <n v="528"/>
    <n v="1584"/>
    <n v="0.98765432098765427"/>
    <n v="1"/>
    <n v="-1.2E-2"/>
    <m/>
    <m/>
    <n v="0"/>
    <n v="528"/>
    <n v="1"/>
    <m/>
    <m/>
    <m/>
    <m/>
    <x v="0"/>
    <x v="0"/>
    <m/>
    <m/>
    <m/>
    <x v="0"/>
    <x v="0"/>
  </r>
  <r>
    <x v="126"/>
    <x v="11"/>
    <x v="11"/>
    <n v="72"/>
    <n v="2.8"/>
    <n v="44.5"/>
    <n v="3204"/>
    <n v="3227"/>
    <n v="9035.5999999999985"/>
    <n v="1.0071785268414482"/>
    <n v="1"/>
    <n v="7.0000000000000001E-3"/>
    <m/>
    <m/>
    <n v="1"/>
    <n v="3226"/>
    <n v="0.99969011465757673"/>
    <m/>
    <m/>
    <m/>
    <m/>
    <x v="0"/>
    <x v="0"/>
    <m/>
    <m/>
    <m/>
    <x v="0"/>
    <x v="0"/>
  </r>
  <r>
    <x v="127"/>
    <x v="15"/>
    <x v="15"/>
    <n v="64"/>
    <n v="3.2"/>
    <n v="46.8"/>
    <n v="2995.2"/>
    <n v="3040"/>
    <n v="9728"/>
    <n v="1.0149572649572651"/>
    <n v="1"/>
    <n v="1.4999999999999999E-2"/>
    <m/>
    <m/>
    <n v="2"/>
    <n v="3038"/>
    <n v="0.99934210526315792"/>
    <m/>
    <m/>
    <m/>
    <m/>
    <x v="0"/>
    <x v="0"/>
    <m/>
    <m/>
    <m/>
    <x v="0"/>
    <x v="0"/>
  </r>
  <r>
    <x v="127"/>
    <x v="45"/>
    <x v="10"/>
    <n v="8"/>
    <n v="6"/>
    <n v="26.4"/>
    <n v="211.2"/>
    <n v="224"/>
    <n v="1344"/>
    <n v="1.0606060606060606"/>
    <n v="1"/>
    <n v="6.0999999999999999E-2"/>
    <m/>
    <m/>
    <n v="1"/>
    <n v="223"/>
    <n v="0.9955357142857143"/>
    <m/>
    <m/>
    <m/>
    <m/>
    <x v="0"/>
    <x v="0"/>
    <m/>
    <m/>
    <m/>
    <x v="0"/>
    <x v="0"/>
  </r>
  <r>
    <x v="127"/>
    <x v="67"/>
    <x v="58"/>
    <n v="16"/>
    <n v="4.5"/>
    <n v="33.200000000000003"/>
    <n v="531.20000000000005"/>
    <n v="530"/>
    <n v="2385"/>
    <n v="0.99774096385542155"/>
    <n v="1"/>
    <n v="-2E-3"/>
    <m/>
    <m/>
    <n v="0"/>
    <n v="530"/>
    <n v="1"/>
    <m/>
    <m/>
    <m/>
    <m/>
    <x v="0"/>
    <x v="0"/>
    <m/>
    <m/>
    <m/>
    <x v="0"/>
    <x v="0"/>
  </r>
  <r>
    <x v="127"/>
    <x v="10"/>
    <x v="10"/>
    <n v="20"/>
    <n v="6"/>
    <n v="25.4"/>
    <n v="508"/>
    <n v="514"/>
    <n v="3084"/>
    <n v="1.0118110236220472"/>
    <n v="1"/>
    <n v="1.2E-2"/>
    <m/>
    <m/>
    <n v="1"/>
    <n v="513"/>
    <n v="0.99805447470817121"/>
    <m/>
    <m/>
    <m/>
    <m/>
    <x v="0"/>
    <x v="0"/>
    <m/>
    <m/>
    <m/>
    <x v="0"/>
    <x v="0"/>
  </r>
  <r>
    <x v="127"/>
    <x v="11"/>
    <x v="11"/>
    <n v="72"/>
    <n v="2.8"/>
    <n v="44.5"/>
    <n v="3204"/>
    <n v="3215"/>
    <n v="9002"/>
    <n v="1.0034332084893882"/>
    <n v="1"/>
    <n v="3.0000000000000001E-3"/>
    <m/>
    <m/>
    <n v="1"/>
    <n v="3214"/>
    <n v="0.99968895800933122"/>
    <m/>
    <m/>
    <m/>
    <m/>
    <x v="0"/>
    <x v="0"/>
    <m/>
    <m/>
    <m/>
    <x v="0"/>
    <x v="0"/>
  </r>
  <r>
    <x v="128"/>
    <x v="81"/>
    <x v="73"/>
    <n v="6"/>
    <n v="0.4"/>
    <n v="366.4"/>
    <n v="2198.3999999999996"/>
    <n v="2223"/>
    <n v="889.2"/>
    <n v="1.0111899563318778"/>
    <n v="1"/>
    <n v="1.0999999999999999E-2"/>
    <m/>
    <m/>
    <n v="8"/>
    <n v="2215"/>
    <n v="0.99640125955915426"/>
    <m/>
    <m/>
    <s v="未完成"/>
    <m/>
    <x v="0"/>
    <x v="0"/>
    <m/>
    <m/>
    <m/>
    <x v="0"/>
    <x v="0"/>
  </r>
  <r>
    <x v="128"/>
    <x v="13"/>
    <x v="13"/>
    <n v="20"/>
    <n v="0.9"/>
    <n v="160.5"/>
    <n v="3210"/>
    <n v="3242"/>
    <n v="2917.8"/>
    <n v="1.009968847352025"/>
    <n v="1"/>
    <n v="0.01"/>
    <m/>
    <m/>
    <n v="2"/>
    <n v="3240"/>
    <n v="0.99938309685379401"/>
    <m/>
    <m/>
    <m/>
    <m/>
    <x v="0"/>
    <x v="0"/>
    <m/>
    <m/>
    <m/>
    <x v="0"/>
    <x v="0"/>
  </r>
  <r>
    <x v="128"/>
    <x v="2"/>
    <x v="2"/>
    <n v="40"/>
    <n v="6"/>
    <n v="26.6"/>
    <n v="1064"/>
    <n v="1065"/>
    <n v="6390"/>
    <n v="1.0009398496240602"/>
    <n v="1"/>
    <n v="1E-3"/>
    <m/>
    <m/>
    <n v="1"/>
    <n v="1064"/>
    <n v="0.99906103286384973"/>
    <m/>
    <m/>
    <m/>
    <m/>
    <x v="0"/>
    <x v="0"/>
    <m/>
    <m/>
    <m/>
    <x v="0"/>
    <x v="0"/>
  </r>
  <r>
    <x v="128"/>
    <x v="61"/>
    <x v="33"/>
    <n v="48"/>
    <n v="18"/>
    <n v="6.9"/>
    <n v="331.20000000000005"/>
    <n v="337"/>
    <n v="6066"/>
    <n v="1.017512077294686"/>
    <n v="1"/>
    <n v="1.7999999999999999E-2"/>
    <m/>
    <m/>
    <n v="0"/>
    <n v="337"/>
    <n v="1"/>
    <m/>
    <m/>
    <m/>
    <m/>
    <x v="0"/>
    <x v="0"/>
    <m/>
    <m/>
    <m/>
    <x v="0"/>
    <x v="0"/>
  </r>
  <r>
    <x v="129"/>
    <x v="27"/>
    <x v="26"/>
    <n v="60"/>
    <n v="3.2"/>
    <n v="47.5"/>
    <n v="2850"/>
    <n v="2901"/>
    <n v="9283.2000000000007"/>
    <n v="1.0178947368421052"/>
    <n v="1"/>
    <n v="1.7999999999999999E-2"/>
    <m/>
    <m/>
    <n v="2"/>
    <n v="2899"/>
    <n v="0.99931058255773875"/>
    <m/>
    <m/>
    <m/>
    <m/>
    <x v="0"/>
    <x v="0"/>
    <m/>
    <m/>
    <m/>
    <x v="0"/>
    <x v="0"/>
  </r>
  <r>
    <x v="129"/>
    <x v="23"/>
    <x v="22"/>
    <n v="24"/>
    <n v="0.34"/>
    <n v="364.6"/>
    <n v="8750.4000000000015"/>
    <n v="8759"/>
    <n v="2978.0600000000004"/>
    <n v="1.0009828122142985"/>
    <n v="1"/>
    <n v="1E-3"/>
    <m/>
    <m/>
    <n v="3"/>
    <n v="8756"/>
    <n v="0.99965749514784796"/>
    <m/>
    <m/>
    <m/>
    <m/>
    <x v="0"/>
    <x v="0"/>
    <m/>
    <m/>
    <m/>
    <x v="0"/>
    <x v="0"/>
  </r>
  <r>
    <x v="130"/>
    <x v="8"/>
    <x v="8"/>
    <n v="40"/>
    <n v="0.44"/>
    <n v="344"/>
    <n v="13760"/>
    <n v="13966"/>
    <n v="6145.04"/>
    <n v="1.0149709302325582"/>
    <n v="1"/>
    <n v="1.4999999999999999E-2"/>
    <m/>
    <m/>
    <n v="1"/>
    <n v="13965"/>
    <n v="0.99992839753687524"/>
    <m/>
    <m/>
    <m/>
    <m/>
    <x v="0"/>
    <x v="0"/>
    <m/>
    <m/>
    <m/>
    <x v="0"/>
    <x v="0"/>
  </r>
  <r>
    <x v="130"/>
    <x v="52"/>
    <x v="46"/>
    <n v="6"/>
    <n v="4.5"/>
    <n v="35.6"/>
    <n v="213.60000000000002"/>
    <n v="207"/>
    <n v="931.5"/>
    <n v="0.96910112359550549"/>
    <n v="1"/>
    <n v="-3.1E-2"/>
    <m/>
    <m/>
    <n v="0"/>
    <n v="207"/>
    <n v="1"/>
    <m/>
    <m/>
    <m/>
    <m/>
    <x v="0"/>
    <x v="0"/>
    <m/>
    <m/>
    <m/>
    <x v="0"/>
    <x v="0"/>
  </r>
  <r>
    <x v="130"/>
    <x v="20"/>
    <x v="20"/>
    <n v="8"/>
    <n v="6"/>
    <n v="25"/>
    <n v="200"/>
    <n v="200"/>
    <n v="1200"/>
    <n v="1"/>
    <n v="1"/>
    <n v="0"/>
    <m/>
    <m/>
    <n v="1"/>
    <n v="199"/>
    <n v="0.995"/>
    <m/>
    <m/>
    <m/>
    <m/>
    <x v="0"/>
    <x v="0"/>
    <m/>
    <m/>
    <m/>
    <x v="0"/>
    <x v="0"/>
  </r>
  <r>
    <x v="130"/>
    <x v="9"/>
    <x v="9"/>
    <n v="24"/>
    <n v="6"/>
    <n v="25.7"/>
    <n v="616.79999999999995"/>
    <n v="622"/>
    <n v="3732"/>
    <n v="1.0084306095979247"/>
    <n v="1"/>
    <n v="8.0000000000000002E-3"/>
    <m/>
    <m/>
    <n v="1"/>
    <n v="621"/>
    <n v="0.99839228295819937"/>
    <m/>
    <m/>
    <m/>
    <m/>
    <x v="0"/>
    <x v="0"/>
    <m/>
    <m/>
    <m/>
    <x v="0"/>
    <x v="0"/>
  </r>
  <r>
    <x v="130"/>
    <x v="55"/>
    <x v="48"/>
    <n v="44"/>
    <n v="18"/>
    <n v="6.9"/>
    <n v="303.60000000000002"/>
    <n v="306"/>
    <n v="5508"/>
    <n v="1.0079051383399209"/>
    <n v="1"/>
    <n v="8.0000000000000002E-3"/>
    <m/>
    <m/>
    <n v="0"/>
    <n v="306"/>
    <n v="1"/>
    <m/>
    <m/>
    <m/>
    <m/>
    <x v="0"/>
    <x v="0"/>
    <m/>
    <m/>
    <m/>
    <x v="0"/>
    <x v="0"/>
  </r>
  <r>
    <x v="131"/>
    <x v="15"/>
    <x v="15"/>
    <n v="64"/>
    <n v="3.2"/>
    <n v="46.8"/>
    <n v="2995.2"/>
    <n v="3044"/>
    <n v="9740.8000000000011"/>
    <n v="1.0162927350427351"/>
    <n v="1"/>
    <n v="1.6E-2"/>
    <m/>
    <m/>
    <n v="2"/>
    <n v="3042"/>
    <n v="0.99934296977660975"/>
    <m/>
    <m/>
    <m/>
    <m/>
    <x v="0"/>
    <x v="0"/>
    <m/>
    <m/>
    <m/>
    <x v="0"/>
    <x v="0"/>
  </r>
  <r>
    <x v="131"/>
    <x v="19"/>
    <x v="19"/>
    <n v="20"/>
    <n v="6"/>
    <n v="25.5"/>
    <n v="510"/>
    <n v="513"/>
    <n v="3078"/>
    <n v="1.0058823529411764"/>
    <n v="1"/>
    <n v="6.0000000000000001E-3"/>
    <m/>
    <m/>
    <n v="1"/>
    <n v="512"/>
    <n v="0.99805068226120852"/>
    <m/>
    <m/>
    <m/>
    <m/>
    <x v="0"/>
    <x v="0"/>
    <m/>
    <m/>
    <m/>
    <x v="0"/>
    <x v="0"/>
  </r>
  <r>
    <x v="131"/>
    <x v="9"/>
    <x v="9"/>
    <n v="24"/>
    <n v="6"/>
    <n v="25.7"/>
    <n v="616.79999999999995"/>
    <n v="631"/>
    <n v="3786"/>
    <n v="1.0230220492866409"/>
    <n v="1"/>
    <n v="2.3E-2"/>
    <m/>
    <m/>
    <n v="2"/>
    <n v="629"/>
    <n v="0.99683042789223453"/>
    <m/>
    <m/>
    <m/>
    <m/>
    <x v="0"/>
    <x v="0"/>
    <m/>
    <m/>
    <m/>
    <x v="0"/>
    <x v="0"/>
  </r>
  <r>
    <x v="131"/>
    <x v="6"/>
    <x v="6"/>
    <n v="24"/>
    <n v="0.4"/>
    <n v="309.2"/>
    <n v="7420.7999999999993"/>
    <n v="7389"/>
    <n v="2955.6000000000004"/>
    <n v="0.99571474773609325"/>
    <n v="1"/>
    <n v="-4.0000000000000001E-3"/>
    <m/>
    <m/>
    <n v="4"/>
    <n v="7385"/>
    <n v="0.9994586547570713"/>
    <m/>
    <m/>
    <m/>
    <m/>
    <x v="0"/>
    <x v="0"/>
    <m/>
    <m/>
    <m/>
    <x v="0"/>
    <x v="0"/>
  </r>
  <r>
    <x v="131"/>
    <x v="12"/>
    <x v="12"/>
    <n v="16"/>
    <n v="0.8"/>
    <n v="157.69999999999999"/>
    <n v="2523.1999999999998"/>
    <n v="2534"/>
    <n v="2027.2"/>
    <n v="1.0042802790107801"/>
    <n v="1"/>
    <n v="4.0000000000000001E-3"/>
    <m/>
    <m/>
    <n v="1"/>
    <n v="2533"/>
    <n v="0.99960536700868197"/>
    <m/>
    <m/>
    <m/>
    <m/>
    <x v="0"/>
    <x v="0"/>
    <m/>
    <m/>
    <m/>
    <x v="0"/>
    <x v="0"/>
  </r>
  <r>
    <x v="132"/>
    <x v="86"/>
    <x v="78"/>
    <n v="16"/>
    <n v="6"/>
    <n v="25.1"/>
    <n v="401.6"/>
    <n v="410"/>
    <n v="2460"/>
    <n v="1.0209163346613546"/>
    <n v="1"/>
    <n v="2.1000000000000001E-2"/>
    <m/>
    <m/>
    <n v="3"/>
    <n v="407"/>
    <n v="0.99268292682926829"/>
    <m/>
    <m/>
    <m/>
    <m/>
    <x v="0"/>
    <x v="0"/>
    <m/>
    <m/>
    <m/>
    <x v="0"/>
    <x v="0"/>
  </r>
  <r>
    <x v="132"/>
    <x v="9"/>
    <x v="9"/>
    <n v="24"/>
    <n v="6"/>
    <n v="25.7"/>
    <n v="616.79999999999995"/>
    <n v="631"/>
    <n v="3786"/>
    <n v="1.0230220492866409"/>
    <n v="1"/>
    <n v="2.3E-2"/>
    <m/>
    <m/>
    <n v="2"/>
    <n v="629"/>
    <n v="0.99683042789223453"/>
    <m/>
    <m/>
    <m/>
    <m/>
    <x v="0"/>
    <x v="0"/>
    <m/>
    <m/>
    <m/>
    <x v="0"/>
    <x v="0"/>
  </r>
  <r>
    <x v="132"/>
    <x v="17"/>
    <x v="17"/>
    <n v="18"/>
    <n v="3"/>
    <n v="29.7"/>
    <n v="534.6"/>
    <n v="532"/>
    <n v="1596"/>
    <n v="0.99513655069210616"/>
    <n v="1"/>
    <n v="-5.0000000000000001E-3"/>
    <m/>
    <m/>
    <n v="0"/>
    <n v="532"/>
    <n v="1"/>
    <m/>
    <m/>
    <m/>
    <m/>
    <x v="0"/>
    <x v="0"/>
    <m/>
    <m/>
    <m/>
    <x v="0"/>
    <x v="0"/>
  </r>
  <r>
    <x v="132"/>
    <x v="61"/>
    <x v="33"/>
    <n v="40"/>
    <n v="18"/>
    <n v="6.9"/>
    <n v="276"/>
    <n v="280"/>
    <n v="5040"/>
    <n v="1.0144927536231885"/>
    <n v="1"/>
    <n v="1.4E-2"/>
    <m/>
    <m/>
    <n v="0"/>
    <n v="280"/>
    <n v="1"/>
    <m/>
    <m/>
    <m/>
    <m/>
    <x v="0"/>
    <x v="0"/>
    <m/>
    <m/>
    <m/>
    <x v="0"/>
    <x v="0"/>
  </r>
  <r>
    <x v="133"/>
    <x v="37"/>
    <x v="35"/>
    <n v="12"/>
    <n v="6"/>
    <n v="25.6"/>
    <n v="307.20000000000005"/>
    <n v="317"/>
    <n v="1902"/>
    <n v="1.0319010416666665"/>
    <n v="1"/>
    <n v="3.2000000000000001E-2"/>
    <m/>
    <m/>
    <n v="1"/>
    <n v="316"/>
    <n v="0.99684542586750791"/>
    <m/>
    <m/>
    <m/>
    <m/>
    <x v="0"/>
    <x v="0"/>
    <m/>
    <m/>
    <m/>
    <x v="0"/>
    <x v="0"/>
  </r>
  <r>
    <x v="133"/>
    <x v="47"/>
    <x v="42"/>
    <n v="12"/>
    <n v="6"/>
    <n v="25.6"/>
    <n v="307.20000000000005"/>
    <n v="361"/>
    <n v="2166"/>
    <n v="1.1751302083333333"/>
    <n v="1"/>
    <n v="0.17499999999999999"/>
    <m/>
    <m/>
    <n v="3"/>
    <n v="358"/>
    <n v="0.99168975069252074"/>
    <m/>
    <n v="288"/>
    <s v="加退貨48包(加重工D0291(1130418-01B))"/>
    <m/>
    <x v="0"/>
    <x v="0"/>
    <m/>
    <m/>
    <m/>
    <x v="0"/>
    <x v="0"/>
  </r>
  <r>
    <x v="133"/>
    <x v="22"/>
    <x v="10"/>
    <n v="16"/>
    <n v="6"/>
    <n v="25.1"/>
    <n v="401.6"/>
    <n v="412"/>
    <n v="2472"/>
    <n v="1.0258964143426295"/>
    <n v="1"/>
    <n v="2.5999999999999999E-2"/>
    <m/>
    <m/>
    <n v="1"/>
    <n v="411"/>
    <n v="0.99757281553398058"/>
    <m/>
    <m/>
    <m/>
    <m/>
    <x v="0"/>
    <x v="0"/>
    <m/>
    <m/>
    <m/>
    <x v="0"/>
    <x v="0"/>
  </r>
  <r>
    <x v="134"/>
    <x v="15"/>
    <x v="15"/>
    <n v="72"/>
    <n v="3.2"/>
    <n v="46.8"/>
    <n v="3369.6"/>
    <n v="3390"/>
    <n v="10848"/>
    <n v="1.0060541310541311"/>
    <n v="1"/>
    <n v="6.0000000000000001E-3"/>
    <m/>
    <n v="2"/>
    <n v="1"/>
    <n v="3387"/>
    <n v="0.99911504424778763"/>
    <m/>
    <m/>
    <s v="凹罐*1"/>
    <m/>
    <x v="0"/>
    <x v="0"/>
    <m/>
    <m/>
    <m/>
    <x v="0"/>
    <x v="0"/>
  </r>
  <r>
    <x v="134"/>
    <x v="1"/>
    <x v="1"/>
    <n v="12"/>
    <n v="6"/>
    <n v="25.7"/>
    <n v="308.39999999999998"/>
    <n v="320"/>
    <n v="1920"/>
    <n v="1.0376134889753568"/>
    <n v="1"/>
    <n v="3.7999999999999999E-2"/>
    <m/>
    <n v="1"/>
    <n v="2"/>
    <n v="317"/>
    <n v="0.99062499999999998"/>
    <m/>
    <m/>
    <s v="破損*1,異物*1"/>
    <m/>
    <x v="0"/>
    <x v="0"/>
    <m/>
    <m/>
    <m/>
    <x v="0"/>
    <x v="0"/>
  </r>
  <r>
    <x v="134"/>
    <x v="45"/>
    <x v="10"/>
    <n v="8"/>
    <n v="6"/>
    <n v="26.4"/>
    <n v="211.2"/>
    <n v="208"/>
    <n v="1248"/>
    <n v="0.98484848484848486"/>
    <n v="1"/>
    <n v="-1.4999999999999999E-2"/>
    <m/>
    <n v="1"/>
    <n v="0"/>
    <n v="207"/>
    <n v="0.99519230769230771"/>
    <m/>
    <m/>
    <m/>
    <m/>
    <x v="0"/>
    <x v="0"/>
    <m/>
    <m/>
    <m/>
    <x v="0"/>
    <x v="0"/>
  </r>
  <r>
    <x v="134"/>
    <x v="3"/>
    <x v="3"/>
    <n v="20"/>
    <n v="4.5"/>
    <n v="36.299999999999997"/>
    <n v="726"/>
    <n v="722"/>
    <n v="3249"/>
    <n v="0.99449035812672182"/>
    <n v="1"/>
    <n v="-6.0000000000000001E-3"/>
    <m/>
    <n v="0"/>
    <n v="0"/>
    <n v="722"/>
    <n v="1"/>
    <m/>
    <m/>
    <m/>
    <m/>
    <x v="0"/>
    <x v="0"/>
    <m/>
    <m/>
    <m/>
    <x v="0"/>
    <x v="0"/>
  </r>
  <r>
    <x v="134"/>
    <x v="11"/>
    <x v="11"/>
    <n v="72"/>
    <n v="2.8"/>
    <n v="44.5"/>
    <n v="3204"/>
    <n v="3082"/>
    <n v="8629.5999999999985"/>
    <n v="0.96192259675405745"/>
    <n v="1"/>
    <n v="-3.7999999999999999E-2"/>
    <m/>
    <m/>
    <n v="1"/>
    <n v="3081"/>
    <n v="0.999675535366645"/>
    <m/>
    <m/>
    <s v="D9920分裝18KG*20桶，D2021#1罐美之城300瓶。"/>
    <m/>
    <x v="0"/>
    <x v="0"/>
    <m/>
    <m/>
    <m/>
    <x v="0"/>
    <x v="0"/>
  </r>
  <r>
    <x v="134"/>
    <x v="87"/>
    <x v="79"/>
    <n v="2"/>
    <n v="1"/>
    <n v="243"/>
    <n v="486"/>
    <n v="544"/>
    <n v="544"/>
    <n v="1.1193415637860082"/>
    <n v="1"/>
    <n v="0.11899999999999999"/>
    <m/>
    <n v="0"/>
    <n v="7"/>
    <n v="537"/>
    <n v="0.98713235294117652"/>
    <m/>
    <m/>
    <m/>
    <m/>
    <x v="0"/>
    <x v="0"/>
    <m/>
    <m/>
    <m/>
    <x v="0"/>
    <x v="0"/>
  </r>
  <r>
    <x v="135"/>
    <x v="53"/>
    <x v="46"/>
    <n v="4"/>
    <n v="4.5"/>
    <n v="34.5"/>
    <n v="138"/>
    <n v="138"/>
    <n v="621"/>
    <n v="1"/>
    <n v="1"/>
    <n v="0"/>
    <m/>
    <m/>
    <n v="0"/>
    <n v="138"/>
    <n v="1"/>
    <m/>
    <m/>
    <m/>
    <m/>
    <x v="0"/>
    <x v="0"/>
    <m/>
    <m/>
    <m/>
    <x v="0"/>
    <x v="0"/>
  </r>
  <r>
    <x v="135"/>
    <x v="67"/>
    <x v="58"/>
    <n v="8"/>
    <n v="4.5"/>
    <n v="33.200000000000003"/>
    <n v="265.60000000000002"/>
    <n v="264"/>
    <n v="1188"/>
    <n v="0.99397590361445776"/>
    <n v="1"/>
    <n v="-6.0000000000000001E-3"/>
    <m/>
    <m/>
    <n v="0"/>
    <n v="264"/>
    <n v="1"/>
    <m/>
    <m/>
    <m/>
    <m/>
    <x v="0"/>
    <x v="0"/>
    <m/>
    <m/>
    <m/>
    <x v="0"/>
    <x v="0"/>
  </r>
  <r>
    <x v="135"/>
    <x v="3"/>
    <x v="3"/>
    <n v="24"/>
    <n v="4.5"/>
    <n v="36.299999999999997"/>
    <n v="871.19999999999993"/>
    <n v="883"/>
    <n v="3973.5"/>
    <n v="1.0135445362718092"/>
    <n v="1"/>
    <n v="1.4E-2"/>
    <m/>
    <m/>
    <n v="0"/>
    <n v="883"/>
    <n v="1"/>
    <m/>
    <m/>
    <m/>
    <m/>
    <x v="0"/>
    <x v="0"/>
    <m/>
    <m/>
    <m/>
    <x v="0"/>
    <x v="0"/>
  </r>
  <r>
    <x v="135"/>
    <x v="11"/>
    <x v="11"/>
    <n v="72"/>
    <n v="2.8"/>
    <n v="44.5"/>
    <n v="3204"/>
    <n v="3218"/>
    <n v="9010.4"/>
    <n v="1.0043695380774031"/>
    <n v="1"/>
    <n v="4.0000000000000001E-3"/>
    <m/>
    <n v="1"/>
    <n v="1"/>
    <n v="3216"/>
    <n v="0.99937849596022377"/>
    <m/>
    <m/>
    <s v="凹罐*1"/>
    <m/>
    <x v="0"/>
    <x v="0"/>
    <m/>
    <m/>
    <m/>
    <x v="0"/>
    <x v="0"/>
  </r>
  <r>
    <x v="136"/>
    <x v="15"/>
    <x v="15"/>
    <n v="72"/>
    <n v="3.2"/>
    <n v="46.8"/>
    <n v="3369.6"/>
    <n v="3372"/>
    <n v="10790.400000000001"/>
    <n v="1.0007122507122508"/>
    <n v="1"/>
    <n v="1E-3"/>
    <m/>
    <n v="2"/>
    <n v="0"/>
    <n v="3370"/>
    <n v="0.99940688018979829"/>
    <m/>
    <m/>
    <m/>
    <m/>
    <x v="0"/>
    <x v="0"/>
    <m/>
    <m/>
    <m/>
    <x v="0"/>
    <x v="0"/>
  </r>
  <r>
    <x v="136"/>
    <x v="9"/>
    <x v="9"/>
    <n v="20"/>
    <n v="6"/>
    <n v="25.7"/>
    <n v="514"/>
    <n v="517"/>
    <n v="3102"/>
    <n v="1.0058365758754864"/>
    <n v="1"/>
    <n v="6.0000000000000001E-3"/>
    <m/>
    <n v="1"/>
    <n v="0"/>
    <n v="516"/>
    <n v="0.99806576402321079"/>
    <m/>
    <m/>
    <m/>
    <m/>
    <x v="0"/>
    <x v="0"/>
    <m/>
    <m/>
    <m/>
    <x v="0"/>
    <x v="0"/>
  </r>
  <r>
    <x v="136"/>
    <x v="86"/>
    <x v="78"/>
    <n v="8"/>
    <n v="6"/>
    <n v="25.1"/>
    <n v="200.8"/>
    <n v="206"/>
    <n v="1236"/>
    <n v="1.0258964143426295"/>
    <n v="1"/>
    <n v="2.5999999999999999E-2"/>
    <m/>
    <n v="1"/>
    <n v="0"/>
    <n v="205"/>
    <n v="0.99514563106796117"/>
    <m/>
    <m/>
    <m/>
    <m/>
    <x v="0"/>
    <x v="0"/>
    <m/>
    <m/>
    <m/>
    <x v="0"/>
    <x v="0"/>
  </r>
  <r>
    <x v="136"/>
    <x v="16"/>
    <x v="16"/>
    <n v="12"/>
    <n v="6"/>
    <n v="26.1"/>
    <n v="313.20000000000005"/>
    <n v="307"/>
    <n v="1842"/>
    <n v="0.98020434227330766"/>
    <n v="1"/>
    <n v="-0.02"/>
    <m/>
    <n v="1"/>
    <n v="1"/>
    <n v="305"/>
    <n v="0.99348534201954397"/>
    <m/>
    <m/>
    <s v="破損*1"/>
    <m/>
    <x v="0"/>
    <x v="0"/>
    <m/>
    <m/>
    <m/>
    <x v="0"/>
    <x v="0"/>
  </r>
  <r>
    <x v="136"/>
    <x v="24"/>
    <x v="23"/>
    <n v="16"/>
    <n v="0.34"/>
    <n v="366"/>
    <n v="5856"/>
    <n v="5836"/>
    <n v="1984.2400000000002"/>
    <n v="0.99658469945355188"/>
    <n v="1"/>
    <n v="-3.0000000000000001E-3"/>
    <m/>
    <n v="1"/>
    <n v="4"/>
    <n v="5831"/>
    <n v="0.99914324880054828"/>
    <m/>
    <m/>
    <s v="由E0121分裝220打"/>
    <m/>
    <x v="0"/>
    <x v="0"/>
    <m/>
    <m/>
    <m/>
    <x v="0"/>
    <x v="0"/>
  </r>
  <r>
    <x v="136"/>
    <x v="7"/>
    <x v="7"/>
    <n v="20"/>
    <n v="0.9"/>
    <n v="139.30000000000001"/>
    <n v="2786"/>
    <n v="2797"/>
    <n v="2517.3000000000002"/>
    <n v="1.0039483129935391"/>
    <n v="1"/>
    <n v="4.0000000000000001E-3"/>
    <m/>
    <n v="2"/>
    <n v="1"/>
    <n v="2794"/>
    <n v="0.99892742223811226"/>
    <m/>
    <m/>
    <s v="凹罐*1"/>
    <m/>
    <x v="0"/>
    <x v="0"/>
    <m/>
    <m/>
    <m/>
    <x v="0"/>
    <x v="0"/>
  </r>
  <r>
    <x v="137"/>
    <x v="43"/>
    <x v="41"/>
    <n v="16"/>
    <n v="0.26"/>
    <n v="584.29999999999995"/>
    <n v="9348.7999999999993"/>
    <n v="9434"/>
    <n v="2452.84"/>
    <n v="1.0091134691083348"/>
    <n v="1"/>
    <n v="8.9999999999999993E-3"/>
    <m/>
    <n v="2"/>
    <n v="21"/>
    <n v="9411"/>
    <n v="0.99756200975196097"/>
    <m/>
    <m/>
    <m/>
    <m/>
    <x v="0"/>
    <x v="0"/>
    <m/>
    <m/>
    <m/>
    <x v="0"/>
    <x v="0"/>
  </r>
  <r>
    <x v="137"/>
    <x v="88"/>
    <x v="80"/>
    <n v="8"/>
    <n v="6"/>
    <n v="25.8"/>
    <n v="206.4"/>
    <n v="208"/>
    <n v="1248"/>
    <n v="1.0077519379844961"/>
    <n v="1"/>
    <n v="8.0000000000000002E-3"/>
    <m/>
    <n v="1"/>
    <n v="0"/>
    <n v="207"/>
    <n v="0.99519230769230771"/>
    <m/>
    <m/>
    <m/>
    <m/>
    <x v="0"/>
    <x v="0"/>
    <m/>
    <m/>
    <m/>
    <x v="0"/>
    <x v="0"/>
  </r>
  <r>
    <x v="137"/>
    <x v="74"/>
    <x v="64"/>
    <n v="6"/>
    <n v="6"/>
    <n v="25.2"/>
    <n v="151.19999999999999"/>
    <n v="154"/>
    <n v="924"/>
    <n v="1.0185185185185186"/>
    <n v="1"/>
    <n v="1.9E-2"/>
    <m/>
    <n v="1"/>
    <n v="0"/>
    <n v="153"/>
    <n v="0.99350649350649356"/>
    <m/>
    <m/>
    <m/>
    <m/>
    <x v="0"/>
    <x v="0"/>
    <m/>
    <m/>
    <m/>
    <x v="0"/>
    <x v="0"/>
  </r>
  <r>
    <x v="137"/>
    <x v="9"/>
    <x v="9"/>
    <n v="24"/>
    <n v="6"/>
    <n v="25.7"/>
    <n v="616.79999999999995"/>
    <n v="617"/>
    <n v="3702"/>
    <n v="1.0003242542153048"/>
    <n v="1"/>
    <n v="0"/>
    <m/>
    <n v="1"/>
    <n v="1"/>
    <n v="615"/>
    <n v="0.99675850891410045"/>
    <m/>
    <m/>
    <s v="破損*1"/>
    <m/>
    <x v="0"/>
    <x v="0"/>
    <m/>
    <m/>
    <m/>
    <x v="0"/>
    <x v="0"/>
  </r>
  <r>
    <x v="137"/>
    <x v="89"/>
    <x v="2"/>
    <n v="8"/>
    <n v="6"/>
    <n v="24.9"/>
    <n v="199.2"/>
    <n v="193"/>
    <n v="1158"/>
    <n v="0.96887550200803219"/>
    <n v="1"/>
    <n v="-3.1E-2"/>
    <m/>
    <n v="1"/>
    <n v="0"/>
    <n v="192"/>
    <n v="0.99481865284974091"/>
    <m/>
    <m/>
    <m/>
    <m/>
    <x v="0"/>
    <x v="0"/>
    <m/>
    <m/>
    <m/>
    <x v="0"/>
    <x v="0"/>
  </r>
  <r>
    <x v="137"/>
    <x v="77"/>
    <x v="69"/>
    <n v="3"/>
    <n v="4.5"/>
    <n v="32.9"/>
    <n v="98.699999999999989"/>
    <n v="101"/>
    <n v="454.5"/>
    <n v="1.0233029381965553"/>
    <n v="1"/>
    <n v="2.3E-2"/>
    <m/>
    <m/>
    <n v="0"/>
    <n v="101"/>
    <n v="1"/>
    <m/>
    <m/>
    <m/>
    <m/>
    <x v="0"/>
    <x v="0"/>
    <m/>
    <m/>
    <m/>
    <x v="0"/>
    <x v="0"/>
  </r>
  <r>
    <x v="137"/>
    <x v="11"/>
    <x v="11"/>
    <n v="72"/>
    <n v="2.8"/>
    <n v="44.5"/>
    <n v="3204"/>
    <n v="3210"/>
    <n v="8988"/>
    <n v="1.0018726591760299"/>
    <n v="1"/>
    <n v="2E-3"/>
    <m/>
    <n v="1"/>
    <n v="0"/>
    <n v="3209"/>
    <n v="0.99968847352024925"/>
    <m/>
    <m/>
    <m/>
    <m/>
    <x v="0"/>
    <x v="0"/>
    <m/>
    <m/>
    <m/>
    <x v="0"/>
    <x v="0"/>
  </r>
  <r>
    <x v="138"/>
    <x v="21"/>
    <x v="21"/>
    <n v="32"/>
    <n v="3.2"/>
    <n v="46.4"/>
    <n v="1484.8"/>
    <n v="1465"/>
    <n v="4688"/>
    <n v="0.98666487068965525"/>
    <n v="1"/>
    <n v="-1.2999999999999999E-2"/>
    <m/>
    <n v="1"/>
    <n v="0"/>
    <n v="1464"/>
    <n v="0.99931740614334474"/>
    <m/>
    <m/>
    <m/>
    <m/>
    <x v="0"/>
    <x v="0"/>
    <m/>
    <m/>
    <m/>
    <x v="0"/>
    <x v="0"/>
  </r>
  <r>
    <x v="138"/>
    <x v="8"/>
    <x v="8"/>
    <n v="20"/>
    <n v="0.44"/>
    <n v="344"/>
    <n v="6880"/>
    <n v="6896"/>
    <n v="3034.2400000000002"/>
    <n v="1.0023255813953489"/>
    <n v="1"/>
    <n v="2E-3"/>
    <m/>
    <n v="3"/>
    <n v="1"/>
    <n v="6892"/>
    <n v="0.99941995359628766"/>
    <m/>
    <m/>
    <m/>
    <m/>
    <x v="0"/>
    <x v="0"/>
    <m/>
    <m/>
    <m/>
    <x v="0"/>
    <x v="0"/>
  </r>
  <r>
    <x v="138"/>
    <x v="9"/>
    <x v="9"/>
    <n v="24"/>
    <n v="6"/>
    <n v="25.7"/>
    <n v="616.79999999999995"/>
    <n v="615"/>
    <n v="3690"/>
    <n v="0.99708171206225693"/>
    <n v="1"/>
    <n v="-3.0000000000000001E-3"/>
    <m/>
    <n v="1"/>
    <n v="1"/>
    <n v="613"/>
    <n v="0.99674796747967476"/>
    <m/>
    <m/>
    <s v="破損*1"/>
    <m/>
    <x v="0"/>
    <x v="0"/>
    <m/>
    <m/>
    <m/>
    <x v="0"/>
    <x v="0"/>
  </r>
  <r>
    <x v="138"/>
    <x v="22"/>
    <x v="10"/>
    <n v="16"/>
    <n v="6"/>
    <n v="25.1"/>
    <n v="401.6"/>
    <n v="404"/>
    <n v="2424"/>
    <n v="1.0059760956175299"/>
    <n v="1"/>
    <n v="6.0000000000000001E-3"/>
    <m/>
    <n v="1"/>
    <n v="0"/>
    <n v="403"/>
    <n v="0.99752475247524752"/>
    <m/>
    <m/>
    <m/>
    <m/>
    <x v="0"/>
    <x v="0"/>
    <m/>
    <m/>
    <m/>
    <x v="0"/>
    <x v="0"/>
  </r>
  <r>
    <x v="138"/>
    <x v="41"/>
    <x v="39"/>
    <n v="60"/>
    <n v="2.8"/>
    <n v="44.2"/>
    <n v="2652"/>
    <n v="2685"/>
    <n v="7517.9999999999991"/>
    <n v="1.0124434389140271"/>
    <n v="1"/>
    <n v="1.2E-2"/>
    <m/>
    <n v="1"/>
    <n v="0"/>
    <n v="2684"/>
    <n v="0.99962756052141521"/>
    <m/>
    <m/>
    <m/>
    <m/>
    <x v="0"/>
    <x v="0"/>
    <m/>
    <m/>
    <m/>
    <x v="0"/>
    <x v="0"/>
  </r>
  <r>
    <x v="139"/>
    <x v="27"/>
    <x v="26"/>
    <n v="72"/>
    <n v="3.2"/>
    <n v="47.5"/>
    <n v="3420"/>
    <n v="3445"/>
    <n v="11024"/>
    <n v="1.0073099415204678"/>
    <n v="1"/>
    <n v="7.0000000000000001E-3"/>
    <m/>
    <n v="2"/>
    <n v="0"/>
    <n v="3443"/>
    <n v="0.99941944847605224"/>
    <m/>
    <m/>
    <m/>
    <m/>
    <x v="0"/>
    <x v="0"/>
    <m/>
    <m/>
    <m/>
    <x v="0"/>
    <x v="0"/>
  </r>
  <r>
    <x v="139"/>
    <x v="82"/>
    <x v="74"/>
    <n v="6"/>
    <n v="6"/>
    <n v="24.5"/>
    <n v="147"/>
    <n v="149"/>
    <n v="894"/>
    <n v="1.0136054421768708"/>
    <n v="1"/>
    <n v="1.4E-2"/>
    <m/>
    <n v="1"/>
    <n v="0"/>
    <n v="148"/>
    <n v="0.99328859060402686"/>
    <m/>
    <m/>
    <m/>
    <m/>
    <x v="0"/>
    <x v="0"/>
    <m/>
    <m/>
    <m/>
    <x v="0"/>
    <x v="0"/>
  </r>
  <r>
    <x v="139"/>
    <x v="58"/>
    <x v="51"/>
    <n v="8"/>
    <n v="6"/>
    <n v="25.7"/>
    <n v="205.6"/>
    <n v="208"/>
    <n v="1248"/>
    <n v="1.0116731517509727"/>
    <n v="1"/>
    <n v="1.2E-2"/>
    <m/>
    <n v="1"/>
    <n v="5"/>
    <n v="202"/>
    <n v="0.97115384615384615"/>
    <s v="1130909- 01 D"/>
    <n v="63"/>
    <s v="內容物漏出*1；發現包裝外袋濕黏，經檢查全208袋成品有63袋封口未完全密封。重工再充填D1010草莓重工產出有59包的數量。(9/11包裝完成)"/>
    <m/>
    <x v="0"/>
    <x v="0"/>
    <m/>
    <m/>
    <m/>
    <x v="0"/>
    <x v="0"/>
  </r>
  <r>
    <x v="139"/>
    <x v="9"/>
    <x v="9"/>
    <n v="24"/>
    <n v="6"/>
    <n v="25.7"/>
    <n v="616.79999999999995"/>
    <n v="610"/>
    <n v="3660"/>
    <n v="0.98897535667963687"/>
    <n v="1"/>
    <n v="-1.0999999999999999E-2"/>
    <m/>
    <n v="1"/>
    <n v="0"/>
    <n v="609"/>
    <n v="0.99836065573770494"/>
    <m/>
    <m/>
    <m/>
    <m/>
    <x v="0"/>
    <x v="0"/>
    <m/>
    <m/>
    <m/>
    <x v="0"/>
    <x v="0"/>
  </r>
  <r>
    <x v="139"/>
    <x v="34"/>
    <x v="32"/>
    <n v="12"/>
    <n v="0.34"/>
    <n v="358.3"/>
    <n v="4299.6000000000004"/>
    <n v="4178"/>
    <n v="1420.5200000000002"/>
    <n v="0.97171829937668608"/>
    <n v="1"/>
    <n v="-2.8000000000000001E-2"/>
    <m/>
    <n v="1"/>
    <n v="2"/>
    <n v="4175"/>
    <n v="0.9992819530876017"/>
    <m/>
    <m/>
    <m/>
    <m/>
    <x v="0"/>
    <x v="0"/>
    <m/>
    <m/>
    <m/>
    <x v="0"/>
    <x v="0"/>
  </r>
  <r>
    <x v="139"/>
    <x v="12"/>
    <x v="12"/>
    <n v="24"/>
    <n v="0.8"/>
    <n v="157.69999999999999"/>
    <n v="3784.7999999999997"/>
    <n v="2552"/>
    <n v="2041.6000000000001"/>
    <n v="0.67427605157471993"/>
    <n v="1"/>
    <n v="-0.32600000000000001"/>
    <m/>
    <n v="2"/>
    <n v="0"/>
    <n v="2550"/>
    <n v="0.9992163009404389"/>
    <m/>
    <m/>
    <s v="分裝D9920(18KG)*55桶"/>
    <m/>
    <x v="0"/>
    <x v="0"/>
    <m/>
    <m/>
    <m/>
    <x v="0"/>
    <x v="0"/>
  </r>
  <r>
    <x v="139"/>
    <x v="87"/>
    <x v="79"/>
    <n v="1"/>
    <n v="1"/>
    <n v="243"/>
    <n v="243"/>
    <n v="243"/>
    <n v="243"/>
    <n v="1"/>
    <n v="1"/>
    <n v="0"/>
    <m/>
    <m/>
    <n v="6"/>
    <n v="237"/>
    <n v="0.97530864197530864"/>
    <m/>
    <m/>
    <m/>
    <m/>
    <x v="0"/>
    <x v="0"/>
    <m/>
    <m/>
    <m/>
    <x v="0"/>
    <x v="0"/>
  </r>
  <r>
    <x v="140"/>
    <x v="8"/>
    <x v="8"/>
    <n v="28"/>
    <n v="0.44"/>
    <n v="344"/>
    <n v="9632"/>
    <n v="9547"/>
    <n v="4200.68"/>
    <n v="0.99117524916943522"/>
    <n v="1"/>
    <n v="-8.9999999999999993E-3"/>
    <m/>
    <n v="1"/>
    <n v="5"/>
    <n v="9541"/>
    <n v="0.99937153032366188"/>
    <m/>
    <m/>
    <s v="封蓋不良*4"/>
    <m/>
    <x v="0"/>
    <x v="0"/>
    <m/>
    <m/>
    <m/>
    <x v="0"/>
    <x v="0"/>
  </r>
  <r>
    <x v="140"/>
    <x v="75"/>
    <x v="65"/>
    <n v="3"/>
    <n v="0.19"/>
    <n v="759.3"/>
    <n v="2277.8999999999996"/>
    <n v="2262"/>
    <n v="429.78000000000003"/>
    <n v="0.99301988673778496"/>
    <n v="1"/>
    <n v="-7.0000000000000001E-3"/>
    <m/>
    <n v="1"/>
    <n v="7"/>
    <n v="2254"/>
    <n v="0.99646330680813444"/>
    <m/>
    <m/>
    <m/>
    <m/>
    <x v="0"/>
    <x v="0"/>
    <m/>
    <m/>
    <m/>
    <x v="0"/>
    <x v="0"/>
  </r>
  <r>
    <x v="140"/>
    <x v="17"/>
    <x v="17"/>
    <n v="21"/>
    <n v="3"/>
    <n v="29.7"/>
    <n v="623.69999999999993"/>
    <n v="628"/>
    <n v="1884"/>
    <n v="1.0068943402276738"/>
    <n v="1"/>
    <n v="7.0000000000000001E-3"/>
    <m/>
    <n v="0"/>
    <n v="0"/>
    <n v="628"/>
    <n v="1"/>
    <m/>
    <m/>
    <m/>
    <m/>
    <x v="0"/>
    <x v="0"/>
    <m/>
    <m/>
    <m/>
    <x v="0"/>
    <x v="0"/>
  </r>
  <r>
    <x v="140"/>
    <x v="55"/>
    <x v="48"/>
    <n v="60"/>
    <n v="18"/>
    <n v="6.9"/>
    <n v="414"/>
    <n v="406"/>
    <n v="7308"/>
    <n v="0.98067632850241548"/>
    <n v="1"/>
    <n v="-1.9E-2"/>
    <m/>
    <n v="1"/>
    <n v="-1"/>
    <n v="406"/>
    <n v="1"/>
    <m/>
    <m/>
    <m/>
    <m/>
    <x v="0"/>
    <x v="0"/>
    <m/>
    <m/>
    <m/>
    <x v="0"/>
    <x v="0"/>
  </r>
  <r>
    <x v="141"/>
    <x v="26"/>
    <x v="25"/>
    <n v="40"/>
    <n v="0.9"/>
    <n v="163"/>
    <n v="6520"/>
    <n v="6897"/>
    <n v="6207.3"/>
    <n v="1.0578220858895706"/>
    <n v="1"/>
    <n v="5.8000000000000003E-2"/>
    <m/>
    <n v="8"/>
    <n v="0"/>
    <n v="6889"/>
    <n v="0.99884007539509934"/>
    <m/>
    <n v="120"/>
    <s v="加退貨20包(加重工D1130(1130603-01B)"/>
    <m/>
    <x v="0"/>
    <x v="0"/>
    <m/>
    <m/>
    <m/>
    <x v="0"/>
    <x v="0"/>
  </r>
  <r>
    <x v="141"/>
    <x v="28"/>
    <x v="19"/>
    <n v="16"/>
    <n v="6"/>
    <n v="25.5"/>
    <n v="408"/>
    <n v="408"/>
    <n v="2448"/>
    <n v="1"/>
    <n v="1"/>
    <n v="0"/>
    <m/>
    <n v="1"/>
    <n v="1"/>
    <n v="406"/>
    <n v="0.99509803921568629"/>
    <m/>
    <m/>
    <m/>
    <m/>
    <x v="0"/>
    <x v="0"/>
    <m/>
    <m/>
    <m/>
    <x v="0"/>
    <x v="0"/>
  </r>
  <r>
    <x v="141"/>
    <x v="9"/>
    <x v="9"/>
    <n v="24"/>
    <n v="6"/>
    <n v="25.7"/>
    <n v="616.79999999999995"/>
    <n v="616"/>
    <n v="3696"/>
    <n v="0.99870298313878092"/>
    <n v="1"/>
    <n v="-1E-3"/>
    <m/>
    <n v="1"/>
    <n v="0"/>
    <n v="615"/>
    <n v="0.99837662337662336"/>
    <m/>
    <m/>
    <m/>
    <m/>
    <x v="0"/>
    <x v="0"/>
    <m/>
    <m/>
    <m/>
    <x v="0"/>
    <x v="0"/>
  </r>
  <r>
    <x v="141"/>
    <x v="11"/>
    <x v="11"/>
    <n v="56"/>
    <n v="2.8"/>
    <n v="44.5"/>
    <n v="2492"/>
    <n v="2563"/>
    <n v="7176.4"/>
    <n v="1.0284911717495988"/>
    <n v="1"/>
    <n v="2.8000000000000001E-2"/>
    <m/>
    <n v="1"/>
    <n v="0"/>
    <n v="2562"/>
    <n v="0.99960983222785793"/>
    <m/>
    <m/>
    <m/>
    <m/>
    <x v="0"/>
    <x v="0"/>
    <m/>
    <m/>
    <m/>
    <x v="0"/>
    <x v="0"/>
  </r>
  <r>
    <x v="141"/>
    <x v="35"/>
    <x v="33"/>
    <n v="16"/>
    <n v="18"/>
    <n v="6.6"/>
    <n v="105.6"/>
    <n v="109"/>
    <n v="1962"/>
    <n v="1.0321969696969697"/>
    <n v="1"/>
    <n v="3.2000000000000001E-2"/>
    <m/>
    <n v="0"/>
    <n v="0"/>
    <n v="109"/>
    <n v="1"/>
    <m/>
    <m/>
    <m/>
    <m/>
    <x v="0"/>
    <x v="0"/>
    <m/>
    <m/>
    <m/>
    <x v="0"/>
    <x v="0"/>
  </r>
  <r>
    <x v="142"/>
    <x v="13"/>
    <x v="13"/>
    <n v="8"/>
    <n v="0.9"/>
    <n v="160.5"/>
    <n v="1284"/>
    <n v="1180"/>
    <n v="1062"/>
    <n v="0.9190031152647975"/>
    <n v="1"/>
    <n v="-8.1000000000000003E-2"/>
    <m/>
    <n v="0"/>
    <n v="0"/>
    <n v="1180"/>
    <n v="1"/>
    <s v="1130912- 01 D"/>
    <m/>
    <s v="因馬口鐵封蓋機（2號罐）有油滲出，會影響封蓋，原本生產的B1040只生產了8P，剩餘的改成生產B1011（16P）。_x000a_二號罐第二趟泡水延長半小時。"/>
    <m/>
    <x v="0"/>
    <x v="0"/>
    <m/>
    <m/>
    <m/>
    <x v="0"/>
    <x v="0"/>
  </r>
  <r>
    <x v="142"/>
    <x v="15"/>
    <x v="15"/>
    <n v="16"/>
    <n v="3.2"/>
    <n v="46.8"/>
    <n v="748.8"/>
    <n v="769"/>
    <n v="2460.8000000000002"/>
    <n v="1.0269764957264957"/>
    <n v="1"/>
    <n v="2.7E-2"/>
    <m/>
    <n v="1"/>
    <n v="0"/>
    <n v="768"/>
    <n v="0.99869960988296491"/>
    <s v="1130912- 01 D"/>
    <m/>
    <s v="因馬口鐵封蓋機（2號罐）有油滲出，會影響封蓋，原本生產的B1040只生產了8P，剩餘的改成生產B1011（16P）。_x000a_二號罐第二趟泡水延長半小時。"/>
    <m/>
    <x v="0"/>
    <x v="0"/>
    <m/>
    <m/>
    <m/>
    <x v="0"/>
    <x v="0"/>
  </r>
  <r>
    <x v="142"/>
    <x v="71"/>
    <x v="61"/>
    <n v="8"/>
    <n v="0.17"/>
    <n v="912.6"/>
    <n v="7300.8"/>
    <n v="7393"/>
    <n v="1256.8100000000002"/>
    <n v="1.0126287530133684"/>
    <n v="1"/>
    <n v="1.2999999999999999E-2"/>
    <m/>
    <n v="1"/>
    <n v="3"/>
    <n v="7389"/>
    <n v="0.99945894765318544"/>
    <m/>
    <m/>
    <m/>
    <m/>
    <x v="0"/>
    <x v="0"/>
    <m/>
    <m/>
    <m/>
    <x v="0"/>
    <x v="0"/>
  </r>
  <r>
    <x v="142"/>
    <x v="20"/>
    <x v="20"/>
    <n v="8"/>
    <n v="6"/>
    <n v="25"/>
    <n v="200"/>
    <n v="201"/>
    <n v="1206"/>
    <n v="1.0049999999999999"/>
    <n v="1"/>
    <n v="5.0000000000000001E-3"/>
    <m/>
    <n v="1"/>
    <n v="0"/>
    <n v="200"/>
    <n v="0.99502487562189057"/>
    <m/>
    <m/>
    <m/>
    <m/>
    <x v="0"/>
    <x v="0"/>
    <m/>
    <m/>
    <m/>
    <x v="0"/>
    <x v="0"/>
  </r>
  <r>
    <x v="142"/>
    <x v="62"/>
    <x v="10"/>
    <n v="6"/>
    <n v="6"/>
    <n v="25.5"/>
    <n v="153"/>
    <n v="154"/>
    <n v="924"/>
    <n v="1.0065359477124183"/>
    <n v="1"/>
    <n v="7.0000000000000001E-3"/>
    <m/>
    <n v="1"/>
    <n v="1"/>
    <n v="152"/>
    <n v="0.98701298701298701"/>
    <m/>
    <m/>
    <s v="破損*1"/>
    <m/>
    <x v="0"/>
    <x v="0"/>
    <m/>
    <m/>
    <m/>
    <x v="0"/>
    <x v="0"/>
  </r>
  <r>
    <x v="142"/>
    <x v="9"/>
    <x v="9"/>
    <n v="24"/>
    <n v="6"/>
    <n v="25.7"/>
    <n v="616.79999999999995"/>
    <n v="619"/>
    <n v="3714"/>
    <n v="1.0035667963683528"/>
    <n v="1"/>
    <n v="4.0000000000000001E-3"/>
    <m/>
    <n v="1"/>
    <n v="1"/>
    <n v="617"/>
    <n v="0.99676898222940225"/>
    <m/>
    <m/>
    <m/>
    <m/>
    <x v="0"/>
    <x v="0"/>
    <m/>
    <m/>
    <m/>
    <x v="0"/>
    <x v="0"/>
  </r>
  <r>
    <x v="142"/>
    <x v="11"/>
    <x v="11"/>
    <n v="72"/>
    <n v="2.8"/>
    <n v="44.5"/>
    <n v="3204"/>
    <n v="2917"/>
    <n v="8167.5999999999995"/>
    <n v="0.91042446941323341"/>
    <n v="1"/>
    <n v="-0.09"/>
    <m/>
    <n v="1"/>
    <n v="0"/>
    <n v="2916"/>
    <n v="0.99965718203633869"/>
    <m/>
    <m/>
    <m/>
    <m/>
    <x v="0"/>
    <x v="0"/>
    <m/>
    <m/>
    <m/>
    <x v="0"/>
    <x v="0"/>
  </r>
  <r>
    <x v="143"/>
    <x v="27"/>
    <x v="26"/>
    <n v="72"/>
    <n v="3.2"/>
    <n v="47.5"/>
    <n v="3420"/>
    <n v="3533"/>
    <n v="11305.6"/>
    <n v="1.0330409356725145"/>
    <n v="1"/>
    <n v="3.3000000000000002E-2"/>
    <m/>
    <n v="2"/>
    <n v="0"/>
    <n v="3531"/>
    <n v="0.99943390885932637"/>
    <m/>
    <n v="216"/>
    <s v="加退貨36包(加重工D1130(1130603-01B)"/>
    <m/>
    <x v="0"/>
    <x v="0"/>
    <m/>
    <m/>
    <m/>
    <x v="0"/>
    <x v="0"/>
  </r>
  <r>
    <x v="143"/>
    <x v="51"/>
    <x v="45"/>
    <n v="16"/>
    <n v="9.08"/>
    <n v="17.8"/>
    <n v="284.8"/>
    <n v="286"/>
    <n v="2596.88"/>
    <n v="1.0042134831460674"/>
    <n v="1"/>
    <n v="4.0000000000000001E-3"/>
    <m/>
    <n v="0"/>
    <n v="0"/>
    <n v="286"/>
    <n v="1"/>
    <m/>
    <m/>
    <m/>
    <m/>
    <x v="0"/>
    <x v="0"/>
    <m/>
    <m/>
    <m/>
    <x v="0"/>
    <x v="0"/>
  </r>
  <r>
    <x v="143"/>
    <x v="10"/>
    <x v="10"/>
    <n v="20"/>
    <n v="6"/>
    <n v="25.4"/>
    <n v="508"/>
    <n v="509"/>
    <n v="3054"/>
    <n v="1.0019685039370079"/>
    <n v="1"/>
    <n v="2E-3"/>
    <m/>
    <n v="1"/>
    <n v="1"/>
    <n v="507"/>
    <n v="0.99607072691552068"/>
    <m/>
    <m/>
    <m/>
    <m/>
    <x v="0"/>
    <x v="0"/>
    <m/>
    <m/>
    <m/>
    <x v="0"/>
    <x v="0"/>
  </r>
  <r>
    <x v="143"/>
    <x v="23"/>
    <x v="22"/>
    <n v="36"/>
    <n v="0.34"/>
    <n v="364.6"/>
    <n v="13125.6"/>
    <n v="13060"/>
    <n v="4440.4000000000005"/>
    <n v="0.99500213323581399"/>
    <n v="1"/>
    <n v="-5.0000000000000001E-3"/>
    <m/>
    <n v="1"/>
    <n v="2"/>
    <n v="13057"/>
    <n v="0.99977029096477799"/>
    <m/>
    <m/>
    <m/>
    <m/>
    <x v="0"/>
    <x v="0"/>
    <m/>
    <m/>
    <m/>
    <x v="0"/>
    <x v="0"/>
  </r>
  <r>
    <x v="144"/>
    <x v="15"/>
    <x v="15"/>
    <n v="64"/>
    <n v="3.2"/>
    <n v="46.8"/>
    <n v="2995.2"/>
    <n v="2996"/>
    <n v="9587.2000000000007"/>
    <n v="1.0002670940170941"/>
    <n v="1"/>
    <n v="0"/>
    <m/>
    <n v="2"/>
    <n v="1"/>
    <n v="2993"/>
    <n v="0.99899866488651534"/>
    <m/>
    <m/>
    <s v="罐子毛邊"/>
    <m/>
    <x v="0"/>
    <x v="0"/>
    <m/>
    <m/>
    <m/>
    <x v="0"/>
    <x v="0"/>
  </r>
  <r>
    <x v="144"/>
    <x v="70"/>
    <x v="60"/>
    <n v="8"/>
    <n v="3.4"/>
    <n v="43"/>
    <n v="344"/>
    <n v="355"/>
    <n v="1207"/>
    <n v="1.0319767441860466"/>
    <n v="1"/>
    <n v="3.2000000000000001E-2"/>
    <m/>
    <n v="1"/>
    <n v="0"/>
    <n v="354"/>
    <n v="0.9971830985915493"/>
    <m/>
    <m/>
    <m/>
    <m/>
    <x v="0"/>
    <x v="0"/>
    <m/>
    <m/>
    <m/>
    <x v="0"/>
    <x v="0"/>
  </r>
  <r>
    <x v="144"/>
    <x v="10"/>
    <x v="10"/>
    <n v="20"/>
    <n v="6"/>
    <n v="25.4"/>
    <n v="508"/>
    <n v="520"/>
    <n v="3120"/>
    <n v="1.0236220472440944"/>
    <n v="1"/>
    <n v="2.4E-2"/>
    <m/>
    <n v="1"/>
    <n v="1"/>
    <n v="518"/>
    <n v="0.99615384615384617"/>
    <m/>
    <m/>
    <s v="破損*1"/>
    <m/>
    <x v="0"/>
    <x v="0"/>
    <m/>
    <m/>
    <m/>
    <x v="0"/>
    <x v="0"/>
  </r>
  <r>
    <x v="144"/>
    <x v="86"/>
    <x v="78"/>
    <n v="8"/>
    <n v="6"/>
    <n v="25.1"/>
    <n v="200.8"/>
    <n v="214"/>
    <n v="1284"/>
    <n v="1.0657370517928286"/>
    <n v="1"/>
    <n v="6.6000000000000003E-2"/>
    <m/>
    <n v="1"/>
    <n v="0"/>
    <n v="213"/>
    <n v="0.99532710280373837"/>
    <m/>
    <m/>
    <m/>
    <m/>
    <x v="0"/>
    <x v="0"/>
    <m/>
    <m/>
    <m/>
    <x v="0"/>
    <x v="0"/>
  </r>
  <r>
    <x v="144"/>
    <x v="45"/>
    <x v="10"/>
    <n v="8"/>
    <n v="6"/>
    <n v="26.4"/>
    <n v="211.2"/>
    <n v="213"/>
    <n v="1278"/>
    <n v="1.0085227272727273"/>
    <n v="1"/>
    <n v="8.9999999999999993E-3"/>
    <m/>
    <n v="1"/>
    <n v="1"/>
    <n v="211"/>
    <n v="0.99061032863849763"/>
    <m/>
    <m/>
    <s v="異物*1"/>
    <m/>
    <x v="0"/>
    <x v="0"/>
    <m/>
    <m/>
    <m/>
    <x v="0"/>
    <x v="0"/>
  </r>
  <r>
    <x v="144"/>
    <x v="11"/>
    <x v="11"/>
    <n v="60"/>
    <n v="2.8"/>
    <n v="44.5"/>
    <n v="2670"/>
    <n v="2678"/>
    <n v="7498.4"/>
    <n v="1.002996254681648"/>
    <n v="1"/>
    <n v="3.0000000000000001E-3"/>
    <m/>
    <n v="1"/>
    <n v="0"/>
    <n v="2677"/>
    <n v="0.99962658700522777"/>
    <m/>
    <m/>
    <s v="分裝D2021(美芝城)*100箱"/>
    <m/>
    <x v="0"/>
    <x v="0"/>
    <m/>
    <m/>
    <m/>
    <x v="0"/>
    <x v="0"/>
  </r>
  <r>
    <x v="145"/>
    <x v="0"/>
    <x v="0"/>
    <n v="24"/>
    <n v="6"/>
    <n v="25.5"/>
    <n v="612"/>
    <n v="629"/>
    <n v="3774"/>
    <n v="1.0277777777777777"/>
    <n v="1"/>
    <n v="2.8000000000000001E-2"/>
    <m/>
    <n v="1"/>
    <n v="5"/>
    <n v="623"/>
    <n v="0.99046104928457868"/>
    <m/>
    <m/>
    <s v="破損*2，X光檢測*1，異物*2。"/>
    <m/>
    <x v="0"/>
    <x v="0"/>
    <m/>
    <m/>
    <m/>
    <x v="0"/>
    <x v="0"/>
  </r>
  <r>
    <x v="145"/>
    <x v="18"/>
    <x v="18"/>
    <n v="16"/>
    <n v="6"/>
    <n v="26.4"/>
    <n v="422.4"/>
    <n v="393"/>
    <n v="2358"/>
    <n v="0.93039772727272729"/>
    <n v="1"/>
    <n v="-7.0000000000000007E-2"/>
    <m/>
    <n v="1"/>
    <n v="0"/>
    <n v="392"/>
    <n v="0.99745547073791352"/>
    <s v="1130918-01A"/>
    <m/>
    <s v="糖多秤重一次，導致製程中糖度超標造成品質異常，生產工時延長三十分鐘"/>
    <m/>
    <x v="0"/>
    <x v="0"/>
    <m/>
    <m/>
    <m/>
    <x v="0"/>
    <x v="0"/>
  </r>
  <r>
    <x v="145"/>
    <x v="48"/>
    <x v="17"/>
    <n v="21"/>
    <n v="3"/>
    <n v="30.8"/>
    <n v="646.80000000000007"/>
    <n v="652"/>
    <n v="1956"/>
    <n v="1.0080395794681507"/>
    <n v="1"/>
    <n v="8.0000000000000002E-3"/>
    <m/>
    <n v="0"/>
    <n v="0"/>
    <n v="652"/>
    <n v="1"/>
    <m/>
    <m/>
    <m/>
    <m/>
    <x v="0"/>
    <x v="0"/>
    <m/>
    <m/>
    <m/>
    <x v="0"/>
    <x v="0"/>
  </r>
  <r>
    <x v="145"/>
    <x v="11"/>
    <x v="11"/>
    <n v="60"/>
    <n v="2.8"/>
    <n v="44.5"/>
    <n v="2670"/>
    <n v="2032"/>
    <n v="5689.5999999999995"/>
    <n v="0.76104868913857682"/>
    <n v="1"/>
    <n v="-0.23899999999999999"/>
    <m/>
    <n v="1"/>
    <n v="0"/>
    <n v="2031"/>
    <n v="0.99950787401574803"/>
    <m/>
    <m/>
    <s v="分裝D9920(18KG)100桶"/>
    <m/>
    <x v="0"/>
    <x v="0"/>
    <m/>
    <m/>
    <m/>
    <x v="0"/>
    <x v="0"/>
  </r>
  <r>
    <x v="146"/>
    <x v="2"/>
    <x v="2"/>
    <n v="40"/>
    <n v="6"/>
    <n v="26.6"/>
    <n v="1064"/>
    <n v="1064"/>
    <n v="6384"/>
    <n v="1"/>
    <n v="1"/>
    <n v="0"/>
    <m/>
    <n v="1"/>
    <n v="1"/>
    <n v="1062"/>
    <n v="0.99812030075187974"/>
    <m/>
    <m/>
    <s v="破損*1"/>
    <m/>
    <x v="0"/>
    <x v="0"/>
    <m/>
    <m/>
    <m/>
    <x v="0"/>
    <x v="0"/>
  </r>
  <r>
    <x v="146"/>
    <x v="46"/>
    <x v="17"/>
    <n v="21"/>
    <n v="3"/>
    <n v="31.6"/>
    <n v="663.6"/>
    <n v="660"/>
    <n v="1980"/>
    <n v="0.99457504520795659"/>
    <n v="1"/>
    <n v="-5.0000000000000001E-3"/>
    <m/>
    <n v="0"/>
    <n v="0"/>
    <n v="660"/>
    <n v="1"/>
    <m/>
    <m/>
    <m/>
    <m/>
    <x v="0"/>
    <x v="0"/>
    <m/>
    <m/>
    <m/>
    <x v="0"/>
    <x v="0"/>
  </r>
  <r>
    <x v="146"/>
    <x v="41"/>
    <x v="39"/>
    <n v="60"/>
    <n v="2.8"/>
    <n v="44.2"/>
    <n v="2652"/>
    <n v="2668"/>
    <n v="7470.4"/>
    <n v="1.0060331825037707"/>
    <n v="1"/>
    <n v="6.0000000000000001E-3"/>
    <m/>
    <n v="1"/>
    <n v="0"/>
    <n v="2667"/>
    <n v="0.9996251874062968"/>
    <m/>
    <m/>
    <m/>
    <m/>
    <x v="0"/>
    <x v="0"/>
    <m/>
    <m/>
    <m/>
    <x v="0"/>
    <x v="0"/>
  </r>
  <r>
    <x v="147"/>
    <x v="27"/>
    <x v="26"/>
    <n v="72"/>
    <n v="3.2"/>
    <n v="47.5"/>
    <n v="3420"/>
    <n v="3533"/>
    <n v="11305.6"/>
    <n v="1.0330409356725145"/>
    <n v="1"/>
    <n v="3.3000000000000002E-2"/>
    <m/>
    <n v="2"/>
    <n v="0"/>
    <n v="3531"/>
    <n v="0.99943390885932637"/>
    <m/>
    <n v="216"/>
    <s v="加退貨36包(加重工D1130(1130603-01B)"/>
    <m/>
    <x v="0"/>
    <x v="0"/>
    <m/>
    <m/>
    <m/>
    <x v="0"/>
    <x v="0"/>
  </r>
  <r>
    <x v="147"/>
    <x v="9"/>
    <x v="9"/>
    <n v="28"/>
    <n v="6"/>
    <n v="25.7"/>
    <n v="719.6"/>
    <n v="727"/>
    <n v="4362"/>
    <n v="1.0102834908282379"/>
    <n v="1"/>
    <n v="0.01"/>
    <m/>
    <n v="1"/>
    <n v="0"/>
    <n v="726"/>
    <n v="0.99862448418156813"/>
    <m/>
    <m/>
    <m/>
    <m/>
    <x v="0"/>
    <x v="0"/>
    <m/>
    <m/>
    <m/>
    <x v="0"/>
    <x v="0"/>
  </r>
  <r>
    <x v="147"/>
    <x v="50"/>
    <x v="44"/>
    <n v="12"/>
    <n v="4.5"/>
    <n v="36.799999999999997"/>
    <n v="441.59999999999997"/>
    <n v="438"/>
    <n v="1971"/>
    <n v="0.99184782608695665"/>
    <n v="1"/>
    <n v="-8.0000000000000002E-3"/>
    <m/>
    <n v="0"/>
    <n v="0"/>
    <n v="438"/>
    <n v="1"/>
    <m/>
    <m/>
    <m/>
    <m/>
    <x v="0"/>
    <x v="0"/>
    <m/>
    <m/>
    <m/>
    <x v="0"/>
    <x v="0"/>
  </r>
  <r>
    <x v="147"/>
    <x v="6"/>
    <x v="6"/>
    <n v="36"/>
    <n v="0.4"/>
    <n v="309.2"/>
    <n v="11131.199999999999"/>
    <n v="11177"/>
    <n v="4470.8"/>
    <n v="1.0041145608739399"/>
    <n v="1"/>
    <n v="4.0000000000000001E-3"/>
    <m/>
    <n v="1"/>
    <n v="2"/>
    <n v="11174"/>
    <n v="0.99973159166144765"/>
    <m/>
    <m/>
    <s v="9/25包裝進行中"/>
    <m/>
    <x v="0"/>
    <x v="0"/>
    <m/>
    <m/>
    <m/>
    <x v="0"/>
    <x v="0"/>
  </r>
  <r>
    <x v="148"/>
    <x v="15"/>
    <x v="15"/>
    <n v="72"/>
    <n v="3.2"/>
    <n v="46.8"/>
    <n v="3369.6"/>
    <n v="3368"/>
    <n v="10777.6"/>
    <n v="0.99952516619183285"/>
    <n v="1"/>
    <n v="0"/>
    <m/>
    <n v="2"/>
    <n v="0"/>
    <n v="3366"/>
    <n v="0.99940617577197155"/>
    <m/>
    <m/>
    <m/>
    <m/>
    <x v="0"/>
    <x v="0"/>
    <m/>
    <m/>
    <m/>
    <x v="0"/>
    <x v="0"/>
  </r>
  <r>
    <x v="148"/>
    <x v="22"/>
    <x v="10"/>
    <n v="16"/>
    <n v="6"/>
    <n v="25.1"/>
    <n v="401.6"/>
    <n v="402"/>
    <n v="2412"/>
    <n v="1.000996015936255"/>
    <n v="1"/>
    <n v="1E-3"/>
    <m/>
    <n v="2"/>
    <n v="1"/>
    <n v="399"/>
    <n v="0.9925373134328358"/>
    <m/>
    <m/>
    <s v="破損*1"/>
    <m/>
    <x v="0"/>
    <x v="0"/>
    <m/>
    <m/>
    <m/>
    <x v="0"/>
    <x v="0"/>
  </r>
  <r>
    <x v="148"/>
    <x v="2"/>
    <x v="2"/>
    <n v="20"/>
    <n v="6"/>
    <n v="26.6"/>
    <n v="532"/>
    <n v="533"/>
    <n v="3198"/>
    <n v="1.0018796992481203"/>
    <n v="1"/>
    <n v="2E-3"/>
    <m/>
    <n v="1"/>
    <n v="1"/>
    <n v="531"/>
    <n v="0.99624765478424016"/>
    <m/>
    <m/>
    <s v="異物*1"/>
    <m/>
    <x v="0"/>
    <x v="0"/>
    <m/>
    <m/>
    <m/>
    <x v="0"/>
    <x v="0"/>
  </r>
  <r>
    <x v="148"/>
    <x v="11"/>
    <x v="11"/>
    <n v="60"/>
    <n v="2.8"/>
    <n v="44.5"/>
    <n v="2670"/>
    <n v="1983"/>
    <n v="5552.4"/>
    <n v="0.74269662921348312"/>
    <n v="1"/>
    <n v="-0.25700000000000001"/>
    <m/>
    <n v="1"/>
    <n v="0"/>
    <n v="1982"/>
    <n v="0.99949571356530509"/>
    <m/>
    <m/>
    <s v="D9920(18kg*110桶)"/>
    <m/>
    <x v="0"/>
    <x v="0"/>
    <m/>
    <m/>
    <m/>
    <x v="0"/>
    <x v="0"/>
  </r>
  <r>
    <x v="148"/>
    <x v="90"/>
    <x v="81"/>
    <n v="1"/>
    <n v="1"/>
    <n v="670"/>
    <n v="670"/>
    <n v="408"/>
    <n v="408"/>
    <n v="0.60895522388059697"/>
    <n v="1"/>
    <n v="-0.39100000000000001"/>
    <m/>
    <n v="0"/>
    <n v="0"/>
    <n v="408"/>
    <n v="1"/>
    <m/>
    <m/>
    <m/>
    <m/>
    <x v="0"/>
    <x v="0"/>
    <m/>
    <m/>
    <m/>
    <x v="0"/>
    <x v="0"/>
  </r>
  <r>
    <x v="149"/>
    <x v="30"/>
    <x v="28"/>
    <n v="12"/>
    <n v="0.43"/>
    <n v="340.4"/>
    <n v="4084.7999999999997"/>
    <n v="4131"/>
    <n v="1776.33"/>
    <n v="1.011310223266745"/>
    <n v="1"/>
    <n v="1.0999999999999999E-2"/>
    <m/>
    <n v="2"/>
    <n v="5"/>
    <n v="4124"/>
    <n v="0.9983054950375212"/>
    <m/>
    <m/>
    <s v="異物*1，貼麥味登標籤180箱，餘五惠"/>
    <m/>
    <x v="0"/>
    <x v="0"/>
    <m/>
    <m/>
    <m/>
    <x v="0"/>
    <x v="0"/>
  </r>
  <r>
    <x v="149"/>
    <x v="50"/>
    <x v="44"/>
    <n v="8"/>
    <n v="4.5"/>
    <n v="36.799999999999997"/>
    <n v="294.39999999999998"/>
    <n v="293"/>
    <n v="1318.5"/>
    <n v="0.99524456521739135"/>
    <n v="1"/>
    <n v="-5.0000000000000001E-3"/>
    <m/>
    <n v="0"/>
    <n v="0"/>
    <n v="293"/>
    <n v="1"/>
    <m/>
    <m/>
    <m/>
    <m/>
    <x v="0"/>
    <x v="0"/>
    <m/>
    <m/>
    <m/>
    <x v="0"/>
    <x v="0"/>
  </r>
  <r>
    <x v="149"/>
    <x v="73"/>
    <x v="63"/>
    <n v="8"/>
    <n v="4.5"/>
    <n v="35"/>
    <n v="280"/>
    <n v="285"/>
    <n v="1282.5"/>
    <n v="1.0178571428571428"/>
    <n v="1"/>
    <n v="1.7999999999999999E-2"/>
    <m/>
    <n v="0"/>
    <n v="0"/>
    <n v="285"/>
    <n v="1"/>
    <m/>
    <m/>
    <m/>
    <m/>
    <x v="0"/>
    <x v="0"/>
    <m/>
    <m/>
    <m/>
    <x v="0"/>
    <x v="0"/>
  </r>
  <r>
    <x v="149"/>
    <x v="17"/>
    <x v="17"/>
    <n v="21"/>
    <n v="3"/>
    <n v="29.7"/>
    <n v="623.69999999999993"/>
    <n v="632"/>
    <n v="1896"/>
    <n v="1.0133076799743468"/>
    <n v="1"/>
    <n v="1.2999999999999999E-2"/>
    <m/>
    <n v="0"/>
    <n v="0"/>
    <n v="632"/>
    <n v="1"/>
    <m/>
    <m/>
    <m/>
    <m/>
    <x v="0"/>
    <x v="0"/>
    <m/>
    <m/>
    <m/>
    <x v="0"/>
    <x v="0"/>
  </r>
  <r>
    <x v="149"/>
    <x v="11"/>
    <x v="11"/>
    <n v="60"/>
    <n v="2.8"/>
    <n v="44.5"/>
    <n v="2670"/>
    <n v="2678"/>
    <n v="7498.4"/>
    <n v="1.002996254681648"/>
    <n v="1"/>
    <n v="3.0000000000000001E-3"/>
    <m/>
    <n v="1"/>
    <n v="0"/>
    <n v="2677"/>
    <n v="0.99962658700522777"/>
    <m/>
    <m/>
    <m/>
    <m/>
    <x v="0"/>
    <x v="0"/>
    <m/>
    <m/>
    <m/>
    <x v="0"/>
    <x v="0"/>
  </r>
  <r>
    <x v="150"/>
    <x v="13"/>
    <x v="13"/>
    <n v="40"/>
    <n v="0.9"/>
    <n v="160.5"/>
    <n v="6420"/>
    <n v="6606"/>
    <n v="5945.4000000000005"/>
    <n v="1.0289719626168223"/>
    <n v="1"/>
    <n v="2.9000000000000001E-2"/>
    <m/>
    <n v="2"/>
    <n v="0"/>
    <n v="6604"/>
    <n v="0.99969724492885259"/>
    <m/>
    <m/>
    <m/>
    <m/>
    <x v="0"/>
    <x v="0"/>
    <m/>
    <m/>
    <m/>
    <x v="0"/>
    <x v="0"/>
  </r>
  <r>
    <x v="150"/>
    <x v="16"/>
    <x v="16"/>
    <n v="24"/>
    <n v="6"/>
    <n v="26.1"/>
    <n v="626.40000000000009"/>
    <n v="624"/>
    <n v="3744"/>
    <n v="0.99616858237547878"/>
    <n v="1"/>
    <n v="-4.0000000000000001E-3"/>
    <m/>
    <n v="1"/>
    <n v="0"/>
    <n v="623"/>
    <n v="0.9983974358974359"/>
    <m/>
    <m/>
    <m/>
    <m/>
    <x v="0"/>
    <x v="0"/>
    <m/>
    <m/>
    <m/>
    <x v="0"/>
    <x v="0"/>
  </r>
  <r>
    <x v="150"/>
    <x v="47"/>
    <x v="42"/>
    <n v="16"/>
    <n v="6"/>
    <n v="25.6"/>
    <n v="409.6"/>
    <n v="497"/>
    <n v="2982"/>
    <n v="1.21337890625"/>
    <n v="1"/>
    <n v="0.21299999999999999"/>
    <m/>
    <n v="1"/>
    <n v="2"/>
    <n v="494"/>
    <n v="0.99396378269617702"/>
    <m/>
    <n v="426"/>
    <s v="加退貨71包(加重工D0291(1130418-01B))"/>
    <m/>
    <x v="0"/>
    <x v="0"/>
    <m/>
    <m/>
    <m/>
    <x v="0"/>
    <x v="0"/>
  </r>
  <r>
    <x v="150"/>
    <x v="64"/>
    <x v="55"/>
    <n v="8"/>
    <n v="0.28999999999999998"/>
    <n v="412.6"/>
    <n v="3300.8"/>
    <n v="3294"/>
    <n v="955.26"/>
    <n v="0.99793989335918565"/>
    <n v="1"/>
    <n v="-2E-3"/>
    <m/>
    <n v="1"/>
    <n v="3"/>
    <n v="3290"/>
    <n v="0.99878567091681847"/>
    <m/>
    <m/>
    <m/>
    <m/>
    <x v="0"/>
    <x v="0"/>
    <m/>
    <m/>
    <m/>
    <x v="0"/>
    <x v="0"/>
  </r>
  <r>
    <x v="150"/>
    <x v="41"/>
    <x v="39"/>
    <n v="32"/>
    <n v="2.8"/>
    <n v="44.2"/>
    <n v="1414.4"/>
    <n v="1444"/>
    <n v="4043.2"/>
    <n v="1.0209276018099547"/>
    <n v="1"/>
    <n v="2.1000000000000001E-2"/>
    <m/>
    <n v="1"/>
    <n v="0"/>
    <n v="1443"/>
    <n v="0.99930747922437668"/>
    <m/>
    <m/>
    <m/>
    <m/>
    <x v="0"/>
    <x v="0"/>
    <m/>
    <m/>
    <m/>
    <x v="0"/>
    <x v="0"/>
  </r>
  <r>
    <x v="151"/>
    <x v="49"/>
    <x v="43"/>
    <n v="15"/>
    <n v="0.43"/>
    <n v="364"/>
    <n v="5460"/>
    <n v="5516"/>
    <n v="2371.88"/>
    <n v="1.0102564102564102"/>
    <n v="1"/>
    <n v="0.01"/>
    <m/>
    <n v="2"/>
    <n v="3"/>
    <n v="5511"/>
    <n v="0.99909354604786071"/>
    <m/>
    <m/>
    <s v="失真空*1"/>
    <m/>
    <x v="0"/>
    <x v="0"/>
    <m/>
    <m/>
    <m/>
    <x v="0"/>
    <x v="0"/>
  </r>
  <r>
    <x v="151"/>
    <x v="43"/>
    <x v="41"/>
    <n v="16"/>
    <n v="0.26"/>
    <n v="584.29999999999995"/>
    <n v="9348.7999999999993"/>
    <n v="9450"/>
    <n v="2457"/>
    <n v="1.0108249187061442"/>
    <n v="1"/>
    <n v="1.0999999999999999E-2"/>
    <m/>
    <n v="2"/>
    <n v="36"/>
    <n v="9412"/>
    <n v="0.99597883597883596"/>
    <m/>
    <m/>
    <s v="失真空*33,破損*1"/>
    <m/>
    <x v="0"/>
    <x v="0"/>
    <m/>
    <m/>
    <m/>
    <x v="0"/>
    <x v="0"/>
  </r>
  <r>
    <x v="151"/>
    <x v="9"/>
    <x v="9"/>
    <n v="20"/>
    <n v="6"/>
    <n v="25.7"/>
    <n v="514"/>
    <n v="510"/>
    <n v="3060"/>
    <n v="0.99221789883268485"/>
    <n v="1"/>
    <n v="-8.0000000000000002E-3"/>
    <m/>
    <n v="1"/>
    <n v="1"/>
    <n v="508"/>
    <n v="0.99607843137254903"/>
    <m/>
    <m/>
    <s v="破損*1"/>
    <m/>
    <x v="0"/>
    <x v="0"/>
    <m/>
    <m/>
    <m/>
    <x v="0"/>
    <x v="0"/>
  </r>
  <r>
    <x v="151"/>
    <x v="2"/>
    <x v="2"/>
    <n v="20"/>
    <n v="6"/>
    <n v="26.6"/>
    <n v="532"/>
    <n v="528"/>
    <n v="3168"/>
    <n v="0.99248120300751874"/>
    <n v="1"/>
    <n v="-8.0000000000000002E-3"/>
    <m/>
    <n v="1"/>
    <n v="0"/>
    <n v="527"/>
    <n v="0.99810606060606055"/>
    <m/>
    <m/>
    <m/>
    <m/>
    <x v="0"/>
    <x v="0"/>
    <m/>
    <m/>
    <m/>
    <x v="0"/>
    <x v="0"/>
  </r>
  <r>
    <x v="151"/>
    <x v="48"/>
    <x v="17"/>
    <n v="21"/>
    <n v="3"/>
    <n v="30.8"/>
    <n v="646.80000000000007"/>
    <n v="652"/>
    <n v="1956"/>
    <n v="1.0080395794681507"/>
    <n v="1"/>
    <n v="8.0000000000000002E-3"/>
    <m/>
    <n v="0"/>
    <n v="0"/>
    <n v="652"/>
    <n v="1"/>
    <m/>
    <m/>
    <m/>
    <m/>
    <x v="0"/>
    <x v="0"/>
    <m/>
    <m/>
    <m/>
    <x v="0"/>
    <x v="0"/>
  </r>
  <r>
    <x v="152"/>
    <x v="15"/>
    <x v="15"/>
    <n v="72"/>
    <n v="3.2"/>
    <n v="46.8"/>
    <n v="3369.6"/>
    <n v="3403"/>
    <n v="10889.6"/>
    <n v="1.0099121557454891"/>
    <n v="1"/>
    <n v="0.01"/>
    <m/>
    <n v="2"/>
    <n v="0"/>
    <n v="3401"/>
    <n v="0.9994122832794593"/>
    <m/>
    <m/>
    <s v="凹罐*1"/>
    <m/>
    <x v="0"/>
    <x v="0"/>
    <m/>
    <m/>
    <m/>
    <x v="0"/>
    <x v="0"/>
  </r>
  <r>
    <x v="152"/>
    <x v="9"/>
    <x v="9"/>
    <n v="20"/>
    <n v="6"/>
    <n v="25.7"/>
    <n v="514"/>
    <n v="511"/>
    <n v="3066"/>
    <n v="0.99416342412451364"/>
    <n v="1"/>
    <n v="-6.0000000000000001E-3"/>
    <m/>
    <n v="1"/>
    <n v="1"/>
    <n v="509"/>
    <n v="0.99608610567514677"/>
    <m/>
    <m/>
    <s v="破損*1"/>
    <m/>
    <x v="0"/>
    <x v="0"/>
    <m/>
    <m/>
    <m/>
    <x v="0"/>
    <x v="0"/>
  </r>
  <r>
    <x v="152"/>
    <x v="0"/>
    <x v="0"/>
    <n v="20"/>
    <n v="6"/>
    <n v="25.5"/>
    <n v="510"/>
    <n v="525"/>
    <n v="3150"/>
    <n v="1.0294117647058822"/>
    <n v="1"/>
    <n v="2.9000000000000001E-2"/>
    <m/>
    <n v="1"/>
    <n v="0"/>
    <n v="524"/>
    <n v="0.99809523809523815"/>
    <m/>
    <m/>
    <m/>
    <m/>
    <x v="0"/>
    <x v="0"/>
    <m/>
    <m/>
    <m/>
    <x v="0"/>
    <x v="0"/>
  </r>
  <r>
    <x v="152"/>
    <x v="11"/>
    <x v="11"/>
    <n v="60"/>
    <n v="2.8"/>
    <n v="44.5"/>
    <n v="2670"/>
    <n v="2668"/>
    <n v="7470.4"/>
    <n v="0.99925093632958806"/>
    <n v="1"/>
    <n v="-1E-3"/>
    <m/>
    <n v="1"/>
    <n v="0"/>
    <n v="2667"/>
    <n v="0.9996251874062968"/>
    <m/>
    <m/>
    <m/>
    <m/>
    <x v="0"/>
    <x v="0"/>
    <m/>
    <m/>
    <m/>
    <x v="0"/>
    <x v="0"/>
  </r>
  <r>
    <x v="153"/>
    <x v="15"/>
    <x v="15"/>
    <n v="72"/>
    <n v="3.2"/>
    <n v="46.8"/>
    <n v="3369.6"/>
    <n v="3369"/>
    <n v="10780.800000000001"/>
    <n v="0.99982193732193736"/>
    <n v="1"/>
    <n v="0"/>
    <m/>
    <n v="2"/>
    <n v="0"/>
    <n v="3367"/>
    <n v="0.99940635203324424"/>
    <m/>
    <m/>
    <m/>
    <m/>
    <x v="0"/>
    <x v="0"/>
    <m/>
    <m/>
    <m/>
    <x v="0"/>
    <x v="0"/>
  </r>
  <r>
    <x v="153"/>
    <x v="22"/>
    <x v="10"/>
    <n v="16"/>
    <n v="6"/>
    <n v="25.1"/>
    <n v="401.6"/>
    <n v="402"/>
    <n v="2412"/>
    <n v="1.000996015936255"/>
    <n v="1"/>
    <n v="1E-3"/>
    <m/>
    <n v="1"/>
    <n v="0"/>
    <n v="401"/>
    <n v="0.99751243781094523"/>
    <m/>
    <m/>
    <m/>
    <m/>
    <x v="0"/>
    <x v="0"/>
    <m/>
    <m/>
    <m/>
    <x v="0"/>
    <x v="0"/>
  </r>
  <r>
    <x v="153"/>
    <x v="9"/>
    <x v="9"/>
    <n v="20"/>
    <n v="6"/>
    <n v="25.7"/>
    <n v="514"/>
    <n v="516"/>
    <n v="3096"/>
    <n v="1.0038910505836576"/>
    <n v="1"/>
    <n v="4.0000000000000001E-3"/>
    <m/>
    <n v="1"/>
    <n v="1"/>
    <n v="514"/>
    <n v="0.99612403100775193"/>
    <m/>
    <m/>
    <m/>
    <m/>
    <x v="0"/>
    <x v="0"/>
    <m/>
    <m/>
    <m/>
    <x v="0"/>
    <x v="0"/>
  </r>
  <r>
    <x v="153"/>
    <x v="11"/>
    <x v="11"/>
    <n v="60"/>
    <n v="2.8"/>
    <n v="44.5"/>
    <n v="2670"/>
    <n v="2681"/>
    <n v="7506.7999999999993"/>
    <n v="1.0041198501872659"/>
    <n v="1"/>
    <n v="4.0000000000000001E-3"/>
    <m/>
    <n v="1"/>
    <n v="0"/>
    <n v="2680"/>
    <n v="0.99962700484893696"/>
    <m/>
    <m/>
    <m/>
    <m/>
    <x v="0"/>
    <x v="0"/>
    <m/>
    <m/>
    <m/>
    <x v="0"/>
    <x v="0"/>
  </r>
  <r>
    <x v="153"/>
    <x v="91"/>
    <x v="82"/>
    <n v="1"/>
    <n v="1"/>
    <n v="162"/>
    <n v="162"/>
    <n v="163"/>
    <n v="163"/>
    <n v="1.0061728395061729"/>
    <n v="1"/>
    <n v="6.0000000000000001E-3"/>
    <m/>
    <n v="0"/>
    <n v="0"/>
    <n v="163"/>
    <n v="1"/>
    <m/>
    <m/>
    <m/>
    <m/>
    <x v="0"/>
    <x v="0"/>
    <m/>
    <m/>
    <m/>
    <x v="0"/>
    <x v="0"/>
  </r>
  <r>
    <x v="153"/>
    <x v="92"/>
    <x v="83"/>
    <n v="1"/>
    <n v="1"/>
    <n v="1224"/>
    <n v="1224"/>
    <n v="1230"/>
    <n v="1230"/>
    <n v="1.0049019607843137"/>
    <n v="1"/>
    <n v="5.0000000000000001E-3"/>
    <m/>
    <n v="0"/>
    <n v="0"/>
    <n v="1230"/>
    <n v="1"/>
    <m/>
    <m/>
    <m/>
    <m/>
    <x v="0"/>
    <x v="0"/>
    <m/>
    <m/>
    <m/>
    <x v="0"/>
    <x v="0"/>
  </r>
  <r>
    <x v="154"/>
    <x v="8"/>
    <x v="8"/>
    <n v="40"/>
    <n v="0.44"/>
    <n v="344"/>
    <n v="13760"/>
    <n v="13806"/>
    <n v="6074.64"/>
    <n v="1.003343023255814"/>
    <n v="1"/>
    <n v="3.0000000000000001E-3"/>
    <m/>
    <n v="1"/>
    <n v="24"/>
    <n v="13781"/>
    <n v="0.99818919310444731"/>
    <m/>
    <m/>
    <s v="封蓋不良*22"/>
    <m/>
    <x v="0"/>
    <x v="0"/>
    <m/>
    <m/>
    <m/>
    <x v="0"/>
    <x v="0"/>
  </r>
  <r>
    <x v="154"/>
    <x v="28"/>
    <x v="19"/>
    <n v="32"/>
    <n v="6"/>
    <n v="25.5"/>
    <n v="816"/>
    <n v="827"/>
    <n v="4962"/>
    <n v="1.0134803921568627"/>
    <n v="1"/>
    <n v="1.2999999999999999E-2"/>
    <m/>
    <n v="1"/>
    <n v="1"/>
    <n v="825"/>
    <n v="0.99758162031438935"/>
    <m/>
    <m/>
    <m/>
    <m/>
    <x v="0"/>
    <x v="0"/>
    <m/>
    <m/>
    <m/>
    <x v="0"/>
    <x v="0"/>
  </r>
  <r>
    <x v="154"/>
    <x v="56"/>
    <x v="49"/>
    <n v="6"/>
    <n v="6"/>
    <n v="25.3"/>
    <n v="151.80000000000001"/>
    <n v="154"/>
    <n v="924"/>
    <n v="1.0144927536231882"/>
    <n v="1"/>
    <n v="1.4E-2"/>
    <m/>
    <n v="1"/>
    <n v="0"/>
    <n v="153"/>
    <n v="0.99350649350649356"/>
    <m/>
    <m/>
    <m/>
    <m/>
    <x v="0"/>
    <x v="0"/>
    <m/>
    <m/>
    <m/>
    <x v="0"/>
    <x v="0"/>
  </r>
  <r>
    <x v="154"/>
    <x v="11"/>
    <x v="11"/>
    <n v="60"/>
    <n v="2.8"/>
    <n v="44.5"/>
    <n v="2670"/>
    <n v="2680"/>
    <n v="7503.9999999999991"/>
    <n v="1.0037453183520599"/>
    <n v="1"/>
    <n v="4.0000000000000001E-3"/>
    <m/>
    <n v="1"/>
    <n v="0"/>
    <n v="2679"/>
    <n v="0.99962686567164183"/>
    <m/>
    <m/>
    <m/>
    <m/>
    <x v="0"/>
    <x v="0"/>
    <m/>
    <m/>
    <m/>
    <x v="0"/>
    <x v="0"/>
  </r>
  <r>
    <x v="155"/>
    <x v="93"/>
    <x v="84"/>
    <n v="20"/>
    <n v="6"/>
    <n v="26.2"/>
    <n v="524"/>
    <n v="524"/>
    <n v="3144"/>
    <n v="1"/>
    <n v="1"/>
    <n v="0"/>
    <m/>
    <n v="1"/>
    <n v="6"/>
    <n v="517"/>
    <n v="0.98664122137404575"/>
    <m/>
    <m/>
    <s v="異物*6"/>
    <m/>
    <x v="0"/>
    <x v="0"/>
    <m/>
    <m/>
    <m/>
    <x v="0"/>
    <x v="0"/>
  </r>
  <r>
    <x v="155"/>
    <x v="10"/>
    <x v="10"/>
    <n v="20"/>
    <n v="6"/>
    <n v="25.4"/>
    <n v="508"/>
    <n v="509"/>
    <n v="3054"/>
    <n v="1.0019685039370079"/>
    <n v="1"/>
    <n v="2E-3"/>
    <m/>
    <n v="1"/>
    <n v="2"/>
    <n v="506"/>
    <n v="0.9941060903732809"/>
    <m/>
    <m/>
    <s v="破損*1、X光機檢測不良品*1"/>
    <m/>
    <x v="0"/>
    <x v="0"/>
    <m/>
    <m/>
    <m/>
    <x v="0"/>
    <x v="0"/>
  </r>
  <r>
    <x v="156"/>
    <x v="81"/>
    <x v="73"/>
    <n v="6"/>
    <n v="0.4"/>
    <n v="366.4"/>
    <n v="2198.3999999999996"/>
    <n v="2196"/>
    <n v="878.40000000000009"/>
    <n v="0.99890829694323158"/>
    <n v="1"/>
    <n v="-1E-3"/>
    <m/>
    <n v="1"/>
    <n v="11"/>
    <n v="2184"/>
    <n v="0.99453551912568305"/>
    <m/>
    <m/>
    <s v="貼標中"/>
    <m/>
    <x v="0"/>
    <x v="0"/>
    <m/>
    <m/>
    <m/>
    <x v="0"/>
    <x v="0"/>
  </r>
  <r>
    <x v="156"/>
    <x v="5"/>
    <x v="5"/>
    <n v="12"/>
    <n v="9.08"/>
    <n v="17.3"/>
    <n v="207.60000000000002"/>
    <n v="208"/>
    <n v="1888.64"/>
    <n v="1.0019267822736029"/>
    <n v="1"/>
    <n v="2E-3"/>
    <m/>
    <n v="0"/>
    <n v="0"/>
    <n v="208"/>
    <n v="1"/>
    <m/>
    <m/>
    <m/>
    <m/>
    <x v="0"/>
    <x v="0"/>
    <m/>
    <m/>
    <m/>
    <x v="0"/>
    <x v="0"/>
  </r>
  <r>
    <x v="156"/>
    <x v="84"/>
    <x v="76"/>
    <n v="6"/>
    <n v="0.9"/>
    <n v="173"/>
    <n v="1038"/>
    <n v="1036"/>
    <n v="932.4"/>
    <n v="0.9980732177263969"/>
    <n v="1"/>
    <n v="-2E-3"/>
    <m/>
    <n v="2"/>
    <n v="0"/>
    <n v="1034"/>
    <n v="0.99806949806949807"/>
    <m/>
    <m/>
    <m/>
    <m/>
    <x v="0"/>
    <x v="0"/>
    <m/>
    <m/>
    <m/>
    <x v="0"/>
    <x v="0"/>
  </r>
  <r>
    <x v="156"/>
    <x v="51"/>
    <x v="45"/>
    <n v="12"/>
    <n v="9.08"/>
    <n v="17.8"/>
    <n v="213.60000000000002"/>
    <n v="212"/>
    <n v="1924.96"/>
    <n v="0.99250936329588002"/>
    <n v="1"/>
    <n v="-7.0000000000000001E-3"/>
    <m/>
    <n v="0"/>
    <n v="0"/>
    <n v="212"/>
    <n v="1"/>
    <m/>
    <m/>
    <m/>
    <m/>
    <x v="0"/>
    <x v="0"/>
    <m/>
    <m/>
    <m/>
    <x v="0"/>
    <x v="0"/>
  </r>
  <r>
    <x v="156"/>
    <x v="34"/>
    <x v="32"/>
    <n v="16"/>
    <n v="0.34"/>
    <n v="358.3"/>
    <n v="5732.8"/>
    <n v="5735"/>
    <n v="1949.9"/>
    <n v="1.0003837566285236"/>
    <n v="1"/>
    <n v="0"/>
    <m/>
    <n v="1"/>
    <n v="2404"/>
    <n v="3330"/>
    <n v="0.58064516129032262"/>
    <m/>
    <m/>
    <s v="E0120佳樂美200箱。包裝中。"/>
    <m/>
    <x v="0"/>
    <x v="0"/>
    <m/>
    <m/>
    <m/>
    <x v="0"/>
    <x v="0"/>
  </r>
  <r>
    <x v="156"/>
    <x v="24"/>
    <x v="23"/>
    <n v="16"/>
    <n v="0.34"/>
    <n v="366"/>
    <n v="5856"/>
    <n v="5912"/>
    <n v="2010.0800000000002"/>
    <n v="1.0095628415300546"/>
    <n v="1"/>
    <n v="0.01"/>
    <m/>
    <n v="1"/>
    <n v="2"/>
    <n v="5909"/>
    <n v="0.99949255751014887"/>
    <m/>
    <m/>
    <s v="包裝中。"/>
    <m/>
    <x v="0"/>
    <x v="0"/>
    <m/>
    <m/>
    <m/>
    <x v="0"/>
    <x v="0"/>
  </r>
  <r>
    <x v="157"/>
    <x v="15"/>
    <x v="15"/>
    <n v="72"/>
    <n v="3.2"/>
    <n v="46.8"/>
    <n v="3369.6"/>
    <n v="3388"/>
    <n v="10841.6"/>
    <n v="1.0054605887939221"/>
    <n v="1"/>
    <n v="5.0000000000000001E-3"/>
    <m/>
    <n v="2"/>
    <n v="0"/>
    <n v="3386"/>
    <n v="0.999409681227863"/>
    <m/>
    <m/>
    <m/>
    <m/>
    <x v="0"/>
    <x v="0"/>
    <m/>
    <m/>
    <m/>
    <x v="0"/>
    <x v="0"/>
  </r>
  <r>
    <x v="157"/>
    <x v="10"/>
    <x v="10"/>
    <n v="20"/>
    <n v="6"/>
    <n v="25.4"/>
    <n v="508"/>
    <n v="513"/>
    <n v="3078"/>
    <n v="1.0098425196850394"/>
    <n v="1"/>
    <n v="0.01"/>
    <m/>
    <n v="1"/>
    <n v="0"/>
    <n v="512"/>
    <n v="0.99805068226120852"/>
    <m/>
    <m/>
    <m/>
    <m/>
    <x v="0"/>
    <x v="0"/>
    <m/>
    <m/>
    <m/>
    <x v="0"/>
    <x v="0"/>
  </r>
  <r>
    <x v="157"/>
    <x v="32"/>
    <x v="30"/>
    <n v="20"/>
    <n v="6"/>
    <n v="25.2"/>
    <n v="504"/>
    <n v="506"/>
    <n v="3036"/>
    <n v="1.003968253968254"/>
    <n v="1"/>
    <n v="4.0000000000000001E-3"/>
    <m/>
    <n v="1"/>
    <n v="1"/>
    <n v="504"/>
    <n v="0.99604743083003955"/>
    <m/>
    <m/>
    <s v="異物*1"/>
    <m/>
    <x v="0"/>
    <x v="0"/>
    <m/>
    <m/>
    <m/>
    <x v="0"/>
    <x v="0"/>
  </r>
  <r>
    <x v="157"/>
    <x v="41"/>
    <x v="39"/>
    <n v="44"/>
    <n v="2.8"/>
    <n v="44.2"/>
    <n v="1944.8000000000002"/>
    <n v="1970"/>
    <n v="5516"/>
    <n v="1.0129576306046892"/>
    <n v="1"/>
    <n v="1.2999999999999999E-2"/>
    <m/>
    <n v="1"/>
    <n v="0"/>
    <n v="1969"/>
    <n v="0.999492385786802"/>
    <m/>
    <m/>
    <m/>
    <m/>
    <x v="0"/>
    <x v="0"/>
    <m/>
    <m/>
    <m/>
    <x v="0"/>
    <x v="0"/>
  </r>
  <r>
    <x v="157"/>
    <x v="35"/>
    <x v="33"/>
    <n v="16"/>
    <n v="18"/>
    <n v="6.6"/>
    <n v="105.6"/>
    <n v="109"/>
    <n v="1962"/>
    <n v="1.0321969696969697"/>
    <n v="1"/>
    <n v="3.2000000000000001E-2"/>
    <m/>
    <n v="0"/>
    <n v="0"/>
    <n v="109"/>
    <n v="1"/>
    <m/>
    <m/>
    <m/>
    <m/>
    <x v="0"/>
    <x v="0"/>
    <m/>
    <m/>
    <m/>
    <x v="0"/>
    <x v="0"/>
  </r>
  <r>
    <x v="157"/>
    <x v="90"/>
    <x v="81"/>
    <n v="1"/>
    <n v="1"/>
    <n v="670"/>
    <n v="670"/>
    <n v="402"/>
    <n v="402"/>
    <n v="0.6"/>
    <n v="1"/>
    <n v="-0.4"/>
    <m/>
    <n v="0"/>
    <n v="0"/>
    <n v="402"/>
    <n v="1"/>
    <m/>
    <m/>
    <m/>
    <m/>
    <x v="0"/>
    <x v="0"/>
    <m/>
    <m/>
    <m/>
    <x v="0"/>
    <x v="0"/>
  </r>
  <r>
    <x v="157"/>
    <x v="94"/>
    <x v="85"/>
    <n v="1"/>
    <n v="1"/>
    <n v="591"/>
    <n v="591"/>
    <n v="662"/>
    <n v="662"/>
    <n v="1.1201353637901861"/>
    <n v="1"/>
    <n v="0.12"/>
    <m/>
    <m/>
    <n v="0"/>
    <n v="662"/>
    <n v="1"/>
    <m/>
    <m/>
    <m/>
    <m/>
    <x v="0"/>
    <x v="0"/>
    <m/>
    <m/>
    <m/>
    <x v="0"/>
    <x v="0"/>
  </r>
  <r>
    <x v="158"/>
    <x v="2"/>
    <x v="2"/>
    <n v="33"/>
    <n v="6"/>
    <n v="26.6"/>
    <n v="877.80000000000007"/>
    <n v="888"/>
    <n v="5328"/>
    <n v="1.0116199589883799"/>
    <n v="1"/>
    <n v="1.2E-2"/>
    <m/>
    <n v="1"/>
    <n v="12"/>
    <n v="875"/>
    <n v="0.98536036036036034"/>
    <m/>
    <m/>
    <m/>
    <m/>
    <x v="0"/>
    <x v="0"/>
    <m/>
    <m/>
    <m/>
    <x v="0"/>
    <x v="0"/>
  </r>
  <r>
    <x v="158"/>
    <x v="82"/>
    <x v="74"/>
    <n v="6"/>
    <n v="6"/>
    <n v="24.5"/>
    <n v="147"/>
    <n v="150"/>
    <n v="900"/>
    <n v="1.0204081632653061"/>
    <n v="1"/>
    <n v="0.02"/>
    <m/>
    <n v="1"/>
    <n v="0"/>
    <n v="149"/>
    <n v="0.99333333333333329"/>
    <m/>
    <m/>
    <m/>
    <m/>
    <x v="0"/>
    <x v="0"/>
    <m/>
    <m/>
    <m/>
    <x v="0"/>
    <x v="0"/>
  </r>
  <r>
    <x v="158"/>
    <x v="18"/>
    <x v="18"/>
    <n v="16"/>
    <n v="6"/>
    <n v="26.4"/>
    <n v="422.4"/>
    <n v="452"/>
    <n v="2712"/>
    <n v="1.0700757575757576"/>
    <n v="1"/>
    <n v="7.0000000000000007E-2"/>
    <m/>
    <n v="1"/>
    <n v="0"/>
    <n v="451"/>
    <n v="0.99778761061946908"/>
    <m/>
    <n v="191"/>
    <s v="加重工D0114(1130918-01A)"/>
    <m/>
    <x v="0"/>
    <x v="0"/>
    <m/>
    <m/>
    <m/>
    <x v="0"/>
    <x v="0"/>
  </r>
  <r>
    <x v="158"/>
    <x v="9"/>
    <x v="9"/>
    <n v="20"/>
    <n v="6"/>
    <n v="25.7"/>
    <n v="514"/>
    <n v="514"/>
    <n v="3084"/>
    <n v="1"/>
    <n v="1"/>
    <n v="0"/>
    <m/>
    <n v="1"/>
    <n v="0"/>
    <n v="513"/>
    <n v="0.99805447470817121"/>
    <m/>
    <m/>
    <m/>
    <m/>
    <x v="0"/>
    <x v="0"/>
    <m/>
    <m/>
    <m/>
    <x v="0"/>
    <x v="0"/>
  </r>
  <r>
    <x v="158"/>
    <x v="86"/>
    <x v="78"/>
    <n v="4"/>
    <n v="6"/>
    <n v="25.1"/>
    <n v="100.4"/>
    <n v="99"/>
    <n v="594"/>
    <n v="0.98605577689243018"/>
    <n v="1"/>
    <n v="-1.4E-2"/>
    <m/>
    <n v="1"/>
    <n v="0"/>
    <n v="98"/>
    <n v="0.98989898989898994"/>
    <m/>
    <m/>
    <m/>
    <m/>
    <x v="0"/>
    <x v="0"/>
    <m/>
    <m/>
    <m/>
    <x v="0"/>
    <x v="0"/>
  </r>
  <r>
    <x v="158"/>
    <x v="11"/>
    <x v="11"/>
    <n v="40"/>
    <n v="2.8"/>
    <n v="44.5"/>
    <n v="1780"/>
    <n v="1445"/>
    <n v="4045.9999999999995"/>
    <n v="0.8117977528089888"/>
    <n v="1"/>
    <n v="-0.188"/>
    <m/>
    <n v="1"/>
    <n v="0"/>
    <n v="1444"/>
    <n v="0.99930795847750864"/>
    <m/>
    <m/>
    <s v="D9920(18kg)*65"/>
    <m/>
    <x v="0"/>
    <x v="0"/>
    <m/>
    <m/>
    <m/>
    <x v="0"/>
    <x v="0"/>
  </r>
  <r>
    <x v="158"/>
    <x v="78"/>
    <x v="70"/>
    <n v="8"/>
    <n v="0.28999999999999998"/>
    <n v="388"/>
    <n v="3104"/>
    <n v="2977"/>
    <n v="863.32999999999993"/>
    <n v="0.95908505154639179"/>
    <n v="1"/>
    <n v="-4.1000000000000002E-2"/>
    <m/>
    <n v="1"/>
    <n v="2"/>
    <n v="2974"/>
    <n v="0.99899227410144442"/>
    <m/>
    <m/>
    <m/>
    <m/>
    <x v="0"/>
    <x v="0"/>
    <m/>
    <m/>
    <m/>
    <x v="0"/>
    <x v="0"/>
  </r>
  <r>
    <x v="158"/>
    <x v="95"/>
    <x v="86"/>
    <n v="1"/>
    <n v="1"/>
    <n v="942"/>
    <n v="942"/>
    <n v="932"/>
    <n v="932"/>
    <n v="0.98938428874734607"/>
    <n v="1"/>
    <n v="-1.0999999999999999E-2"/>
    <m/>
    <n v="0"/>
    <n v="0"/>
    <n v="932"/>
    <n v="1"/>
    <m/>
    <m/>
    <m/>
    <m/>
    <x v="0"/>
    <x v="0"/>
    <m/>
    <m/>
    <m/>
    <x v="0"/>
    <x v="0"/>
  </r>
  <r>
    <x v="158"/>
    <x v="96"/>
    <x v="87"/>
    <n v="50"/>
    <n v="1"/>
    <n v="5.7"/>
    <n v="285"/>
    <n v="286"/>
    <n v="286"/>
    <n v="1.0035087719298246"/>
    <n v="1"/>
    <n v="4.0000000000000001E-3"/>
    <m/>
    <n v="0"/>
    <n v="0"/>
    <n v="286"/>
    <n v="1"/>
    <m/>
    <m/>
    <s v="包裝50箱"/>
    <m/>
    <x v="0"/>
    <x v="0"/>
    <m/>
    <m/>
    <m/>
    <x v="0"/>
    <x v="0"/>
  </r>
  <r>
    <x v="158"/>
    <x v="97"/>
    <x v="88"/>
    <n v="50"/>
    <n v="1"/>
    <n v="6"/>
    <n v="300"/>
    <n v="300"/>
    <n v="300"/>
    <n v="1"/>
    <n v="1"/>
    <n v="0"/>
    <m/>
    <n v="0"/>
    <n v="0"/>
    <n v="300"/>
    <n v="1"/>
    <m/>
    <m/>
    <s v="包裝50箱"/>
    <m/>
    <x v="0"/>
    <x v="0"/>
    <m/>
    <m/>
    <m/>
    <x v="0"/>
    <x v="0"/>
  </r>
  <r>
    <x v="159"/>
    <x v="26"/>
    <x v="25"/>
    <n v="40"/>
    <n v="0.9"/>
    <n v="163"/>
    <n v="6520"/>
    <n v="6755"/>
    <n v="6079.5"/>
    <n v="1.0360429447852761"/>
    <n v="1"/>
    <n v="3.5999999999999997E-2"/>
    <m/>
    <n v="2"/>
    <n v="4"/>
    <n v="6749"/>
    <n v="0.99911176905995558"/>
    <m/>
    <m/>
    <m/>
    <m/>
    <x v="0"/>
    <x v="0"/>
    <m/>
    <m/>
    <m/>
    <x v="0"/>
    <x v="0"/>
  </r>
  <r>
    <x v="159"/>
    <x v="59"/>
    <x v="52"/>
    <n v="8"/>
    <n v="4.5"/>
    <n v="34.9"/>
    <n v="279.2"/>
    <n v="278"/>
    <n v="1251"/>
    <n v="0.99570200573065903"/>
    <n v="1"/>
    <n v="-4.0000000000000001E-3"/>
    <m/>
    <n v="0"/>
    <n v="0"/>
    <n v="278"/>
    <n v="1"/>
    <m/>
    <m/>
    <m/>
    <m/>
    <x v="0"/>
    <x v="0"/>
    <m/>
    <m/>
    <m/>
    <x v="0"/>
    <x v="0"/>
  </r>
  <r>
    <x v="159"/>
    <x v="51"/>
    <x v="45"/>
    <n v="12"/>
    <n v="9.08"/>
    <n v="17.8"/>
    <n v="213.60000000000002"/>
    <n v="215"/>
    <n v="1952.2"/>
    <n v="1.0065543071161047"/>
    <n v="1"/>
    <n v="7.0000000000000001E-3"/>
    <m/>
    <n v="0"/>
    <n v="0"/>
    <n v="215"/>
    <n v="1"/>
    <m/>
    <m/>
    <m/>
    <m/>
    <x v="0"/>
    <x v="0"/>
    <m/>
    <m/>
    <m/>
    <x v="0"/>
    <x v="0"/>
  </r>
  <r>
    <x v="159"/>
    <x v="19"/>
    <x v="19"/>
    <n v="20"/>
    <n v="6"/>
    <n v="25.5"/>
    <n v="510"/>
    <n v="507"/>
    <n v="3042"/>
    <n v="0.99411764705882355"/>
    <n v="1"/>
    <n v="-6.0000000000000001E-3"/>
    <m/>
    <n v="1"/>
    <n v="0"/>
    <n v="506"/>
    <n v="0.99802761341222879"/>
    <m/>
    <m/>
    <m/>
    <m/>
    <x v="0"/>
    <x v="0"/>
    <m/>
    <m/>
    <m/>
    <x v="0"/>
    <x v="0"/>
  </r>
  <r>
    <x v="159"/>
    <x v="23"/>
    <x v="22"/>
    <n v="36"/>
    <n v="0.34"/>
    <n v="364.6"/>
    <n v="13125.6"/>
    <n v="12910"/>
    <n v="4389.4000000000005"/>
    <n v="0.98357408423233983"/>
    <n v="1"/>
    <n v="-1.6E-2"/>
    <m/>
    <n v="1"/>
    <n v="5"/>
    <n v="12904"/>
    <n v="0.99953524399690163"/>
    <m/>
    <m/>
    <s v="E0121*2402(半)2400(成)"/>
    <m/>
    <x v="0"/>
    <x v="0"/>
    <m/>
    <m/>
    <m/>
    <x v="0"/>
    <x v="0"/>
  </r>
  <r>
    <x v="160"/>
    <x v="43"/>
    <x v="41"/>
    <n v="16"/>
    <n v="0.26"/>
    <n v="584.29999999999995"/>
    <n v="9348.7999999999993"/>
    <n v="9411"/>
    <n v="2446.86"/>
    <n v="1.0066532603114839"/>
    <n v="1"/>
    <n v="7.0000000000000001E-3"/>
    <m/>
    <n v="2"/>
    <n v="11"/>
    <n v="9398"/>
    <n v="0.99861863776431836"/>
    <m/>
    <m/>
    <m/>
    <m/>
    <x v="0"/>
    <x v="0"/>
    <m/>
    <m/>
    <m/>
    <x v="0"/>
    <x v="0"/>
  </r>
  <r>
    <x v="160"/>
    <x v="63"/>
    <x v="54"/>
    <n v="6"/>
    <n v="0.21"/>
    <n v="698.4"/>
    <n v="4190.3999999999996"/>
    <n v="4095"/>
    <n v="859.94999999999993"/>
    <n v="0.9772336769759451"/>
    <n v="1"/>
    <n v="-2.3E-2"/>
    <m/>
    <n v="2"/>
    <n v="-191"/>
    <n v="4284"/>
    <n v="1.0461538461538462"/>
    <m/>
    <m/>
    <m/>
    <m/>
    <x v="0"/>
    <x v="0"/>
    <m/>
    <m/>
    <m/>
    <x v="0"/>
    <x v="0"/>
  </r>
  <r>
    <x v="160"/>
    <x v="98"/>
    <x v="72"/>
    <n v="8"/>
    <n v="6"/>
    <n v="25.6"/>
    <n v="204.8"/>
    <n v="205"/>
    <n v="1230"/>
    <n v="1.0009765625"/>
    <n v="1"/>
    <n v="1E-3"/>
    <m/>
    <n v="1"/>
    <n v="0"/>
    <n v="204"/>
    <n v="0.99512195121951219"/>
    <m/>
    <m/>
    <m/>
    <m/>
    <x v="0"/>
    <x v="0"/>
    <m/>
    <m/>
    <m/>
    <x v="0"/>
    <x v="0"/>
  </r>
  <r>
    <x v="160"/>
    <x v="9"/>
    <x v="9"/>
    <n v="32"/>
    <n v="6"/>
    <n v="25.7"/>
    <n v="822.4"/>
    <n v="836"/>
    <n v="5016"/>
    <n v="1.0165369649805447"/>
    <n v="1"/>
    <n v="1.7000000000000001E-2"/>
    <m/>
    <n v="1"/>
    <n v="1"/>
    <n v="834"/>
    <n v="0.99760765550239239"/>
    <m/>
    <m/>
    <m/>
    <m/>
    <x v="0"/>
    <x v="0"/>
    <m/>
    <m/>
    <m/>
    <x v="0"/>
    <x v="0"/>
  </r>
  <r>
    <x v="160"/>
    <x v="41"/>
    <x v="39"/>
    <n v="48"/>
    <n v="2.8"/>
    <n v="44.2"/>
    <n v="2121.6000000000004"/>
    <n v="2130"/>
    <n v="5964"/>
    <n v="1.0039592760180993"/>
    <n v="1"/>
    <n v="4.0000000000000001E-3"/>
    <m/>
    <n v="2"/>
    <n v="1"/>
    <n v="2127"/>
    <n v="0.99859154929577465"/>
    <m/>
    <m/>
    <m/>
    <m/>
    <x v="0"/>
    <x v="0"/>
    <m/>
    <m/>
    <m/>
    <x v="0"/>
    <x v="0"/>
  </r>
  <r>
    <x v="161"/>
    <x v="15"/>
    <x v="15"/>
    <n v="72"/>
    <n v="3.2"/>
    <n v="46.8"/>
    <n v="3369.6"/>
    <n v="3402"/>
    <n v="10886.400000000001"/>
    <n v="1.0096153846153846"/>
    <n v="1"/>
    <n v="0.01"/>
    <s v="540"/>
    <n v="4"/>
    <n v="1"/>
    <n v="3397"/>
    <n v="0.99853027630805413"/>
    <m/>
    <m/>
    <m/>
    <m/>
    <x v="0"/>
    <x v="0"/>
    <m/>
    <m/>
    <m/>
    <x v="0"/>
    <x v="0"/>
  </r>
  <r>
    <x v="161"/>
    <x v="16"/>
    <x v="16"/>
    <n v="20"/>
    <n v="6"/>
    <n v="26.1"/>
    <n v="522"/>
    <n v="520"/>
    <n v="3120"/>
    <n v="0.99616858237547889"/>
    <n v="1"/>
    <n v="-4.0000000000000001E-3"/>
    <s v="282"/>
    <n v="1"/>
    <n v="0"/>
    <n v="519"/>
    <n v="0.99807692307692308"/>
    <m/>
    <m/>
    <m/>
    <m/>
    <x v="0"/>
    <x v="0"/>
    <m/>
    <m/>
    <m/>
    <x v="0"/>
    <x v="0"/>
  </r>
  <r>
    <x v="161"/>
    <x v="88"/>
    <x v="80"/>
    <n v="8"/>
    <n v="6"/>
    <n v="25.8"/>
    <n v="206.4"/>
    <n v="209"/>
    <n v="1254"/>
    <n v="1.0125968992248062"/>
    <n v="1"/>
    <n v="1.2999999999999999E-2"/>
    <s v="150"/>
    <n v="1"/>
    <n v="1"/>
    <n v="207"/>
    <n v="0.99043062200956933"/>
    <m/>
    <m/>
    <s v="異物*1"/>
    <m/>
    <x v="0"/>
    <x v="0"/>
    <m/>
    <m/>
    <m/>
    <x v="0"/>
    <x v="0"/>
  </r>
  <r>
    <x v="161"/>
    <x v="0"/>
    <x v="0"/>
    <n v="16"/>
    <n v="6"/>
    <n v="25.5"/>
    <n v="408"/>
    <n v="416"/>
    <n v="2496"/>
    <n v="1.0196078431372548"/>
    <n v="1"/>
    <n v="0.02"/>
    <s v="205"/>
    <n v="1"/>
    <n v="0"/>
    <n v="415"/>
    <n v="0.99759615384615385"/>
    <m/>
    <m/>
    <m/>
    <m/>
    <x v="0"/>
    <x v="0"/>
    <m/>
    <m/>
    <m/>
    <x v="0"/>
    <x v="0"/>
  </r>
  <r>
    <x v="161"/>
    <x v="11"/>
    <x v="11"/>
    <n v="72"/>
    <n v="2.8"/>
    <n v="44.5"/>
    <n v="3204"/>
    <n v="3237"/>
    <n v="9063.5999999999985"/>
    <n v="1.0102996254681649"/>
    <n v="1"/>
    <n v="0.01"/>
    <s v="700"/>
    <n v="1"/>
    <n v="0"/>
    <n v="3236"/>
    <n v="0.99969107198022855"/>
    <m/>
    <m/>
    <m/>
    <m/>
    <x v="0"/>
    <x v="0"/>
    <m/>
    <m/>
    <m/>
    <x v="0"/>
    <x v="0"/>
  </r>
  <r>
    <x v="161"/>
    <x v="99"/>
    <x v="89"/>
    <n v="1"/>
    <n v="0"/>
    <n v="0"/>
    <n v="0"/>
    <m/>
    <n v="0"/>
    <s v="無法預估數據"/>
    <n v="1"/>
    <s v="無法預估數據"/>
    <s v="0"/>
    <m/>
    <n v="0"/>
    <m/>
    <e v="#DIV/0!"/>
    <m/>
    <m/>
    <s v="10/9包裝163"/>
    <m/>
    <x v="0"/>
    <x v="0"/>
    <m/>
    <m/>
    <m/>
    <x v="0"/>
    <x v="0"/>
  </r>
  <r>
    <x v="162"/>
    <x v="2"/>
    <x v="2"/>
    <n v="20"/>
    <n v="6"/>
    <n v="26.6"/>
    <n v="532"/>
    <n v="547"/>
    <n v="3282"/>
    <n v="1.0281954887218046"/>
    <n v="1"/>
    <n v="2.8000000000000001E-2"/>
    <s v="240"/>
    <n v="1"/>
    <n v="0"/>
    <n v="546"/>
    <n v="0.9981718464351006"/>
    <m/>
    <m/>
    <m/>
    <m/>
    <x v="0"/>
    <x v="0"/>
    <m/>
    <m/>
    <m/>
    <x v="0"/>
    <x v="0"/>
  </r>
  <r>
    <x v="162"/>
    <x v="93"/>
    <x v="84"/>
    <n v="24"/>
    <n v="6"/>
    <n v="26.2"/>
    <n v="628.79999999999995"/>
    <n v="639"/>
    <n v="3834"/>
    <n v="1.0162213740458017"/>
    <n v="1"/>
    <n v="1.6E-2"/>
    <s v="325"/>
    <n v="1"/>
    <n v="0"/>
    <n v="638"/>
    <n v="0.99843505477308292"/>
    <m/>
    <m/>
    <m/>
    <m/>
    <x v="0"/>
    <x v="0"/>
    <m/>
    <m/>
    <m/>
    <x v="0"/>
    <x v="0"/>
  </r>
  <r>
    <x v="162"/>
    <x v="46"/>
    <x v="17"/>
    <n v="21"/>
    <n v="3"/>
    <n v="31.6"/>
    <n v="663.6"/>
    <n v="668"/>
    <n v="2004"/>
    <n v="1.0066305003013862"/>
    <n v="1"/>
    <n v="7.0000000000000001E-3"/>
    <s v="490"/>
    <n v="0"/>
    <n v="0"/>
    <n v="668"/>
    <n v="1"/>
    <m/>
    <m/>
    <m/>
    <m/>
    <x v="0"/>
    <x v="0"/>
    <m/>
    <m/>
    <m/>
    <x v="0"/>
    <x v="0"/>
  </r>
  <r>
    <x v="162"/>
    <x v="6"/>
    <x v="6"/>
    <n v="36"/>
    <n v="0.4"/>
    <n v="309.2"/>
    <n v="11131.199999999999"/>
    <n v="11161"/>
    <n v="4464.4000000000005"/>
    <n v="1.002677159695271"/>
    <n v="1"/>
    <n v="3.0000000000000001E-3"/>
    <s v="570"/>
    <n v="1"/>
    <n v="2"/>
    <n v="11158"/>
    <n v="0.99973120688110384"/>
    <m/>
    <m/>
    <m/>
    <m/>
    <x v="0"/>
    <x v="0"/>
    <m/>
    <m/>
    <m/>
    <x v="0"/>
    <x v="0"/>
  </r>
  <r>
    <x v="162"/>
    <x v="100"/>
    <x v="90"/>
    <n v="1"/>
    <n v="1"/>
    <n v="139"/>
    <n v="139"/>
    <n v="141"/>
    <n v="141"/>
    <n v="1.014388489208633"/>
    <n v="1"/>
    <n v="1.4E-2"/>
    <s v="0"/>
    <n v="0"/>
    <n v="0"/>
    <n v="141"/>
    <n v="1"/>
    <m/>
    <m/>
    <m/>
    <m/>
    <x v="0"/>
    <x v="0"/>
    <m/>
    <m/>
    <m/>
    <x v="0"/>
    <x v="0"/>
  </r>
  <r>
    <x v="163"/>
    <x v="15"/>
    <x v="15"/>
    <n v="72"/>
    <n v="3.2"/>
    <n v="46.8"/>
    <n v="3369.6"/>
    <n v="3392"/>
    <n v="10854.400000000001"/>
    <n v="1.0066476733143399"/>
    <n v="1"/>
    <n v="7.0000000000000001E-3"/>
    <s v="540"/>
    <n v="2"/>
    <n v="0"/>
    <n v="3390"/>
    <n v="0.99941037735849059"/>
    <m/>
    <m/>
    <m/>
    <m/>
    <x v="0"/>
    <x v="0"/>
    <m/>
    <m/>
    <m/>
    <x v="0"/>
    <x v="0"/>
  </r>
  <r>
    <x v="163"/>
    <x v="9"/>
    <x v="9"/>
    <n v="20"/>
    <n v="6"/>
    <n v="25.7"/>
    <n v="514"/>
    <n v="511"/>
    <n v="3066"/>
    <n v="0.99416342412451364"/>
    <n v="1"/>
    <n v="-6.0000000000000001E-3"/>
    <s v="250"/>
    <n v="1"/>
    <n v="0"/>
    <n v="510"/>
    <n v="0.99804305283757333"/>
    <m/>
    <m/>
    <m/>
    <m/>
    <x v="0"/>
    <x v="0"/>
    <m/>
    <m/>
    <m/>
    <x v="0"/>
    <x v="0"/>
  </r>
  <r>
    <x v="163"/>
    <x v="69"/>
    <x v="2"/>
    <n v="12"/>
    <n v="6"/>
    <n v="25.5"/>
    <n v="306"/>
    <n v="305"/>
    <n v="1830"/>
    <n v="0.99673202614379086"/>
    <n v="1"/>
    <n v="-3.0000000000000001E-3"/>
    <s v="170"/>
    <n v="1"/>
    <n v="0"/>
    <n v="304"/>
    <n v="0.99672131147540988"/>
    <m/>
    <m/>
    <m/>
    <m/>
    <x v="0"/>
    <x v="0"/>
    <m/>
    <m/>
    <m/>
    <x v="0"/>
    <x v="0"/>
  </r>
  <r>
    <x v="163"/>
    <x v="22"/>
    <x v="10"/>
    <n v="12"/>
    <n v="6"/>
    <n v="25.1"/>
    <n v="301.20000000000005"/>
    <n v="301"/>
    <n v="1806"/>
    <n v="0.9993359893758299"/>
    <n v="1"/>
    <n v="-1E-3"/>
    <s v="180"/>
    <n v="1"/>
    <n v="0"/>
    <n v="300"/>
    <n v="0.99667774086378735"/>
    <m/>
    <m/>
    <m/>
    <m/>
    <x v="0"/>
    <x v="0"/>
    <m/>
    <m/>
    <m/>
    <x v="0"/>
    <x v="0"/>
  </r>
  <r>
    <x v="163"/>
    <x v="11"/>
    <x v="11"/>
    <n v="72"/>
    <n v="2.8"/>
    <n v="44.5"/>
    <n v="3204"/>
    <n v="3223"/>
    <n v="9024.4"/>
    <n v="1.0059300873907615"/>
    <n v="1"/>
    <n v="6.0000000000000001E-3"/>
    <s v="660"/>
    <n v="1"/>
    <n v="0"/>
    <n v="3222"/>
    <n v="0.99968973006515671"/>
    <m/>
    <m/>
    <m/>
    <m/>
    <x v="0"/>
    <x v="0"/>
    <m/>
    <m/>
    <m/>
    <x v="0"/>
    <x v="0"/>
  </r>
  <r>
    <x v="164"/>
    <x v="49"/>
    <x v="43"/>
    <n v="15"/>
    <n v="0.43"/>
    <n v="364"/>
    <n v="5460"/>
    <n v="5652"/>
    <n v="2430.36"/>
    <n v="1.0351648351648353"/>
    <n v="1"/>
    <n v="3.5000000000000003E-2"/>
    <s v="360"/>
    <n v="7"/>
    <n v="20"/>
    <n v="5625"/>
    <n v="0.99522292993630568"/>
    <m/>
    <m/>
    <m/>
    <m/>
    <x v="0"/>
    <x v="0"/>
    <m/>
    <m/>
    <m/>
    <x v="0"/>
    <x v="0"/>
  </r>
  <r>
    <x v="164"/>
    <x v="30"/>
    <x v="28"/>
    <n v="12"/>
    <n v="0.43"/>
    <n v="340.4"/>
    <n v="4084.7999999999997"/>
    <n v="4114"/>
    <n v="1769.02"/>
    <n v="1.0071484528006267"/>
    <n v="1"/>
    <n v="7.0000000000000001E-3"/>
    <s v="270"/>
    <n v="2"/>
    <n v="16"/>
    <n v="4096"/>
    <n v="0.99562469615945548"/>
    <m/>
    <m/>
    <m/>
    <m/>
    <x v="0"/>
    <x v="0"/>
    <m/>
    <m/>
    <m/>
    <x v="0"/>
    <x v="0"/>
  </r>
  <r>
    <x v="164"/>
    <x v="86"/>
    <x v="78"/>
    <n v="4"/>
    <n v="6"/>
    <n v="25.1"/>
    <n v="100.4"/>
    <n v="98"/>
    <n v="588"/>
    <n v="0.97609561752988039"/>
    <n v="1"/>
    <n v="-2.4E-2"/>
    <s v="135"/>
    <n v="1"/>
    <n v="2"/>
    <n v="95"/>
    <n v="0.96938775510204078"/>
    <m/>
    <m/>
    <m/>
    <m/>
    <x v="0"/>
    <x v="0"/>
    <m/>
    <m/>
    <m/>
    <x v="0"/>
    <x v="0"/>
  </r>
  <r>
    <x v="164"/>
    <x v="1"/>
    <x v="1"/>
    <n v="12"/>
    <n v="6"/>
    <n v="25.7"/>
    <n v="308.39999999999998"/>
    <n v="315"/>
    <n v="1890"/>
    <n v="1.0214007782101169"/>
    <n v="1"/>
    <n v="2.1000000000000001E-2"/>
    <s v="205"/>
    <n v="1"/>
    <n v="1"/>
    <n v="313"/>
    <n v="0.99365079365079367"/>
    <m/>
    <m/>
    <m/>
    <m/>
    <x v="0"/>
    <x v="0"/>
    <m/>
    <m/>
    <m/>
    <x v="0"/>
    <x v="0"/>
  </r>
  <r>
    <x v="164"/>
    <x v="9"/>
    <x v="9"/>
    <n v="24"/>
    <n v="6"/>
    <n v="25.7"/>
    <n v="616.79999999999995"/>
    <n v="617"/>
    <n v="3702"/>
    <n v="1.0003242542153048"/>
    <n v="1"/>
    <n v="0"/>
    <s v="300"/>
    <n v="1"/>
    <n v="1"/>
    <n v="615"/>
    <n v="0.99675850891410045"/>
    <m/>
    <m/>
    <m/>
    <m/>
    <x v="0"/>
    <x v="0"/>
    <m/>
    <m/>
    <m/>
    <x v="0"/>
    <x v="0"/>
  </r>
  <r>
    <x v="164"/>
    <x v="12"/>
    <x v="12"/>
    <n v="40"/>
    <n v="0.8"/>
    <n v="157.69999999999999"/>
    <n v="6308"/>
    <n v="6250"/>
    <n v="5000"/>
    <n v="0.99080532656943565"/>
    <n v="1"/>
    <n v="-8.9999999999999993E-3"/>
    <s v="540"/>
    <n v="2"/>
    <n v="0"/>
    <n v="6248"/>
    <n v="0.99968000000000001"/>
    <m/>
    <m/>
    <m/>
    <m/>
    <x v="0"/>
    <x v="0"/>
    <m/>
    <m/>
    <m/>
    <x v="0"/>
    <x v="0"/>
  </r>
  <r>
    <x v="165"/>
    <x v="21"/>
    <x v="21"/>
    <n v="72"/>
    <n v="3.2"/>
    <n v="46.4"/>
    <n v="3340.7999999999997"/>
    <n v="3383"/>
    <n v="10825.6"/>
    <n v="1.0126317049808431"/>
    <n v="1"/>
    <n v="1.2999999999999999E-2"/>
    <s v="540"/>
    <n v="0"/>
    <n v="2"/>
    <n v="3381"/>
    <n v="0.99940880874963045"/>
    <m/>
    <m/>
    <m/>
    <m/>
    <x v="0"/>
    <x v="0"/>
    <m/>
    <m/>
    <m/>
    <x v="0"/>
    <x v="0"/>
  </r>
  <r>
    <x v="165"/>
    <x v="17"/>
    <x v="17"/>
    <n v="21"/>
    <n v="3"/>
    <n v="29.7"/>
    <n v="623.69999999999993"/>
    <n v="628"/>
    <n v="1884"/>
    <n v="1.0068943402276738"/>
    <n v="1"/>
    <n v="7.0000000000000001E-3"/>
    <s v="540"/>
    <n v="0"/>
    <n v="0"/>
    <n v="628"/>
    <n v="1"/>
    <m/>
    <m/>
    <m/>
    <m/>
    <x v="0"/>
    <x v="0"/>
    <m/>
    <m/>
    <m/>
    <x v="0"/>
    <x v="0"/>
  </r>
  <r>
    <x v="165"/>
    <x v="11"/>
    <x v="11"/>
    <n v="72"/>
    <n v="2.8"/>
    <n v="44.5"/>
    <n v="3204"/>
    <n v="2576"/>
    <n v="7212.7999999999993"/>
    <n v="0.80399500624219722"/>
    <n v="1"/>
    <n v="-0.19600000000000001"/>
    <s v="660"/>
    <n v="1"/>
    <n v="0"/>
    <n v="2575"/>
    <n v="0.99961180124223603"/>
    <m/>
    <m/>
    <s v="D9920(18kg)*100桶，美芝城D2021*100箱"/>
    <m/>
    <x v="0"/>
    <x v="0"/>
    <m/>
    <m/>
    <m/>
    <x v="0"/>
    <x v="0"/>
  </r>
  <r>
    <x v="166"/>
    <x v="8"/>
    <x v="8"/>
    <n v="24"/>
    <n v="0.44"/>
    <n v="344"/>
    <n v="8256"/>
    <n v="8312"/>
    <n v="3657.28"/>
    <n v="1.0067829457364341"/>
    <n v="1"/>
    <n v="7.0000000000000001E-3"/>
    <s v="345"/>
    <n v="4"/>
    <n v="14"/>
    <n v="8294"/>
    <n v="0.99783445620789224"/>
    <m/>
    <m/>
    <s v="封蓋不良*12"/>
    <m/>
    <x v="0"/>
    <x v="0"/>
    <m/>
    <m/>
    <m/>
    <x v="0"/>
    <x v="0"/>
  </r>
  <r>
    <x v="166"/>
    <x v="44"/>
    <x v="41"/>
    <n v="4"/>
    <n v="0.26"/>
    <n v="592"/>
    <n v="2368"/>
    <n v="2388"/>
    <n v="620.88"/>
    <n v="1.0084459459459461"/>
    <n v="1"/>
    <n v="8.0000000000000002E-3"/>
    <s v="300"/>
    <n v="2"/>
    <n v="11"/>
    <n v="2375"/>
    <n v="0.99455611390284759"/>
    <m/>
    <m/>
    <s v="失真空*9"/>
    <m/>
    <x v="0"/>
    <x v="0"/>
    <m/>
    <m/>
    <m/>
    <x v="0"/>
    <x v="0"/>
  </r>
  <r>
    <x v="166"/>
    <x v="43"/>
    <x v="41"/>
    <n v="12"/>
    <n v="0.26"/>
    <n v="584.29999999999995"/>
    <n v="7011.5999999999995"/>
    <n v="6987"/>
    <n v="1816.6200000000001"/>
    <n v="0.99649152832449095"/>
    <n v="1"/>
    <n v="-4.0000000000000001E-3"/>
    <s v="270"/>
    <n v="2"/>
    <n v="26"/>
    <n v="6959"/>
    <n v="0.99599255760698435"/>
    <m/>
    <m/>
    <s v="破包*1,失真空*23"/>
    <m/>
    <x v="0"/>
    <x v="0"/>
    <m/>
    <m/>
    <m/>
    <x v="0"/>
    <x v="0"/>
  </r>
  <r>
    <x v="166"/>
    <x v="66"/>
    <x v="57"/>
    <n v="12"/>
    <n v="9.08"/>
    <n v="17.5"/>
    <n v="210"/>
    <n v="208"/>
    <n v="1888.64"/>
    <n v="0.99047619047619051"/>
    <n v="1"/>
    <n v="-0.01"/>
    <s v="230"/>
    <n v="0"/>
    <n v="0"/>
    <n v="208"/>
    <n v="1"/>
    <m/>
    <m/>
    <m/>
    <m/>
    <x v="0"/>
    <x v="0"/>
    <m/>
    <m/>
    <m/>
    <x v="0"/>
    <x v="0"/>
  </r>
  <r>
    <x v="166"/>
    <x v="28"/>
    <x v="19"/>
    <n v="32"/>
    <n v="6"/>
    <n v="25.5"/>
    <n v="816"/>
    <n v="812"/>
    <n v="4872"/>
    <n v="0.99509803921568629"/>
    <n v="1"/>
    <n v="-5.0000000000000001E-3"/>
    <s v="443"/>
    <n v="1"/>
    <n v="0"/>
    <n v="811"/>
    <n v="0.99876847290640391"/>
    <m/>
    <m/>
    <m/>
    <m/>
    <x v="0"/>
    <x v="0"/>
    <m/>
    <m/>
    <m/>
    <x v="0"/>
    <x v="0"/>
  </r>
  <r>
    <x v="166"/>
    <x v="17"/>
    <x v="17"/>
    <n v="21"/>
    <n v="3"/>
    <n v="29.7"/>
    <n v="623.69999999999993"/>
    <n v="628"/>
    <n v="1884"/>
    <n v="1.0068943402276738"/>
    <n v="1"/>
    <n v="7.0000000000000001E-3"/>
    <s v="540"/>
    <n v="0"/>
    <n v="0"/>
    <n v="628"/>
    <n v="1"/>
    <m/>
    <m/>
    <m/>
    <m/>
    <x v="0"/>
    <x v="0"/>
    <m/>
    <m/>
    <m/>
    <x v="0"/>
    <x v="0"/>
  </r>
  <r>
    <x v="166"/>
    <x v="94"/>
    <x v="85"/>
    <n v="1"/>
    <n v="1"/>
    <n v="591"/>
    <n v="591"/>
    <n v="552"/>
    <n v="552"/>
    <n v="0.93401015228426398"/>
    <n v="1"/>
    <n v="-6.6000000000000003E-2"/>
    <s v="0"/>
    <n v="0"/>
    <n v="0"/>
    <n v="552"/>
    <n v="1"/>
    <m/>
    <m/>
    <m/>
    <m/>
    <x v="0"/>
    <x v="0"/>
    <m/>
    <m/>
    <m/>
    <x v="0"/>
    <x v="0"/>
  </r>
  <r>
    <x v="167"/>
    <x v="15"/>
    <x v="15"/>
    <n v="72"/>
    <n v="3.2"/>
    <n v="46.8"/>
    <n v="3369.6"/>
    <n v="3399"/>
    <n v="10876.800000000001"/>
    <n v="1.0087250712250713"/>
    <n v="1"/>
    <n v="8.9999999999999993E-3"/>
    <s v="540"/>
    <n v="2"/>
    <n v="0"/>
    <n v="3397"/>
    <n v="0.99941159164460136"/>
    <m/>
    <m/>
    <m/>
    <m/>
    <x v="0"/>
    <x v="0"/>
    <m/>
    <m/>
    <m/>
    <x v="0"/>
    <x v="0"/>
  </r>
  <r>
    <x v="167"/>
    <x v="9"/>
    <x v="9"/>
    <n v="24"/>
    <n v="6"/>
    <n v="25.7"/>
    <n v="616.79999999999995"/>
    <n v="615"/>
    <n v="3690"/>
    <n v="0.99708171206225693"/>
    <n v="1"/>
    <n v="-3.0000000000000001E-3"/>
    <s v="300"/>
    <n v="1"/>
    <n v="1"/>
    <n v="613"/>
    <n v="0.99674796747967476"/>
    <m/>
    <m/>
    <s v="破包*1"/>
    <m/>
    <x v="0"/>
    <x v="0"/>
    <m/>
    <m/>
    <m/>
    <x v="0"/>
    <x v="0"/>
  </r>
  <r>
    <x v="167"/>
    <x v="10"/>
    <x v="10"/>
    <n v="24"/>
    <n v="6"/>
    <n v="25.4"/>
    <n v="609.59999999999991"/>
    <n v="618"/>
    <n v="3708"/>
    <n v="1.0137795275590553"/>
    <n v="1"/>
    <n v="1.4E-2"/>
    <s v="330"/>
    <n v="1"/>
    <n v="6"/>
    <n v="611"/>
    <n v="0.98867313915857602"/>
    <m/>
    <m/>
    <s v="破包*1"/>
    <m/>
    <x v="0"/>
    <x v="0"/>
    <m/>
    <m/>
    <m/>
    <x v="0"/>
    <x v="0"/>
  </r>
  <r>
    <x v="167"/>
    <x v="41"/>
    <x v="39"/>
    <n v="72"/>
    <n v="2.8"/>
    <n v="44.2"/>
    <n v="3182.4"/>
    <n v="3221"/>
    <n v="9018.7999999999993"/>
    <n v="1.0121292106586224"/>
    <n v="1"/>
    <n v="1.2E-2"/>
    <s v="570"/>
    <n v="1"/>
    <n v="0"/>
    <n v="3220"/>
    <n v="0.99968953741074196"/>
    <m/>
    <m/>
    <m/>
    <m/>
    <x v="0"/>
    <x v="0"/>
    <m/>
    <m/>
    <m/>
    <x v="0"/>
    <x v="0"/>
  </r>
  <r>
    <x v="168"/>
    <x v="2"/>
    <x v="2"/>
    <n v="30"/>
    <n v="6"/>
    <n v="26.6"/>
    <n v="798"/>
    <n v="805"/>
    <n v="4830"/>
    <n v="1.0087719298245614"/>
    <n v="1"/>
    <n v="8.9999999999999993E-3"/>
    <s v="470"/>
    <n v="1"/>
    <n v="0"/>
    <n v="804"/>
    <n v="0.99875776397515525"/>
    <m/>
    <m/>
    <s v="破包*3"/>
    <m/>
    <x v="0"/>
    <x v="0"/>
    <m/>
    <m/>
    <m/>
    <x v="0"/>
    <x v="0"/>
  </r>
  <r>
    <x v="168"/>
    <x v="36"/>
    <x v="34"/>
    <n v="12"/>
    <n v="6"/>
    <n v="24.3"/>
    <n v="291.60000000000002"/>
    <n v="299"/>
    <n v="1794"/>
    <n v="1.0253772290809327"/>
    <n v="1"/>
    <n v="2.5000000000000001E-2"/>
    <s v="210"/>
    <n v="1"/>
    <n v="0"/>
    <n v="298"/>
    <n v="0.99665551839464883"/>
    <m/>
    <m/>
    <m/>
    <m/>
    <x v="0"/>
    <x v="0"/>
    <m/>
    <m/>
    <m/>
    <x v="0"/>
    <x v="0"/>
  </r>
  <r>
    <x v="168"/>
    <x v="3"/>
    <x v="3"/>
    <n v="20"/>
    <n v="4.5"/>
    <n v="36.299999999999997"/>
    <n v="726"/>
    <n v="730"/>
    <n v="3285"/>
    <n v="1.0055096418732783"/>
    <n v="1"/>
    <n v="6.0000000000000001E-3"/>
    <s v="340"/>
    <n v="0"/>
    <n v="0"/>
    <n v="730"/>
    <n v="1"/>
    <m/>
    <m/>
    <m/>
    <m/>
    <x v="0"/>
    <x v="0"/>
    <m/>
    <m/>
    <m/>
    <x v="0"/>
    <x v="0"/>
  </r>
  <r>
    <x v="168"/>
    <x v="9"/>
    <x v="9"/>
    <n v="24"/>
    <n v="6"/>
    <n v="25.7"/>
    <n v="616.79999999999995"/>
    <n v="632"/>
    <n v="3792"/>
    <n v="1.0246433203631649"/>
    <n v="1"/>
    <n v="2.5000000000000001E-2"/>
    <s v="300"/>
    <n v="1"/>
    <n v="6"/>
    <n v="625"/>
    <n v="0.98892405063291144"/>
    <m/>
    <m/>
    <m/>
    <m/>
    <x v="0"/>
    <x v="0"/>
    <m/>
    <m/>
    <m/>
    <x v="0"/>
    <x v="0"/>
  </r>
  <r>
    <x v="168"/>
    <x v="42"/>
    <x v="40"/>
    <n v="6"/>
    <n v="3.5"/>
    <n v="25.4"/>
    <n v="152.39999999999998"/>
    <n v="151"/>
    <n v="528.5"/>
    <n v="0.99081364829396346"/>
    <n v="1"/>
    <n v="-8.9999999999999993E-3"/>
    <s v="300"/>
    <n v="0"/>
    <n v="0"/>
    <n v="151"/>
    <n v="1"/>
    <m/>
    <m/>
    <m/>
    <m/>
    <x v="0"/>
    <x v="0"/>
    <m/>
    <m/>
    <m/>
    <x v="0"/>
    <x v="0"/>
  </r>
  <r>
    <x v="169"/>
    <x v="13"/>
    <x v="13"/>
    <n v="40"/>
    <n v="0.9"/>
    <n v="160.5"/>
    <n v="6420"/>
    <n v="6544"/>
    <n v="5889.6"/>
    <n v="1.0193146417445482"/>
    <n v="1"/>
    <n v="1.9E-2"/>
    <s v="570"/>
    <n v="2"/>
    <n v="36"/>
    <n v="6506"/>
    <n v="0.99419315403422981"/>
    <m/>
    <m/>
    <s v="美芝城D2010*50箱"/>
    <m/>
    <x v="0"/>
    <x v="0"/>
    <m/>
    <m/>
    <m/>
    <x v="0"/>
    <x v="0"/>
  </r>
  <r>
    <x v="169"/>
    <x v="32"/>
    <x v="30"/>
    <n v="24"/>
    <n v="6"/>
    <n v="25.2"/>
    <n v="604.79999999999995"/>
    <n v="606"/>
    <n v="3636"/>
    <n v="1.001984126984127"/>
    <n v="1"/>
    <n v="2E-3"/>
    <s v="330"/>
    <n v="1"/>
    <n v="0"/>
    <n v="605"/>
    <n v="0.99834983498349839"/>
    <m/>
    <m/>
    <m/>
    <m/>
    <x v="0"/>
    <x v="0"/>
    <m/>
    <m/>
    <m/>
    <x v="0"/>
    <x v="0"/>
  </r>
  <r>
    <x v="169"/>
    <x v="16"/>
    <x v="16"/>
    <n v="24"/>
    <n v="6"/>
    <n v="26.1"/>
    <n v="626.40000000000009"/>
    <n v="634"/>
    <n v="3804"/>
    <n v="1.01213282247765"/>
    <n v="1"/>
    <n v="1.2E-2"/>
    <s v="300"/>
    <n v="1"/>
    <n v="0"/>
    <n v="633"/>
    <n v="0.99842271293375395"/>
    <m/>
    <m/>
    <m/>
    <m/>
    <x v="0"/>
    <x v="0"/>
    <m/>
    <m/>
    <m/>
    <x v="0"/>
    <x v="0"/>
  </r>
  <r>
    <x v="169"/>
    <x v="34"/>
    <x v="32"/>
    <n v="28"/>
    <n v="0.34"/>
    <n v="358.3"/>
    <n v="10032.4"/>
    <n v="10462"/>
    <n v="3557.0800000000004"/>
    <n v="1.0428212591204498"/>
    <n v="1"/>
    <n v="4.2999999999999997E-2"/>
    <s v="540"/>
    <n v="1"/>
    <n v="4"/>
    <n v="10457"/>
    <n v="0.99952207990823938"/>
    <m/>
    <m/>
    <s v="佳樂美E0120*300箱"/>
    <m/>
    <x v="0"/>
    <x v="0"/>
    <m/>
    <m/>
    <m/>
    <x v="0"/>
    <x v="0"/>
  </r>
  <r>
    <x v="169"/>
    <x v="6"/>
    <x v="6"/>
    <n v="8"/>
    <n v="0.4"/>
    <n v="309.2"/>
    <n v="2473.6"/>
    <n v="2227"/>
    <n v="890.80000000000007"/>
    <n v="0.90030724450194055"/>
    <n v="1"/>
    <n v="-0.1"/>
    <s v="420"/>
    <n v="1"/>
    <n v="2"/>
    <n v="2224"/>
    <n v="0.99865289627301301"/>
    <m/>
    <m/>
    <m/>
    <m/>
    <x v="0"/>
    <x v="0"/>
    <m/>
    <m/>
    <m/>
    <x v="0"/>
    <x v="0"/>
  </r>
  <r>
    <x v="170"/>
    <x v="37"/>
    <x v="35"/>
    <n v="6"/>
    <n v="6"/>
    <n v="25.6"/>
    <n v="153.60000000000002"/>
    <n v="152"/>
    <n v="912"/>
    <n v="0.98958333333333315"/>
    <n v="1"/>
    <n v="-0.01"/>
    <s v="172"/>
    <n v="1"/>
    <n v="0"/>
    <n v="151"/>
    <n v="0.99342105263157898"/>
    <m/>
    <m/>
    <m/>
    <m/>
    <x v="0"/>
    <x v="0"/>
    <m/>
    <m/>
    <m/>
    <x v="0"/>
    <x v="0"/>
  </r>
  <r>
    <x v="170"/>
    <x v="74"/>
    <x v="64"/>
    <n v="6"/>
    <n v="6"/>
    <n v="25.2"/>
    <n v="151.19999999999999"/>
    <n v="149"/>
    <n v="894"/>
    <n v="0.98544973544973558"/>
    <n v="1"/>
    <n v="-1.4999999999999999E-2"/>
    <s v="180"/>
    <n v="1"/>
    <n v="0"/>
    <n v="148"/>
    <n v="0.99328859060402686"/>
    <m/>
    <m/>
    <m/>
    <m/>
    <x v="0"/>
    <x v="0"/>
    <m/>
    <m/>
    <m/>
    <x v="0"/>
    <x v="0"/>
  </r>
  <r>
    <x v="170"/>
    <x v="76"/>
    <x v="66"/>
    <n v="6"/>
    <n v="0.42"/>
    <n v="365.1"/>
    <n v="2190.6000000000004"/>
    <n v="2228"/>
    <n v="935.76"/>
    <n v="1.0170729480507621"/>
    <n v="1"/>
    <n v="1.7000000000000001E-2"/>
    <s v="230"/>
    <n v="2"/>
    <n v="14"/>
    <n v="2212"/>
    <n v="0.99281867145421898"/>
    <m/>
    <m/>
    <m/>
    <m/>
    <x v="0"/>
    <x v="0"/>
    <m/>
    <m/>
    <m/>
    <x v="0"/>
    <x v="0"/>
  </r>
  <r>
    <x v="170"/>
    <x v="101"/>
    <x v="91"/>
    <n v="3"/>
    <n v="0.42"/>
    <n v="370.5"/>
    <n v="1111.5"/>
    <n v="1117"/>
    <n v="469.14"/>
    <n v="1.0049482681061628"/>
    <n v="1"/>
    <n v="5.0000000000000001E-3"/>
    <s v="185"/>
    <n v="2"/>
    <n v="6"/>
    <n v="1109"/>
    <n v="0.9928379588182632"/>
    <m/>
    <m/>
    <s v="失真空*4"/>
    <m/>
    <x v="0"/>
    <x v="0"/>
    <m/>
    <m/>
    <m/>
    <x v="0"/>
    <x v="0"/>
  </r>
  <r>
    <x v="170"/>
    <x v="50"/>
    <x v="44"/>
    <n v="20"/>
    <n v="4.5"/>
    <n v="36.799999999999997"/>
    <n v="736"/>
    <n v="745"/>
    <n v="3352.5"/>
    <n v="1.0122282608695652"/>
    <n v="1"/>
    <n v="1.2E-2"/>
    <s v="346"/>
    <n v="0"/>
    <n v="0"/>
    <n v="745"/>
    <n v="1"/>
    <m/>
    <m/>
    <m/>
    <m/>
    <x v="0"/>
    <x v="0"/>
    <m/>
    <m/>
    <m/>
    <x v="0"/>
    <x v="0"/>
  </r>
  <r>
    <x v="170"/>
    <x v="22"/>
    <x v="10"/>
    <n v="16"/>
    <n v="6"/>
    <n v="25.1"/>
    <n v="401.6"/>
    <n v="399"/>
    <n v="2394"/>
    <n v="0.99352589641434252"/>
    <n v="1"/>
    <n v="-6.0000000000000001E-3"/>
    <s v="280"/>
    <n v="1"/>
    <n v="0"/>
    <n v="398"/>
    <n v="0.99749373433583954"/>
    <m/>
    <m/>
    <m/>
    <m/>
    <x v="0"/>
    <x v="0"/>
    <m/>
    <m/>
    <m/>
    <x v="0"/>
    <x v="0"/>
  </r>
  <r>
    <x v="170"/>
    <x v="20"/>
    <x v="20"/>
    <n v="8"/>
    <n v="6"/>
    <n v="25"/>
    <n v="200"/>
    <n v="199"/>
    <n v="1194"/>
    <n v="0.995"/>
    <n v="1"/>
    <n v="-5.0000000000000001E-3"/>
    <s v="170"/>
    <n v="1"/>
    <n v="0"/>
    <n v="198"/>
    <n v="0.99497487437185927"/>
    <m/>
    <m/>
    <m/>
    <m/>
    <x v="0"/>
    <x v="0"/>
    <m/>
    <m/>
    <m/>
    <x v="0"/>
    <x v="0"/>
  </r>
  <r>
    <x v="170"/>
    <x v="55"/>
    <x v="48"/>
    <n v="60"/>
    <n v="18"/>
    <n v="6.9"/>
    <n v="414"/>
    <n v="422"/>
    <n v="7596"/>
    <n v="1.0193236714975846"/>
    <n v="1"/>
    <n v="1.9E-2"/>
    <s v="580"/>
    <n v="0"/>
    <n v="0"/>
    <n v="422"/>
    <n v="1"/>
    <m/>
    <m/>
    <m/>
    <m/>
    <x v="0"/>
    <x v="0"/>
    <m/>
    <m/>
    <m/>
    <x v="0"/>
    <x v="0"/>
  </r>
  <r>
    <x v="171"/>
    <x v="15"/>
    <x v="15"/>
    <n v="72"/>
    <n v="3.2"/>
    <n v="46.8"/>
    <n v="3369.6"/>
    <n v="3413"/>
    <n v="10921.6"/>
    <n v="1.0128798670465338"/>
    <n v="1"/>
    <n v="1.2999999999999999E-2"/>
    <s v="550"/>
    <n v="7"/>
    <n v="0"/>
    <n v="3406"/>
    <n v="0.99794901845883388"/>
    <m/>
    <m/>
    <m/>
    <m/>
    <x v="0"/>
    <x v="0"/>
    <m/>
    <m/>
    <m/>
    <x v="0"/>
    <x v="0"/>
  </r>
  <r>
    <x v="171"/>
    <x v="65"/>
    <x v="56"/>
    <n v="20"/>
    <n v="9.5"/>
    <n v="16.600000000000001"/>
    <n v="332"/>
    <n v="337"/>
    <n v="3201.5"/>
    <n v="1.0150602409638554"/>
    <n v="1"/>
    <n v="1.4999999999999999E-2"/>
    <s v="330"/>
    <n v="0"/>
    <n v="0"/>
    <n v="337"/>
    <n v="1"/>
    <m/>
    <m/>
    <m/>
    <m/>
    <x v="0"/>
    <x v="0"/>
    <m/>
    <m/>
    <m/>
    <x v="0"/>
    <x v="0"/>
  </r>
  <r>
    <x v="171"/>
    <x v="9"/>
    <x v="9"/>
    <n v="24"/>
    <n v="6"/>
    <n v="25.7"/>
    <n v="616.79999999999995"/>
    <n v="618"/>
    <n v="3708"/>
    <n v="1.0019455252918288"/>
    <n v="1"/>
    <n v="2E-3"/>
    <s v="300"/>
    <n v="1"/>
    <n v="1"/>
    <n v="616"/>
    <n v="0.99676375404530748"/>
    <m/>
    <m/>
    <s v="X光不良*1"/>
    <m/>
    <x v="0"/>
    <x v="0"/>
    <m/>
    <m/>
    <m/>
    <x v="0"/>
    <x v="0"/>
  </r>
  <r>
    <x v="171"/>
    <x v="23"/>
    <x v="22"/>
    <n v="36"/>
    <n v="0.34"/>
    <n v="364.6"/>
    <n v="13125.6"/>
    <n v="12921"/>
    <n v="4393.1400000000003"/>
    <n v="0.98441214115926123"/>
    <n v="1"/>
    <n v="-1.6E-2"/>
    <s v="550"/>
    <n v="1"/>
    <n v="2"/>
    <n v="12918"/>
    <n v="0.99976781982818663"/>
    <m/>
    <m/>
    <m/>
    <m/>
    <x v="0"/>
    <x v="0"/>
    <m/>
    <m/>
    <m/>
    <x v="0"/>
    <x v="0"/>
  </r>
  <r>
    <x v="172"/>
    <x v="8"/>
    <x v="8"/>
    <n v="28"/>
    <n v="0.44"/>
    <n v="344"/>
    <n v="9632"/>
    <n v="9650"/>
    <n v="4246"/>
    <n v="1.0018687707641196"/>
    <n v="1"/>
    <n v="2E-3"/>
    <s v="380"/>
    <n v="1"/>
    <n v="22"/>
    <n v="9627"/>
    <n v="0.99761658031088085"/>
    <m/>
    <m/>
    <s v="封蓋不良*20"/>
    <m/>
    <x v="0"/>
    <x v="0"/>
    <m/>
    <m/>
    <m/>
    <x v="0"/>
    <x v="0"/>
  </r>
  <r>
    <x v="172"/>
    <x v="71"/>
    <x v="61"/>
    <n v="8"/>
    <n v="0.17"/>
    <n v="912.6"/>
    <n v="7300.8"/>
    <n v="7439"/>
    <n v="1264.6300000000001"/>
    <n v="1.0189294323909708"/>
    <n v="1"/>
    <n v="1.9E-2"/>
    <s v="240"/>
    <n v="1"/>
    <n v="4"/>
    <n v="7434"/>
    <n v="0.99932786664874307"/>
    <m/>
    <m/>
    <s v="NG*2"/>
    <m/>
    <x v="0"/>
    <x v="0"/>
    <m/>
    <m/>
    <m/>
    <x v="0"/>
    <x v="0"/>
  </r>
  <r>
    <x v="172"/>
    <x v="19"/>
    <x v="19"/>
    <n v="20"/>
    <n v="6"/>
    <n v="25.5"/>
    <n v="510"/>
    <n v="507"/>
    <n v="3042"/>
    <n v="0.99411764705882355"/>
    <n v="1"/>
    <n v="-6.0000000000000001E-3"/>
    <s v="265"/>
    <n v="1"/>
    <n v="0"/>
    <n v="506"/>
    <n v="0.99802761341222879"/>
    <m/>
    <m/>
    <m/>
    <m/>
    <x v="0"/>
    <x v="0"/>
    <m/>
    <m/>
    <m/>
    <x v="0"/>
    <x v="0"/>
  </r>
  <r>
    <x v="172"/>
    <x v="9"/>
    <x v="9"/>
    <n v="24"/>
    <n v="6"/>
    <n v="25.7"/>
    <n v="616.79999999999995"/>
    <n v="624"/>
    <n v="3744"/>
    <n v="1.0116731517509729"/>
    <n v="1"/>
    <n v="1.2E-2"/>
    <s v="355"/>
    <n v="1"/>
    <n v="0"/>
    <n v="623"/>
    <n v="0.9983974358974359"/>
    <m/>
    <m/>
    <m/>
    <m/>
    <x v="0"/>
    <x v="0"/>
    <m/>
    <m/>
    <m/>
    <x v="0"/>
    <x v="0"/>
  </r>
  <r>
    <x v="172"/>
    <x v="11"/>
    <x v="11"/>
    <n v="72"/>
    <n v="2.8"/>
    <n v="44.5"/>
    <n v="3204"/>
    <n v="3221"/>
    <n v="9018.7999999999993"/>
    <n v="1.0053058676654183"/>
    <n v="1"/>
    <n v="5.0000000000000001E-3"/>
    <s v="660"/>
    <n v="1"/>
    <n v="0"/>
    <n v="3220"/>
    <n v="0.99968953741074196"/>
    <m/>
    <m/>
    <m/>
    <m/>
    <x v="0"/>
    <x v="0"/>
    <m/>
    <m/>
    <m/>
    <x v="0"/>
    <x v="0"/>
  </r>
  <r>
    <x v="172"/>
    <x v="102"/>
    <x v="92"/>
    <n v="1"/>
    <n v="1"/>
    <n v="142"/>
    <n v="142"/>
    <n v="149"/>
    <n v="149"/>
    <n v="1.0492957746478873"/>
    <n v="1"/>
    <n v="4.9000000000000002E-2"/>
    <s v="0"/>
    <n v="0"/>
    <n v="0"/>
    <n v="149"/>
    <n v="1"/>
    <m/>
    <m/>
    <m/>
    <m/>
    <x v="0"/>
    <x v="0"/>
    <m/>
    <m/>
    <m/>
    <x v="0"/>
    <x v="0"/>
  </r>
  <r>
    <x v="173"/>
    <x v="26"/>
    <x v="25"/>
    <n v="20"/>
    <n v="0.9"/>
    <n v="163"/>
    <n v="3260"/>
    <n v="3330"/>
    <n v="2997"/>
    <n v="1.0214723926380369"/>
    <n v="1"/>
    <n v="2.1000000000000001E-2"/>
    <s v="270"/>
    <n v="2"/>
    <n v="0"/>
    <n v="3328"/>
    <n v="0.99939939939939937"/>
    <m/>
    <m/>
    <m/>
    <m/>
    <x v="0"/>
    <x v="0"/>
    <m/>
    <m/>
    <m/>
    <x v="0"/>
    <x v="0"/>
  </r>
  <r>
    <x v="173"/>
    <x v="15"/>
    <x v="15"/>
    <n v="36"/>
    <n v="3.2"/>
    <n v="46.8"/>
    <n v="1684.8"/>
    <n v="1684"/>
    <n v="5388.8"/>
    <n v="0.99952516619183285"/>
    <n v="1"/>
    <n v="0"/>
    <s v="300"/>
    <n v="1"/>
    <n v="0"/>
    <n v="1683"/>
    <n v="0.99940617577197155"/>
    <m/>
    <m/>
    <m/>
    <m/>
    <x v="0"/>
    <x v="0"/>
    <m/>
    <m/>
    <m/>
    <x v="0"/>
    <x v="0"/>
  </r>
  <r>
    <x v="173"/>
    <x v="86"/>
    <x v="78"/>
    <n v="17"/>
    <n v="6"/>
    <n v="25.1"/>
    <n v="426.70000000000005"/>
    <n v="443"/>
    <n v="2658"/>
    <n v="1.0382001406140144"/>
    <n v="1"/>
    <n v="3.7999999999999999E-2"/>
    <s v="265"/>
    <n v="1"/>
    <n v="1"/>
    <n v="441"/>
    <n v="0.99548532731376971"/>
    <m/>
    <m/>
    <s v="不良品*1"/>
    <m/>
    <x v="0"/>
    <x v="0"/>
    <m/>
    <m/>
    <m/>
    <x v="0"/>
    <x v="0"/>
  </r>
  <r>
    <x v="173"/>
    <x v="10"/>
    <x v="10"/>
    <n v="28"/>
    <n v="6"/>
    <n v="25.4"/>
    <n v="711.19999999999993"/>
    <n v="723"/>
    <n v="4338"/>
    <n v="1.0165916760404949"/>
    <n v="1"/>
    <n v="1.7000000000000001E-2"/>
    <s v="410"/>
    <n v="1"/>
    <n v="0"/>
    <n v="722"/>
    <n v="0.99861687413554634"/>
    <m/>
    <m/>
    <m/>
    <m/>
    <x v="0"/>
    <x v="0"/>
    <m/>
    <m/>
    <m/>
    <x v="0"/>
    <x v="0"/>
  </r>
  <r>
    <x v="173"/>
    <x v="11"/>
    <x v="11"/>
    <n v="72"/>
    <n v="2.8"/>
    <n v="44.5"/>
    <n v="3204"/>
    <n v="3209"/>
    <n v="8985.1999999999989"/>
    <n v="1.0015605493133584"/>
    <n v="1"/>
    <n v="2E-3"/>
    <s v="635"/>
    <n v="1"/>
    <n v="0"/>
    <n v="3208"/>
    <n v="0.99968837644125896"/>
    <m/>
    <m/>
    <m/>
    <m/>
    <x v="0"/>
    <x v="0"/>
    <m/>
    <m/>
    <m/>
    <x v="0"/>
    <x v="0"/>
  </r>
  <r>
    <x v="174"/>
    <x v="3"/>
    <x v="3"/>
    <n v="20"/>
    <n v="4.5"/>
    <n v="36.299999999999997"/>
    <n v="726"/>
    <n v="741"/>
    <n v="3334.5"/>
    <n v="1.0206611570247934"/>
    <n v="1"/>
    <n v="2.1000000000000001E-2"/>
    <s v="348"/>
    <n v="0"/>
    <n v="1"/>
    <n v="740"/>
    <n v="0.99865047233468285"/>
    <m/>
    <m/>
    <m/>
    <m/>
    <x v="0"/>
    <x v="0"/>
    <m/>
    <m/>
    <m/>
    <x v="0"/>
    <x v="0"/>
  </r>
  <r>
    <x v="174"/>
    <x v="67"/>
    <x v="58"/>
    <n v="8"/>
    <n v="4.5"/>
    <n v="33.200000000000003"/>
    <n v="265.60000000000002"/>
    <n v="263"/>
    <n v="1183.5"/>
    <n v="0.99021084337349385"/>
    <n v="1"/>
    <n v="-0.01"/>
    <s v="230"/>
    <n v="0"/>
    <n v="0"/>
    <n v="263"/>
    <n v="1"/>
    <m/>
    <m/>
    <m/>
    <m/>
    <x v="0"/>
    <x v="0"/>
    <m/>
    <m/>
    <m/>
    <x v="0"/>
    <x v="0"/>
  </r>
  <r>
    <x v="174"/>
    <x v="52"/>
    <x v="46"/>
    <n v="8"/>
    <n v="4.5"/>
    <n v="35.6"/>
    <n v="284.8"/>
    <n v="284"/>
    <n v="1278"/>
    <n v="0.99719101123595499"/>
    <n v="1"/>
    <n v="-3.0000000000000001E-3"/>
    <s v="180"/>
    <n v="0"/>
    <n v="0"/>
    <n v="284"/>
    <n v="1"/>
    <m/>
    <m/>
    <m/>
    <m/>
    <x v="0"/>
    <x v="0"/>
    <m/>
    <m/>
    <m/>
    <x v="0"/>
    <x v="0"/>
  </r>
  <r>
    <x v="175"/>
    <x v="27"/>
    <x v="26"/>
    <n v="72"/>
    <n v="3.2"/>
    <n v="47.5"/>
    <n v="3420"/>
    <n v="3490"/>
    <n v="11168"/>
    <n v="1.0204678362573099"/>
    <n v="1"/>
    <n v="0.02"/>
    <s v="540"/>
    <n v="1"/>
    <n v="0"/>
    <n v="3489"/>
    <n v="0.99971346704871056"/>
    <m/>
    <m/>
    <m/>
    <m/>
    <x v="0"/>
    <x v="0"/>
    <m/>
    <m/>
    <m/>
    <x v="0"/>
    <x v="0"/>
  </r>
  <r>
    <x v="175"/>
    <x v="18"/>
    <x v="18"/>
    <n v="20"/>
    <n v="6"/>
    <n v="26.4"/>
    <n v="528"/>
    <n v="528"/>
    <n v="3168"/>
    <n v="1"/>
    <n v="1"/>
    <n v="0"/>
    <s v="285"/>
    <n v="1"/>
    <n v="0"/>
    <n v="527"/>
    <n v="0.99810606060606055"/>
    <m/>
    <m/>
    <m/>
    <m/>
    <x v="0"/>
    <x v="0"/>
    <m/>
    <m/>
    <m/>
    <x v="0"/>
    <x v="0"/>
  </r>
  <r>
    <x v="175"/>
    <x v="9"/>
    <x v="9"/>
    <n v="12"/>
    <n v="6"/>
    <n v="25.7"/>
    <n v="308.39999999999998"/>
    <n v="306"/>
    <n v="1836"/>
    <n v="0.99221789883268485"/>
    <n v="1"/>
    <n v="-8.0000000000000002E-3"/>
    <s v="170"/>
    <n v="1"/>
    <n v="0"/>
    <n v="305"/>
    <n v="0.99673202614379086"/>
    <m/>
    <m/>
    <m/>
    <m/>
    <x v="0"/>
    <x v="0"/>
    <m/>
    <m/>
    <m/>
    <x v="0"/>
    <x v="0"/>
  </r>
  <r>
    <x v="175"/>
    <x v="98"/>
    <x v="72"/>
    <n v="12"/>
    <n v="6"/>
    <n v="25.6"/>
    <n v="307.20000000000005"/>
    <n v="307"/>
    <n v="1842"/>
    <n v="0.99934895833333315"/>
    <n v="1"/>
    <n v="-1E-3"/>
    <s v="190"/>
    <n v="1"/>
    <n v="0"/>
    <n v="306"/>
    <n v="0.99674267100977199"/>
    <m/>
    <m/>
    <m/>
    <m/>
    <x v="0"/>
    <x v="0"/>
    <m/>
    <m/>
    <m/>
    <x v="0"/>
    <x v="0"/>
  </r>
  <r>
    <x v="175"/>
    <x v="48"/>
    <x v="17"/>
    <n v="21"/>
    <n v="3"/>
    <n v="30.8"/>
    <n v="646.80000000000007"/>
    <n v="652"/>
    <n v="1956"/>
    <n v="1.0080395794681507"/>
    <n v="1"/>
    <n v="8.0000000000000002E-3"/>
    <s v="540"/>
    <n v="0"/>
    <n v="0"/>
    <n v="652"/>
    <n v="1"/>
    <m/>
    <m/>
    <m/>
    <m/>
    <x v="0"/>
    <x v="0"/>
    <m/>
    <m/>
    <m/>
    <x v="0"/>
    <x v="0"/>
  </r>
  <r>
    <x v="176"/>
    <x v="43"/>
    <x v="41"/>
    <n v="20"/>
    <n v="0.26"/>
    <n v="584.29999999999995"/>
    <n v="11686"/>
    <n v="11761"/>
    <n v="3057.86"/>
    <n v="1.0064179359917851"/>
    <n v="1"/>
    <n v="6.0000000000000001E-3"/>
    <s v="300"/>
    <m/>
    <n v="14"/>
    <n v="11747"/>
    <n v="0.99880962503188508"/>
    <m/>
    <m/>
    <m/>
    <m/>
    <x v="0"/>
    <x v="0"/>
    <m/>
    <m/>
    <m/>
    <x v="0"/>
    <x v="0"/>
  </r>
  <r>
    <x v="176"/>
    <x v="30"/>
    <x v="28"/>
    <n v="12"/>
    <n v="0.43"/>
    <n v="340.4"/>
    <n v="4084.7999999999997"/>
    <n v="4094"/>
    <n v="1760.42"/>
    <n v="1.0022522522522523"/>
    <n v="1"/>
    <n v="2E-3"/>
    <s v="300"/>
    <m/>
    <n v="7"/>
    <n v="4087"/>
    <n v="0.99829018075232046"/>
    <m/>
    <m/>
    <s v="麥味登*180箱其餘五惠"/>
    <m/>
    <x v="0"/>
    <x v="0"/>
    <m/>
    <m/>
    <m/>
    <x v="0"/>
    <x v="0"/>
  </r>
  <r>
    <x v="176"/>
    <x v="16"/>
    <x v="16"/>
    <n v="20"/>
    <n v="6"/>
    <n v="26.1"/>
    <n v="522"/>
    <n v="528"/>
    <n v="3168"/>
    <n v="1.0114942528735633"/>
    <n v="1"/>
    <n v="1.0999999999999999E-2"/>
    <s v="300"/>
    <m/>
    <n v="1"/>
    <n v="527"/>
    <n v="0.99810606060606055"/>
    <m/>
    <m/>
    <m/>
    <m/>
    <x v="0"/>
    <x v="0"/>
    <m/>
    <m/>
    <m/>
    <x v="0"/>
    <x v="0"/>
  </r>
  <r>
    <x v="176"/>
    <x v="9"/>
    <x v="9"/>
    <n v="20"/>
    <n v="6"/>
    <n v="25.7"/>
    <n v="514"/>
    <n v="525"/>
    <n v="3150"/>
    <n v="1.0214007782101167"/>
    <n v="1"/>
    <n v="2.1000000000000001E-2"/>
    <s v="294"/>
    <m/>
    <n v="1"/>
    <n v="524"/>
    <n v="0.99809523809523815"/>
    <m/>
    <m/>
    <m/>
    <m/>
    <x v="0"/>
    <x v="0"/>
    <m/>
    <m/>
    <m/>
    <x v="0"/>
    <x v="0"/>
  </r>
  <r>
    <x v="176"/>
    <x v="11"/>
    <x v="11"/>
    <n v="60"/>
    <n v="2.8"/>
    <n v="44.5"/>
    <n v="2670"/>
    <n v="2492"/>
    <n v="6977.5999999999995"/>
    <n v="0.93333333333333335"/>
    <n v="1"/>
    <n v="-6.7000000000000004E-2"/>
    <s v="570"/>
    <m/>
    <n v="1"/>
    <n v="2491"/>
    <n v="0.9995987158908507"/>
    <m/>
    <m/>
    <s v="D9920(18KG)*30桶"/>
    <m/>
    <x v="0"/>
    <x v="0"/>
    <m/>
    <m/>
    <m/>
    <x v="0"/>
    <x v="0"/>
  </r>
  <r>
    <x v="177"/>
    <x v="15"/>
    <x v="15"/>
    <n v="72"/>
    <n v="3.2"/>
    <n v="46.8"/>
    <n v="3369.6"/>
    <n v="3397"/>
    <n v="10870.400000000001"/>
    <n v="1.0081315289648622"/>
    <n v="1"/>
    <n v="8.0000000000000002E-3"/>
    <s v="540"/>
    <m/>
    <n v="2"/>
    <n v="3395"/>
    <n v="0.99941124521636737"/>
    <m/>
    <m/>
    <m/>
    <m/>
    <x v="0"/>
    <x v="0"/>
    <m/>
    <m/>
    <m/>
    <x v="0"/>
    <x v="0"/>
  </r>
  <r>
    <x v="177"/>
    <x v="9"/>
    <x v="9"/>
    <n v="20"/>
    <n v="6"/>
    <n v="25.7"/>
    <n v="514"/>
    <n v="520"/>
    <n v="3120"/>
    <n v="1.0116731517509727"/>
    <n v="1"/>
    <n v="1.2E-2"/>
    <s v="240"/>
    <m/>
    <n v="1"/>
    <n v="519"/>
    <n v="0.99807692307692308"/>
    <m/>
    <m/>
    <m/>
    <m/>
    <x v="0"/>
    <x v="0"/>
    <m/>
    <m/>
    <m/>
    <x v="0"/>
    <x v="0"/>
  </r>
  <r>
    <x v="177"/>
    <x v="10"/>
    <x v="10"/>
    <n v="20"/>
    <n v="6"/>
    <n v="25.4"/>
    <n v="508"/>
    <n v="514"/>
    <n v="3084"/>
    <n v="1.0118110236220472"/>
    <n v="1"/>
    <n v="1.2E-2"/>
    <s v="330"/>
    <m/>
    <n v="2"/>
    <n v="512"/>
    <n v="0.99610894941634243"/>
    <m/>
    <m/>
    <m/>
    <m/>
    <x v="0"/>
    <x v="0"/>
    <m/>
    <m/>
    <m/>
    <x v="0"/>
    <x v="0"/>
  </r>
  <r>
    <x v="177"/>
    <x v="11"/>
    <x v="11"/>
    <n v="60"/>
    <n v="2.8"/>
    <n v="44.5"/>
    <n v="2670"/>
    <n v="2695"/>
    <n v="7545.9999999999991"/>
    <n v="1.0093632958801497"/>
    <n v="1"/>
    <n v="8.9999999999999993E-3"/>
    <s v="540"/>
    <m/>
    <n v="1"/>
    <n v="2694"/>
    <n v="0.99962894248608536"/>
    <m/>
    <m/>
    <m/>
    <m/>
    <x v="0"/>
    <x v="0"/>
    <m/>
    <m/>
    <m/>
    <x v="0"/>
    <x v="0"/>
  </r>
  <r>
    <x v="178"/>
    <x v="9"/>
    <x v="9"/>
    <n v="28"/>
    <n v="6"/>
    <n v="25.7"/>
    <n v="719.6"/>
    <n v="717"/>
    <n v="4302"/>
    <n v="0.9963868816008894"/>
    <n v="1"/>
    <n v="-4.0000000000000001E-3"/>
    <s v="414"/>
    <m/>
    <n v="1"/>
    <n v="716"/>
    <n v="0.99860529986053004"/>
    <m/>
    <m/>
    <m/>
    <m/>
    <x v="0"/>
    <x v="0"/>
    <m/>
    <m/>
    <m/>
    <x v="0"/>
    <x v="0"/>
  </r>
  <r>
    <x v="178"/>
    <x v="98"/>
    <x v="72"/>
    <n v="12"/>
    <n v="6"/>
    <n v="25.6"/>
    <n v="307.20000000000005"/>
    <n v="309"/>
    <n v="1854"/>
    <n v="1.0058593749999998"/>
    <n v="1"/>
    <n v="6.0000000000000001E-3"/>
    <s v="205"/>
    <m/>
    <n v="1"/>
    <n v="308"/>
    <n v="0.99676375404530748"/>
    <m/>
    <m/>
    <m/>
    <m/>
    <x v="0"/>
    <x v="0"/>
    <m/>
    <m/>
    <m/>
    <x v="0"/>
    <x v="0"/>
  </r>
  <r>
    <x v="178"/>
    <x v="46"/>
    <x v="17"/>
    <n v="21"/>
    <n v="3"/>
    <n v="31.6"/>
    <n v="663.6"/>
    <n v="664"/>
    <n v="1992"/>
    <n v="1.0006027727546714"/>
    <n v="1"/>
    <n v="1E-3"/>
    <s v="540"/>
    <m/>
    <n v="0"/>
    <n v="664"/>
    <n v="1"/>
    <m/>
    <m/>
    <m/>
    <m/>
    <x v="0"/>
    <x v="0"/>
    <m/>
    <m/>
    <m/>
    <x v="0"/>
    <x v="0"/>
  </r>
  <r>
    <x v="178"/>
    <x v="11"/>
    <x v="11"/>
    <n v="60"/>
    <n v="2.8"/>
    <n v="44.5"/>
    <n v="2670"/>
    <n v="2685"/>
    <n v="7517.9999999999991"/>
    <n v="1.0056179775280898"/>
    <n v="1"/>
    <n v="6.0000000000000001E-3"/>
    <s v="540"/>
    <m/>
    <n v="1"/>
    <n v="2684"/>
    <n v="0.99962756052141521"/>
    <m/>
    <m/>
    <m/>
    <m/>
    <x v="0"/>
    <x v="0"/>
    <m/>
    <m/>
    <m/>
    <x v="0"/>
    <x v="0"/>
  </r>
  <r>
    <x v="179"/>
    <x v="3"/>
    <x v="3"/>
    <n v="24"/>
    <n v="4.5"/>
    <n v="36.299999999999997"/>
    <n v="871.19999999999993"/>
    <n v="863"/>
    <n v="3883.5"/>
    <n v="0.9905876951331497"/>
    <n v="1"/>
    <n v="-8.9999999999999993E-3"/>
    <s v="420"/>
    <m/>
    <n v="0"/>
    <n v="863"/>
    <n v="1"/>
    <m/>
    <m/>
    <m/>
    <m/>
    <x v="0"/>
    <x v="0"/>
    <m/>
    <m/>
    <m/>
    <x v="0"/>
    <x v="0"/>
  </r>
  <r>
    <x v="179"/>
    <x v="59"/>
    <x v="52"/>
    <n v="11"/>
    <n v="4.5"/>
    <n v="34.9"/>
    <n v="383.9"/>
    <n v="391"/>
    <n v="1759.5"/>
    <n v="1.018494399583225"/>
    <n v="1"/>
    <n v="1.7999999999999999E-2"/>
    <s v="245"/>
    <m/>
    <n v="0"/>
    <n v="391"/>
    <n v="1"/>
    <m/>
    <m/>
    <m/>
    <m/>
    <x v="0"/>
    <x v="0"/>
    <m/>
    <m/>
    <m/>
    <x v="0"/>
    <x v="0"/>
  </r>
  <r>
    <x v="179"/>
    <x v="38"/>
    <x v="36"/>
    <n v="3"/>
    <n v="4.5"/>
    <n v="32.799999999999997"/>
    <n v="98.399999999999991"/>
    <n v="99"/>
    <n v="445.5"/>
    <n v="1.0060975609756098"/>
    <n v="1"/>
    <n v="6.0000000000000001E-3"/>
    <s v="160"/>
    <m/>
    <n v="0"/>
    <n v="99"/>
    <n v="1"/>
    <m/>
    <m/>
    <m/>
    <m/>
    <x v="0"/>
    <x v="0"/>
    <m/>
    <m/>
    <m/>
    <x v="0"/>
    <x v="0"/>
  </r>
  <r>
    <x v="179"/>
    <x v="17"/>
    <x v="17"/>
    <n v="21"/>
    <n v="3"/>
    <n v="29.7"/>
    <n v="623.69999999999993"/>
    <n v="628"/>
    <n v="1884"/>
    <n v="1.0068943402276738"/>
    <n v="1"/>
    <n v="7.0000000000000001E-3"/>
    <s v="540"/>
    <m/>
    <n v="0"/>
    <n v="628"/>
    <n v="1"/>
    <m/>
    <m/>
    <m/>
    <m/>
    <x v="0"/>
    <x v="0"/>
    <m/>
    <m/>
    <m/>
    <x v="0"/>
    <x v="0"/>
  </r>
  <r>
    <x v="179"/>
    <x v="11"/>
    <x v="11"/>
    <n v="60"/>
    <n v="2.8"/>
    <n v="44.5"/>
    <n v="2670"/>
    <n v="2686"/>
    <n v="7520.7999999999993"/>
    <n v="1.005992509363296"/>
    <n v="1"/>
    <n v="6.0000000000000001E-3"/>
    <s v="540"/>
    <m/>
    <n v="1"/>
    <n v="2685"/>
    <n v="0.99962769918093819"/>
    <m/>
    <m/>
    <s v="D2021美芝城*50箱"/>
    <m/>
    <x v="0"/>
    <x v="0"/>
    <m/>
    <m/>
    <m/>
    <x v="0"/>
    <x v="0"/>
  </r>
  <r>
    <x v="179"/>
    <x v="95"/>
    <x v="86"/>
    <n v="1"/>
    <n v="1"/>
    <n v="942"/>
    <n v="942"/>
    <n v="953"/>
    <n v="953"/>
    <n v="1.0116772823779194"/>
    <n v="1"/>
    <n v="1.2E-2"/>
    <s v="0"/>
    <m/>
    <n v="0"/>
    <n v="953"/>
    <n v="1"/>
    <m/>
    <m/>
    <m/>
    <m/>
    <x v="0"/>
    <x v="0"/>
    <m/>
    <m/>
    <m/>
    <x v="0"/>
    <x v="0"/>
  </r>
  <r>
    <x v="180"/>
    <x v="8"/>
    <x v="8"/>
    <n v="44"/>
    <n v="0.44"/>
    <n v="344"/>
    <n v="15136"/>
    <n v="15245"/>
    <n v="6707.8"/>
    <n v="1.0072013742071881"/>
    <n v="1"/>
    <n v="7.0000000000000001E-3"/>
    <s v="540"/>
    <m/>
    <n v="13"/>
    <n v="15232"/>
    <n v="0.99914726139717935"/>
    <m/>
    <m/>
    <m/>
    <m/>
    <x v="0"/>
    <x v="0"/>
    <m/>
    <m/>
    <m/>
    <x v="0"/>
    <x v="0"/>
  </r>
  <r>
    <x v="180"/>
    <x v="9"/>
    <x v="9"/>
    <n v="20"/>
    <n v="6"/>
    <n v="25.7"/>
    <n v="514"/>
    <n v="512"/>
    <n v="3072"/>
    <n v="0.99610894941634243"/>
    <n v="1"/>
    <n v="-4.0000000000000001E-3"/>
    <s v="270"/>
    <m/>
    <n v="1"/>
    <n v="511"/>
    <n v="0.998046875"/>
    <m/>
    <m/>
    <m/>
    <m/>
    <x v="0"/>
    <x v="0"/>
    <m/>
    <m/>
    <m/>
    <x v="0"/>
    <x v="0"/>
  </r>
  <r>
    <x v="180"/>
    <x v="10"/>
    <x v="10"/>
    <n v="20"/>
    <n v="6"/>
    <n v="25.4"/>
    <n v="508"/>
    <n v="503"/>
    <n v="3018"/>
    <n v="0.99015748031496065"/>
    <n v="1"/>
    <n v="-0.01"/>
    <s v="330"/>
    <m/>
    <n v="1"/>
    <n v="502"/>
    <n v="0.99801192842942343"/>
    <m/>
    <m/>
    <m/>
    <m/>
    <x v="0"/>
    <x v="0"/>
    <m/>
    <m/>
    <m/>
    <x v="0"/>
    <x v="0"/>
  </r>
  <r>
    <x v="180"/>
    <x v="41"/>
    <x v="39"/>
    <n v="40"/>
    <n v="2.8"/>
    <n v="44.2"/>
    <n v="1768"/>
    <n v="1797"/>
    <n v="5031.5999999999995"/>
    <n v="1.0164027149321266"/>
    <n v="1"/>
    <n v="1.6E-2"/>
    <s v="480"/>
    <m/>
    <n v="1"/>
    <n v="1796"/>
    <n v="0.99944351697273237"/>
    <m/>
    <m/>
    <m/>
    <m/>
    <x v="0"/>
    <x v="0"/>
    <m/>
    <m/>
    <m/>
    <x v="0"/>
    <x v="0"/>
  </r>
  <r>
    <x v="180"/>
    <x v="103"/>
    <x v="39"/>
    <n v="20"/>
    <n v="2.8"/>
    <n v="44.8"/>
    <n v="896"/>
    <n v="881"/>
    <n v="2466.7999999999997"/>
    <n v="0.9832589285714286"/>
    <n v="1"/>
    <n v="-1.7000000000000001E-2"/>
    <s v="480"/>
    <m/>
    <n v="2"/>
    <n v="879"/>
    <n v="0.99772985244040857"/>
    <m/>
    <m/>
    <s v="(研發測試白油)"/>
    <m/>
    <x v="0"/>
    <x v="0"/>
    <m/>
    <m/>
    <m/>
    <x v="0"/>
    <x v="0"/>
  </r>
  <r>
    <x v="181"/>
    <x v="2"/>
    <x v="2"/>
    <n v="21"/>
    <n v="6"/>
    <n v="26.6"/>
    <n v="558.6"/>
    <n v="558"/>
    <n v="3348"/>
    <n v="0.99892588614393119"/>
    <n v="1"/>
    <n v="-1E-3"/>
    <s v="340"/>
    <m/>
    <n v="1"/>
    <n v="557"/>
    <n v="0.99820788530465954"/>
    <m/>
    <m/>
    <m/>
    <m/>
    <x v="0"/>
    <x v="0"/>
    <m/>
    <m/>
    <m/>
    <x v="0"/>
    <x v="0"/>
  </r>
  <r>
    <x v="181"/>
    <x v="0"/>
    <x v="0"/>
    <n v="21"/>
    <n v="6"/>
    <n v="25.5"/>
    <n v="535.5"/>
    <n v="541"/>
    <n v="3246"/>
    <n v="1.0102707749766573"/>
    <n v="1"/>
    <n v="0.01"/>
    <s v="300"/>
    <m/>
    <n v="1"/>
    <n v="540"/>
    <n v="0.99815157116451014"/>
    <m/>
    <m/>
    <m/>
    <m/>
    <x v="0"/>
    <x v="0"/>
    <m/>
    <m/>
    <m/>
    <x v="0"/>
    <x v="0"/>
  </r>
  <r>
    <x v="181"/>
    <x v="3"/>
    <x v="3"/>
    <n v="40"/>
    <n v="4.5"/>
    <n v="36.299999999999997"/>
    <n v="1452"/>
    <n v="1456"/>
    <n v="6552"/>
    <n v="1.002754820936639"/>
    <n v="1"/>
    <n v="3.0000000000000001E-3"/>
    <s v="570"/>
    <m/>
    <n v="0"/>
    <n v="1456"/>
    <n v="1"/>
    <m/>
    <m/>
    <m/>
    <m/>
    <x v="0"/>
    <x v="0"/>
    <m/>
    <m/>
    <m/>
    <x v="0"/>
    <x v="0"/>
  </r>
  <r>
    <x v="181"/>
    <x v="6"/>
    <x v="6"/>
    <n v="40"/>
    <n v="0.4"/>
    <n v="309.2"/>
    <n v="12368"/>
    <n v="12404"/>
    <n v="4961.6000000000004"/>
    <n v="1.0029107373868047"/>
    <n v="1"/>
    <n v="3.0000000000000001E-3"/>
    <s v="540"/>
    <m/>
    <n v="3"/>
    <n v="12401"/>
    <n v="0.99975814253466622"/>
    <m/>
    <m/>
    <m/>
    <m/>
    <x v="0"/>
    <x v="0"/>
    <m/>
    <m/>
    <m/>
    <x v="0"/>
    <x v="0"/>
  </r>
  <r>
    <x v="181"/>
    <x v="94"/>
    <x v="85"/>
    <n v="1"/>
    <n v="1"/>
    <n v="591"/>
    <n v="591"/>
    <n v="572"/>
    <n v="572"/>
    <n v="0.96785109983079531"/>
    <n v="1"/>
    <n v="-3.2000000000000001E-2"/>
    <s v="0"/>
    <m/>
    <n v="0"/>
    <n v="572"/>
    <n v="1"/>
    <m/>
    <m/>
    <m/>
    <m/>
    <x v="0"/>
    <x v="0"/>
    <m/>
    <m/>
    <m/>
    <x v="0"/>
    <x v="0"/>
  </r>
  <r>
    <x v="182"/>
    <x v="15"/>
    <x v="15"/>
    <n v="72"/>
    <n v="3.2"/>
    <n v="46.8"/>
    <n v="3369.6"/>
    <n v="3388"/>
    <n v="10841.6"/>
    <n v="1.0054605887939221"/>
    <n v="1"/>
    <n v="5.0000000000000001E-3"/>
    <s v="540"/>
    <m/>
    <n v="2"/>
    <n v="3386"/>
    <n v="0.999409681227863"/>
    <m/>
    <m/>
    <m/>
    <m/>
    <x v="0"/>
    <x v="0"/>
    <m/>
    <m/>
    <m/>
    <x v="0"/>
    <x v="0"/>
  </r>
  <r>
    <x v="182"/>
    <x v="19"/>
    <x v="19"/>
    <n v="16"/>
    <n v="6"/>
    <n v="25.5"/>
    <n v="408"/>
    <n v="406"/>
    <n v="2436"/>
    <n v="0.99509803921568629"/>
    <n v="1"/>
    <n v="-5.0000000000000001E-3"/>
    <s v="230"/>
    <m/>
    <n v="1"/>
    <n v="405"/>
    <n v="0.99753694581280783"/>
    <m/>
    <m/>
    <m/>
    <m/>
    <x v="0"/>
    <x v="0"/>
    <m/>
    <m/>
    <m/>
    <x v="0"/>
    <x v="0"/>
  </r>
  <r>
    <x v="182"/>
    <x v="22"/>
    <x v="10"/>
    <n v="16"/>
    <n v="6"/>
    <n v="25.1"/>
    <n v="401.6"/>
    <n v="402"/>
    <n v="2412"/>
    <n v="1.000996015936255"/>
    <n v="1"/>
    <n v="1E-3"/>
    <s v="240"/>
    <m/>
    <n v="1"/>
    <n v="401"/>
    <n v="0.99751243781094523"/>
    <m/>
    <m/>
    <m/>
    <m/>
    <x v="0"/>
    <x v="0"/>
    <m/>
    <m/>
    <m/>
    <x v="0"/>
    <x v="0"/>
  </r>
  <r>
    <x v="182"/>
    <x v="104"/>
    <x v="78"/>
    <n v="8"/>
    <n v="6"/>
    <n v="26"/>
    <n v="208"/>
    <n v="207"/>
    <n v="1242"/>
    <n v="0.99519230769230771"/>
    <n v="1"/>
    <n v="-5.0000000000000001E-3"/>
    <s v="152"/>
    <m/>
    <n v="1"/>
    <n v="206"/>
    <n v="0.99516908212560384"/>
    <m/>
    <m/>
    <m/>
    <m/>
    <x v="0"/>
    <x v="0"/>
    <m/>
    <m/>
    <m/>
    <x v="0"/>
    <x v="0"/>
  </r>
  <r>
    <x v="182"/>
    <x v="17"/>
    <x v="17"/>
    <n v="21"/>
    <n v="3"/>
    <n v="29.7"/>
    <n v="623.69999999999993"/>
    <n v="628"/>
    <n v="1884"/>
    <n v="1.0068943402276738"/>
    <n v="1"/>
    <n v="7.0000000000000001E-3"/>
    <s v="540"/>
    <m/>
    <n v="0"/>
    <n v="628"/>
    <n v="1"/>
    <m/>
    <m/>
    <m/>
    <m/>
    <x v="0"/>
    <x v="0"/>
    <m/>
    <m/>
    <m/>
    <x v="0"/>
    <x v="0"/>
  </r>
  <r>
    <x v="183"/>
    <x v="43"/>
    <x v="41"/>
    <n v="16"/>
    <n v="0.26"/>
    <n v="584.29999999999995"/>
    <n v="9348.7999999999993"/>
    <n v="9431"/>
    <n v="2452.06"/>
    <n v="1.0087925723087456"/>
    <n v="1"/>
    <n v="8.9999999999999993E-3"/>
    <s v="320"/>
    <m/>
    <n v="13"/>
    <n v="9418"/>
    <n v="0.99862156717209205"/>
    <m/>
    <m/>
    <m/>
    <m/>
    <x v="0"/>
    <x v="0"/>
    <m/>
    <m/>
    <m/>
    <x v="0"/>
    <x v="0"/>
  </r>
  <r>
    <x v="183"/>
    <x v="49"/>
    <x v="43"/>
    <n v="15"/>
    <n v="0.43"/>
    <n v="364"/>
    <n v="5460"/>
    <n v="4975"/>
    <n v="2139.25"/>
    <n v="0.91117216117216115"/>
    <n v="1"/>
    <n v="-8.8999999999999996E-2"/>
    <s v="390"/>
    <n v="4"/>
    <n v="452"/>
    <n v="4519"/>
    <n v="0.90834170854271357"/>
    <m/>
    <m/>
    <s v="果醬調理班生產的A1040，因第二趟未加香精，，導致第四、五車貼上待驗，經重工後又導致第六車草莓軟爛，停機時間9:55～10：15，之後正常生產。_x000a_2.有四桶未充填量共283kg，異常數量第四～五車（168＋53）共221瓶（未加香精），第六車225瓶（大概97.2kg草莓軟爛）_x000a_"/>
    <m/>
    <x v="0"/>
    <x v="0"/>
    <m/>
    <m/>
    <m/>
    <x v="0"/>
    <x v="0"/>
  </r>
  <r>
    <x v="183"/>
    <x v="45"/>
    <x v="10"/>
    <n v="16"/>
    <n v="6"/>
    <n v="26.4"/>
    <n v="422.4"/>
    <n v="421"/>
    <n v="2526"/>
    <n v="0.99668560606060608"/>
    <n v="1"/>
    <n v="-3.0000000000000001E-3"/>
    <s v="450"/>
    <m/>
    <n v="1"/>
    <n v="420"/>
    <n v="0.99762470308788598"/>
    <m/>
    <m/>
    <m/>
    <m/>
    <x v="0"/>
    <x v="0"/>
    <m/>
    <m/>
    <m/>
    <x v="0"/>
    <x v="0"/>
  </r>
  <r>
    <x v="183"/>
    <x v="16"/>
    <x v="16"/>
    <n v="24"/>
    <n v="6"/>
    <n v="26.1"/>
    <n v="626.40000000000009"/>
    <n v="629"/>
    <n v="3774"/>
    <n v="1.0041507024265643"/>
    <n v="1"/>
    <n v="4.0000000000000001E-3"/>
    <s v="540"/>
    <m/>
    <n v="1"/>
    <n v="628"/>
    <n v="0.99841017488076311"/>
    <m/>
    <m/>
    <m/>
    <m/>
    <x v="0"/>
    <x v="0"/>
    <m/>
    <m/>
    <m/>
    <x v="0"/>
    <x v="0"/>
  </r>
  <r>
    <x v="183"/>
    <x v="11"/>
    <x v="11"/>
    <n v="72"/>
    <n v="2.8"/>
    <n v="44.5"/>
    <n v="3204"/>
    <n v="3036"/>
    <n v="8500.7999999999993"/>
    <n v="0.94756554307116103"/>
    <n v="1"/>
    <n v="-5.1999999999999998E-2"/>
    <s v="660"/>
    <m/>
    <n v="1"/>
    <n v="3035"/>
    <n v="0.99967061923583667"/>
    <m/>
    <m/>
    <s v="D9920(18kg)*30桶"/>
    <m/>
    <x v="0"/>
    <x v="0"/>
    <m/>
    <m/>
    <m/>
    <x v="0"/>
    <x v="0"/>
  </r>
  <r>
    <x v="184"/>
    <x v="18"/>
    <x v="18"/>
    <n v="16"/>
    <n v="6"/>
    <n v="26.4"/>
    <n v="422.4"/>
    <n v="416"/>
    <n v="2496"/>
    <n v="0.98484848484848486"/>
    <n v="1"/>
    <n v="-1.4999999999999999E-2"/>
    <s v="210"/>
    <m/>
    <n v="1"/>
    <n v="415"/>
    <n v="0.99759615384615385"/>
    <m/>
    <m/>
    <m/>
    <m/>
    <x v="0"/>
    <x v="0"/>
    <m/>
    <m/>
    <m/>
    <x v="0"/>
    <x v="0"/>
  </r>
  <r>
    <x v="184"/>
    <x v="9"/>
    <x v="9"/>
    <n v="28"/>
    <n v="6"/>
    <n v="25.7"/>
    <n v="719.6"/>
    <n v="715"/>
    <n v="4290"/>
    <n v="0.9936075597554197"/>
    <n v="1"/>
    <n v="-6.0000000000000001E-3"/>
    <s v="378"/>
    <m/>
    <n v="1"/>
    <n v="714"/>
    <n v="0.99860139860139863"/>
    <m/>
    <m/>
    <m/>
    <m/>
    <x v="0"/>
    <x v="0"/>
    <m/>
    <m/>
    <m/>
    <x v="0"/>
    <x v="0"/>
  </r>
  <r>
    <x v="184"/>
    <x v="46"/>
    <x v="17"/>
    <n v="21"/>
    <n v="3"/>
    <n v="31.6"/>
    <n v="663.6"/>
    <n v="668"/>
    <n v="2004"/>
    <n v="1.0066305003013862"/>
    <n v="1"/>
    <n v="7.0000000000000001E-3"/>
    <s v="540"/>
    <m/>
    <n v="0"/>
    <n v="668"/>
    <n v="1"/>
    <m/>
    <m/>
    <m/>
    <m/>
    <x v="0"/>
    <x v="0"/>
    <m/>
    <m/>
    <m/>
    <x v="0"/>
    <x v="0"/>
  </r>
  <r>
    <x v="184"/>
    <x v="11"/>
    <x v="11"/>
    <n v="72"/>
    <n v="2.8"/>
    <n v="44.5"/>
    <n v="3204"/>
    <n v="3221"/>
    <n v="9018.7999999999993"/>
    <n v="1.0053058676654183"/>
    <n v="1"/>
    <n v="5.0000000000000001E-3"/>
    <s v="660"/>
    <m/>
    <n v="1"/>
    <n v="3220"/>
    <n v="0.99968953741074196"/>
    <m/>
    <m/>
    <m/>
    <m/>
    <x v="0"/>
    <x v="0"/>
    <m/>
    <m/>
    <m/>
    <x v="0"/>
    <x v="0"/>
  </r>
  <r>
    <x v="185"/>
    <x v="15"/>
    <x v="15"/>
    <n v="72"/>
    <n v="3.2"/>
    <n v="46.8"/>
    <n v="3369.6"/>
    <n v="3394"/>
    <n v="10860.800000000001"/>
    <n v="1.0072412155745489"/>
    <n v="1"/>
    <n v="7.0000000000000001E-3"/>
    <s v="540"/>
    <m/>
    <n v="4"/>
    <n v="3390"/>
    <n v="0.99882144961697117"/>
    <m/>
    <m/>
    <s v="D2021美芝城(#1)*100箱"/>
    <m/>
    <x v="0"/>
    <x v="0"/>
    <m/>
    <m/>
    <m/>
    <x v="0"/>
    <x v="0"/>
  </r>
  <r>
    <x v="185"/>
    <x v="82"/>
    <x v="74"/>
    <n v="6"/>
    <n v="6"/>
    <n v="24.5"/>
    <n v="147"/>
    <n v="149"/>
    <n v="894"/>
    <n v="1.0136054421768708"/>
    <n v="1"/>
    <n v="1.4E-2"/>
    <s v="150"/>
    <m/>
    <n v="1"/>
    <n v="148"/>
    <n v="0.99328859060402686"/>
    <m/>
    <m/>
    <m/>
    <m/>
    <x v="0"/>
    <x v="0"/>
    <m/>
    <m/>
    <m/>
    <x v="0"/>
    <x v="0"/>
  </r>
  <r>
    <x v="185"/>
    <x v="10"/>
    <x v="10"/>
    <n v="16"/>
    <n v="6"/>
    <n v="25.4"/>
    <n v="406.4"/>
    <n v="402"/>
    <n v="2412"/>
    <n v="0.98917322834645671"/>
    <n v="1"/>
    <n v="-1.0999999999999999E-2"/>
    <s v="232"/>
    <m/>
    <n v="1"/>
    <n v="401"/>
    <n v="0.99751243781094523"/>
    <m/>
    <m/>
    <m/>
    <m/>
    <x v="0"/>
    <x v="0"/>
    <m/>
    <m/>
    <m/>
    <x v="0"/>
    <x v="0"/>
  </r>
  <r>
    <x v="185"/>
    <x v="9"/>
    <x v="9"/>
    <n v="20"/>
    <n v="6"/>
    <n v="25.7"/>
    <n v="514"/>
    <n v="514"/>
    <n v="3084"/>
    <n v="1"/>
    <n v="1"/>
    <n v="0"/>
    <s v="270"/>
    <m/>
    <n v="2"/>
    <n v="512"/>
    <n v="0.99610894941634243"/>
    <m/>
    <m/>
    <m/>
    <m/>
    <x v="0"/>
    <x v="0"/>
    <m/>
    <m/>
    <m/>
    <x v="0"/>
    <x v="0"/>
  </r>
  <r>
    <x v="185"/>
    <x v="34"/>
    <x v="32"/>
    <n v="20"/>
    <n v="0.34"/>
    <n v="358.3"/>
    <n v="7166"/>
    <n v="7330"/>
    <n v="2492.2000000000003"/>
    <n v="1.0228858498464974"/>
    <n v="1"/>
    <n v="2.3E-2"/>
    <s v="300"/>
    <m/>
    <n v="5"/>
    <n v="7325"/>
    <n v="0.99931787175989084"/>
    <m/>
    <m/>
    <s v="E0120佳樂美*200箱"/>
    <m/>
    <x v="0"/>
    <x v="0"/>
    <m/>
    <m/>
    <m/>
    <x v="0"/>
    <x v="0"/>
  </r>
  <r>
    <x v="185"/>
    <x v="24"/>
    <x v="23"/>
    <n v="16"/>
    <n v="0.34"/>
    <n v="366"/>
    <n v="5856"/>
    <n v="638"/>
    <n v="216.92000000000002"/>
    <n v="0.10894808743169399"/>
    <n v="1"/>
    <n v="-0.89100000000000001"/>
    <s v="300"/>
    <m/>
    <n v="3"/>
    <n v="635"/>
    <n v="0.99529780564263326"/>
    <m/>
    <m/>
    <s v="13:00顆粒冷卻槽攪拌軸承脫落，"/>
    <m/>
    <x v="0"/>
    <x v="0"/>
    <m/>
    <m/>
    <m/>
    <x v="0"/>
    <x v="0"/>
  </r>
  <r>
    <x v="186"/>
    <x v="13"/>
    <x v="13"/>
    <n v="40"/>
    <n v="0.9"/>
    <n v="160.5"/>
    <n v="6420"/>
    <n v="6538"/>
    <n v="5884.2"/>
    <n v="1.0183800623052959"/>
    <n v="1"/>
    <n v="1.7999999999999999E-2"/>
    <s v="540"/>
    <m/>
    <n v="2"/>
    <n v="6536"/>
    <n v="0.99969409605383908"/>
    <m/>
    <m/>
    <m/>
    <m/>
    <x v="0"/>
    <x v="0"/>
    <m/>
    <m/>
    <m/>
    <x v="0"/>
    <x v="0"/>
  </r>
  <r>
    <x v="186"/>
    <x v="39"/>
    <x v="37"/>
    <n v="12"/>
    <n v="4.5"/>
    <n v="36"/>
    <n v="432"/>
    <n v="424"/>
    <n v="1908"/>
    <n v="0.98148148148148151"/>
    <n v="1"/>
    <n v="-1.9E-2"/>
    <s v="200"/>
    <m/>
    <n v="0"/>
    <n v="424"/>
    <n v="1"/>
    <m/>
    <m/>
    <m/>
    <m/>
    <x v="0"/>
    <x v="0"/>
    <m/>
    <m/>
    <m/>
    <x v="0"/>
    <x v="0"/>
  </r>
  <r>
    <x v="186"/>
    <x v="52"/>
    <x v="46"/>
    <n v="12"/>
    <n v="4.5"/>
    <n v="35.6"/>
    <n v="427.20000000000005"/>
    <n v="439"/>
    <n v="1975.5"/>
    <n v="1.0276217228464419"/>
    <n v="1"/>
    <n v="2.8000000000000001E-2"/>
    <s v="197"/>
    <m/>
    <n v="0"/>
    <n v="439"/>
    <n v="1"/>
    <m/>
    <m/>
    <m/>
    <m/>
    <x v="0"/>
    <x v="0"/>
    <m/>
    <m/>
    <m/>
    <x v="0"/>
    <x v="0"/>
  </r>
  <r>
    <x v="186"/>
    <x v="51"/>
    <x v="45"/>
    <n v="12"/>
    <n v="9.08"/>
    <n v="17.8"/>
    <n v="213.60000000000002"/>
    <n v="215"/>
    <n v="1952.2"/>
    <n v="1.0065543071161047"/>
    <n v="1"/>
    <n v="7.0000000000000001E-3"/>
    <s v="195"/>
    <m/>
    <n v="0"/>
    <n v="215"/>
    <n v="1"/>
    <m/>
    <m/>
    <m/>
    <m/>
    <x v="0"/>
    <x v="0"/>
    <m/>
    <m/>
    <m/>
    <x v="0"/>
    <x v="0"/>
  </r>
  <r>
    <x v="186"/>
    <x v="11"/>
    <x v="11"/>
    <n v="72"/>
    <n v="2.8"/>
    <n v="44.5"/>
    <n v="3204"/>
    <n v="2241"/>
    <n v="6274.7999999999993"/>
    <n v="0.699438202247191"/>
    <n v="1"/>
    <n v="-0.30099999999999999"/>
    <s v="660"/>
    <m/>
    <n v="1"/>
    <n v="2240"/>
    <n v="0.99955377063810802"/>
    <m/>
    <m/>
    <s v="D9920(18kg)*150桶"/>
    <m/>
    <x v="0"/>
    <x v="0"/>
    <m/>
    <m/>
    <m/>
    <x v="0"/>
    <x v="0"/>
  </r>
  <r>
    <x v="187"/>
    <x v="10"/>
    <x v="10"/>
    <n v="24"/>
    <n v="6"/>
    <n v="25.4"/>
    <n v="609.59999999999991"/>
    <n v="602"/>
    <n v="3612"/>
    <n v="0.9875328083989503"/>
    <n v="1"/>
    <n v="-1.2E-2"/>
    <s v="362"/>
    <m/>
    <n v="1"/>
    <n v="601"/>
    <n v="0.99833887043189373"/>
    <m/>
    <m/>
    <m/>
    <m/>
    <x v="0"/>
    <x v="0"/>
    <m/>
    <m/>
    <m/>
    <x v="0"/>
    <x v="0"/>
  </r>
  <r>
    <x v="187"/>
    <x v="22"/>
    <x v="10"/>
    <n v="16"/>
    <n v="6"/>
    <n v="25.1"/>
    <n v="401.6"/>
    <n v="400"/>
    <n v="2400"/>
    <n v="0.99601593625497997"/>
    <n v="1"/>
    <n v="-4.0000000000000001E-3"/>
    <s v="220"/>
    <m/>
    <n v="2"/>
    <n v="398"/>
    <n v="0.995"/>
    <m/>
    <m/>
    <m/>
    <m/>
    <x v="0"/>
    <x v="0"/>
    <m/>
    <m/>
    <m/>
    <x v="0"/>
    <x v="0"/>
  </r>
  <r>
    <x v="187"/>
    <x v="48"/>
    <x v="17"/>
    <n v="21"/>
    <n v="3"/>
    <n v="30.8"/>
    <n v="646.80000000000007"/>
    <n v="648"/>
    <n v="1944"/>
    <n v="1.0018552875695732"/>
    <n v="1"/>
    <n v="2E-3"/>
    <s v="540"/>
    <m/>
    <n v="0"/>
    <n v="648"/>
    <n v="1"/>
    <m/>
    <m/>
    <m/>
    <m/>
    <x v="0"/>
    <x v="0"/>
    <m/>
    <m/>
    <m/>
    <x v="0"/>
    <x v="0"/>
  </r>
  <r>
    <x v="187"/>
    <x v="11"/>
    <x v="11"/>
    <n v="60"/>
    <n v="2.8"/>
    <n v="44.5"/>
    <n v="2670"/>
    <n v="2709"/>
    <n v="7585.2"/>
    <n v="1.0146067415730338"/>
    <n v="1"/>
    <n v="1.4999999999999999E-2"/>
    <s v="540"/>
    <m/>
    <n v="1"/>
    <n v="2708"/>
    <n v="0.99963086009597635"/>
    <m/>
    <m/>
    <m/>
    <m/>
    <x v="0"/>
    <x v="0"/>
    <m/>
    <m/>
    <m/>
    <x v="0"/>
    <x v="0"/>
  </r>
  <r>
    <x v="187"/>
    <x v="35"/>
    <x v="33"/>
    <n v="8"/>
    <n v="18"/>
    <n v="6.6"/>
    <n v="52.8"/>
    <n v="52"/>
    <n v="936"/>
    <n v="0.98484848484848486"/>
    <n v="1"/>
    <n v="-1.4999999999999999E-2"/>
    <s v="90"/>
    <m/>
    <n v="0"/>
    <n v="52"/>
    <n v="1"/>
    <m/>
    <m/>
    <m/>
    <m/>
    <x v="0"/>
    <x v="0"/>
    <m/>
    <m/>
    <m/>
    <x v="0"/>
    <x v="0"/>
  </r>
  <r>
    <x v="188"/>
    <x v="8"/>
    <x v="8"/>
    <n v="28"/>
    <n v="0.44"/>
    <n v="344"/>
    <n v="9632"/>
    <n v="9680"/>
    <n v="4259.2"/>
    <n v="1.0049833887043189"/>
    <n v="1"/>
    <n v="5.0000000000000001E-3"/>
    <s v="390"/>
    <m/>
    <n v="6"/>
    <n v="9674"/>
    <n v="0.99938016528925622"/>
    <m/>
    <m/>
    <m/>
    <m/>
    <x v="0"/>
    <x v="0"/>
    <m/>
    <m/>
    <m/>
    <x v="0"/>
    <x v="0"/>
  </r>
  <r>
    <x v="188"/>
    <x v="75"/>
    <x v="65"/>
    <n v="4"/>
    <n v="0.19"/>
    <n v="759.3"/>
    <n v="3037.2"/>
    <n v="3125"/>
    <n v="593.75"/>
    <n v="1.0289082049255893"/>
    <n v="1"/>
    <n v="2.9000000000000001E-2"/>
    <s v="278"/>
    <m/>
    <n v="5"/>
    <n v="3120"/>
    <n v="0.99839999999999995"/>
    <m/>
    <m/>
    <s v="包裝中"/>
    <m/>
    <x v="0"/>
    <x v="0"/>
    <m/>
    <m/>
    <m/>
    <x v="0"/>
    <x v="0"/>
  </r>
  <r>
    <x v="188"/>
    <x v="32"/>
    <x v="30"/>
    <n v="20"/>
    <n v="6"/>
    <n v="25.2"/>
    <n v="504"/>
    <n v="508"/>
    <n v="3048"/>
    <n v="1.0079365079365079"/>
    <n v="1"/>
    <n v="8.0000000000000002E-3"/>
    <s v="270"/>
    <m/>
    <n v="2"/>
    <n v="506"/>
    <n v="0.99606299212598426"/>
    <m/>
    <m/>
    <m/>
    <m/>
    <x v="0"/>
    <x v="0"/>
    <m/>
    <m/>
    <m/>
    <x v="0"/>
    <x v="0"/>
  </r>
  <r>
    <x v="188"/>
    <x v="9"/>
    <x v="9"/>
    <n v="28"/>
    <n v="6"/>
    <n v="25.7"/>
    <n v="719.6"/>
    <n v="732"/>
    <n v="4392"/>
    <n v="1.0172317954419121"/>
    <n v="1"/>
    <n v="1.7000000000000001E-2"/>
    <s v="362"/>
    <m/>
    <n v="1"/>
    <n v="731"/>
    <n v="0.99863387978142082"/>
    <m/>
    <m/>
    <m/>
    <m/>
    <x v="0"/>
    <x v="0"/>
    <m/>
    <m/>
    <m/>
    <x v="0"/>
    <x v="0"/>
  </r>
  <r>
    <x v="189"/>
    <x v="15"/>
    <x v="15"/>
    <n v="72"/>
    <n v="3.2"/>
    <n v="46.8"/>
    <n v="3369.6"/>
    <n v="3450"/>
    <n v="11040"/>
    <n v="1.0238603988603989"/>
    <n v="1"/>
    <n v="2.4E-2"/>
    <s v="540"/>
    <m/>
    <n v="2"/>
    <n v="3448"/>
    <n v="0.99942028985507247"/>
    <m/>
    <n v="180"/>
    <s v="加重工A1040(1131113-01A)"/>
    <m/>
    <x v="0"/>
    <x v="0"/>
    <m/>
    <m/>
    <m/>
    <x v="0"/>
    <x v="0"/>
  </r>
  <r>
    <x v="189"/>
    <x v="58"/>
    <x v="51"/>
    <n v="8"/>
    <n v="6"/>
    <n v="25.7"/>
    <n v="205.6"/>
    <n v="208"/>
    <n v="1248"/>
    <n v="1.0116731517509727"/>
    <n v="1"/>
    <n v="1.2E-2"/>
    <s v="130"/>
    <m/>
    <n v="1"/>
    <n v="207"/>
    <n v="0.99519230769230771"/>
    <m/>
    <m/>
    <m/>
    <m/>
    <x v="0"/>
    <x v="0"/>
    <m/>
    <m/>
    <m/>
    <x v="0"/>
    <x v="0"/>
  </r>
  <r>
    <x v="189"/>
    <x v="20"/>
    <x v="20"/>
    <n v="8"/>
    <n v="6"/>
    <n v="25"/>
    <n v="200"/>
    <n v="198"/>
    <n v="1188"/>
    <n v="0.99"/>
    <n v="1"/>
    <n v="-0.01"/>
    <s v="150"/>
    <m/>
    <n v="1"/>
    <n v="197"/>
    <n v="0.99494949494949492"/>
    <m/>
    <m/>
    <m/>
    <m/>
    <x v="0"/>
    <x v="0"/>
    <m/>
    <m/>
    <m/>
    <x v="0"/>
    <x v="0"/>
  </r>
  <r>
    <x v="189"/>
    <x v="9"/>
    <x v="9"/>
    <n v="28"/>
    <n v="6"/>
    <n v="25.7"/>
    <n v="719.6"/>
    <n v="726"/>
    <n v="4356"/>
    <n v="1.008893829905503"/>
    <n v="1"/>
    <n v="8.9999999999999993E-3"/>
    <s v="351"/>
    <m/>
    <n v="3"/>
    <n v="723"/>
    <n v="0.99586776859504134"/>
    <m/>
    <m/>
    <m/>
    <m/>
    <x v="0"/>
    <x v="0"/>
    <m/>
    <m/>
    <m/>
    <x v="0"/>
    <x v="0"/>
  </r>
  <r>
    <x v="189"/>
    <x v="23"/>
    <x v="22"/>
    <n v="20"/>
    <n v="0.34"/>
    <n v="364.6"/>
    <n v="7292"/>
    <n v="7552"/>
    <n v="2567.6800000000003"/>
    <n v="1.0356555128908393"/>
    <n v="1"/>
    <n v="3.5999999999999997E-2"/>
    <s v="390"/>
    <m/>
    <n v="3"/>
    <n v="7549"/>
    <n v="0.99960275423728817"/>
    <m/>
    <m/>
    <m/>
    <m/>
    <x v="0"/>
    <x v="0"/>
    <m/>
    <m/>
    <m/>
    <x v="0"/>
    <x v="0"/>
  </r>
  <r>
    <x v="189"/>
    <x v="24"/>
    <x v="23"/>
    <n v="20"/>
    <n v="0.34"/>
    <n v="366"/>
    <n v="7320"/>
    <n v="7018"/>
    <n v="2386.1200000000003"/>
    <n v="0.95874316939890714"/>
    <n v="1"/>
    <n v="-4.1000000000000002E-2"/>
    <s v="290"/>
    <m/>
    <n v="6"/>
    <n v="7012"/>
    <n v="0.99914505557138789"/>
    <m/>
    <m/>
    <s v="E0121佳樂美*400箱"/>
    <m/>
    <x v="0"/>
    <x v="0"/>
    <m/>
    <m/>
    <m/>
    <x v="0"/>
    <x v="0"/>
  </r>
  <r>
    <x v="190"/>
    <x v="28"/>
    <x v="19"/>
    <n v="32"/>
    <n v="6"/>
    <n v="25.5"/>
    <n v="816"/>
    <n v="817"/>
    <n v="4902"/>
    <n v="1.0012254901960784"/>
    <n v="1"/>
    <n v="1E-3"/>
    <s v="430"/>
    <m/>
    <n v="1"/>
    <n v="816"/>
    <n v="0.99877600979192172"/>
    <m/>
    <m/>
    <m/>
    <m/>
    <x v="0"/>
    <x v="0"/>
    <m/>
    <m/>
    <m/>
    <x v="0"/>
    <x v="0"/>
  </r>
  <r>
    <x v="190"/>
    <x v="47"/>
    <x v="42"/>
    <n v="12"/>
    <n v="6"/>
    <n v="25.6"/>
    <n v="307.20000000000005"/>
    <n v="313"/>
    <n v="1878"/>
    <n v="1.0188802083333333"/>
    <n v="1"/>
    <n v="1.9E-2"/>
    <s v="175"/>
    <m/>
    <n v="3"/>
    <n v="310"/>
    <n v="0.99041533546325877"/>
    <m/>
    <m/>
    <m/>
    <m/>
    <x v="0"/>
    <x v="0"/>
    <m/>
    <m/>
    <m/>
    <x v="0"/>
    <x v="0"/>
  </r>
  <r>
    <x v="190"/>
    <x v="17"/>
    <x v="17"/>
    <n v="21"/>
    <n v="3"/>
    <n v="29.7"/>
    <n v="623.69999999999993"/>
    <n v="628"/>
    <n v="1884"/>
    <n v="1.0068943402276738"/>
    <n v="1"/>
    <n v="7.0000000000000001E-3"/>
    <s v="540"/>
    <m/>
    <n v="0"/>
    <n v="628"/>
    <n v="1"/>
    <m/>
    <m/>
    <m/>
    <m/>
    <x v="0"/>
    <x v="0"/>
    <m/>
    <m/>
    <m/>
    <x v="0"/>
    <x v="0"/>
  </r>
  <r>
    <x v="190"/>
    <x v="61"/>
    <x v="33"/>
    <n v="60"/>
    <n v="18"/>
    <n v="6.9"/>
    <n v="414"/>
    <n v="419"/>
    <n v="7542"/>
    <n v="1.0120772946859904"/>
    <n v="1"/>
    <n v="1.2E-2"/>
    <s v="570"/>
    <m/>
    <n v="0"/>
    <n v="419"/>
    <n v="1"/>
    <m/>
    <m/>
    <m/>
    <m/>
    <x v="0"/>
    <x v="0"/>
    <m/>
    <m/>
    <m/>
    <x v="0"/>
    <x v="0"/>
  </r>
  <r>
    <x v="190"/>
    <x v="100"/>
    <x v="90"/>
    <n v="1"/>
    <n v="1"/>
    <n v="139"/>
    <n v="139"/>
    <n v="138"/>
    <n v="138"/>
    <n v="0.9928057553956835"/>
    <n v="1"/>
    <n v="-7.0000000000000001E-3"/>
    <s v="0"/>
    <m/>
    <n v="0"/>
    <n v="138"/>
    <n v="1"/>
    <m/>
    <m/>
    <m/>
    <m/>
    <x v="0"/>
    <x v="0"/>
    <m/>
    <m/>
    <m/>
    <x v="0"/>
    <x v="0"/>
  </r>
  <r>
    <x v="191"/>
    <x v="26"/>
    <x v="25"/>
    <n v="3"/>
    <n v="0.9"/>
    <n v="163"/>
    <n v="489"/>
    <n v="483"/>
    <n v="434.7"/>
    <n v="0.98773006134969321"/>
    <n v="1"/>
    <n v="-1.2E-2"/>
    <s v="135"/>
    <m/>
    <n v="2"/>
    <n v="481"/>
    <n v="0.99585921325051763"/>
    <m/>
    <m/>
    <m/>
    <m/>
    <x v="0"/>
    <x v="0"/>
    <m/>
    <m/>
    <m/>
    <x v="0"/>
    <x v="0"/>
  </r>
  <r>
    <x v="191"/>
    <x v="27"/>
    <x v="26"/>
    <n v="65"/>
    <n v="3.2"/>
    <n v="47.5"/>
    <n v="3087.5"/>
    <n v="3099"/>
    <n v="9916.8000000000011"/>
    <n v="1.0037246963562754"/>
    <n v="1"/>
    <n v="4.0000000000000001E-3"/>
    <s v="410"/>
    <m/>
    <n v="2"/>
    <n v="3097"/>
    <n v="0.99935463052597617"/>
    <m/>
    <m/>
    <m/>
    <m/>
    <x v="0"/>
    <x v="0"/>
    <m/>
    <m/>
    <m/>
    <x v="0"/>
    <x v="0"/>
  </r>
  <r>
    <x v="191"/>
    <x v="9"/>
    <x v="9"/>
    <n v="20"/>
    <n v="6"/>
    <n v="25.7"/>
    <n v="514"/>
    <n v="519"/>
    <n v="3114"/>
    <n v="1.0097276264591439"/>
    <n v="1"/>
    <n v="0.01"/>
    <s v="282"/>
    <m/>
    <n v="2"/>
    <n v="517"/>
    <n v="0.9961464354527938"/>
    <m/>
    <m/>
    <m/>
    <m/>
    <x v="0"/>
    <x v="0"/>
    <m/>
    <m/>
    <m/>
    <x v="0"/>
    <x v="0"/>
  </r>
  <r>
    <x v="191"/>
    <x v="86"/>
    <x v="78"/>
    <n v="6"/>
    <n v="6"/>
    <n v="25.1"/>
    <n v="150.60000000000002"/>
    <n v="151"/>
    <n v="906"/>
    <n v="1.0026560424966797"/>
    <n v="1"/>
    <n v="3.0000000000000001E-3"/>
    <s v="125"/>
    <m/>
    <n v="1"/>
    <n v="150"/>
    <n v="0.99337748344370858"/>
    <m/>
    <m/>
    <m/>
    <m/>
    <x v="0"/>
    <x v="0"/>
    <m/>
    <m/>
    <m/>
    <x v="0"/>
    <x v="0"/>
  </r>
  <r>
    <x v="191"/>
    <x v="0"/>
    <x v="0"/>
    <n v="12"/>
    <n v="6"/>
    <n v="25.5"/>
    <n v="306"/>
    <n v="312"/>
    <n v="1872"/>
    <n v="1.0196078431372548"/>
    <n v="1"/>
    <n v="0.02"/>
    <s v="170"/>
    <m/>
    <n v="2"/>
    <n v="310"/>
    <n v="0.99358974358974361"/>
    <m/>
    <m/>
    <m/>
    <m/>
    <x v="0"/>
    <x v="0"/>
    <m/>
    <m/>
    <m/>
    <x v="0"/>
    <x v="0"/>
  </r>
  <r>
    <x v="191"/>
    <x v="78"/>
    <x v="70"/>
    <n v="8"/>
    <n v="0.28999999999999998"/>
    <n v="388"/>
    <n v="3104"/>
    <n v="3179"/>
    <n v="921.91"/>
    <n v="1.0241623711340206"/>
    <n v="1"/>
    <n v="2.4E-2"/>
    <s v="260"/>
    <m/>
    <n v="4"/>
    <n v="3175"/>
    <n v="0.99874174268637939"/>
    <m/>
    <m/>
    <m/>
    <m/>
    <x v="0"/>
    <x v="0"/>
    <m/>
    <m/>
    <m/>
    <x v="0"/>
    <x v="0"/>
  </r>
  <r>
    <x v="191"/>
    <x v="12"/>
    <x v="12"/>
    <n v="20"/>
    <n v="0.8"/>
    <n v="157.69999999999999"/>
    <n v="3154"/>
    <n v="3236"/>
    <n v="2588.8000000000002"/>
    <n v="1.0259987317691819"/>
    <n v="1"/>
    <n v="2.5999999999999999E-2"/>
    <s v="430"/>
    <m/>
    <n v="3"/>
    <n v="3233"/>
    <n v="0.99907292954264526"/>
    <m/>
    <m/>
    <m/>
    <m/>
    <x v="0"/>
    <x v="0"/>
    <m/>
    <m/>
    <m/>
    <x v="0"/>
    <x v="0"/>
  </r>
  <r>
    <x v="191"/>
    <x v="105"/>
    <x v="93"/>
    <n v="1"/>
    <n v="0.1"/>
    <n v="1732"/>
    <n v="1732"/>
    <n v="1740"/>
    <n v="174"/>
    <n v="1.0046189376443417"/>
    <n v="1"/>
    <n v="5.0000000000000001E-3"/>
    <s v="0"/>
    <m/>
    <n v="0"/>
    <n v="1740"/>
    <n v="1"/>
    <m/>
    <m/>
    <m/>
    <m/>
    <x v="0"/>
    <x v="0"/>
    <m/>
    <m/>
    <m/>
    <x v="0"/>
    <x v="0"/>
  </r>
  <r>
    <x v="192"/>
    <x v="106"/>
    <x v="94"/>
    <n v="14"/>
    <n v="0.26"/>
    <n v="590.29999999999995"/>
    <n v="8264.1999999999989"/>
    <n v="8305"/>
    <n v="2159.3000000000002"/>
    <n v="1.0049369569952327"/>
    <n v="1"/>
    <n v="5.0000000000000001E-3"/>
    <s v="390"/>
    <m/>
    <n v="26"/>
    <n v="8279"/>
    <n v="0.99686935580975311"/>
    <m/>
    <m/>
    <m/>
    <m/>
    <x v="0"/>
    <x v="0"/>
    <m/>
    <m/>
    <m/>
    <x v="0"/>
    <x v="0"/>
  </r>
  <r>
    <x v="192"/>
    <x v="30"/>
    <x v="28"/>
    <n v="12"/>
    <n v="0.43"/>
    <n v="340.4"/>
    <n v="4084.7999999999997"/>
    <n v="4121"/>
    <n v="1772.03"/>
    <n v="1.0088621229925578"/>
    <n v="1"/>
    <n v="8.9999999999999993E-3"/>
    <s v="300"/>
    <m/>
    <n v="34"/>
    <n v="4087"/>
    <n v="0.99174957534578989"/>
    <m/>
    <m/>
    <s v="麥味登*180箱其餘五惠"/>
    <m/>
    <x v="0"/>
    <x v="0"/>
    <m/>
    <m/>
    <m/>
    <x v="0"/>
    <x v="0"/>
  </r>
  <r>
    <x v="192"/>
    <x v="10"/>
    <x v="10"/>
    <n v="20"/>
    <n v="6"/>
    <n v="25.4"/>
    <n v="508"/>
    <n v="514"/>
    <n v="3084"/>
    <n v="1.0118110236220472"/>
    <n v="1"/>
    <n v="1.2E-2"/>
    <s v="340"/>
    <m/>
    <n v="1"/>
    <n v="513"/>
    <n v="0.99805447470817121"/>
    <m/>
    <m/>
    <m/>
    <m/>
    <x v="0"/>
    <x v="0"/>
    <m/>
    <m/>
    <m/>
    <x v="0"/>
    <x v="0"/>
  </r>
  <r>
    <x v="192"/>
    <x v="9"/>
    <x v="9"/>
    <n v="20"/>
    <n v="6"/>
    <n v="25.7"/>
    <n v="514"/>
    <n v="517"/>
    <n v="3102"/>
    <n v="1.0058365758754864"/>
    <n v="1"/>
    <n v="6.0000000000000001E-3"/>
    <s v="270"/>
    <m/>
    <n v="2"/>
    <n v="515"/>
    <n v="0.99613152804642169"/>
    <m/>
    <m/>
    <m/>
    <m/>
    <x v="0"/>
    <x v="0"/>
    <m/>
    <m/>
    <m/>
    <x v="0"/>
    <x v="0"/>
  </r>
  <r>
    <x v="192"/>
    <x v="11"/>
    <x v="11"/>
    <n v="72"/>
    <n v="2.8"/>
    <n v="44.5"/>
    <n v="3204"/>
    <n v="2705"/>
    <n v="7573.9999999999991"/>
    <n v="0.84425717852684146"/>
    <n v="1"/>
    <n v="-0.156"/>
    <s v="630"/>
    <m/>
    <n v="1"/>
    <n v="2704"/>
    <n v="0.99963031423290205"/>
    <m/>
    <m/>
    <s v="D9920(18kg)*80桶"/>
    <m/>
    <x v="0"/>
    <x v="0"/>
    <m/>
    <m/>
    <m/>
    <x v="0"/>
    <x v="0"/>
  </r>
  <r>
    <x v="192"/>
    <x v="102"/>
    <x v="92"/>
    <n v="1"/>
    <n v="1"/>
    <n v="142"/>
    <n v="142"/>
    <n v="140"/>
    <n v="140"/>
    <n v="0.9859154929577465"/>
    <n v="1"/>
    <n v="-1.4E-2"/>
    <s v="0"/>
    <m/>
    <n v="0"/>
    <n v="140"/>
    <n v="1"/>
    <m/>
    <m/>
    <m/>
    <m/>
    <x v="0"/>
    <x v="0"/>
    <m/>
    <m/>
    <m/>
    <x v="0"/>
    <x v="0"/>
  </r>
  <r>
    <x v="193"/>
    <x v="15"/>
    <x v="15"/>
    <n v="72"/>
    <n v="3.2"/>
    <n v="46.8"/>
    <n v="3369.6"/>
    <n v="3418"/>
    <n v="10937.6"/>
    <n v="1.0143637226970561"/>
    <n v="1"/>
    <n v="1.4E-2"/>
    <s v="540"/>
    <m/>
    <n v="2"/>
    <n v="3416"/>
    <n v="0.99941486249268574"/>
    <m/>
    <n v="103"/>
    <s v="加重工A1040(1131113-01A)"/>
    <m/>
    <x v="0"/>
    <x v="0"/>
    <m/>
    <m/>
    <m/>
    <x v="0"/>
    <x v="0"/>
  </r>
  <r>
    <x v="193"/>
    <x v="16"/>
    <x v="16"/>
    <n v="16"/>
    <n v="6"/>
    <n v="26.1"/>
    <n v="417.6"/>
    <n v="421"/>
    <n v="2526"/>
    <n v="1.0081417624521072"/>
    <n v="1"/>
    <n v="8.0000000000000002E-3"/>
    <s v="225"/>
    <m/>
    <n v="4"/>
    <n v="417"/>
    <n v="0.99049881235154391"/>
    <m/>
    <m/>
    <m/>
    <m/>
    <x v="0"/>
    <x v="0"/>
    <m/>
    <m/>
    <m/>
    <x v="0"/>
    <x v="0"/>
  </r>
  <r>
    <x v="193"/>
    <x v="9"/>
    <x v="9"/>
    <n v="24"/>
    <n v="6"/>
    <n v="25.7"/>
    <n v="616.79999999999995"/>
    <n v="617"/>
    <n v="3702"/>
    <n v="1.0003242542153048"/>
    <n v="1"/>
    <n v="0"/>
    <s v="324"/>
    <m/>
    <n v="1"/>
    <n v="616"/>
    <n v="0.99837925445705022"/>
    <m/>
    <m/>
    <m/>
    <m/>
    <x v="0"/>
    <x v="0"/>
    <m/>
    <m/>
    <m/>
    <x v="0"/>
    <x v="0"/>
  </r>
  <r>
    <x v="193"/>
    <x v="79"/>
    <x v="71"/>
    <n v="8"/>
    <n v="8"/>
    <n v="19.600000000000001"/>
    <n v="156.80000000000001"/>
    <n v="160"/>
    <n v="1280"/>
    <n v="1.0204081632653061"/>
    <n v="1"/>
    <n v="0.02"/>
    <s v="450"/>
    <m/>
    <n v="0"/>
    <n v="160"/>
    <n v="1"/>
    <m/>
    <m/>
    <m/>
    <m/>
    <x v="0"/>
    <x v="0"/>
    <m/>
    <m/>
    <m/>
    <x v="0"/>
    <x v="0"/>
  </r>
  <r>
    <x v="193"/>
    <x v="64"/>
    <x v="55"/>
    <n v="8"/>
    <n v="0.28999999999999998"/>
    <n v="412.6"/>
    <n v="3300.8"/>
    <n v="3327"/>
    <n v="964.82999999999993"/>
    <n v="1.007937469704314"/>
    <n v="1"/>
    <n v="8.0000000000000002E-3"/>
    <s v="520"/>
    <m/>
    <n v="7"/>
    <n v="3320"/>
    <n v="0.99789600240456866"/>
    <m/>
    <m/>
    <m/>
    <m/>
    <x v="0"/>
    <x v="0"/>
    <m/>
    <m/>
    <m/>
    <x v="0"/>
    <x v="0"/>
  </r>
  <r>
    <x v="194"/>
    <x v="8"/>
    <x v="8"/>
    <n v="20"/>
    <n v="0.44"/>
    <n v="344"/>
    <n v="6880"/>
    <n v="6876"/>
    <n v="3025.44"/>
    <n v="0.99941860465116283"/>
    <n v="1"/>
    <n v="-1E-3"/>
    <s v="300"/>
    <n v="1"/>
    <n v="5"/>
    <n v="6868"/>
    <n v="0.99883653286794649"/>
    <m/>
    <m/>
    <m/>
    <m/>
    <x v="0"/>
    <x v="0"/>
    <m/>
    <m/>
    <m/>
    <x v="0"/>
    <x v="0"/>
  </r>
  <r>
    <x v="194"/>
    <x v="49"/>
    <x v="43"/>
    <n v="15"/>
    <n v="0.43"/>
    <n v="364"/>
    <n v="5460"/>
    <n v="5684"/>
    <n v="2444.12"/>
    <n v="1.0410256410256411"/>
    <n v="1"/>
    <n v="4.1000000000000002E-2"/>
    <s v="330"/>
    <n v="3"/>
    <n v="14"/>
    <n v="5665"/>
    <n v="0.99665728360309636"/>
    <m/>
    <m/>
    <m/>
    <m/>
    <x v="0"/>
    <x v="0"/>
    <m/>
    <m/>
    <m/>
    <x v="0"/>
    <x v="0"/>
  </r>
  <r>
    <x v="194"/>
    <x v="2"/>
    <x v="2"/>
    <n v="36"/>
    <n v="6"/>
    <n v="26.6"/>
    <n v="957.6"/>
    <n v="984"/>
    <n v="5904"/>
    <n v="1.0275689223057645"/>
    <n v="1"/>
    <n v="2.8000000000000001E-2"/>
    <s v="430"/>
    <n v="1"/>
    <n v="1"/>
    <n v="982"/>
    <n v="0.99796747967479671"/>
    <m/>
    <m/>
    <m/>
    <m/>
    <x v="0"/>
    <x v="0"/>
    <m/>
    <m/>
    <m/>
    <x v="0"/>
    <x v="0"/>
  </r>
  <r>
    <x v="194"/>
    <x v="1"/>
    <x v="1"/>
    <n v="4"/>
    <n v="6"/>
    <n v="25.7"/>
    <n v="102.8"/>
    <n v="103"/>
    <n v="618"/>
    <n v="1.0019455252918288"/>
    <n v="1"/>
    <n v="2E-3"/>
    <s v="118"/>
    <n v="1"/>
    <n v="2"/>
    <n v="100"/>
    <n v="0.970873786407767"/>
    <m/>
    <m/>
    <m/>
    <m/>
    <x v="0"/>
    <x v="0"/>
    <m/>
    <m/>
    <m/>
    <x v="0"/>
    <x v="0"/>
  </r>
  <r>
    <x v="194"/>
    <x v="11"/>
    <x v="11"/>
    <n v="72"/>
    <n v="2.8"/>
    <n v="44.5"/>
    <n v="3204"/>
    <n v="3219"/>
    <n v="9013.1999999999989"/>
    <n v="1.0046816479400749"/>
    <n v="1"/>
    <n v="5.0000000000000001E-3"/>
    <s v="660"/>
    <n v="1"/>
    <m/>
    <n v="3218"/>
    <n v="0.9996893445169307"/>
    <m/>
    <m/>
    <m/>
    <m/>
    <x v="0"/>
    <x v="0"/>
    <m/>
    <m/>
    <m/>
    <x v="0"/>
    <x v="0"/>
  </r>
  <r>
    <x v="195"/>
    <x v="21"/>
    <x v="21"/>
    <n v="72"/>
    <n v="3.2"/>
    <n v="46.4"/>
    <n v="3340.7999999999997"/>
    <n v="3410"/>
    <n v="10912"/>
    <n v="1.0207136015325671"/>
    <n v="1"/>
    <n v="2.1000000000000001E-2"/>
    <s v="540"/>
    <m/>
    <n v="2"/>
    <n v="3408"/>
    <n v="0.99941348973607036"/>
    <m/>
    <m/>
    <m/>
    <m/>
    <x v="0"/>
    <x v="0"/>
    <m/>
    <m/>
    <m/>
    <x v="0"/>
    <x v="0"/>
  </r>
  <r>
    <x v="195"/>
    <x v="74"/>
    <x v="64"/>
    <n v="6"/>
    <n v="6"/>
    <n v="25.2"/>
    <n v="151.19999999999999"/>
    <n v="157"/>
    <n v="942"/>
    <n v="1.0383597883597884"/>
    <n v="1"/>
    <n v="3.7999999999999999E-2"/>
    <s v="160"/>
    <m/>
    <n v="2"/>
    <n v="155"/>
    <n v="0.98726114649681529"/>
    <m/>
    <m/>
    <m/>
    <m/>
    <x v="0"/>
    <x v="0"/>
    <m/>
    <m/>
    <m/>
    <x v="0"/>
    <x v="0"/>
  </r>
  <r>
    <x v="195"/>
    <x v="98"/>
    <x v="72"/>
    <n v="8"/>
    <n v="6"/>
    <n v="25.6"/>
    <n v="204.8"/>
    <n v="207"/>
    <n v="1242"/>
    <n v="1.0107421875"/>
    <n v="1"/>
    <n v="1.0999999999999999E-2"/>
    <s v="146"/>
    <m/>
    <n v="1"/>
    <n v="206"/>
    <n v="0.99516908212560384"/>
    <m/>
    <m/>
    <m/>
    <m/>
    <x v="0"/>
    <x v="0"/>
    <m/>
    <m/>
    <m/>
    <x v="0"/>
    <x v="0"/>
  </r>
  <r>
    <x v="195"/>
    <x v="9"/>
    <x v="9"/>
    <n v="24"/>
    <n v="6"/>
    <n v="25.7"/>
    <n v="616.79999999999995"/>
    <n v="610"/>
    <n v="3660"/>
    <n v="0.98897535667963687"/>
    <n v="1"/>
    <n v="-1.0999999999999999E-2"/>
    <s v="380"/>
    <m/>
    <n v="-4"/>
    <n v="614"/>
    <n v="1.0065573770491802"/>
    <m/>
    <m/>
    <m/>
    <m/>
    <x v="0"/>
    <x v="0"/>
    <m/>
    <m/>
    <m/>
    <x v="0"/>
    <x v="0"/>
  </r>
  <r>
    <x v="195"/>
    <x v="23"/>
    <x v="22"/>
    <n v="17"/>
    <n v="0.34"/>
    <n v="364.6"/>
    <n v="6198.2000000000007"/>
    <n v="6459"/>
    <n v="2196.06"/>
    <n v="1.0420767319544382"/>
    <n v="1"/>
    <n v="4.2000000000000003E-2"/>
    <s v="570"/>
    <m/>
    <n v="3"/>
    <n v="6456"/>
    <n v="0.99953553181607058"/>
    <m/>
    <n v="230.6"/>
    <s v="加重工A2050"/>
    <m/>
    <x v="0"/>
    <x v="0"/>
    <m/>
    <m/>
    <m/>
    <x v="0"/>
    <x v="0"/>
  </r>
  <r>
    <x v="195"/>
    <x v="7"/>
    <x v="7"/>
    <n v="19"/>
    <n v="0.9"/>
    <n v="139.30000000000001"/>
    <n v="2646.7000000000003"/>
    <n v="2224"/>
    <n v="2001.6000000000001"/>
    <n v="0.84029168398382881"/>
    <n v="1"/>
    <n v="-0.16"/>
    <s v="350"/>
    <m/>
    <n v="-18"/>
    <n v="2242"/>
    <n v="1.0080935251798562"/>
    <m/>
    <n v="81"/>
    <s v="D9921(18kg)*20桶，加重工A2050"/>
    <m/>
    <x v="0"/>
    <x v="0"/>
    <m/>
    <m/>
    <m/>
    <x v="0"/>
    <x v="0"/>
  </r>
  <r>
    <x v="196"/>
    <x v="15"/>
    <x v="15"/>
    <n v="36"/>
    <n v="3.2"/>
    <n v="46.8"/>
    <n v="1684.8"/>
    <n v="1684"/>
    <n v="5388.8"/>
    <n v="0.99952516619183285"/>
    <n v="1"/>
    <n v="0"/>
    <s v="320"/>
    <m/>
    <n v="1"/>
    <n v="1683"/>
    <n v="0.99940617577197155"/>
    <m/>
    <m/>
    <m/>
    <m/>
    <x v="0"/>
    <x v="0"/>
    <m/>
    <m/>
    <m/>
    <x v="0"/>
    <x v="0"/>
  </r>
  <r>
    <x v="196"/>
    <x v="26"/>
    <x v="25"/>
    <n v="20"/>
    <n v="0.9"/>
    <n v="163"/>
    <n v="3260"/>
    <n v="3263"/>
    <n v="2936.7000000000003"/>
    <n v="1.0009202453987731"/>
    <n v="1"/>
    <n v="1E-3"/>
    <s v="270"/>
    <m/>
    <n v="2"/>
    <n v="3261"/>
    <n v="0.99938706711615077"/>
    <m/>
    <m/>
    <s v="新配方"/>
    <m/>
    <x v="0"/>
    <x v="0"/>
    <m/>
    <m/>
    <m/>
    <x v="0"/>
    <x v="0"/>
  </r>
  <r>
    <x v="196"/>
    <x v="20"/>
    <x v="20"/>
    <n v="8"/>
    <n v="6"/>
    <n v="25"/>
    <n v="200"/>
    <n v="202"/>
    <n v="1212"/>
    <n v="1.01"/>
    <n v="1"/>
    <n v="0.01"/>
    <s v="160"/>
    <m/>
    <n v="1"/>
    <n v="201"/>
    <n v="0.99504950495049505"/>
    <m/>
    <m/>
    <m/>
    <m/>
    <x v="0"/>
    <x v="0"/>
    <m/>
    <m/>
    <m/>
    <x v="0"/>
    <x v="0"/>
  </r>
  <r>
    <x v="196"/>
    <x v="10"/>
    <x v="10"/>
    <n v="24"/>
    <n v="6"/>
    <n v="25.4"/>
    <n v="609.59999999999991"/>
    <n v="616"/>
    <n v="3696"/>
    <n v="1.0104986876640421"/>
    <n v="1"/>
    <n v="0.01"/>
    <s v="340"/>
    <m/>
    <n v="1"/>
    <n v="615"/>
    <n v="0.99837662337662336"/>
    <m/>
    <m/>
    <m/>
    <m/>
    <x v="0"/>
    <x v="0"/>
    <m/>
    <m/>
    <m/>
    <x v="0"/>
    <x v="0"/>
  </r>
  <r>
    <x v="196"/>
    <x v="62"/>
    <x v="10"/>
    <n v="6"/>
    <n v="6"/>
    <n v="25.5"/>
    <n v="153"/>
    <n v="156"/>
    <n v="936"/>
    <n v="1.0196078431372548"/>
    <n v="1"/>
    <n v="0.02"/>
    <s v="134"/>
    <m/>
    <n v="1"/>
    <n v="155"/>
    <n v="0.99358974358974361"/>
    <m/>
    <m/>
    <m/>
    <m/>
    <x v="0"/>
    <x v="0"/>
    <m/>
    <m/>
    <m/>
    <x v="0"/>
    <x v="0"/>
  </r>
  <r>
    <x v="196"/>
    <x v="41"/>
    <x v="39"/>
    <n v="68"/>
    <n v="2.8"/>
    <n v="44.2"/>
    <n v="3005.6000000000004"/>
    <n v="3046"/>
    <n v="8528.7999999999993"/>
    <n v="1.0134415757253126"/>
    <n v="1"/>
    <n v="1.2999999999999999E-2"/>
    <s v="490"/>
    <m/>
    <n v="1"/>
    <n v="3045"/>
    <n v="0.99967170059093891"/>
    <m/>
    <m/>
    <m/>
    <m/>
    <x v="0"/>
    <x v="0"/>
    <m/>
    <m/>
    <m/>
    <x v="0"/>
    <x v="0"/>
  </r>
  <r>
    <x v="196"/>
    <x v="103"/>
    <x v="39"/>
    <n v="4"/>
    <n v="2.8"/>
    <n v="44.8"/>
    <n v="179.2"/>
    <n v="184"/>
    <n v="515.19999999999993"/>
    <n v="1.0267857142857144"/>
    <n v="1"/>
    <n v="2.7E-2"/>
    <s v="90"/>
    <m/>
    <n v="1"/>
    <n v="183"/>
    <n v="0.99456521739130432"/>
    <m/>
    <m/>
    <m/>
    <m/>
    <x v="0"/>
    <x v="0"/>
    <m/>
    <m/>
    <m/>
    <x v="0"/>
    <x v="0"/>
  </r>
  <r>
    <x v="196"/>
    <x v="94"/>
    <x v="85"/>
    <n v="1"/>
    <n v="1"/>
    <n v="591"/>
    <n v="591"/>
    <n v="592"/>
    <n v="592"/>
    <n v="1.0016920473773265"/>
    <n v="1"/>
    <n v="2E-3"/>
    <s v="0"/>
    <m/>
    <n v="0"/>
    <n v="592"/>
    <n v="1"/>
    <m/>
    <m/>
    <m/>
    <m/>
    <x v="0"/>
    <x v="0"/>
    <m/>
    <m/>
    <m/>
    <x v="0"/>
    <x v="0"/>
  </r>
  <r>
    <x v="197"/>
    <x v="43"/>
    <x v="41"/>
    <n v="20"/>
    <n v="0.26"/>
    <n v="584.29999999999995"/>
    <n v="11686"/>
    <n v="12091"/>
    <n v="3143.6600000000003"/>
    <n v="1.0346568543556391"/>
    <n v="1"/>
    <n v="3.5000000000000003E-2"/>
    <s v="335"/>
    <m/>
    <n v="21"/>
    <n v="12070"/>
    <n v="0.99826317095360184"/>
    <m/>
    <m/>
    <m/>
    <m/>
    <x v="0"/>
    <x v="0"/>
    <m/>
    <m/>
    <m/>
    <x v="0"/>
    <x v="0"/>
  </r>
  <r>
    <x v="197"/>
    <x v="44"/>
    <x v="41"/>
    <n v="4"/>
    <n v="0.26"/>
    <n v="592"/>
    <n v="2368"/>
    <n v="2389"/>
    <n v="621.14"/>
    <n v="1.0088682432432432"/>
    <n v="1"/>
    <n v="8.9999999999999993E-3"/>
    <s v="430"/>
    <m/>
    <n v="6"/>
    <n v="2383"/>
    <n v="0.99748848890749264"/>
    <m/>
    <m/>
    <m/>
    <m/>
    <x v="0"/>
    <x v="0"/>
    <m/>
    <m/>
    <m/>
    <x v="0"/>
    <x v="0"/>
  </r>
  <r>
    <x v="197"/>
    <x v="107"/>
    <x v="95"/>
    <n v="3"/>
    <n v="0.21"/>
    <n v="738"/>
    <n v="2214"/>
    <n v="2222"/>
    <n v="466.62"/>
    <n v="1.0036133694670279"/>
    <n v="1"/>
    <n v="4.0000000000000001E-3"/>
    <s v="205"/>
    <m/>
    <n v="9"/>
    <n v="2213"/>
    <n v="0.99594959495949598"/>
    <m/>
    <m/>
    <m/>
    <m/>
    <x v="0"/>
    <x v="0"/>
    <m/>
    <m/>
    <m/>
    <x v="0"/>
    <x v="0"/>
  </r>
  <r>
    <x v="197"/>
    <x v="19"/>
    <x v="19"/>
    <n v="20"/>
    <n v="6"/>
    <n v="25.5"/>
    <n v="510"/>
    <n v="519"/>
    <n v="3114"/>
    <n v="1.0176470588235293"/>
    <n v="1"/>
    <n v="1.7999999999999999E-2"/>
    <s v="260"/>
    <m/>
    <n v="1"/>
    <n v="518"/>
    <n v="0.9980732177263969"/>
    <m/>
    <m/>
    <m/>
    <m/>
    <x v="0"/>
    <x v="0"/>
    <m/>
    <m/>
    <m/>
    <x v="0"/>
    <x v="0"/>
  </r>
  <r>
    <x v="197"/>
    <x v="9"/>
    <x v="9"/>
    <n v="24"/>
    <n v="6"/>
    <n v="25.7"/>
    <n v="616.79999999999995"/>
    <n v="623"/>
    <n v="3738"/>
    <n v="1.0100518806744487"/>
    <n v="1"/>
    <n v="0.01"/>
    <s v="349"/>
    <m/>
    <n v="2"/>
    <n v="621"/>
    <n v="0.9967897271268058"/>
    <m/>
    <m/>
    <m/>
    <m/>
    <x v="0"/>
    <x v="0"/>
    <m/>
    <m/>
    <m/>
    <x v="0"/>
    <x v="0"/>
  </r>
  <r>
    <x v="197"/>
    <x v="34"/>
    <x v="32"/>
    <n v="20"/>
    <n v="0.34"/>
    <n v="358.3"/>
    <n v="7166"/>
    <n v="7284"/>
    <n v="2476.5600000000004"/>
    <n v="1.0164666480602846"/>
    <n v="1"/>
    <n v="1.6E-2"/>
    <s v="300"/>
    <m/>
    <n v="5"/>
    <n v="7279"/>
    <n v="0.99931356397583748"/>
    <m/>
    <m/>
    <s v="E0120佳樂美100箱"/>
    <m/>
    <x v="0"/>
    <x v="0"/>
    <m/>
    <m/>
    <m/>
    <x v="0"/>
    <x v="0"/>
  </r>
  <r>
    <x v="197"/>
    <x v="42"/>
    <x v="40"/>
    <n v="12"/>
    <n v="3.5"/>
    <n v="25.4"/>
    <n v="304.79999999999995"/>
    <n v="315"/>
    <n v="1102.5"/>
    <n v="1.033464566929134"/>
    <n v="1"/>
    <n v="3.3000000000000002E-2"/>
    <s v="390"/>
    <m/>
    <n v="0"/>
    <n v="315"/>
    <n v="1"/>
    <m/>
    <m/>
    <m/>
    <m/>
    <x v="0"/>
    <x v="0"/>
    <m/>
    <m/>
    <m/>
    <x v="0"/>
    <x v="0"/>
  </r>
  <r>
    <x v="198"/>
    <x v="59"/>
    <x v="52"/>
    <n v="16"/>
    <n v="4.5"/>
    <n v="34.9"/>
    <n v="558.4"/>
    <n v="568"/>
    <n v="2556"/>
    <n v="1.0171919770773639"/>
    <n v="1"/>
    <n v="1.7000000000000001E-2"/>
    <s v="270"/>
    <m/>
    <n v="0"/>
    <n v="568"/>
    <n v="1"/>
    <m/>
    <m/>
    <m/>
    <m/>
    <x v="0"/>
    <x v="0"/>
    <m/>
    <m/>
    <m/>
    <x v="0"/>
    <x v="0"/>
  </r>
  <r>
    <x v="198"/>
    <x v="108"/>
    <x v="45"/>
    <n v="8"/>
    <n v="9.08"/>
    <n v="17.399999999999999"/>
    <n v="139.19999999999999"/>
    <n v="140"/>
    <n v="1271.2"/>
    <n v="1.0057471264367817"/>
    <n v="1"/>
    <n v="6.0000000000000001E-3"/>
    <s v="145"/>
    <m/>
    <n v="0"/>
    <n v="140"/>
    <n v="1"/>
    <m/>
    <m/>
    <s v="貼萊成標籤(舊配方)"/>
    <m/>
    <x v="0"/>
    <x v="0"/>
    <m/>
    <m/>
    <m/>
    <x v="0"/>
    <x v="0"/>
  </r>
  <r>
    <x v="198"/>
    <x v="5"/>
    <x v="5"/>
    <n v="12"/>
    <n v="9.08"/>
    <n v="17.3"/>
    <n v="207.60000000000002"/>
    <n v="210"/>
    <n v="1906.8"/>
    <n v="1.0115606936416184"/>
    <n v="1"/>
    <n v="1.2E-2"/>
    <s v="208"/>
    <m/>
    <n v="0"/>
    <n v="210"/>
    <n v="1"/>
    <m/>
    <m/>
    <m/>
    <m/>
    <x v="0"/>
    <x v="0"/>
    <m/>
    <m/>
    <m/>
    <x v="0"/>
    <x v="0"/>
  </r>
  <r>
    <x v="198"/>
    <x v="48"/>
    <x v="17"/>
    <n v="21"/>
    <n v="3"/>
    <n v="30.8"/>
    <n v="646.80000000000007"/>
    <n v="648"/>
    <n v="1944"/>
    <n v="1.0018552875695732"/>
    <n v="1"/>
    <n v="2E-3"/>
    <s v="570"/>
    <m/>
    <n v="0"/>
    <n v="648"/>
    <n v="1"/>
    <m/>
    <m/>
    <m/>
    <m/>
    <x v="0"/>
    <x v="0"/>
    <m/>
    <m/>
    <m/>
    <x v="0"/>
    <x v="0"/>
  </r>
  <r>
    <x v="198"/>
    <x v="11"/>
    <x v="11"/>
    <n v="72"/>
    <n v="2.8"/>
    <n v="44.5"/>
    <n v="3204"/>
    <n v="3239"/>
    <n v="9069.1999999999989"/>
    <n v="1.0109238451935081"/>
    <n v="1"/>
    <n v="1.0999999999999999E-2"/>
    <s v="660"/>
    <m/>
    <n v="1"/>
    <n v="3238"/>
    <n v="0.9996912627354122"/>
    <m/>
    <m/>
    <m/>
    <m/>
    <x v="0"/>
    <x v="0"/>
    <m/>
    <m/>
    <m/>
    <x v="0"/>
    <x v="0"/>
  </r>
  <r>
    <x v="199"/>
    <x v="15"/>
    <x v="15"/>
    <n v="72"/>
    <n v="3.2"/>
    <n v="46.8"/>
    <n v="3369.6"/>
    <n v="3442"/>
    <n v="11014.400000000001"/>
    <n v="1.0214862298195633"/>
    <n v="1"/>
    <n v="2.1000000000000001E-2"/>
    <s v="540"/>
    <m/>
    <n v="2"/>
    <n v="3440"/>
    <n v="0.99941894247530505"/>
    <m/>
    <m/>
    <m/>
    <m/>
    <x v="0"/>
    <x v="0"/>
    <m/>
    <m/>
    <m/>
    <x v="0"/>
    <x v="0"/>
  </r>
  <r>
    <x v="199"/>
    <x v="3"/>
    <x v="3"/>
    <n v="20"/>
    <n v="4.5"/>
    <n v="36.299999999999997"/>
    <n v="726"/>
    <n v="722"/>
    <n v="3249"/>
    <n v="0.99449035812672182"/>
    <n v="1"/>
    <n v="-6.0000000000000001E-3"/>
    <s v="340"/>
    <m/>
    <n v="0"/>
    <n v="722"/>
    <n v="1"/>
    <m/>
    <m/>
    <m/>
    <m/>
    <x v="0"/>
    <x v="0"/>
    <m/>
    <m/>
    <m/>
    <x v="0"/>
    <x v="0"/>
  </r>
  <r>
    <x v="199"/>
    <x v="9"/>
    <x v="9"/>
    <n v="24"/>
    <n v="6"/>
    <n v="25.7"/>
    <n v="616.79999999999995"/>
    <n v="621"/>
    <n v="3726"/>
    <n v="1.0068093385214008"/>
    <n v="1"/>
    <n v="7.0000000000000001E-3"/>
    <s v="300"/>
    <m/>
    <n v="1"/>
    <n v="620"/>
    <n v="0.99838969404186795"/>
    <m/>
    <m/>
    <m/>
    <m/>
    <x v="0"/>
    <x v="0"/>
    <m/>
    <m/>
    <m/>
    <x v="0"/>
    <x v="0"/>
  </r>
  <r>
    <x v="199"/>
    <x v="11"/>
    <x v="11"/>
    <n v="36"/>
    <n v="2.8"/>
    <n v="44.5"/>
    <n v="1602"/>
    <n v="1612"/>
    <n v="4513.5999999999995"/>
    <n v="1.0062421972534332"/>
    <n v="1"/>
    <n v="6.0000000000000001E-3"/>
    <s v="390"/>
    <m/>
    <n v="1"/>
    <n v="1611"/>
    <n v="0.99937965260545902"/>
    <m/>
    <m/>
    <m/>
    <m/>
    <x v="0"/>
    <x v="0"/>
    <m/>
    <m/>
    <m/>
    <x v="0"/>
    <x v="0"/>
  </r>
  <r>
    <x v="199"/>
    <x v="6"/>
    <x v="6"/>
    <n v="20"/>
    <n v="0.4"/>
    <n v="309.2"/>
    <n v="6184"/>
    <n v="6200"/>
    <n v="2480"/>
    <n v="1.0025873221216042"/>
    <n v="1"/>
    <n v="3.0000000000000001E-3"/>
    <s v="260"/>
    <m/>
    <n v="3"/>
    <n v="6197"/>
    <n v="0.99951612903225806"/>
    <m/>
    <m/>
    <m/>
    <m/>
    <x v="0"/>
    <x v="0"/>
    <m/>
    <m/>
    <m/>
    <x v="0"/>
    <x v="0"/>
  </r>
  <r>
    <x v="200"/>
    <x v="8"/>
    <x v="8"/>
    <n v="40"/>
    <n v="0.44"/>
    <n v="344"/>
    <n v="13760"/>
    <n v="14008"/>
    <n v="6163.52"/>
    <n v="1.0180232558139535"/>
    <n v="1"/>
    <n v="1.7999999999999999E-2"/>
    <s v="510"/>
    <m/>
    <n v="12"/>
    <n v="13996"/>
    <n v="0.99914334665905202"/>
    <m/>
    <m/>
    <m/>
    <m/>
    <x v="0"/>
    <x v="0"/>
    <m/>
    <m/>
    <m/>
    <x v="0"/>
    <x v="0"/>
  </r>
  <r>
    <x v="200"/>
    <x v="18"/>
    <x v="18"/>
    <n v="20"/>
    <n v="6"/>
    <n v="26.4"/>
    <n v="528"/>
    <n v="524"/>
    <n v="3144"/>
    <n v="0.99242424242424243"/>
    <n v="1"/>
    <n v="-8.0000000000000002E-3"/>
    <s v="270"/>
    <m/>
    <n v="2"/>
    <n v="522"/>
    <n v="0.99618320610687028"/>
    <m/>
    <m/>
    <m/>
    <m/>
    <x v="0"/>
    <x v="0"/>
    <m/>
    <m/>
    <m/>
    <x v="0"/>
    <x v="0"/>
  </r>
  <r>
    <x v="200"/>
    <x v="9"/>
    <x v="9"/>
    <n v="24"/>
    <n v="6"/>
    <n v="25.7"/>
    <n v="616.79999999999995"/>
    <n v="621"/>
    <n v="3726"/>
    <n v="1.0068093385214008"/>
    <n v="1"/>
    <n v="7.0000000000000001E-3"/>
    <s v="338"/>
    <m/>
    <n v="2"/>
    <n v="619"/>
    <n v="0.9967793880837359"/>
    <m/>
    <m/>
    <m/>
    <m/>
    <x v="0"/>
    <x v="0"/>
    <m/>
    <m/>
    <m/>
    <x v="0"/>
    <x v="0"/>
  </r>
  <r>
    <x v="200"/>
    <x v="17"/>
    <x v="17"/>
    <n v="21"/>
    <n v="3"/>
    <n v="29.7"/>
    <n v="623.69999999999993"/>
    <n v="632"/>
    <n v="1896"/>
    <n v="1.0133076799743468"/>
    <n v="1"/>
    <n v="1.2999999999999999E-2"/>
    <s v="540"/>
    <m/>
    <n v="0"/>
    <n v="632"/>
    <n v="1"/>
    <m/>
    <m/>
    <m/>
    <m/>
    <x v="0"/>
    <x v="0"/>
    <m/>
    <m/>
    <m/>
    <x v="0"/>
    <x v="0"/>
  </r>
  <r>
    <x v="201"/>
    <x v="15"/>
    <x v="15"/>
    <n v="72"/>
    <n v="3.2"/>
    <n v="46.8"/>
    <n v="3369.6"/>
    <n v="3419"/>
    <n v="10940.800000000001"/>
    <n v="1.0146604938271606"/>
    <n v="1"/>
    <n v="1.4999999999999999E-2"/>
    <s v="540"/>
    <m/>
    <n v="2"/>
    <n v="3417"/>
    <n v="0.99941503363556594"/>
    <m/>
    <m/>
    <m/>
    <m/>
    <x v="0"/>
    <x v="0"/>
    <m/>
    <m/>
    <m/>
    <x v="0"/>
    <x v="0"/>
  </r>
  <r>
    <x v="201"/>
    <x v="51"/>
    <x v="45"/>
    <n v="12"/>
    <n v="9.08"/>
    <n v="17.8"/>
    <n v="213.60000000000002"/>
    <n v="209"/>
    <n v="1897.72"/>
    <n v="0.97846441947565532"/>
    <n v="1"/>
    <n v="-2.1999999999999999E-2"/>
    <s v="210"/>
    <m/>
    <n v="0"/>
    <n v="209"/>
    <n v="1"/>
    <m/>
    <m/>
    <m/>
    <m/>
    <x v="0"/>
    <x v="0"/>
    <m/>
    <m/>
    <m/>
    <x v="0"/>
    <x v="0"/>
  </r>
  <r>
    <x v="201"/>
    <x v="50"/>
    <x v="44"/>
    <n v="8"/>
    <n v="4.5"/>
    <n v="36.799999999999997"/>
    <n v="294.39999999999998"/>
    <n v="295"/>
    <n v="1327.5"/>
    <n v="1.002038043478261"/>
    <n v="1"/>
    <n v="2E-3"/>
    <s v="170"/>
    <m/>
    <n v="0"/>
    <n v="295"/>
    <n v="1"/>
    <m/>
    <m/>
    <s v="貼好市多上好佳。"/>
    <m/>
    <x v="0"/>
    <x v="0"/>
    <m/>
    <m/>
    <m/>
    <x v="0"/>
    <x v="0"/>
  </r>
  <r>
    <x v="201"/>
    <x v="45"/>
    <x v="10"/>
    <n v="24"/>
    <n v="6"/>
    <n v="26.4"/>
    <n v="633.59999999999991"/>
    <n v="642"/>
    <n v="3852"/>
    <n v="1.0132575757575759"/>
    <n v="1"/>
    <n v="1.2999999999999999E-2"/>
    <s v="300"/>
    <m/>
    <n v="1"/>
    <n v="641"/>
    <n v="0.99844236760124616"/>
    <m/>
    <m/>
    <s v="白色印字NY袋。"/>
    <m/>
    <x v="0"/>
    <x v="0"/>
    <m/>
    <m/>
    <m/>
    <x v="0"/>
    <x v="0"/>
  </r>
  <r>
    <x v="201"/>
    <x v="24"/>
    <x v="23"/>
    <n v="16"/>
    <n v="0.34"/>
    <n v="366"/>
    <n v="5856"/>
    <n v="5920"/>
    <n v="2012.8000000000002"/>
    <n v="1.0109289617486339"/>
    <n v="1"/>
    <n v="1.0999999999999999E-2"/>
    <s v="540"/>
    <m/>
    <n v="5"/>
    <n v="5915"/>
    <n v="0.99915540540540537"/>
    <m/>
    <n v="72"/>
    <s v="E0121佳樂美200箱，加重工A2050"/>
    <m/>
    <x v="0"/>
    <x v="0"/>
    <m/>
    <m/>
    <m/>
    <x v="0"/>
    <x v="0"/>
  </r>
  <r>
    <x v="201"/>
    <x v="23"/>
    <x v="22"/>
    <n v="20"/>
    <n v="0.34"/>
    <n v="364.6"/>
    <n v="7292"/>
    <n v="7391"/>
    <n v="2512.94"/>
    <n v="1.0135765222161273"/>
    <n v="1"/>
    <n v="1.4E-2"/>
    <s v="540"/>
    <m/>
    <n v="3"/>
    <n v="7388"/>
    <n v="0.99959410093356782"/>
    <m/>
    <n v="90"/>
    <s v="加重工A2050"/>
    <m/>
    <x v="0"/>
    <x v="0"/>
    <m/>
    <m/>
    <m/>
    <x v="0"/>
    <x v="0"/>
  </r>
  <r>
    <x v="202"/>
    <x v="49"/>
    <x v="43"/>
    <n v="15"/>
    <n v="0.43"/>
    <n v="364"/>
    <n v="5460"/>
    <n v="5599"/>
    <n v="2407.5700000000002"/>
    <n v="1.0254578754578754"/>
    <n v="1"/>
    <n v="2.5000000000000001E-2"/>
    <s v="330"/>
    <m/>
    <n v="26"/>
    <n v="5573"/>
    <n v="0.99535631362743349"/>
    <m/>
    <m/>
    <m/>
    <m/>
    <x v="0"/>
    <x v="0"/>
    <m/>
    <m/>
    <m/>
    <x v="0"/>
    <x v="0"/>
  </r>
  <r>
    <x v="202"/>
    <x v="43"/>
    <x v="41"/>
    <n v="16"/>
    <n v="0.26"/>
    <n v="584.29999999999995"/>
    <n v="9348.7999999999993"/>
    <n v="9485"/>
    <n v="2466.1"/>
    <n v="1.014568714701352"/>
    <n v="1"/>
    <n v="1.4999999999999999E-2"/>
    <s v="300"/>
    <m/>
    <n v="13"/>
    <n v="9472"/>
    <n v="0.99862941486557721"/>
    <m/>
    <m/>
    <m/>
    <m/>
    <x v="0"/>
    <x v="0"/>
    <m/>
    <m/>
    <m/>
    <x v="0"/>
    <x v="0"/>
  </r>
  <r>
    <x v="202"/>
    <x v="9"/>
    <x v="9"/>
    <n v="20"/>
    <n v="6"/>
    <n v="25.7"/>
    <n v="514"/>
    <n v="516"/>
    <n v="3096"/>
    <n v="1.0038910505836576"/>
    <n v="1"/>
    <n v="4.0000000000000001E-3"/>
    <s v="300"/>
    <m/>
    <n v="1"/>
    <n v="515"/>
    <n v="0.99806201550387597"/>
    <m/>
    <m/>
    <m/>
    <m/>
    <x v="0"/>
    <x v="0"/>
    <m/>
    <m/>
    <m/>
    <x v="0"/>
    <x v="0"/>
  </r>
  <r>
    <x v="202"/>
    <x v="22"/>
    <x v="10"/>
    <n v="12"/>
    <n v="6"/>
    <n v="25.1"/>
    <n v="301.20000000000005"/>
    <n v="303"/>
    <n v="1818"/>
    <n v="1.0059760956175297"/>
    <n v="1"/>
    <n v="6.0000000000000001E-3"/>
    <s v="260"/>
    <m/>
    <n v="1"/>
    <n v="302"/>
    <n v="0.99669966996699666"/>
    <m/>
    <m/>
    <m/>
    <m/>
    <x v="0"/>
    <x v="0"/>
    <m/>
    <m/>
    <m/>
    <x v="0"/>
    <x v="0"/>
  </r>
  <r>
    <x v="202"/>
    <x v="104"/>
    <x v="78"/>
    <n v="8"/>
    <n v="6"/>
    <n v="26"/>
    <n v="208"/>
    <n v="207"/>
    <n v="1242"/>
    <n v="0.99519230769230771"/>
    <n v="1"/>
    <n v="-5.0000000000000001E-3"/>
    <s v="182"/>
    <m/>
    <n v="1"/>
    <n v="206"/>
    <n v="0.99516908212560384"/>
    <m/>
    <m/>
    <m/>
    <m/>
    <x v="0"/>
    <x v="0"/>
    <m/>
    <m/>
    <m/>
    <x v="0"/>
    <x v="0"/>
  </r>
  <r>
    <x v="202"/>
    <x v="55"/>
    <x v="48"/>
    <n v="60"/>
    <n v="18"/>
    <n v="6.9"/>
    <n v="414"/>
    <n v="409"/>
    <n v="7362"/>
    <n v="0.98792270531400961"/>
    <n v="1"/>
    <n v="-1.2E-2"/>
    <s v="570"/>
    <m/>
    <n v="0"/>
    <n v="409"/>
    <n v="1"/>
    <m/>
    <m/>
    <m/>
    <m/>
    <x v="0"/>
    <x v="0"/>
    <m/>
    <m/>
    <m/>
    <x v="0"/>
    <x v="0"/>
  </r>
  <r>
    <x v="203"/>
    <x v="16"/>
    <x v="16"/>
    <n v="20"/>
    <n v="6"/>
    <n v="26.1"/>
    <n v="522"/>
    <n v="525"/>
    <n v="3150"/>
    <n v="1.0057471264367817"/>
    <n v="1"/>
    <n v="6.0000000000000001E-3"/>
    <s v="300"/>
    <m/>
    <n v="2"/>
    <n v="523"/>
    <n v="0.99619047619047618"/>
    <m/>
    <m/>
    <m/>
    <m/>
    <x v="0"/>
    <x v="0"/>
    <m/>
    <m/>
    <m/>
    <x v="0"/>
    <x v="0"/>
  </r>
  <r>
    <x v="203"/>
    <x v="46"/>
    <x v="17"/>
    <n v="21"/>
    <n v="3"/>
    <n v="31.6"/>
    <n v="663.6"/>
    <n v="668"/>
    <n v="2004"/>
    <n v="1.0066305003013862"/>
    <n v="1"/>
    <n v="7.0000000000000001E-3"/>
    <s v="600"/>
    <m/>
    <n v="0"/>
    <n v="668"/>
    <n v="1"/>
    <m/>
    <m/>
    <m/>
    <m/>
    <x v="0"/>
    <x v="0"/>
    <m/>
    <m/>
    <m/>
    <x v="0"/>
    <x v="0"/>
  </r>
  <r>
    <x v="203"/>
    <x v="41"/>
    <x v="39"/>
    <n v="72"/>
    <n v="2.8"/>
    <n v="44.2"/>
    <n v="3182.4"/>
    <n v="2229"/>
    <n v="6241.2"/>
    <n v="0.70041478129713419"/>
    <n v="1"/>
    <n v="-0.3"/>
    <s v="570"/>
    <m/>
    <n v="1"/>
    <n v="2228"/>
    <n v="0.99955136832660385"/>
    <m/>
    <m/>
    <s v="D9921(18kg) 150桶"/>
    <m/>
    <x v="0"/>
    <x v="0"/>
    <m/>
    <m/>
    <m/>
    <x v="0"/>
    <x v="0"/>
  </r>
  <r>
    <x v="204"/>
    <x v="2"/>
    <x v="2"/>
    <n v="28"/>
    <n v="6"/>
    <n v="26.6"/>
    <n v="744.80000000000007"/>
    <n v="754"/>
    <n v="4524"/>
    <n v="1.0123523093447904"/>
    <n v="1"/>
    <n v="1.2E-2"/>
    <s v="390"/>
    <m/>
    <n v="2"/>
    <n v="752"/>
    <n v="0.99734748010610075"/>
    <m/>
    <m/>
    <m/>
    <m/>
    <x v="0"/>
    <x v="0"/>
    <m/>
    <m/>
    <m/>
    <x v="0"/>
    <x v="0"/>
  </r>
  <r>
    <x v="204"/>
    <x v="0"/>
    <x v="0"/>
    <n v="12"/>
    <n v="6"/>
    <n v="25.5"/>
    <n v="306"/>
    <n v="313"/>
    <n v="1878"/>
    <n v="1.022875816993464"/>
    <n v="1"/>
    <n v="2.3E-2"/>
    <s v="248"/>
    <m/>
    <n v="1"/>
    <n v="312"/>
    <n v="0.99680511182108622"/>
    <m/>
    <m/>
    <m/>
    <m/>
    <x v="0"/>
    <x v="0"/>
    <m/>
    <m/>
    <m/>
    <x v="0"/>
    <x v="0"/>
  </r>
  <r>
    <x v="204"/>
    <x v="9"/>
    <x v="9"/>
    <n v="28"/>
    <n v="6"/>
    <n v="25.7"/>
    <n v="719.6"/>
    <n v="716"/>
    <n v="4296"/>
    <n v="0.99499722067815455"/>
    <n v="1"/>
    <n v="-5.0000000000000001E-3"/>
    <s v="392"/>
    <m/>
    <n v="2"/>
    <n v="714"/>
    <n v="0.9972067039106145"/>
    <m/>
    <m/>
    <m/>
    <m/>
    <x v="0"/>
    <x v="0"/>
    <m/>
    <m/>
    <m/>
    <x v="0"/>
    <x v="0"/>
  </r>
  <r>
    <x v="204"/>
    <x v="98"/>
    <x v="72"/>
    <n v="12"/>
    <n v="6"/>
    <n v="25.6"/>
    <n v="307.20000000000005"/>
    <n v="309"/>
    <n v="1854"/>
    <n v="1.0058593749999998"/>
    <n v="1"/>
    <n v="6.0000000000000001E-3"/>
    <s v="190"/>
    <m/>
    <n v="1"/>
    <n v="308"/>
    <n v="0.99676375404530748"/>
    <m/>
    <m/>
    <m/>
    <m/>
    <x v="0"/>
    <x v="0"/>
    <m/>
    <m/>
    <m/>
    <x v="0"/>
    <x v="0"/>
  </r>
  <r>
    <x v="204"/>
    <x v="23"/>
    <x v="22"/>
    <n v="20"/>
    <n v="0.34"/>
    <n v="364.6"/>
    <n v="7292"/>
    <n v="7415"/>
    <n v="2521.1000000000004"/>
    <n v="1.0168678003291278"/>
    <n v="1"/>
    <n v="1.7000000000000001E-2"/>
    <s v="275"/>
    <m/>
    <n v="3"/>
    <n v="7412"/>
    <n v="0.99959541469993252"/>
    <m/>
    <n v="90"/>
    <s v="加重工A2050"/>
    <m/>
    <x v="0"/>
    <x v="0"/>
    <m/>
    <m/>
    <m/>
    <x v="0"/>
    <x v="0"/>
  </r>
  <r>
    <x v="204"/>
    <x v="11"/>
    <x v="11"/>
    <n v="32"/>
    <n v="2.8"/>
    <n v="44.5"/>
    <n v="1424"/>
    <n v="1439"/>
    <n v="4029.2"/>
    <n v="1.0105337078651686"/>
    <n v="1"/>
    <n v="1.0999999999999999E-2"/>
    <s v="340"/>
    <m/>
    <n v="1"/>
    <n v="1438"/>
    <n v="0.99930507296733839"/>
    <m/>
    <m/>
    <m/>
    <m/>
    <x v="0"/>
    <x v="0"/>
    <m/>
    <m/>
    <m/>
    <x v="0"/>
    <x v="0"/>
  </r>
  <r>
    <x v="205"/>
    <x v="27"/>
    <x v="26"/>
    <n v="70"/>
    <n v="3.2"/>
    <n v="47.5"/>
    <n v="3325"/>
    <n v="3399"/>
    <n v="10876.800000000001"/>
    <n v="1.0222556390977444"/>
    <n v="1"/>
    <n v="2.1999999999999999E-2"/>
    <s v="540"/>
    <m/>
    <n v="2"/>
    <n v="3397"/>
    <n v="0.99941159164460136"/>
    <m/>
    <m/>
    <m/>
    <m/>
    <x v="0"/>
    <x v="0"/>
    <m/>
    <m/>
    <m/>
    <x v="0"/>
    <x v="0"/>
  </r>
  <r>
    <x v="205"/>
    <x v="65"/>
    <x v="56"/>
    <n v="12"/>
    <n v="9.5"/>
    <n v="16.600000000000001"/>
    <n v="199.20000000000002"/>
    <n v="200"/>
    <n v="1900"/>
    <n v="1.0040160642570279"/>
    <n v="1"/>
    <n v="4.0000000000000001E-3"/>
    <s v="210"/>
    <m/>
    <n v="0"/>
    <n v="200"/>
    <n v="1"/>
    <m/>
    <m/>
    <m/>
    <m/>
    <x v="0"/>
    <x v="0"/>
    <m/>
    <m/>
    <m/>
    <x v="0"/>
    <x v="0"/>
  </r>
  <r>
    <x v="205"/>
    <x v="52"/>
    <x v="46"/>
    <n v="8"/>
    <n v="4.5"/>
    <n v="35.6"/>
    <n v="284.8"/>
    <n v="288"/>
    <n v="1296"/>
    <n v="1.0112359550561798"/>
    <n v="1"/>
    <n v="1.0999999999999999E-2"/>
    <s v="174"/>
    <m/>
    <n v="0"/>
    <n v="288"/>
    <n v="1"/>
    <m/>
    <m/>
    <m/>
    <m/>
    <x v="0"/>
    <x v="0"/>
    <m/>
    <m/>
    <m/>
    <x v="0"/>
    <x v="0"/>
  </r>
  <r>
    <x v="205"/>
    <x v="9"/>
    <x v="9"/>
    <n v="20"/>
    <n v="6"/>
    <n v="25.7"/>
    <n v="514"/>
    <n v="508"/>
    <n v="3048"/>
    <n v="0.98832684824902728"/>
    <n v="1"/>
    <n v="-1.2E-2"/>
    <s v="240"/>
    <m/>
    <n v="2"/>
    <n v="506"/>
    <n v="0.99606299212598426"/>
    <m/>
    <m/>
    <m/>
    <m/>
    <x v="0"/>
    <x v="0"/>
    <m/>
    <m/>
    <m/>
    <x v="0"/>
    <x v="0"/>
  </r>
  <r>
    <x v="205"/>
    <x v="11"/>
    <x v="11"/>
    <n v="72"/>
    <n v="2.8"/>
    <n v="44.5"/>
    <n v="3204"/>
    <n v="3217"/>
    <n v="9007.5999999999985"/>
    <n v="1.0040574282147317"/>
    <n v="1"/>
    <n v="4.0000000000000001E-3"/>
    <s v="660"/>
    <m/>
    <n v="2"/>
    <n v="3215"/>
    <n v="0.99937830276655271"/>
    <m/>
    <m/>
    <m/>
    <m/>
    <x v="0"/>
    <x v="0"/>
    <m/>
    <m/>
    <m/>
    <x v="0"/>
    <x v="0"/>
  </r>
  <r>
    <x v="206"/>
    <x v="13"/>
    <x v="13"/>
    <n v="40"/>
    <n v="0.9"/>
    <n v="160.5"/>
    <n v="6420"/>
    <n v="6610"/>
    <n v="5949"/>
    <n v="1.029595015576324"/>
    <n v="1"/>
    <n v="0.03"/>
    <s v="540"/>
    <m/>
    <n v="22"/>
    <n v="6588"/>
    <n v="0.99667170953101358"/>
    <m/>
    <m/>
    <s v="D2010美芝城150箱"/>
    <m/>
    <x v="0"/>
    <x v="0"/>
    <m/>
    <m/>
    <m/>
    <x v="0"/>
    <x v="0"/>
  </r>
  <r>
    <x v="206"/>
    <x v="37"/>
    <x v="35"/>
    <n v="6"/>
    <n v="6"/>
    <n v="25.6"/>
    <n v="153.60000000000002"/>
    <n v="159"/>
    <n v="954"/>
    <n v="1.0351562499999998"/>
    <n v="1"/>
    <n v="3.5000000000000003E-2"/>
    <s v="130"/>
    <m/>
    <n v="1"/>
    <n v="158"/>
    <n v="0.99371069182389937"/>
    <m/>
    <m/>
    <m/>
    <m/>
    <x v="0"/>
    <x v="0"/>
    <m/>
    <m/>
    <m/>
    <x v="0"/>
    <x v="0"/>
  </r>
  <r>
    <x v="206"/>
    <x v="88"/>
    <x v="80"/>
    <n v="6"/>
    <n v="6"/>
    <n v="25.8"/>
    <n v="154.80000000000001"/>
    <n v="154"/>
    <n v="924"/>
    <n v="0.9948320413436692"/>
    <n v="1"/>
    <n v="-5.0000000000000001E-3"/>
    <s v="120"/>
    <m/>
    <n v="1"/>
    <n v="153"/>
    <n v="0.99350649350649356"/>
    <m/>
    <m/>
    <m/>
    <m/>
    <x v="0"/>
    <x v="0"/>
    <m/>
    <m/>
    <m/>
    <x v="0"/>
    <x v="0"/>
  </r>
  <r>
    <x v="206"/>
    <x v="2"/>
    <x v="2"/>
    <n v="28"/>
    <n v="6"/>
    <n v="26.6"/>
    <n v="744.80000000000007"/>
    <n v="759"/>
    <n v="4554"/>
    <n v="1.0190655209452202"/>
    <n v="1"/>
    <n v="1.9E-2"/>
    <s v="330"/>
    <m/>
    <n v="4"/>
    <n v="755"/>
    <n v="0.99472990777338599"/>
    <m/>
    <m/>
    <m/>
    <m/>
    <x v="0"/>
    <x v="0"/>
    <m/>
    <m/>
    <m/>
    <x v="0"/>
    <x v="0"/>
  </r>
  <r>
    <x v="206"/>
    <x v="11"/>
    <x v="11"/>
    <n v="72"/>
    <n v="2.8"/>
    <n v="44.5"/>
    <n v="3204"/>
    <n v="3229"/>
    <n v="9041.1999999999989"/>
    <n v="1.0078027465667916"/>
    <n v="1"/>
    <n v="8.0000000000000002E-3"/>
    <s v="660"/>
    <m/>
    <n v="1"/>
    <n v="3228"/>
    <n v="0.99969030659646951"/>
    <m/>
    <m/>
    <s v="D2021美芝城150箱"/>
    <m/>
    <x v="0"/>
    <x v="0"/>
    <m/>
    <m/>
    <m/>
    <x v="0"/>
    <x v="0"/>
  </r>
  <r>
    <x v="206"/>
    <x v="94"/>
    <x v="85"/>
    <n v="1"/>
    <n v="1"/>
    <n v="591"/>
    <n v="591"/>
    <n v="592"/>
    <n v="592"/>
    <n v="1.0016920473773265"/>
    <n v="1"/>
    <n v="2E-3"/>
    <s v="0"/>
    <m/>
    <n v="0"/>
    <n v="592"/>
    <n v="1"/>
    <m/>
    <m/>
    <m/>
    <m/>
    <x v="0"/>
    <x v="0"/>
    <m/>
    <m/>
    <m/>
    <x v="0"/>
    <x v="0"/>
  </r>
  <r>
    <x v="207"/>
    <x v="8"/>
    <x v="8"/>
    <n v="20"/>
    <n v="0.44"/>
    <n v="344"/>
    <n v="6880"/>
    <n v="6970"/>
    <n v="3066.8"/>
    <n v="1.0130813953488371"/>
    <n v="1"/>
    <n v="1.2999999999999999E-2"/>
    <s v="300"/>
    <m/>
    <n v="12"/>
    <n v="6958"/>
    <n v="0.99827833572453373"/>
    <m/>
    <m/>
    <m/>
    <m/>
    <x v="0"/>
    <x v="0"/>
    <m/>
    <m/>
    <m/>
    <x v="0"/>
    <x v="0"/>
  </r>
  <r>
    <x v="207"/>
    <x v="109"/>
    <x v="96"/>
    <n v="4"/>
    <n v="0.2"/>
    <n v="763"/>
    <n v="3052"/>
    <n v="3067"/>
    <n v="613.4"/>
    <n v="1.0049148099606815"/>
    <n v="1"/>
    <n v="5.0000000000000001E-3"/>
    <s v="270"/>
    <m/>
    <n v="7"/>
    <n v="3060"/>
    <n v="0.99771763938702318"/>
    <m/>
    <m/>
    <m/>
    <m/>
    <x v="0"/>
    <x v="0"/>
    <m/>
    <m/>
    <m/>
    <x v="0"/>
    <x v="0"/>
  </r>
  <r>
    <x v="207"/>
    <x v="110"/>
    <x v="97"/>
    <n v="4"/>
    <n v="3.3"/>
    <n v="47.3"/>
    <n v="189.2"/>
    <n v="190"/>
    <n v="627"/>
    <n v="1.0042283298097252"/>
    <n v="1"/>
    <n v="4.0000000000000001E-3"/>
    <s v="120"/>
    <m/>
    <n v="1"/>
    <n v="189"/>
    <n v="0.99473684210526314"/>
    <m/>
    <m/>
    <m/>
    <m/>
    <x v="0"/>
    <x v="0"/>
    <m/>
    <m/>
    <m/>
    <x v="0"/>
    <x v="0"/>
  </r>
  <r>
    <x v="207"/>
    <x v="10"/>
    <x v="10"/>
    <n v="24"/>
    <n v="6"/>
    <n v="25.4"/>
    <n v="609.59999999999991"/>
    <n v="624"/>
    <n v="3744"/>
    <n v="1.0236220472440947"/>
    <n v="1"/>
    <n v="2.4E-2"/>
    <s v="330"/>
    <m/>
    <n v="1"/>
    <n v="623"/>
    <n v="0.9983974358974359"/>
    <m/>
    <m/>
    <m/>
    <m/>
    <x v="0"/>
    <x v="0"/>
    <m/>
    <m/>
    <m/>
    <x v="0"/>
    <x v="0"/>
  </r>
  <r>
    <x v="207"/>
    <x v="9"/>
    <x v="9"/>
    <n v="20"/>
    <n v="6"/>
    <n v="25.7"/>
    <n v="514"/>
    <n v="511"/>
    <n v="3066"/>
    <n v="0.99416342412451364"/>
    <n v="1"/>
    <n v="-6.0000000000000001E-3"/>
    <s v="270"/>
    <m/>
    <n v="4"/>
    <n v="507"/>
    <n v="0.99217221135029354"/>
    <m/>
    <m/>
    <m/>
    <m/>
    <x v="0"/>
    <x v="0"/>
    <m/>
    <m/>
    <m/>
    <x v="0"/>
    <x v="0"/>
  </r>
  <r>
    <x v="207"/>
    <x v="11"/>
    <x v="11"/>
    <n v="72"/>
    <n v="2.8"/>
    <n v="44.5"/>
    <n v="3204"/>
    <n v="3221"/>
    <n v="9018.7999999999993"/>
    <n v="1.0053058676654183"/>
    <n v="1"/>
    <n v="5.0000000000000001E-3"/>
    <s v="630"/>
    <m/>
    <n v="1"/>
    <n v="3220"/>
    <n v="0.99968953741074196"/>
    <m/>
    <m/>
    <m/>
    <m/>
    <x v="0"/>
    <x v="0"/>
    <m/>
    <m/>
    <m/>
    <x v="0"/>
    <x v="0"/>
  </r>
  <r>
    <x v="208"/>
    <x v="26"/>
    <x v="25"/>
    <n v="40"/>
    <n v="0.9"/>
    <n v="163"/>
    <n v="6520"/>
    <n v="6594"/>
    <n v="5934.6"/>
    <n v="1.0113496932515338"/>
    <n v="1"/>
    <n v="1.0999999999999999E-2"/>
    <s v="540"/>
    <m/>
    <n v="3"/>
    <n v="6591"/>
    <n v="0.9995450409463148"/>
    <m/>
    <m/>
    <m/>
    <m/>
    <x v="0"/>
    <x v="0"/>
    <m/>
    <m/>
    <m/>
    <x v="0"/>
    <x v="0"/>
  </r>
  <r>
    <x v="208"/>
    <x v="32"/>
    <x v="30"/>
    <n v="24"/>
    <n v="6"/>
    <n v="25.2"/>
    <n v="604.79999999999995"/>
    <n v="588"/>
    <n v="3528"/>
    <n v="0.97222222222222232"/>
    <n v="1"/>
    <n v="-2.8000000000000001E-2"/>
    <s v="330"/>
    <m/>
    <n v="4"/>
    <n v="584"/>
    <n v="0.99319727891156462"/>
    <m/>
    <m/>
    <s v="果餡調理糖多放20KG"/>
    <m/>
    <x v="0"/>
    <x v="0"/>
    <m/>
    <m/>
    <m/>
    <x v="0"/>
    <x v="0"/>
  </r>
  <r>
    <x v="208"/>
    <x v="39"/>
    <x v="37"/>
    <n v="12"/>
    <n v="4.5"/>
    <n v="36"/>
    <n v="432"/>
    <n v="435"/>
    <n v="1957.5"/>
    <n v="1.0069444444444444"/>
    <n v="1"/>
    <n v="7.0000000000000001E-3"/>
    <s v="210"/>
    <m/>
    <n v="0"/>
    <n v="435"/>
    <n v="1"/>
    <m/>
    <m/>
    <m/>
    <m/>
    <x v="0"/>
    <x v="0"/>
    <m/>
    <m/>
    <m/>
    <x v="0"/>
    <x v="0"/>
  </r>
  <r>
    <x v="208"/>
    <x v="6"/>
    <x v="6"/>
    <n v="36"/>
    <n v="0.4"/>
    <n v="309.2"/>
    <n v="11131.199999999999"/>
    <n v="11317"/>
    <n v="4526.8"/>
    <n v="1.0166918211872935"/>
    <n v="1"/>
    <n v="1.7000000000000001E-2"/>
    <s v="480"/>
    <m/>
    <n v="3"/>
    <n v="11314"/>
    <n v="0.99973491207917298"/>
    <m/>
    <m/>
    <m/>
    <m/>
    <x v="0"/>
    <x v="0"/>
    <m/>
    <m/>
    <m/>
    <x v="0"/>
    <x v="0"/>
  </r>
  <r>
    <x v="209"/>
    <x v="15"/>
    <x v="15"/>
    <n v="72"/>
    <n v="3.2"/>
    <n v="46.8"/>
    <n v="3369.6"/>
    <n v="3412"/>
    <n v="10918.400000000001"/>
    <n v="1.0125830959164293"/>
    <n v="1"/>
    <n v="1.2999999999999999E-2"/>
    <s v="540"/>
    <m/>
    <n v="2"/>
    <n v="3410"/>
    <n v="0.99941383352872215"/>
    <m/>
    <m/>
    <m/>
    <m/>
    <x v="0"/>
    <x v="0"/>
    <m/>
    <m/>
    <m/>
    <x v="0"/>
    <x v="0"/>
  </r>
  <r>
    <x v="209"/>
    <x v="9"/>
    <x v="9"/>
    <n v="20"/>
    <n v="6"/>
    <n v="25.7"/>
    <n v="514"/>
    <n v="514"/>
    <n v="3084"/>
    <n v="1"/>
    <n v="1"/>
    <n v="0"/>
    <s v="283"/>
    <m/>
    <n v="1"/>
    <n v="513"/>
    <n v="0.99805447470817121"/>
    <m/>
    <m/>
    <m/>
    <m/>
    <x v="0"/>
    <x v="0"/>
    <m/>
    <m/>
    <m/>
    <x v="0"/>
    <x v="0"/>
  </r>
  <r>
    <x v="209"/>
    <x v="47"/>
    <x v="42"/>
    <n v="12"/>
    <n v="6"/>
    <n v="25.6"/>
    <n v="307.20000000000005"/>
    <n v="313"/>
    <n v="1878"/>
    <n v="1.0188802083333333"/>
    <n v="1"/>
    <n v="1.9E-2"/>
    <s v="164"/>
    <m/>
    <n v="2"/>
    <n v="311"/>
    <n v="0.99361022364217255"/>
    <m/>
    <m/>
    <m/>
    <m/>
    <x v="0"/>
    <x v="0"/>
    <m/>
    <m/>
    <m/>
    <x v="0"/>
    <x v="0"/>
  </r>
  <r>
    <x v="209"/>
    <x v="104"/>
    <x v="78"/>
    <n v="8"/>
    <n v="6"/>
    <n v="26"/>
    <n v="208"/>
    <n v="214"/>
    <n v="1284"/>
    <n v="1.0288461538461537"/>
    <n v="1"/>
    <n v="2.9000000000000001E-2"/>
    <s v="120"/>
    <m/>
    <n v="12"/>
    <n v="202"/>
    <n v="0.94392523364485981"/>
    <m/>
    <m/>
    <m/>
    <m/>
    <x v="0"/>
    <x v="0"/>
    <m/>
    <m/>
    <m/>
    <x v="0"/>
    <x v="0"/>
  </r>
  <r>
    <x v="209"/>
    <x v="17"/>
    <x v="17"/>
    <n v="21"/>
    <n v="3"/>
    <n v="29.7"/>
    <n v="623.69999999999993"/>
    <n v="632"/>
    <n v="1896"/>
    <n v="1.0133076799743468"/>
    <n v="1"/>
    <n v="1.2999999999999999E-2"/>
    <s v="540"/>
    <m/>
    <n v="0"/>
    <n v="632"/>
    <n v="1"/>
    <m/>
    <m/>
    <m/>
    <m/>
    <x v="0"/>
    <x v="0"/>
    <m/>
    <m/>
    <m/>
    <x v="0"/>
    <x v="0"/>
  </r>
  <r>
    <x v="210"/>
    <x v="30"/>
    <x v="28"/>
    <n v="16"/>
    <n v="0.43"/>
    <n v="340.4"/>
    <n v="5446.4"/>
    <n v="5635"/>
    <n v="2423.0500000000002"/>
    <n v="1.0346283783783785"/>
    <n v="1"/>
    <n v="3.5000000000000003E-2"/>
    <s v="330"/>
    <m/>
    <n v="19"/>
    <n v="5616"/>
    <n v="0.99662821650399291"/>
    <m/>
    <m/>
    <s v="麥味登貼180箱。"/>
    <m/>
    <x v="0"/>
    <x v="0"/>
    <m/>
    <m/>
    <m/>
    <x v="0"/>
    <x v="0"/>
  </r>
  <r>
    <x v="210"/>
    <x v="71"/>
    <x v="61"/>
    <n v="8"/>
    <n v="0.17"/>
    <n v="912.6"/>
    <n v="7300.8"/>
    <n v="7434"/>
    <n v="1263.7800000000002"/>
    <n v="1.0182445759368837"/>
    <n v="1"/>
    <n v="1.7999999999999999E-2"/>
    <s v="170"/>
    <m/>
    <n v="8"/>
    <n v="7426"/>
    <n v="0.99892386333064298"/>
    <m/>
    <m/>
    <m/>
    <m/>
    <x v="0"/>
    <x v="0"/>
    <m/>
    <m/>
    <m/>
    <x v="0"/>
    <x v="0"/>
  </r>
  <r>
    <x v="210"/>
    <x v="111"/>
    <x v="98"/>
    <n v="2.0833333333333335"/>
    <n v="0.16"/>
    <e v="#N/A"/>
    <n v="312.5"/>
    <n v="295"/>
    <n v="47.2"/>
    <n v="0.94399999999999995"/>
    <e v="#N/A"/>
    <e v="#N/A"/>
    <s v="70"/>
    <m/>
    <n v="3"/>
    <n v="292"/>
    <n v="0.98983050847457632"/>
    <m/>
    <m/>
    <m/>
    <m/>
    <x v="0"/>
    <x v="0"/>
    <m/>
    <m/>
    <m/>
    <x v="0"/>
    <x v="0"/>
  </r>
  <r>
    <x v="210"/>
    <x v="111"/>
    <x v="99"/>
    <n v="2.0833333333333335"/>
    <n v="0.16"/>
    <e v="#N/A"/>
    <n v="312.5"/>
    <n v="331"/>
    <n v="52.96"/>
    <n v="1.0591999999999999"/>
    <e v="#N/A"/>
    <e v="#N/A"/>
    <s v="90"/>
    <m/>
    <n v="3"/>
    <n v="328"/>
    <n v="0.99093655589123864"/>
    <m/>
    <m/>
    <m/>
    <m/>
    <x v="0"/>
    <x v="0"/>
    <m/>
    <m/>
    <m/>
    <x v="0"/>
    <x v="0"/>
  </r>
  <r>
    <x v="210"/>
    <x v="9"/>
    <x v="9"/>
    <n v="24"/>
    <n v="6"/>
    <n v="25.7"/>
    <n v="616.79999999999995"/>
    <n v="622"/>
    <n v="3732"/>
    <n v="1.0084306095979247"/>
    <n v="1"/>
    <n v="8.0000000000000002E-3"/>
    <s v="323"/>
    <m/>
    <n v="2"/>
    <n v="620"/>
    <n v="0.99678456591639875"/>
    <m/>
    <m/>
    <m/>
    <m/>
    <x v="0"/>
    <x v="0"/>
    <m/>
    <m/>
    <m/>
    <x v="0"/>
    <x v="0"/>
  </r>
  <r>
    <x v="210"/>
    <x v="89"/>
    <x v="2"/>
    <n v="8"/>
    <n v="6"/>
    <n v="24.9"/>
    <n v="199.2"/>
    <n v="208"/>
    <n v="1248"/>
    <n v="1.0441767068273093"/>
    <n v="1"/>
    <n v="4.3999999999999997E-2"/>
    <s v="150"/>
    <m/>
    <n v="2"/>
    <n v="206"/>
    <n v="0.99038461538461542"/>
    <m/>
    <m/>
    <m/>
    <m/>
    <x v="0"/>
    <x v="0"/>
    <m/>
    <m/>
    <m/>
    <x v="0"/>
    <x v="0"/>
  </r>
  <r>
    <x v="210"/>
    <x v="58"/>
    <x v="51"/>
    <n v="8"/>
    <n v="6"/>
    <n v="25.7"/>
    <n v="205.6"/>
    <n v="204"/>
    <n v="1224"/>
    <n v="0.99221789883268485"/>
    <n v="1"/>
    <n v="-8.0000000000000002E-3"/>
    <s v="150"/>
    <m/>
    <n v="1"/>
    <n v="203"/>
    <n v="0.99509803921568629"/>
    <m/>
    <m/>
    <m/>
    <m/>
    <x v="0"/>
    <x v="0"/>
    <m/>
    <m/>
    <m/>
    <x v="0"/>
    <x v="0"/>
  </r>
  <r>
    <x v="210"/>
    <x v="41"/>
    <x v="39"/>
    <n v="72"/>
    <n v="2.8"/>
    <n v="44.2"/>
    <n v="3182.4"/>
    <n v="3174"/>
    <n v="8887.1999999999989"/>
    <n v="0.99736048265460031"/>
    <n v="1"/>
    <n v="-3.0000000000000001E-3"/>
    <s v="570"/>
    <m/>
    <n v="1"/>
    <n v="3173"/>
    <n v="0.9996849401386263"/>
    <m/>
    <m/>
    <m/>
    <m/>
    <x v="0"/>
    <x v="0"/>
    <m/>
    <m/>
    <m/>
    <x v="0"/>
    <x v="0"/>
  </r>
  <r>
    <x v="211"/>
    <x v="15"/>
    <x v="15"/>
    <n v="72"/>
    <n v="3.2"/>
    <n v="46.8"/>
    <n v="3369.6"/>
    <n v="3410"/>
    <n v="10912"/>
    <n v="1.0119895536562205"/>
    <n v="1"/>
    <n v="1.2E-2"/>
    <s v="540"/>
    <m/>
    <n v="2"/>
    <n v="3408"/>
    <n v="0.99941348973607036"/>
    <m/>
    <m/>
    <m/>
    <m/>
    <x v="0"/>
    <x v="0"/>
    <m/>
    <m/>
    <m/>
    <x v="0"/>
    <x v="0"/>
  </r>
  <r>
    <x v="211"/>
    <x v="77"/>
    <x v="69"/>
    <n v="3"/>
    <n v="4.5"/>
    <n v="32.9"/>
    <n v="98.699999999999989"/>
    <n v="98"/>
    <n v="441"/>
    <n v="0.99290780141843982"/>
    <n v="1"/>
    <n v="-7.0000000000000001E-3"/>
    <s v="100"/>
    <m/>
    <n v="0"/>
    <n v="98"/>
    <n v="1"/>
    <m/>
    <m/>
    <m/>
    <m/>
    <x v="0"/>
    <x v="0"/>
    <m/>
    <m/>
    <m/>
    <x v="0"/>
    <x v="0"/>
  </r>
  <r>
    <x v="211"/>
    <x v="67"/>
    <x v="58"/>
    <n v="8"/>
    <n v="4.5"/>
    <n v="33.200000000000003"/>
    <n v="265.60000000000002"/>
    <n v="273"/>
    <n v="1228.5"/>
    <n v="1.0278614457831325"/>
    <n v="1"/>
    <n v="2.8000000000000001E-2"/>
    <s v="180"/>
    <m/>
    <n v="0"/>
    <n v="273"/>
    <n v="1"/>
    <m/>
    <m/>
    <m/>
    <m/>
    <x v="0"/>
    <x v="0"/>
    <m/>
    <m/>
    <m/>
    <x v="0"/>
    <x v="0"/>
  </r>
  <r>
    <x v="211"/>
    <x v="9"/>
    <x v="9"/>
    <n v="16"/>
    <n v="6"/>
    <n v="25.7"/>
    <n v="411.2"/>
    <n v="414"/>
    <n v="2484"/>
    <n v="1.0068093385214008"/>
    <n v="1"/>
    <n v="7.0000000000000001E-3"/>
    <s v="360"/>
    <m/>
    <n v="11"/>
    <n v="403"/>
    <n v="0.97342995169082125"/>
    <m/>
    <m/>
    <m/>
    <m/>
    <x v="0"/>
    <x v="0"/>
    <m/>
    <m/>
    <m/>
    <x v="0"/>
    <x v="0"/>
  </r>
  <r>
    <x v="211"/>
    <x v="73"/>
    <x v="63"/>
    <n v="8"/>
    <n v="4.5"/>
    <n v="35"/>
    <n v="280"/>
    <n v="286"/>
    <n v="1287"/>
    <n v="1.0214285714285714"/>
    <n v="1"/>
    <n v="2.1000000000000001E-2"/>
    <s v="435"/>
    <m/>
    <n v="0"/>
    <n v="286"/>
    <n v="1"/>
    <m/>
    <m/>
    <m/>
    <m/>
    <x v="0"/>
    <x v="0"/>
    <m/>
    <m/>
    <m/>
    <x v="0"/>
    <x v="0"/>
  </r>
  <r>
    <x v="211"/>
    <x v="35"/>
    <x v="33"/>
    <n v="24"/>
    <n v="18"/>
    <n v="6.6"/>
    <n v="158.39999999999998"/>
    <n v="163"/>
    <n v="2934"/>
    <n v="1.0290404040404042"/>
    <n v="1"/>
    <n v="2.9000000000000001E-2"/>
    <s v="410"/>
    <m/>
    <n v="0"/>
    <n v="163"/>
    <n v="1"/>
    <m/>
    <m/>
    <m/>
    <m/>
    <x v="0"/>
    <x v="0"/>
    <m/>
    <m/>
    <m/>
    <x v="0"/>
    <x v="0"/>
  </r>
  <r>
    <x v="211"/>
    <x v="61"/>
    <x v="33"/>
    <n v="40"/>
    <n v="18"/>
    <n v="6.9"/>
    <n v="276"/>
    <n v="278"/>
    <n v="5004"/>
    <n v="1.0072463768115942"/>
    <n v="1"/>
    <n v="7.0000000000000001E-3"/>
    <s v="280"/>
    <m/>
    <n v="0"/>
    <n v="278"/>
    <n v="1"/>
    <m/>
    <m/>
    <m/>
    <m/>
    <x v="0"/>
    <x v="0"/>
    <m/>
    <m/>
    <m/>
    <x v="0"/>
    <x v="0"/>
  </r>
  <r>
    <x v="211"/>
    <x v="111"/>
    <x v="100"/>
    <n v="100"/>
    <n v="0.19"/>
    <e v="#N/A"/>
    <e v="#N/A"/>
    <n v="120"/>
    <n v="22.8"/>
    <e v="#N/A"/>
    <e v="#N/A"/>
    <e v="#N/A"/>
    <s v="0"/>
    <m/>
    <n v="2"/>
    <n v="118"/>
    <n v="0.98333333333333328"/>
    <m/>
    <m/>
    <m/>
    <m/>
    <x v="0"/>
    <x v="0"/>
    <m/>
    <m/>
    <m/>
    <x v="0"/>
    <x v="0"/>
  </r>
  <r>
    <x v="211"/>
    <x v="111"/>
    <x v="101"/>
    <n v="300"/>
    <n v="0.15"/>
    <e v="#N/A"/>
    <e v="#N/A"/>
    <n v="313"/>
    <n v="46.949999999999996"/>
    <e v="#N/A"/>
    <e v="#N/A"/>
    <e v="#N/A"/>
    <s v="0"/>
    <m/>
    <n v="3"/>
    <n v="310"/>
    <n v="0.99041533546325877"/>
    <m/>
    <m/>
    <m/>
    <m/>
    <x v="0"/>
    <x v="0"/>
    <m/>
    <m/>
    <m/>
    <x v="0"/>
    <x v="0"/>
  </r>
  <r>
    <x v="212"/>
    <x v="22"/>
    <x v="10"/>
    <n v="32"/>
    <n v="6"/>
    <n v="25.1"/>
    <n v="803.2"/>
    <n v="806"/>
    <n v="4836"/>
    <n v="1.0034860557768923"/>
    <n v="1"/>
    <n v="3.0000000000000001E-3"/>
    <s v="464"/>
    <m/>
    <n v="3"/>
    <n v="803"/>
    <n v="0.99627791563275436"/>
    <m/>
    <m/>
    <s v="其中166箱(國豐)"/>
    <m/>
    <x v="0"/>
    <x v="0"/>
    <m/>
    <m/>
    <m/>
    <x v="0"/>
    <x v="0"/>
  </r>
  <r>
    <x v="212"/>
    <x v="82"/>
    <x v="74"/>
    <n v="6"/>
    <n v="6"/>
    <n v="24.5"/>
    <n v="147"/>
    <n v="150"/>
    <n v="900"/>
    <n v="1.0204081632653061"/>
    <n v="1"/>
    <n v="0.02"/>
    <s v="120"/>
    <m/>
    <n v="1"/>
    <n v="149"/>
    <n v="0.99333333333333329"/>
    <m/>
    <m/>
    <m/>
    <m/>
    <x v="0"/>
    <x v="0"/>
    <m/>
    <m/>
    <m/>
    <x v="0"/>
    <x v="0"/>
  </r>
  <r>
    <x v="212"/>
    <x v="48"/>
    <x v="17"/>
    <n v="21"/>
    <n v="3"/>
    <n v="30.8"/>
    <n v="646.80000000000007"/>
    <n v="648"/>
    <n v="1944"/>
    <n v="1.0018552875695732"/>
    <n v="1"/>
    <n v="2E-3"/>
    <s v="540"/>
    <m/>
    <n v="0"/>
    <n v="648"/>
    <n v="1"/>
    <m/>
    <m/>
    <m/>
    <m/>
    <x v="0"/>
    <x v="0"/>
    <m/>
    <m/>
    <m/>
    <x v="0"/>
    <x v="0"/>
  </r>
  <r>
    <x v="212"/>
    <x v="34"/>
    <x v="32"/>
    <n v="28"/>
    <n v="0.34"/>
    <n v="358.3"/>
    <n v="10032.4"/>
    <n v="11037"/>
    <n v="3752.5800000000004"/>
    <n v="1.100135560783063"/>
    <n v="1"/>
    <n v="0.1"/>
    <s v="455"/>
    <m/>
    <n v="4"/>
    <n v="11033"/>
    <n v="0.99963758267645197"/>
    <m/>
    <m/>
    <s v="E0120佳樂美450箱"/>
    <m/>
    <x v="0"/>
    <x v="0"/>
    <m/>
    <m/>
    <m/>
    <x v="0"/>
    <x v="0"/>
  </r>
  <r>
    <x v="212"/>
    <x v="112"/>
    <x v="55"/>
    <n v="8"/>
    <n v="0.28999999999999998"/>
    <n v="0"/>
    <n v="0"/>
    <n v="2407"/>
    <n v="698.03"/>
    <s v="無法預估數據"/>
    <n v="1"/>
    <s v="無法預估數據"/>
    <s v="220"/>
    <m/>
    <n v="7"/>
    <n v="2400"/>
    <n v="0.99709181553801407"/>
    <m/>
    <m/>
    <s v="足量2403瓶，剩餘充A2040。"/>
    <m/>
    <x v="0"/>
    <x v="0"/>
    <m/>
    <m/>
    <m/>
    <x v="0"/>
    <x v="0"/>
  </r>
  <r>
    <x v="213"/>
    <x v="8"/>
    <x v="8"/>
    <n v="28"/>
    <n v="0.44"/>
    <n v="344"/>
    <n v="9632"/>
    <n v="9732"/>
    <n v="4282.08"/>
    <n v="1.0103820598006645"/>
    <n v="1"/>
    <n v="0.01"/>
    <s v="450"/>
    <m/>
    <n v="12"/>
    <n v="9720"/>
    <n v="0.998766954377312"/>
    <m/>
    <m/>
    <m/>
    <m/>
    <x v="0"/>
    <x v="0"/>
    <m/>
    <m/>
    <m/>
    <x v="0"/>
    <x v="0"/>
  </r>
  <r>
    <x v="213"/>
    <x v="63"/>
    <x v="54"/>
    <n v="4"/>
    <n v="0.21"/>
    <n v="698.4"/>
    <n v="2793.6"/>
    <n v="2866"/>
    <n v="601.86"/>
    <n v="1.0259163802978237"/>
    <n v="1"/>
    <n v="2.5999999999999999E-2"/>
    <s v="175"/>
    <m/>
    <n v="17"/>
    <n v="2849"/>
    <n v="0.99406838799720865"/>
    <m/>
    <m/>
    <m/>
    <m/>
    <x v="0"/>
    <x v="0"/>
    <m/>
    <m/>
    <m/>
    <x v="0"/>
    <x v="0"/>
  </r>
  <r>
    <x v="213"/>
    <x v="9"/>
    <x v="9"/>
    <n v="24"/>
    <n v="6"/>
    <n v="25.7"/>
    <n v="616.79999999999995"/>
    <n v="619"/>
    <n v="3714"/>
    <n v="1.0035667963683528"/>
    <n v="1"/>
    <n v="4.0000000000000001E-3"/>
    <s v="300"/>
    <m/>
    <n v="3"/>
    <n v="616"/>
    <n v="0.99515347334410342"/>
    <m/>
    <m/>
    <m/>
    <m/>
    <x v="0"/>
    <x v="0"/>
    <m/>
    <m/>
    <m/>
    <x v="0"/>
    <x v="0"/>
  </r>
  <r>
    <x v="213"/>
    <x v="10"/>
    <x v="10"/>
    <n v="20"/>
    <n v="6"/>
    <n v="25.4"/>
    <n v="508"/>
    <n v="509"/>
    <n v="3054"/>
    <n v="1.0019685039370079"/>
    <n v="1"/>
    <n v="2E-3"/>
    <s v="280"/>
    <m/>
    <n v="1"/>
    <n v="508"/>
    <n v="0.99803536345776034"/>
    <m/>
    <m/>
    <m/>
    <m/>
    <x v="0"/>
    <x v="0"/>
    <m/>
    <m/>
    <m/>
    <x v="0"/>
    <x v="0"/>
  </r>
  <r>
    <x v="213"/>
    <x v="11"/>
    <x v="11"/>
    <n v="36"/>
    <n v="2.8"/>
    <n v="44.5"/>
    <n v="1602"/>
    <n v="1191"/>
    <n v="3334.7999999999997"/>
    <n v="0.74344569288389517"/>
    <n v="1"/>
    <n v="-0.25700000000000001"/>
    <s v="350"/>
    <m/>
    <n v="1"/>
    <n v="1190"/>
    <n v="0.99916036943744757"/>
    <m/>
    <m/>
    <s v="D9920(18KG)65桶"/>
    <m/>
    <x v="0"/>
    <x v="0"/>
    <m/>
    <m/>
    <m/>
    <x v="0"/>
    <x v="0"/>
  </r>
  <r>
    <x v="214"/>
    <x v="12"/>
    <x v="12"/>
    <n v="20"/>
    <n v="0.8"/>
    <n v="157.69999999999999"/>
    <n v="3154"/>
    <n v="3228"/>
    <n v="2582.4"/>
    <n v="1.0234622701331642"/>
    <n v="1"/>
    <n v="2.3E-2"/>
    <s v="270"/>
    <m/>
    <n v="2"/>
    <n v="3226"/>
    <n v="0.99938042131350679"/>
    <m/>
    <m/>
    <m/>
    <m/>
    <x v="0"/>
    <x v="0"/>
    <m/>
    <m/>
    <m/>
    <x v="0"/>
    <x v="0"/>
  </r>
  <r>
    <x v="214"/>
    <x v="15"/>
    <x v="15"/>
    <n v="72"/>
    <n v="3.2"/>
    <n v="46.8"/>
    <n v="3369.6"/>
    <n v="3453"/>
    <n v="11049.6"/>
    <n v="1.0247507122507122"/>
    <n v="1"/>
    <n v="2.5000000000000001E-2"/>
    <s v="540"/>
    <m/>
    <n v="3"/>
    <n v="3450"/>
    <n v="0.99913119026933106"/>
    <m/>
    <n v="158"/>
    <s v="加重工D1410(1131218-02A)"/>
    <m/>
    <x v="0"/>
    <x v="0"/>
    <m/>
    <m/>
    <m/>
    <x v="0"/>
    <x v="0"/>
  </r>
  <r>
    <x v="214"/>
    <x v="9"/>
    <x v="9"/>
    <n v="20"/>
    <n v="6"/>
    <n v="25.7"/>
    <n v="514"/>
    <n v="516"/>
    <n v="3096"/>
    <n v="1.0038910505836576"/>
    <n v="1"/>
    <n v="4.0000000000000001E-3"/>
    <s v="240"/>
    <m/>
    <n v="2"/>
    <n v="514"/>
    <n v="0.99612403100775193"/>
    <m/>
    <m/>
    <m/>
    <m/>
    <x v="0"/>
    <x v="0"/>
    <m/>
    <m/>
    <m/>
    <x v="0"/>
    <x v="0"/>
  </r>
  <r>
    <x v="214"/>
    <x v="18"/>
    <x v="18"/>
    <n v="24"/>
    <n v="6"/>
    <n v="26.4"/>
    <n v="633.59999999999991"/>
    <n v="636"/>
    <n v="3816"/>
    <n v="1.0037878787878789"/>
    <n v="1"/>
    <n v="4.0000000000000001E-3"/>
    <s v="330"/>
    <m/>
    <n v="8"/>
    <n v="628"/>
    <n v="0.98742138364779874"/>
    <m/>
    <m/>
    <m/>
    <m/>
    <x v="0"/>
    <x v="0"/>
    <m/>
    <m/>
    <m/>
    <x v="0"/>
    <x v="0"/>
  </r>
  <r>
    <x v="214"/>
    <x v="23"/>
    <x v="22"/>
    <n v="12"/>
    <n v="0.34"/>
    <n v="364.6"/>
    <n v="4375.2000000000007"/>
    <n v="5347"/>
    <n v="1817.98"/>
    <n v="1.222115560431523"/>
    <n v="1"/>
    <n v="0.222"/>
    <s v="320"/>
    <m/>
    <n v="3"/>
    <n v="5344"/>
    <n v="0.99943893772208714"/>
    <m/>
    <n v="54"/>
    <s v="加重工A2050(1131115-01D)"/>
    <m/>
    <x v="0"/>
    <x v="0"/>
    <m/>
    <m/>
    <m/>
    <x v="0"/>
    <x v="0"/>
  </r>
  <r>
    <x v="214"/>
    <x v="113"/>
    <x v="102"/>
    <n v="8"/>
    <n v="0.28999999999999998"/>
    <n v="0"/>
    <n v="0"/>
    <n v="2407"/>
    <n v="698.03"/>
    <s v="無法預估數據"/>
    <n v="1"/>
    <s v="無法預估數據"/>
    <s v="260"/>
    <m/>
    <n v="7"/>
    <n v="2400"/>
    <n v="0.99709181553801407"/>
    <m/>
    <m/>
    <s v="足量2403瓶，剩餘充A2060。"/>
    <m/>
    <x v="0"/>
    <x v="0"/>
    <m/>
    <m/>
    <m/>
    <x v="0"/>
    <x v="0"/>
  </r>
  <r>
    <x v="214"/>
    <x v="7"/>
    <x v="7"/>
    <n v="16"/>
    <n v="0.9"/>
    <n v="139.30000000000001"/>
    <n v="2228.8000000000002"/>
    <n v="2373"/>
    <n v="2135.7000000000003"/>
    <n v="1.0646984924623115"/>
    <n v="1"/>
    <n v="6.5000000000000002E-2"/>
    <s v="310"/>
    <m/>
    <n v="2"/>
    <n v="2371"/>
    <n v="0.99915718499789297"/>
    <m/>
    <m/>
    <s v="舊配方"/>
    <m/>
    <x v="0"/>
    <x v="0"/>
    <m/>
    <m/>
    <m/>
    <x v="0"/>
    <x v="0"/>
  </r>
  <r>
    <x v="214"/>
    <x v="114"/>
    <x v="103"/>
    <n v="4"/>
    <n v="0.8"/>
    <n v="155.5"/>
    <n v="622"/>
    <n v="442"/>
    <n v="353.6"/>
    <n v="0.71061093247588425"/>
    <n v="1"/>
    <n v="-0.28899999999999998"/>
    <s v="310"/>
    <m/>
    <n v="2"/>
    <n v="440"/>
    <n v="0.99547511312217196"/>
    <m/>
    <m/>
    <s v="新配方"/>
    <m/>
    <x v="0"/>
    <x v="0"/>
    <m/>
    <m/>
    <m/>
    <x v="0"/>
    <x v="0"/>
  </r>
  <r>
    <x v="215"/>
    <x v="28"/>
    <x v="19"/>
    <n v="32"/>
    <n v="6"/>
    <n v="25.5"/>
    <n v="816"/>
    <n v="833"/>
    <n v="4998"/>
    <n v="1.0208333333333333"/>
    <n v="1"/>
    <n v="2.1000000000000001E-2"/>
    <s v="440"/>
    <m/>
    <n v="3"/>
    <n v="830"/>
    <n v="0.99639855942376954"/>
    <m/>
    <m/>
    <s v="白色印字NY袋"/>
    <m/>
    <x v="0"/>
    <x v="0"/>
    <m/>
    <m/>
    <m/>
    <x v="0"/>
    <x v="0"/>
  </r>
  <r>
    <x v="215"/>
    <x v="86"/>
    <x v="78"/>
    <n v="4"/>
    <n v="6"/>
    <n v="25.1"/>
    <n v="100.4"/>
    <n v="101"/>
    <n v="606"/>
    <n v="1.0059760956175299"/>
    <n v="1"/>
    <n v="6.0000000000000001E-3"/>
    <s v="168"/>
    <m/>
    <n v="4"/>
    <n v="97"/>
    <n v="0.96039603960396036"/>
    <m/>
    <m/>
    <m/>
    <m/>
    <x v="0"/>
    <x v="0"/>
    <m/>
    <m/>
    <m/>
    <x v="0"/>
    <x v="0"/>
  </r>
  <r>
    <x v="215"/>
    <x v="17"/>
    <x v="17"/>
    <n v="21"/>
    <n v="3"/>
    <n v="29.7"/>
    <n v="623.69999999999993"/>
    <n v="628"/>
    <n v="1884"/>
    <n v="1.0068943402276738"/>
    <n v="1"/>
    <n v="7.0000000000000001E-3"/>
    <s v="540"/>
    <m/>
    <n v="0"/>
    <n v="628"/>
    <n v="1"/>
    <m/>
    <m/>
    <m/>
    <m/>
    <x v="0"/>
    <x v="0"/>
    <m/>
    <m/>
    <m/>
    <x v="0"/>
    <x v="0"/>
  </r>
  <r>
    <x v="215"/>
    <x v="11"/>
    <x v="11"/>
    <n v="56"/>
    <n v="2.8"/>
    <n v="44.5"/>
    <n v="2492"/>
    <n v="2214"/>
    <n v="6199.2"/>
    <n v="0.8884430176565008"/>
    <n v="1"/>
    <n v="-0.112"/>
    <s v="630"/>
    <m/>
    <n v="2"/>
    <n v="2212"/>
    <n v="0.99909665763324296"/>
    <m/>
    <m/>
    <s v="D9920(18kg)*40桶"/>
    <m/>
    <x v="0"/>
    <x v="0"/>
    <m/>
    <m/>
    <m/>
    <x v="0"/>
    <x v="0"/>
  </r>
  <r>
    <x v="215"/>
    <x v="12"/>
    <x v="12"/>
    <n v="4"/>
    <n v="0.8"/>
    <n v="157.69999999999999"/>
    <n v="630.79999999999995"/>
    <n v="675"/>
    <n v="540"/>
    <n v="1.0700697526949905"/>
    <n v="1"/>
    <n v="7.0000000000000007E-2"/>
    <s v="630"/>
    <m/>
    <n v="0"/>
    <n v="675"/>
    <n v="1"/>
    <m/>
    <m/>
    <m/>
    <m/>
    <x v="0"/>
    <x v="0"/>
    <m/>
    <m/>
    <m/>
    <x v="0"/>
    <x v="0"/>
  </r>
  <r>
    <x v="216"/>
    <x v="8"/>
    <x v="8"/>
    <n v="28"/>
    <n v="0.44"/>
    <n v="344"/>
    <n v="9632"/>
    <n v="9761"/>
    <n v="4294.84"/>
    <n v="1.0133928571428572"/>
    <n v="1"/>
    <n v="1.2999999999999999E-2"/>
    <s v="390"/>
    <m/>
    <n v="0"/>
    <n v="9761"/>
    <n v="1"/>
    <m/>
    <m/>
    <m/>
    <m/>
    <x v="0"/>
    <x v="0"/>
    <m/>
    <m/>
    <m/>
    <x v="0"/>
    <x v="0"/>
  </r>
  <r>
    <x v="216"/>
    <x v="43"/>
    <x v="41"/>
    <n v="6"/>
    <n v="0.26"/>
    <n v="584.29999999999995"/>
    <n v="3505.7999999999997"/>
    <n v="3372"/>
    <n v="876.72"/>
    <n v="0.96183467396885169"/>
    <n v="1"/>
    <n v="-3.7999999999999999E-2"/>
    <s v="172"/>
    <m/>
    <n v="12"/>
    <n v="3360"/>
    <n v="0.99644128113879005"/>
    <m/>
    <m/>
    <m/>
    <m/>
    <x v="0"/>
    <x v="0"/>
    <m/>
    <m/>
    <m/>
    <x v="0"/>
    <x v="0"/>
  </r>
  <r>
    <x v="216"/>
    <x v="44"/>
    <x v="41"/>
    <n v="2"/>
    <n v="0.26"/>
    <n v="592"/>
    <n v="1184"/>
    <n v="1188"/>
    <n v="308.88"/>
    <n v="1.0033783783783783"/>
    <n v="1"/>
    <n v="3.0000000000000001E-3"/>
    <s v="52"/>
    <m/>
    <n v="6"/>
    <n v="1182"/>
    <n v="0.99494949494949492"/>
    <m/>
    <m/>
    <m/>
    <m/>
    <x v="0"/>
    <x v="0"/>
    <m/>
    <m/>
    <m/>
    <x v="0"/>
    <x v="0"/>
  </r>
  <r>
    <x v="216"/>
    <x v="51"/>
    <x v="45"/>
    <n v="12"/>
    <n v="9.08"/>
    <n v="17.8"/>
    <n v="213.60000000000002"/>
    <n v="209"/>
    <n v="1897.72"/>
    <n v="0.97846441947565532"/>
    <n v="1"/>
    <n v="-2.1999999999999999E-2"/>
    <s v="200"/>
    <m/>
    <n v="0"/>
    <n v="209"/>
    <n v="1"/>
    <m/>
    <m/>
    <m/>
    <m/>
    <x v="0"/>
    <x v="0"/>
    <m/>
    <m/>
    <m/>
    <x v="0"/>
    <x v="0"/>
  </r>
  <r>
    <x v="216"/>
    <x v="56"/>
    <x v="49"/>
    <n v="6"/>
    <n v="6"/>
    <n v="25.3"/>
    <n v="151.80000000000001"/>
    <n v="154"/>
    <n v="924"/>
    <n v="1.0144927536231882"/>
    <n v="1"/>
    <n v="1.4E-2"/>
    <s v="185"/>
    <m/>
    <n v="1"/>
    <n v="153"/>
    <n v="0.99350649350649356"/>
    <m/>
    <m/>
    <m/>
    <m/>
    <x v="0"/>
    <x v="0"/>
    <m/>
    <m/>
    <m/>
    <x v="0"/>
    <x v="0"/>
  </r>
  <r>
    <x v="216"/>
    <x v="10"/>
    <x v="10"/>
    <n v="20"/>
    <n v="6"/>
    <n v="25.4"/>
    <n v="508"/>
    <n v="501"/>
    <n v="3006"/>
    <n v="0.98622047244094491"/>
    <n v="1"/>
    <n v="-1.4E-2"/>
    <s v="270"/>
    <m/>
    <n v="1"/>
    <n v="500"/>
    <n v="0.99800399201596801"/>
    <m/>
    <m/>
    <m/>
    <m/>
    <x v="0"/>
    <x v="0"/>
    <m/>
    <m/>
    <m/>
    <x v="0"/>
    <x v="0"/>
  </r>
  <r>
    <x v="216"/>
    <x v="61"/>
    <x v="33"/>
    <n v="28"/>
    <n v="18"/>
    <n v="6.9"/>
    <n v="193.20000000000002"/>
    <n v="198"/>
    <n v="3564"/>
    <n v="1.0248447204968942"/>
    <n v="1"/>
    <n v="2.5000000000000001E-2"/>
    <s v="330"/>
    <m/>
    <n v="0"/>
    <n v="198"/>
    <n v="1"/>
    <m/>
    <m/>
    <m/>
    <m/>
    <x v="0"/>
    <x v="0"/>
    <m/>
    <m/>
    <m/>
    <x v="0"/>
    <x v="0"/>
  </r>
  <r>
    <x v="216"/>
    <x v="12"/>
    <x v="12"/>
    <n v="20"/>
    <n v="0.8"/>
    <n v="157.69999999999999"/>
    <n v="3154"/>
    <n v="3156"/>
    <n v="2524.8000000000002"/>
    <n v="1.0006341154090044"/>
    <n v="1"/>
    <n v="1E-3"/>
    <s v="270"/>
    <m/>
    <n v="2"/>
    <n v="3154"/>
    <n v="0.99936628643852976"/>
    <m/>
    <m/>
    <m/>
    <m/>
    <x v="0"/>
    <x v="0"/>
    <m/>
    <m/>
    <m/>
    <x v="0"/>
    <x v="0"/>
  </r>
  <r>
    <x v="217"/>
    <x v="18"/>
    <x v="18"/>
    <n v="20"/>
    <n v="6"/>
    <n v="26.4"/>
    <n v="528"/>
    <n v="538"/>
    <n v="3228"/>
    <n v="1.018939393939394"/>
    <n v="1"/>
    <n v="1.9E-2"/>
    <s v="240"/>
    <m/>
    <n v="1"/>
    <n v="537"/>
    <n v="0.9981412639405205"/>
    <m/>
    <m/>
    <m/>
    <m/>
    <x v="0"/>
    <x v="0"/>
    <m/>
    <m/>
    <m/>
    <x v="0"/>
    <x v="0"/>
  </r>
  <r>
    <x v="217"/>
    <x v="9"/>
    <x v="9"/>
    <n v="24"/>
    <n v="6"/>
    <n v="25.7"/>
    <n v="616.79999999999995"/>
    <n v="621"/>
    <n v="3726"/>
    <n v="1.0068093385214008"/>
    <n v="1"/>
    <n v="7.0000000000000001E-3"/>
    <s v="330"/>
    <m/>
    <n v="1"/>
    <n v="620"/>
    <n v="0.99838969404186795"/>
    <m/>
    <m/>
    <m/>
    <m/>
    <x v="0"/>
    <x v="0"/>
    <m/>
    <m/>
    <m/>
    <x v="0"/>
    <x v="0"/>
  </r>
  <r>
    <x v="217"/>
    <x v="46"/>
    <x v="17"/>
    <n v="21"/>
    <n v="3"/>
    <n v="31.6"/>
    <n v="663.6"/>
    <n v="668"/>
    <n v="2004"/>
    <n v="1.0066305003013862"/>
    <n v="1"/>
    <n v="7.0000000000000001E-3"/>
    <s v="500"/>
    <m/>
    <n v="0"/>
    <n v="668"/>
    <n v="1"/>
    <m/>
    <m/>
    <m/>
    <m/>
    <x v="0"/>
    <x v="0"/>
    <m/>
    <m/>
    <m/>
    <x v="0"/>
    <x v="0"/>
  </r>
  <r>
    <x v="217"/>
    <x v="64"/>
    <x v="55"/>
    <n v="8"/>
    <n v="0.28999999999999998"/>
    <n v="412.6"/>
    <n v="3300.8"/>
    <n v="3397"/>
    <n v="985.12999999999988"/>
    <n v="1.0291444498303441"/>
    <n v="1"/>
    <n v="2.9000000000000001E-2"/>
    <s v="360"/>
    <m/>
    <n v="4"/>
    <n v="3393"/>
    <n v="0.99882249043273474"/>
    <m/>
    <m/>
    <m/>
    <m/>
    <x v="0"/>
    <x v="0"/>
    <m/>
    <m/>
    <m/>
    <x v="0"/>
    <x v="0"/>
  </r>
  <r>
    <x v="217"/>
    <x v="78"/>
    <x v="70"/>
    <n v="8"/>
    <n v="0.28999999999999998"/>
    <n v="388"/>
    <n v="3104"/>
    <n v="3261"/>
    <n v="945.68999999999994"/>
    <n v="1.0505798969072164"/>
    <n v="1"/>
    <n v="5.0999999999999997E-2"/>
    <s v="210"/>
    <m/>
    <n v="6"/>
    <n v="3255"/>
    <n v="0.99816007359705616"/>
    <m/>
    <m/>
    <m/>
    <m/>
    <x v="0"/>
    <x v="0"/>
    <m/>
    <m/>
    <m/>
    <x v="0"/>
    <x v="0"/>
  </r>
  <r>
    <x v="218"/>
    <x v="13"/>
    <x v="13"/>
    <n v="20"/>
    <n v="0.9"/>
    <n v="160.5"/>
    <n v="3210"/>
    <n v="3233"/>
    <n v="2909.7000000000003"/>
    <n v="1.0071651090342679"/>
    <n v="1"/>
    <n v="7.0000000000000001E-3"/>
    <s v="270"/>
    <m/>
    <n v="2"/>
    <n v="3231"/>
    <n v="0.99938137952366224"/>
    <m/>
    <m/>
    <m/>
    <m/>
    <x v="0"/>
    <x v="0"/>
    <m/>
    <m/>
    <m/>
    <x v="0"/>
    <x v="0"/>
  </r>
  <r>
    <x v="218"/>
    <x v="21"/>
    <x v="21"/>
    <n v="40"/>
    <n v="3.2"/>
    <n v="46.4"/>
    <n v="1856"/>
    <n v="1834"/>
    <n v="5868.8"/>
    <n v="0.9881465517241379"/>
    <n v="1"/>
    <n v="-1.2E-2"/>
    <s v="320"/>
    <m/>
    <n v="1"/>
    <n v="1833"/>
    <n v="0.9994547437295529"/>
    <m/>
    <m/>
    <m/>
    <m/>
    <x v="0"/>
    <x v="0"/>
    <m/>
    <m/>
    <m/>
    <x v="0"/>
    <x v="0"/>
  </r>
  <r>
    <x v="218"/>
    <x v="19"/>
    <x v="19"/>
    <n v="20"/>
    <n v="6"/>
    <n v="25.5"/>
    <n v="510"/>
    <n v="508"/>
    <n v="3048"/>
    <n v="0.99607843137254903"/>
    <n v="1"/>
    <n v="-4.0000000000000001E-3"/>
    <s v="250"/>
    <m/>
    <n v="2"/>
    <n v="506"/>
    <n v="0.99606299212598426"/>
    <m/>
    <m/>
    <m/>
    <m/>
    <x v="0"/>
    <x v="0"/>
    <m/>
    <m/>
    <m/>
    <x v="0"/>
    <x v="0"/>
  </r>
  <r>
    <x v="218"/>
    <x v="9"/>
    <x v="9"/>
    <n v="24"/>
    <n v="6"/>
    <n v="25.7"/>
    <n v="616.79999999999995"/>
    <n v="610"/>
    <n v="3660"/>
    <n v="0.98897535667963687"/>
    <n v="1"/>
    <n v="-1.0999999999999999E-2"/>
    <s v="335"/>
    <m/>
    <n v="1"/>
    <n v="609"/>
    <n v="0.99836065573770494"/>
    <m/>
    <m/>
    <m/>
    <m/>
    <x v="0"/>
    <x v="0"/>
    <m/>
    <m/>
    <m/>
    <x v="0"/>
    <x v="0"/>
  </r>
  <r>
    <x v="218"/>
    <x v="24"/>
    <x v="23"/>
    <n v="20"/>
    <n v="0.34"/>
    <n v="366"/>
    <n v="7320"/>
    <n v="7423"/>
    <n v="2523.8200000000002"/>
    <n v="1.014071038251366"/>
    <n v="1"/>
    <n v="1.4E-2"/>
    <s v="330"/>
    <m/>
    <n v="5"/>
    <n v="7418"/>
    <n v="0.99932641789034082"/>
    <m/>
    <n v="90"/>
    <s v="加重工A2050(1131115-01D)"/>
    <m/>
    <x v="0"/>
    <x v="0"/>
    <m/>
    <m/>
    <m/>
    <x v="0"/>
    <x v="0"/>
  </r>
  <r>
    <x v="218"/>
    <x v="42"/>
    <x v="40"/>
    <n v="6"/>
    <n v="3.5"/>
    <n v="25.4"/>
    <n v="152.39999999999998"/>
    <n v="152"/>
    <n v="532"/>
    <n v="0.99737532808398965"/>
    <n v="1"/>
    <n v="-3.0000000000000001E-3"/>
    <s v="300"/>
    <m/>
    <n v="0"/>
    <n v="152"/>
    <n v="1"/>
    <m/>
    <m/>
    <m/>
    <m/>
    <x v="0"/>
    <x v="0"/>
    <m/>
    <m/>
    <m/>
    <x v="0"/>
    <x v="0"/>
  </r>
  <r>
    <x v="219"/>
    <x v="3"/>
    <x v="3"/>
    <n v="12"/>
    <n v="4.5"/>
    <n v="36.299999999999997"/>
    <n v="435.59999999999997"/>
    <n v="422"/>
    <n v="1899"/>
    <n v="0.96877869605142342"/>
    <n v="1"/>
    <n v="-3.1E-2"/>
    <s v="265"/>
    <m/>
    <n v="0"/>
    <n v="422"/>
    <n v="1"/>
    <m/>
    <m/>
    <m/>
    <m/>
    <x v="0"/>
    <x v="0"/>
    <m/>
    <m/>
    <m/>
    <x v="0"/>
    <x v="0"/>
  </r>
  <r>
    <x v="219"/>
    <x v="115"/>
    <x v="104"/>
    <n v="20"/>
    <n v="4.5"/>
    <n v="37"/>
    <n v="740"/>
    <n v="742"/>
    <n v="3339"/>
    <n v="1.0027027027027027"/>
    <n v="1"/>
    <n v="3.0000000000000001E-3"/>
    <s v="324"/>
    <m/>
    <n v="0"/>
    <n v="742"/>
    <n v="1"/>
    <m/>
    <m/>
    <m/>
    <m/>
    <x v="0"/>
    <x v="0"/>
    <m/>
    <m/>
    <m/>
    <x v="0"/>
    <x v="0"/>
  </r>
  <r>
    <x v="219"/>
    <x v="50"/>
    <x v="44"/>
    <n v="8"/>
    <n v="4.5"/>
    <n v="36.799999999999997"/>
    <n v="294.39999999999998"/>
    <n v="307"/>
    <n v="1381.5"/>
    <n v="1.0427989130434783"/>
    <n v="1"/>
    <n v="4.2999999999999997E-2"/>
    <s v="201"/>
    <m/>
    <n v="0"/>
    <n v="307"/>
    <n v="1"/>
    <m/>
    <m/>
    <m/>
    <m/>
    <x v="0"/>
    <x v="0"/>
    <m/>
    <m/>
    <m/>
    <x v="0"/>
    <x v="0"/>
  </r>
  <r>
    <x v="219"/>
    <x v="17"/>
    <x v="17"/>
    <n v="21"/>
    <n v="3"/>
    <n v="29.7"/>
    <n v="623.69999999999993"/>
    <n v="628"/>
    <n v="1884"/>
    <n v="1.0068943402276738"/>
    <n v="1"/>
    <n v="7.0000000000000001E-3"/>
    <s v="540"/>
    <m/>
    <n v="0"/>
    <n v="628"/>
    <n v="1"/>
    <m/>
    <m/>
    <m/>
    <m/>
    <x v="0"/>
    <x v="0"/>
    <m/>
    <m/>
    <m/>
    <x v="0"/>
    <x v="0"/>
  </r>
  <r>
    <x v="219"/>
    <x v="6"/>
    <x v="6"/>
    <n v="36"/>
    <n v="0.4"/>
    <n v="309.2"/>
    <n v="11131.199999999999"/>
    <n v="11229"/>
    <n v="4491.6000000000004"/>
    <n v="1.0087861147046142"/>
    <n v="1"/>
    <n v="8.9999999999999993E-3"/>
    <s v="490"/>
    <m/>
    <n v="0"/>
    <n v="11229"/>
    <n v="1"/>
    <m/>
    <m/>
    <m/>
    <m/>
    <x v="0"/>
    <x v="0"/>
    <m/>
    <m/>
    <m/>
    <x v="0"/>
    <x v="0"/>
  </r>
  <r>
    <x v="220"/>
    <x v="28"/>
    <x v="19"/>
    <n v="40"/>
    <n v="6"/>
    <n v="25.5"/>
    <n v="1020"/>
    <n v="1007"/>
    <n v="6042"/>
    <n v="0.98725490196078436"/>
    <n v="1"/>
    <n v="-1.2999999999999999E-2"/>
    <s v="510"/>
    <m/>
    <n v="12"/>
    <n v="995"/>
    <n v="0.98808341608738826"/>
    <m/>
    <m/>
    <m/>
    <m/>
    <x v="0"/>
    <x v="0"/>
    <m/>
    <m/>
    <m/>
    <x v="0"/>
    <x v="0"/>
  </r>
  <r>
    <x v="220"/>
    <x v="48"/>
    <x v="17"/>
    <n v="21"/>
    <n v="3"/>
    <n v="30.8"/>
    <n v="646.80000000000007"/>
    <n v="648"/>
    <n v="1944"/>
    <n v="1.0018552875695732"/>
    <n v="1"/>
    <n v="2E-3"/>
    <s v="540"/>
    <m/>
    <n v="0"/>
    <n v="648"/>
    <n v="1"/>
    <m/>
    <m/>
    <m/>
    <m/>
    <x v="0"/>
    <x v="0"/>
    <m/>
    <m/>
    <m/>
    <x v="0"/>
    <x v="0"/>
  </r>
  <r>
    <x v="220"/>
    <x v="11"/>
    <x v="11"/>
    <n v="72"/>
    <n v="2.8"/>
    <n v="44.5"/>
    <n v="3204"/>
    <n v="3130"/>
    <n v="8764"/>
    <n v="0.97690387016229718"/>
    <n v="1"/>
    <n v="-2.3E-2"/>
    <s v="660"/>
    <m/>
    <n v="2"/>
    <n v="3128"/>
    <n v="0.9993610223642172"/>
    <m/>
    <m/>
    <s v="D2021美芝城100箱。D9920(18KG)*15桶"/>
    <m/>
    <x v="0"/>
    <x v="0"/>
    <m/>
    <m/>
    <m/>
    <x v="0"/>
    <x v="0"/>
  </r>
  <r>
    <x v="221"/>
    <x v="27"/>
    <x v="26"/>
    <n v="36"/>
    <n v="3.2"/>
    <n v="47.5"/>
    <n v="1710"/>
    <n v="1665"/>
    <n v="5328"/>
    <n v="0.97368421052631582"/>
    <n v="1"/>
    <n v="-2.5999999999999999E-2"/>
    <s v="270"/>
    <m/>
    <n v="1"/>
    <n v="1664"/>
    <n v="0.99939939939939937"/>
    <m/>
    <m/>
    <m/>
    <m/>
    <x v="0"/>
    <x v="0"/>
    <m/>
    <m/>
    <m/>
    <x v="0"/>
    <x v="0"/>
  </r>
  <r>
    <x v="221"/>
    <x v="49"/>
    <x v="43"/>
    <n v="12"/>
    <n v="0.43"/>
    <n v="364"/>
    <n v="4368"/>
    <n v="4606"/>
    <n v="1980.58"/>
    <n v="1.0544871794871795"/>
    <n v="1"/>
    <n v="5.3999999999999999E-2"/>
    <s v="300"/>
    <m/>
    <n v="11"/>
    <n v="4595"/>
    <n v="0.99761181068171945"/>
    <m/>
    <m/>
    <m/>
    <m/>
    <x v="0"/>
    <x v="0"/>
    <m/>
    <m/>
    <m/>
    <x v="0"/>
    <x v="0"/>
  </r>
  <r>
    <x v="221"/>
    <x v="16"/>
    <x v="16"/>
    <n v="20"/>
    <n v="6"/>
    <n v="26.1"/>
    <n v="522"/>
    <n v="527"/>
    <n v="3162"/>
    <n v="1.0095785440613028"/>
    <n v="1"/>
    <n v="0.01"/>
    <s v="480"/>
    <m/>
    <n v="3"/>
    <n v="524"/>
    <n v="0.9943074003795066"/>
    <m/>
    <m/>
    <m/>
    <m/>
    <x v="0"/>
    <x v="0"/>
    <m/>
    <m/>
    <m/>
    <x v="0"/>
    <x v="0"/>
  </r>
  <r>
    <x v="221"/>
    <x v="32"/>
    <x v="30"/>
    <n v="16"/>
    <n v="6"/>
    <n v="25.2"/>
    <n v="403.2"/>
    <n v="400"/>
    <n v="2400"/>
    <n v="0.99206349206349209"/>
    <n v="1"/>
    <n v="-8.0000000000000002E-3"/>
    <s v="510"/>
    <m/>
    <n v="2"/>
    <n v="398"/>
    <n v="0.995"/>
    <m/>
    <m/>
    <m/>
    <m/>
    <x v="0"/>
    <x v="0"/>
    <m/>
    <m/>
    <m/>
    <x v="0"/>
    <x v="0"/>
  </r>
  <r>
    <x v="221"/>
    <x v="41"/>
    <x v="39"/>
    <n v="72"/>
    <n v="2.8"/>
    <n v="44.2"/>
    <n v="3182.4"/>
    <n v="3193"/>
    <n v="8940.4"/>
    <n v="1.0033308195072901"/>
    <n v="1"/>
    <n v="3.0000000000000001E-3"/>
    <s v="570"/>
    <m/>
    <n v="1"/>
    <n v="3192"/>
    <n v="0.99968681490761035"/>
    <m/>
    <m/>
    <m/>
    <m/>
    <x v="0"/>
    <x v="0"/>
    <m/>
    <m/>
    <m/>
    <x v="0"/>
    <x v="0"/>
  </r>
  <r>
    <x v="222"/>
    <x v="2"/>
    <x v="2"/>
    <n v="30"/>
    <n v="6"/>
    <n v="26.6"/>
    <n v="798"/>
    <n v="788"/>
    <n v="4728"/>
    <n v="0.98746867167919794"/>
    <n v="1"/>
    <n v="-1.2999999999999999E-2"/>
    <s v="490"/>
    <m/>
    <n v="5"/>
    <n v="783"/>
    <n v="0.99365482233502533"/>
    <m/>
    <m/>
    <m/>
    <m/>
    <x v="0"/>
    <x v="0"/>
    <m/>
    <m/>
    <m/>
    <x v="0"/>
    <x v="0"/>
  </r>
  <r>
    <x v="222"/>
    <x v="0"/>
    <x v="0"/>
    <n v="12"/>
    <n v="6"/>
    <n v="25.5"/>
    <n v="306"/>
    <n v="293"/>
    <n v="1758"/>
    <n v="0.95751633986928109"/>
    <n v="1"/>
    <n v="-4.2000000000000003E-2"/>
    <s v="260"/>
    <m/>
    <n v="2"/>
    <n v="291"/>
    <n v="0.99317406143344711"/>
    <m/>
    <m/>
    <m/>
    <m/>
    <x v="0"/>
    <x v="0"/>
    <m/>
    <m/>
    <m/>
    <x v="0"/>
    <x v="0"/>
  </r>
  <r>
    <x v="222"/>
    <x v="53"/>
    <x v="46"/>
    <n v="4"/>
    <n v="4.5"/>
    <n v="34.5"/>
    <n v="138"/>
    <n v="139"/>
    <n v="625.5"/>
    <n v="1.0072463768115942"/>
    <n v="1"/>
    <n v="7.0000000000000001E-3"/>
    <s v="115"/>
    <m/>
    <n v="0"/>
    <n v="139"/>
    <n v="1"/>
    <m/>
    <m/>
    <m/>
    <m/>
    <x v="0"/>
    <x v="0"/>
    <m/>
    <m/>
    <m/>
    <x v="0"/>
    <x v="0"/>
  </r>
  <r>
    <x v="222"/>
    <x v="3"/>
    <x v="3"/>
    <n v="24"/>
    <n v="4.5"/>
    <n v="36.299999999999997"/>
    <n v="871.19999999999993"/>
    <n v="877"/>
    <n v="3946.5"/>
    <n v="1.0066574839302114"/>
    <n v="1"/>
    <n v="7.0000000000000001E-3"/>
    <s v="409"/>
    <m/>
    <n v="0"/>
    <n v="877"/>
    <n v="1"/>
    <m/>
    <m/>
    <m/>
    <m/>
    <x v="0"/>
    <x v="0"/>
    <m/>
    <m/>
    <m/>
    <x v="0"/>
    <x v="0"/>
  </r>
  <r>
    <x v="222"/>
    <x v="116"/>
    <x v="105"/>
    <n v="6"/>
    <n v="6"/>
    <n v="25.2"/>
    <n v="151.19999999999999"/>
    <n v="152"/>
    <n v="912"/>
    <n v="1.0052910052910053"/>
    <n v="1"/>
    <n v="5.0000000000000001E-3"/>
    <s v="160"/>
    <m/>
    <n v="4"/>
    <n v="148"/>
    <n v="0.97368421052631582"/>
    <m/>
    <m/>
    <m/>
    <m/>
    <x v="0"/>
    <x v="0"/>
    <m/>
    <m/>
    <m/>
    <x v="0"/>
    <x v="0"/>
  </r>
  <r>
    <x v="222"/>
    <x v="55"/>
    <x v="48"/>
    <n v="40"/>
    <n v="18"/>
    <n v="6.9"/>
    <n v="276"/>
    <n v="280"/>
    <n v="5040"/>
    <n v="1.0144927536231885"/>
    <n v="1"/>
    <n v="1.4E-2"/>
    <s v="430"/>
    <m/>
    <n v="0"/>
    <n v="280"/>
    <n v="1"/>
    <m/>
    <m/>
    <m/>
    <m/>
    <x v="0"/>
    <x v="0"/>
    <m/>
    <m/>
    <m/>
    <x v="0"/>
    <x v="0"/>
  </r>
  <r>
    <x v="223"/>
    <x v="15"/>
    <x v="15"/>
    <n v="72"/>
    <n v="3.2"/>
    <n v="46.8"/>
    <n v="3369.6"/>
    <n v="3394"/>
    <n v="10860.800000000001"/>
    <n v="1.0072412155745489"/>
    <n v="1"/>
    <n v="7.0000000000000001E-3"/>
    <s v="540"/>
    <m/>
    <n v="5"/>
    <n v="3389"/>
    <n v="0.99852681202121396"/>
    <m/>
    <m/>
    <m/>
    <m/>
    <x v="0"/>
    <x v="0"/>
    <m/>
    <m/>
    <m/>
    <x v="0"/>
    <x v="0"/>
  </r>
  <r>
    <x v="223"/>
    <x v="17"/>
    <x v="17"/>
    <n v="21"/>
    <n v="3"/>
    <n v="29.7"/>
    <n v="623.69999999999993"/>
    <n v="628"/>
    <n v="1884"/>
    <n v="1.0068943402276738"/>
    <n v="1"/>
    <n v="7.0000000000000001E-3"/>
    <s v="540"/>
    <m/>
    <n v="0"/>
    <n v="628"/>
    <n v="1"/>
    <m/>
    <m/>
    <m/>
    <m/>
    <x v="0"/>
    <x v="0"/>
    <m/>
    <m/>
    <m/>
    <x v="0"/>
    <x v="0"/>
  </r>
  <r>
    <x v="223"/>
    <x v="11"/>
    <x v="11"/>
    <n v="36"/>
    <n v="2.8"/>
    <n v="44.5"/>
    <n v="1055.5714285714284"/>
    <n v="1061"/>
    <n v="2970.7999999999997"/>
    <n v="1.0051427798078225"/>
    <n v="1"/>
    <n v="5.0000000000000001E-3"/>
    <s v="360"/>
    <m/>
    <n v="1"/>
    <n v="1060"/>
    <n v="0.99905749293119694"/>
    <m/>
    <m/>
    <s v="D9920(18KG)*85桶(2026.01.09)"/>
    <m/>
    <x v="0"/>
    <x v="0"/>
    <m/>
    <m/>
    <m/>
    <x v="0"/>
    <x v="0"/>
  </r>
  <r>
    <x v="223"/>
    <x v="79"/>
    <x v="71"/>
    <n v="8"/>
    <n v="8"/>
    <n v="19.600000000000001"/>
    <n v="156.80000000000001"/>
    <n v="157"/>
    <n v="1256"/>
    <n v="1.0012755102040816"/>
    <n v="1"/>
    <n v="1E-3"/>
    <s v="270"/>
    <m/>
    <n v="0"/>
    <n v="157"/>
    <n v="1"/>
    <m/>
    <m/>
    <m/>
    <m/>
    <x v="0"/>
    <x v="0"/>
    <m/>
    <m/>
    <m/>
    <x v="0"/>
    <x v="0"/>
  </r>
  <r>
    <x v="224"/>
    <x v="43"/>
    <x v="41"/>
    <n v="12"/>
    <n v="0.26"/>
    <n v="584.29999999999995"/>
    <n v="7011.5999999999995"/>
    <n v="6841"/>
    <n v="1778.66"/>
    <n v="0.97566889155114389"/>
    <n v="1"/>
    <n v="-2.4E-2"/>
    <s v="300"/>
    <m/>
    <n v="121"/>
    <n v="6720"/>
    <n v="0.98231252740827368"/>
    <m/>
    <m/>
    <s v="A3011足量9打(108瓶)"/>
    <m/>
    <x v="0"/>
    <x v="0"/>
    <m/>
    <m/>
    <m/>
    <x v="0"/>
    <x v="0"/>
  </r>
  <r>
    <x v="224"/>
    <x v="117"/>
    <x v="106"/>
    <n v="4"/>
    <n v="0.26"/>
    <n v="612"/>
    <n v="2448"/>
    <n v="2460"/>
    <n v="639.6"/>
    <n v="1.0049019607843137"/>
    <n v="1"/>
    <n v="5.0000000000000001E-3"/>
    <s v="180"/>
    <m/>
    <n v="12"/>
    <n v="2448"/>
    <n v="0.99512195121951219"/>
    <m/>
    <m/>
    <m/>
    <m/>
    <x v="0"/>
    <x v="0"/>
    <m/>
    <m/>
    <m/>
    <x v="0"/>
    <x v="0"/>
  </r>
  <r>
    <x v="224"/>
    <x v="81"/>
    <x v="73"/>
    <n v="8"/>
    <n v="0.4"/>
    <n v="366.4"/>
    <n v="2931.2"/>
    <n v="2957"/>
    <n v="1182.8"/>
    <n v="1.0088018558951966"/>
    <n v="1"/>
    <n v="8.9999999999999993E-3"/>
    <s v="243"/>
    <m/>
    <n v="30"/>
    <n v="2927"/>
    <n v="0.98985458234697332"/>
    <m/>
    <m/>
    <m/>
    <m/>
    <x v="0"/>
    <x v="0"/>
    <m/>
    <m/>
    <m/>
    <x v="0"/>
    <x v="0"/>
  </r>
  <r>
    <x v="224"/>
    <x v="28"/>
    <x v="19"/>
    <n v="40"/>
    <n v="6"/>
    <n v="25.5"/>
    <n v="1020"/>
    <n v="1027"/>
    <n v="6162"/>
    <n v="1.0068627450980392"/>
    <n v="1"/>
    <n v="7.0000000000000001E-3"/>
    <s v="510"/>
    <m/>
    <n v="5"/>
    <n v="1022"/>
    <n v="0.99513145082765331"/>
    <m/>
    <m/>
    <m/>
    <m/>
    <x v="0"/>
    <x v="0"/>
    <m/>
    <m/>
    <m/>
    <x v="0"/>
    <x v="0"/>
  </r>
  <r>
    <x v="224"/>
    <x v="11"/>
    <x v="11"/>
    <n v="72"/>
    <n v="2.8"/>
    <n v="44.5"/>
    <n v="2561.1428571428569"/>
    <n v="2580"/>
    <n v="7223.9999999999991"/>
    <n v="1.0073627844712183"/>
    <n v="1"/>
    <n v="7.0000000000000001E-3"/>
    <s v="690"/>
    <m/>
    <n v="3"/>
    <n v="2577"/>
    <n v="0.99883720930232556"/>
    <m/>
    <m/>
    <s v="D9920(18KG)*100桶(2026.01.10)"/>
    <m/>
    <x v="0"/>
    <x v="0"/>
    <m/>
    <m/>
    <m/>
    <x v="0"/>
    <x v="0"/>
  </r>
  <r>
    <x v="224"/>
    <x v="102"/>
    <x v="92"/>
    <n v="1"/>
    <n v="1"/>
    <n v="142"/>
    <n v="142"/>
    <n v="139"/>
    <n v="139"/>
    <n v="0.97887323943661975"/>
    <n v="1"/>
    <n v="-2.1000000000000001E-2"/>
    <s v="0"/>
    <m/>
    <n v="0"/>
    <n v="139"/>
    <n v="1"/>
    <m/>
    <m/>
    <m/>
    <m/>
    <x v="0"/>
    <x v="0"/>
    <m/>
    <m/>
    <m/>
    <x v="0"/>
    <x v="0"/>
  </r>
  <r>
    <x v="225"/>
    <x v="30"/>
    <x v="28"/>
    <n v="16"/>
    <n v="0.43"/>
    <n v="340.4"/>
    <n v="5446.4"/>
    <n v="5462"/>
    <n v="2348.66"/>
    <n v="1.0028642773207992"/>
    <n v="1"/>
    <n v="3.0000000000000001E-3"/>
    <s v="300"/>
    <m/>
    <n v="15"/>
    <n v="5447"/>
    <n v="0.9972537532039546"/>
    <m/>
    <m/>
    <s v="麥味登180箱。"/>
    <m/>
    <x v="0"/>
    <x v="0"/>
    <m/>
    <m/>
    <m/>
    <x v="0"/>
    <x v="0"/>
  </r>
  <r>
    <x v="225"/>
    <x v="71"/>
    <x v="61"/>
    <n v="4"/>
    <n v="0.17"/>
    <n v="912.6"/>
    <n v="3650.4"/>
    <n v="3775"/>
    <n v="641.75"/>
    <n v="1.0341332456717072"/>
    <n v="1"/>
    <n v="3.4000000000000002E-2"/>
    <s v="92"/>
    <m/>
    <n v="4"/>
    <n v="3771"/>
    <n v="0.99894039735099338"/>
    <m/>
    <m/>
    <m/>
    <m/>
    <x v="0"/>
    <x v="0"/>
    <m/>
    <m/>
    <m/>
    <x v="0"/>
    <x v="0"/>
  </r>
  <r>
    <x v="225"/>
    <x v="111"/>
    <x v="98"/>
    <n v="0.42666666666666669"/>
    <n v="0.16"/>
    <e v="#N/A"/>
    <n v="400"/>
    <n v="409"/>
    <n v="65.44"/>
    <n v="1.0225"/>
    <e v="#N/A"/>
    <e v="#N/A"/>
    <s v="98"/>
    <m/>
    <n v="2"/>
    <n v="407"/>
    <n v="0.99511002444987773"/>
    <m/>
    <m/>
    <m/>
    <m/>
    <x v="0"/>
    <x v="0"/>
    <m/>
    <m/>
    <m/>
    <x v="0"/>
    <x v="0"/>
  </r>
  <r>
    <x v="225"/>
    <x v="111"/>
    <x v="99"/>
    <n v="0.42666666666666669"/>
    <n v="0.16"/>
    <e v="#N/A"/>
    <n v="400"/>
    <n v="417"/>
    <n v="66.72"/>
    <n v="1.0425"/>
    <e v="#N/A"/>
    <e v="#N/A"/>
    <s v="130"/>
    <m/>
    <n v="2"/>
    <n v="415"/>
    <n v="0.99520383693045567"/>
    <m/>
    <m/>
    <m/>
    <m/>
    <x v="0"/>
    <x v="0"/>
    <m/>
    <m/>
    <m/>
    <x v="0"/>
    <x v="0"/>
  </r>
  <r>
    <x v="225"/>
    <x v="28"/>
    <x v="19"/>
    <n v="44"/>
    <n v="6"/>
    <n v="25.5"/>
    <n v="1122"/>
    <n v="1141"/>
    <n v="6846"/>
    <n v="1.016934046345811"/>
    <n v="1"/>
    <n v="1.7000000000000001E-2"/>
    <s v="510"/>
    <m/>
    <n v="5"/>
    <n v="1136"/>
    <n v="0.99561787905346188"/>
    <m/>
    <m/>
    <m/>
    <m/>
    <x v="0"/>
    <x v="0"/>
    <m/>
    <m/>
    <m/>
    <x v="0"/>
    <x v="0"/>
  </r>
  <r>
    <x v="225"/>
    <x v="11"/>
    <x v="11"/>
    <n v="72"/>
    <n v="2.8"/>
    <n v="44.5"/>
    <n v="3204"/>
    <n v="3212"/>
    <n v="8993.5999999999985"/>
    <n v="1.0024968789013733"/>
    <n v="1"/>
    <n v="2E-3"/>
    <s v="660"/>
    <m/>
    <n v="1"/>
    <n v="3211"/>
    <n v="0.99968866749688667"/>
    <m/>
    <m/>
    <m/>
    <m/>
    <x v="0"/>
    <x v="0"/>
    <m/>
    <m/>
    <m/>
    <x v="0"/>
    <x v="0"/>
  </r>
  <r>
    <x v="226"/>
    <x v="1"/>
    <x v="1"/>
    <n v="14"/>
    <n v="6"/>
    <n v="25.7"/>
    <n v="359.8"/>
    <n v="349"/>
    <n v="2094"/>
    <n v="0.96998332406892718"/>
    <n v="1"/>
    <n v="-0.03"/>
    <s v="240"/>
    <m/>
    <n v="2"/>
    <n v="347"/>
    <n v="0.99426934097421205"/>
    <m/>
    <m/>
    <m/>
    <m/>
    <x v="0"/>
    <x v="0"/>
    <m/>
    <m/>
    <m/>
    <x v="0"/>
    <x v="0"/>
  </r>
  <r>
    <x v="226"/>
    <x v="47"/>
    <x v="42"/>
    <n v="12"/>
    <n v="6"/>
    <n v="25.6"/>
    <n v="307.20000000000005"/>
    <n v="311"/>
    <n v="1866"/>
    <n v="1.0123697916666665"/>
    <n v="1"/>
    <n v="1.2E-2"/>
    <s v="267"/>
    <m/>
    <n v="2"/>
    <n v="309"/>
    <n v="0.99356913183279738"/>
    <m/>
    <m/>
    <m/>
    <m/>
    <x v="0"/>
    <x v="0"/>
    <m/>
    <m/>
    <m/>
    <x v="0"/>
    <x v="0"/>
  </r>
  <r>
    <x v="226"/>
    <x v="0"/>
    <x v="0"/>
    <n v="12"/>
    <n v="6"/>
    <n v="25.5"/>
    <n v="306"/>
    <n v="299"/>
    <n v="1794"/>
    <n v="0.97712418300653592"/>
    <n v="1"/>
    <n v="-2.3E-2"/>
    <s v="269"/>
    <m/>
    <n v="2"/>
    <n v="297"/>
    <n v="0.99331103678929766"/>
    <m/>
    <m/>
    <m/>
    <m/>
    <x v="0"/>
    <x v="0"/>
    <m/>
    <m/>
    <m/>
    <x v="0"/>
    <x v="0"/>
  </r>
  <r>
    <x v="226"/>
    <x v="115"/>
    <x v="104"/>
    <n v="32"/>
    <n v="4.5"/>
    <n v="37"/>
    <n v="1184"/>
    <n v="1199"/>
    <n v="5395.5"/>
    <n v="1.0126689189189189"/>
    <n v="1"/>
    <n v="1.2999999999999999E-2"/>
    <s v="470"/>
    <m/>
    <n v="0"/>
    <n v="1199"/>
    <n v="1"/>
    <m/>
    <m/>
    <m/>
    <m/>
    <x v="0"/>
    <x v="0"/>
    <m/>
    <m/>
    <m/>
    <x v="0"/>
    <x v="0"/>
  </r>
  <r>
    <x v="226"/>
    <x v="20"/>
    <x v="20"/>
    <n v="8"/>
    <n v="6"/>
    <n v="25"/>
    <n v="200"/>
    <n v="198"/>
    <n v="1188"/>
    <n v="0.99"/>
    <n v="1"/>
    <n v="-0.01"/>
    <s v="163"/>
    <m/>
    <n v="1"/>
    <n v="197"/>
    <n v="0.99494949494949492"/>
    <m/>
    <m/>
    <m/>
    <m/>
    <x v="0"/>
    <x v="0"/>
    <m/>
    <m/>
    <m/>
    <x v="0"/>
    <x v="0"/>
  </r>
  <r>
    <x v="226"/>
    <x v="23"/>
    <x v="22"/>
    <n v="28"/>
    <n v="0.34"/>
    <n v="364.6"/>
    <n v="10208.800000000001"/>
    <n v="10260"/>
    <n v="3488.4"/>
    <n v="1.005015280934096"/>
    <n v="1"/>
    <n v="5.0000000000000001E-3"/>
    <s v="545"/>
    <m/>
    <n v="3"/>
    <n v="10257"/>
    <n v="0.99970760233918132"/>
    <m/>
    <n v="95.5"/>
    <s v="加重工A2050(1131115-01D)"/>
    <m/>
    <x v="0"/>
    <x v="0"/>
    <m/>
    <m/>
    <m/>
    <x v="0"/>
    <x v="0"/>
  </r>
  <r>
    <x v="226"/>
    <x v="24"/>
    <x v="23"/>
    <n v="8"/>
    <n v="0.34"/>
    <n v="366"/>
    <n v="2928"/>
    <n v="3151"/>
    <n v="1071.3400000000001"/>
    <n v="1.0761612021857923"/>
    <n v="1"/>
    <n v="7.5999999999999998E-2"/>
    <s v="545"/>
    <m/>
    <n v="3"/>
    <n v="3148"/>
    <n v="0.999047921294827"/>
    <m/>
    <n v="95.5"/>
    <s v="加重工A2050(1131115-01D)"/>
    <m/>
    <x v="0"/>
    <x v="0"/>
    <m/>
    <m/>
    <m/>
    <x v="0"/>
    <x v="0"/>
  </r>
  <r>
    <x v="227"/>
    <x v="13"/>
    <x v="13"/>
    <n v="20"/>
    <n v="0.9"/>
    <n v="160.5"/>
    <n v="3210"/>
    <n v="3199"/>
    <n v="2879.1"/>
    <n v="0.99657320872274147"/>
    <n v="1"/>
    <n v="-3.0000000000000001E-3"/>
    <s v="330"/>
    <m/>
    <n v="2"/>
    <n v="3197"/>
    <n v="0.99937480462644579"/>
    <m/>
    <m/>
    <m/>
    <m/>
    <x v="0"/>
    <x v="0"/>
    <m/>
    <m/>
    <m/>
    <x v="0"/>
    <x v="0"/>
  </r>
  <r>
    <x v="227"/>
    <x v="8"/>
    <x v="8"/>
    <n v="24"/>
    <n v="0.44"/>
    <n v="344"/>
    <n v="8256"/>
    <n v="8171"/>
    <n v="3595.2400000000002"/>
    <n v="0.98970445736434109"/>
    <n v="1"/>
    <n v="-0.01"/>
    <s v="300"/>
    <m/>
    <n v="10"/>
    <n v="8161"/>
    <n v="0.99877615958878962"/>
    <m/>
    <m/>
    <m/>
    <m/>
    <x v="0"/>
    <x v="0"/>
    <m/>
    <m/>
    <m/>
    <x v="0"/>
    <x v="0"/>
  </r>
  <r>
    <x v="227"/>
    <x v="28"/>
    <x v="19"/>
    <n v="16"/>
    <n v="6"/>
    <n v="25.5"/>
    <n v="408"/>
    <n v="414"/>
    <n v="2484"/>
    <n v="1.0147058823529411"/>
    <n v="1"/>
    <n v="1.4999999999999999E-2"/>
    <s v="191"/>
    <m/>
    <n v="1"/>
    <n v="413"/>
    <n v="0.99758454106280192"/>
    <m/>
    <m/>
    <m/>
    <m/>
    <x v="0"/>
    <x v="0"/>
    <m/>
    <m/>
    <m/>
    <x v="0"/>
    <x v="0"/>
  </r>
  <r>
    <x v="227"/>
    <x v="69"/>
    <x v="2"/>
    <n v="12"/>
    <n v="6"/>
    <n v="25.5"/>
    <n v="306"/>
    <n v="297"/>
    <n v="1782"/>
    <n v="0.97058823529411764"/>
    <n v="1"/>
    <n v="-2.9000000000000001E-2"/>
    <s v="180"/>
    <m/>
    <n v="1"/>
    <n v="296"/>
    <n v="0.99663299663299665"/>
    <m/>
    <m/>
    <m/>
    <m/>
    <x v="0"/>
    <x v="0"/>
    <m/>
    <m/>
    <m/>
    <x v="0"/>
    <x v="0"/>
  </r>
  <r>
    <x v="227"/>
    <x v="74"/>
    <x v="64"/>
    <n v="6"/>
    <n v="6"/>
    <n v="25.2"/>
    <n v="151.19999999999999"/>
    <n v="153"/>
    <n v="918"/>
    <n v="1.0119047619047621"/>
    <n v="1"/>
    <n v="1.2E-2"/>
    <s v="118"/>
    <m/>
    <n v="1"/>
    <n v="152"/>
    <n v="0.99346405228758172"/>
    <m/>
    <m/>
    <m/>
    <m/>
    <x v="0"/>
    <x v="0"/>
    <m/>
    <m/>
    <m/>
    <x v="0"/>
    <x v="0"/>
  </r>
  <r>
    <x v="227"/>
    <x v="36"/>
    <x v="34"/>
    <n v="6"/>
    <n v="6"/>
    <n v="24.3"/>
    <n v="145.80000000000001"/>
    <n v="154"/>
    <n v="924"/>
    <n v="1.056241426611797"/>
    <n v="1"/>
    <n v="5.6000000000000001E-2"/>
    <s v="140"/>
    <m/>
    <n v="2"/>
    <n v="152"/>
    <n v="0.98701298701298701"/>
    <m/>
    <m/>
    <m/>
    <m/>
    <x v="0"/>
    <x v="0"/>
    <m/>
    <m/>
    <m/>
    <x v="0"/>
    <x v="0"/>
  </r>
  <r>
    <x v="227"/>
    <x v="11"/>
    <x v="11"/>
    <n v="72"/>
    <n v="2.8"/>
    <n v="44.5"/>
    <n v="3204"/>
    <n v="3213"/>
    <n v="8996.4"/>
    <n v="1.002808988764045"/>
    <n v="1"/>
    <n v="3.0000000000000001E-3"/>
    <s v="660"/>
    <m/>
    <n v="2"/>
    <n v="3211"/>
    <n v="0.99937752878929353"/>
    <m/>
    <m/>
    <m/>
    <m/>
    <x v="0"/>
    <x v="0"/>
    <m/>
    <m/>
    <m/>
    <x v="0"/>
    <x v="0"/>
  </r>
  <r>
    <x v="228"/>
    <x v="28"/>
    <x v="19"/>
    <n v="44"/>
    <n v="6"/>
    <n v="25.5"/>
    <n v="1122"/>
    <n v="1113"/>
    <n v="6678"/>
    <n v="0.99197860962566842"/>
    <n v="1"/>
    <n v="-8.0000000000000002E-3"/>
    <s v="510"/>
    <m/>
    <n v="1"/>
    <n v="1112"/>
    <n v="0.99910152740341418"/>
    <m/>
    <m/>
    <m/>
    <m/>
    <x v="0"/>
    <x v="0"/>
    <m/>
    <m/>
    <m/>
    <x v="0"/>
    <x v="0"/>
  </r>
  <r>
    <x v="228"/>
    <x v="46"/>
    <x v="17"/>
    <n v="21"/>
    <n v="3"/>
    <n v="31.6"/>
    <n v="663.6"/>
    <n v="672"/>
    <n v="2016"/>
    <n v="1.0126582278481013"/>
    <n v="1"/>
    <n v="1.2999999999999999E-2"/>
    <s v="540"/>
    <m/>
    <n v="0"/>
    <n v="672"/>
    <n v="1"/>
    <m/>
    <m/>
    <m/>
    <m/>
    <x v="0"/>
    <x v="0"/>
    <m/>
    <m/>
    <m/>
    <x v="0"/>
    <x v="0"/>
  </r>
  <r>
    <x v="228"/>
    <x v="6"/>
    <x v="6"/>
    <n v="24"/>
    <n v="0.4"/>
    <n v="309.2"/>
    <n v="7420.7999999999993"/>
    <n v="7621"/>
    <n v="3048.4"/>
    <n v="1.0269782233721432"/>
    <n v="1"/>
    <n v="2.7E-2"/>
    <s v="540"/>
    <m/>
    <n v="3"/>
    <n v="7618"/>
    <n v="0.99960635087258887"/>
    <m/>
    <m/>
    <m/>
    <m/>
    <x v="0"/>
    <x v="0"/>
    <m/>
    <m/>
    <m/>
    <x v="0"/>
    <x v="0"/>
  </r>
  <r>
    <x v="228"/>
    <x v="34"/>
    <x v="32"/>
    <n v="16"/>
    <n v="0.34"/>
    <n v="358.3"/>
    <n v="5732.8"/>
    <n v="5696"/>
    <n v="1936.64"/>
    <n v="0.99358079821378731"/>
    <n v="1"/>
    <n v="-6.0000000000000001E-3"/>
    <s v="540"/>
    <m/>
    <n v="3"/>
    <n v="5693"/>
    <n v="0.9994733146067416"/>
    <m/>
    <m/>
    <m/>
    <m/>
    <x v="0"/>
    <x v="0"/>
    <m/>
    <m/>
    <m/>
    <x v="0"/>
    <x v="0"/>
  </r>
  <r>
    <x v="228"/>
    <x v="100"/>
    <x v="90"/>
    <n v="1"/>
    <n v="1"/>
    <n v="139"/>
    <n v="139"/>
    <n v="141"/>
    <n v="141"/>
    <n v="1.014388489208633"/>
    <n v="1"/>
    <n v="1.4E-2"/>
    <s v="0"/>
    <m/>
    <n v="0"/>
    <n v="141"/>
    <n v="1"/>
    <m/>
    <m/>
    <m/>
    <m/>
    <x v="0"/>
    <x v="0"/>
    <m/>
    <m/>
    <m/>
    <x v="0"/>
    <x v="0"/>
  </r>
  <r>
    <x v="229"/>
    <x v="15"/>
    <x v="15"/>
    <n v="72"/>
    <n v="3.2"/>
    <n v="46.8"/>
    <n v="3369.6"/>
    <n v="3355"/>
    <n v="10736"/>
    <n v="0.99566714150047486"/>
    <n v="1"/>
    <n v="-4.0000000000000001E-3"/>
    <s v="600"/>
    <m/>
    <n v="1"/>
    <n v="3354"/>
    <n v="0.99970193740685542"/>
    <m/>
    <m/>
    <m/>
    <m/>
    <x v="0"/>
    <x v="0"/>
    <m/>
    <m/>
    <m/>
    <x v="0"/>
    <x v="0"/>
  </r>
  <r>
    <x v="229"/>
    <x v="22"/>
    <x v="10"/>
    <n v="20"/>
    <n v="6"/>
    <n v="25.1"/>
    <n v="502"/>
    <n v="496"/>
    <n v="2976"/>
    <n v="0.98804780876494025"/>
    <n v="1"/>
    <n v="-1.2E-2"/>
    <s v="275"/>
    <m/>
    <n v="2"/>
    <n v="494"/>
    <n v="0.99596774193548387"/>
    <m/>
    <m/>
    <m/>
    <m/>
    <x v="0"/>
    <x v="0"/>
    <m/>
    <m/>
    <m/>
    <x v="0"/>
    <x v="0"/>
  </r>
  <r>
    <x v="229"/>
    <x v="10"/>
    <x v="10"/>
    <n v="16"/>
    <n v="6"/>
    <n v="25.4"/>
    <n v="406.4"/>
    <n v="376"/>
    <n v="2256"/>
    <n v="0.92519685039370081"/>
    <n v="1"/>
    <n v="-7.4999999999999997E-2"/>
    <s v="368"/>
    <m/>
    <n v="1"/>
    <n v="375"/>
    <n v="0.99734042553191493"/>
    <s v="1140117-01D"/>
    <m/>
    <s v="PE袋充填機WHM224無法正常運作下午3:40左右PE袋充填機故障，原因:伺服器機異常，因無法及時排除異常故決議剩餘12p改週六生產。"/>
    <m/>
    <x v="0"/>
    <x v="0"/>
    <m/>
    <m/>
    <m/>
    <x v="0"/>
    <x v="0"/>
  </r>
  <r>
    <x v="229"/>
    <x v="11"/>
    <x v="11"/>
    <n v="72"/>
    <n v="2.8"/>
    <n v="44.5"/>
    <n v="3204"/>
    <n v="3210"/>
    <n v="8988"/>
    <n v="1.0018726591760299"/>
    <n v="1"/>
    <n v="2E-3"/>
    <s v="660"/>
    <m/>
    <n v="1"/>
    <n v="3209"/>
    <n v="0.99968847352024925"/>
    <m/>
    <m/>
    <s v="D2021美之城50箱。"/>
    <m/>
    <x v="0"/>
    <x v="0"/>
    <m/>
    <m/>
    <m/>
    <x v="0"/>
    <x v="0"/>
  </r>
  <r>
    <x v="230"/>
    <x v="10"/>
    <x v="10"/>
    <n v="12"/>
    <n v="6"/>
    <n v="25.4"/>
    <n v="304.79999999999995"/>
    <n v="312"/>
    <n v="1872"/>
    <n v="1.0236220472440947"/>
    <n v="1"/>
    <n v="2.4E-2"/>
    <s v="240"/>
    <m/>
    <n v="1"/>
    <n v="311"/>
    <n v="0.99679487179487181"/>
    <m/>
    <m/>
    <m/>
    <m/>
    <x v="0"/>
    <x v="0"/>
    <m/>
    <m/>
    <m/>
    <x v="0"/>
    <x v="0"/>
  </r>
  <r>
    <x v="231"/>
    <x v="15"/>
    <x v="15"/>
    <n v="72"/>
    <n v="3.2"/>
    <n v="46.8"/>
    <n v="3369.6"/>
    <n v="3351"/>
    <n v="10723.2"/>
    <n v="0.99448005698005704"/>
    <n v="1"/>
    <n v="-6.0000000000000001E-3"/>
    <s v="600"/>
    <m/>
    <n v="2"/>
    <n v="3349"/>
    <n v="0.99940316323485523"/>
    <m/>
    <m/>
    <m/>
    <m/>
    <x v="0"/>
    <x v="0"/>
    <m/>
    <m/>
    <m/>
    <x v="0"/>
    <x v="0"/>
  </r>
  <r>
    <x v="231"/>
    <x v="3"/>
    <x v="3"/>
    <n v="32"/>
    <n v="4.5"/>
    <n v="36.299999999999997"/>
    <n v="1161.5999999999999"/>
    <n v="1163"/>
    <n v="5233.5"/>
    <n v="1.0012052341597797"/>
    <n v="1"/>
    <n v="1E-3"/>
    <s v="460"/>
    <m/>
    <n v="0"/>
    <n v="1163"/>
    <n v="1"/>
    <m/>
    <m/>
    <m/>
    <m/>
    <x v="0"/>
    <x v="0"/>
    <m/>
    <m/>
    <m/>
    <x v="0"/>
    <x v="0"/>
  </r>
  <r>
    <x v="231"/>
    <x v="38"/>
    <x v="36"/>
    <n v="3"/>
    <n v="4.5"/>
    <n v="32.799999999999997"/>
    <n v="98.399999999999991"/>
    <n v="103"/>
    <n v="463.5"/>
    <n v="1.0467479674796749"/>
    <n v="1"/>
    <n v="4.7E-2"/>
    <s v="153"/>
    <m/>
    <n v="0"/>
    <n v="103"/>
    <n v="1"/>
    <m/>
    <m/>
    <m/>
    <m/>
    <x v="0"/>
    <x v="0"/>
    <m/>
    <m/>
    <m/>
    <x v="0"/>
    <x v="0"/>
  </r>
  <r>
    <x v="231"/>
    <x v="6"/>
    <x v="6"/>
    <n v="36"/>
    <n v="0.4"/>
    <n v="309.2"/>
    <n v="11131.199999999999"/>
    <n v="11182"/>
    <n v="4472.8"/>
    <n v="1.0045637487422741"/>
    <n v="1"/>
    <n v="5.0000000000000001E-3"/>
    <s v="540"/>
    <m/>
    <n v="3"/>
    <n v="11179"/>
    <n v="0.99973171167948494"/>
    <m/>
    <m/>
    <m/>
    <m/>
    <x v="0"/>
    <x v="0"/>
    <m/>
    <m/>
    <m/>
    <x v="0"/>
    <x v="0"/>
  </r>
  <r>
    <x v="232"/>
    <x v="8"/>
    <x v="8"/>
    <n v="40"/>
    <n v="0.44"/>
    <n v="344"/>
    <n v="13760"/>
    <n v="13673"/>
    <n v="6016.12"/>
    <n v="0.99367732558139532"/>
    <n v="1"/>
    <n v="-6.0000000000000001E-3"/>
    <s v="540"/>
    <m/>
    <n v="8"/>
    <n v="13665"/>
    <n v="0.99941490528779342"/>
    <m/>
    <m/>
    <m/>
    <m/>
    <x v="0"/>
    <x v="0"/>
    <m/>
    <m/>
    <m/>
    <x v="0"/>
    <x v="0"/>
  </r>
  <r>
    <x v="232"/>
    <x v="58"/>
    <x v="51"/>
    <n v="8"/>
    <n v="6"/>
    <n v="25.7"/>
    <n v="205.6"/>
    <n v="203"/>
    <n v="1218"/>
    <n v="0.98735408560311289"/>
    <n v="1"/>
    <n v="-1.2999999999999999E-2"/>
    <s v="190"/>
    <m/>
    <n v="2"/>
    <n v="201"/>
    <n v="0.99014778325123154"/>
    <m/>
    <m/>
    <m/>
    <m/>
    <x v="0"/>
    <x v="0"/>
    <m/>
    <m/>
    <m/>
    <x v="0"/>
    <x v="0"/>
  </r>
  <r>
    <x v="232"/>
    <x v="45"/>
    <x v="10"/>
    <n v="8"/>
    <n v="6"/>
    <n v="26.4"/>
    <n v="211.2"/>
    <n v="210"/>
    <n v="1260"/>
    <n v="0.99431818181818188"/>
    <n v="1"/>
    <n v="-6.0000000000000001E-3"/>
    <s v="190"/>
    <m/>
    <n v="2"/>
    <n v="208"/>
    <n v="0.99047619047619051"/>
    <m/>
    <m/>
    <m/>
    <m/>
    <x v="0"/>
    <x v="0"/>
    <m/>
    <m/>
    <m/>
    <x v="0"/>
    <x v="0"/>
  </r>
  <r>
    <x v="232"/>
    <x v="9"/>
    <x v="9"/>
    <n v="20"/>
    <n v="6"/>
    <n v="25.7"/>
    <n v="514"/>
    <n v="508"/>
    <n v="3048"/>
    <n v="0.98832684824902728"/>
    <n v="1"/>
    <n v="-1.2E-2"/>
    <s v="240"/>
    <m/>
    <n v="1"/>
    <n v="507"/>
    <n v="0.99803149606299213"/>
    <m/>
    <m/>
    <m/>
    <m/>
    <x v="0"/>
    <x v="0"/>
    <m/>
    <m/>
    <m/>
    <x v="0"/>
    <x v="0"/>
  </r>
  <r>
    <x v="232"/>
    <x v="41"/>
    <x v="39"/>
    <n v="60"/>
    <n v="2.8"/>
    <n v="44.2"/>
    <n v="2652"/>
    <n v="2674"/>
    <n v="7487.2"/>
    <n v="1.0082956259426847"/>
    <n v="1"/>
    <n v="8.0000000000000002E-3"/>
    <s v="540"/>
    <m/>
    <n v="1"/>
    <n v="2673"/>
    <n v="0.9996260284218399"/>
    <m/>
    <m/>
    <m/>
    <m/>
    <x v="0"/>
    <x v="0"/>
    <m/>
    <m/>
    <m/>
    <x v="0"/>
    <x v="0"/>
  </r>
  <r>
    <x v="233"/>
    <x v="26"/>
    <x v="25"/>
    <n v="20"/>
    <n v="0.9"/>
    <n v="163"/>
    <n v="3260"/>
    <n v="3390"/>
    <n v="3051"/>
    <n v="1.0398773006134969"/>
    <n v="1"/>
    <n v="0.04"/>
    <s v="290"/>
    <m/>
    <n v="2"/>
    <n v="3388"/>
    <n v="0.99941002949852509"/>
    <m/>
    <m/>
    <m/>
    <m/>
    <x v="0"/>
    <x v="0"/>
    <m/>
    <m/>
    <m/>
    <x v="0"/>
    <x v="0"/>
  </r>
  <r>
    <x v="233"/>
    <x v="27"/>
    <x v="26"/>
    <n v="36"/>
    <n v="3.2"/>
    <n v="47.5"/>
    <n v="1710"/>
    <n v="1699"/>
    <n v="5436.8"/>
    <n v="0.99356725146198832"/>
    <n v="1"/>
    <n v="-6.0000000000000001E-3"/>
    <s v="300"/>
    <m/>
    <n v="1"/>
    <n v="1698"/>
    <n v="0.99941141848145965"/>
    <m/>
    <m/>
    <m/>
    <m/>
    <x v="0"/>
    <x v="0"/>
    <m/>
    <m/>
    <m/>
    <x v="0"/>
    <x v="0"/>
  </r>
  <r>
    <x v="233"/>
    <x v="16"/>
    <x v="16"/>
    <n v="16"/>
    <n v="6"/>
    <n v="26.1"/>
    <n v="417.6"/>
    <n v="414"/>
    <n v="2484"/>
    <n v="0.99137931034482751"/>
    <n v="1"/>
    <n v="-8.9999999999999993E-3"/>
    <s v="230"/>
    <m/>
    <n v="1"/>
    <n v="413"/>
    <n v="0.99758454106280192"/>
    <m/>
    <m/>
    <m/>
    <m/>
    <x v="0"/>
    <x v="0"/>
    <m/>
    <m/>
    <m/>
    <x v="0"/>
    <x v="0"/>
  </r>
  <r>
    <x v="233"/>
    <x v="9"/>
    <x v="9"/>
    <n v="24"/>
    <n v="6"/>
    <n v="25.7"/>
    <n v="616.79999999999995"/>
    <n v="617"/>
    <n v="3702"/>
    <n v="1.0003242542153048"/>
    <n v="1"/>
    <n v="0"/>
    <s v="840"/>
    <m/>
    <n v="3"/>
    <n v="614"/>
    <n v="0.99513776337115067"/>
    <m/>
    <m/>
    <m/>
    <m/>
    <x v="0"/>
    <x v="0"/>
    <m/>
    <m/>
    <m/>
    <x v="0"/>
    <x v="0"/>
  </r>
  <r>
    <x v="233"/>
    <x v="11"/>
    <x v="11"/>
    <n v="60"/>
    <n v="2.8"/>
    <n v="44.5"/>
    <n v="2670"/>
    <n v="2669"/>
    <n v="7473.2"/>
    <n v="0.99962546816479403"/>
    <n v="1"/>
    <n v="0"/>
    <s v="550"/>
    <m/>
    <n v="1"/>
    <n v="2668"/>
    <n v="0.99962532783814162"/>
    <m/>
    <m/>
    <m/>
    <m/>
    <x v="0"/>
    <x v="0"/>
    <m/>
    <m/>
    <m/>
    <x v="0"/>
    <x v="0"/>
  </r>
  <r>
    <x v="234"/>
    <x v="2"/>
    <x v="2"/>
    <n v="40"/>
    <n v="6"/>
    <n v="26.6"/>
    <n v="1064"/>
    <n v="1058"/>
    <n v="6348"/>
    <n v="0.99436090225563911"/>
    <n v="1"/>
    <n v="-6.0000000000000001E-3"/>
    <s v="510"/>
    <m/>
    <n v="7"/>
    <n v="1051"/>
    <n v="0.99338374291115317"/>
    <m/>
    <m/>
    <m/>
    <m/>
    <x v="0"/>
    <x v="0"/>
    <m/>
    <m/>
    <m/>
    <x v="0"/>
    <x v="0"/>
  </r>
  <r>
    <x v="234"/>
    <x v="48"/>
    <x v="17"/>
    <n v="21"/>
    <n v="3"/>
    <n v="30.8"/>
    <n v="646.80000000000007"/>
    <n v="648"/>
    <n v="1944"/>
    <n v="1.0018552875695732"/>
    <n v="1"/>
    <n v="2E-3"/>
    <s v="540"/>
    <m/>
    <n v="0"/>
    <n v="648"/>
    <n v="1"/>
    <m/>
    <m/>
    <m/>
    <m/>
    <x v="0"/>
    <x v="0"/>
    <m/>
    <m/>
    <m/>
    <x v="0"/>
    <x v="0"/>
  </r>
  <r>
    <x v="234"/>
    <x v="11"/>
    <x v="11"/>
    <n v="60"/>
    <n v="2.8"/>
    <n v="44.5"/>
    <n v="2670"/>
    <n v="2681"/>
    <n v="7506.7999999999993"/>
    <n v="1.0041198501872659"/>
    <n v="1"/>
    <n v="4.0000000000000001E-3"/>
    <s v="540"/>
    <m/>
    <n v="1"/>
    <n v="2680"/>
    <n v="0.99962700484893696"/>
    <m/>
    <m/>
    <m/>
    <m/>
    <x v="0"/>
    <x v="0"/>
    <m/>
    <m/>
    <m/>
    <x v="0"/>
    <x v="0"/>
  </r>
  <r>
    <x v="235"/>
    <x v="49"/>
    <x v="43"/>
    <n v="12"/>
    <n v="0.43"/>
    <n v="364"/>
    <n v="4368"/>
    <n v="4541"/>
    <n v="1952.6299999999999"/>
    <n v="1.0396062271062272"/>
    <n v="1"/>
    <n v="0.04"/>
    <s v="300"/>
    <m/>
    <n v="12"/>
    <n v="4529"/>
    <n v="0.99735741026205682"/>
    <m/>
    <m/>
    <m/>
    <m/>
    <x v="0"/>
    <x v="0"/>
    <m/>
    <m/>
    <m/>
    <x v="0"/>
    <x v="0"/>
  </r>
  <r>
    <x v="235"/>
    <x v="10"/>
    <x v="10"/>
    <n v="20"/>
    <n v="6"/>
    <n v="25.4"/>
    <n v="508"/>
    <n v="501"/>
    <n v="3006"/>
    <n v="0.98622047244094491"/>
    <n v="1"/>
    <n v="-1.4E-2"/>
    <s v="330"/>
    <m/>
    <n v="1"/>
    <n v="500"/>
    <n v="0.99800399201596801"/>
    <m/>
    <m/>
    <m/>
    <m/>
    <x v="0"/>
    <x v="0"/>
    <m/>
    <m/>
    <m/>
    <x v="0"/>
    <x v="0"/>
  </r>
  <r>
    <x v="235"/>
    <x v="9"/>
    <x v="9"/>
    <n v="16"/>
    <n v="6"/>
    <n v="25.7"/>
    <n v="411.2"/>
    <n v="403"/>
    <n v="2418"/>
    <n v="0.98005836575875493"/>
    <n v="1"/>
    <n v="-0.02"/>
    <s v="210"/>
    <m/>
    <n v="1"/>
    <n v="402"/>
    <n v="0.9975186104218362"/>
    <m/>
    <m/>
    <m/>
    <m/>
    <x v="0"/>
    <x v="0"/>
    <m/>
    <m/>
    <m/>
    <x v="0"/>
    <x v="0"/>
  </r>
  <r>
    <x v="235"/>
    <x v="11"/>
    <x v="11"/>
    <n v="40"/>
    <n v="2.8"/>
    <n v="44.5"/>
    <n v="1137.1428571428571"/>
    <n v="1158"/>
    <n v="3242.3999999999996"/>
    <n v="1.0183417085427136"/>
    <n v="1"/>
    <n v="1.7999999999999999E-2"/>
    <s v="450"/>
    <m/>
    <n v="1"/>
    <n v="1157"/>
    <n v="0.99913644214162345"/>
    <m/>
    <m/>
    <s v="D9920(18kg)100桶"/>
    <m/>
    <x v="0"/>
    <x v="0"/>
    <m/>
    <m/>
    <m/>
    <x v="0"/>
    <x v="0"/>
  </r>
  <r>
    <x v="236"/>
    <x v="13"/>
    <x v="13"/>
    <n v="40"/>
    <n v="0.9"/>
    <n v="160.5"/>
    <n v="6420"/>
    <n v="6549"/>
    <n v="5894.1"/>
    <n v="1.0200934579439251"/>
    <n v="1"/>
    <n v="0.02"/>
    <s v="540"/>
    <m/>
    <n v="2"/>
    <n v="6547"/>
    <n v="0.99969460986410141"/>
    <m/>
    <m/>
    <m/>
    <m/>
    <x v="0"/>
    <x v="0"/>
    <m/>
    <m/>
    <m/>
    <x v="0"/>
    <x v="0"/>
  </r>
  <r>
    <x v="236"/>
    <x v="17"/>
    <x v="17"/>
    <n v="21"/>
    <n v="3"/>
    <n v="29.7"/>
    <n v="623.69999999999993"/>
    <n v="632"/>
    <n v="1896"/>
    <n v="1.0133076799743468"/>
    <n v="1"/>
    <n v="1.2999999999999999E-2"/>
    <s v="540"/>
    <m/>
    <n v="0"/>
    <n v="632"/>
    <n v="1"/>
    <m/>
    <m/>
    <m/>
    <m/>
    <x v="0"/>
    <x v="0"/>
    <m/>
    <m/>
    <m/>
    <x v="0"/>
    <x v="0"/>
  </r>
  <r>
    <x v="236"/>
    <x v="11"/>
    <x v="11"/>
    <n v="60"/>
    <n v="2.8"/>
    <n v="44.5"/>
    <n v="2670"/>
    <n v="2668"/>
    <n v="7470.4"/>
    <n v="0.99925093632958806"/>
    <n v="1"/>
    <n v="-1E-3"/>
    <s v="600"/>
    <m/>
    <n v="1"/>
    <n v="2667"/>
    <n v="0.9996251874062968"/>
    <m/>
    <m/>
    <m/>
    <m/>
    <x v="0"/>
    <x v="0"/>
    <m/>
    <m/>
    <m/>
    <x v="0"/>
    <x v="0"/>
  </r>
  <r>
    <x v="236"/>
    <x v="94"/>
    <x v="85"/>
    <n v="1"/>
    <n v="1"/>
    <n v="591"/>
    <n v="591"/>
    <n v="612"/>
    <n v="612"/>
    <n v="1.0355329949238579"/>
    <n v="1"/>
    <n v="3.5999999999999997E-2"/>
    <s v="0"/>
    <m/>
    <n v="0"/>
    <n v="612"/>
    <n v="1"/>
    <m/>
    <m/>
    <m/>
    <m/>
    <x v="0"/>
    <x v="0"/>
    <m/>
    <m/>
    <m/>
    <x v="0"/>
    <x v="0"/>
  </r>
  <r>
    <x v="237"/>
    <x v="75"/>
    <x v="65"/>
    <n v="3"/>
    <n v="0.19"/>
    <n v="759.3"/>
    <n v="2277.8999999999996"/>
    <n v="2267"/>
    <n v="430.73"/>
    <n v="0.99521489090829285"/>
    <n v="1"/>
    <n v="-5.0000000000000001E-3"/>
    <s v="224"/>
    <m/>
    <n v="10"/>
    <n v="2257"/>
    <n v="0.99558888398764889"/>
    <s v="1140205-01D "/>
    <m/>
    <s v="果醬充填殺菌釜操作面板故障"/>
    <m/>
    <x v="0"/>
    <x v="0"/>
    <m/>
    <m/>
    <m/>
    <x v="0"/>
    <x v="0"/>
  </r>
  <r>
    <x v="237"/>
    <x v="43"/>
    <x v="41"/>
    <n v="24"/>
    <n v="0.26"/>
    <n v="584.29999999999995"/>
    <n v="14023.199999999999"/>
    <n v="14261"/>
    <n v="3707.86"/>
    <n v="1.0169576130982942"/>
    <n v="1"/>
    <n v="1.7000000000000001E-2"/>
    <s v="480"/>
    <m/>
    <n v="21"/>
    <n v="14240"/>
    <n v="0.99852745249281261"/>
    <s v="1140205-01D "/>
    <m/>
    <s v="果醬充填殺菌釜操作面板故障"/>
    <m/>
    <x v="0"/>
    <x v="0"/>
    <m/>
    <m/>
    <m/>
    <x v="0"/>
    <x v="0"/>
  </r>
  <r>
    <x v="237"/>
    <x v="10"/>
    <x v="10"/>
    <n v="24"/>
    <n v="6"/>
    <n v="25.4"/>
    <n v="609.59999999999991"/>
    <n v="600"/>
    <n v="3600"/>
    <n v="0.98425196850393715"/>
    <n v="1"/>
    <n v="-1.6E-2"/>
    <s v="330"/>
    <m/>
    <n v="2"/>
    <n v="598"/>
    <n v="0.9966666666666667"/>
    <m/>
    <m/>
    <m/>
    <m/>
    <x v="0"/>
    <x v="0"/>
    <m/>
    <m/>
    <m/>
    <x v="0"/>
    <x v="0"/>
  </r>
  <r>
    <x v="237"/>
    <x v="9"/>
    <x v="9"/>
    <n v="16"/>
    <n v="6"/>
    <n v="25.7"/>
    <n v="411.2"/>
    <n v="403"/>
    <n v="2418"/>
    <n v="0.98005836575875493"/>
    <n v="1"/>
    <n v="-0.02"/>
    <s v="210"/>
    <m/>
    <n v="1"/>
    <n v="402"/>
    <n v="0.9975186104218362"/>
    <m/>
    <m/>
    <m/>
    <m/>
    <x v="0"/>
    <x v="0"/>
    <m/>
    <m/>
    <m/>
    <x v="0"/>
    <x v="0"/>
  </r>
  <r>
    <x v="237"/>
    <x v="35"/>
    <x v="33"/>
    <n v="16"/>
    <n v="18"/>
    <n v="6.6"/>
    <n v="105.6"/>
    <n v="107"/>
    <n v="1926"/>
    <n v="1.0132575757575759"/>
    <n v="1"/>
    <n v="1.2999999999999999E-2"/>
    <s v="195"/>
    <m/>
    <n v="0"/>
    <n v="107"/>
    <n v="1"/>
    <m/>
    <m/>
    <m/>
    <m/>
    <x v="0"/>
    <x v="0"/>
    <m/>
    <m/>
    <m/>
    <x v="0"/>
    <x v="0"/>
  </r>
  <r>
    <x v="237"/>
    <x v="12"/>
    <x v="12"/>
    <n v="20"/>
    <n v="0.8"/>
    <n v="157.69999999999999"/>
    <n v="3154"/>
    <n v="3222"/>
    <n v="2577.6000000000004"/>
    <n v="1.021559923906151"/>
    <n v="1"/>
    <n v="2.1999999999999999E-2"/>
    <s v="350"/>
    <m/>
    <n v="2"/>
    <n v="3220"/>
    <n v="0.99937926753569206"/>
    <m/>
    <m/>
    <m/>
    <m/>
    <x v="0"/>
    <x v="0"/>
    <m/>
    <m/>
    <m/>
    <x v="0"/>
    <x v="0"/>
  </r>
  <r>
    <x v="238"/>
    <x v="15"/>
    <x v="15"/>
    <n v="72"/>
    <n v="3.2"/>
    <n v="46.8"/>
    <n v="3369.6"/>
    <n v="3372"/>
    <n v="10790.400000000001"/>
    <n v="1.0007122507122508"/>
    <n v="1"/>
    <n v="1E-3"/>
    <s v="540"/>
    <m/>
    <n v="2"/>
    <n v="3370"/>
    <n v="0.99940688018979829"/>
    <m/>
    <m/>
    <m/>
    <m/>
    <x v="0"/>
    <x v="0"/>
    <m/>
    <m/>
    <m/>
    <x v="0"/>
    <x v="0"/>
  </r>
  <r>
    <x v="238"/>
    <x v="16"/>
    <x v="16"/>
    <n v="12"/>
    <n v="6"/>
    <n v="26.1"/>
    <n v="313.20000000000005"/>
    <n v="309"/>
    <n v="1854"/>
    <n v="0.98659003831417613"/>
    <n v="1"/>
    <n v="-1.2999999999999999E-2"/>
    <s v="180"/>
    <m/>
    <n v="1"/>
    <n v="308"/>
    <n v="0.99676375404530748"/>
    <m/>
    <m/>
    <m/>
    <m/>
    <x v="0"/>
    <x v="0"/>
    <m/>
    <m/>
    <m/>
    <x v="0"/>
    <x v="0"/>
  </r>
  <r>
    <x v="238"/>
    <x v="19"/>
    <x v="19"/>
    <n v="12"/>
    <n v="6"/>
    <n v="25.5"/>
    <n v="306"/>
    <n v="303"/>
    <n v="1818"/>
    <n v="0.99019607843137258"/>
    <n v="1"/>
    <n v="-0.01"/>
    <s v="186"/>
    <m/>
    <n v="1"/>
    <n v="302"/>
    <n v="0.99669966996699666"/>
    <m/>
    <m/>
    <m/>
    <m/>
    <x v="0"/>
    <x v="0"/>
    <m/>
    <m/>
    <m/>
    <x v="0"/>
    <x v="0"/>
  </r>
  <r>
    <x v="238"/>
    <x v="9"/>
    <x v="9"/>
    <n v="16"/>
    <n v="6"/>
    <n v="25.7"/>
    <n v="411.2"/>
    <n v="413"/>
    <n v="2478"/>
    <n v="1.0043774319066148"/>
    <n v="1"/>
    <n v="4.0000000000000001E-3"/>
    <s v="240"/>
    <m/>
    <n v="1"/>
    <n v="412"/>
    <n v="0.99757869249394671"/>
    <m/>
    <m/>
    <m/>
    <m/>
    <x v="0"/>
    <x v="0"/>
    <m/>
    <m/>
    <m/>
    <x v="0"/>
    <x v="0"/>
  </r>
  <r>
    <x v="238"/>
    <x v="11"/>
    <x v="11"/>
    <n v="60"/>
    <n v="2.8"/>
    <n v="44.5"/>
    <n v="2670"/>
    <n v="2679"/>
    <n v="7501.2"/>
    <n v="1.003370786516854"/>
    <n v="1"/>
    <n v="3.0000000000000001E-3"/>
    <s v="540"/>
    <m/>
    <n v="1"/>
    <n v="2678"/>
    <n v="0.99962672639044414"/>
    <m/>
    <m/>
    <m/>
    <m/>
    <x v="0"/>
    <x v="0"/>
    <m/>
    <m/>
    <m/>
    <x v="0"/>
    <x v="0"/>
  </r>
  <r>
    <x v="239"/>
    <x v="9"/>
    <x v="9"/>
    <n v="24"/>
    <n v="6"/>
    <n v="25.7"/>
    <n v="616.79999999999995"/>
    <n v="610"/>
    <n v="3660"/>
    <n v="0.98897535667963687"/>
    <n v="1"/>
    <n v="-1.0999999999999999E-2"/>
    <s v="355"/>
    <m/>
    <n v="4"/>
    <n v="606"/>
    <n v="0.99344262295081964"/>
    <m/>
    <m/>
    <m/>
    <m/>
    <x v="0"/>
    <x v="0"/>
    <m/>
    <m/>
    <m/>
    <x v="0"/>
    <x v="0"/>
  </r>
  <r>
    <x v="239"/>
    <x v="18"/>
    <x v="18"/>
    <n v="16"/>
    <n v="6"/>
    <n v="26.4"/>
    <n v="422.4"/>
    <n v="417"/>
    <n v="2502"/>
    <n v="0.98721590909090917"/>
    <n v="1"/>
    <n v="-1.2999999999999999E-2"/>
    <s v="240"/>
    <m/>
    <n v="1"/>
    <n v="416"/>
    <n v="0.99760191846522783"/>
    <m/>
    <m/>
    <m/>
    <m/>
    <x v="0"/>
    <x v="0"/>
    <m/>
    <m/>
    <m/>
    <x v="0"/>
    <x v="0"/>
  </r>
  <r>
    <x v="239"/>
    <x v="46"/>
    <x v="17"/>
    <n v="21"/>
    <n v="3"/>
    <n v="31.6"/>
    <n v="663.6"/>
    <n v="676"/>
    <n v="2028"/>
    <n v="1.0186859553948162"/>
    <n v="1"/>
    <n v="1.9E-2"/>
    <s v="540"/>
    <m/>
    <n v="0"/>
    <n v="676"/>
    <n v="1"/>
    <m/>
    <m/>
    <m/>
    <m/>
    <x v="0"/>
    <x v="0"/>
    <m/>
    <m/>
    <m/>
    <x v="0"/>
    <x v="0"/>
  </r>
  <r>
    <x v="239"/>
    <x v="23"/>
    <x v="22"/>
    <n v="36"/>
    <n v="0.34"/>
    <n v="364.6"/>
    <n v="13125.6"/>
    <n v="12952"/>
    <n v="4403.68"/>
    <n v="0.98677393795331259"/>
    <n v="1"/>
    <n v="-1.2999999999999999E-2"/>
    <s v="540"/>
    <m/>
    <n v="3"/>
    <n v="12949"/>
    <n v="0.99976837554045705"/>
    <m/>
    <m/>
    <m/>
    <m/>
    <x v="0"/>
    <x v="0"/>
    <m/>
    <m/>
    <m/>
    <x v="0"/>
    <x v="0"/>
  </r>
  <r>
    <x v="240"/>
    <x v="30"/>
    <x v="28"/>
    <n v="12"/>
    <n v="0.43"/>
    <n v="340.4"/>
    <n v="4084.7999999999997"/>
    <n v="3991"/>
    <n v="1716.1299999999999"/>
    <n v="0.97703681942812382"/>
    <n v="1"/>
    <n v="-2.3E-2"/>
    <s v="300"/>
    <m/>
    <n v="23"/>
    <n v="3968"/>
    <n v="0.99423703332498126"/>
    <m/>
    <m/>
    <s v="麥味登180箱。"/>
    <m/>
    <x v="0"/>
    <x v="0"/>
    <m/>
    <m/>
    <m/>
    <x v="0"/>
    <x v="0"/>
  </r>
  <r>
    <x v="240"/>
    <x v="37"/>
    <x v="35"/>
    <n v="6"/>
    <n v="6"/>
    <n v="25.6"/>
    <n v="153.60000000000002"/>
    <n v="151"/>
    <n v="906"/>
    <n v="0.98307291666666652"/>
    <n v="1"/>
    <n v="-1.7000000000000001E-2"/>
    <s v="140"/>
    <m/>
    <n v="1"/>
    <n v="150"/>
    <n v="0.99337748344370858"/>
    <m/>
    <m/>
    <m/>
    <m/>
    <x v="0"/>
    <x v="0"/>
    <m/>
    <m/>
    <m/>
    <x v="0"/>
    <x v="0"/>
  </r>
  <r>
    <x v="240"/>
    <x v="0"/>
    <x v="0"/>
    <n v="12"/>
    <n v="6"/>
    <n v="25.5"/>
    <n v="306"/>
    <n v="310"/>
    <n v="1860"/>
    <n v="1.0130718954248366"/>
    <n v="1"/>
    <n v="1.2999999999999999E-2"/>
    <s v="200"/>
    <m/>
    <n v="2"/>
    <n v="308"/>
    <n v="0.99354838709677418"/>
    <m/>
    <m/>
    <m/>
    <m/>
    <x v="0"/>
    <x v="0"/>
    <m/>
    <m/>
    <m/>
    <x v="0"/>
    <x v="0"/>
  </r>
  <r>
    <x v="240"/>
    <x v="3"/>
    <x v="3"/>
    <n v="28"/>
    <n v="4.5"/>
    <n v="36.299999999999997"/>
    <n v="1016.3999999999999"/>
    <n v="1004"/>
    <n v="4518"/>
    <n v="0.98780007870916975"/>
    <n v="1"/>
    <n v="-1.2E-2"/>
    <s v="417"/>
    <m/>
    <n v="0"/>
    <n v="1004"/>
    <n v="1"/>
    <m/>
    <m/>
    <m/>
    <m/>
    <x v="0"/>
    <x v="0"/>
    <m/>
    <m/>
    <m/>
    <x v="0"/>
    <x v="0"/>
  </r>
  <r>
    <x v="240"/>
    <x v="52"/>
    <x v="46"/>
    <n v="8"/>
    <n v="4.5"/>
    <n v="35.6"/>
    <n v="284.8"/>
    <n v="271"/>
    <n v="1219.5"/>
    <n v="0.9515449438202247"/>
    <n v="1"/>
    <n v="-4.8000000000000001E-2"/>
    <s v="160"/>
    <m/>
    <n v="0"/>
    <n v="271"/>
    <n v="1"/>
    <m/>
    <m/>
    <m/>
    <m/>
    <x v="0"/>
    <x v="0"/>
    <m/>
    <m/>
    <m/>
    <x v="0"/>
    <x v="0"/>
  </r>
  <r>
    <x v="240"/>
    <x v="41"/>
    <x v="39"/>
    <n v="60"/>
    <n v="2.8"/>
    <n v="44.2"/>
    <n v="2652"/>
    <n v="2624"/>
    <n v="7347.2"/>
    <n v="0.98944193061840124"/>
    <n v="1"/>
    <n v="-1.0999999999999999E-2"/>
    <s v="540"/>
    <m/>
    <n v="1"/>
    <n v="2623"/>
    <n v="0.9996189024390244"/>
    <m/>
    <m/>
    <m/>
    <m/>
    <x v="0"/>
    <x v="0"/>
    <m/>
    <m/>
    <m/>
    <x v="0"/>
    <x v="0"/>
  </r>
  <r>
    <x v="241"/>
    <x v="76"/>
    <x v="66"/>
    <n v="6"/>
    <n v="0.42"/>
    <n v="365.1"/>
    <n v="2190.6000000000004"/>
    <n v="2211"/>
    <n v="928.62"/>
    <n v="1.0093125171185975"/>
    <n v="1"/>
    <n v="8.9999999999999993E-3"/>
    <s v="240"/>
    <m/>
    <n v="9"/>
    <n v="2202"/>
    <n v="0.99592944369063774"/>
    <m/>
    <m/>
    <m/>
    <m/>
    <x v="0"/>
    <x v="0"/>
    <m/>
    <m/>
    <m/>
    <x v="0"/>
    <x v="0"/>
  </r>
  <r>
    <x v="241"/>
    <x v="15"/>
    <x v="15"/>
    <n v="36"/>
    <n v="3.2"/>
    <n v="46.8"/>
    <n v="1684.8"/>
    <n v="1665"/>
    <n v="5328"/>
    <n v="0.98824786324786329"/>
    <n v="1"/>
    <n v="-1.2E-2"/>
    <s v="390"/>
    <m/>
    <n v="0"/>
    <n v="1665"/>
    <n v="1"/>
    <m/>
    <m/>
    <m/>
    <m/>
    <x v="0"/>
    <x v="0"/>
    <m/>
    <m/>
    <m/>
    <x v="0"/>
    <x v="0"/>
  </r>
  <r>
    <x v="241"/>
    <x v="9"/>
    <x v="9"/>
    <n v="20"/>
    <n v="6"/>
    <n v="25.7"/>
    <n v="514"/>
    <n v="508"/>
    <n v="3048"/>
    <n v="0.98832684824902728"/>
    <n v="1"/>
    <n v="-1.2E-2"/>
    <s v="322"/>
    <m/>
    <n v="1"/>
    <n v="507"/>
    <n v="0.99803149606299213"/>
    <m/>
    <m/>
    <m/>
    <m/>
    <x v="0"/>
    <x v="0"/>
    <m/>
    <m/>
    <m/>
    <x v="0"/>
    <x v="0"/>
  </r>
  <r>
    <x v="241"/>
    <x v="10"/>
    <x v="10"/>
    <n v="16"/>
    <n v="6"/>
    <n v="25.4"/>
    <n v="406.4"/>
    <n v="393"/>
    <n v="2358"/>
    <n v="0.96702755905511817"/>
    <n v="1"/>
    <n v="-3.3000000000000002E-2"/>
    <s v="240"/>
    <m/>
    <n v="2"/>
    <n v="391"/>
    <n v="0.99491094147582693"/>
    <m/>
    <m/>
    <m/>
    <m/>
    <x v="0"/>
    <x v="0"/>
    <m/>
    <m/>
    <m/>
    <x v="0"/>
    <x v="0"/>
  </r>
  <r>
    <x v="241"/>
    <x v="11"/>
    <x v="11"/>
    <n v="60"/>
    <n v="2.8"/>
    <n v="44.5"/>
    <n v="2670"/>
    <n v="2670"/>
    <n v="7475.9999999999991"/>
    <n v="1"/>
    <n v="1"/>
    <n v="0"/>
    <s v="600"/>
    <m/>
    <n v="1"/>
    <n v="2669"/>
    <n v="0.99962546816479403"/>
    <m/>
    <m/>
    <s v="D2021美芝城100箱。"/>
    <m/>
    <x v="0"/>
    <x v="0"/>
    <m/>
    <m/>
    <m/>
    <x v="0"/>
    <x v="0"/>
  </r>
  <r>
    <x v="241"/>
    <x v="118"/>
    <x v="107"/>
    <n v="1"/>
    <n v="1"/>
    <n v="0"/>
    <n v="0"/>
    <n v="560"/>
    <n v="560"/>
    <s v="無法預估數據"/>
    <e v="#N/A"/>
    <s v="無法預估數據"/>
    <s v="0"/>
    <m/>
    <n v="0"/>
    <n v="560"/>
    <n v="1"/>
    <m/>
    <m/>
    <m/>
    <m/>
    <x v="0"/>
    <x v="0"/>
    <m/>
    <m/>
    <m/>
    <x v="0"/>
    <x v="0"/>
  </r>
  <r>
    <x v="242"/>
    <x v="2"/>
    <x v="2"/>
    <n v="36"/>
    <n v="6"/>
    <n v="26.6"/>
    <n v="957.6"/>
    <n v="946"/>
    <n v="5676"/>
    <n v="0.9878863826232247"/>
    <n v="1"/>
    <n v="-1.2E-2"/>
    <s v="510"/>
    <m/>
    <n v="4"/>
    <n v="942"/>
    <n v="0.99577167019027479"/>
    <m/>
    <m/>
    <m/>
    <m/>
    <x v="0"/>
    <x v="0"/>
    <m/>
    <m/>
    <m/>
    <x v="0"/>
    <x v="0"/>
  </r>
  <r>
    <x v="242"/>
    <x v="65"/>
    <x v="56"/>
    <n v="8"/>
    <n v="9.5"/>
    <n v="16.600000000000001"/>
    <n v="132.80000000000001"/>
    <n v="128"/>
    <n v="1216"/>
    <n v="0.96385542168674687"/>
    <n v="1"/>
    <n v="-3.5999999999999997E-2"/>
    <s v="220"/>
    <m/>
    <n v="0"/>
    <n v="128"/>
    <n v="1"/>
    <m/>
    <m/>
    <m/>
    <m/>
    <x v="0"/>
    <x v="0"/>
    <m/>
    <m/>
    <m/>
    <x v="0"/>
    <x v="0"/>
  </r>
  <r>
    <x v="242"/>
    <x v="50"/>
    <x v="44"/>
    <n v="12"/>
    <n v="4.5"/>
    <n v="36.799999999999997"/>
    <n v="441.59999999999997"/>
    <n v="443"/>
    <n v="1993.5"/>
    <n v="1.0031702898550725"/>
    <n v="1"/>
    <n v="3.0000000000000001E-3"/>
    <s v="214"/>
    <m/>
    <n v="0"/>
    <n v="443"/>
    <n v="1"/>
    <m/>
    <m/>
    <m/>
    <m/>
    <x v="0"/>
    <x v="0"/>
    <m/>
    <m/>
    <m/>
    <x v="0"/>
    <x v="0"/>
  </r>
  <r>
    <x v="242"/>
    <x v="59"/>
    <x v="52"/>
    <n v="12"/>
    <n v="4.5"/>
    <n v="34.9"/>
    <n v="418.79999999999995"/>
    <n v="427"/>
    <n v="1921.5"/>
    <n v="1.0195797516714424"/>
    <n v="1"/>
    <n v="0.02"/>
    <s v="290"/>
    <m/>
    <n v="0"/>
    <n v="427"/>
    <n v="1"/>
    <m/>
    <m/>
    <m/>
    <m/>
    <x v="0"/>
    <x v="0"/>
    <m/>
    <m/>
    <m/>
    <x v="0"/>
    <x v="0"/>
  </r>
  <r>
    <x v="242"/>
    <x v="34"/>
    <x v="32"/>
    <n v="16"/>
    <n v="0.34"/>
    <n v="358.3"/>
    <n v="5732.8"/>
    <n v="5607"/>
    <n v="1906.38"/>
    <n v="0.97805609824169693"/>
    <n v="1"/>
    <n v="-2.1999999999999999E-2"/>
    <s v="245"/>
    <m/>
    <n v="5"/>
    <n v="5602"/>
    <n v="0.99910825753522381"/>
    <m/>
    <m/>
    <s v="E0120佳樂美200箱。"/>
    <m/>
    <x v="0"/>
    <x v="0"/>
    <m/>
    <m/>
    <m/>
    <x v="0"/>
    <x v="0"/>
  </r>
  <r>
    <x v="242"/>
    <x v="11"/>
    <x v="11"/>
    <n v="32"/>
    <n v="2.8"/>
    <n v="44.5"/>
    <n v="1424"/>
    <n v="1459"/>
    <n v="4085.2"/>
    <n v="1.0245786516853932"/>
    <n v="1"/>
    <n v="2.5000000000000001E-2"/>
    <s v="400"/>
    <m/>
    <n v="2"/>
    <n v="1457"/>
    <n v="0.99862919808087736"/>
    <m/>
    <m/>
    <m/>
    <m/>
    <x v="0"/>
    <x v="0"/>
    <m/>
    <m/>
    <m/>
    <x v="0"/>
    <x v="0"/>
  </r>
  <r>
    <x v="243"/>
    <x v="20"/>
    <x v="20"/>
    <n v="8"/>
    <n v="6"/>
    <n v="25"/>
    <n v="200"/>
    <n v="198"/>
    <n v="1188"/>
    <n v="0.99"/>
    <n v="1"/>
    <n v="-0.01"/>
    <s v="150"/>
    <m/>
    <n v="1"/>
    <n v="197"/>
    <n v="0.99494949494949492"/>
    <m/>
    <m/>
    <m/>
    <m/>
    <x v="0"/>
    <x v="0"/>
    <m/>
    <m/>
    <m/>
    <x v="0"/>
    <x v="0"/>
  </r>
  <r>
    <x v="243"/>
    <x v="9"/>
    <x v="9"/>
    <n v="28"/>
    <n v="6"/>
    <n v="25.7"/>
    <n v="719.6"/>
    <n v="721"/>
    <n v="4326"/>
    <n v="1.0019455252918288"/>
    <n v="1"/>
    <n v="2E-3"/>
    <s v="409"/>
    <m/>
    <n v="4"/>
    <n v="717"/>
    <n v="0.99445214979195562"/>
    <m/>
    <m/>
    <m/>
    <m/>
    <x v="0"/>
    <x v="0"/>
    <m/>
    <m/>
    <m/>
    <x v="0"/>
    <x v="0"/>
  </r>
  <r>
    <x v="243"/>
    <x v="17"/>
    <x v="17"/>
    <n v="21"/>
    <n v="3"/>
    <n v="29.7"/>
    <n v="623.69999999999993"/>
    <n v="632"/>
    <n v="1896"/>
    <n v="1.0133076799743468"/>
    <n v="1"/>
    <n v="1.2999999999999999E-2"/>
    <s v="540"/>
    <m/>
    <n v="0"/>
    <n v="632"/>
    <n v="1"/>
    <s v="1140213-01A"/>
    <m/>
    <s v=" 長柄握把破裂掉入攪拌槽"/>
    <m/>
    <x v="0"/>
    <x v="0"/>
    <m/>
    <m/>
    <m/>
    <x v="0"/>
    <x v="0"/>
  </r>
  <r>
    <x v="243"/>
    <x v="11"/>
    <x v="11"/>
    <n v="60"/>
    <n v="2.8"/>
    <n v="44.5"/>
    <n v="2573.5714285714284"/>
    <n v="2584"/>
    <n v="7235.2"/>
    <n v="1.004052178739939"/>
    <n v="1"/>
    <n v="4.0000000000000001E-3"/>
    <s v="540"/>
    <m/>
    <n v="3"/>
    <n v="2581"/>
    <n v="0.99883900928792568"/>
    <m/>
    <m/>
    <s v="D9920(18kg)*15桶"/>
    <m/>
    <x v="0"/>
    <x v="0"/>
    <m/>
    <m/>
    <m/>
    <x v="0"/>
    <x v="0"/>
  </r>
  <r>
    <x v="244"/>
    <x v="27"/>
    <x v="26"/>
    <n v="36"/>
    <n v="3.2"/>
    <n v="47.5"/>
    <n v="1710"/>
    <n v="1671"/>
    <n v="5347.2000000000007"/>
    <n v="0.97719298245614039"/>
    <n v="1"/>
    <n v="-2.3E-2"/>
    <s v="540"/>
    <m/>
    <n v="1"/>
    <n v="1670"/>
    <n v="0.99940155595451829"/>
    <m/>
    <m/>
    <m/>
    <m/>
    <x v="0"/>
    <x v="0"/>
    <m/>
    <m/>
    <m/>
    <x v="0"/>
    <x v="0"/>
  </r>
  <r>
    <x v="244"/>
    <x v="66"/>
    <x v="57"/>
    <n v="12"/>
    <n v="9.08"/>
    <n v="17.5"/>
    <n v="210"/>
    <n v="210"/>
    <n v="1906.8"/>
    <n v="1"/>
    <n v="1"/>
    <n v="0"/>
    <s v="300"/>
    <m/>
    <n v="0"/>
    <n v="210"/>
    <n v="1"/>
    <m/>
    <m/>
    <m/>
    <m/>
    <x v="0"/>
    <x v="0"/>
    <m/>
    <m/>
    <m/>
    <x v="0"/>
    <x v="0"/>
  </r>
  <r>
    <x v="244"/>
    <x v="24"/>
    <x v="23"/>
    <n v="16"/>
    <n v="0.34"/>
    <n v="366"/>
    <n v="5856"/>
    <n v="5892"/>
    <n v="2003.2800000000002"/>
    <n v="1.0061475409836065"/>
    <n v="1"/>
    <n v="6.0000000000000001E-3"/>
    <s v="300"/>
    <m/>
    <n v="5"/>
    <n v="5887"/>
    <n v="0.99915139171758316"/>
    <m/>
    <m/>
    <s v="E0121佳樂美*200箱"/>
    <m/>
    <x v="0"/>
    <x v="0"/>
    <m/>
    <m/>
    <m/>
    <x v="0"/>
    <x v="0"/>
  </r>
  <r>
    <x v="245"/>
    <x v="8"/>
    <x v="8"/>
    <n v="40"/>
    <n v="0.44"/>
    <n v="344"/>
    <n v="13760"/>
    <n v="13899"/>
    <n v="6115.56"/>
    <n v="1.0101017441860465"/>
    <n v="1"/>
    <n v="0.01"/>
    <s v="540"/>
    <m/>
    <n v="8"/>
    <n v="13891"/>
    <n v="0.99942441902295132"/>
    <m/>
    <m/>
    <m/>
    <m/>
    <x v="0"/>
    <x v="0"/>
    <m/>
    <m/>
    <m/>
    <x v="0"/>
    <x v="0"/>
  </r>
  <r>
    <x v="245"/>
    <x v="22"/>
    <x v="10"/>
    <n v="12"/>
    <n v="6"/>
    <n v="25.1"/>
    <n v="301.20000000000005"/>
    <n v="299"/>
    <n v="1794"/>
    <n v="0.99269588313413004"/>
    <n v="1"/>
    <n v="-7.0000000000000001E-3"/>
    <s v="210"/>
    <m/>
    <n v="3"/>
    <n v="296"/>
    <n v="0.98996655518394649"/>
    <m/>
    <m/>
    <m/>
    <m/>
    <x v="0"/>
    <x v="0"/>
    <m/>
    <m/>
    <m/>
    <x v="0"/>
    <x v="0"/>
  </r>
  <r>
    <x v="245"/>
    <x v="9"/>
    <x v="9"/>
    <n v="24"/>
    <n v="6"/>
    <n v="25.7"/>
    <n v="616.79999999999995"/>
    <n v="618"/>
    <n v="3708"/>
    <n v="1.0019455252918288"/>
    <n v="1"/>
    <n v="2E-3"/>
    <s v="346"/>
    <m/>
    <n v="2"/>
    <n v="616"/>
    <n v="0.99676375404530748"/>
    <m/>
    <m/>
    <s v="成品數量為616，半成品紀錄為610"/>
    <m/>
    <x v="0"/>
    <x v="0"/>
    <m/>
    <m/>
    <m/>
    <x v="0"/>
    <x v="0"/>
  </r>
  <r>
    <x v="245"/>
    <x v="41"/>
    <x v="39"/>
    <n v="32"/>
    <n v="2.8"/>
    <n v="44.2"/>
    <n v="1350.1142857142859"/>
    <n v="1305"/>
    <n v="3653.9999999999995"/>
    <n v="0.96658483937867679"/>
    <n v="1"/>
    <n v="-3.3000000000000002E-2"/>
    <s v="540"/>
    <m/>
    <n v="1"/>
    <n v="1304"/>
    <n v="0.99923371647509573"/>
    <m/>
    <m/>
    <s v="D9921(18kg)*10桶"/>
    <m/>
    <x v="0"/>
    <x v="0"/>
    <m/>
    <m/>
    <m/>
    <x v="0"/>
    <x v="0"/>
  </r>
  <r>
    <x v="245"/>
    <x v="114"/>
    <x v="103"/>
    <n v="20"/>
    <n v="0.8"/>
    <n v="155.5"/>
    <n v="3110"/>
    <n v="3146"/>
    <n v="2516.8000000000002"/>
    <n v="1.0115755627009646"/>
    <n v="1"/>
    <n v="1.2E-2"/>
    <s v="540"/>
    <m/>
    <n v="2"/>
    <n v="3144"/>
    <n v="0.99936427209154477"/>
    <m/>
    <m/>
    <m/>
    <m/>
    <x v="0"/>
    <x v="0"/>
    <m/>
    <m/>
    <m/>
    <x v="0"/>
    <x v="0"/>
  </r>
  <r>
    <x v="246"/>
    <x v="21"/>
    <x v="21"/>
    <n v="32"/>
    <n v="3.2"/>
    <n v="46.4"/>
    <n v="1484.8"/>
    <n v="1478"/>
    <n v="4729.6000000000004"/>
    <n v="0.99542025862068972"/>
    <n v="1"/>
    <n v="-5.0000000000000001E-3"/>
    <s v="270"/>
    <m/>
    <n v="1"/>
    <n v="1477"/>
    <n v="0.99932341001353175"/>
    <m/>
    <m/>
    <m/>
    <m/>
    <x v="0"/>
    <x v="0"/>
    <m/>
    <m/>
    <m/>
    <x v="0"/>
    <x v="0"/>
  </r>
  <r>
    <x v="246"/>
    <x v="47"/>
    <x v="42"/>
    <n v="12"/>
    <n v="6"/>
    <n v="25.6"/>
    <n v="307.20000000000005"/>
    <n v="305"/>
    <n v="1830"/>
    <n v="0.99283854166666652"/>
    <n v="1"/>
    <n v="-7.0000000000000001E-3"/>
    <s v="254"/>
    <m/>
    <n v="2"/>
    <n v="303"/>
    <n v="0.99344262295081964"/>
    <m/>
    <m/>
    <m/>
    <m/>
    <x v="0"/>
    <x v="0"/>
    <m/>
    <m/>
    <m/>
    <x v="0"/>
    <x v="0"/>
  </r>
  <r>
    <x v="246"/>
    <x v="0"/>
    <x v="0"/>
    <n v="12"/>
    <n v="6"/>
    <n v="25.5"/>
    <n v="306"/>
    <n v="296"/>
    <n v="1776"/>
    <n v="0.9673202614379085"/>
    <n v="1"/>
    <n v="-3.3000000000000002E-2"/>
    <s v="228"/>
    <m/>
    <n v="2"/>
    <n v="294"/>
    <n v="0.9932432432432432"/>
    <m/>
    <m/>
    <m/>
    <m/>
    <x v="0"/>
    <x v="0"/>
    <m/>
    <m/>
    <m/>
    <x v="0"/>
    <x v="0"/>
  </r>
  <r>
    <x v="246"/>
    <x v="32"/>
    <x v="30"/>
    <n v="16"/>
    <n v="6"/>
    <n v="25.2"/>
    <n v="403.2"/>
    <n v="402"/>
    <n v="2412"/>
    <n v="0.99702380952380953"/>
    <n v="1"/>
    <n v="-3.0000000000000001E-3"/>
    <s v="240"/>
    <m/>
    <n v="2"/>
    <n v="400"/>
    <n v="0.99502487562189057"/>
    <m/>
    <m/>
    <m/>
    <m/>
    <x v="0"/>
    <x v="0"/>
    <m/>
    <m/>
    <m/>
    <x v="0"/>
    <x v="0"/>
  </r>
  <r>
    <x v="246"/>
    <x v="69"/>
    <x v="2"/>
    <n v="4"/>
    <n v="6"/>
    <n v="25.5"/>
    <n v="102"/>
    <n v="98"/>
    <n v="588"/>
    <n v="0.96078431372549022"/>
    <n v="1"/>
    <n v="-3.9E-2"/>
    <s v="94"/>
    <m/>
    <n v="1"/>
    <n v="97"/>
    <n v="0.98979591836734693"/>
    <m/>
    <m/>
    <m/>
    <m/>
    <x v="0"/>
    <x v="0"/>
    <m/>
    <m/>
    <m/>
    <x v="0"/>
    <x v="0"/>
  </r>
  <r>
    <x v="246"/>
    <x v="9"/>
    <x v="9"/>
    <n v="16"/>
    <n v="6"/>
    <n v="25.7"/>
    <n v="411.2"/>
    <n v="418"/>
    <n v="2508"/>
    <n v="1.0165369649805447"/>
    <n v="1"/>
    <n v="1.7000000000000001E-2"/>
    <s v="245"/>
    <m/>
    <n v="1"/>
    <n v="417"/>
    <n v="0.99760765550239239"/>
    <m/>
    <m/>
    <m/>
    <m/>
    <x v="0"/>
    <x v="0"/>
    <m/>
    <m/>
    <m/>
    <x v="0"/>
    <x v="0"/>
  </r>
  <r>
    <x v="246"/>
    <x v="11"/>
    <x v="11"/>
    <n v="56"/>
    <n v="2.8"/>
    <n v="44.5"/>
    <n v="2363.4285714285716"/>
    <n v="2376"/>
    <n v="6652.7999999999993"/>
    <n v="1.0053191489361701"/>
    <n v="1"/>
    <n v="5.0000000000000001E-3"/>
    <s v="540"/>
    <m/>
    <n v="1"/>
    <n v="2375"/>
    <n v="0.99957912457912457"/>
    <m/>
    <m/>
    <s v="D9920(18kg)*20桶"/>
    <m/>
    <x v="0"/>
    <x v="0"/>
    <m/>
    <m/>
    <m/>
    <x v="0"/>
    <x v="0"/>
  </r>
  <r>
    <x v="246"/>
    <x v="105"/>
    <x v="93"/>
    <n v="1"/>
    <n v="0.1"/>
    <n v="1732"/>
    <n v="1732"/>
    <n v="1830"/>
    <n v="183"/>
    <n v="1.0565819861431871"/>
    <n v="1"/>
    <n v="5.7000000000000002E-2"/>
    <s v="0"/>
    <m/>
    <n v="60"/>
    <n v="1770"/>
    <n v="0.96721311475409832"/>
    <m/>
    <m/>
    <m/>
    <m/>
    <x v="0"/>
    <x v="0"/>
    <m/>
    <m/>
    <m/>
    <x v="0"/>
    <x v="0"/>
  </r>
  <r>
    <x v="247"/>
    <x v="2"/>
    <x v="2"/>
    <n v="36"/>
    <n v="6"/>
    <n v="26.6"/>
    <n v="957.6"/>
    <n v="935"/>
    <n v="5610"/>
    <n v="0.97639933166248949"/>
    <n v="1"/>
    <n v="-2.4E-2"/>
    <s v="540"/>
    <m/>
    <n v="8"/>
    <n v="927"/>
    <n v="0.99144385026737969"/>
    <m/>
    <m/>
    <m/>
    <m/>
    <x v="0"/>
    <x v="0"/>
    <m/>
    <m/>
    <m/>
    <x v="0"/>
    <x v="0"/>
  </r>
  <r>
    <x v="247"/>
    <x v="3"/>
    <x v="3"/>
    <n v="24"/>
    <n v="4.5"/>
    <n v="36.299999999999997"/>
    <n v="871.19999999999993"/>
    <n v="875"/>
    <n v="3937.5"/>
    <n v="1.0043617998163454"/>
    <n v="1"/>
    <n v="4.0000000000000001E-3"/>
    <s v="340"/>
    <m/>
    <n v="0"/>
    <n v="875"/>
    <n v="1"/>
    <m/>
    <m/>
    <m/>
    <m/>
    <x v="0"/>
    <x v="0"/>
    <m/>
    <m/>
    <m/>
    <x v="0"/>
    <x v="0"/>
  </r>
  <r>
    <x v="247"/>
    <x v="73"/>
    <x v="63"/>
    <n v="4"/>
    <n v="4.5"/>
    <n v="35"/>
    <n v="140"/>
    <n v="138"/>
    <n v="621"/>
    <n v="0.98571428571428577"/>
    <n v="1"/>
    <n v="-1.4E-2"/>
    <s v="154"/>
    <m/>
    <n v="0"/>
    <n v="138"/>
    <n v="1"/>
    <m/>
    <m/>
    <m/>
    <m/>
    <x v="0"/>
    <x v="0"/>
    <m/>
    <m/>
    <m/>
    <x v="0"/>
    <x v="0"/>
  </r>
  <r>
    <x v="247"/>
    <x v="4"/>
    <x v="4"/>
    <n v="8"/>
    <n v="4.5"/>
    <n v="34.5"/>
    <n v="276"/>
    <n v="280"/>
    <n v="1260"/>
    <n v="1.0144927536231885"/>
    <n v="1"/>
    <n v="1.4E-2"/>
    <s v="180"/>
    <m/>
    <n v="0"/>
    <n v="280"/>
    <n v="1"/>
    <m/>
    <m/>
    <m/>
    <m/>
    <x v="0"/>
    <x v="0"/>
    <m/>
    <m/>
    <m/>
    <x v="0"/>
    <x v="0"/>
  </r>
  <r>
    <x v="247"/>
    <x v="41"/>
    <x v="39"/>
    <n v="56"/>
    <n v="2.8"/>
    <n v="44.2"/>
    <n v="2475.2000000000003"/>
    <n v="2475"/>
    <n v="6930"/>
    <n v="0.9999191984486101"/>
    <n v="1"/>
    <n v="0"/>
    <s v="480"/>
    <m/>
    <n v="1"/>
    <n v="2474"/>
    <n v="0.99959595959595959"/>
    <m/>
    <m/>
    <m/>
    <m/>
    <x v="0"/>
    <x v="0"/>
    <m/>
    <m/>
    <m/>
    <x v="0"/>
    <x v="0"/>
  </r>
  <r>
    <x v="248"/>
    <x v="22"/>
    <x v="10"/>
    <n v="16"/>
    <n v="6"/>
    <n v="25.1"/>
    <n v="401.6"/>
    <n v="399"/>
    <n v="2394"/>
    <n v="0.99352589641434252"/>
    <n v="1"/>
    <n v="-6.0000000000000001E-3"/>
    <s v="420"/>
    <m/>
    <n v="1"/>
    <n v="398"/>
    <n v="0.99749373433583954"/>
    <m/>
    <m/>
    <m/>
    <m/>
    <x v="0"/>
    <x v="0"/>
    <m/>
    <m/>
    <m/>
    <x v="0"/>
    <x v="0"/>
  </r>
  <r>
    <x v="248"/>
    <x v="16"/>
    <x v="16"/>
    <n v="24"/>
    <n v="6"/>
    <n v="26.1"/>
    <n v="626.40000000000009"/>
    <n v="624"/>
    <n v="3744"/>
    <n v="0.99616858237547878"/>
    <n v="1"/>
    <n v="-4.0000000000000001E-3"/>
    <s v="390"/>
    <m/>
    <n v="2"/>
    <n v="622"/>
    <n v="0.99679487179487181"/>
    <m/>
    <m/>
    <m/>
    <m/>
    <x v="0"/>
    <x v="0"/>
    <m/>
    <m/>
    <m/>
    <x v="0"/>
    <x v="0"/>
  </r>
  <r>
    <x v="248"/>
    <x v="48"/>
    <x v="17"/>
    <n v="21"/>
    <n v="3"/>
    <n v="30.8"/>
    <n v="646.80000000000007"/>
    <n v="648"/>
    <n v="1944"/>
    <n v="1.0018552875695732"/>
    <n v="1"/>
    <n v="2E-3"/>
    <s v="540"/>
    <m/>
    <n v="0"/>
    <n v="648"/>
    <n v="1"/>
    <m/>
    <m/>
    <m/>
    <m/>
    <x v="0"/>
    <x v="0"/>
    <m/>
    <m/>
    <m/>
    <x v="0"/>
    <x v="0"/>
  </r>
  <r>
    <x v="248"/>
    <x v="35"/>
    <x v="33"/>
    <n v="8"/>
    <n v="18"/>
    <n v="6.6"/>
    <n v="52.8"/>
    <n v="48"/>
    <n v="864"/>
    <n v="0.90909090909090917"/>
    <n v="1"/>
    <n v="-9.0999999999999998E-2"/>
    <s v="360"/>
    <m/>
    <n v="0"/>
    <n v="48"/>
    <n v="1"/>
    <m/>
    <m/>
    <m/>
    <m/>
    <x v="0"/>
    <x v="0"/>
    <m/>
    <m/>
    <m/>
    <x v="0"/>
    <x v="0"/>
  </r>
  <r>
    <x v="248"/>
    <x v="78"/>
    <x v="70"/>
    <n v="8"/>
    <n v="0.28999999999999998"/>
    <n v="388"/>
    <n v="3104"/>
    <n v="3521"/>
    <n v="1021.0899999999999"/>
    <n v="1.1343427835051547"/>
    <n v="1"/>
    <n v="0.13400000000000001"/>
    <s v="375"/>
    <m/>
    <n v="6"/>
    <n v="3515"/>
    <n v="0.99829593865379151"/>
    <s v="1140219-01A "/>
    <m/>
    <s v="充填281g-285g，真空鍋花生醬溢出"/>
    <m/>
    <x v="0"/>
    <x v="0"/>
    <m/>
    <m/>
    <m/>
    <x v="0"/>
    <x v="0"/>
  </r>
  <r>
    <x v="248"/>
    <x v="34"/>
    <x v="32"/>
    <n v="8"/>
    <n v="0.34"/>
    <n v="358.3"/>
    <n v="2866.4"/>
    <n v="3064"/>
    <n v="1041.76"/>
    <n v="1.0689366452693274"/>
    <n v="1"/>
    <n v="6.9000000000000006E-2"/>
    <s v="480"/>
    <m/>
    <n v="3"/>
    <n v="3061"/>
    <n v="0.99902088772845954"/>
    <m/>
    <m/>
    <m/>
    <m/>
    <x v="0"/>
    <x v="0"/>
    <m/>
    <m/>
    <m/>
    <x v="0"/>
    <x v="0"/>
  </r>
  <r>
    <x v="249"/>
    <x v="8"/>
    <x v="8"/>
    <n v="32"/>
    <n v="0.44"/>
    <n v="344"/>
    <n v="11008"/>
    <n v="10921"/>
    <n v="4805.24"/>
    <n v="0.99209665697674421"/>
    <n v="1"/>
    <n v="-8.0000000000000002E-3"/>
    <s v="430"/>
    <m/>
    <n v="11"/>
    <n v="10910"/>
    <n v="0.99899276623019873"/>
    <m/>
    <m/>
    <m/>
    <m/>
    <x v="0"/>
    <x v="0"/>
    <m/>
    <m/>
    <m/>
    <x v="0"/>
    <x v="0"/>
  </r>
  <r>
    <x v="249"/>
    <x v="71"/>
    <x v="61"/>
    <n v="4"/>
    <n v="0.17"/>
    <n v="912.6"/>
    <n v="3650.4"/>
    <n v="3459"/>
    <n v="588.03000000000009"/>
    <n v="0.94756738987508216"/>
    <n v="1"/>
    <n v="-5.1999999999999998E-2"/>
    <s v="210"/>
    <m/>
    <n v="3"/>
    <n v="3456"/>
    <n v="0.99913269731136167"/>
    <m/>
    <m/>
    <m/>
    <m/>
    <x v="0"/>
    <x v="0"/>
    <m/>
    <m/>
    <m/>
    <x v="0"/>
    <x v="0"/>
  </r>
  <r>
    <x v="249"/>
    <x v="119"/>
    <x v="108"/>
    <n v="12"/>
    <n v="9.08"/>
    <n v="17.600000000000001"/>
    <n v="211.20000000000002"/>
    <n v="222"/>
    <n v="2015.76"/>
    <n v="1.0511363636363635"/>
    <n v="1"/>
    <n v="5.0999999999999997E-2"/>
    <s v="190"/>
    <m/>
    <n v="0"/>
    <n v="222"/>
    <n v="1"/>
    <m/>
    <m/>
    <m/>
    <m/>
    <x v="0"/>
    <x v="0"/>
    <m/>
    <m/>
    <m/>
    <x v="0"/>
    <x v="0"/>
  </r>
  <r>
    <x v="249"/>
    <x v="51"/>
    <x v="45"/>
    <n v="8"/>
    <n v="9.08"/>
    <n v="17.8"/>
    <n v="142.4"/>
    <n v="144"/>
    <n v="1307.52"/>
    <n v="1.0112359550561798"/>
    <n v="1"/>
    <n v="1.0999999999999999E-2"/>
    <s v="191"/>
    <m/>
    <n v="0"/>
    <n v="144"/>
    <n v="1"/>
    <m/>
    <m/>
    <m/>
    <m/>
    <x v="0"/>
    <x v="0"/>
    <m/>
    <m/>
    <m/>
    <x v="0"/>
    <x v="0"/>
  </r>
  <r>
    <x v="249"/>
    <x v="18"/>
    <x v="18"/>
    <n v="16"/>
    <n v="6"/>
    <n v="26.4"/>
    <n v="422.4"/>
    <n v="422"/>
    <n v="2532"/>
    <n v="0.99905303030303039"/>
    <n v="1"/>
    <n v="-1E-3"/>
    <s v="210"/>
    <m/>
    <n v="1"/>
    <n v="421"/>
    <n v="0.99763033175355453"/>
    <m/>
    <m/>
    <m/>
    <m/>
    <x v="0"/>
    <x v="0"/>
    <m/>
    <m/>
    <m/>
    <x v="0"/>
    <x v="0"/>
  </r>
  <r>
    <x v="249"/>
    <x v="17"/>
    <x v="17"/>
    <n v="21"/>
    <n v="3"/>
    <n v="29.7"/>
    <n v="623.69999999999993"/>
    <n v="620"/>
    <n v="1860"/>
    <n v="0.99406766073432751"/>
    <n v="1"/>
    <n v="-6.0000000000000001E-3"/>
    <s v="540"/>
    <m/>
    <n v="0"/>
    <n v="620"/>
    <n v="1"/>
    <m/>
    <m/>
    <m/>
    <m/>
    <x v="0"/>
    <x v="0"/>
    <m/>
    <m/>
    <m/>
    <x v="0"/>
    <x v="0"/>
  </r>
  <r>
    <x v="250"/>
    <x v="15"/>
    <x v="15"/>
    <n v="72"/>
    <n v="3.2"/>
    <n v="46.8"/>
    <n v="3369.6"/>
    <n v="3399"/>
    <n v="10876.800000000001"/>
    <n v="1.0087250712250713"/>
    <n v="1"/>
    <n v="8.9999999999999993E-3"/>
    <s v="540"/>
    <m/>
    <n v="1"/>
    <n v="3398"/>
    <n v="0.99970579582230068"/>
    <m/>
    <m/>
    <m/>
    <m/>
    <x v="0"/>
    <x v="0"/>
    <m/>
    <m/>
    <m/>
    <x v="0"/>
    <x v="0"/>
  </r>
  <r>
    <x v="250"/>
    <x v="19"/>
    <x v="19"/>
    <n v="12"/>
    <n v="6"/>
    <n v="25.5"/>
    <n v="306"/>
    <n v="302"/>
    <n v="1812"/>
    <n v="0.98692810457516345"/>
    <n v="1"/>
    <n v="-1.2999999999999999E-2"/>
    <s v="180"/>
    <m/>
    <n v="1"/>
    <n v="301"/>
    <n v="0.99668874172185429"/>
    <m/>
    <m/>
    <m/>
    <m/>
    <x v="0"/>
    <x v="0"/>
    <m/>
    <m/>
    <m/>
    <x v="0"/>
    <x v="0"/>
  </r>
  <r>
    <x v="250"/>
    <x v="9"/>
    <x v="9"/>
    <n v="24"/>
    <n v="6"/>
    <n v="25.7"/>
    <n v="616.79999999999995"/>
    <n v="632"/>
    <n v="3792"/>
    <n v="1.0246433203631649"/>
    <n v="1"/>
    <n v="2.5000000000000001E-2"/>
    <s v="372"/>
    <m/>
    <n v="1"/>
    <n v="631"/>
    <n v="0.99841772151898733"/>
    <m/>
    <m/>
    <m/>
    <m/>
    <x v="0"/>
    <x v="0"/>
    <m/>
    <m/>
    <m/>
    <x v="0"/>
    <x v="0"/>
  </r>
  <r>
    <x v="250"/>
    <x v="23"/>
    <x v="22"/>
    <n v="36"/>
    <n v="0.34"/>
    <n v="364.6"/>
    <n v="13125.6"/>
    <n v="13006"/>
    <n v="4422.04"/>
    <n v="0.99088803559456329"/>
    <n v="1"/>
    <n v="-8.9999999999999993E-3"/>
    <s v="540"/>
    <m/>
    <n v="3"/>
    <n v="13003"/>
    <n v="0.99976933722897121"/>
    <m/>
    <m/>
    <m/>
    <m/>
    <x v="0"/>
    <x v="0"/>
    <m/>
    <m/>
    <m/>
    <x v="0"/>
    <x v="0"/>
  </r>
  <r>
    <x v="251"/>
    <x v="31"/>
    <x v="29"/>
    <n v="4"/>
    <n v="0.42"/>
    <n v="364"/>
    <n v="1456"/>
    <n v="1490"/>
    <n v="625.79999999999995"/>
    <n v="1.0233516483516483"/>
    <n v="1"/>
    <n v="2.3E-2"/>
    <s v="238"/>
    <m/>
    <n v="7"/>
    <n v="1483"/>
    <n v="0.99530201342281877"/>
    <m/>
    <m/>
    <m/>
    <m/>
    <x v="0"/>
    <x v="0"/>
    <m/>
    <m/>
    <m/>
    <x v="0"/>
    <x v="0"/>
  </r>
  <r>
    <x v="251"/>
    <x v="43"/>
    <x v="41"/>
    <n v="20"/>
    <n v="0.26"/>
    <n v="584.29999999999995"/>
    <n v="11686"/>
    <n v="11683"/>
    <n v="3037.58"/>
    <n v="0.99974328256032863"/>
    <n v="1"/>
    <n v="0"/>
    <s v="470"/>
    <m/>
    <n v="17"/>
    <n v="11666"/>
    <n v="0.99854489429084992"/>
    <m/>
    <m/>
    <m/>
    <m/>
    <x v="0"/>
    <x v="0"/>
    <m/>
    <m/>
    <m/>
    <x v="0"/>
    <x v="0"/>
  </r>
  <r>
    <x v="251"/>
    <x v="120"/>
    <x v="109"/>
    <n v="0.5"/>
    <n v="6"/>
    <e v="#N/A"/>
    <n v="15.833333333333334"/>
    <n v="13"/>
    <n v="78"/>
    <n v="0.82105263157894737"/>
    <e v="#N/A"/>
    <e v="#N/A"/>
    <s v="150"/>
    <m/>
    <n v="1"/>
    <n v="12"/>
    <n v="0.92307692307692313"/>
    <m/>
    <m/>
    <s v="白色PE袋勿印文字(貼標籤)"/>
    <m/>
    <x v="0"/>
    <x v="0"/>
    <m/>
    <m/>
    <m/>
    <x v="0"/>
    <x v="0"/>
  </r>
  <r>
    <x v="251"/>
    <x v="22"/>
    <x v="10"/>
    <n v="16"/>
    <n v="6"/>
    <n v="25.1"/>
    <n v="401.6"/>
    <n v="394"/>
    <n v="2364"/>
    <n v="0.98107569721115528"/>
    <n v="1"/>
    <n v="-1.9E-2"/>
    <s v="223"/>
    <m/>
    <n v="1"/>
    <n v="393"/>
    <n v="0.9974619289340102"/>
    <m/>
    <m/>
    <m/>
    <m/>
    <x v="0"/>
    <x v="0"/>
    <m/>
    <m/>
    <m/>
    <x v="0"/>
    <x v="0"/>
  </r>
  <r>
    <x v="251"/>
    <x v="5"/>
    <x v="5"/>
    <n v="12"/>
    <n v="9.08"/>
    <n v="17.3"/>
    <n v="207.60000000000002"/>
    <n v="206"/>
    <n v="1870.48"/>
    <n v="0.9922928709055876"/>
    <n v="1"/>
    <n v="-8.0000000000000002E-3"/>
    <s v="216"/>
    <m/>
    <n v="0"/>
    <n v="206"/>
    <n v="1"/>
    <m/>
    <m/>
    <m/>
    <m/>
    <x v="0"/>
    <x v="0"/>
    <m/>
    <m/>
    <m/>
    <x v="0"/>
    <x v="0"/>
  </r>
  <r>
    <x v="251"/>
    <x v="1"/>
    <x v="1"/>
    <n v="4"/>
    <n v="6"/>
    <n v="25.7"/>
    <n v="102.8"/>
    <n v="94"/>
    <n v="564"/>
    <n v="0.91439688715953304"/>
    <n v="1"/>
    <n v="-8.5999999999999993E-2"/>
    <s v="108"/>
    <m/>
    <n v="1"/>
    <n v="93"/>
    <n v="0.98936170212765961"/>
    <m/>
    <n v="300"/>
    <s v="特殊製程(2p)1140220-01B"/>
    <m/>
    <x v="0"/>
    <x v="0"/>
    <m/>
    <m/>
    <m/>
    <x v="0"/>
    <x v="0"/>
  </r>
  <r>
    <x v="251"/>
    <x v="35"/>
    <x v="33"/>
    <n v="8"/>
    <n v="18"/>
    <n v="6.6"/>
    <n v="52.8"/>
    <n v="47"/>
    <n v="846"/>
    <n v="0.89015151515151525"/>
    <n v="1"/>
    <n v="-0.11"/>
    <s v="160"/>
    <m/>
    <n v="0"/>
    <n v="47"/>
    <n v="1"/>
    <m/>
    <m/>
    <m/>
    <m/>
    <x v="0"/>
    <x v="0"/>
    <m/>
    <m/>
    <m/>
    <x v="0"/>
    <x v="0"/>
  </r>
  <r>
    <x v="251"/>
    <x v="41"/>
    <x v="39"/>
    <n v="32"/>
    <n v="2.8"/>
    <n v="44.2"/>
    <n v="1414.4"/>
    <n v="1449"/>
    <n v="4057.2"/>
    <n v="1.0244626696832579"/>
    <n v="1"/>
    <n v="2.4E-2"/>
    <s v="390"/>
    <m/>
    <n v="1"/>
    <n v="1448"/>
    <n v="0.99930986887508622"/>
    <m/>
    <m/>
    <m/>
    <m/>
    <x v="0"/>
    <x v="0"/>
    <m/>
    <m/>
    <m/>
    <x v="0"/>
    <x v="0"/>
  </r>
  <r>
    <x v="252"/>
    <x v="9"/>
    <x v="9"/>
    <n v="16"/>
    <n v="6"/>
    <n v="25.7"/>
    <n v="411.2"/>
    <n v="408"/>
    <n v="2448"/>
    <n v="0.99221789883268485"/>
    <n v="1"/>
    <n v="-8.0000000000000002E-3"/>
    <s v="210"/>
    <m/>
    <n v="2"/>
    <n v="406"/>
    <n v="0.99509803921568629"/>
    <m/>
    <m/>
    <m/>
    <m/>
    <x v="0"/>
    <x v="0"/>
    <m/>
    <m/>
    <m/>
    <x v="0"/>
    <x v="0"/>
  </r>
  <r>
    <x v="252"/>
    <x v="69"/>
    <x v="2"/>
    <n v="12"/>
    <n v="6"/>
    <n v="25.5"/>
    <n v="306"/>
    <n v="306"/>
    <n v="1836"/>
    <n v="1"/>
    <n v="1"/>
    <n v="0"/>
    <s v="200"/>
    <m/>
    <n v="1"/>
    <n v="305"/>
    <n v="0.99673202614379086"/>
    <m/>
    <m/>
    <m/>
    <m/>
    <x v="0"/>
    <x v="0"/>
    <m/>
    <m/>
    <m/>
    <x v="0"/>
    <x v="0"/>
  </r>
  <r>
    <x v="252"/>
    <x v="20"/>
    <x v="20"/>
    <n v="8"/>
    <n v="6"/>
    <n v="25"/>
    <n v="200"/>
    <n v="192"/>
    <n v="1152"/>
    <n v="0.96"/>
    <n v="1"/>
    <n v="-0.04"/>
    <s v="200"/>
    <m/>
    <n v="1"/>
    <n v="191"/>
    <n v="0.99479166666666663"/>
    <s v="1140225-01D"/>
    <m/>
    <s v="印製位置故障"/>
    <m/>
    <x v="0"/>
    <x v="0"/>
    <m/>
    <m/>
    <m/>
    <x v="0"/>
    <x v="0"/>
  </r>
  <r>
    <x v="252"/>
    <x v="17"/>
    <x v="17"/>
    <n v="21"/>
    <n v="3"/>
    <n v="29.7"/>
    <n v="623.69999999999993"/>
    <n v="628"/>
    <n v="1884"/>
    <n v="1.0068943402276738"/>
    <n v="1"/>
    <n v="7.0000000000000001E-3"/>
    <s v="540"/>
    <m/>
    <n v="0"/>
    <n v="628"/>
    <n v="1"/>
    <m/>
    <m/>
    <m/>
    <m/>
    <x v="0"/>
    <x v="0"/>
    <m/>
    <m/>
    <m/>
    <x v="0"/>
    <x v="0"/>
  </r>
  <r>
    <x v="252"/>
    <x v="11"/>
    <x v="11"/>
    <n v="56"/>
    <n v="2.8"/>
    <n v="44.5"/>
    <n v="2492"/>
    <n v="2539"/>
    <n v="7109.2"/>
    <n v="1.018860353130016"/>
    <n v="1"/>
    <n v="1.9E-2"/>
    <s v="540"/>
    <m/>
    <n v="1"/>
    <n v="2538"/>
    <n v="0.99960614415124061"/>
    <m/>
    <m/>
    <m/>
    <m/>
    <x v="0"/>
    <x v="0"/>
    <m/>
    <m/>
    <m/>
    <x v="0"/>
    <x v="0"/>
  </r>
  <r>
    <x v="253"/>
    <x v="15"/>
    <x v="15"/>
    <n v="72"/>
    <n v="3.2"/>
    <n v="46.8"/>
    <n v="3369.6"/>
    <n v="3356"/>
    <n v="10739.2"/>
    <n v="0.99596391263057937"/>
    <n v="1"/>
    <n v="-4.0000000000000001E-3"/>
    <s v="540"/>
    <m/>
    <n v="2"/>
    <n v="3354"/>
    <n v="0.99940405244338493"/>
    <m/>
    <m/>
    <m/>
    <m/>
    <x v="0"/>
    <x v="0"/>
    <m/>
    <m/>
    <m/>
    <x v="0"/>
    <x v="0"/>
  </r>
  <r>
    <x v="253"/>
    <x v="9"/>
    <x v="9"/>
    <n v="16"/>
    <n v="6"/>
    <n v="25.7"/>
    <n v="411.2"/>
    <n v="416"/>
    <n v="2496"/>
    <n v="1.0116731517509727"/>
    <n v="1"/>
    <n v="1.2E-2"/>
    <s v="277"/>
    <m/>
    <n v="1"/>
    <n v="415"/>
    <n v="0.99759615384615385"/>
    <m/>
    <m/>
    <m/>
    <m/>
    <x v="0"/>
    <x v="0"/>
    <m/>
    <m/>
    <m/>
    <x v="0"/>
    <x v="0"/>
  </r>
  <r>
    <x v="253"/>
    <x v="16"/>
    <x v="16"/>
    <n v="20"/>
    <n v="6"/>
    <n v="26.1"/>
    <n v="522"/>
    <n v="519"/>
    <n v="3114"/>
    <n v="0.99425287356321834"/>
    <n v="1"/>
    <n v="-6.0000000000000001E-3"/>
    <s v="270"/>
    <m/>
    <n v="2"/>
    <n v="517"/>
    <n v="0.9961464354527938"/>
    <m/>
    <m/>
    <m/>
    <m/>
    <x v="0"/>
    <x v="0"/>
    <m/>
    <m/>
    <m/>
    <x v="0"/>
    <x v="0"/>
  </r>
  <r>
    <x v="253"/>
    <x v="11"/>
    <x v="11"/>
    <n v="56"/>
    <n v="2.8"/>
    <n v="44.5"/>
    <n v="2492"/>
    <n v="2501"/>
    <n v="7002.7999999999993"/>
    <n v="1.0036115569823434"/>
    <n v="1"/>
    <n v="4.0000000000000001E-3"/>
    <s v="540"/>
    <m/>
    <n v="1"/>
    <n v="2500"/>
    <n v="0.99960015993602558"/>
    <m/>
    <m/>
    <m/>
    <m/>
    <x v="0"/>
    <x v="0"/>
    <m/>
    <m/>
    <m/>
    <x v="0"/>
    <x v="0"/>
  </r>
  <r>
    <x v="254"/>
    <x v="30"/>
    <x v="28"/>
    <n v="12"/>
    <n v="0.43"/>
    <n v="340.4"/>
    <n v="4084.7999999999997"/>
    <n v="4061"/>
    <n v="1746.23"/>
    <n v="0.99417352134743442"/>
    <n v="1"/>
    <n v="-6.0000000000000001E-3"/>
    <s v="300"/>
    <m/>
    <n v="21"/>
    <n v="4040"/>
    <n v="0.99482885988672742"/>
    <m/>
    <m/>
    <m/>
    <m/>
    <x v="0"/>
    <x v="0"/>
    <m/>
    <m/>
    <m/>
    <x v="0"/>
    <x v="0"/>
  </r>
  <r>
    <x v="254"/>
    <x v="49"/>
    <x v="43"/>
    <n v="12"/>
    <n v="0.43"/>
    <n v="364"/>
    <n v="4368"/>
    <n v="4505"/>
    <n v="1937.1499999999999"/>
    <n v="1.031364468864469"/>
    <n v="1"/>
    <n v="3.1E-2"/>
    <s v="390"/>
    <m/>
    <n v="19"/>
    <n v="4486"/>
    <n v="0.99578246392896785"/>
    <m/>
    <m/>
    <m/>
    <m/>
    <x v="0"/>
    <x v="0"/>
    <m/>
    <m/>
    <m/>
    <x v="0"/>
    <x v="0"/>
  </r>
  <r>
    <x v="254"/>
    <x v="121"/>
    <x v="43"/>
    <n v="3"/>
    <n v="0.43"/>
    <n v="364"/>
    <n v="1092"/>
    <n v="1120"/>
    <n v="481.59999999999997"/>
    <n v="1.0256410256410255"/>
    <e v="#N/A"/>
    <e v="#N/A"/>
    <s v="390"/>
    <m/>
    <n v="6"/>
    <n v="1114"/>
    <n v="0.99464285714285716"/>
    <m/>
    <m/>
    <s v="(研發測試草莓原料)"/>
    <m/>
    <x v="0"/>
    <x v="0"/>
    <m/>
    <m/>
    <m/>
    <x v="0"/>
    <x v="0"/>
  </r>
  <r>
    <x v="254"/>
    <x v="46"/>
    <x v="17"/>
    <n v="21"/>
    <n v="3"/>
    <n v="31.6"/>
    <n v="663.6"/>
    <n v="668"/>
    <n v="2004"/>
    <n v="1.0066305003013862"/>
    <n v="1"/>
    <n v="7.0000000000000001E-3"/>
    <s v="500"/>
    <m/>
    <n v="0"/>
    <n v="668"/>
    <n v="1"/>
    <m/>
    <m/>
    <m/>
    <m/>
    <x v="0"/>
    <x v="0"/>
    <m/>
    <m/>
    <m/>
    <x v="0"/>
    <x v="0"/>
  </r>
  <r>
    <x v="254"/>
    <x v="11"/>
    <x v="11"/>
    <n v="56"/>
    <n v="2.8"/>
    <n v="44.5"/>
    <n v="2492"/>
    <n v="2505"/>
    <n v="7014"/>
    <n v="1.0052166934189406"/>
    <n v="1"/>
    <n v="5.0000000000000001E-3"/>
    <s v="540"/>
    <m/>
    <n v="1"/>
    <n v="2504"/>
    <n v="0.9996007984031936"/>
    <m/>
    <m/>
    <m/>
    <m/>
    <x v="0"/>
    <x v="0"/>
    <m/>
    <m/>
    <m/>
    <x v="0"/>
    <x v="0"/>
  </r>
  <r>
    <x v="255"/>
    <x v="15"/>
    <x v="15"/>
    <n v="72"/>
    <n v="3.2"/>
    <n v="46.8"/>
    <n v="3369.6"/>
    <n v="3372"/>
    <n v="10790.400000000001"/>
    <n v="1.0007122507122508"/>
    <n v="1"/>
    <n v="1E-3"/>
    <s v="540"/>
    <m/>
    <n v="2"/>
    <n v="3370"/>
    <n v="0.99940688018979829"/>
    <m/>
    <m/>
    <m/>
    <m/>
    <x v="0"/>
    <x v="0"/>
    <m/>
    <m/>
    <m/>
    <x v="0"/>
    <x v="0"/>
  </r>
  <r>
    <x v="255"/>
    <x v="19"/>
    <x v="19"/>
    <n v="16"/>
    <n v="6"/>
    <n v="25.5"/>
    <n v="408"/>
    <n v="398"/>
    <n v="2388"/>
    <n v="0.97549019607843135"/>
    <n v="1"/>
    <n v="-2.5000000000000001E-2"/>
    <s v="210"/>
    <m/>
    <n v="2"/>
    <n v="396"/>
    <n v="0.99497487437185927"/>
    <m/>
    <m/>
    <m/>
    <m/>
    <x v="0"/>
    <x v="0"/>
    <m/>
    <m/>
    <m/>
    <x v="0"/>
    <x v="0"/>
  </r>
  <r>
    <x v="255"/>
    <x v="9"/>
    <x v="9"/>
    <n v="20"/>
    <n v="6"/>
    <n v="25.7"/>
    <n v="514"/>
    <n v="520"/>
    <n v="3120"/>
    <n v="1.0116731517509727"/>
    <n v="1"/>
    <n v="1.2E-2"/>
    <s v="330"/>
    <m/>
    <n v="2"/>
    <n v="518"/>
    <n v="0.99615384615384617"/>
    <m/>
    <m/>
    <m/>
    <m/>
    <x v="0"/>
    <x v="0"/>
    <m/>
    <m/>
    <m/>
    <x v="0"/>
    <x v="0"/>
  </r>
  <r>
    <x v="255"/>
    <x v="34"/>
    <x v="32"/>
    <n v="20"/>
    <n v="0.34"/>
    <n v="358.3"/>
    <n v="7166"/>
    <n v="7232"/>
    <n v="2458.88"/>
    <n v="1.0092101590845659"/>
    <n v="1"/>
    <n v="8.9999999999999993E-3"/>
    <s v="420"/>
    <m/>
    <n v="3"/>
    <n v="7229"/>
    <n v="0.99958517699115046"/>
    <m/>
    <m/>
    <m/>
    <m/>
    <x v="0"/>
    <x v="0"/>
    <m/>
    <m/>
    <m/>
    <x v="0"/>
    <x v="0"/>
  </r>
  <r>
    <x v="255"/>
    <x v="12"/>
    <x v="12"/>
    <n v="20"/>
    <n v="0.8"/>
    <n v="157.69999999999999"/>
    <n v="3154"/>
    <n v="3137"/>
    <n v="2509.6000000000004"/>
    <n v="0.99461001902346224"/>
    <n v="1"/>
    <n v="-5.0000000000000001E-3"/>
    <s v="540"/>
    <m/>
    <n v="2"/>
    <n v="3135"/>
    <n v="0.99936244819891618"/>
    <m/>
    <m/>
    <m/>
    <m/>
    <x v="0"/>
    <x v="0"/>
    <m/>
    <m/>
    <m/>
    <x v="0"/>
    <x v="0"/>
  </r>
  <r>
    <x v="255"/>
    <x v="87"/>
    <x v="79"/>
    <n v="2"/>
    <n v="1"/>
    <n v="243"/>
    <n v="486"/>
    <n v="502"/>
    <n v="502"/>
    <n v="1.0329218106995885"/>
    <n v="1"/>
    <n v="3.3000000000000002E-2"/>
    <s v="0"/>
    <m/>
    <n v="3"/>
    <n v="499"/>
    <n v="0.99402390438247012"/>
    <m/>
    <m/>
    <m/>
    <m/>
    <x v="0"/>
    <x v="0"/>
    <m/>
    <m/>
    <m/>
    <x v="0"/>
    <x v="0"/>
  </r>
  <r>
    <x v="256"/>
    <x v="75"/>
    <x v="65"/>
    <n v="3"/>
    <n v="0.19"/>
    <n v="759.3"/>
    <n v="2277.8999999999996"/>
    <n v="2150"/>
    <n v="408.5"/>
    <n v="0.94385179331840741"/>
    <n v="1"/>
    <n v="-5.6000000000000001E-2"/>
    <s v="240"/>
    <m/>
    <n v="5"/>
    <n v="2145"/>
    <n v="0.99767441860465111"/>
    <m/>
    <m/>
    <m/>
    <m/>
    <x v="0"/>
    <x v="0"/>
    <m/>
    <m/>
    <m/>
    <x v="0"/>
    <x v="0"/>
  </r>
  <r>
    <x v="256"/>
    <x v="9"/>
    <x v="9"/>
    <n v="20"/>
    <n v="6"/>
    <n v="25.7"/>
    <n v="514"/>
    <n v="512"/>
    <n v="3072"/>
    <n v="0.99610894941634243"/>
    <n v="1"/>
    <n v="-4.0000000000000001E-3"/>
    <s v="300"/>
    <m/>
    <n v="2"/>
    <n v="510"/>
    <n v="0.99609375"/>
    <m/>
    <m/>
    <m/>
    <m/>
    <x v="0"/>
    <x v="0"/>
    <m/>
    <m/>
    <m/>
    <x v="0"/>
    <x v="0"/>
  </r>
  <r>
    <x v="256"/>
    <x v="17"/>
    <x v="17"/>
    <n v="21"/>
    <n v="3"/>
    <n v="29.7"/>
    <n v="623.69999999999993"/>
    <n v="628"/>
    <n v="1884"/>
    <n v="1.0068943402276738"/>
    <n v="1"/>
    <n v="7.0000000000000001E-3"/>
    <s v="540"/>
    <m/>
    <n v="0"/>
    <n v="628"/>
    <n v="1"/>
    <m/>
    <m/>
    <m/>
    <m/>
    <x v="0"/>
    <x v="0"/>
    <m/>
    <m/>
    <m/>
    <x v="0"/>
    <x v="0"/>
  </r>
  <r>
    <x v="256"/>
    <x v="55"/>
    <x v="48"/>
    <n v="40"/>
    <n v="18"/>
    <n v="6.9"/>
    <n v="276"/>
    <n v="279"/>
    <n v="5022"/>
    <n v="1.0108695652173914"/>
    <n v="1"/>
    <n v="1.0999999999999999E-2"/>
    <s v="420"/>
    <m/>
    <n v="0"/>
    <n v="279"/>
    <n v="1"/>
    <m/>
    <m/>
    <m/>
    <m/>
    <x v="0"/>
    <x v="0"/>
    <m/>
    <m/>
    <m/>
    <x v="0"/>
    <x v="0"/>
  </r>
  <r>
    <x v="256"/>
    <x v="102"/>
    <x v="92"/>
    <n v="1"/>
    <n v="1"/>
    <n v="142"/>
    <n v="142"/>
    <n v="134"/>
    <n v="134"/>
    <n v="0.94366197183098588"/>
    <n v="1"/>
    <n v="-5.6000000000000001E-2"/>
    <s v="0"/>
    <m/>
    <n v="0"/>
    <n v="134"/>
    <n v="1"/>
    <m/>
    <m/>
    <m/>
    <m/>
    <x v="0"/>
    <x v="0"/>
    <m/>
    <m/>
    <m/>
    <x v="0"/>
    <x v="0"/>
  </r>
  <r>
    <x v="257"/>
    <x v="26"/>
    <x v="25"/>
    <n v="20"/>
    <n v="0.9"/>
    <n v="163"/>
    <n v="3260"/>
    <n v="3289"/>
    <n v="2960.1"/>
    <n v="1.0088957055214725"/>
    <n v="1"/>
    <n v="8.9999999999999993E-3"/>
    <s v="270"/>
    <m/>
    <n v="2"/>
    <n v="3287"/>
    <n v="0.99939191243539072"/>
    <m/>
    <m/>
    <m/>
    <m/>
    <x v="0"/>
    <x v="0"/>
    <m/>
    <m/>
    <m/>
    <x v="0"/>
    <x v="0"/>
  </r>
  <r>
    <x v="257"/>
    <x v="13"/>
    <x v="13"/>
    <n v="20"/>
    <n v="0.9"/>
    <n v="160.5"/>
    <n v="3210"/>
    <n v="3224"/>
    <n v="2901.6"/>
    <n v="1.0043613707165109"/>
    <n v="1"/>
    <n v="4.0000000000000001E-3"/>
    <s v="340"/>
    <m/>
    <n v="3"/>
    <n v="3221"/>
    <n v="0.99906947890818854"/>
    <m/>
    <m/>
    <m/>
    <m/>
    <x v="0"/>
    <x v="0"/>
    <m/>
    <m/>
    <m/>
    <x v="0"/>
    <x v="0"/>
  </r>
  <r>
    <x v="257"/>
    <x v="48"/>
    <x v="17"/>
    <n v="21"/>
    <n v="3"/>
    <n v="30.8"/>
    <n v="646.80000000000007"/>
    <n v="648"/>
    <n v="1944"/>
    <n v="1.0018552875695732"/>
    <n v="1"/>
    <n v="2E-3"/>
    <s v="540"/>
    <m/>
    <n v="0"/>
    <n v="648"/>
    <n v="1"/>
    <m/>
    <m/>
    <m/>
    <m/>
    <x v="0"/>
    <x v="0"/>
    <m/>
    <m/>
    <m/>
    <x v="0"/>
    <x v="0"/>
  </r>
  <r>
    <x v="257"/>
    <x v="11"/>
    <x v="11"/>
    <n v="56"/>
    <n v="2.8"/>
    <n v="44.5"/>
    <n v="2395.5714285714284"/>
    <n v="2402"/>
    <n v="6725.5999999999995"/>
    <n v="1.00268352316775"/>
    <n v="1"/>
    <n v="3.0000000000000001E-3"/>
    <s v="540"/>
    <m/>
    <n v="1"/>
    <n v="2401"/>
    <n v="0.99958368026644462"/>
    <m/>
    <m/>
    <s v="D2021美芝城*100箱、D9920(18kg)*15桶"/>
    <m/>
    <x v="0"/>
    <x v="0"/>
    <m/>
    <m/>
    <m/>
    <x v="0"/>
    <x v="0"/>
  </r>
  <r>
    <x v="258"/>
    <x v="8"/>
    <x v="8"/>
    <n v="36"/>
    <n v="0.44"/>
    <n v="344"/>
    <n v="12384"/>
    <n v="12416"/>
    <n v="5463.04"/>
    <n v="1.0025839793281655"/>
    <n v="1"/>
    <n v="3.0000000000000001E-3"/>
    <s v="540"/>
    <m/>
    <n v="9"/>
    <n v="12407"/>
    <n v="0.99927512886597936"/>
    <m/>
    <m/>
    <m/>
    <m/>
    <x v="0"/>
    <x v="0"/>
    <m/>
    <m/>
    <m/>
    <x v="0"/>
    <x v="0"/>
  </r>
  <r>
    <x v="258"/>
    <x v="16"/>
    <x v="16"/>
    <n v="20"/>
    <n v="6"/>
    <n v="26.1"/>
    <n v="522"/>
    <n v="526"/>
    <n v="3156"/>
    <n v="1.0076628352490422"/>
    <n v="1"/>
    <n v="8.0000000000000002E-3"/>
    <s v="280"/>
    <m/>
    <n v="1"/>
    <n v="525"/>
    <n v="0.99809885931558939"/>
    <m/>
    <m/>
    <m/>
    <m/>
    <x v="0"/>
    <x v="0"/>
    <m/>
    <m/>
    <m/>
    <x v="0"/>
    <x v="0"/>
  </r>
  <r>
    <x v="258"/>
    <x v="18"/>
    <x v="18"/>
    <n v="16"/>
    <n v="6"/>
    <n v="26.4"/>
    <n v="422.4"/>
    <n v="429"/>
    <n v="2574"/>
    <n v="1.015625"/>
    <n v="1"/>
    <n v="1.6E-2"/>
    <s v="276"/>
    <m/>
    <n v="1"/>
    <n v="428"/>
    <n v="0.99766899766899764"/>
    <m/>
    <m/>
    <m/>
    <m/>
    <x v="0"/>
    <x v="0"/>
    <m/>
    <m/>
    <m/>
    <x v="0"/>
    <x v="0"/>
  </r>
  <r>
    <x v="258"/>
    <x v="11"/>
    <x v="11"/>
    <n v="44"/>
    <n v="2.8"/>
    <n v="44.5"/>
    <n v="1958"/>
    <n v="2000"/>
    <n v="5600"/>
    <n v="1.0214504596527068"/>
    <n v="1"/>
    <n v="2.1000000000000001E-2"/>
    <s v="480"/>
    <m/>
    <n v="1"/>
    <n v="1999"/>
    <n v="0.99950000000000006"/>
    <m/>
    <m/>
    <m/>
    <m/>
    <x v="0"/>
    <x v="0"/>
    <m/>
    <m/>
    <m/>
    <x v="0"/>
    <x v="0"/>
  </r>
  <r>
    <x v="258"/>
    <x v="35"/>
    <x v="33"/>
    <n v="8"/>
    <n v="18"/>
    <n v="6.6"/>
    <n v="52.8"/>
    <n v="51"/>
    <n v="918"/>
    <n v="0.96590909090909094"/>
    <n v="1"/>
    <n v="-3.4000000000000002E-2"/>
    <s v="120"/>
    <m/>
    <n v="0"/>
    <n v="51"/>
    <n v="1"/>
    <m/>
    <m/>
    <m/>
    <m/>
    <x v="0"/>
    <x v="0"/>
    <m/>
    <m/>
    <m/>
    <x v="0"/>
    <x v="0"/>
  </r>
  <r>
    <x v="259"/>
    <x v="15"/>
    <x v="15"/>
    <n v="60"/>
    <n v="3.2"/>
    <n v="46.8"/>
    <n v="2808"/>
    <n v="2830"/>
    <n v="9056"/>
    <n v="1.0078347578347577"/>
    <n v="1"/>
    <n v="8.0000000000000002E-3"/>
    <s v="540"/>
    <m/>
    <n v="2"/>
    <n v="2828"/>
    <n v="0.99929328621908131"/>
    <m/>
    <m/>
    <m/>
    <m/>
    <x v="0"/>
    <x v="0"/>
    <m/>
    <m/>
    <m/>
    <x v="0"/>
    <x v="0"/>
  </r>
  <r>
    <x v="259"/>
    <x v="22"/>
    <x v="10"/>
    <n v="24"/>
    <n v="6"/>
    <n v="25.1"/>
    <n v="602.40000000000009"/>
    <n v="612"/>
    <n v="3672"/>
    <n v="1.0159362549800794"/>
    <n v="1"/>
    <n v="1.6E-2"/>
    <s v="330"/>
    <m/>
    <n v="6"/>
    <n v="606"/>
    <n v="0.99019607843137258"/>
    <m/>
    <m/>
    <m/>
    <m/>
    <x v="0"/>
    <x v="0"/>
    <m/>
    <m/>
    <m/>
    <x v="0"/>
    <x v="0"/>
  </r>
  <r>
    <x v="259"/>
    <x v="0"/>
    <x v="0"/>
    <n v="12"/>
    <n v="6"/>
    <n v="25.5"/>
    <n v="306"/>
    <n v="302"/>
    <n v="1812"/>
    <n v="0.98692810457516345"/>
    <n v="1"/>
    <n v="-1.2999999999999999E-2"/>
    <s v="155"/>
    <m/>
    <n v="1"/>
    <n v="301"/>
    <n v="0.99668874172185429"/>
    <m/>
    <m/>
    <m/>
    <m/>
    <x v="0"/>
    <x v="0"/>
    <m/>
    <m/>
    <m/>
    <x v="0"/>
    <x v="0"/>
  </r>
  <r>
    <x v="259"/>
    <x v="120"/>
    <x v="110"/>
    <n v="0.5"/>
    <n v="6"/>
    <e v="#N/A"/>
    <n v="15"/>
    <n v="13"/>
    <n v="78"/>
    <n v="0.8666666666666667"/>
    <e v="#N/A"/>
    <e v="#N/A"/>
    <s v="96"/>
    <m/>
    <n v="1"/>
    <n v="12"/>
    <n v="0.92307692307692313"/>
    <m/>
    <m/>
    <m/>
    <m/>
    <x v="0"/>
    <x v="0"/>
    <m/>
    <m/>
    <m/>
    <x v="0"/>
    <x v="0"/>
  </r>
  <r>
    <x v="259"/>
    <x v="41"/>
    <x v="39"/>
    <n v="56"/>
    <n v="2.8"/>
    <n v="44.2"/>
    <n v="1832.3428571428574"/>
    <n v="1823"/>
    <n v="5104.3999999999996"/>
    <n v="0.99490114139587094"/>
    <n v="1"/>
    <n v="-5.0000000000000001E-3"/>
    <s v="480"/>
    <m/>
    <n v="1"/>
    <n v="1822"/>
    <n v="0.99945145364783328"/>
    <m/>
    <m/>
    <s v="D9921(18kg)*100桶"/>
    <m/>
    <x v="0"/>
    <x v="0"/>
    <m/>
    <m/>
    <m/>
    <x v="0"/>
    <x v="0"/>
  </r>
  <r>
    <x v="260"/>
    <x v="15"/>
    <x v="15"/>
    <n v="56"/>
    <n v="3.2"/>
    <n v="46.8"/>
    <n v="2620.7999999999997"/>
    <n v="2661"/>
    <n v="8515.2000000000007"/>
    <n v="1.015338827838828"/>
    <n v="1"/>
    <n v="1.4999999999999999E-2"/>
    <s v="450"/>
    <m/>
    <n v="2"/>
    <n v="2659"/>
    <n v="0.9992484028560692"/>
    <m/>
    <m/>
    <m/>
    <m/>
    <x v="0"/>
    <x v="0"/>
    <m/>
    <m/>
    <m/>
    <x v="0"/>
    <x v="0"/>
  </r>
  <r>
    <x v="260"/>
    <x v="70"/>
    <x v="60"/>
    <n v="4"/>
    <n v="3.4"/>
    <n v="43"/>
    <n v="172"/>
    <n v="175"/>
    <n v="595"/>
    <n v="1.0174418604651163"/>
    <n v="1"/>
    <n v="1.7000000000000001E-2"/>
    <s v="156"/>
    <m/>
    <n v="1"/>
    <n v="174"/>
    <n v="0.99428571428571433"/>
    <m/>
    <m/>
    <m/>
    <m/>
    <x v="0"/>
    <x v="0"/>
    <m/>
    <m/>
    <m/>
    <x v="0"/>
    <x v="0"/>
  </r>
  <r>
    <x v="260"/>
    <x v="10"/>
    <x v="10"/>
    <n v="24"/>
    <n v="6"/>
    <n v="25.4"/>
    <n v="609.59999999999991"/>
    <n v="608"/>
    <n v="3648"/>
    <n v="0.99737532808398965"/>
    <n v="1"/>
    <n v="-3.0000000000000001E-3"/>
    <s v="390"/>
    <m/>
    <n v="4"/>
    <n v="604"/>
    <n v="0.99342105263157898"/>
    <m/>
    <m/>
    <m/>
    <m/>
    <x v="0"/>
    <x v="0"/>
    <m/>
    <m/>
    <m/>
    <x v="0"/>
    <x v="0"/>
  </r>
  <r>
    <x v="260"/>
    <x v="9"/>
    <x v="9"/>
    <n v="12"/>
    <n v="6"/>
    <n v="25.7"/>
    <n v="308.39999999999998"/>
    <n v="310"/>
    <n v="1860"/>
    <n v="1.0051880674448768"/>
    <n v="1"/>
    <n v="5.0000000000000001E-3"/>
    <s v="176"/>
    <m/>
    <n v="1"/>
    <n v="309"/>
    <n v="0.99677419354838714"/>
    <m/>
    <m/>
    <m/>
    <m/>
    <x v="0"/>
    <x v="0"/>
    <m/>
    <m/>
    <m/>
    <x v="0"/>
    <x v="0"/>
  </r>
  <r>
    <x v="260"/>
    <x v="46"/>
    <x v="17"/>
    <n v="21"/>
    <n v="3"/>
    <n v="31.6"/>
    <n v="663.6"/>
    <n v="664"/>
    <n v="1992"/>
    <n v="1.0006027727546714"/>
    <n v="1"/>
    <n v="1E-3"/>
    <s v="500"/>
    <m/>
    <n v="0"/>
    <n v="664"/>
    <n v="1"/>
    <s v="1140310-01A"/>
    <m/>
    <s v="真空鍋花生溢出"/>
    <m/>
    <x v="0"/>
    <x v="0"/>
    <m/>
    <m/>
    <m/>
    <x v="0"/>
    <x v="0"/>
  </r>
  <r>
    <x v="260"/>
    <x v="87"/>
    <x v="79"/>
    <n v="2"/>
    <n v="1"/>
    <n v="243"/>
    <n v="486"/>
    <n v="496"/>
    <n v="496"/>
    <n v="1.0205761316872428"/>
    <n v="1"/>
    <n v="2.1000000000000001E-2"/>
    <s v="0"/>
    <m/>
    <n v="3"/>
    <n v="493"/>
    <n v="0.99395161290322576"/>
    <m/>
    <m/>
    <m/>
    <m/>
    <x v="0"/>
    <x v="0"/>
    <m/>
    <m/>
    <m/>
    <x v="0"/>
    <x v="0"/>
  </r>
  <r>
    <x v="261"/>
    <x v="43"/>
    <x v="41"/>
    <n v="16"/>
    <n v="0.26"/>
    <n v="584.29999999999995"/>
    <n v="9348.7999999999993"/>
    <n v="9462"/>
    <n v="2460.12"/>
    <n v="1.0121085059045012"/>
    <n v="1"/>
    <n v="1.2E-2"/>
    <s v="300"/>
    <m/>
    <n v="21"/>
    <n v="9441"/>
    <n v="0.99778059606848446"/>
    <m/>
    <m/>
    <m/>
    <m/>
    <x v="0"/>
    <x v="0"/>
    <m/>
    <m/>
    <m/>
    <x v="0"/>
    <x v="0"/>
  </r>
  <r>
    <x v="261"/>
    <x v="88"/>
    <x v="80"/>
    <n v="6"/>
    <n v="6"/>
    <n v="25.8"/>
    <n v="154.80000000000001"/>
    <n v="152"/>
    <n v="912"/>
    <n v="0.98191214470284227"/>
    <n v="1"/>
    <n v="-1.7999999999999999E-2"/>
    <s v="135"/>
    <m/>
    <n v="1"/>
    <n v="151"/>
    <n v="0.99342105263157898"/>
    <m/>
    <m/>
    <m/>
    <m/>
    <x v="0"/>
    <x v="0"/>
    <m/>
    <m/>
    <m/>
    <x v="0"/>
    <x v="0"/>
  </r>
  <r>
    <x v="261"/>
    <x v="1"/>
    <x v="1"/>
    <n v="8"/>
    <n v="6"/>
    <n v="25.7"/>
    <n v="205.6"/>
    <n v="190"/>
    <n v="1140"/>
    <n v="0.92412451361867709"/>
    <n v="1"/>
    <n v="-7.5999999999999998E-2"/>
    <s v="172"/>
    <m/>
    <n v="3"/>
    <n v="187"/>
    <n v="0.98421052631578942"/>
    <m/>
    <n v="600"/>
    <s v="特殊製程(4p)1140220-01B"/>
    <m/>
    <x v="0"/>
    <x v="0"/>
    <m/>
    <m/>
    <m/>
    <x v="0"/>
    <x v="0"/>
  </r>
  <r>
    <x v="261"/>
    <x v="45"/>
    <x v="10"/>
    <n v="8"/>
    <n v="6"/>
    <n v="26.4"/>
    <n v="211.2"/>
    <n v="213"/>
    <n v="1278"/>
    <n v="1.0085227272727273"/>
    <n v="1"/>
    <n v="8.9999999999999993E-3"/>
    <s v="180"/>
    <m/>
    <n v="2"/>
    <n v="211"/>
    <n v="0.99061032863849763"/>
    <m/>
    <m/>
    <m/>
    <m/>
    <x v="0"/>
    <x v="0"/>
    <m/>
    <m/>
    <m/>
    <x v="0"/>
    <x v="0"/>
  </r>
  <r>
    <x v="261"/>
    <x v="9"/>
    <x v="9"/>
    <n v="28"/>
    <n v="6"/>
    <n v="25.7"/>
    <n v="719.6"/>
    <n v="731"/>
    <n v="4386"/>
    <n v="1.0158421345191773"/>
    <n v="1"/>
    <n v="1.6E-2"/>
    <s v="413"/>
    <m/>
    <n v="1"/>
    <n v="730"/>
    <n v="0.99863201094391241"/>
    <m/>
    <m/>
    <m/>
    <m/>
    <x v="0"/>
    <x v="0"/>
    <m/>
    <m/>
    <m/>
    <x v="0"/>
    <x v="0"/>
  </r>
  <r>
    <x v="261"/>
    <x v="11"/>
    <x v="11"/>
    <n v="56"/>
    <n v="2.8"/>
    <n v="44.5"/>
    <n v="2492"/>
    <n v="2497"/>
    <n v="6991.5999999999995"/>
    <n v="1.0020064205457464"/>
    <n v="1"/>
    <n v="2E-3"/>
    <s v="540"/>
    <m/>
    <n v="1"/>
    <n v="2496"/>
    <n v="0.99959951942330794"/>
    <m/>
    <m/>
    <m/>
    <m/>
    <x v="0"/>
    <x v="0"/>
    <m/>
    <m/>
    <m/>
    <x v="0"/>
    <x v="0"/>
  </r>
  <r>
    <x v="262"/>
    <x v="27"/>
    <x v="26"/>
    <n v="28"/>
    <n v="3.2"/>
    <n v="47.5"/>
    <n v="1330"/>
    <n v="1315"/>
    <n v="4208"/>
    <n v="0.98872180451127822"/>
    <n v="1"/>
    <n v="-1.0999999999999999E-2"/>
    <s v="300"/>
    <m/>
    <n v="1"/>
    <n v="1314"/>
    <n v="0.99923954372623569"/>
    <m/>
    <m/>
    <m/>
    <m/>
    <x v="0"/>
    <x v="0"/>
    <m/>
    <m/>
    <m/>
    <x v="0"/>
    <x v="0"/>
  </r>
  <r>
    <x v="262"/>
    <x v="21"/>
    <x v="21"/>
    <n v="28"/>
    <n v="3.2"/>
    <n v="46.4"/>
    <n v="1299.2"/>
    <n v="1303"/>
    <n v="4169.6000000000004"/>
    <n v="1.0029248768472907"/>
    <n v="1"/>
    <n v="3.0000000000000001E-3"/>
    <s v="240"/>
    <m/>
    <n v="1"/>
    <n v="1302"/>
    <n v="0.99923254029163466"/>
    <m/>
    <m/>
    <m/>
    <m/>
    <x v="0"/>
    <x v="0"/>
    <m/>
    <m/>
    <m/>
    <x v="0"/>
    <x v="0"/>
  </r>
  <r>
    <x v="262"/>
    <x v="82"/>
    <x v="74"/>
    <n v="6"/>
    <n v="6"/>
    <n v="24.5"/>
    <n v="147"/>
    <n v="149"/>
    <n v="894"/>
    <n v="1.0136054421768708"/>
    <n v="1"/>
    <n v="1.4E-2"/>
    <s v="180"/>
    <m/>
    <n v="1"/>
    <n v="148"/>
    <n v="0.99328859060402686"/>
    <m/>
    <m/>
    <m/>
    <m/>
    <x v="0"/>
    <x v="0"/>
    <m/>
    <m/>
    <m/>
    <x v="0"/>
    <x v="0"/>
  </r>
  <r>
    <x v="262"/>
    <x v="18"/>
    <x v="18"/>
    <n v="12"/>
    <n v="6"/>
    <n v="26.4"/>
    <n v="316.79999999999995"/>
    <n v="319"/>
    <n v="1914"/>
    <n v="1.0069444444444446"/>
    <n v="1"/>
    <n v="7.0000000000000001E-3"/>
    <s v="210"/>
    <m/>
    <n v="2"/>
    <n v="317"/>
    <n v="0.99373040752351094"/>
    <m/>
    <m/>
    <m/>
    <m/>
    <x v="0"/>
    <x v="0"/>
    <m/>
    <m/>
    <m/>
    <x v="0"/>
    <x v="0"/>
  </r>
  <r>
    <x v="262"/>
    <x v="116"/>
    <x v="105"/>
    <n v="2.73"/>
    <n v="6"/>
    <n v="25.2"/>
    <n v="68.795999999999992"/>
    <n v="68"/>
    <n v="408"/>
    <n v="0.98842955985813141"/>
    <n v="1"/>
    <n v="-1.2E-2"/>
    <s v="85"/>
    <m/>
    <n v="1"/>
    <n v="67"/>
    <n v="0.98529411764705888"/>
    <m/>
    <m/>
    <m/>
    <m/>
    <x v="0"/>
    <x v="0"/>
    <m/>
    <m/>
    <m/>
    <x v="0"/>
    <x v="0"/>
  </r>
  <r>
    <x v="262"/>
    <x v="32"/>
    <x v="30"/>
    <n v="8"/>
    <n v="6"/>
    <n v="25.2"/>
    <n v="201.6"/>
    <n v="199"/>
    <n v="1194"/>
    <n v="0.98710317460317465"/>
    <n v="1"/>
    <n v="-1.2999999999999999E-2"/>
    <s v="141"/>
    <m/>
    <n v="1"/>
    <n v="198"/>
    <n v="0.99497487437185927"/>
    <m/>
    <m/>
    <m/>
    <m/>
    <x v="0"/>
    <x v="0"/>
    <m/>
    <m/>
    <m/>
    <x v="0"/>
    <x v="0"/>
  </r>
  <r>
    <x v="262"/>
    <x v="122"/>
    <x v="111"/>
    <n v="1"/>
    <n v="6"/>
    <n v="0"/>
    <n v="0"/>
    <n v="23"/>
    <n v="138"/>
    <s v="無法預估數據"/>
    <e v="#N/A"/>
    <s v="無法預估數據"/>
    <s v="54"/>
    <m/>
    <n v="1"/>
    <n v="22"/>
    <n v="0.95652173913043481"/>
    <m/>
    <m/>
    <m/>
    <m/>
    <x v="0"/>
    <x v="0"/>
    <m/>
    <m/>
    <m/>
    <x v="0"/>
    <x v="0"/>
  </r>
  <r>
    <x v="262"/>
    <x v="11"/>
    <x v="11"/>
    <n v="56"/>
    <n v="2.8"/>
    <n v="44.5"/>
    <n v="2492"/>
    <n v="2502"/>
    <n v="7005.5999999999995"/>
    <n v="1.0040128410914928"/>
    <n v="1"/>
    <n v="4.0000000000000001E-3"/>
    <s v="525"/>
    <m/>
    <n v="1"/>
    <n v="2501"/>
    <n v="0.9996003197442046"/>
    <m/>
    <m/>
    <m/>
    <m/>
    <x v="0"/>
    <x v="0"/>
    <m/>
    <m/>
    <m/>
    <x v="0"/>
    <x v="0"/>
  </r>
  <r>
    <x v="263"/>
    <x v="2"/>
    <x v="2"/>
    <n v="24"/>
    <n v="6"/>
    <n v="26.6"/>
    <n v="638.40000000000009"/>
    <n v="613"/>
    <n v="3678"/>
    <n v="0.96021303258145352"/>
    <n v="1"/>
    <n v="-0.04"/>
    <s v="340"/>
    <m/>
    <n v="2"/>
    <n v="611"/>
    <n v="0.99673735725938006"/>
    <m/>
    <m/>
    <m/>
    <m/>
    <x v="0"/>
    <x v="0"/>
    <m/>
    <m/>
    <m/>
    <x v="0"/>
    <x v="0"/>
  </r>
  <r>
    <x v="263"/>
    <x v="0"/>
    <x v="0"/>
    <n v="12"/>
    <n v="6"/>
    <n v="25.5"/>
    <n v="306"/>
    <n v="295"/>
    <n v="1770"/>
    <n v="0.96405228758169936"/>
    <n v="1"/>
    <n v="-3.5999999999999997E-2"/>
    <s v="210"/>
    <m/>
    <n v="2"/>
    <n v="293"/>
    <n v="0.99322033898305084"/>
    <m/>
    <m/>
    <m/>
    <m/>
    <x v="0"/>
    <x v="0"/>
    <m/>
    <m/>
    <m/>
    <x v="0"/>
    <x v="0"/>
  </r>
  <r>
    <x v="263"/>
    <x v="52"/>
    <x v="46"/>
    <n v="8"/>
    <n v="4.5"/>
    <n v="35.6"/>
    <n v="284.8"/>
    <n v="272"/>
    <n v="1224"/>
    <n v="0.9550561797752809"/>
    <n v="1"/>
    <n v="-4.4999999999999998E-2"/>
    <s v="196"/>
    <m/>
    <n v="0"/>
    <n v="272"/>
    <n v="1"/>
    <m/>
    <m/>
    <m/>
    <m/>
    <x v="0"/>
    <x v="0"/>
    <m/>
    <m/>
    <m/>
    <x v="0"/>
    <x v="0"/>
  </r>
  <r>
    <x v="263"/>
    <x v="77"/>
    <x v="69"/>
    <n v="3"/>
    <n v="4.5"/>
    <n v="32.9"/>
    <n v="98.699999999999989"/>
    <n v="100"/>
    <n v="450"/>
    <n v="1.0131712259371835"/>
    <n v="1"/>
    <n v="1.2999999999999999E-2"/>
    <s v="140"/>
    <m/>
    <n v="0"/>
    <n v="100"/>
    <n v="1"/>
    <m/>
    <m/>
    <m/>
    <m/>
    <x v="0"/>
    <x v="0"/>
    <m/>
    <m/>
    <m/>
    <x v="0"/>
    <x v="0"/>
  </r>
  <r>
    <x v="263"/>
    <x v="16"/>
    <x v="16"/>
    <n v="20"/>
    <n v="6"/>
    <n v="26.1"/>
    <n v="522"/>
    <n v="521"/>
    <n v="3126"/>
    <n v="0.99808429118773945"/>
    <n v="1"/>
    <n v="-2E-3"/>
    <s v="330"/>
    <m/>
    <n v="3"/>
    <n v="518"/>
    <n v="0.99424184261036463"/>
    <m/>
    <m/>
    <m/>
    <m/>
    <x v="0"/>
    <x v="0"/>
    <m/>
    <m/>
    <m/>
    <x v="0"/>
    <x v="0"/>
  </r>
  <r>
    <x v="263"/>
    <x v="64"/>
    <x v="55"/>
    <n v="8"/>
    <n v="0.28999999999999998"/>
    <n v="412.6"/>
    <n v="3300.8"/>
    <n v="3458"/>
    <n v="1002.8199999999999"/>
    <n v="1.0476248182258845"/>
    <n v="1"/>
    <n v="4.8000000000000001E-2"/>
    <s v="450"/>
    <m/>
    <n v="5"/>
    <n v="3453"/>
    <n v="0.99855407750144587"/>
    <m/>
    <m/>
    <m/>
    <m/>
    <x v="0"/>
    <x v="0"/>
    <m/>
    <m/>
    <m/>
    <x v="0"/>
    <x v="0"/>
  </r>
  <r>
    <x v="263"/>
    <x v="6"/>
    <x v="6"/>
    <n v="16"/>
    <n v="0.4"/>
    <n v="309.2"/>
    <n v="4947.2"/>
    <n v="5005"/>
    <n v="2002"/>
    <n v="1.0116833764553688"/>
    <n v="1"/>
    <n v="1.2E-2"/>
    <s v="420"/>
    <m/>
    <n v="3"/>
    <n v="5002"/>
    <n v="0.99940059940059944"/>
    <m/>
    <m/>
    <m/>
    <m/>
    <x v="0"/>
    <x v="0"/>
    <m/>
    <m/>
    <m/>
    <x v="0"/>
    <x v="0"/>
  </r>
  <r>
    <x v="264"/>
    <x v="15"/>
    <x v="15"/>
    <n v="60"/>
    <n v="3.2"/>
    <n v="46.8"/>
    <n v="2808"/>
    <n v="2819"/>
    <n v="9020.8000000000011"/>
    <n v="1.003917378917379"/>
    <n v="1"/>
    <n v="4.0000000000000001E-3"/>
    <s v="540"/>
    <m/>
    <n v="3"/>
    <n v="2816"/>
    <n v="0.99893579283433842"/>
    <m/>
    <m/>
    <m/>
    <m/>
    <x v="0"/>
    <x v="0"/>
    <m/>
    <m/>
    <m/>
    <x v="0"/>
    <x v="0"/>
  </r>
  <r>
    <x v="264"/>
    <x v="9"/>
    <x v="9"/>
    <n v="20"/>
    <n v="6"/>
    <n v="25.7"/>
    <n v="514"/>
    <n v="525"/>
    <n v="3150"/>
    <n v="1.0214007782101167"/>
    <n v="1"/>
    <n v="2.1000000000000001E-2"/>
    <s v="313"/>
    <m/>
    <n v="1"/>
    <n v="524"/>
    <n v="0.99809523809523815"/>
    <m/>
    <m/>
    <m/>
    <m/>
    <x v="0"/>
    <x v="0"/>
    <m/>
    <m/>
    <m/>
    <x v="0"/>
    <x v="0"/>
  </r>
  <r>
    <x v="264"/>
    <x v="22"/>
    <x v="10"/>
    <n v="16"/>
    <n v="6"/>
    <n v="25.1"/>
    <n v="401.6"/>
    <n v="403"/>
    <n v="2418"/>
    <n v="1.0034860557768923"/>
    <n v="1"/>
    <n v="3.0000000000000001E-3"/>
    <s v="250"/>
    <m/>
    <n v="2"/>
    <n v="401"/>
    <n v="0.99503722084367241"/>
    <m/>
    <m/>
    <m/>
    <m/>
    <x v="0"/>
    <x v="0"/>
    <m/>
    <m/>
    <m/>
    <x v="0"/>
    <x v="0"/>
  </r>
  <r>
    <x v="264"/>
    <x v="17"/>
    <x v="17"/>
    <n v="21"/>
    <n v="3"/>
    <n v="29.7"/>
    <n v="623.69999999999993"/>
    <n v="632"/>
    <n v="1896"/>
    <n v="1.0133076799743468"/>
    <n v="1"/>
    <n v="1.2999999999999999E-2"/>
    <s v="540"/>
    <m/>
    <n v="0"/>
    <n v="632"/>
    <n v="1"/>
    <m/>
    <m/>
    <m/>
    <m/>
    <x v="0"/>
    <x v="0"/>
    <m/>
    <m/>
    <m/>
    <x v="0"/>
    <x v="0"/>
  </r>
  <r>
    <x v="265"/>
    <x v="71"/>
    <x v="61"/>
    <n v="4"/>
    <n v="0.17"/>
    <n v="912.6"/>
    <n v="3650.4"/>
    <n v="3465"/>
    <n v="589.05000000000007"/>
    <n v="0.94921104536489154"/>
    <n v="1"/>
    <n v="-5.0999999999999997E-2"/>
    <s v="250"/>
    <m/>
    <n v="5"/>
    <n v="3460"/>
    <n v="0.99855699855699853"/>
    <m/>
    <m/>
    <m/>
    <m/>
    <x v="0"/>
    <x v="0"/>
    <m/>
    <m/>
    <m/>
    <x v="0"/>
    <x v="0"/>
  </r>
  <r>
    <x v="265"/>
    <x v="117"/>
    <x v="106"/>
    <n v="4"/>
    <n v="0.26"/>
    <n v="612"/>
    <n v="2448"/>
    <n v="2273"/>
    <n v="590.98"/>
    <n v="0.92851307189542487"/>
    <n v="1"/>
    <n v="-7.0999999999999994E-2"/>
    <s v="162"/>
    <m/>
    <n v="8"/>
    <n v="2265"/>
    <n v="0.99648042234931811"/>
    <m/>
    <m/>
    <m/>
    <m/>
    <x v="0"/>
    <x v="0"/>
    <m/>
    <m/>
    <m/>
    <x v="0"/>
    <x v="0"/>
  </r>
  <r>
    <x v="265"/>
    <x v="20"/>
    <x v="20"/>
    <n v="8"/>
    <n v="6"/>
    <n v="25"/>
    <n v="200"/>
    <n v="197"/>
    <n v="1182"/>
    <n v="0.98499999999999999"/>
    <n v="1"/>
    <n v="-1.4999999999999999E-2"/>
    <s v="150"/>
    <m/>
    <n v="1"/>
    <n v="196"/>
    <n v="0.99492385786802029"/>
    <m/>
    <m/>
    <m/>
    <m/>
    <x v="0"/>
    <x v="0"/>
    <m/>
    <m/>
    <m/>
    <x v="0"/>
    <x v="0"/>
  </r>
  <r>
    <x v="265"/>
    <x v="122"/>
    <x v="111"/>
    <n v="16"/>
    <n v="6"/>
    <n v="0"/>
    <n v="0"/>
    <n v="409"/>
    <n v="2454"/>
    <s v="無法預估數據"/>
    <e v="#N/A"/>
    <s v="無法預估數據"/>
    <s v="224"/>
    <m/>
    <n v="6"/>
    <n v="403"/>
    <n v="0.9853300733496333"/>
    <m/>
    <m/>
    <m/>
    <m/>
    <x v="0"/>
    <x v="0"/>
    <m/>
    <m/>
    <m/>
    <x v="0"/>
    <x v="0"/>
  </r>
  <r>
    <x v="265"/>
    <x v="9"/>
    <x v="9"/>
    <n v="20"/>
    <n v="6"/>
    <n v="25.7"/>
    <n v="514"/>
    <n v="523"/>
    <n v="3138"/>
    <n v="1.0175097276264591"/>
    <n v="1"/>
    <n v="1.7999999999999999E-2"/>
    <s v="270"/>
    <m/>
    <n v="1"/>
    <n v="522"/>
    <n v="0.99808795411089868"/>
    <m/>
    <m/>
    <m/>
    <m/>
    <x v="0"/>
    <x v="0"/>
    <m/>
    <m/>
    <m/>
    <x v="0"/>
    <x v="0"/>
  </r>
  <r>
    <x v="265"/>
    <x v="23"/>
    <x v="22"/>
    <n v="36"/>
    <n v="0.34"/>
    <n v="364.6"/>
    <n v="13125.6"/>
    <n v="12923"/>
    <n v="4393.8200000000006"/>
    <n v="0.98456451514597421"/>
    <n v="1"/>
    <n v="-1.4999999999999999E-2"/>
    <s v="600"/>
    <m/>
    <n v="3"/>
    <n v="12920"/>
    <n v="0.99976785576104621"/>
    <m/>
    <m/>
    <m/>
    <m/>
    <x v="0"/>
    <x v="0"/>
    <m/>
    <m/>
    <m/>
    <x v="0"/>
    <x v="0"/>
  </r>
  <r>
    <x v="265"/>
    <x v="90"/>
    <x v="81"/>
    <n v="1"/>
    <n v="1"/>
    <n v="670"/>
    <n v="670"/>
    <n v="393"/>
    <n v="393"/>
    <n v="0.58656716417910448"/>
    <n v="1"/>
    <n v="-0.41299999999999998"/>
    <s v="0"/>
    <m/>
    <n v="1"/>
    <n v="392"/>
    <n v="0.99745547073791352"/>
    <m/>
    <m/>
    <m/>
    <m/>
    <x v="0"/>
    <x v="0"/>
    <m/>
    <m/>
    <m/>
    <x v="0"/>
    <x v="0"/>
  </r>
  <r>
    <x v="265"/>
    <x v="94"/>
    <x v="85"/>
    <n v="1"/>
    <n v="1"/>
    <n v="591"/>
    <n v="591"/>
    <n v="589"/>
    <n v="589"/>
    <n v="0.99661590524534682"/>
    <n v="1"/>
    <n v="-3.0000000000000001E-3"/>
    <n v="0"/>
    <m/>
    <n v="0"/>
    <n v="589"/>
    <n v="1"/>
    <m/>
    <m/>
    <m/>
    <m/>
    <x v="0"/>
    <x v="0"/>
    <m/>
    <m/>
    <m/>
    <x v="0"/>
    <x v="0"/>
  </r>
  <r>
    <x v="266"/>
    <x v="2"/>
    <x v="2"/>
    <n v="28"/>
    <n v="6"/>
    <n v="26.6"/>
    <n v="744.80000000000007"/>
    <n v="732"/>
    <n v="4392"/>
    <n v="0.98281417830289997"/>
    <n v="1"/>
    <n v="-1.7000000000000001E-2"/>
    <s v="405"/>
    <m/>
    <n v="6"/>
    <n v="726"/>
    <n v="0.99180327868852458"/>
    <m/>
    <m/>
    <m/>
    <m/>
    <x v="0"/>
    <x v="0"/>
    <m/>
    <m/>
    <m/>
    <x v="0"/>
    <x v="0"/>
  </r>
  <r>
    <x v="266"/>
    <x v="74"/>
    <x v="64"/>
    <n v="6"/>
    <n v="6"/>
    <n v="25.2"/>
    <n v="151.19999999999999"/>
    <n v="150"/>
    <n v="900"/>
    <n v="0.99206349206349209"/>
    <n v="1"/>
    <n v="-8.0000000000000002E-3"/>
    <s v="170"/>
    <m/>
    <n v="1"/>
    <n v="149"/>
    <n v="0.99333333333333329"/>
    <m/>
    <m/>
    <m/>
    <m/>
    <x v="0"/>
    <x v="0"/>
    <m/>
    <m/>
    <m/>
    <x v="0"/>
    <x v="0"/>
  </r>
  <r>
    <x v="266"/>
    <x v="50"/>
    <x v="44"/>
    <n v="16"/>
    <n v="4.5"/>
    <n v="36.799999999999997"/>
    <n v="588.79999999999995"/>
    <n v="583"/>
    <n v="2623.5"/>
    <n v="0.99014945652173925"/>
    <n v="1"/>
    <n v="-0.01"/>
    <s v="330"/>
    <m/>
    <n v="0"/>
    <n v="583"/>
    <n v="1"/>
    <m/>
    <m/>
    <m/>
    <m/>
    <x v="0"/>
    <x v="0"/>
    <m/>
    <m/>
    <m/>
    <x v="0"/>
    <x v="0"/>
  </r>
  <r>
    <x v="266"/>
    <x v="73"/>
    <x v="63"/>
    <n v="4"/>
    <n v="4.5"/>
    <n v="35"/>
    <n v="140"/>
    <n v="144"/>
    <n v="648"/>
    <n v="1.0285714285714285"/>
    <n v="1"/>
    <n v="2.9000000000000001E-2"/>
    <s v="100"/>
    <m/>
    <n v="0"/>
    <n v="144"/>
    <n v="1"/>
    <m/>
    <m/>
    <m/>
    <m/>
    <x v="0"/>
    <x v="0"/>
    <m/>
    <m/>
    <m/>
    <x v="0"/>
    <x v="0"/>
  </r>
  <r>
    <x v="266"/>
    <x v="51"/>
    <x v="45"/>
    <n v="8"/>
    <n v="9.08"/>
    <n v="17.8"/>
    <n v="142.4"/>
    <n v="147"/>
    <n v="1334.76"/>
    <n v="1.0323033707865168"/>
    <n v="1"/>
    <n v="3.2000000000000001E-2"/>
    <s v="140"/>
    <m/>
    <n v="0"/>
    <n v="147"/>
    <n v="1"/>
    <m/>
    <m/>
    <m/>
    <m/>
    <x v="0"/>
    <x v="0"/>
    <m/>
    <m/>
    <m/>
    <x v="0"/>
    <x v="0"/>
  </r>
  <r>
    <x v="266"/>
    <x v="108"/>
    <x v="45"/>
    <n v="6"/>
    <n v="9.08"/>
    <n v="17.399999999999999"/>
    <n v="104.39999999999999"/>
    <n v="111"/>
    <n v="1007.88"/>
    <n v="1.0632183908045978"/>
    <n v="1"/>
    <n v="6.3E-2"/>
    <s v="157"/>
    <m/>
    <n v="0"/>
    <n v="111"/>
    <n v="1"/>
    <m/>
    <m/>
    <m/>
    <m/>
    <x v="0"/>
    <x v="0"/>
    <m/>
    <m/>
    <m/>
    <x v="0"/>
    <x v="0"/>
  </r>
  <r>
    <x v="266"/>
    <x v="41"/>
    <x v="39"/>
    <n v="56"/>
    <n v="2.8"/>
    <n v="44.2"/>
    <n v="2475.2000000000003"/>
    <n v="2456"/>
    <n v="6876.7999999999993"/>
    <n v="0.99224305106658039"/>
    <n v="1"/>
    <n v="-8.0000000000000002E-3"/>
    <s v="480"/>
    <m/>
    <n v="1"/>
    <n v="2455"/>
    <n v="0.99959283387622155"/>
    <m/>
    <m/>
    <m/>
    <m/>
    <x v="0"/>
    <x v="0"/>
    <m/>
    <m/>
    <m/>
    <x v="0"/>
    <x v="0"/>
  </r>
  <r>
    <x v="267"/>
    <x v="16"/>
    <x v="16"/>
    <n v="20"/>
    <n v="6"/>
    <n v="26.1"/>
    <n v="522"/>
    <n v="526"/>
    <n v="3156"/>
    <n v="1.0076628352490422"/>
    <n v="1"/>
    <n v="8.0000000000000002E-3"/>
    <s v="330"/>
    <m/>
    <n v="2"/>
    <n v="524"/>
    <n v="0.99619771863117867"/>
    <m/>
    <m/>
    <m/>
    <m/>
    <x v="0"/>
    <x v="0"/>
    <m/>
    <m/>
    <m/>
    <x v="0"/>
    <x v="0"/>
  </r>
  <r>
    <x v="267"/>
    <x v="10"/>
    <x v="10"/>
    <n v="20"/>
    <n v="6"/>
    <n v="25.4"/>
    <n v="508"/>
    <n v="490"/>
    <n v="2940"/>
    <n v="0.96456692913385822"/>
    <n v="1"/>
    <n v="-3.5000000000000003E-2"/>
    <s v="280"/>
    <m/>
    <n v="1"/>
    <n v="489"/>
    <n v="0.99795918367346936"/>
    <m/>
    <m/>
    <m/>
    <m/>
    <x v="0"/>
    <x v="0"/>
    <m/>
    <m/>
    <m/>
    <x v="0"/>
    <x v="0"/>
  </r>
  <r>
    <x v="267"/>
    <x v="48"/>
    <x v="17"/>
    <n v="21"/>
    <n v="3"/>
    <n v="30.8"/>
    <n v="646.80000000000007"/>
    <n v="648"/>
    <n v="1944"/>
    <n v="1.0018552875695732"/>
    <n v="1"/>
    <n v="2E-3"/>
    <s v="540"/>
    <m/>
    <n v="0"/>
    <n v="648"/>
    <n v="1"/>
    <m/>
    <m/>
    <m/>
    <m/>
    <x v="0"/>
    <x v="0"/>
    <m/>
    <m/>
    <m/>
    <x v="0"/>
    <x v="0"/>
  </r>
  <r>
    <x v="267"/>
    <x v="24"/>
    <x v="23"/>
    <n v="20"/>
    <n v="0.34"/>
    <n v="366"/>
    <n v="7320"/>
    <n v="7129"/>
    <n v="2423.86"/>
    <n v="0.97390710382513657"/>
    <n v="1"/>
    <n v="-2.5999999999999999E-2"/>
    <s v="420"/>
    <m/>
    <n v="5"/>
    <n v="7124"/>
    <n v="0.99929863936035912"/>
    <m/>
    <m/>
    <s v="E0121佳樂美*200箱。"/>
    <m/>
    <x v="0"/>
    <x v="0"/>
    <m/>
    <m/>
    <m/>
    <x v="0"/>
    <x v="0"/>
  </r>
  <r>
    <x v="267"/>
    <x v="34"/>
    <x v="32"/>
    <n v="16"/>
    <n v="0.34"/>
    <n v="358.3"/>
    <n v="5732.8"/>
    <n v="5703"/>
    <n v="1939.0200000000002"/>
    <n v="0.99480184203181687"/>
    <n v="1"/>
    <n v="-5.0000000000000001E-3"/>
    <s v="540"/>
    <m/>
    <n v="5"/>
    <n v="5698"/>
    <n v="0.99912326845519905"/>
    <m/>
    <m/>
    <s v="E0120佳樂美*300箱。"/>
    <m/>
    <x v="0"/>
    <x v="0"/>
    <m/>
    <m/>
    <m/>
    <x v="0"/>
    <x v="0"/>
  </r>
  <r>
    <x v="268"/>
    <x v="8"/>
    <x v="8"/>
    <n v="40"/>
    <n v="0.44"/>
    <n v="344"/>
    <n v="13760"/>
    <n v="13764"/>
    <n v="6056.16"/>
    <n v="1.0002906976744186"/>
    <n v="1"/>
    <n v="0"/>
    <s v="540"/>
    <m/>
    <n v="5"/>
    <n v="13759"/>
    <n v="0.99963673350770121"/>
    <m/>
    <m/>
    <m/>
    <m/>
    <x v="0"/>
    <x v="0"/>
    <m/>
    <m/>
    <m/>
    <x v="0"/>
    <x v="0"/>
  </r>
  <r>
    <x v="268"/>
    <x v="9"/>
    <x v="9"/>
    <n v="28"/>
    <n v="6"/>
    <n v="25.7"/>
    <n v="719.6"/>
    <n v="736"/>
    <n v="4416"/>
    <n v="1.0227904391328515"/>
    <n v="1"/>
    <n v="2.3E-2"/>
    <s v="400"/>
    <m/>
    <n v="1"/>
    <n v="735"/>
    <n v="0.99864130434782605"/>
    <m/>
    <m/>
    <m/>
    <m/>
    <x v="0"/>
    <x v="0"/>
    <m/>
    <m/>
    <m/>
    <x v="0"/>
    <x v="0"/>
  </r>
  <r>
    <x v="268"/>
    <x v="65"/>
    <x v="56"/>
    <n v="12"/>
    <n v="9.5"/>
    <n v="16.600000000000001"/>
    <n v="199.20000000000002"/>
    <n v="196"/>
    <n v="1862"/>
    <n v="0.98393574297188746"/>
    <n v="1"/>
    <n v="-1.6E-2"/>
    <s v="194"/>
    <m/>
    <n v="0"/>
    <n v="196"/>
    <n v="1"/>
    <m/>
    <m/>
    <m/>
    <m/>
    <x v="0"/>
    <x v="0"/>
    <m/>
    <m/>
    <m/>
    <x v="0"/>
    <x v="0"/>
  </r>
  <r>
    <x v="268"/>
    <x v="55"/>
    <x v="48"/>
    <n v="40"/>
    <n v="18"/>
    <n v="6.9"/>
    <n v="276"/>
    <n v="281"/>
    <n v="5058"/>
    <n v="1.0181159420289856"/>
    <n v="1"/>
    <n v="1.7999999999999999E-2"/>
    <s v="480"/>
    <m/>
    <n v="0"/>
    <n v="281"/>
    <n v="1"/>
    <m/>
    <m/>
    <m/>
    <m/>
    <x v="0"/>
    <x v="0"/>
    <m/>
    <m/>
    <m/>
    <x v="0"/>
    <x v="0"/>
  </r>
  <r>
    <x v="269"/>
    <x v="67"/>
    <x v="58"/>
    <n v="8"/>
    <n v="4.5"/>
    <n v="33.200000000000003"/>
    <n v="265.60000000000002"/>
    <n v="261"/>
    <n v="1174.5"/>
    <n v="0.98268072289156616"/>
    <n v="1"/>
    <n v="-1.7000000000000001E-2"/>
    <s v="200"/>
    <m/>
    <n v="0"/>
    <n v="261"/>
    <n v="1"/>
    <m/>
    <m/>
    <m/>
    <m/>
    <x v="0"/>
    <x v="0"/>
    <m/>
    <m/>
    <m/>
    <x v="0"/>
    <x v="0"/>
  </r>
  <r>
    <x v="269"/>
    <x v="4"/>
    <x v="4"/>
    <n v="12"/>
    <n v="4.5"/>
    <n v="34.5"/>
    <n v="414"/>
    <n v="422"/>
    <n v="1899"/>
    <n v="1.0193236714975846"/>
    <n v="1"/>
    <n v="1.9E-2"/>
    <s v="170"/>
    <m/>
    <n v="0"/>
    <n v="422"/>
    <n v="1"/>
    <m/>
    <m/>
    <m/>
    <m/>
    <x v="0"/>
    <x v="0"/>
    <m/>
    <m/>
    <m/>
    <x v="0"/>
    <x v="0"/>
  </r>
  <r>
    <x v="269"/>
    <x v="3"/>
    <x v="3"/>
    <n v="20"/>
    <n v="4.5"/>
    <n v="36.299999999999997"/>
    <n v="726"/>
    <n v="711"/>
    <n v="3199.5"/>
    <n v="0.97933884297520657"/>
    <n v="1"/>
    <n v="-2.1000000000000001E-2"/>
    <s v="320"/>
    <m/>
    <n v="0"/>
    <n v="711"/>
    <n v="1"/>
    <m/>
    <m/>
    <m/>
    <m/>
    <x v="0"/>
    <x v="0"/>
    <m/>
    <m/>
    <m/>
    <x v="0"/>
    <x v="0"/>
  </r>
  <r>
    <x v="269"/>
    <x v="17"/>
    <x v="17"/>
    <n v="21"/>
    <n v="3"/>
    <n v="29.7"/>
    <n v="623.69999999999993"/>
    <n v="628"/>
    <n v="1884"/>
    <n v="1.0068943402276738"/>
    <n v="1"/>
    <n v="7.0000000000000001E-3"/>
    <s v="540"/>
    <m/>
    <n v="0"/>
    <n v="628"/>
    <n v="1"/>
    <m/>
    <m/>
    <m/>
    <m/>
    <x v="0"/>
    <x v="0"/>
    <m/>
    <m/>
    <m/>
    <x v="0"/>
    <x v="0"/>
  </r>
  <r>
    <x v="269"/>
    <x v="11"/>
    <x v="11"/>
    <n v="56"/>
    <n v="2.8"/>
    <n v="44.5"/>
    <n v="2299.1428571428573"/>
    <n v="2319"/>
    <n v="6493.2"/>
    <n v="1.0086367590406362"/>
    <n v="1"/>
    <n v="8.9999999999999993E-3"/>
    <s v="525"/>
    <m/>
    <n v="1"/>
    <n v="2318"/>
    <n v="0.99956877964639934"/>
    <m/>
    <m/>
    <s v="D2021美芝城*50箱、D9920(18kg)*30桶"/>
    <m/>
    <x v="0"/>
    <x v="0"/>
    <m/>
    <m/>
    <m/>
    <x v="0"/>
    <x v="0"/>
  </r>
  <r>
    <x v="270"/>
    <x v="63"/>
    <x v="54"/>
    <n v="4"/>
    <n v="0.21"/>
    <n v="698.4"/>
    <n v="2793.6"/>
    <n v="2626"/>
    <n v="551.46"/>
    <n v="0.94000572737686139"/>
    <n v="1"/>
    <n v="-0.06"/>
    <s v="200"/>
    <m/>
    <n v="8"/>
    <n v="2618"/>
    <n v="0.99695354150799698"/>
    <m/>
    <m/>
    <m/>
    <m/>
    <x v="0"/>
    <x v="0"/>
    <m/>
    <m/>
    <m/>
    <x v="0"/>
    <x v="0"/>
  </r>
  <r>
    <x v="270"/>
    <x v="43"/>
    <x v="41"/>
    <n v="16"/>
    <n v="0.26"/>
    <n v="584.29999999999995"/>
    <n v="9348.7999999999993"/>
    <n v="9252"/>
    <n v="2405.52"/>
    <n v="0.9896457299332535"/>
    <n v="1"/>
    <n v="-0.01"/>
    <s v="290"/>
    <m/>
    <n v="19"/>
    <n v="9233"/>
    <n v="0.99794638996973628"/>
    <m/>
    <m/>
    <m/>
    <m/>
    <x v="0"/>
    <x v="0"/>
    <m/>
    <m/>
    <m/>
    <x v="0"/>
    <x v="0"/>
  </r>
  <r>
    <x v="270"/>
    <x v="123"/>
    <x v="112"/>
    <n v="4.5"/>
    <n v="0.45"/>
    <n v="0"/>
    <n v="0"/>
    <n v="1618"/>
    <n v="728.1"/>
    <s v="無法預估數據"/>
    <e v="#N/A"/>
    <s v="無法預估數據"/>
    <s v="220"/>
    <m/>
    <n v="15"/>
    <n v="1603"/>
    <n v="0.99072929542645238"/>
    <m/>
    <m/>
    <s v="關西錦山"/>
    <m/>
    <x v="0"/>
    <x v="0"/>
    <m/>
    <m/>
    <m/>
    <x v="0"/>
    <x v="0"/>
  </r>
  <r>
    <x v="270"/>
    <x v="32"/>
    <x v="30"/>
    <n v="6"/>
    <n v="6"/>
    <n v="25.2"/>
    <n v="151.19999999999999"/>
    <n v="152"/>
    <n v="912"/>
    <n v="1.0052910052910053"/>
    <n v="1"/>
    <n v="5.0000000000000001E-3"/>
    <s v="150"/>
    <m/>
    <n v="1"/>
    <n v="151"/>
    <n v="0.99342105263157898"/>
    <m/>
    <m/>
    <m/>
    <m/>
    <x v="0"/>
    <x v="0"/>
    <m/>
    <m/>
    <m/>
    <x v="0"/>
    <x v="0"/>
  </r>
  <r>
    <x v="270"/>
    <x v="69"/>
    <x v="2"/>
    <n v="8"/>
    <n v="6"/>
    <n v="25.5"/>
    <n v="204"/>
    <n v="203"/>
    <n v="1218"/>
    <n v="0.99509803921568629"/>
    <n v="1"/>
    <n v="-5.0000000000000001E-3"/>
    <s v="118"/>
    <m/>
    <n v="1"/>
    <n v="202"/>
    <n v="0.99507389162561577"/>
    <m/>
    <m/>
    <m/>
    <m/>
    <x v="0"/>
    <x v="0"/>
    <m/>
    <m/>
    <m/>
    <x v="0"/>
    <x v="0"/>
  </r>
  <r>
    <x v="270"/>
    <x v="9"/>
    <x v="9"/>
    <n v="24"/>
    <n v="6"/>
    <n v="25.7"/>
    <n v="616.79999999999995"/>
    <n v="632"/>
    <n v="3792"/>
    <n v="1.0246433203631649"/>
    <n v="1"/>
    <n v="2.5000000000000001E-2"/>
    <s v="346"/>
    <m/>
    <n v="3"/>
    <n v="629"/>
    <n v="0.995253164556962"/>
    <m/>
    <m/>
    <m/>
    <m/>
    <x v="0"/>
    <x v="0"/>
    <m/>
    <m/>
    <m/>
    <x v="0"/>
    <x v="0"/>
  </r>
  <r>
    <x v="270"/>
    <x v="41"/>
    <x v="39"/>
    <n v="56"/>
    <n v="2.8"/>
    <n v="44.2"/>
    <n v="2475.2000000000003"/>
    <n v="2462"/>
    <n v="6893.5999999999995"/>
    <n v="0.99466709760827399"/>
    <n v="1"/>
    <n v="-5.0000000000000001E-3"/>
    <s v="480"/>
    <m/>
    <n v="1"/>
    <n v="2461"/>
    <n v="0.9995938261575954"/>
    <m/>
    <m/>
    <m/>
    <m/>
    <x v="0"/>
    <x v="0"/>
    <m/>
    <m/>
    <m/>
    <x v="0"/>
    <x v="0"/>
  </r>
  <r>
    <x v="270"/>
    <x v="94"/>
    <x v="85"/>
    <n v="1"/>
    <n v="1"/>
    <n v="591"/>
    <n v="591"/>
    <n v="584"/>
    <n v="584"/>
    <n v="0.98815566835871405"/>
    <n v="1"/>
    <n v="-1.2E-2"/>
    <s v="0"/>
    <m/>
    <n v="0"/>
    <n v="584"/>
    <n v="1"/>
    <m/>
    <m/>
    <m/>
    <m/>
    <x v="0"/>
    <x v="0"/>
    <m/>
    <m/>
    <m/>
    <x v="0"/>
    <x v="0"/>
  </r>
  <r>
    <x v="271"/>
    <x v="70"/>
    <x v="60"/>
    <n v="4"/>
    <n v="3.4"/>
    <n v="43"/>
    <n v="172"/>
    <n v="173"/>
    <n v="588.19999999999993"/>
    <n v="1.0058139534883721"/>
    <n v="1"/>
    <n v="6.0000000000000001E-3"/>
    <s v="220"/>
    <m/>
    <n v="1"/>
    <n v="172"/>
    <n v="0.9942196531791907"/>
    <m/>
    <m/>
    <m/>
    <m/>
    <x v="0"/>
    <x v="0"/>
    <m/>
    <m/>
    <m/>
    <x v="0"/>
    <x v="0"/>
  </r>
  <r>
    <x v="271"/>
    <x v="13"/>
    <x v="13"/>
    <n v="32"/>
    <n v="0.9"/>
    <n v="160.5"/>
    <n v="5136"/>
    <n v="5160"/>
    <n v="4644"/>
    <n v="1.0046728971962617"/>
    <n v="1"/>
    <n v="5.0000000000000001E-3"/>
    <s v="430"/>
    <m/>
    <n v="2"/>
    <n v="5158"/>
    <n v="0.99961240310077515"/>
    <m/>
    <m/>
    <m/>
    <m/>
    <x v="0"/>
    <x v="0"/>
    <m/>
    <m/>
    <m/>
    <x v="0"/>
    <x v="0"/>
  </r>
  <r>
    <x v="271"/>
    <x v="10"/>
    <x v="10"/>
    <n v="24"/>
    <n v="6"/>
    <n v="25.4"/>
    <n v="609.59999999999991"/>
    <n v="616"/>
    <n v="3696"/>
    <n v="1.0104986876640421"/>
    <n v="1"/>
    <n v="0.01"/>
    <s v="342"/>
    <m/>
    <n v="2"/>
    <n v="614"/>
    <n v="0.99675324675324672"/>
    <m/>
    <m/>
    <m/>
    <m/>
    <x v="0"/>
    <x v="0"/>
    <m/>
    <m/>
    <m/>
    <x v="0"/>
    <x v="0"/>
  </r>
  <r>
    <x v="271"/>
    <x v="22"/>
    <x v="10"/>
    <n v="20"/>
    <n v="6"/>
    <n v="25.1"/>
    <n v="502"/>
    <n v="500"/>
    <n v="3000"/>
    <n v="0.99601593625498008"/>
    <n v="1"/>
    <n v="-4.0000000000000001E-3"/>
    <s v="270"/>
    <m/>
    <n v="1"/>
    <n v="499"/>
    <n v="0.998"/>
    <m/>
    <m/>
    <m/>
    <m/>
    <x v="0"/>
    <x v="0"/>
    <m/>
    <m/>
    <m/>
    <x v="0"/>
    <x v="0"/>
  </r>
  <r>
    <x v="271"/>
    <x v="6"/>
    <x v="6"/>
    <n v="36"/>
    <n v="0.4"/>
    <n v="309.2"/>
    <n v="11131.199999999999"/>
    <n v="11086"/>
    <n v="4434.4000000000005"/>
    <n v="0.99593934167026021"/>
    <n v="1"/>
    <n v="-4.0000000000000001E-3"/>
    <s v="480"/>
    <m/>
    <n v="3"/>
    <n v="11083"/>
    <n v="0.99972938841782433"/>
    <m/>
    <m/>
    <m/>
    <m/>
    <x v="0"/>
    <x v="0"/>
    <m/>
    <m/>
    <m/>
    <x v="0"/>
    <x v="0"/>
  </r>
  <r>
    <x v="271"/>
    <x v="95"/>
    <x v="86"/>
    <n v="1"/>
    <n v="1"/>
    <n v="942"/>
    <n v="942"/>
    <n v="915"/>
    <n v="915"/>
    <n v="0.9713375796178344"/>
    <n v="1"/>
    <n v="-2.9000000000000001E-2"/>
    <s v="0"/>
    <m/>
    <n v="0"/>
    <n v="915"/>
    <n v="1"/>
    <m/>
    <m/>
    <m/>
    <m/>
    <x v="0"/>
    <x v="0"/>
    <m/>
    <m/>
    <m/>
    <x v="0"/>
    <x v="0"/>
  </r>
  <r>
    <x v="272"/>
    <x v="36"/>
    <x v="34"/>
    <n v="6"/>
    <n v="6"/>
    <n v="24.3"/>
    <n v="145.80000000000001"/>
    <n v="146"/>
    <n v="876"/>
    <n v="1.0013717421124828"/>
    <n v="1"/>
    <n v="1E-3"/>
    <s v="180"/>
    <m/>
    <n v="2"/>
    <n v="144"/>
    <n v="0.98630136986301364"/>
    <m/>
    <m/>
    <m/>
    <m/>
    <x v="0"/>
    <x v="0"/>
    <m/>
    <m/>
    <m/>
    <x v="0"/>
    <x v="0"/>
  </r>
  <r>
    <x v="272"/>
    <x v="0"/>
    <x v="0"/>
    <n v="12"/>
    <n v="6"/>
    <n v="25.5"/>
    <n v="306"/>
    <n v="300"/>
    <n v="1800"/>
    <n v="0.98039215686274506"/>
    <n v="1"/>
    <n v="-0.02"/>
    <s v="175"/>
    <m/>
    <n v="1"/>
    <n v="299"/>
    <n v="0.9966666666666667"/>
    <m/>
    <m/>
    <m/>
    <m/>
    <x v="0"/>
    <x v="0"/>
    <m/>
    <m/>
    <m/>
    <x v="0"/>
    <x v="0"/>
  </r>
  <r>
    <x v="272"/>
    <x v="47"/>
    <x v="42"/>
    <n v="8"/>
    <n v="6"/>
    <n v="25.6"/>
    <n v="204.8"/>
    <n v="198"/>
    <n v="1188"/>
    <n v="0.966796875"/>
    <n v="1"/>
    <n v="-3.3000000000000002E-2"/>
    <s v="180"/>
    <m/>
    <n v="1"/>
    <n v="197"/>
    <n v="0.99494949494949492"/>
    <m/>
    <m/>
    <m/>
    <m/>
    <x v="0"/>
    <x v="0"/>
    <m/>
    <m/>
    <m/>
    <x v="0"/>
    <x v="0"/>
  </r>
  <r>
    <x v="272"/>
    <x v="1"/>
    <x v="1"/>
    <n v="12"/>
    <n v="6"/>
    <n v="25.7"/>
    <n v="308.39999999999998"/>
    <n v="301"/>
    <n v="1806"/>
    <n v="0.97600518806744496"/>
    <n v="1"/>
    <n v="-2.4E-2"/>
    <s v="220"/>
    <m/>
    <n v="2"/>
    <n v="299"/>
    <n v="0.99335548172757471"/>
    <m/>
    <n v="282"/>
    <s v="特殊製程(1.5P)1140220-01B"/>
    <m/>
    <x v="0"/>
    <x v="0"/>
    <m/>
    <m/>
    <m/>
    <x v="0"/>
    <x v="0"/>
  </r>
  <r>
    <x v="272"/>
    <x v="28"/>
    <x v="19"/>
    <n v="16"/>
    <n v="6"/>
    <n v="25.5"/>
    <n v="408"/>
    <n v="413"/>
    <n v="2478"/>
    <n v="1.0122549019607843"/>
    <n v="1"/>
    <n v="1.2E-2"/>
    <s v="220"/>
    <m/>
    <n v="2"/>
    <n v="411"/>
    <n v="0.99515738498789341"/>
    <m/>
    <m/>
    <m/>
    <m/>
    <x v="0"/>
    <x v="0"/>
    <m/>
    <m/>
    <m/>
    <x v="0"/>
    <x v="0"/>
  </r>
  <r>
    <x v="272"/>
    <x v="9"/>
    <x v="9"/>
    <n v="24"/>
    <n v="6"/>
    <n v="25.7"/>
    <n v="616.79999999999995"/>
    <n v="631"/>
    <n v="3786"/>
    <n v="1.0230220492866409"/>
    <n v="1"/>
    <n v="2.3E-2"/>
    <s v="320"/>
    <m/>
    <n v="1"/>
    <n v="630"/>
    <n v="0.99841521394611732"/>
    <m/>
    <m/>
    <m/>
    <m/>
    <x v="0"/>
    <x v="0"/>
    <m/>
    <m/>
    <m/>
    <x v="0"/>
    <x v="0"/>
  </r>
  <r>
    <x v="272"/>
    <x v="61"/>
    <x v="33"/>
    <n v="40"/>
    <n v="18"/>
    <n v="6.9"/>
    <n v="276"/>
    <n v="282"/>
    <n v="5076"/>
    <n v="1.0217391304347827"/>
    <n v="1"/>
    <n v="2.1999999999999999E-2"/>
    <s v="460"/>
    <m/>
    <n v="0"/>
    <n v="282"/>
    <n v="1"/>
    <m/>
    <m/>
    <m/>
    <m/>
    <x v="0"/>
    <x v="0"/>
    <m/>
    <m/>
    <m/>
    <x v="0"/>
    <x v="0"/>
  </r>
  <r>
    <x v="273"/>
    <x v="2"/>
    <x v="2"/>
    <n v="32"/>
    <n v="6"/>
    <n v="26.6"/>
    <n v="851.2"/>
    <n v="845"/>
    <n v="5070"/>
    <n v="0.9927161654135338"/>
    <n v="1"/>
    <n v="-7.0000000000000001E-3"/>
    <s v="423"/>
    <m/>
    <n v="5"/>
    <n v="840"/>
    <n v="0.99408284023668636"/>
    <m/>
    <m/>
    <m/>
    <m/>
    <x v="0"/>
    <x v="0"/>
    <m/>
    <m/>
    <m/>
    <x v="0"/>
    <x v="0"/>
  </r>
  <r>
    <x v="273"/>
    <x v="74"/>
    <x v="64"/>
    <n v="6"/>
    <n v="6"/>
    <n v="25.2"/>
    <n v="151.19999999999999"/>
    <n v="149"/>
    <n v="894"/>
    <n v="0.98544973544973558"/>
    <n v="1"/>
    <n v="-1.4999999999999999E-2"/>
    <s v="130"/>
    <m/>
    <n v="4"/>
    <n v="145"/>
    <n v="0.97315436241610742"/>
    <m/>
    <m/>
    <m/>
    <m/>
    <x v="0"/>
    <x v="0"/>
    <m/>
    <m/>
    <m/>
    <x v="0"/>
    <x v="0"/>
  </r>
  <r>
    <x v="273"/>
    <x v="17"/>
    <x v="17"/>
    <n v="21"/>
    <n v="3"/>
    <n v="29.7"/>
    <n v="623.69999999999993"/>
    <n v="628"/>
    <n v="1884"/>
    <n v="1.0068943402276738"/>
    <n v="1"/>
    <n v="7.0000000000000001E-3"/>
    <s v="540"/>
    <m/>
    <n v="0"/>
    <n v="628"/>
    <n v="1"/>
    <m/>
    <m/>
    <m/>
    <m/>
    <x v="0"/>
    <x v="0"/>
    <m/>
    <m/>
    <m/>
    <x v="0"/>
    <x v="0"/>
  </r>
  <r>
    <x v="273"/>
    <x v="11"/>
    <x v="11"/>
    <n v="44"/>
    <n v="2.8"/>
    <n v="44.5"/>
    <n v="1958"/>
    <n v="1993"/>
    <n v="5580.4"/>
    <n v="1.0178753830439224"/>
    <n v="1"/>
    <n v="1.7999999999999999E-2"/>
    <s v="480"/>
    <m/>
    <n v="5"/>
    <n v="1988"/>
    <n v="0.997491219267436"/>
    <m/>
    <m/>
    <m/>
    <m/>
    <x v="0"/>
    <x v="0"/>
    <m/>
    <m/>
    <m/>
    <x v="0"/>
    <x v="0"/>
  </r>
  <r>
    <x v="273"/>
    <x v="35"/>
    <x v="33"/>
    <n v="8"/>
    <n v="18"/>
    <n v="6.6"/>
    <n v="52.8"/>
    <n v="52"/>
    <n v="936"/>
    <n v="0.98484848484848486"/>
    <n v="1"/>
    <n v="-1.4999999999999999E-2"/>
    <s v="120"/>
    <m/>
    <n v="0"/>
    <n v="52"/>
    <n v="1"/>
    <m/>
    <m/>
    <m/>
    <m/>
    <x v="0"/>
    <x v="0"/>
    <m/>
    <m/>
    <m/>
    <x v="0"/>
    <x v="0"/>
  </r>
  <r>
    <x v="274"/>
    <x v="49"/>
    <x v="43"/>
    <n v="12"/>
    <n v="0.43"/>
    <n v="364"/>
    <n v="4368"/>
    <n v="4573"/>
    <n v="1966.3899999999999"/>
    <n v="1.0469322344322345"/>
    <n v="1"/>
    <n v="4.7E-2"/>
    <s v="360"/>
    <m/>
    <n v="7"/>
    <n v="4566"/>
    <n v="0.99846927618631098"/>
    <m/>
    <m/>
    <m/>
    <m/>
    <x v="0"/>
    <x v="0"/>
    <m/>
    <m/>
    <m/>
    <x v="0"/>
    <x v="0"/>
  </r>
  <r>
    <x v="274"/>
    <x v="121"/>
    <x v="43"/>
    <n v="3"/>
    <n v="0.43"/>
    <n v="364"/>
    <n v="1092"/>
    <n v="1130"/>
    <n v="485.9"/>
    <n v="1.0347985347985349"/>
    <e v="#N/A"/>
    <e v="#N/A"/>
    <s v="360"/>
    <m/>
    <n v="7"/>
    <n v="1123"/>
    <n v="0.99380530973451331"/>
    <m/>
    <m/>
    <s v="研發測試草莓原料。"/>
    <m/>
    <x v="0"/>
    <x v="0"/>
    <m/>
    <m/>
    <m/>
    <x v="0"/>
    <x v="0"/>
  </r>
  <r>
    <x v="274"/>
    <x v="30"/>
    <x v="28"/>
    <n v="12"/>
    <n v="0.43"/>
    <n v="340.4"/>
    <n v="4084.7999999999997"/>
    <n v="3981"/>
    <n v="1711.83"/>
    <n v="0.97458871915393663"/>
    <n v="1"/>
    <n v="-2.5000000000000001E-2"/>
    <s v="240"/>
    <m/>
    <n v="13"/>
    <n v="3968"/>
    <n v="0.99673448882190407"/>
    <m/>
    <m/>
    <s v="麥味登*180箱。"/>
    <m/>
    <x v="0"/>
    <x v="0"/>
    <m/>
    <m/>
    <m/>
    <x v="0"/>
    <x v="0"/>
  </r>
  <r>
    <x v="274"/>
    <x v="46"/>
    <x v="17"/>
    <n v="21"/>
    <n v="3"/>
    <n v="31.6"/>
    <n v="663.6"/>
    <n v="668"/>
    <n v="2004"/>
    <n v="1.0066305003013862"/>
    <n v="1"/>
    <n v="7.0000000000000001E-3"/>
    <s v="540"/>
    <m/>
    <n v="0"/>
    <n v="668"/>
    <n v="1"/>
    <m/>
    <m/>
    <m/>
    <m/>
    <x v="0"/>
    <x v="0"/>
    <m/>
    <m/>
    <m/>
    <x v="0"/>
    <x v="0"/>
  </r>
  <r>
    <x v="275"/>
    <x v="15"/>
    <x v="15"/>
    <n v="60"/>
    <n v="3.2"/>
    <n v="46.8"/>
    <n v="2808"/>
    <n v="2781"/>
    <n v="8899.2000000000007"/>
    <n v="0.99038461538461542"/>
    <n v="1"/>
    <n v="-0.01"/>
    <s v="410"/>
    <m/>
    <n v="2"/>
    <n v="2779"/>
    <n v="0.99928083423229053"/>
    <m/>
    <m/>
    <m/>
    <m/>
    <x v="0"/>
    <x v="0"/>
    <m/>
    <m/>
    <m/>
    <x v="0"/>
    <x v="0"/>
  </r>
  <r>
    <x v="275"/>
    <x v="124"/>
    <x v="26"/>
    <n v="2"/>
    <n v="3.2"/>
    <n v="47.5"/>
    <n v="95"/>
    <n v="92"/>
    <n v="294.40000000000003"/>
    <n v="0.96842105263157896"/>
    <e v="#N/A"/>
    <e v="#N/A"/>
    <s v="174"/>
    <m/>
    <n v="3"/>
    <n v="89"/>
    <n v="0.96739130434782605"/>
    <m/>
    <m/>
    <s v="測試蘋果丁。"/>
    <m/>
    <x v="0"/>
    <x v="0"/>
    <m/>
    <m/>
    <m/>
    <x v="0"/>
    <x v="0"/>
  </r>
  <r>
    <x v="275"/>
    <x v="9"/>
    <x v="9"/>
    <n v="24"/>
    <n v="6"/>
    <n v="25.7"/>
    <n v="616.79999999999995"/>
    <n v="632"/>
    <n v="3792"/>
    <n v="1.0246433203631649"/>
    <n v="1"/>
    <n v="2.5000000000000001E-2"/>
    <s v="361"/>
    <m/>
    <n v="1"/>
    <n v="631"/>
    <n v="0.99841772151898733"/>
    <m/>
    <m/>
    <m/>
    <m/>
    <x v="0"/>
    <x v="0"/>
    <m/>
    <m/>
    <m/>
    <x v="0"/>
    <x v="0"/>
  </r>
  <r>
    <x v="275"/>
    <x v="19"/>
    <x v="19"/>
    <n v="12"/>
    <n v="6"/>
    <n v="25.5"/>
    <n v="306"/>
    <n v="303"/>
    <n v="1818"/>
    <n v="0.99019607843137258"/>
    <n v="1"/>
    <n v="-0.01"/>
    <s v="190"/>
    <m/>
    <n v="2"/>
    <n v="301"/>
    <n v="0.99339933993399343"/>
    <m/>
    <m/>
    <m/>
    <m/>
    <x v="0"/>
    <x v="0"/>
    <m/>
    <m/>
    <m/>
    <x v="0"/>
    <x v="0"/>
  </r>
  <r>
    <x v="275"/>
    <x v="11"/>
    <x v="11"/>
    <n v="52"/>
    <n v="2.8"/>
    <n v="44.5"/>
    <n v="2314"/>
    <n v="2367"/>
    <n v="6627.5999999999995"/>
    <n v="1.0229040622299048"/>
    <n v="1"/>
    <n v="2.3E-2"/>
    <s v="540"/>
    <m/>
    <n v="1"/>
    <n v="2366"/>
    <n v="0.99957752429235314"/>
    <m/>
    <n v="156"/>
    <s v="特殊製程(1140213-01A)"/>
    <m/>
    <x v="0"/>
    <x v="0"/>
    <m/>
    <m/>
    <m/>
    <x v="0"/>
    <x v="0"/>
  </r>
  <r>
    <x v="276"/>
    <x v="2"/>
    <x v="2"/>
    <n v="30"/>
    <n v="6"/>
    <n v="26.6"/>
    <n v="798"/>
    <n v="776"/>
    <n v="4656"/>
    <n v="0.97243107769423553"/>
    <n v="1"/>
    <n v="-2.8000000000000001E-2"/>
    <s v="480"/>
    <m/>
    <n v="179"/>
    <n v="597"/>
    <n v="0.76932989690721654"/>
    <s v="1140401-01A  "/>
    <m/>
    <s v="糖度超標(176包)"/>
    <m/>
    <x v="0"/>
    <x v="0"/>
    <m/>
    <m/>
    <m/>
    <x v="0"/>
    <x v="0"/>
  </r>
  <r>
    <x v="276"/>
    <x v="37"/>
    <x v="35"/>
    <n v="6"/>
    <n v="6"/>
    <n v="25.6"/>
    <n v="153.60000000000002"/>
    <n v="147"/>
    <n v="882"/>
    <n v="0.95703124999999989"/>
    <n v="1"/>
    <n v="-4.2999999999999997E-2"/>
    <s v="160"/>
    <m/>
    <n v="1"/>
    <n v="146"/>
    <n v="0.99319727891156462"/>
    <s v="1140401-01D"/>
    <m/>
    <s v="PE袋夾帶故障"/>
    <m/>
    <x v="0"/>
    <x v="0"/>
    <m/>
    <m/>
    <m/>
    <x v="0"/>
    <x v="0"/>
  </r>
  <r>
    <x v="276"/>
    <x v="3"/>
    <x v="3"/>
    <n v="40"/>
    <n v="4.5"/>
    <n v="36.299999999999997"/>
    <n v="1452"/>
    <n v="1472"/>
    <n v="6624"/>
    <n v="1.0137741046831956"/>
    <n v="1"/>
    <n v="1.4E-2"/>
    <s v="540"/>
    <m/>
    <n v="0"/>
    <n v="1472"/>
    <n v="1"/>
    <m/>
    <m/>
    <m/>
    <m/>
    <x v="0"/>
    <x v="0"/>
    <m/>
    <m/>
    <m/>
    <x v="0"/>
    <x v="0"/>
  </r>
  <r>
    <x v="276"/>
    <x v="11"/>
    <x v="11"/>
    <n v="52"/>
    <n v="2.8"/>
    <n v="44.5"/>
    <n v="2314"/>
    <n v="2373"/>
    <n v="6644.4"/>
    <n v="1.0254969749351772"/>
    <n v="1"/>
    <n v="2.5000000000000001E-2"/>
    <s v="540"/>
    <m/>
    <n v="1"/>
    <n v="2372"/>
    <n v="0.99957859249894643"/>
    <m/>
    <n v="156"/>
    <s v="特殊製程(1140213-01A)"/>
    <m/>
    <x v="0"/>
    <x v="0"/>
    <m/>
    <m/>
    <m/>
    <x v="0"/>
    <x v="0"/>
  </r>
  <r>
    <x v="277"/>
    <x v="8"/>
    <x v="8"/>
    <n v="40"/>
    <n v="0.44"/>
    <n v="344"/>
    <n v="13760"/>
    <n v="13848"/>
    <n v="6093.12"/>
    <n v="1.0063953488372093"/>
    <n v="1"/>
    <n v="6.0000000000000001E-3"/>
    <s v="540"/>
    <m/>
    <n v="14"/>
    <n v="13834"/>
    <n v="0.99898902368573084"/>
    <m/>
    <m/>
    <m/>
    <m/>
    <x v="0"/>
    <x v="0"/>
    <m/>
    <m/>
    <m/>
    <x v="0"/>
    <x v="0"/>
  </r>
  <r>
    <x v="277"/>
    <x v="10"/>
    <x v="10"/>
    <n v="12"/>
    <n v="6"/>
    <n v="25.4"/>
    <n v="304.79999999999995"/>
    <n v="304"/>
    <n v="1824"/>
    <n v="0.99737532808398965"/>
    <n v="1"/>
    <n v="-3.0000000000000001E-3"/>
    <s v="215"/>
    <m/>
    <n v="2"/>
    <n v="302"/>
    <n v="0.99342105263157898"/>
    <m/>
    <m/>
    <m/>
    <m/>
    <x v="0"/>
    <x v="0"/>
    <m/>
    <m/>
    <m/>
    <x v="0"/>
    <x v="0"/>
  </r>
  <r>
    <x v="277"/>
    <x v="9"/>
    <x v="9"/>
    <n v="24"/>
    <n v="6"/>
    <n v="25.7"/>
    <n v="616.79999999999995"/>
    <n v="628"/>
    <n v="3768"/>
    <n v="1.0181582360570689"/>
    <n v="1"/>
    <n v="1.7999999999999999E-2"/>
    <s v="368"/>
    <m/>
    <n v="2"/>
    <n v="626"/>
    <n v="0.99681528662420382"/>
    <m/>
    <m/>
    <m/>
    <m/>
    <x v="0"/>
    <x v="0"/>
    <m/>
    <m/>
    <m/>
    <x v="0"/>
    <x v="0"/>
  </r>
  <r>
    <x v="277"/>
    <x v="11"/>
    <x v="11"/>
    <n v="44"/>
    <n v="2.8"/>
    <n v="44.5"/>
    <n v="1636.5714285714284"/>
    <n v="1729"/>
    <n v="4841.2"/>
    <n v="1.0564769553072626"/>
    <n v="1"/>
    <n v="5.6000000000000001E-2"/>
    <s v="420"/>
    <m/>
    <n v="1"/>
    <n v="1728"/>
    <n v="0.99942163100057835"/>
    <m/>
    <n v="132"/>
    <s v="D9920(18kg)*50桶，特殊製程(1140213-01A)"/>
    <m/>
    <x v="0"/>
    <x v="0"/>
    <m/>
    <m/>
    <m/>
    <x v="0"/>
    <x v="0"/>
  </r>
  <r>
    <x v="277"/>
    <x v="35"/>
    <x v="33"/>
    <n v="8"/>
    <n v="18"/>
    <n v="6.6"/>
    <n v="52.8"/>
    <n v="52"/>
    <n v="936"/>
    <n v="0.98484848484848486"/>
    <n v="1"/>
    <n v="-1.4999999999999999E-2"/>
    <s v="130"/>
    <m/>
    <n v="0"/>
    <n v="52"/>
    <n v="1"/>
    <m/>
    <m/>
    <m/>
    <m/>
    <x v="0"/>
    <x v="0"/>
    <m/>
    <m/>
    <m/>
    <x v="0"/>
    <x v="0"/>
  </r>
  <r>
    <x v="278"/>
    <x v="21"/>
    <x v="21"/>
    <n v="32"/>
    <n v="3.2"/>
    <n v="46.4"/>
    <n v="1484.8"/>
    <n v="1473"/>
    <n v="4713.6000000000004"/>
    <n v="0.99205280172413801"/>
    <n v="1"/>
    <n v="-8.0000000000000002E-3"/>
    <s v="300"/>
    <m/>
    <n v="1"/>
    <n v="1472"/>
    <n v="0.99932111337406648"/>
    <m/>
    <m/>
    <m/>
    <m/>
    <x v="0"/>
    <x v="0"/>
    <m/>
    <m/>
    <m/>
    <x v="0"/>
    <x v="0"/>
  </r>
  <r>
    <x v="278"/>
    <x v="15"/>
    <x v="15"/>
    <n v="32"/>
    <n v="3.2"/>
    <n v="46.8"/>
    <n v="1497.6"/>
    <n v="1472"/>
    <n v="4710.4000000000005"/>
    <n v="0.98290598290598297"/>
    <n v="1"/>
    <n v="-1.7000000000000001E-2"/>
    <s v="305"/>
    <m/>
    <n v="1"/>
    <n v="1471"/>
    <n v="0.99932065217391308"/>
    <m/>
    <m/>
    <m/>
    <m/>
    <x v="0"/>
    <x v="0"/>
    <m/>
    <m/>
    <m/>
    <x v="0"/>
    <x v="0"/>
  </r>
  <r>
    <x v="278"/>
    <x v="18"/>
    <x v="18"/>
    <n v="16"/>
    <n v="6"/>
    <n v="26.4"/>
    <n v="422.4"/>
    <n v="431"/>
    <n v="2586"/>
    <n v="1.0203598484848486"/>
    <n v="1"/>
    <n v="0.02"/>
    <s v="480"/>
    <m/>
    <n v="3"/>
    <n v="428"/>
    <n v="0.99303944315545245"/>
    <m/>
    <m/>
    <m/>
    <m/>
    <x v="0"/>
    <x v="0"/>
    <m/>
    <m/>
    <m/>
    <x v="0"/>
    <x v="0"/>
  </r>
  <r>
    <x v="278"/>
    <x v="9"/>
    <x v="9"/>
    <n v="16"/>
    <n v="6"/>
    <n v="25.7"/>
    <n v="411.2"/>
    <n v="419"/>
    <n v="2514"/>
    <n v="1.0189688715953307"/>
    <n v="1"/>
    <n v="1.9E-2"/>
    <s v="240"/>
    <m/>
    <n v="1"/>
    <n v="418"/>
    <n v="0.99761336515513122"/>
    <m/>
    <m/>
    <m/>
    <m/>
    <x v="0"/>
    <x v="0"/>
    <m/>
    <m/>
    <m/>
    <x v="0"/>
    <x v="0"/>
  </r>
  <r>
    <x v="278"/>
    <x v="125"/>
    <x v="72"/>
    <n v="1"/>
    <n v="6"/>
    <n v="25.6"/>
    <n v="25.6"/>
    <n v="24"/>
    <n v="144"/>
    <n v="0.9375"/>
    <e v="#N/A"/>
    <e v="#N/A"/>
    <s v="122"/>
    <m/>
    <n v="1"/>
    <n v="23"/>
    <n v="0.95833333333333337"/>
    <m/>
    <m/>
    <m/>
    <m/>
    <x v="0"/>
    <x v="0"/>
    <m/>
    <m/>
    <m/>
    <x v="0"/>
    <x v="0"/>
  </r>
  <r>
    <x v="278"/>
    <x v="78"/>
    <x v="70"/>
    <n v="8"/>
    <n v="0.28999999999999998"/>
    <n v="388"/>
    <n v="3104"/>
    <n v="3243"/>
    <n v="940.46999999999991"/>
    <n v="1.0447809278350515"/>
    <n v="1"/>
    <n v="4.4999999999999998E-2"/>
    <s v="220"/>
    <m/>
    <n v="5"/>
    <n v="3238"/>
    <n v="0.99845821769966081"/>
    <m/>
    <m/>
    <s v="充填281g~285g"/>
    <m/>
    <x v="0"/>
    <x v="0"/>
    <m/>
    <m/>
    <m/>
    <x v="0"/>
    <x v="0"/>
  </r>
  <r>
    <x v="278"/>
    <x v="34"/>
    <x v="32"/>
    <n v="16"/>
    <n v="0.34"/>
    <n v="358.3"/>
    <n v="5732.8"/>
    <n v="5969"/>
    <n v="2029.46"/>
    <n v="1.0412015071169411"/>
    <n v="1"/>
    <n v="4.1000000000000002E-2"/>
    <s v="360"/>
    <m/>
    <n v="3"/>
    <n v="5966"/>
    <n v="0.9994974032501257"/>
    <m/>
    <m/>
    <m/>
    <m/>
    <x v="0"/>
    <x v="0"/>
    <m/>
    <m/>
    <m/>
    <x v="0"/>
    <x v="0"/>
  </r>
  <r>
    <x v="278"/>
    <x v="105"/>
    <x v="93"/>
    <n v="1"/>
    <n v="0.1"/>
    <n v="1732"/>
    <n v="1732"/>
    <n v="1690"/>
    <n v="169"/>
    <n v="0.9757505773672055"/>
    <n v="1"/>
    <n v="-2.4E-2"/>
    <s v="0"/>
    <m/>
    <n v="0"/>
    <n v="1690"/>
    <n v="1"/>
    <m/>
    <m/>
    <m/>
    <m/>
    <x v="0"/>
    <x v="0"/>
    <m/>
    <m/>
    <m/>
    <x v="0"/>
    <x v="0"/>
  </r>
  <r>
    <x v="279"/>
    <x v="0"/>
    <x v="0"/>
    <n v="24"/>
    <n v="6"/>
    <n v="25.5"/>
    <n v="612"/>
    <n v="602"/>
    <n v="3612"/>
    <n v="0.9836601307189542"/>
    <n v="1"/>
    <n v="-1.6E-2"/>
    <s v="340"/>
    <m/>
    <n v="1"/>
    <n v="601"/>
    <n v="0.99833887043189373"/>
    <m/>
    <m/>
    <m/>
    <m/>
    <x v="0"/>
    <x v="0"/>
    <m/>
    <m/>
    <m/>
    <x v="0"/>
    <x v="0"/>
  </r>
  <r>
    <x v="279"/>
    <x v="47"/>
    <x v="42"/>
    <n v="12"/>
    <n v="6"/>
    <n v="25.6"/>
    <n v="307.20000000000005"/>
    <n v="305"/>
    <n v="1830"/>
    <n v="0.99283854166666652"/>
    <n v="1"/>
    <n v="-7.0000000000000001E-3"/>
    <s v="300"/>
    <m/>
    <n v="1"/>
    <n v="304"/>
    <n v="0.99672131147540988"/>
    <m/>
    <m/>
    <m/>
    <m/>
    <x v="0"/>
    <x v="0"/>
    <m/>
    <m/>
    <m/>
    <x v="0"/>
    <x v="0"/>
  </r>
  <r>
    <x v="279"/>
    <x v="9"/>
    <x v="9"/>
    <n v="28"/>
    <n v="6"/>
    <n v="25.7"/>
    <n v="719.6"/>
    <n v="742"/>
    <n v="4452"/>
    <n v="1.0311284046692606"/>
    <n v="1"/>
    <n v="3.1E-2"/>
    <s v="380"/>
    <m/>
    <n v="1"/>
    <n v="741"/>
    <n v="0.99865229110512133"/>
    <m/>
    <m/>
    <m/>
    <m/>
    <x v="0"/>
    <x v="0"/>
    <m/>
    <m/>
    <m/>
    <x v="0"/>
    <x v="0"/>
  </r>
  <r>
    <x v="279"/>
    <x v="22"/>
    <x v="10"/>
    <n v="8"/>
    <n v="6"/>
    <n v="25.1"/>
    <n v="200.8"/>
    <n v="198"/>
    <n v="1188"/>
    <n v="0.98605577689243018"/>
    <n v="1"/>
    <n v="-1.4E-2"/>
    <s v="180"/>
    <m/>
    <n v="2"/>
    <n v="196"/>
    <n v="0.98989898989898994"/>
    <m/>
    <m/>
    <s v="此批裝NY箱、五惠板。"/>
    <m/>
    <x v="0"/>
    <x v="0"/>
    <m/>
    <m/>
    <m/>
    <x v="0"/>
    <x v="0"/>
  </r>
  <r>
    <x v="279"/>
    <x v="12"/>
    <x v="12"/>
    <n v="20"/>
    <n v="0.8"/>
    <n v="157.69999999999999"/>
    <n v="3154"/>
    <n v="3126"/>
    <n v="2500.8000000000002"/>
    <n v="0.99112238427393784"/>
    <n v="1"/>
    <n v="-8.9999999999999993E-3"/>
    <s v="240"/>
    <m/>
    <n v="2"/>
    <n v="3124"/>
    <n v="0.99936020473448495"/>
    <m/>
    <m/>
    <m/>
    <m/>
    <x v="0"/>
    <x v="0"/>
    <m/>
    <m/>
    <m/>
    <x v="0"/>
    <x v="0"/>
  </r>
  <r>
    <x v="279"/>
    <x v="11"/>
    <x v="11"/>
    <n v="24"/>
    <n v="2.8"/>
    <n v="44.5"/>
    <n v="939.42857142857144"/>
    <n v="961"/>
    <n v="2690.7999999999997"/>
    <n v="1.0229622871046229"/>
    <n v="1"/>
    <n v="2.3E-2"/>
    <s v="270"/>
    <m/>
    <n v="1"/>
    <n v="960"/>
    <n v="0.99895941727367321"/>
    <m/>
    <n v="60"/>
    <s v="D9920(18KG)*20桶，特殊製程(1140213-01A)"/>
    <m/>
    <x v="0"/>
    <x v="0"/>
    <m/>
    <m/>
    <m/>
    <x v="0"/>
    <x v="0"/>
  </r>
  <r>
    <x v="280"/>
    <x v="13"/>
    <x v="13"/>
    <n v="40"/>
    <n v="0.9"/>
    <n v="160.5"/>
    <n v="6420"/>
    <n v="6472"/>
    <n v="5824.8"/>
    <n v="1.0080996884735203"/>
    <n v="1"/>
    <n v="8.0000000000000002E-3"/>
    <s v="540"/>
    <m/>
    <n v="2"/>
    <n v="6470"/>
    <n v="0.99969097651421512"/>
    <m/>
    <m/>
    <m/>
    <m/>
    <x v="0"/>
    <x v="0"/>
    <m/>
    <m/>
    <m/>
    <x v="0"/>
    <x v="0"/>
  </r>
  <r>
    <x v="280"/>
    <x v="59"/>
    <x v="52"/>
    <n v="8"/>
    <n v="4.5"/>
    <n v="34.9"/>
    <n v="279.2"/>
    <n v="287"/>
    <n v="1291.5"/>
    <n v="1.0279369627507164"/>
    <n v="1"/>
    <n v="2.8000000000000001E-2"/>
    <s v="170"/>
    <m/>
    <n v="0"/>
    <n v="287"/>
    <n v="1"/>
    <m/>
    <m/>
    <m/>
    <m/>
    <x v="0"/>
    <x v="0"/>
    <m/>
    <m/>
    <m/>
    <x v="0"/>
    <x v="0"/>
  </r>
  <r>
    <x v="280"/>
    <x v="9"/>
    <x v="9"/>
    <n v="20"/>
    <n v="6"/>
    <n v="25.7"/>
    <n v="514"/>
    <n v="526"/>
    <n v="3156"/>
    <n v="1.0233463035019454"/>
    <n v="1"/>
    <n v="2.3E-2"/>
    <s v="307"/>
    <m/>
    <n v="1"/>
    <n v="525"/>
    <n v="0.99809885931558939"/>
    <m/>
    <m/>
    <m/>
    <m/>
    <x v="0"/>
    <x v="0"/>
    <m/>
    <m/>
    <m/>
    <x v="0"/>
    <x v="0"/>
  </r>
  <r>
    <x v="280"/>
    <x v="20"/>
    <x v="20"/>
    <n v="8"/>
    <n v="6"/>
    <n v="25"/>
    <n v="200"/>
    <n v="198"/>
    <n v="1188"/>
    <n v="0.99"/>
    <n v="1"/>
    <n v="-0.01"/>
    <s v="150"/>
    <m/>
    <n v="1"/>
    <n v="197"/>
    <n v="0.99494949494949492"/>
    <m/>
    <m/>
    <m/>
    <m/>
    <x v="0"/>
    <x v="0"/>
    <m/>
    <m/>
    <m/>
    <x v="0"/>
    <x v="0"/>
  </r>
  <r>
    <x v="280"/>
    <x v="48"/>
    <x v="17"/>
    <n v="21"/>
    <n v="3"/>
    <n v="30.8"/>
    <n v="646.80000000000007"/>
    <n v="652"/>
    <n v="1956"/>
    <n v="1.0080395794681507"/>
    <n v="1"/>
    <n v="8.0000000000000002E-3"/>
    <s v="540"/>
    <m/>
    <n v="0"/>
    <n v="652"/>
    <n v="1"/>
    <m/>
    <m/>
    <m/>
    <m/>
    <x v="0"/>
    <x v="0"/>
    <m/>
    <m/>
    <m/>
    <x v="0"/>
    <x v="0"/>
  </r>
  <r>
    <x v="281"/>
    <x v="8"/>
    <x v="8"/>
    <n v="20"/>
    <n v="0.44"/>
    <n v="344"/>
    <n v="6880"/>
    <n v="6813"/>
    <n v="2997.72"/>
    <n v="0.99026162790697669"/>
    <n v="1"/>
    <n v="-0.01"/>
    <s v="300"/>
    <m/>
    <n v="4"/>
    <n v="6809"/>
    <n v="0.99941288712755028"/>
    <m/>
    <m/>
    <m/>
    <m/>
    <x v="0"/>
    <x v="0"/>
    <m/>
    <m/>
    <m/>
    <x v="0"/>
    <x v="0"/>
  </r>
  <r>
    <x v="281"/>
    <x v="43"/>
    <x v="41"/>
    <n v="16"/>
    <n v="0.26"/>
    <n v="584.29999999999995"/>
    <n v="9348.7999999999993"/>
    <n v="9315"/>
    <n v="2421.9"/>
    <n v="0.99638456272462783"/>
    <n v="1"/>
    <n v="-4.0000000000000001E-3"/>
    <s v="270"/>
    <m/>
    <n v="14"/>
    <n v="9301"/>
    <n v="0.99849704777241011"/>
    <m/>
    <m/>
    <m/>
    <m/>
    <x v="0"/>
    <x v="0"/>
    <m/>
    <m/>
    <m/>
    <x v="0"/>
    <x v="0"/>
  </r>
  <r>
    <x v="281"/>
    <x v="3"/>
    <x v="3"/>
    <n v="32"/>
    <n v="4.5"/>
    <n v="36.299999999999997"/>
    <n v="1161.5999999999999"/>
    <n v="1177"/>
    <n v="5296.5"/>
    <n v="1.0132575757575759"/>
    <n v="1"/>
    <n v="1.2999999999999999E-2"/>
    <s v="470"/>
    <m/>
    <n v="0"/>
    <n v="1177"/>
    <n v="1"/>
    <m/>
    <m/>
    <m/>
    <m/>
    <x v="0"/>
    <x v="0"/>
    <m/>
    <m/>
    <m/>
    <x v="0"/>
    <x v="0"/>
  </r>
  <r>
    <x v="281"/>
    <x v="52"/>
    <x v="46"/>
    <n v="8"/>
    <n v="4.5"/>
    <n v="35.6"/>
    <n v="284.8"/>
    <n v="278"/>
    <n v="1251"/>
    <n v="0.97612359550561789"/>
    <n v="1"/>
    <n v="-2.4E-2"/>
    <s v="225"/>
    <m/>
    <n v="0"/>
    <n v="278"/>
    <n v="1"/>
    <m/>
    <m/>
    <m/>
    <m/>
    <x v="0"/>
    <x v="0"/>
    <m/>
    <m/>
    <m/>
    <x v="0"/>
    <x v="0"/>
  </r>
  <r>
    <x v="281"/>
    <x v="11"/>
    <x v="11"/>
    <n v="56"/>
    <n v="2.8"/>
    <n v="44.5"/>
    <n v="2492"/>
    <n v="2563"/>
    <n v="7176.4"/>
    <n v="1.0284911717495988"/>
    <n v="1"/>
    <n v="2.8000000000000001E-2"/>
    <s v="525"/>
    <m/>
    <n v="1"/>
    <n v="2562"/>
    <n v="0.99960983222785793"/>
    <m/>
    <n v="168"/>
    <s v="特殊製程(1140213-01A)"/>
    <m/>
    <x v="0"/>
    <x v="0"/>
    <m/>
    <m/>
    <m/>
    <x v="0"/>
    <x v="0"/>
  </r>
  <r>
    <x v="282"/>
    <x v="15"/>
    <x v="15"/>
    <n v="72"/>
    <n v="3.2"/>
    <n v="46.8"/>
    <n v="3369.6"/>
    <n v="3342"/>
    <n v="10694.400000000001"/>
    <n v="0.99180911680911688"/>
    <n v="1"/>
    <n v="-8.0000000000000002E-3"/>
    <s v="540"/>
    <m/>
    <n v="2"/>
    <n v="3340"/>
    <n v="0.99940155595451829"/>
    <m/>
    <m/>
    <m/>
    <m/>
    <x v="0"/>
    <x v="0"/>
    <m/>
    <m/>
    <m/>
    <x v="0"/>
    <x v="0"/>
  </r>
  <r>
    <x v="282"/>
    <x v="9"/>
    <x v="9"/>
    <n v="20"/>
    <n v="6"/>
    <n v="25.7"/>
    <n v="514"/>
    <n v="527"/>
    <n v="3162"/>
    <n v="1.0252918287937742"/>
    <n v="1"/>
    <n v="2.5000000000000001E-2"/>
    <s v="315"/>
    <m/>
    <n v="1"/>
    <n v="526"/>
    <n v="0.99810246679316883"/>
    <m/>
    <m/>
    <m/>
    <m/>
    <x v="0"/>
    <x v="0"/>
    <m/>
    <m/>
    <m/>
    <x v="0"/>
    <x v="0"/>
  </r>
  <r>
    <x v="282"/>
    <x v="10"/>
    <x v="10"/>
    <n v="16"/>
    <n v="6"/>
    <n v="25.4"/>
    <n v="406.4"/>
    <n v="406"/>
    <n v="2436"/>
    <n v="0.99901574803149606"/>
    <n v="1"/>
    <n v="-1E-3"/>
    <s v="270"/>
    <m/>
    <n v="1"/>
    <n v="405"/>
    <n v="0.99753694581280783"/>
    <m/>
    <m/>
    <m/>
    <m/>
    <x v="0"/>
    <x v="0"/>
    <m/>
    <m/>
    <m/>
    <x v="0"/>
    <x v="0"/>
  </r>
  <r>
    <x v="282"/>
    <x v="23"/>
    <x v="22"/>
    <n v="36"/>
    <n v="0.34"/>
    <n v="364.6"/>
    <n v="13125.6"/>
    <n v="13002"/>
    <n v="4420.68"/>
    <n v="0.99058328762113734"/>
    <n v="1"/>
    <n v="-8.9999999999999993E-3"/>
    <s v="600"/>
    <m/>
    <n v="3"/>
    <n v="12999"/>
    <n v="0.99976926626672824"/>
    <m/>
    <m/>
    <m/>
    <m/>
    <x v="0"/>
    <x v="0"/>
    <m/>
    <m/>
    <m/>
    <x v="0"/>
    <x v="0"/>
  </r>
  <r>
    <x v="283"/>
    <x v="15"/>
    <x v="15"/>
    <n v="72"/>
    <n v="3.2"/>
    <n v="46.8"/>
    <n v="3369.6"/>
    <n v="3345"/>
    <n v="10704"/>
    <n v="0.99269943019943019"/>
    <n v="1"/>
    <n v="-7.0000000000000001E-3"/>
    <s v="540"/>
    <m/>
    <n v="2"/>
    <n v="3343"/>
    <n v="0.99940209267563529"/>
    <m/>
    <m/>
    <m/>
    <m/>
    <x v="0"/>
    <x v="0"/>
    <m/>
    <m/>
    <m/>
    <x v="0"/>
    <x v="0"/>
  </r>
  <r>
    <x v="283"/>
    <x v="9"/>
    <x v="9"/>
    <n v="24"/>
    <n v="6"/>
    <n v="25.7"/>
    <n v="616.79999999999995"/>
    <n v="631"/>
    <n v="3786"/>
    <n v="1.0230220492866409"/>
    <n v="1"/>
    <n v="2.3E-2"/>
    <s v="357"/>
    <m/>
    <n v="3"/>
    <n v="628"/>
    <n v="0.99524564183835185"/>
    <m/>
    <m/>
    <m/>
    <m/>
    <x v="0"/>
    <x v="0"/>
    <m/>
    <m/>
    <m/>
    <x v="0"/>
    <x v="0"/>
  </r>
  <r>
    <x v="283"/>
    <x v="122"/>
    <x v="111"/>
    <n v="12"/>
    <n v="6"/>
    <n v="0"/>
    <n v="0"/>
    <n v="297"/>
    <n v="1782"/>
    <s v="無法預估數據"/>
    <e v="#N/A"/>
    <s v="無法預估數據"/>
    <s v="195"/>
    <m/>
    <n v="2"/>
    <n v="295"/>
    <n v="0.9932659932659933"/>
    <m/>
    <m/>
    <m/>
    <m/>
    <x v="0"/>
    <x v="0"/>
    <m/>
    <m/>
    <m/>
    <x v="0"/>
    <x v="0"/>
  </r>
  <r>
    <x v="283"/>
    <x v="41"/>
    <x v="39"/>
    <n v="56"/>
    <n v="2.8"/>
    <n v="44.2"/>
    <n v="2475.2000000000003"/>
    <n v="2445"/>
    <n v="6846"/>
    <n v="0.98779896574014214"/>
    <n v="1"/>
    <n v="-1.2E-2"/>
    <s v="525"/>
    <m/>
    <n v="1"/>
    <n v="2444"/>
    <n v="0.99959100204498974"/>
    <m/>
    <m/>
    <m/>
    <m/>
    <x v="0"/>
    <x v="0"/>
    <m/>
    <m/>
    <m/>
    <x v="0"/>
    <x v="0"/>
  </r>
  <r>
    <x v="284"/>
    <x v="2"/>
    <x v="2"/>
    <n v="36"/>
    <n v="6"/>
    <n v="26.6"/>
    <n v="957.6"/>
    <n v="953"/>
    <n v="5718"/>
    <n v="0.99519632414369252"/>
    <n v="1"/>
    <n v="-5.0000000000000001E-3"/>
    <s v="540"/>
    <m/>
    <n v="3"/>
    <n v="950"/>
    <n v="0.99685204616998946"/>
    <m/>
    <m/>
    <m/>
    <m/>
    <x v="0"/>
    <x v="0"/>
    <m/>
    <m/>
    <m/>
    <x v="0"/>
    <x v="0"/>
  </r>
  <r>
    <x v="284"/>
    <x v="39"/>
    <x v="37"/>
    <n v="12"/>
    <n v="4.5"/>
    <n v="36"/>
    <n v="432"/>
    <n v="439"/>
    <n v="1975.5"/>
    <n v="1.0162037037037037"/>
    <n v="1"/>
    <n v="1.6E-2"/>
    <s v="196"/>
    <m/>
    <n v="0"/>
    <n v="439"/>
    <n v="1"/>
    <m/>
    <m/>
    <m/>
    <m/>
    <x v="0"/>
    <x v="0"/>
    <m/>
    <m/>
    <m/>
    <x v="0"/>
    <x v="0"/>
  </r>
  <r>
    <x v="284"/>
    <x v="3"/>
    <x v="3"/>
    <n v="28"/>
    <n v="4.5"/>
    <n v="36.299999999999997"/>
    <n v="1016.3999999999999"/>
    <n v="1020"/>
    <n v="4590"/>
    <n v="1.0035419126328218"/>
    <n v="1"/>
    <n v="4.0000000000000001E-3"/>
    <s v="390"/>
    <m/>
    <n v="0"/>
    <n v="1020"/>
    <n v="1"/>
    <m/>
    <m/>
    <m/>
    <m/>
    <x v="0"/>
    <x v="0"/>
    <m/>
    <m/>
    <m/>
    <x v="0"/>
    <x v="0"/>
  </r>
  <r>
    <x v="284"/>
    <x v="11"/>
    <x v="11"/>
    <n v="56"/>
    <n v="2.8"/>
    <n v="44.5"/>
    <n v="2492"/>
    <n v="2553"/>
    <n v="7148.4"/>
    <n v="1.024478330658106"/>
    <n v="1"/>
    <n v="2.4E-2"/>
    <s v="550"/>
    <m/>
    <n v="1"/>
    <n v="2552"/>
    <n v="0.9996083039561301"/>
    <m/>
    <n v="168"/>
    <s v="D2021美之城*100箱)，特殊製程(1140213-01A)"/>
    <m/>
    <x v="0"/>
    <x v="0"/>
    <m/>
    <m/>
    <m/>
    <x v="0"/>
    <x v="0"/>
  </r>
  <r>
    <x v="284"/>
    <x v="100"/>
    <x v="90"/>
    <n v="1"/>
    <n v="1"/>
    <n v="139"/>
    <n v="139"/>
    <n v="138"/>
    <n v="138"/>
    <n v="0.9928057553956835"/>
    <n v="1"/>
    <n v="-7.0000000000000001E-3"/>
    <s v="0"/>
    <m/>
    <n v="0"/>
    <n v="138"/>
    <n v="1"/>
    <m/>
    <m/>
    <m/>
    <m/>
    <x v="0"/>
    <x v="0"/>
    <m/>
    <m/>
    <m/>
    <x v="0"/>
    <x v="0"/>
  </r>
  <r>
    <x v="285"/>
    <x v="0"/>
    <x v="0"/>
    <n v="16"/>
    <n v="6"/>
    <n v="25.5"/>
    <n v="408"/>
    <n v="401"/>
    <n v="2406"/>
    <n v="0.98284313725490191"/>
    <n v="1"/>
    <n v="-1.7000000000000001E-2"/>
    <s v="200"/>
    <m/>
    <n v="2"/>
    <n v="399"/>
    <n v="0.99501246882793015"/>
    <m/>
    <m/>
    <m/>
    <m/>
    <x v="0"/>
    <x v="0"/>
    <m/>
    <m/>
    <m/>
    <x v="0"/>
    <x v="0"/>
  </r>
  <r>
    <x v="285"/>
    <x v="82"/>
    <x v="74"/>
    <n v="6"/>
    <n v="6"/>
    <n v="24.5"/>
    <n v="147"/>
    <n v="146"/>
    <n v="876"/>
    <n v="0.99319727891156462"/>
    <n v="1"/>
    <n v="-7.0000000000000001E-3"/>
    <s v="150"/>
    <m/>
    <n v="1"/>
    <n v="145"/>
    <n v="0.99315068493150682"/>
    <m/>
    <m/>
    <m/>
    <m/>
    <x v="0"/>
    <x v="0"/>
    <m/>
    <m/>
    <m/>
    <x v="0"/>
    <x v="0"/>
  </r>
  <r>
    <x v="285"/>
    <x v="47"/>
    <x v="42"/>
    <n v="12"/>
    <n v="6"/>
    <n v="25.6"/>
    <n v="307.20000000000005"/>
    <n v="306"/>
    <n v="1836"/>
    <n v="0.99609374999999989"/>
    <n v="1"/>
    <n v="-4.0000000000000001E-3"/>
    <s v="210"/>
    <m/>
    <n v="1"/>
    <n v="305"/>
    <n v="0.99673202614379086"/>
    <m/>
    <m/>
    <m/>
    <m/>
    <x v="0"/>
    <x v="0"/>
    <m/>
    <m/>
    <m/>
    <x v="0"/>
    <x v="0"/>
  </r>
  <r>
    <x v="285"/>
    <x v="65"/>
    <x v="56"/>
    <n v="12"/>
    <n v="9.5"/>
    <n v="16.600000000000001"/>
    <n v="199.20000000000002"/>
    <n v="197"/>
    <n v="1871.5"/>
    <n v="0.98895582329317255"/>
    <n v="1"/>
    <n v="-1.0999999999999999E-2"/>
    <s v="230"/>
    <m/>
    <n v="0"/>
    <n v="197"/>
    <n v="1"/>
    <m/>
    <m/>
    <m/>
    <m/>
    <x v="0"/>
    <x v="0"/>
    <m/>
    <m/>
    <m/>
    <x v="0"/>
    <x v="0"/>
  </r>
  <r>
    <x v="285"/>
    <x v="9"/>
    <x v="9"/>
    <n v="24"/>
    <n v="6"/>
    <n v="25.7"/>
    <n v="616.79999999999995"/>
    <n v="628"/>
    <n v="3768"/>
    <n v="1.0181582360570689"/>
    <n v="1"/>
    <n v="1.7999999999999999E-2"/>
    <s v="324"/>
    <m/>
    <n v="1"/>
    <n v="627"/>
    <n v="0.99840764331210186"/>
    <m/>
    <m/>
    <m/>
    <m/>
    <x v="0"/>
    <x v="0"/>
    <m/>
    <m/>
    <m/>
    <x v="0"/>
    <x v="0"/>
  </r>
  <r>
    <x v="285"/>
    <x v="11"/>
    <x v="11"/>
    <n v="56"/>
    <n v="2.8"/>
    <n v="44.5"/>
    <n v="1656.2857142857142"/>
    <n v="1724"/>
    <n v="4827.2"/>
    <n v="1.0408832154562706"/>
    <n v="1"/>
    <n v="4.1000000000000002E-2"/>
    <s v="550"/>
    <m/>
    <n v="1"/>
    <n v="1723"/>
    <n v="0.99941995359628766"/>
    <m/>
    <n v="168"/>
    <s v="D9920(18kg)*130桶，特殊製程(1140213-01A)。"/>
    <m/>
    <x v="0"/>
    <x v="0"/>
    <m/>
    <m/>
    <m/>
    <x v="0"/>
    <x v="0"/>
  </r>
  <r>
    <x v="286"/>
    <x v="49"/>
    <x v="43"/>
    <n v="15"/>
    <n v="0.43"/>
    <n v="364"/>
    <n v="5460"/>
    <n v="5538"/>
    <n v="2381.34"/>
    <n v="1.0142857142857142"/>
    <n v="1"/>
    <n v="1.4E-2"/>
    <s v="300"/>
    <m/>
    <n v="12"/>
    <n v="5526"/>
    <n v="0.99783315276273021"/>
    <m/>
    <m/>
    <m/>
    <m/>
    <x v="0"/>
    <x v="0"/>
    <m/>
    <m/>
    <m/>
    <x v="0"/>
    <x v="0"/>
  </r>
  <r>
    <x v="286"/>
    <x v="75"/>
    <x v="65"/>
    <n v="3"/>
    <n v="0.19"/>
    <n v="759.3"/>
    <n v="2277.8999999999996"/>
    <n v="2318"/>
    <n v="440.42"/>
    <n v="1.0176039334474738"/>
    <n v="1"/>
    <n v="1.7999999999999999E-2"/>
    <s v="240"/>
    <m/>
    <n v="13"/>
    <n v="2305"/>
    <n v="0.99439171699741158"/>
    <m/>
    <m/>
    <m/>
    <m/>
    <x v="0"/>
    <x v="0"/>
    <m/>
    <m/>
    <m/>
    <x v="0"/>
    <x v="0"/>
  </r>
  <r>
    <x v="286"/>
    <x v="16"/>
    <x v="16"/>
    <n v="20"/>
    <n v="6"/>
    <n v="26.1"/>
    <n v="522"/>
    <n v="529"/>
    <n v="3174"/>
    <n v="1.0134099616858236"/>
    <n v="1"/>
    <n v="1.2999999999999999E-2"/>
    <s v="340"/>
    <m/>
    <n v="3"/>
    <n v="526"/>
    <n v="0.99432892249527405"/>
    <m/>
    <m/>
    <m/>
    <m/>
    <x v="0"/>
    <x v="0"/>
    <m/>
    <m/>
    <m/>
    <x v="0"/>
    <x v="0"/>
  </r>
  <r>
    <x v="286"/>
    <x v="22"/>
    <x v="10"/>
    <n v="16"/>
    <n v="6"/>
    <n v="25.1"/>
    <n v="401.6"/>
    <n v="399"/>
    <n v="2394"/>
    <n v="0.99352589641434252"/>
    <n v="1"/>
    <n v="-6.0000000000000001E-3"/>
    <s v="210"/>
    <m/>
    <n v="1"/>
    <n v="398"/>
    <n v="0.99749373433583954"/>
    <m/>
    <m/>
    <m/>
    <m/>
    <x v="0"/>
    <x v="0"/>
    <m/>
    <m/>
    <m/>
    <x v="0"/>
    <x v="0"/>
  </r>
  <r>
    <x v="286"/>
    <x v="11"/>
    <x v="11"/>
    <n v="56"/>
    <n v="2.8"/>
    <n v="44.5"/>
    <n v="2492"/>
    <n v="2569"/>
    <n v="7193.2"/>
    <n v="1.0308988764044944"/>
    <n v="1"/>
    <n v="3.1E-2"/>
    <s v="540"/>
    <m/>
    <n v="2"/>
    <n v="2567"/>
    <n v="0.99922148695990654"/>
    <m/>
    <n v="168"/>
    <s v="特殊製程(1140213-01A)。"/>
    <m/>
    <x v="0"/>
    <x v="0"/>
    <m/>
    <m/>
    <m/>
    <x v="0"/>
    <x v="0"/>
  </r>
  <r>
    <x v="287"/>
    <x v="124"/>
    <x v="26"/>
    <n v="72"/>
    <n v="3.2"/>
    <n v="47.5"/>
    <n v="3420"/>
    <n v="3265"/>
    <n v="10448"/>
    <n v="0.95467836257309946"/>
    <e v="#N/A"/>
    <e v="#N/A"/>
    <s v="540"/>
    <m/>
    <n v="3"/>
    <n v="3262"/>
    <n v="0.99908116385911183"/>
    <m/>
    <m/>
    <m/>
    <m/>
    <x v="0"/>
    <x v="0"/>
    <m/>
    <m/>
    <m/>
    <x v="0"/>
    <x v="0"/>
  </r>
  <r>
    <x v="287"/>
    <x v="74"/>
    <x v="64"/>
    <n v="6"/>
    <n v="6"/>
    <n v="25.2"/>
    <n v="151.19999999999999"/>
    <n v="152"/>
    <n v="912"/>
    <n v="1.0052910052910053"/>
    <n v="1"/>
    <n v="5.0000000000000001E-3"/>
    <s v="130"/>
    <m/>
    <n v="1"/>
    <n v="151"/>
    <n v="0.99342105263157898"/>
    <m/>
    <m/>
    <m/>
    <m/>
    <x v="0"/>
    <x v="0"/>
    <m/>
    <m/>
    <m/>
    <x v="0"/>
    <x v="0"/>
  </r>
  <r>
    <x v="287"/>
    <x v="10"/>
    <x v="10"/>
    <n v="28"/>
    <n v="6"/>
    <n v="25.4"/>
    <n v="711.19999999999993"/>
    <n v="704"/>
    <n v="4224"/>
    <n v="0.98987626546681673"/>
    <n v="1"/>
    <n v="-0.01"/>
    <s v="410"/>
    <m/>
    <n v="4"/>
    <n v="700"/>
    <n v="0.99431818181818177"/>
    <m/>
    <m/>
    <m/>
    <m/>
    <x v="0"/>
    <x v="0"/>
    <m/>
    <m/>
    <m/>
    <x v="0"/>
    <x v="0"/>
  </r>
  <r>
    <x v="287"/>
    <x v="89"/>
    <x v="2"/>
    <n v="1"/>
    <n v="6"/>
    <n v="24.9"/>
    <n v="24.9"/>
    <n v="21"/>
    <n v="126"/>
    <n v="0.84337349397590367"/>
    <n v="1"/>
    <n v="-0.157"/>
    <s v="87"/>
    <m/>
    <n v="1"/>
    <n v="20"/>
    <n v="0.95238095238095233"/>
    <m/>
    <m/>
    <m/>
    <m/>
    <x v="0"/>
    <x v="0"/>
    <m/>
    <m/>
    <m/>
    <x v="0"/>
    <x v="0"/>
  </r>
  <r>
    <x v="287"/>
    <x v="55"/>
    <x v="48"/>
    <n v="40"/>
    <n v="18"/>
    <n v="6.9"/>
    <n v="276"/>
    <n v="278"/>
    <n v="5004"/>
    <n v="1.0072463768115942"/>
    <n v="1"/>
    <n v="7.0000000000000001E-3"/>
    <s v="430"/>
    <m/>
    <n v="0"/>
    <n v="278"/>
    <n v="1"/>
    <m/>
    <m/>
    <m/>
    <m/>
    <x v="0"/>
    <x v="0"/>
    <m/>
    <m/>
    <m/>
    <x v="0"/>
    <x v="0"/>
  </r>
  <r>
    <x v="288"/>
    <x v="21"/>
    <x v="21"/>
    <n v="32"/>
    <n v="3.2"/>
    <n v="46.4"/>
    <n v="1484.8"/>
    <n v="1463"/>
    <n v="4681.6000000000004"/>
    <n v="0.98531788793103448"/>
    <n v="1"/>
    <n v="-1.4999999999999999E-2"/>
    <s v="330"/>
    <m/>
    <n v="1"/>
    <n v="1462"/>
    <n v="0.99931647300068349"/>
    <m/>
    <m/>
    <m/>
    <m/>
    <x v="0"/>
    <x v="0"/>
    <m/>
    <m/>
    <m/>
    <x v="0"/>
    <x v="0"/>
  </r>
  <r>
    <x v="288"/>
    <x v="126"/>
    <x v="25"/>
    <n v="20"/>
    <n v="0.9"/>
    <n v="163"/>
    <n v="3260"/>
    <n v="3143"/>
    <n v="2828.7000000000003"/>
    <n v="0.96411042944785275"/>
    <e v="#N/A"/>
    <e v="#N/A"/>
    <s v="270"/>
    <m/>
    <n v="2"/>
    <n v="3141"/>
    <n v="0.99936366528794141"/>
    <m/>
    <m/>
    <m/>
    <m/>
    <x v="0"/>
    <x v="0"/>
    <m/>
    <m/>
    <m/>
    <x v="0"/>
    <x v="0"/>
  </r>
  <r>
    <x v="288"/>
    <x v="3"/>
    <x v="3"/>
    <n v="32"/>
    <n v="4.5"/>
    <n v="36.299999999999997"/>
    <n v="1161.5999999999999"/>
    <n v="1161"/>
    <n v="5224.5"/>
    <n v="0.99948347107438029"/>
    <n v="1"/>
    <n v="-1E-3"/>
    <s v="450"/>
    <m/>
    <n v="0"/>
    <n v="1161"/>
    <n v="1"/>
    <m/>
    <m/>
    <m/>
    <m/>
    <x v="0"/>
    <x v="0"/>
    <m/>
    <m/>
    <m/>
    <x v="0"/>
    <x v="0"/>
  </r>
  <r>
    <x v="288"/>
    <x v="38"/>
    <x v="36"/>
    <n v="3"/>
    <n v="4.5"/>
    <n v="32.799999999999997"/>
    <n v="98.399999999999991"/>
    <n v="102"/>
    <n v="459"/>
    <n v="1.0365853658536586"/>
    <n v="1"/>
    <n v="3.6999999999999998E-2"/>
    <s v="106"/>
    <m/>
    <n v="0"/>
    <n v="102"/>
    <n v="1"/>
    <m/>
    <m/>
    <m/>
    <m/>
    <x v="0"/>
    <x v="0"/>
    <m/>
    <m/>
    <m/>
    <x v="0"/>
    <x v="0"/>
  </r>
  <r>
    <x v="288"/>
    <x v="11"/>
    <x v="11"/>
    <n v="60"/>
    <n v="2.8"/>
    <n v="44.5"/>
    <n v="2670"/>
    <n v="2736"/>
    <n v="7660.7999999999993"/>
    <n v="1.0247191011235954"/>
    <n v="1"/>
    <n v="2.5000000000000001E-2"/>
    <s v="570"/>
    <m/>
    <n v="1"/>
    <n v="2735"/>
    <n v="0.9996345029239766"/>
    <m/>
    <n v="180"/>
    <s v="特殊製程(1140213-01A)"/>
    <m/>
    <x v="0"/>
    <x v="0"/>
    <m/>
    <m/>
    <m/>
    <x v="0"/>
    <x v="0"/>
  </r>
  <r>
    <x v="288"/>
    <x v="99"/>
    <x v="89"/>
    <n v="1"/>
    <n v="0"/>
    <n v="0"/>
    <n v="0"/>
    <n v="1749"/>
    <n v="0"/>
    <s v="無法預估數據"/>
    <n v="1"/>
    <s v="無法預估數據"/>
    <s v="0"/>
    <m/>
    <n v="0"/>
    <n v="1749"/>
    <n v="1"/>
    <m/>
    <m/>
    <m/>
    <m/>
    <x v="0"/>
    <x v="0"/>
    <m/>
    <m/>
    <m/>
    <x v="0"/>
    <x v="0"/>
  </r>
  <r>
    <x v="289"/>
    <x v="8"/>
    <x v="8"/>
    <n v="40"/>
    <n v="0.44"/>
    <n v="344"/>
    <n v="13760"/>
    <n v="13572"/>
    <n v="5971.68"/>
    <n v="0.9863372093023256"/>
    <n v="1"/>
    <n v="-1.4E-2"/>
    <s v="540"/>
    <m/>
    <n v="8"/>
    <n v="13564"/>
    <n v="0.99941055113468902"/>
    <m/>
    <m/>
    <m/>
    <m/>
    <x v="0"/>
    <x v="0"/>
    <m/>
    <m/>
    <m/>
    <x v="0"/>
    <x v="0"/>
  </r>
  <r>
    <x v="289"/>
    <x v="2"/>
    <x v="2"/>
    <n v="36"/>
    <n v="6"/>
    <n v="26.6"/>
    <n v="957.6"/>
    <n v="938"/>
    <n v="5628"/>
    <n v="0.97953216374269003"/>
    <n v="1"/>
    <n v="-0.02"/>
    <s v="510"/>
    <m/>
    <n v="2"/>
    <n v="936"/>
    <n v="0.99786780383795304"/>
    <m/>
    <m/>
    <m/>
    <m/>
    <x v="0"/>
    <x v="0"/>
    <m/>
    <m/>
    <m/>
    <x v="0"/>
    <x v="0"/>
  </r>
  <r>
    <x v="289"/>
    <x v="11"/>
    <x v="11"/>
    <n v="60"/>
    <n v="2.8"/>
    <n v="44.5"/>
    <n v="2670"/>
    <n v="2732"/>
    <n v="7649.5999999999995"/>
    <n v="1.0232209737827715"/>
    <n v="1"/>
    <n v="2.3E-2"/>
    <s v="600"/>
    <m/>
    <n v="1"/>
    <n v="2731"/>
    <n v="0.99963396778916547"/>
    <m/>
    <n v="180"/>
    <s v="特殊製程(1140213-01A)"/>
    <m/>
    <x v="0"/>
    <x v="0"/>
    <m/>
    <m/>
    <m/>
    <x v="0"/>
    <x v="0"/>
  </r>
  <r>
    <x v="290"/>
    <x v="15"/>
    <x v="15"/>
    <n v="64"/>
    <n v="3.2"/>
    <n v="46.8"/>
    <n v="2995.2"/>
    <n v="2947"/>
    <n v="9430.4"/>
    <n v="0.9839075854700855"/>
    <n v="1"/>
    <n v="-1.6E-2"/>
    <s v="430"/>
    <m/>
    <n v="2"/>
    <n v="2945"/>
    <n v="0.99932134373939596"/>
    <m/>
    <m/>
    <m/>
    <m/>
    <x v="0"/>
    <x v="0"/>
    <m/>
    <m/>
    <m/>
    <x v="0"/>
    <x v="0"/>
  </r>
  <r>
    <x v="290"/>
    <x v="70"/>
    <x v="60"/>
    <n v="4"/>
    <n v="3.4"/>
    <n v="43"/>
    <n v="172"/>
    <n v="171"/>
    <n v="581.4"/>
    <n v="0.9941860465116279"/>
    <n v="1"/>
    <n v="-6.0000000000000001E-3"/>
    <s v="160"/>
    <m/>
    <n v="1"/>
    <n v="170"/>
    <n v="0.99415204678362568"/>
    <m/>
    <m/>
    <m/>
    <m/>
    <x v="0"/>
    <x v="0"/>
    <m/>
    <m/>
    <m/>
    <x v="0"/>
    <x v="0"/>
  </r>
  <r>
    <x v="290"/>
    <x v="9"/>
    <x v="9"/>
    <n v="20"/>
    <n v="6"/>
    <n v="25.7"/>
    <n v="514"/>
    <n v="517"/>
    <n v="3102"/>
    <n v="1.0058365758754864"/>
    <n v="1"/>
    <n v="6.0000000000000001E-3"/>
    <s v="300"/>
    <m/>
    <n v="0"/>
    <n v="517"/>
    <n v="1"/>
    <m/>
    <m/>
    <m/>
    <m/>
    <x v="0"/>
    <x v="0"/>
    <m/>
    <m/>
    <m/>
    <x v="0"/>
    <x v="0"/>
  </r>
  <r>
    <x v="290"/>
    <x v="42"/>
    <x v="40"/>
    <n v="6"/>
    <n v="3.5"/>
    <n v="25.4"/>
    <n v="152.39999999999998"/>
    <n v="151"/>
    <n v="528.5"/>
    <n v="0.99081364829396346"/>
    <n v="1"/>
    <n v="-8.9999999999999993E-3"/>
    <s v="330"/>
    <m/>
    <n v="0"/>
    <n v="151"/>
    <n v="1"/>
    <m/>
    <m/>
    <m/>
    <m/>
    <x v="0"/>
    <x v="0"/>
    <m/>
    <m/>
    <m/>
    <x v="0"/>
    <x v="0"/>
  </r>
  <r>
    <x v="290"/>
    <x v="11"/>
    <x v="11"/>
    <n v="60"/>
    <n v="2.8"/>
    <n v="44.5"/>
    <n v="2284.2857142857142"/>
    <n v="2354"/>
    <n v="6591.2"/>
    <n v="1.0305190744215136"/>
    <n v="1"/>
    <n v="3.1E-2"/>
    <s v="570"/>
    <m/>
    <n v="1"/>
    <n v="2353"/>
    <n v="0.9995751911639762"/>
    <m/>
    <n v="180"/>
    <s v="D9920(18kg)*60桶，特殊製程(1140213-01A)。"/>
    <m/>
    <x v="0"/>
    <x v="0"/>
    <m/>
    <m/>
    <m/>
    <x v="0"/>
    <x v="0"/>
  </r>
  <r>
    <x v="291"/>
    <x v="10"/>
    <x v="10"/>
    <n v="16"/>
    <n v="6"/>
    <n v="25.4"/>
    <n v="406.4"/>
    <n v="390"/>
    <n v="2340"/>
    <n v="0.95964566929133865"/>
    <n v="1"/>
    <n v="-0.04"/>
    <s v="270"/>
    <m/>
    <n v="2"/>
    <n v="388"/>
    <n v="0.99487179487179489"/>
    <s v="1140425-01A"/>
    <m/>
    <s v="114年04月25日上午，檢驗人員於進行例行檢驗時，發現前日生產之D0330(B)產品糖度偏高"/>
    <m/>
    <x v="0"/>
    <x v="0"/>
    <m/>
    <m/>
    <m/>
    <x v="0"/>
    <x v="0"/>
  </r>
  <r>
    <x v="291"/>
    <x v="9"/>
    <x v="9"/>
    <n v="24"/>
    <n v="6"/>
    <n v="25.7"/>
    <n v="616.79999999999995"/>
    <n v="612"/>
    <n v="3672"/>
    <n v="0.99221789883268485"/>
    <n v="1"/>
    <n v="-8.0000000000000002E-3"/>
    <s v="345"/>
    <m/>
    <n v="1"/>
    <n v="611"/>
    <n v="0.99836601307189543"/>
    <m/>
    <m/>
    <m/>
    <m/>
    <x v="0"/>
    <x v="0"/>
    <m/>
    <m/>
    <m/>
    <x v="0"/>
    <x v="0"/>
  </r>
  <r>
    <x v="291"/>
    <x v="17"/>
    <x v="17"/>
    <n v="21"/>
    <n v="3"/>
    <n v="29.7"/>
    <n v="623.69999999999993"/>
    <n v="628"/>
    <n v="1884"/>
    <n v="1.0068943402276738"/>
    <n v="1"/>
    <n v="7.0000000000000001E-3"/>
    <s v="510"/>
    <m/>
    <n v="0"/>
    <n v="628"/>
    <n v="1"/>
    <m/>
    <m/>
    <m/>
    <m/>
    <x v="0"/>
    <x v="0"/>
    <m/>
    <m/>
    <m/>
    <x v="0"/>
    <x v="0"/>
  </r>
  <r>
    <x v="291"/>
    <x v="41"/>
    <x v="39"/>
    <n v="60"/>
    <n v="2.8"/>
    <n v="44.2"/>
    <n v="2652"/>
    <n v="2637"/>
    <n v="7383.5999999999995"/>
    <n v="0.99434389140271495"/>
    <n v="1"/>
    <n v="-6.0000000000000001E-3"/>
    <s v="490"/>
    <m/>
    <n v="1"/>
    <n v="2636"/>
    <n v="0.99962078119074704"/>
    <m/>
    <m/>
    <m/>
    <m/>
    <x v="0"/>
    <x v="0"/>
    <m/>
    <m/>
    <m/>
    <x v="0"/>
    <x v="0"/>
  </r>
  <r>
    <x v="291"/>
    <x v="102"/>
    <x v="92"/>
    <n v="1"/>
    <n v="1"/>
    <n v="142"/>
    <n v="142"/>
    <n v="152"/>
    <n v="152"/>
    <n v="1.0704225352112675"/>
    <n v="1"/>
    <n v="7.0000000000000007E-2"/>
    <s v="0"/>
    <m/>
    <n v="0"/>
    <n v="152"/>
    <n v="1"/>
    <m/>
    <m/>
    <m/>
    <m/>
    <x v="0"/>
    <x v="0"/>
    <m/>
    <m/>
    <m/>
    <x v="0"/>
    <x v="0"/>
  </r>
  <r>
    <x v="292"/>
    <x v="15"/>
    <x v="15"/>
    <n v="72"/>
    <n v="3.2"/>
    <n v="46.8"/>
    <n v="3369.6"/>
    <n v="3327"/>
    <n v="10646.400000000001"/>
    <n v="0.98735754985754987"/>
    <n v="1"/>
    <n v="-1.2999999999999999E-2"/>
    <s v="540"/>
    <m/>
    <n v="2"/>
    <n v="3325"/>
    <n v="0.99939885782987681"/>
    <m/>
    <m/>
    <m/>
    <m/>
    <x v="0"/>
    <x v="0"/>
    <m/>
    <m/>
    <m/>
    <x v="0"/>
    <x v="0"/>
  </r>
  <r>
    <x v="292"/>
    <x v="19"/>
    <x v="19"/>
    <n v="12"/>
    <n v="6"/>
    <n v="25.5"/>
    <n v="306"/>
    <n v="306"/>
    <n v="1836"/>
    <n v="1"/>
    <n v="1"/>
    <n v="0"/>
    <s v="185"/>
    <m/>
    <n v="4"/>
    <n v="302"/>
    <n v="0.98692810457516345"/>
    <m/>
    <m/>
    <m/>
    <m/>
    <x v="0"/>
    <x v="0"/>
    <m/>
    <m/>
    <m/>
    <x v="0"/>
    <x v="0"/>
  </r>
  <r>
    <x v="292"/>
    <x v="18"/>
    <x v="18"/>
    <n v="12"/>
    <n v="6"/>
    <n v="26.4"/>
    <n v="316.79999999999995"/>
    <n v="327"/>
    <n v="1962"/>
    <n v="1.0321969696969699"/>
    <n v="1"/>
    <n v="3.2000000000000001E-2"/>
    <s v="168"/>
    <m/>
    <n v="3"/>
    <n v="324"/>
    <n v="0.99082568807339455"/>
    <m/>
    <m/>
    <m/>
    <m/>
    <x v="0"/>
    <x v="0"/>
    <m/>
    <m/>
    <m/>
    <x v="0"/>
    <x v="0"/>
  </r>
  <r>
    <x v="292"/>
    <x v="16"/>
    <x v="16"/>
    <n v="16"/>
    <n v="6"/>
    <n v="26.1"/>
    <n v="417.6"/>
    <n v="418"/>
    <n v="2508"/>
    <n v="1.0009578544061302"/>
    <n v="1"/>
    <n v="1E-3"/>
    <s v="230"/>
    <m/>
    <n v="1"/>
    <n v="417"/>
    <n v="0.99760765550239239"/>
    <m/>
    <m/>
    <m/>
    <m/>
    <x v="0"/>
    <x v="0"/>
    <m/>
    <m/>
    <m/>
    <x v="0"/>
    <x v="0"/>
  </r>
  <r>
    <x v="292"/>
    <x v="114"/>
    <x v="103"/>
    <n v="20"/>
    <n v="0.8"/>
    <n v="155.5"/>
    <n v="3110"/>
    <n v="3119"/>
    <n v="2495.2000000000003"/>
    <n v="1.0028938906752412"/>
    <n v="1"/>
    <n v="3.0000000000000001E-3"/>
    <s v="270"/>
    <m/>
    <n v="2"/>
    <n v="3117"/>
    <n v="0.99935876883616548"/>
    <m/>
    <m/>
    <m/>
    <m/>
    <x v="0"/>
    <x v="0"/>
    <m/>
    <m/>
    <m/>
    <x v="0"/>
    <x v="0"/>
  </r>
  <r>
    <x v="292"/>
    <x v="41"/>
    <x v="39"/>
    <n v="28"/>
    <n v="2.8"/>
    <n v="44.2"/>
    <n v="1237.6000000000001"/>
    <n v="1205"/>
    <n v="3374"/>
    <n v="0.97365869424692941"/>
    <n v="1"/>
    <n v="-2.5999999999999999E-2"/>
    <s v="270"/>
    <m/>
    <n v="1"/>
    <n v="1204"/>
    <n v="0.9991701244813278"/>
    <m/>
    <m/>
    <m/>
    <m/>
    <x v="0"/>
    <x v="0"/>
    <m/>
    <m/>
    <m/>
    <x v="0"/>
    <x v="0"/>
  </r>
  <r>
    <x v="293"/>
    <x v="43"/>
    <x v="41"/>
    <n v="16"/>
    <n v="0.26"/>
    <n v="584.29999999999995"/>
    <n v="9348.7999999999993"/>
    <n v="9341"/>
    <n v="2428.6600000000003"/>
    <n v="0.99916566832106801"/>
    <n v="1"/>
    <n v="-1E-3"/>
    <s v="300"/>
    <m/>
    <n v="17"/>
    <n v="9324"/>
    <n v="0.99818006637404988"/>
    <m/>
    <m/>
    <m/>
    <m/>
    <x v="0"/>
    <x v="0"/>
    <m/>
    <m/>
    <m/>
    <x v="0"/>
    <x v="0"/>
  </r>
  <r>
    <x v="293"/>
    <x v="81"/>
    <x v="73"/>
    <n v="6"/>
    <n v="0.4"/>
    <n v="366.4"/>
    <n v="2198.3999999999996"/>
    <n v="2206"/>
    <n v="882.40000000000009"/>
    <n v="1.0034570596797672"/>
    <n v="1"/>
    <n v="3.0000000000000001E-3"/>
    <s v="240"/>
    <m/>
    <n v="12"/>
    <n v="2194"/>
    <n v="0.9945602901178604"/>
    <m/>
    <m/>
    <m/>
    <m/>
    <x v="0"/>
    <x v="0"/>
    <m/>
    <m/>
    <m/>
    <x v="0"/>
    <x v="0"/>
  </r>
  <r>
    <x v="293"/>
    <x v="127"/>
    <x v="75"/>
    <n v="4"/>
    <n v="6"/>
    <n v="25.8"/>
    <n v="103.2"/>
    <n v="100"/>
    <n v="600"/>
    <n v="0.96899224806201545"/>
    <e v="#N/A"/>
    <e v="#N/A"/>
    <s v="120"/>
    <m/>
    <n v="1"/>
    <n v="99"/>
    <n v="0.99"/>
    <m/>
    <m/>
    <m/>
    <m/>
    <x v="0"/>
    <x v="0"/>
    <m/>
    <m/>
    <m/>
    <x v="0"/>
    <x v="0"/>
  </r>
  <r>
    <x v="293"/>
    <x v="28"/>
    <x v="19"/>
    <n v="16"/>
    <n v="6"/>
    <n v="25.5"/>
    <n v="408"/>
    <n v="414"/>
    <n v="2484"/>
    <n v="1.0147058823529411"/>
    <n v="1"/>
    <n v="1.4999999999999999E-2"/>
    <s v="240"/>
    <m/>
    <n v="1"/>
    <n v="413"/>
    <n v="0.99758454106280192"/>
    <m/>
    <m/>
    <m/>
    <m/>
    <x v="0"/>
    <x v="0"/>
    <m/>
    <m/>
    <m/>
    <x v="0"/>
    <x v="0"/>
  </r>
  <r>
    <x v="293"/>
    <x v="122"/>
    <x v="111"/>
    <n v="16"/>
    <n v="6"/>
    <n v="0"/>
    <n v="0"/>
    <n v="392"/>
    <n v="2352"/>
    <s v="無法預估數據"/>
    <e v="#N/A"/>
    <s v="無法預估數據"/>
    <s v="262"/>
    <m/>
    <n v="2"/>
    <n v="390"/>
    <n v="0.99489795918367352"/>
    <m/>
    <m/>
    <m/>
    <m/>
    <x v="0"/>
    <x v="0"/>
    <m/>
    <m/>
    <m/>
    <x v="0"/>
    <x v="0"/>
  </r>
  <r>
    <x v="293"/>
    <x v="35"/>
    <x v="33"/>
    <n v="16"/>
    <n v="18"/>
    <n v="6.6"/>
    <n v="105.6"/>
    <n v="106"/>
    <n v="1908"/>
    <n v="1.0037878787878789"/>
    <n v="1"/>
    <n v="4.0000000000000001E-3"/>
    <s v="210"/>
    <m/>
    <n v="0"/>
    <n v="106"/>
    <n v="1"/>
    <m/>
    <m/>
    <m/>
    <m/>
    <x v="0"/>
    <x v="0"/>
    <m/>
    <m/>
    <m/>
    <x v="0"/>
    <x v="0"/>
  </r>
  <r>
    <x v="293"/>
    <x v="61"/>
    <x v="33"/>
    <n v="28"/>
    <n v="18"/>
    <n v="6.9"/>
    <n v="193.20000000000002"/>
    <n v="200"/>
    <n v="3600"/>
    <n v="1.0351966873706002"/>
    <n v="1"/>
    <n v="3.5000000000000003E-2"/>
    <s v="280"/>
    <m/>
    <n v="0"/>
    <n v="200"/>
    <n v="1"/>
    <m/>
    <m/>
    <m/>
    <m/>
    <x v="0"/>
    <x v="0"/>
    <m/>
    <m/>
    <m/>
    <x v="0"/>
    <x v="0"/>
  </r>
  <r>
    <x v="294"/>
    <x v="2"/>
    <x v="2"/>
    <n v="32"/>
    <n v="6"/>
    <n v="26.6"/>
    <n v="851.2"/>
    <n v="833"/>
    <n v="4998"/>
    <n v="0.97861842105263153"/>
    <n v="1"/>
    <n v="-2.1000000000000001E-2"/>
    <s v="423"/>
    <m/>
    <n v="3"/>
    <n v="830"/>
    <n v="0.99639855942376954"/>
    <m/>
    <m/>
    <m/>
    <m/>
    <x v="0"/>
    <x v="0"/>
    <m/>
    <m/>
    <m/>
    <x v="0"/>
    <x v="0"/>
  </r>
  <r>
    <x v="294"/>
    <x v="1"/>
    <x v="1"/>
    <n v="6"/>
    <n v="6"/>
    <n v="25.7"/>
    <n v="154.19999999999999"/>
    <n v="144"/>
    <n v="864"/>
    <n v="0.93385214007782114"/>
    <n v="1"/>
    <n v="-6.6000000000000003E-2"/>
    <s v="150"/>
    <m/>
    <n v="2"/>
    <n v="142"/>
    <n v="0.98611111111111116"/>
    <m/>
    <m/>
    <m/>
    <m/>
    <x v="0"/>
    <x v="0"/>
    <m/>
    <m/>
    <m/>
    <x v="0"/>
    <x v="0"/>
  </r>
  <r>
    <x v="294"/>
    <x v="46"/>
    <x v="17"/>
    <n v="15"/>
    <n v="3"/>
    <n v="31.6"/>
    <n v="474"/>
    <n v="468"/>
    <n v="1404"/>
    <n v="0.98734177215189878"/>
    <n v="1"/>
    <n v="-1.2999999999999999E-2"/>
    <s v="370"/>
    <m/>
    <n v="0"/>
    <n v="468"/>
    <n v="1"/>
    <s v="1140429-01A"/>
    <m/>
    <s v="入料槽操作時發生機械損壞事件。因刮板不慎遭機構捲入，造成滾壓袋子的捲軸斷裂，導致設備異常停機。"/>
    <m/>
    <x v="0"/>
    <x v="0"/>
    <m/>
    <m/>
    <m/>
    <x v="0"/>
    <x v="0"/>
  </r>
  <r>
    <x v="294"/>
    <x v="11"/>
    <x v="11"/>
    <n v="60"/>
    <n v="2.8"/>
    <n v="44.5"/>
    <n v="2316.4285714285716"/>
    <n v="2403"/>
    <n v="6728.4"/>
    <n v="1.0373728029602221"/>
    <n v="1"/>
    <n v="3.6999999999999998E-2"/>
    <s v="580"/>
    <m/>
    <n v="1"/>
    <n v="2402"/>
    <n v="0.99958385351643775"/>
    <m/>
    <n v="180"/>
    <s v="D2021美芝城*150箱、D9920(18kg)*55桶、特殊製程(1140213-01A)"/>
    <m/>
    <x v="0"/>
    <x v="0"/>
    <m/>
    <m/>
    <m/>
    <x v="0"/>
    <x v="0"/>
  </r>
  <r>
    <x v="295"/>
    <x v="49"/>
    <x v="43"/>
    <n v="15"/>
    <n v="0.43"/>
    <n v="364"/>
    <n v="5460"/>
    <n v="5481"/>
    <n v="2356.83"/>
    <n v="1.0038461538461538"/>
    <n v="1"/>
    <n v="4.0000000000000001E-3"/>
    <s v="300"/>
    <m/>
    <n v="9"/>
    <n v="5472"/>
    <n v="0.99835796387520526"/>
    <m/>
    <m/>
    <m/>
    <m/>
    <x v="0"/>
    <x v="0"/>
    <m/>
    <m/>
    <m/>
    <x v="0"/>
    <x v="0"/>
  </r>
  <r>
    <x v="295"/>
    <x v="30"/>
    <x v="28"/>
    <n v="16"/>
    <n v="0.43"/>
    <n v="340.4"/>
    <n v="5446.4"/>
    <n v="5376"/>
    <n v="2311.6799999999998"/>
    <n v="0.98707403055229148"/>
    <n v="1"/>
    <n v="-1.2999999999999999E-2"/>
    <s v="330"/>
    <m/>
    <n v="15"/>
    <n v="5361"/>
    <n v="0.9972098214285714"/>
    <m/>
    <m/>
    <s v="，麥味登180箱。"/>
    <m/>
    <x v="0"/>
    <x v="0"/>
    <m/>
    <m/>
    <m/>
    <x v="0"/>
    <x v="0"/>
  </r>
  <r>
    <x v="295"/>
    <x v="67"/>
    <x v="58"/>
    <n v="12"/>
    <n v="4.5"/>
    <n v="33.200000000000003"/>
    <n v="398.40000000000003"/>
    <n v="408"/>
    <n v="1836"/>
    <n v="1.0240963855421685"/>
    <n v="1"/>
    <n v="2.4E-2"/>
    <s v="265"/>
    <m/>
    <n v="0"/>
    <n v="408"/>
    <n v="1"/>
    <m/>
    <m/>
    <m/>
    <m/>
    <x v="0"/>
    <x v="0"/>
    <m/>
    <m/>
    <m/>
    <x v="0"/>
    <x v="0"/>
  </r>
  <r>
    <x v="295"/>
    <x v="22"/>
    <x v="10"/>
    <n v="16"/>
    <n v="6"/>
    <n v="25.1"/>
    <n v="401.6"/>
    <n v="409"/>
    <n v="2454"/>
    <n v="1.018426294820717"/>
    <n v="1"/>
    <n v="1.7999999999999999E-2"/>
    <s v="242"/>
    <m/>
    <n v="1"/>
    <n v="408"/>
    <n v="0.99755501222493892"/>
    <m/>
    <m/>
    <m/>
    <m/>
    <x v="0"/>
    <x v="0"/>
    <m/>
    <m/>
    <m/>
    <x v="0"/>
    <x v="0"/>
  </r>
  <r>
    <x v="295"/>
    <x v="20"/>
    <x v="20"/>
    <n v="8"/>
    <n v="6"/>
    <n v="25"/>
    <n v="200"/>
    <n v="194"/>
    <n v="1164"/>
    <n v="0.97"/>
    <n v="1"/>
    <n v="-0.03"/>
    <s v="214"/>
    <m/>
    <n v="2"/>
    <n v="192"/>
    <n v="0.98969072164948457"/>
    <m/>
    <m/>
    <s v="，白色印字NY袋。"/>
    <m/>
    <x v="0"/>
    <x v="0"/>
    <m/>
    <m/>
    <m/>
    <x v="0"/>
    <x v="0"/>
  </r>
  <r>
    <x v="295"/>
    <x v="11"/>
    <x v="11"/>
    <n v="60"/>
    <n v="2.8"/>
    <n v="44.5"/>
    <n v="2670"/>
    <n v="2675"/>
    <n v="7489.9999999999991"/>
    <n v="1.0018726591760299"/>
    <n v="1"/>
    <n v="2E-3"/>
    <s v="580"/>
    <m/>
    <n v="1"/>
    <n v="2674"/>
    <n v="0.99962616822429906"/>
    <m/>
    <m/>
    <m/>
    <m/>
    <x v="0"/>
    <x v="0"/>
    <m/>
    <m/>
    <m/>
    <x v="0"/>
    <x v="0"/>
  </r>
  <r>
    <x v="296"/>
    <x v="124"/>
    <x v="26"/>
    <n v="72"/>
    <n v="3.2"/>
    <n v="47.5"/>
    <n v="3420"/>
    <n v="3426"/>
    <n v="10963.2"/>
    <n v="1.0017543859649123"/>
    <e v="#N/A"/>
    <e v="#N/A"/>
    <s v="570"/>
    <m/>
    <n v="2"/>
    <n v="3424"/>
    <n v="0.9994162288382954"/>
    <m/>
    <m/>
    <m/>
    <m/>
    <x v="0"/>
    <x v="0"/>
    <m/>
    <m/>
    <m/>
    <x v="0"/>
    <x v="0"/>
  </r>
  <r>
    <x v="296"/>
    <x v="9"/>
    <x v="9"/>
    <n v="16"/>
    <n v="6"/>
    <n v="25.7"/>
    <n v="411.2"/>
    <n v="411"/>
    <n v="2466"/>
    <n v="0.9995136186770428"/>
    <n v="1"/>
    <n v="0"/>
    <s v="230"/>
    <m/>
    <n v="1"/>
    <n v="410"/>
    <n v="0.9975669099756691"/>
    <m/>
    <m/>
    <m/>
    <m/>
    <x v="0"/>
    <x v="0"/>
    <m/>
    <m/>
    <m/>
    <x v="0"/>
    <x v="0"/>
  </r>
  <r>
    <x v="296"/>
    <x v="47"/>
    <x v="42"/>
    <n v="12"/>
    <n v="6"/>
    <n v="25.6"/>
    <n v="307.20000000000005"/>
    <n v="308"/>
    <n v="1848"/>
    <n v="1.0026041666666665"/>
    <n v="1"/>
    <n v="3.0000000000000001E-3"/>
    <s v="240"/>
    <m/>
    <n v="2"/>
    <n v="306"/>
    <n v="0.99350649350649356"/>
    <s v="1140502- 01 D_x000a_1140502-01A"/>
    <m/>
    <s v="因PE袋充填機WHM224發生夾帶故障_x000a_作業人員得於操作倒料機過程中因操作不當，導致部分半成品自設備中傾瀉而出，灑落於地面"/>
    <m/>
    <x v="0"/>
    <x v="0"/>
    <m/>
    <m/>
    <m/>
    <x v="0"/>
    <x v="0"/>
  </r>
  <r>
    <x v="296"/>
    <x v="0"/>
    <x v="0"/>
    <n v="16"/>
    <n v="6"/>
    <n v="25.5"/>
    <n v="408"/>
    <n v="398"/>
    <n v="2388"/>
    <n v="0.97549019607843135"/>
    <n v="1"/>
    <n v="-2.5000000000000001E-2"/>
    <s v="279"/>
    <m/>
    <n v="1"/>
    <n v="397"/>
    <n v="0.99748743718592969"/>
    <m/>
    <m/>
    <m/>
    <m/>
    <x v="0"/>
    <x v="0"/>
    <m/>
    <m/>
    <m/>
    <x v="0"/>
    <x v="0"/>
  </r>
  <r>
    <x v="296"/>
    <x v="6"/>
    <x v="6"/>
    <n v="28"/>
    <n v="0.4"/>
    <n v="309.2"/>
    <n v="8657.6"/>
    <n v="8852"/>
    <n v="3540.8"/>
    <n v="1.0224542598410644"/>
    <n v="1"/>
    <n v="2.1999999999999999E-2"/>
    <s v="400"/>
    <m/>
    <n v="203"/>
    <n v="8649"/>
    <n v="0.97706732941708085"/>
    <m/>
    <m/>
    <m/>
    <m/>
    <x v="0"/>
    <x v="0"/>
    <m/>
    <m/>
    <m/>
    <x v="0"/>
    <x v="0"/>
  </r>
  <r>
    <x v="296"/>
    <x v="24"/>
    <x v="23"/>
    <n v="8"/>
    <n v="0.34"/>
    <n v="366"/>
    <n v="2928"/>
    <n v="2982"/>
    <n v="1013.8800000000001"/>
    <n v="1.0184426229508197"/>
    <n v="1"/>
    <n v="1.7999999999999999E-2"/>
    <s v="250"/>
    <m/>
    <n v="3"/>
    <n v="2979"/>
    <n v="0.99899396378269623"/>
    <m/>
    <m/>
    <m/>
    <m/>
    <x v="0"/>
    <x v="0"/>
    <m/>
    <m/>
    <m/>
    <x v="0"/>
    <x v="0"/>
  </r>
  <r>
    <x v="297"/>
    <x v="15"/>
    <x v="15"/>
    <n v="72"/>
    <n v="3.2"/>
    <n v="46.8"/>
    <n v="3369.6"/>
    <n v="3332"/>
    <n v="10662.400000000001"/>
    <n v="0.9888414055080722"/>
    <n v="1"/>
    <n v="-1.0999999999999999E-2"/>
    <s v="510"/>
    <m/>
    <n v="3"/>
    <n v="3329"/>
    <n v="0.99909963985594241"/>
    <m/>
    <m/>
    <m/>
    <m/>
    <x v="0"/>
    <x v="0"/>
    <m/>
    <m/>
    <m/>
    <x v="0"/>
    <x v="0"/>
  </r>
  <r>
    <x v="297"/>
    <x v="28"/>
    <x v="19"/>
    <n v="36"/>
    <n v="6"/>
    <n v="25.5"/>
    <n v="918"/>
    <n v="919"/>
    <n v="5514"/>
    <n v="1.0010893246187365"/>
    <n v="1"/>
    <n v="1E-3"/>
    <s v="570"/>
    <m/>
    <n v="8"/>
    <n v="911"/>
    <n v="0.99129488574537539"/>
    <m/>
    <m/>
    <m/>
    <m/>
    <x v="0"/>
    <x v="0"/>
    <m/>
    <m/>
    <m/>
    <x v="0"/>
    <x v="0"/>
  </r>
  <r>
    <x v="297"/>
    <x v="34"/>
    <x v="32"/>
    <n v="20"/>
    <n v="0.34"/>
    <n v="358.3"/>
    <n v="7166"/>
    <n v="6877"/>
    <n v="2338.1800000000003"/>
    <n v="0.95967066703879433"/>
    <n v="1"/>
    <n v="-0.04"/>
    <s v="300"/>
    <m/>
    <n v="5"/>
    <n v="6872"/>
    <n v="0.99927293878144541"/>
    <m/>
    <m/>
    <s v="E0120佳樂美*200箱"/>
    <m/>
    <x v="0"/>
    <x v="0"/>
    <m/>
    <m/>
    <m/>
    <x v="0"/>
    <x v="0"/>
  </r>
  <r>
    <x v="297"/>
    <x v="12"/>
    <x v="12"/>
    <n v="20"/>
    <n v="0.8"/>
    <n v="157.69999999999999"/>
    <n v="3154"/>
    <n v="3142"/>
    <n v="2513.6000000000004"/>
    <n v="0.99619530754597341"/>
    <n v="1"/>
    <n v="-4.0000000000000001E-3"/>
    <s v="340"/>
    <m/>
    <n v="2"/>
    <n v="3140"/>
    <n v="0.9993634627625716"/>
    <m/>
    <m/>
    <m/>
    <m/>
    <x v="0"/>
    <x v="0"/>
    <m/>
    <m/>
    <m/>
    <x v="0"/>
    <x v="0"/>
  </r>
  <r>
    <x v="297"/>
    <x v="94"/>
    <x v="85"/>
    <n v="1"/>
    <n v="1"/>
    <n v="591"/>
    <n v="591"/>
    <n v="592"/>
    <n v="592"/>
    <n v="1.0016920473773265"/>
    <n v="1"/>
    <n v="2E-3"/>
    <s v="0"/>
    <m/>
    <n v="0"/>
    <n v="592"/>
    <n v="1"/>
    <m/>
    <m/>
    <m/>
    <m/>
    <x v="0"/>
    <x v="0"/>
    <m/>
    <m/>
    <m/>
    <x v="0"/>
    <x v="0"/>
  </r>
  <r>
    <x v="298"/>
    <x v="69"/>
    <x v="2"/>
    <n v="8"/>
    <n v="6"/>
    <n v="25.5"/>
    <n v="204"/>
    <n v="200"/>
    <n v="1200"/>
    <n v="0.98039215686274506"/>
    <n v="1"/>
    <n v="-0.02"/>
    <s v="180"/>
    <m/>
    <n v="2"/>
    <n v="198"/>
    <n v="0.99"/>
    <m/>
    <m/>
    <m/>
    <m/>
    <x v="0"/>
    <x v="0"/>
    <m/>
    <m/>
    <m/>
    <x v="0"/>
    <x v="0"/>
  </r>
  <r>
    <x v="298"/>
    <x v="10"/>
    <x v="10"/>
    <n v="8"/>
    <n v="6"/>
    <n v="25.4"/>
    <n v="203.2"/>
    <n v="200"/>
    <n v="1200"/>
    <n v="0.98425196850393704"/>
    <n v="1"/>
    <n v="-1.6E-2"/>
    <s v="193"/>
    <m/>
    <n v="1"/>
    <n v="199"/>
    <n v="0.995"/>
    <m/>
    <m/>
    <m/>
    <m/>
    <x v="0"/>
    <x v="0"/>
    <m/>
    <m/>
    <m/>
    <x v="0"/>
    <x v="0"/>
  </r>
  <r>
    <x v="298"/>
    <x v="22"/>
    <x v="10"/>
    <n v="12"/>
    <n v="6"/>
    <n v="25.1"/>
    <n v="301.20000000000005"/>
    <n v="302"/>
    <n v="1812"/>
    <n v="1.0026560424966797"/>
    <n v="1"/>
    <n v="3.0000000000000001E-3"/>
    <s v="150"/>
    <m/>
    <n v="1"/>
    <n v="301"/>
    <n v="0.99668874172185429"/>
    <m/>
    <m/>
    <m/>
    <m/>
    <x v="0"/>
    <x v="0"/>
    <m/>
    <m/>
    <m/>
    <x v="0"/>
    <x v="0"/>
  </r>
  <r>
    <x v="298"/>
    <x v="104"/>
    <x v="78"/>
    <n v="4"/>
    <n v="6"/>
    <n v="26"/>
    <n v="104"/>
    <n v="100"/>
    <n v="600"/>
    <n v="0.96153846153846156"/>
    <n v="1"/>
    <n v="-3.7999999999999999E-2"/>
    <s v="115"/>
    <m/>
    <n v="1"/>
    <n v="99"/>
    <n v="0.99"/>
    <m/>
    <m/>
    <m/>
    <m/>
    <x v="0"/>
    <x v="0"/>
    <m/>
    <m/>
    <m/>
    <x v="0"/>
    <x v="0"/>
  </r>
  <r>
    <x v="298"/>
    <x v="46"/>
    <x v="17"/>
    <n v="21"/>
    <n v="3"/>
    <n v="31.6"/>
    <n v="663.6"/>
    <n v="668"/>
    <n v="2004"/>
    <n v="1.0066305003013862"/>
    <n v="1"/>
    <n v="7.0000000000000001E-3"/>
    <s v="540"/>
    <m/>
    <n v="0"/>
    <n v="668"/>
    <n v="1"/>
    <m/>
    <m/>
    <m/>
    <m/>
    <x v="0"/>
    <x v="0"/>
    <m/>
    <m/>
    <m/>
    <x v="0"/>
    <x v="0"/>
  </r>
  <r>
    <x v="298"/>
    <x v="11"/>
    <x v="11"/>
    <n v="60"/>
    <n v="2.8"/>
    <n v="44.5"/>
    <n v="2670"/>
    <n v="2681"/>
    <n v="7506.7999999999993"/>
    <n v="1.0041198501872659"/>
    <n v="1"/>
    <n v="4.0000000000000001E-3"/>
    <s v="600"/>
    <m/>
    <n v="1"/>
    <n v="2680"/>
    <n v="0.99962700484893696"/>
    <s v="1140506-01A"/>
    <m/>
    <s v="日期噴印錯誤。初步估計有6個棧板的成品日期噴印錯誤(第2~7的棧板)"/>
    <m/>
    <x v="0"/>
    <x v="0"/>
    <m/>
    <m/>
    <m/>
    <x v="0"/>
    <x v="0"/>
  </r>
  <r>
    <x v="299"/>
    <x v="71"/>
    <x v="61"/>
    <n v="8"/>
    <n v="0.17"/>
    <n v="912.6"/>
    <n v="7300.8"/>
    <n v="6900"/>
    <n v="1173"/>
    <n v="0.94510190664036819"/>
    <n v="1"/>
    <n v="-5.5E-2"/>
    <s v="360"/>
    <m/>
    <n v="439"/>
    <n v="6461"/>
    <n v="0.93637681159420294"/>
    <s v="1140507- 01D_x000a_1140508-02A "/>
    <m/>
    <s v="因玻璃瓶封蓋機發生故障_x000a_工務無法立即修好，產線已停，於15:25開始人工封蓋，2025/05/08製造課課長通報包裝班於進行小圓草封膜加熱處理時，發現封蓋機真空鈕異常跳起，導致瓶內失真空"/>
    <m/>
    <x v="0"/>
    <x v="0"/>
    <m/>
    <m/>
    <m/>
    <x v="0"/>
    <x v="0"/>
  </r>
  <r>
    <x v="299"/>
    <x v="8"/>
    <x v="8"/>
    <n v="24"/>
    <n v="0.44"/>
    <n v="344"/>
    <n v="8256"/>
    <n v="8064"/>
    <n v="3548.16"/>
    <n v="0.97674418604651159"/>
    <n v="1"/>
    <n v="-2.3E-2"/>
    <s v="350"/>
    <m/>
    <n v="12"/>
    <n v="8052"/>
    <n v="0.99851190476190477"/>
    <m/>
    <m/>
    <m/>
    <m/>
    <x v="0"/>
    <x v="0"/>
    <m/>
    <m/>
    <m/>
    <x v="0"/>
    <x v="0"/>
  </r>
  <r>
    <x v="299"/>
    <x v="9"/>
    <x v="9"/>
    <n v="24"/>
    <n v="6"/>
    <n v="25.7"/>
    <n v="616.79999999999995"/>
    <n v="628"/>
    <n v="3768"/>
    <n v="1.0181582360570689"/>
    <n v="1"/>
    <n v="1.7999999999999999E-2"/>
    <s v="327"/>
    <m/>
    <n v="2"/>
    <n v="626"/>
    <n v="0.99681528662420382"/>
    <m/>
    <m/>
    <m/>
    <m/>
    <x v="0"/>
    <x v="0"/>
    <m/>
    <m/>
    <m/>
    <x v="0"/>
    <x v="0"/>
  </r>
  <r>
    <x v="299"/>
    <x v="10"/>
    <x v="10"/>
    <n v="12"/>
    <n v="6"/>
    <n v="25.4"/>
    <n v="304.79999999999995"/>
    <n v="304"/>
    <n v="1824"/>
    <n v="0.99737532808398965"/>
    <n v="1"/>
    <n v="-3.0000000000000001E-3"/>
    <s v="220"/>
    <m/>
    <n v="1"/>
    <n v="303"/>
    <n v="0.99671052631578949"/>
    <m/>
    <m/>
    <m/>
    <m/>
    <x v="0"/>
    <x v="0"/>
    <m/>
    <m/>
    <m/>
    <x v="0"/>
    <x v="0"/>
  </r>
  <r>
    <x v="299"/>
    <x v="48"/>
    <x v="17"/>
    <n v="18"/>
    <n v="3"/>
    <n v="30.8"/>
    <n v="554.4"/>
    <n v="560"/>
    <n v="1680"/>
    <n v="1.0101010101010102"/>
    <n v="1"/>
    <n v="0.01"/>
    <s v="600"/>
    <m/>
    <n v="0"/>
    <n v="560"/>
    <n v="1"/>
    <s v="1140507-01A"/>
    <m/>
    <s v="約9:50發現第一趟、第二趟的D0122未加鹽"/>
    <m/>
    <x v="0"/>
    <x v="0"/>
    <m/>
    <m/>
    <m/>
    <x v="0"/>
    <x v="0"/>
  </r>
  <r>
    <x v="300"/>
    <x v="15"/>
    <x v="15"/>
    <n v="36"/>
    <n v="3.2"/>
    <n v="46.8"/>
    <n v="1684.8"/>
    <n v="1651"/>
    <n v="5283.2000000000007"/>
    <n v="0.97993827160493829"/>
    <n v="1"/>
    <n v="-0.02"/>
    <s v="300"/>
    <m/>
    <n v="1"/>
    <n v="1650"/>
    <n v="0.99939430648092065"/>
    <m/>
    <m/>
    <m/>
    <m/>
    <x v="0"/>
    <x v="0"/>
    <m/>
    <m/>
    <m/>
    <x v="0"/>
    <x v="0"/>
  </r>
  <r>
    <x v="300"/>
    <x v="13"/>
    <x v="13"/>
    <n v="20"/>
    <n v="0.9"/>
    <n v="160.5"/>
    <n v="3210"/>
    <n v="3221"/>
    <n v="2898.9"/>
    <n v="1.0034267912772585"/>
    <n v="1"/>
    <n v="3.0000000000000001E-3"/>
    <s v="270"/>
    <m/>
    <n v="2"/>
    <n v="3219"/>
    <n v="0.99937907482148403"/>
    <m/>
    <m/>
    <s v="D2010美芝城100箱"/>
    <m/>
    <x v="0"/>
    <x v="0"/>
    <m/>
    <m/>
    <m/>
    <x v="0"/>
    <x v="0"/>
  </r>
  <r>
    <x v="300"/>
    <x v="16"/>
    <x v="16"/>
    <n v="19"/>
    <n v="6"/>
    <n v="26.1"/>
    <n v="495.90000000000003"/>
    <n v="505"/>
    <n v="3030"/>
    <n v="1.018350473885864"/>
    <n v="1"/>
    <n v="1.7999999999999999E-2"/>
    <s v="270"/>
    <m/>
    <n v="2"/>
    <n v="503"/>
    <n v="0.99603960396039604"/>
    <s v="1140508-01A"/>
    <m/>
    <s v="前一日（5月7日）推送裝有草莓原料的推車進入貨梯時，推車傾倒，造成1P草莓原料灑出"/>
    <m/>
    <x v="0"/>
    <x v="0"/>
    <m/>
    <m/>
    <m/>
    <x v="0"/>
    <x v="0"/>
  </r>
  <r>
    <x v="300"/>
    <x v="9"/>
    <x v="9"/>
    <n v="16"/>
    <n v="6"/>
    <n v="25.7"/>
    <n v="411.2"/>
    <n v="418"/>
    <n v="2508"/>
    <n v="1.0165369649805447"/>
    <n v="1"/>
    <n v="1.7000000000000001E-2"/>
    <s v="273"/>
    <m/>
    <n v="2"/>
    <n v="416"/>
    <n v="0.99521531100478466"/>
    <m/>
    <m/>
    <m/>
    <m/>
    <x v="0"/>
    <x v="0"/>
    <m/>
    <m/>
    <m/>
    <x v="0"/>
    <x v="0"/>
  </r>
  <r>
    <x v="300"/>
    <x v="17"/>
    <x v="17"/>
    <n v="21"/>
    <n v="3"/>
    <n v="29.7"/>
    <n v="623.69999999999993"/>
    <n v="628"/>
    <n v="1884"/>
    <n v="1.0068943402276738"/>
    <n v="1"/>
    <n v="7.0000000000000001E-3"/>
    <s v="540"/>
    <m/>
    <n v="0"/>
    <n v="628"/>
    <n v="1"/>
    <m/>
    <m/>
    <m/>
    <m/>
    <x v="0"/>
    <x v="0"/>
    <m/>
    <m/>
    <m/>
    <x v="0"/>
    <x v="0"/>
  </r>
  <r>
    <x v="301"/>
    <x v="37"/>
    <x v="35"/>
    <n v="5"/>
    <n v="6"/>
    <n v="25.6"/>
    <n v="128"/>
    <n v="123"/>
    <n v="738"/>
    <n v="0.9609375"/>
    <n v="1"/>
    <n v="-3.9E-2"/>
    <s v="300"/>
    <m/>
    <n v="2"/>
    <n v="121"/>
    <n v="0.98373983739837401"/>
    <m/>
    <m/>
    <s v="(160kg/鍋)"/>
    <m/>
    <x v="0"/>
    <x v="0"/>
    <m/>
    <m/>
    <m/>
    <x v="0"/>
    <x v="0"/>
  </r>
  <r>
    <x v="301"/>
    <x v="43"/>
    <x v="41"/>
    <n v="4"/>
    <n v="0.26"/>
    <n v="584.29999999999995"/>
    <n v="2337.1999999999998"/>
    <n v="2173"/>
    <n v="564.98"/>
    <n v="0.9297449940099265"/>
    <n v="1"/>
    <n v="-7.0000000000000007E-2"/>
    <s v="240"/>
    <m/>
    <n v="11"/>
    <n v="2162"/>
    <n v="0.99493787390704092"/>
    <m/>
    <m/>
    <s v="瓶器225cc醬菜瓶。"/>
    <m/>
    <x v="0"/>
    <x v="0"/>
    <m/>
    <m/>
    <m/>
    <x v="0"/>
    <x v="0"/>
  </r>
  <r>
    <x v="301"/>
    <x v="50"/>
    <x v="44"/>
    <n v="12"/>
    <n v="4.5"/>
    <n v="36.799999999999997"/>
    <n v="441.59999999999997"/>
    <n v="462"/>
    <n v="2079"/>
    <n v="1.0461956521739131"/>
    <n v="1"/>
    <n v="4.5999999999999999E-2"/>
    <s v="235"/>
    <m/>
    <n v="0"/>
    <n v="462"/>
    <n v="1"/>
    <m/>
    <m/>
    <m/>
    <m/>
    <x v="0"/>
    <x v="0"/>
    <m/>
    <m/>
    <m/>
    <x v="0"/>
    <x v="0"/>
  </r>
  <r>
    <x v="301"/>
    <x v="59"/>
    <x v="52"/>
    <n v="10"/>
    <n v="4.5"/>
    <n v="34.9"/>
    <n v="349"/>
    <n v="360"/>
    <n v="1620"/>
    <n v="1.0315186246418337"/>
    <n v="1"/>
    <n v="3.2000000000000001E-2"/>
    <s v="210"/>
    <m/>
    <n v="0"/>
    <n v="360"/>
    <n v="1"/>
    <m/>
    <m/>
    <m/>
    <m/>
    <x v="0"/>
    <x v="0"/>
    <m/>
    <m/>
    <m/>
    <x v="0"/>
    <x v="0"/>
  </r>
  <r>
    <x v="301"/>
    <x v="5"/>
    <x v="5"/>
    <n v="8"/>
    <n v="9.08"/>
    <n v="17.3"/>
    <n v="138.4"/>
    <n v="141"/>
    <n v="1280.28"/>
    <n v="1.01878612716763"/>
    <n v="1"/>
    <n v="1.9E-2"/>
    <s v="196"/>
    <m/>
    <n v="0"/>
    <n v="141"/>
    <n v="1"/>
    <m/>
    <m/>
    <m/>
    <m/>
    <x v="0"/>
    <x v="0"/>
    <m/>
    <m/>
    <m/>
    <x v="0"/>
    <x v="0"/>
  </r>
  <r>
    <x v="301"/>
    <x v="11"/>
    <x v="11"/>
    <n v="60"/>
    <n v="2.8"/>
    <n v="44.5"/>
    <n v="2670"/>
    <n v="2676"/>
    <n v="7492.7999999999993"/>
    <n v="1.002247191011236"/>
    <n v="1"/>
    <n v="2E-3"/>
    <s v="565"/>
    <m/>
    <n v="2"/>
    <n v="2674"/>
    <n v="0.99925261584454406"/>
    <m/>
    <m/>
    <m/>
    <m/>
    <x v="0"/>
    <x v="0"/>
    <m/>
    <m/>
    <m/>
    <x v="0"/>
    <x v="0"/>
  </r>
  <r>
    <x v="301"/>
    <x v="97"/>
    <x v="88"/>
    <n v="50"/>
    <n v="1"/>
    <n v="6"/>
    <n v="300"/>
    <n v="304"/>
    <n v="304"/>
    <n v="1.0133333333333334"/>
    <n v="1"/>
    <n v="1.2999999999999999E-2"/>
    <s v="0"/>
    <m/>
    <n v="0"/>
    <n v="304"/>
    <n v="1"/>
    <m/>
    <m/>
    <m/>
    <m/>
    <x v="0"/>
    <x v="0"/>
    <m/>
    <m/>
    <m/>
    <x v="0"/>
    <x v="0"/>
  </r>
  <r>
    <x v="301"/>
    <x v="96"/>
    <x v="87"/>
    <n v="50"/>
    <n v="1"/>
    <n v="5.7"/>
    <n v="285"/>
    <n v="286"/>
    <n v="286"/>
    <n v="1.0035087719298246"/>
    <n v="1"/>
    <n v="4.0000000000000001E-3"/>
    <s v="0"/>
    <m/>
    <n v="0"/>
    <n v="286"/>
    <n v="1"/>
    <m/>
    <m/>
    <m/>
    <m/>
    <x v="0"/>
    <x v="0"/>
    <m/>
    <m/>
    <m/>
    <x v="0"/>
    <x v="0"/>
  </r>
  <r>
    <x v="302"/>
    <x v="15"/>
    <x v="15"/>
    <n v="72"/>
    <n v="3.2"/>
    <n v="46.8"/>
    <n v="3369.6"/>
    <n v="3391"/>
    <n v="10851.2"/>
    <n v="1.0063509021842356"/>
    <n v="1"/>
    <n v="6.0000000000000001E-3"/>
    <s v="540"/>
    <m/>
    <n v="3"/>
    <n v="3388"/>
    <n v="0.99911530521969916"/>
    <m/>
    <m/>
    <m/>
    <m/>
    <x v="0"/>
    <x v="0"/>
    <m/>
    <m/>
    <m/>
    <x v="0"/>
    <x v="0"/>
  </r>
  <r>
    <x v="302"/>
    <x v="45"/>
    <x v="10"/>
    <n v="12"/>
    <n v="6"/>
    <n v="26.4"/>
    <n v="316.79999999999995"/>
    <n v="322"/>
    <n v="1932"/>
    <n v="1.0164141414141417"/>
    <n v="1"/>
    <n v="1.6E-2"/>
    <s v="175"/>
    <m/>
    <n v="1"/>
    <n v="321"/>
    <n v="0.99689440993788825"/>
    <m/>
    <m/>
    <m/>
    <m/>
    <x v="0"/>
    <x v="0"/>
    <m/>
    <m/>
    <m/>
    <x v="0"/>
    <x v="0"/>
  </r>
  <r>
    <x v="302"/>
    <x v="19"/>
    <x v="19"/>
    <n v="12"/>
    <n v="6"/>
    <n v="25.5"/>
    <n v="306"/>
    <n v="304"/>
    <n v="1824"/>
    <n v="0.99346405228758172"/>
    <n v="1"/>
    <n v="-7.0000000000000001E-3"/>
    <s v="190"/>
    <m/>
    <n v="1"/>
    <n v="303"/>
    <n v="0.99671052631578949"/>
    <m/>
    <m/>
    <m/>
    <m/>
    <x v="0"/>
    <x v="0"/>
    <m/>
    <m/>
    <m/>
    <x v="0"/>
    <x v="0"/>
  </r>
  <r>
    <x v="302"/>
    <x v="18"/>
    <x v="18"/>
    <n v="16"/>
    <n v="6"/>
    <n v="26.4"/>
    <n v="422.4"/>
    <n v="439"/>
    <n v="2634"/>
    <n v="1.0392992424242424"/>
    <n v="1"/>
    <n v="3.9E-2"/>
    <s v="256"/>
    <m/>
    <n v="3"/>
    <n v="436"/>
    <n v="0.99316628701594534"/>
    <m/>
    <m/>
    <m/>
    <m/>
    <x v="0"/>
    <x v="0"/>
    <m/>
    <m/>
    <m/>
    <x v="0"/>
    <x v="0"/>
  </r>
  <r>
    <x v="302"/>
    <x v="11"/>
    <x v="11"/>
    <n v="60"/>
    <n v="2.8"/>
    <n v="44.5"/>
    <n v="2670"/>
    <n v="2676"/>
    <n v="7492.7999999999993"/>
    <n v="1.002247191011236"/>
    <n v="1"/>
    <n v="2E-3"/>
    <s v="570"/>
    <m/>
    <n v="2"/>
    <n v="2674"/>
    <n v="0.99925261584454406"/>
    <m/>
    <m/>
    <m/>
    <m/>
    <x v="0"/>
    <x v="0"/>
    <m/>
    <m/>
    <m/>
    <x v="0"/>
    <x v="0"/>
  </r>
  <r>
    <x v="303"/>
    <x v="9"/>
    <x v="9"/>
    <n v="24"/>
    <n v="6"/>
    <n v="25.7"/>
    <n v="616.79999999999995"/>
    <n v="632"/>
    <n v="3792"/>
    <n v="1.0246433203631649"/>
    <n v="1"/>
    <n v="2.5000000000000001E-2"/>
    <s v="356"/>
    <m/>
    <n v="2"/>
    <n v="630"/>
    <n v="0.99683544303797467"/>
    <m/>
    <m/>
    <m/>
    <m/>
    <x v="0"/>
    <x v="0"/>
    <m/>
    <m/>
    <m/>
    <x v="0"/>
    <x v="0"/>
  </r>
  <r>
    <x v="303"/>
    <x v="22"/>
    <x v="10"/>
    <n v="16"/>
    <n v="6"/>
    <n v="25.1"/>
    <n v="401.6"/>
    <n v="399"/>
    <n v="2394"/>
    <n v="0.99352589641434252"/>
    <n v="1"/>
    <n v="-6.0000000000000001E-3"/>
    <s v="230"/>
    <m/>
    <n v="1"/>
    <n v="398"/>
    <n v="0.99749373433583954"/>
    <m/>
    <m/>
    <m/>
    <m/>
    <x v="0"/>
    <x v="0"/>
    <m/>
    <m/>
    <m/>
    <x v="0"/>
    <x v="0"/>
  </r>
  <r>
    <x v="303"/>
    <x v="17"/>
    <x v="17"/>
    <n v="21"/>
    <n v="3"/>
    <n v="29.7"/>
    <n v="623.69999999999993"/>
    <n v="624"/>
    <n v="1872"/>
    <n v="1.0004810004810005"/>
    <n v="1"/>
    <n v="0"/>
    <s v="540"/>
    <m/>
    <n v="0"/>
    <n v="624"/>
    <n v="1"/>
    <m/>
    <m/>
    <m/>
    <m/>
    <x v="0"/>
    <x v="0"/>
    <m/>
    <m/>
    <m/>
    <x v="0"/>
    <x v="0"/>
  </r>
  <r>
    <x v="303"/>
    <x v="11"/>
    <x v="11"/>
    <n v="60"/>
    <n v="2.8"/>
    <n v="44.5"/>
    <n v="2670"/>
    <n v="2677"/>
    <n v="7495.5999999999995"/>
    <n v="1.002621722846442"/>
    <n v="1"/>
    <n v="3.0000000000000001E-3"/>
    <s v="565"/>
    <m/>
    <n v="1"/>
    <n v="2676"/>
    <n v="0.99962644751587593"/>
    <m/>
    <m/>
    <m/>
    <m/>
    <x v="0"/>
    <x v="0"/>
    <m/>
    <m/>
    <m/>
    <x v="0"/>
    <x v="0"/>
  </r>
  <r>
    <x v="304"/>
    <x v="43"/>
    <x v="41"/>
    <n v="16"/>
    <n v="0.26"/>
    <n v="584.29999999999995"/>
    <n v="9348.7999999999993"/>
    <n v="9284"/>
    <n v="2413.84"/>
    <n v="0.99306862912887228"/>
    <n v="1"/>
    <n v="-7.0000000000000001E-3"/>
    <s v="300"/>
    <m/>
    <n v="7"/>
    <n v="9277"/>
    <n v="0.99924601464885821"/>
    <m/>
    <m/>
    <s v="瓶器225cc醬菜瓶。"/>
    <m/>
    <x v="0"/>
    <x v="0"/>
    <m/>
    <m/>
    <m/>
    <x v="0"/>
    <x v="0"/>
  </r>
  <r>
    <x v="304"/>
    <x v="117"/>
    <x v="106"/>
    <n v="4"/>
    <n v="0.26"/>
    <n v="612"/>
    <n v="2448"/>
    <n v="2352"/>
    <n v="611.52"/>
    <n v="0.96078431372549022"/>
    <n v="1"/>
    <n v="-3.9E-2"/>
    <s v="160"/>
    <m/>
    <n v="20"/>
    <n v="2332"/>
    <n v="0.99149659863945583"/>
    <m/>
    <m/>
    <s v="瓶器225cc醬菜瓶。"/>
    <m/>
    <x v="0"/>
    <x v="0"/>
    <m/>
    <m/>
    <m/>
    <x v="0"/>
    <x v="0"/>
  </r>
  <r>
    <x v="304"/>
    <x v="72"/>
    <x v="62"/>
    <n v="3"/>
    <n v="0.26"/>
    <n v="580"/>
    <n v="1740"/>
    <n v="1784"/>
    <n v="463.84000000000003"/>
    <n v="1.025287356321839"/>
    <n v="1"/>
    <n v="2.5000000000000001E-2"/>
    <s v="190"/>
    <m/>
    <n v="5"/>
    <n v="1779"/>
    <n v="0.99719730941704032"/>
    <m/>
    <m/>
    <s v="瓶器225cc醬菜瓶。"/>
    <m/>
    <x v="0"/>
    <x v="0"/>
    <m/>
    <m/>
    <m/>
    <x v="0"/>
    <x v="0"/>
  </r>
  <r>
    <x v="304"/>
    <x v="9"/>
    <x v="9"/>
    <n v="20"/>
    <n v="6"/>
    <n v="25.7"/>
    <n v="514"/>
    <n v="522"/>
    <n v="3132"/>
    <n v="1.0155642023346303"/>
    <n v="1"/>
    <n v="1.6E-2"/>
    <s v="313"/>
    <m/>
    <n v="2"/>
    <n v="520"/>
    <n v="0.99616858237547889"/>
    <m/>
    <m/>
    <m/>
    <m/>
    <x v="0"/>
    <x v="0"/>
    <m/>
    <m/>
    <m/>
    <x v="0"/>
    <x v="0"/>
  </r>
  <r>
    <x v="304"/>
    <x v="0"/>
    <x v="0"/>
    <n v="18"/>
    <n v="6"/>
    <n v="25.5"/>
    <n v="459"/>
    <n v="453"/>
    <n v="2718"/>
    <n v="0.98692810457516345"/>
    <n v="1"/>
    <n v="-1.2999999999999999E-2"/>
    <s v="270"/>
    <m/>
    <n v="1"/>
    <n v="452"/>
    <n v="0.99779249448123619"/>
    <m/>
    <m/>
    <m/>
    <m/>
    <x v="0"/>
    <x v="0"/>
    <m/>
    <m/>
    <m/>
    <x v="0"/>
    <x v="0"/>
  </r>
  <r>
    <x v="304"/>
    <x v="11"/>
    <x v="11"/>
    <n v="60"/>
    <n v="2.8"/>
    <n v="44.5"/>
    <n v="2670"/>
    <n v="2682"/>
    <n v="7509.5999999999995"/>
    <n v="1.0044943820224719"/>
    <n v="1"/>
    <n v="4.0000000000000001E-3"/>
    <s v="565"/>
    <m/>
    <n v="1"/>
    <n v="2681"/>
    <n v="0.99962714392244589"/>
    <m/>
    <m/>
    <m/>
    <m/>
    <x v="0"/>
    <x v="0"/>
    <m/>
    <m/>
    <m/>
    <x v="0"/>
    <x v="0"/>
  </r>
  <r>
    <x v="304"/>
    <x v="95"/>
    <x v="86"/>
    <n v="1"/>
    <n v="1"/>
    <n v="942"/>
    <n v="942"/>
    <n v="960"/>
    <n v="960"/>
    <n v="1.0191082802547771"/>
    <n v="1"/>
    <n v="1.9E-2"/>
    <s v="0"/>
    <m/>
    <n v="0"/>
    <n v="960"/>
    <n v="1"/>
    <m/>
    <m/>
    <m/>
    <m/>
    <x v="0"/>
    <x v="0"/>
    <m/>
    <m/>
    <m/>
    <x v="0"/>
    <x v="0"/>
  </r>
  <r>
    <x v="305"/>
    <x v="15"/>
    <x v="15"/>
    <n v="36"/>
    <n v="3.2"/>
    <n v="46.8"/>
    <n v="1684.8"/>
    <n v="1656"/>
    <n v="5299.2000000000007"/>
    <n v="0.98290598290598297"/>
    <n v="1"/>
    <n v="-1.7000000000000001E-2"/>
    <s v="270"/>
    <m/>
    <n v="1"/>
    <n v="1655"/>
    <n v="0.99939613526570048"/>
    <m/>
    <m/>
    <m/>
    <m/>
    <x v="0"/>
    <x v="0"/>
    <m/>
    <m/>
    <m/>
    <x v="0"/>
    <x v="0"/>
  </r>
  <r>
    <x v="305"/>
    <x v="21"/>
    <x v="21"/>
    <n v="36"/>
    <n v="3.2"/>
    <n v="46.4"/>
    <n v="1670.3999999999999"/>
    <n v="1660"/>
    <n v="5312"/>
    <n v="0.99377394636015337"/>
    <n v="1"/>
    <n v="-6.0000000000000001E-3"/>
    <s v="300"/>
    <m/>
    <n v="1"/>
    <n v="1659"/>
    <n v="0.99939759036144582"/>
    <m/>
    <m/>
    <m/>
    <m/>
    <x v="0"/>
    <x v="0"/>
    <m/>
    <m/>
    <m/>
    <x v="0"/>
    <x v="0"/>
  </r>
  <r>
    <x v="305"/>
    <x v="3"/>
    <x v="3"/>
    <n v="20"/>
    <n v="4.5"/>
    <n v="36.299999999999997"/>
    <n v="726"/>
    <n v="731"/>
    <n v="3289.5"/>
    <n v="1.0068870523415978"/>
    <n v="1"/>
    <n v="7.0000000000000001E-3"/>
    <s v="346"/>
    <m/>
    <n v="0"/>
    <n v="731"/>
    <n v="1"/>
    <m/>
    <m/>
    <m/>
    <m/>
    <x v="0"/>
    <x v="0"/>
    <m/>
    <m/>
    <m/>
    <x v="0"/>
    <x v="0"/>
  </r>
  <r>
    <x v="305"/>
    <x v="4"/>
    <x v="4"/>
    <n v="12"/>
    <n v="4.5"/>
    <n v="34.5"/>
    <n v="414"/>
    <n v="422"/>
    <n v="1899"/>
    <n v="1.0193236714975846"/>
    <n v="1"/>
    <n v="1.9E-2"/>
    <s v="233"/>
    <m/>
    <n v="0"/>
    <n v="422"/>
    <n v="1"/>
    <m/>
    <m/>
    <m/>
    <m/>
    <x v="0"/>
    <x v="0"/>
    <m/>
    <m/>
    <m/>
    <x v="0"/>
    <x v="0"/>
  </r>
  <r>
    <x v="305"/>
    <x v="53"/>
    <x v="46"/>
    <n v="4"/>
    <n v="4.5"/>
    <n v="34.5"/>
    <n v="138"/>
    <n v="137"/>
    <n v="616.5"/>
    <n v="0.99275362318840576"/>
    <n v="1"/>
    <n v="-7.0000000000000001E-3"/>
    <s v="130"/>
    <m/>
    <n v="0"/>
    <n v="137"/>
    <n v="1"/>
    <m/>
    <m/>
    <m/>
    <m/>
    <x v="0"/>
    <x v="0"/>
    <m/>
    <m/>
    <m/>
    <x v="0"/>
    <x v="0"/>
  </r>
  <r>
    <x v="305"/>
    <x v="24"/>
    <x v="23"/>
    <n v="8"/>
    <n v="0.34"/>
    <n v="366"/>
    <n v="2928"/>
    <n v="2934"/>
    <n v="997.56000000000006"/>
    <n v="1.0020491803278688"/>
    <n v="1"/>
    <n v="2E-3"/>
    <s v="180"/>
    <m/>
    <n v="85"/>
    <n v="2849"/>
    <n v="0.97102931152010907"/>
    <m/>
    <m/>
    <s v="E0121佳樂美*200箱。"/>
    <m/>
    <x v="0"/>
    <x v="0"/>
    <m/>
    <m/>
    <m/>
    <x v="0"/>
    <x v="0"/>
  </r>
  <r>
    <x v="305"/>
    <x v="41"/>
    <x v="39"/>
    <n v="40"/>
    <n v="2.8"/>
    <n v="44.2"/>
    <n v="1768"/>
    <n v="1775"/>
    <n v="4970"/>
    <n v="1.0039592760180995"/>
    <n v="1"/>
    <n v="4.0000000000000001E-3"/>
    <s v="350"/>
    <m/>
    <n v="5"/>
    <n v="1770"/>
    <n v="0.9971830985915493"/>
    <m/>
    <m/>
    <m/>
    <m/>
    <x v="0"/>
    <x v="0"/>
    <m/>
    <m/>
    <m/>
    <x v="0"/>
    <x v="0"/>
  </r>
  <r>
    <x v="306"/>
    <x v="8"/>
    <x v="8"/>
    <n v="40"/>
    <n v="0.44"/>
    <n v="344"/>
    <n v="13760"/>
    <n v="13697"/>
    <n v="6026.68"/>
    <n v="0.99542151162790693"/>
    <n v="1"/>
    <n v="-5.0000000000000001E-3"/>
    <s v="540"/>
    <m/>
    <n v="9"/>
    <n v="13688"/>
    <n v="0.99934292180769513"/>
    <m/>
    <m/>
    <m/>
    <m/>
    <x v="0"/>
    <x v="0"/>
    <m/>
    <m/>
    <m/>
    <x v="0"/>
    <x v="0"/>
  </r>
  <r>
    <x v="306"/>
    <x v="9"/>
    <x v="9"/>
    <n v="16"/>
    <n v="6"/>
    <n v="25.7"/>
    <n v="411.2"/>
    <n v="413"/>
    <n v="2478"/>
    <n v="1.0043774319066148"/>
    <n v="1"/>
    <n v="4.0000000000000001E-3"/>
    <s v="210"/>
    <m/>
    <n v="2"/>
    <n v="411"/>
    <n v="0.99515738498789341"/>
    <m/>
    <m/>
    <m/>
    <m/>
    <x v="0"/>
    <x v="0"/>
    <m/>
    <m/>
    <m/>
    <x v="0"/>
    <x v="0"/>
  </r>
  <r>
    <x v="306"/>
    <x v="2"/>
    <x v="2"/>
    <n v="24"/>
    <n v="6"/>
    <n v="26.6"/>
    <n v="638.40000000000009"/>
    <n v="742"/>
    <n v="4452"/>
    <n v="1.1622807017543857"/>
    <n v="1"/>
    <n v="0.16200000000000001"/>
    <s v="350"/>
    <m/>
    <n v="5"/>
    <n v="737"/>
    <n v="0.99326145552560652"/>
    <m/>
    <n v="720"/>
    <s v="特殊製程(1140401-01A)。"/>
    <m/>
    <x v="0"/>
    <x v="0"/>
    <m/>
    <m/>
    <m/>
    <x v="0"/>
    <x v="0"/>
  </r>
  <r>
    <x v="306"/>
    <x v="112"/>
    <x v="55"/>
    <n v="8"/>
    <n v="0.28999999999999998"/>
    <n v="0"/>
    <n v="0"/>
    <n v="2403"/>
    <n v="696.87"/>
    <s v="無法預估數據"/>
    <n v="1"/>
    <s v="無法預估數據"/>
    <s v="300"/>
    <m/>
    <n v="1"/>
    <n v="2402"/>
    <n v="0.99958385351643775"/>
    <m/>
    <m/>
    <s v="D1520(290g)足量2403。_x000a_剩餘充A2040(340g)880。"/>
    <m/>
    <x v="0"/>
    <x v="0"/>
    <m/>
    <m/>
    <m/>
    <x v="0"/>
    <x v="0"/>
  </r>
  <r>
    <x v="306"/>
    <x v="55"/>
    <x v="48"/>
    <n v="28"/>
    <n v="18"/>
    <n v="6.9"/>
    <n v="193.20000000000002"/>
    <n v="200"/>
    <n v="3600"/>
    <n v="1.0351966873706002"/>
    <n v="1"/>
    <n v="3.5000000000000003E-2"/>
    <s v="520"/>
    <m/>
    <n v="0"/>
    <n v="200"/>
    <n v="1"/>
    <m/>
    <m/>
    <m/>
    <m/>
    <x v="0"/>
    <x v="0"/>
    <m/>
    <m/>
    <m/>
    <x v="0"/>
    <x v="0"/>
  </r>
  <r>
    <x v="307"/>
    <x v="13"/>
    <x v="13"/>
    <n v="40"/>
    <n v="0.9"/>
    <n v="160.5"/>
    <n v="6420"/>
    <n v="6446"/>
    <n v="5801.4000000000005"/>
    <n v="1.00404984423676"/>
    <n v="1"/>
    <n v="4.0000000000000001E-3"/>
    <s v="540"/>
    <m/>
    <n v="12"/>
    <n v="6434"/>
    <n v="0.99813838039094016"/>
    <m/>
    <m/>
    <m/>
    <m/>
    <x v="0"/>
    <x v="0"/>
    <m/>
    <m/>
    <m/>
    <x v="0"/>
    <x v="0"/>
  </r>
  <r>
    <x v="307"/>
    <x v="9"/>
    <x v="9"/>
    <n v="28"/>
    <n v="6"/>
    <n v="25.7"/>
    <n v="719.6"/>
    <n v="729"/>
    <n v="4374"/>
    <n v="1.0130628126737076"/>
    <n v="1"/>
    <n v="1.2999999999999999E-2"/>
    <s v="420"/>
    <m/>
    <n v="1"/>
    <n v="728"/>
    <n v="0.99862825788751719"/>
    <m/>
    <m/>
    <m/>
    <m/>
    <x v="0"/>
    <x v="0"/>
    <m/>
    <m/>
    <m/>
    <x v="0"/>
    <x v="0"/>
  </r>
  <r>
    <x v="307"/>
    <x v="69"/>
    <x v="2"/>
    <n v="6"/>
    <n v="6"/>
    <n v="25.5"/>
    <n v="153"/>
    <n v="151"/>
    <n v="906"/>
    <n v="0.98692810457516345"/>
    <n v="1"/>
    <n v="-1.2999999999999999E-2"/>
    <s v="160"/>
    <m/>
    <n v="1"/>
    <n v="150"/>
    <n v="0.99337748344370858"/>
    <m/>
    <m/>
    <m/>
    <m/>
    <x v="0"/>
    <x v="0"/>
    <m/>
    <m/>
    <m/>
    <x v="0"/>
    <x v="0"/>
  </r>
  <r>
    <x v="307"/>
    <x v="23"/>
    <x v="22"/>
    <n v="32"/>
    <n v="0.34"/>
    <n v="364.6"/>
    <n v="11667.2"/>
    <n v="11565"/>
    <n v="3932.1000000000004"/>
    <n v="0.99124040043883699"/>
    <n v="1"/>
    <n v="-8.9999999999999993E-3"/>
    <s v="540"/>
    <m/>
    <n v="3"/>
    <n v="11562"/>
    <n v="0.99974059662775616"/>
    <m/>
    <m/>
    <m/>
    <m/>
    <x v="0"/>
    <x v="0"/>
    <m/>
    <m/>
    <m/>
    <x v="0"/>
    <x v="0"/>
  </r>
  <r>
    <x v="308"/>
    <x v="2"/>
    <x v="2"/>
    <n v="20"/>
    <n v="6"/>
    <n v="26.6"/>
    <n v="532"/>
    <n v="547"/>
    <n v="3282"/>
    <n v="1.0281954887218046"/>
    <n v="1"/>
    <n v="2.8000000000000001E-2"/>
    <s v="320"/>
    <m/>
    <n v="2"/>
    <n v="545"/>
    <n v="0.99634369287020108"/>
    <m/>
    <n v="240"/>
    <s v="特殊製程(1140401-01A)。"/>
    <m/>
    <x v="0"/>
    <x v="0"/>
    <m/>
    <m/>
    <m/>
    <x v="0"/>
    <x v="0"/>
  </r>
  <r>
    <x v="308"/>
    <x v="1"/>
    <x v="1"/>
    <n v="12"/>
    <n v="6"/>
    <n v="25.7"/>
    <n v="308.39999999999998"/>
    <n v="295"/>
    <n v="1770"/>
    <n v="0.95654993514915698"/>
    <n v="1"/>
    <n v="-4.2999999999999997E-2"/>
    <s v="220"/>
    <m/>
    <n v="1"/>
    <n v="294"/>
    <n v="0.99661016949152548"/>
    <m/>
    <m/>
    <m/>
    <m/>
    <x v="0"/>
    <x v="0"/>
    <m/>
    <m/>
    <m/>
    <x v="0"/>
    <x v="0"/>
  </r>
  <r>
    <x v="308"/>
    <x v="36"/>
    <x v="34"/>
    <n v="6"/>
    <n v="6"/>
    <n v="24.3"/>
    <n v="145.80000000000001"/>
    <n v="144"/>
    <n v="864"/>
    <n v="0.98765432098765427"/>
    <n v="1"/>
    <n v="-1.2E-2"/>
    <s v="160"/>
    <m/>
    <n v="2"/>
    <n v="142"/>
    <n v="0.98611111111111116"/>
    <m/>
    <m/>
    <m/>
    <m/>
    <x v="0"/>
    <x v="0"/>
    <m/>
    <m/>
    <m/>
    <x v="0"/>
    <x v="0"/>
  </r>
  <r>
    <x v="308"/>
    <x v="65"/>
    <x v="56"/>
    <n v="8"/>
    <n v="9.5"/>
    <n v="16.600000000000001"/>
    <n v="132.80000000000001"/>
    <n v="129"/>
    <n v="1225.5"/>
    <n v="0.97138554216867457"/>
    <n v="1"/>
    <n v="-2.9000000000000001E-2"/>
    <s v="220"/>
    <m/>
    <n v="0"/>
    <n v="129"/>
    <n v="1"/>
    <m/>
    <m/>
    <m/>
    <m/>
    <x v="0"/>
    <x v="0"/>
    <m/>
    <m/>
    <m/>
    <x v="0"/>
    <x v="0"/>
  </r>
  <r>
    <x v="308"/>
    <x v="128"/>
    <x v="45"/>
    <n v="8"/>
    <n v="9.08"/>
    <n v="17.399999999999999"/>
    <n v="139.19999999999999"/>
    <n v="143"/>
    <n v="1298.44"/>
    <n v="1.0272988505747127"/>
    <e v="#N/A"/>
    <e v="#N/A"/>
    <s v="183"/>
    <m/>
    <n v="0"/>
    <n v="143"/>
    <n v="1"/>
    <m/>
    <m/>
    <m/>
    <m/>
    <x v="0"/>
    <x v="0"/>
    <m/>
    <m/>
    <m/>
    <x v="0"/>
    <x v="0"/>
  </r>
  <r>
    <x v="308"/>
    <x v="10"/>
    <x v="10"/>
    <n v="20"/>
    <n v="6"/>
    <n v="25.4"/>
    <n v="508"/>
    <n v="513"/>
    <n v="3078"/>
    <n v="1.0098425196850394"/>
    <n v="1"/>
    <n v="0.01"/>
    <s v="300"/>
    <m/>
    <n v="1"/>
    <n v="512"/>
    <n v="0.99805068226120852"/>
    <m/>
    <m/>
    <m/>
    <m/>
    <x v="0"/>
    <x v="0"/>
    <m/>
    <m/>
    <m/>
    <x v="0"/>
    <x v="0"/>
  </r>
  <r>
    <x v="308"/>
    <x v="11"/>
    <x v="11"/>
    <n v="56"/>
    <n v="2.8"/>
    <n v="44.5"/>
    <n v="1849.1428571428571"/>
    <n v="1855"/>
    <n v="5194"/>
    <n v="1.0031674907292953"/>
    <n v="1"/>
    <n v="3.0000000000000001E-3"/>
    <s v="570"/>
    <m/>
    <n v="1"/>
    <n v="1854"/>
    <n v="0.99946091644204849"/>
    <m/>
    <m/>
    <s v="D9920(18kg)*100桶"/>
    <m/>
    <x v="0"/>
    <x v="0"/>
    <m/>
    <m/>
    <m/>
    <x v="0"/>
    <x v="0"/>
  </r>
  <r>
    <x v="309"/>
    <x v="16"/>
    <x v="16"/>
    <n v="24"/>
    <n v="6"/>
    <n v="26.1"/>
    <n v="626.40000000000009"/>
    <n v="644"/>
    <n v="3864"/>
    <n v="1.0280970625798211"/>
    <n v="1"/>
    <n v="2.8000000000000001E-2"/>
    <s v="315"/>
    <m/>
    <n v="2"/>
    <n v="642"/>
    <n v="0.99689440993788825"/>
    <m/>
    <m/>
    <m/>
    <m/>
    <x v="0"/>
    <x v="0"/>
    <m/>
    <m/>
    <m/>
    <x v="0"/>
    <x v="0"/>
  </r>
  <r>
    <x v="309"/>
    <x v="127"/>
    <x v="75"/>
    <n v="16"/>
    <n v="6"/>
    <n v="25.8"/>
    <n v="412.8"/>
    <n v="423"/>
    <n v="2538"/>
    <n v="1.0247093023255813"/>
    <e v="#N/A"/>
    <e v="#N/A"/>
    <s v="230"/>
    <m/>
    <n v="1"/>
    <n v="422"/>
    <n v="0.99763593380614657"/>
    <m/>
    <m/>
    <m/>
    <m/>
    <x v="0"/>
    <x v="0"/>
    <m/>
    <m/>
    <m/>
    <x v="0"/>
    <x v="0"/>
  </r>
  <r>
    <x v="309"/>
    <x v="48"/>
    <x v="17"/>
    <n v="21"/>
    <n v="3"/>
    <n v="30.8"/>
    <n v="646.80000000000007"/>
    <n v="648"/>
    <n v="1944"/>
    <n v="1.0018552875695732"/>
    <n v="1"/>
    <n v="2E-3"/>
    <s v="550"/>
    <m/>
    <n v="0"/>
    <n v="648"/>
    <n v="1"/>
    <m/>
    <m/>
    <m/>
    <m/>
    <x v="0"/>
    <x v="0"/>
    <m/>
    <m/>
    <m/>
    <x v="0"/>
    <x v="0"/>
  </r>
  <r>
    <x v="309"/>
    <x v="78"/>
    <x v="70"/>
    <n v="8"/>
    <n v="0.28999999999999998"/>
    <n v="388"/>
    <n v="3104"/>
    <n v="3349"/>
    <n v="971.20999999999992"/>
    <n v="1.0789304123711341"/>
    <n v="1"/>
    <n v="7.9000000000000001E-2"/>
    <s v="225"/>
    <m/>
    <n v="4"/>
    <n v="3345"/>
    <n v="0.99880561361600473"/>
    <m/>
    <m/>
    <s v="充填281g~285g"/>
    <m/>
    <x v="0"/>
    <x v="0"/>
    <m/>
    <m/>
    <m/>
    <x v="0"/>
    <x v="0"/>
  </r>
  <r>
    <x v="309"/>
    <x v="64"/>
    <x v="55"/>
    <n v="8"/>
    <n v="0.28999999999999998"/>
    <n v="412.6"/>
    <n v="3300.8"/>
    <n v="3475"/>
    <n v="1007.7499999999999"/>
    <n v="1.0527750848279205"/>
    <n v="1"/>
    <n v="5.2999999999999999E-2"/>
    <s v="225"/>
    <m/>
    <n v="3"/>
    <n v="3472"/>
    <n v="0.99913669064748201"/>
    <m/>
    <m/>
    <s v="充填281g~285g"/>
    <m/>
    <x v="0"/>
    <x v="0"/>
    <m/>
    <m/>
    <m/>
    <x v="0"/>
    <x v="0"/>
  </r>
  <r>
    <x v="310"/>
    <x v="15"/>
    <x v="15"/>
    <n v="72"/>
    <n v="3.2"/>
    <n v="46.8"/>
    <n v="3369.6"/>
    <n v="3328"/>
    <n v="10649.6"/>
    <n v="0.98765432098765438"/>
    <n v="1"/>
    <n v="-1.2E-2"/>
    <s v="540"/>
    <m/>
    <n v="2"/>
    <n v="3326"/>
    <n v="0.99939903846153844"/>
    <m/>
    <m/>
    <m/>
    <m/>
    <x v="0"/>
    <x v="0"/>
    <m/>
    <m/>
    <m/>
    <x v="0"/>
    <x v="0"/>
  </r>
  <r>
    <x v="310"/>
    <x v="9"/>
    <x v="9"/>
    <n v="20"/>
    <n v="6"/>
    <n v="25.7"/>
    <n v="514"/>
    <n v="528"/>
    <n v="3168"/>
    <n v="1.027237354085603"/>
    <n v="1"/>
    <n v="2.7E-2"/>
    <s v="325"/>
    <m/>
    <n v="1"/>
    <n v="527"/>
    <n v="0.99810606060606055"/>
    <m/>
    <m/>
    <m/>
    <m/>
    <x v="0"/>
    <x v="0"/>
    <m/>
    <m/>
    <m/>
    <x v="0"/>
    <x v="0"/>
  </r>
  <r>
    <x v="310"/>
    <x v="122"/>
    <x v="111"/>
    <n v="16"/>
    <n v="6"/>
    <n v="0"/>
    <n v="0"/>
    <n v="401"/>
    <n v="2406"/>
    <s v="無法預估數據"/>
    <e v="#N/A"/>
    <s v="無法預估數據"/>
    <s v="220"/>
    <m/>
    <n v="2"/>
    <n v="399"/>
    <n v="0.99501246882793015"/>
    <m/>
    <m/>
    <m/>
    <m/>
    <x v="0"/>
    <x v="0"/>
    <m/>
    <m/>
    <m/>
    <x v="0"/>
    <x v="0"/>
  </r>
  <r>
    <x v="310"/>
    <x v="79"/>
    <x v="71"/>
    <n v="8"/>
    <n v="8"/>
    <n v="19.600000000000001"/>
    <n v="156.80000000000001"/>
    <n v="157"/>
    <n v="1256"/>
    <n v="1.0012755102040816"/>
    <n v="1"/>
    <n v="1E-3"/>
    <s v="210"/>
    <m/>
    <n v="0"/>
    <n v="157"/>
    <n v="1"/>
    <m/>
    <m/>
    <m/>
    <m/>
    <x v="0"/>
    <x v="0"/>
    <m/>
    <m/>
    <m/>
    <x v="0"/>
    <x v="0"/>
  </r>
  <r>
    <x v="310"/>
    <x v="11"/>
    <x v="11"/>
    <n v="44"/>
    <n v="2.8"/>
    <n v="44.5"/>
    <n v="1958"/>
    <n v="1969"/>
    <n v="5513.2"/>
    <n v="1.0056179775280898"/>
    <n v="1"/>
    <n v="6.0000000000000001E-3"/>
    <s v="430"/>
    <m/>
    <n v="1"/>
    <n v="1968"/>
    <n v="0.99949212798374809"/>
    <m/>
    <m/>
    <m/>
    <m/>
    <x v="0"/>
    <x v="0"/>
    <m/>
    <m/>
    <m/>
    <x v="0"/>
    <x v="0"/>
  </r>
  <r>
    <x v="311"/>
    <x v="124"/>
    <x v="26"/>
    <n v="36"/>
    <n v="3.2"/>
    <n v="47.5"/>
    <n v="1710"/>
    <n v="1669"/>
    <n v="5340.8"/>
    <n v="0.97602339181286546"/>
    <e v="#N/A"/>
    <e v="#N/A"/>
    <s v="300"/>
    <m/>
    <n v="1"/>
    <n v="1668"/>
    <n v="0.99940083882564412"/>
    <m/>
    <m/>
    <m/>
    <m/>
    <x v="0"/>
    <x v="0"/>
    <m/>
    <m/>
    <m/>
    <x v="0"/>
    <x v="0"/>
  </r>
  <r>
    <x v="311"/>
    <x v="75"/>
    <x v="65"/>
    <n v="3"/>
    <n v="0.19"/>
    <n v="759.3"/>
    <n v="2277.8999999999996"/>
    <n v="2188"/>
    <n v="415.72"/>
    <n v="0.96053382501426765"/>
    <n v="1"/>
    <n v="-3.9E-2"/>
    <s v="240"/>
    <m/>
    <n v="8"/>
    <n v="2180"/>
    <n v="0.99634369287020108"/>
    <m/>
    <m/>
    <m/>
    <m/>
    <x v="0"/>
    <x v="0"/>
    <m/>
    <m/>
    <m/>
    <x v="0"/>
    <x v="0"/>
  </r>
  <r>
    <x v="311"/>
    <x v="47"/>
    <x v="42"/>
    <n v="12"/>
    <n v="6"/>
    <n v="25.6"/>
    <n v="307.20000000000005"/>
    <n v="317"/>
    <n v="1902"/>
    <n v="1.0319010416666665"/>
    <n v="1"/>
    <n v="3.2000000000000001E-2"/>
    <s v="210"/>
    <m/>
    <n v="2"/>
    <n v="315"/>
    <n v="0.99369085173501581"/>
    <m/>
    <m/>
    <m/>
    <m/>
    <x v="0"/>
    <x v="0"/>
    <m/>
    <m/>
    <m/>
    <x v="0"/>
    <x v="0"/>
  </r>
  <r>
    <x v="311"/>
    <x v="2"/>
    <x v="2"/>
    <n v="24"/>
    <n v="6"/>
    <n v="26.6"/>
    <n v="638.40000000000009"/>
    <n v="647"/>
    <n v="3882"/>
    <n v="1.013471177944862"/>
    <n v="1"/>
    <n v="1.2999999999999999E-2"/>
    <s v="330"/>
    <m/>
    <n v="2"/>
    <n v="645"/>
    <n v="0.9969088098918083"/>
    <m/>
    <n v="96"/>
    <s v="特殊製程(1140401-01A)。"/>
    <m/>
    <x v="0"/>
    <x v="0"/>
    <m/>
    <m/>
    <m/>
    <x v="0"/>
    <x v="0"/>
  </r>
  <r>
    <x v="311"/>
    <x v="6"/>
    <x v="6"/>
    <n v="20"/>
    <n v="0.4"/>
    <n v="309.2"/>
    <n v="6184"/>
    <n v="6253"/>
    <n v="2501.2000000000003"/>
    <n v="1.0111578266494179"/>
    <n v="1"/>
    <n v="1.0999999999999999E-2"/>
    <s v="310"/>
    <m/>
    <n v="3"/>
    <n v="6250"/>
    <n v="0.99952023028946102"/>
    <m/>
    <m/>
    <m/>
    <m/>
    <x v="0"/>
    <x v="0"/>
    <m/>
    <m/>
    <m/>
    <x v="0"/>
    <x v="0"/>
  </r>
  <r>
    <x v="312"/>
    <x v="0"/>
    <x v="0"/>
    <n v="16"/>
    <n v="6"/>
    <n v="25.5"/>
    <n v="408"/>
    <n v="402"/>
    <n v="2412"/>
    <n v="0.98529411764705888"/>
    <n v="1"/>
    <n v="-1.4999999999999999E-2"/>
    <s v="240"/>
    <m/>
    <n v="2"/>
    <n v="400"/>
    <n v="0.99502487562189057"/>
    <m/>
    <m/>
    <m/>
    <m/>
    <x v="0"/>
    <x v="0"/>
    <m/>
    <m/>
    <m/>
    <x v="0"/>
    <x v="0"/>
  </r>
  <r>
    <x v="312"/>
    <x v="82"/>
    <x v="74"/>
    <n v="6"/>
    <n v="6"/>
    <n v="24.5"/>
    <n v="147"/>
    <n v="140"/>
    <n v="840"/>
    <n v="0.95238095238095233"/>
    <n v="1"/>
    <n v="-4.8000000000000001E-2"/>
    <s v="150"/>
    <m/>
    <n v="1"/>
    <n v="139"/>
    <n v="0.99285714285714288"/>
    <m/>
    <m/>
    <m/>
    <m/>
    <x v="0"/>
    <x v="0"/>
    <m/>
    <m/>
    <m/>
    <x v="0"/>
    <x v="0"/>
  </r>
  <r>
    <x v="312"/>
    <x v="2"/>
    <x v="2"/>
    <n v="18"/>
    <n v="6"/>
    <n v="26.6"/>
    <n v="478.8"/>
    <n v="460"/>
    <n v="2760"/>
    <n v="0.960735171261487"/>
    <n v="1"/>
    <n v="-3.9E-2"/>
    <s v="240"/>
    <m/>
    <n v="4"/>
    <n v="456"/>
    <n v="0.99130434782608701"/>
    <m/>
    <m/>
    <m/>
    <m/>
    <x v="0"/>
    <x v="0"/>
    <m/>
    <m/>
    <m/>
    <x v="0"/>
    <x v="0"/>
  </r>
  <r>
    <x v="312"/>
    <x v="77"/>
    <x v="69"/>
    <n v="3"/>
    <n v="4.5"/>
    <n v="32.9"/>
    <n v="98.699999999999989"/>
    <n v="101"/>
    <n v="454.5"/>
    <n v="1.0233029381965553"/>
    <n v="1"/>
    <n v="2.3E-2"/>
    <s v="130"/>
    <m/>
    <n v="0"/>
    <n v="101"/>
    <n v="1"/>
    <m/>
    <m/>
    <m/>
    <m/>
    <x v="0"/>
    <x v="0"/>
    <m/>
    <m/>
    <m/>
    <x v="0"/>
    <x v="0"/>
  </r>
  <r>
    <x v="312"/>
    <x v="3"/>
    <x v="3"/>
    <n v="24"/>
    <n v="4.5"/>
    <n v="36.299999999999997"/>
    <n v="871.19999999999993"/>
    <n v="875"/>
    <n v="3937.5"/>
    <n v="1.0043617998163454"/>
    <n v="1"/>
    <n v="4.0000000000000001E-3"/>
    <s v="370"/>
    <m/>
    <n v="0"/>
    <n v="875"/>
    <n v="1"/>
    <m/>
    <m/>
    <m/>
    <m/>
    <x v="0"/>
    <x v="0"/>
    <m/>
    <m/>
    <m/>
    <x v="0"/>
    <x v="0"/>
  </r>
  <r>
    <x v="312"/>
    <x v="52"/>
    <x v="46"/>
    <n v="8"/>
    <n v="4.5"/>
    <n v="35.6"/>
    <n v="284.8"/>
    <n v="277"/>
    <n v="1246.5"/>
    <n v="0.9726123595505618"/>
    <n v="1"/>
    <n v="-2.7E-2"/>
    <s v="248"/>
    <m/>
    <n v="0"/>
    <n v="277"/>
    <n v="1"/>
    <m/>
    <m/>
    <m/>
    <m/>
    <x v="0"/>
    <x v="0"/>
    <m/>
    <m/>
    <m/>
    <x v="0"/>
    <x v="0"/>
  </r>
  <r>
    <x v="312"/>
    <x v="41"/>
    <x v="39"/>
    <n v="72"/>
    <n v="2.8"/>
    <n v="44.2"/>
    <n v="2539.5428571428574"/>
    <n v="2553"/>
    <n v="7148.4"/>
    <n v="1.0052990414472796"/>
    <n v="1"/>
    <n v="5.0000000000000001E-3"/>
    <s v="625"/>
    <m/>
    <n v="2"/>
    <n v="2551"/>
    <n v="0.99921660791226008"/>
    <s v="1140526-01A"/>
    <m/>
    <s v="D9921(18kg)*100桶， B2021入料人員有一趟少放一包鹽巴。"/>
    <m/>
    <x v="0"/>
    <x v="0"/>
    <m/>
    <m/>
    <m/>
    <x v="0"/>
    <x v="0"/>
  </r>
  <r>
    <x v="313"/>
    <x v="15"/>
    <x v="15"/>
    <n v="72"/>
    <n v="3.2"/>
    <n v="46.8"/>
    <n v="3369.6"/>
    <n v="3357"/>
    <n v="10742.400000000001"/>
    <n v="0.99626068376068377"/>
    <n v="1"/>
    <n v="-4.0000000000000001E-3"/>
    <s v="540"/>
    <m/>
    <n v="3"/>
    <n v="3354"/>
    <n v="0.99910634495084893"/>
    <m/>
    <m/>
    <m/>
    <m/>
    <x v="0"/>
    <x v="0"/>
    <m/>
    <m/>
    <m/>
    <x v="0"/>
    <x v="0"/>
  </r>
  <r>
    <x v="313"/>
    <x v="20"/>
    <x v="20"/>
    <n v="8"/>
    <n v="6"/>
    <n v="25"/>
    <n v="200"/>
    <n v="201"/>
    <n v="1206"/>
    <n v="1.0049999999999999"/>
    <n v="1"/>
    <n v="5.0000000000000001E-3"/>
    <s v="150"/>
    <m/>
    <n v="1"/>
    <n v="200"/>
    <n v="0.99502487562189057"/>
    <m/>
    <m/>
    <m/>
    <m/>
    <x v="0"/>
    <x v="0"/>
    <m/>
    <m/>
    <m/>
    <x v="0"/>
    <x v="0"/>
  </r>
  <r>
    <x v="313"/>
    <x v="18"/>
    <x v="18"/>
    <n v="12"/>
    <n v="6"/>
    <n v="26.4"/>
    <n v="316.79999999999995"/>
    <n v="325"/>
    <n v="1950"/>
    <n v="1.0258838383838385"/>
    <n v="1"/>
    <n v="2.5999999999999999E-2"/>
    <s v="225"/>
    <m/>
    <n v="4"/>
    <n v="321"/>
    <n v="0.98769230769230765"/>
    <m/>
    <m/>
    <m/>
    <m/>
    <x v="0"/>
    <x v="0"/>
    <m/>
    <m/>
    <m/>
    <x v="0"/>
    <x v="0"/>
  </r>
  <r>
    <x v="313"/>
    <x v="10"/>
    <x v="10"/>
    <n v="20"/>
    <n v="6"/>
    <n v="25.4"/>
    <n v="508"/>
    <n v="514"/>
    <n v="3084"/>
    <n v="1.0118110236220472"/>
    <n v="1"/>
    <n v="1.2E-2"/>
    <s v="270"/>
    <m/>
    <n v="2"/>
    <n v="512"/>
    <n v="0.99610894941634243"/>
    <m/>
    <m/>
    <m/>
    <m/>
    <x v="0"/>
    <x v="0"/>
    <m/>
    <m/>
    <m/>
    <x v="0"/>
    <x v="0"/>
  </r>
  <r>
    <x v="313"/>
    <x v="17"/>
    <x v="17"/>
    <n v="21"/>
    <n v="3"/>
    <n v="29.7"/>
    <n v="623.69999999999993"/>
    <n v="632"/>
    <n v="1896"/>
    <n v="1.0133076799743468"/>
    <n v="1"/>
    <n v="1.2999999999999999E-2"/>
    <s v="540"/>
    <m/>
    <n v="0"/>
    <n v="632"/>
    <n v="1"/>
    <m/>
    <m/>
    <m/>
    <m/>
    <x v="0"/>
    <x v="0"/>
    <m/>
    <m/>
    <m/>
    <x v="0"/>
    <x v="0"/>
  </r>
  <r>
    <x v="314"/>
    <x v="49"/>
    <x v="43"/>
    <n v="15"/>
    <n v="0.43"/>
    <n v="364"/>
    <n v="5460"/>
    <n v="5460"/>
    <n v="2347.8000000000002"/>
    <n v="1"/>
    <n v="1"/>
    <n v="0"/>
    <s v="300"/>
    <m/>
    <n v="7"/>
    <n v="5453"/>
    <n v="0.99871794871794872"/>
    <m/>
    <m/>
    <m/>
    <m/>
    <x v="0"/>
    <x v="0"/>
    <m/>
    <m/>
    <m/>
    <x v="0"/>
    <x v="0"/>
  </r>
  <r>
    <x v="314"/>
    <x v="30"/>
    <x v="28"/>
    <n v="16"/>
    <n v="0.43"/>
    <n v="340.4"/>
    <n v="5446.4"/>
    <n v="5429"/>
    <n v="2334.4699999999998"/>
    <n v="0.99680522914218572"/>
    <n v="1"/>
    <n v="-3.0000000000000001E-3"/>
    <s v="300"/>
    <m/>
    <n v="8"/>
    <n v="5421"/>
    <n v="0.99852643212377967"/>
    <m/>
    <m/>
    <s v="麥味登*180箱。"/>
    <m/>
    <x v="0"/>
    <x v="0"/>
    <m/>
    <m/>
    <m/>
    <x v="0"/>
    <x v="0"/>
  </r>
  <r>
    <x v="314"/>
    <x v="16"/>
    <x v="16"/>
    <n v="16"/>
    <n v="6"/>
    <n v="26.1"/>
    <n v="417.6"/>
    <n v="420"/>
    <n v="2520"/>
    <n v="1.0057471264367817"/>
    <n v="1"/>
    <n v="6.0000000000000001E-3"/>
    <s v="280"/>
    <m/>
    <n v="1"/>
    <n v="419"/>
    <n v="0.99761904761904763"/>
    <m/>
    <m/>
    <m/>
    <m/>
    <x v="0"/>
    <x v="0"/>
    <m/>
    <m/>
    <m/>
    <x v="0"/>
    <x v="0"/>
  </r>
  <r>
    <x v="314"/>
    <x v="9"/>
    <x v="9"/>
    <n v="24"/>
    <n v="6"/>
    <n v="25.7"/>
    <n v="616.79999999999995"/>
    <n v="640"/>
    <n v="3840"/>
    <n v="1.0376134889753568"/>
    <n v="1"/>
    <n v="3.7999999999999999E-2"/>
    <s v="354"/>
    <m/>
    <n v="2"/>
    <n v="638"/>
    <n v="0.99687499999999996"/>
    <m/>
    <m/>
    <m/>
    <m/>
    <x v="0"/>
    <x v="0"/>
    <m/>
    <m/>
    <m/>
    <x v="0"/>
    <x v="0"/>
  </r>
  <r>
    <x v="314"/>
    <x v="11"/>
    <x v="11"/>
    <n v="64"/>
    <n v="2.8"/>
    <n v="44.5"/>
    <n v="2398"/>
    <n v="2407"/>
    <n v="6739.5999999999995"/>
    <n v="1.0037531276063387"/>
    <n v="1"/>
    <n v="4.0000000000000001E-3"/>
    <s v="690"/>
    <m/>
    <n v="1"/>
    <n v="2406"/>
    <n v="0.99958454507685912"/>
    <m/>
    <m/>
    <s v="D9920(18kg)*70桶"/>
    <m/>
    <x v="0"/>
    <x v="0"/>
    <m/>
    <m/>
    <m/>
    <x v="0"/>
    <x v="0"/>
  </r>
  <r>
    <x v="315"/>
    <x v="15"/>
    <x v="15"/>
    <n v="72"/>
    <n v="3.2"/>
    <n v="46.8"/>
    <n v="3369.6"/>
    <n v="3367"/>
    <n v="10774.400000000001"/>
    <n v="0.99922839506172845"/>
    <n v="1"/>
    <n v="-1E-3"/>
    <s v="540"/>
    <m/>
    <n v="2"/>
    <n v="3365"/>
    <n v="0.99940599940599939"/>
    <m/>
    <m/>
    <m/>
    <m/>
    <x v="0"/>
    <x v="0"/>
    <m/>
    <m/>
    <m/>
    <x v="0"/>
    <x v="0"/>
  </r>
  <r>
    <x v="315"/>
    <x v="9"/>
    <x v="9"/>
    <n v="20"/>
    <n v="6"/>
    <n v="25.7"/>
    <n v="514"/>
    <n v="521"/>
    <n v="3126"/>
    <n v="1.0136186770428015"/>
    <n v="1"/>
    <n v="1.4E-2"/>
    <s v="240"/>
    <m/>
    <n v="1"/>
    <n v="520"/>
    <n v="0.99808061420345484"/>
    <m/>
    <m/>
    <m/>
    <m/>
    <x v="0"/>
    <x v="0"/>
    <m/>
    <m/>
    <m/>
    <x v="0"/>
    <x v="0"/>
  </r>
  <r>
    <x v="315"/>
    <x v="125"/>
    <x v="72"/>
    <n v="12"/>
    <n v="6"/>
    <n v="25.6"/>
    <n v="307.20000000000005"/>
    <n v="322"/>
    <n v="1932"/>
    <n v="1.0481770833333333"/>
    <e v="#N/A"/>
    <e v="#N/A"/>
    <s v="220"/>
    <m/>
    <n v="1"/>
    <n v="321"/>
    <n v="0.99689440993788825"/>
    <m/>
    <m/>
    <m/>
    <m/>
    <x v="0"/>
    <x v="0"/>
    <m/>
    <m/>
    <m/>
    <x v="0"/>
    <x v="0"/>
  </r>
  <r>
    <x v="315"/>
    <x v="45"/>
    <x v="10"/>
    <n v="8"/>
    <n v="6"/>
    <n v="26.4"/>
    <n v="211.2"/>
    <n v="205"/>
    <n v="1230"/>
    <n v="0.97064393939393945"/>
    <n v="1"/>
    <n v="-2.9000000000000001E-2"/>
    <s v="161"/>
    <m/>
    <n v="1"/>
    <n v="204"/>
    <n v="0.99512195121951219"/>
    <m/>
    <m/>
    <m/>
    <m/>
    <x v="0"/>
    <x v="0"/>
    <m/>
    <m/>
    <m/>
    <x v="0"/>
    <x v="0"/>
  </r>
  <r>
    <x v="315"/>
    <x v="11"/>
    <x v="11"/>
    <n v="24"/>
    <n v="2.8"/>
    <n v="44.5"/>
    <n v="1068"/>
    <n v="1067"/>
    <n v="2987.6"/>
    <n v="0.99906367041198507"/>
    <n v="1"/>
    <n v="-1E-3"/>
    <s v="290"/>
    <m/>
    <n v="1"/>
    <n v="1066"/>
    <n v="0.99906279287722588"/>
    <m/>
    <m/>
    <m/>
    <m/>
    <x v="0"/>
    <x v="0"/>
    <m/>
    <m/>
    <m/>
    <x v="0"/>
    <x v="0"/>
  </r>
  <r>
    <x v="315"/>
    <x v="42"/>
    <x v="40"/>
    <n v="6"/>
    <n v="3.5"/>
    <n v="25.4"/>
    <n v="152.39999999999998"/>
    <n v="152"/>
    <n v="532"/>
    <n v="0.99737532808398965"/>
    <n v="1"/>
    <n v="-3.0000000000000001E-3"/>
    <s v="360"/>
    <m/>
    <n v="0"/>
    <n v="152"/>
    <n v="1"/>
    <m/>
    <m/>
    <s v="新配方。"/>
    <m/>
    <x v="0"/>
    <x v="0"/>
    <m/>
    <m/>
    <m/>
    <x v="0"/>
    <x v="0"/>
  </r>
  <r>
    <x v="316"/>
    <x v="15"/>
    <x v="15"/>
    <n v="72"/>
    <n v="3.2"/>
    <n v="46.8"/>
    <n v="3369.6"/>
    <n v="3353"/>
    <n v="10729.6"/>
    <n v="0.99507359924026595"/>
    <n v="1"/>
    <n v="-5.0000000000000001E-3"/>
    <s v="540"/>
    <m/>
    <n v="4"/>
    <n v="3349"/>
    <n v="0.99880703847300922"/>
    <m/>
    <m/>
    <m/>
    <m/>
    <x v="0"/>
    <x v="0"/>
    <m/>
    <m/>
    <m/>
    <x v="0"/>
    <x v="0"/>
  </r>
  <r>
    <x v="316"/>
    <x v="28"/>
    <x v="19"/>
    <n v="16"/>
    <n v="6"/>
    <n v="25.5"/>
    <n v="408"/>
    <n v="419"/>
    <n v="2514"/>
    <n v="1.0269607843137254"/>
    <n v="1"/>
    <n v="2.7E-2"/>
    <s v="235"/>
    <m/>
    <n v="3"/>
    <n v="416"/>
    <n v="0.99284009546539376"/>
    <m/>
    <m/>
    <m/>
    <m/>
    <x v="0"/>
    <x v="0"/>
    <m/>
    <m/>
    <m/>
    <x v="0"/>
    <x v="0"/>
  </r>
  <r>
    <x v="316"/>
    <x v="9"/>
    <x v="9"/>
    <n v="24"/>
    <n v="6"/>
    <n v="25.7"/>
    <n v="616.79999999999995"/>
    <n v="623"/>
    <n v="3738"/>
    <n v="1.0100518806744487"/>
    <n v="1"/>
    <n v="0.01"/>
    <s v="341"/>
    <m/>
    <n v="1"/>
    <n v="622"/>
    <n v="0.9983948635634029"/>
    <m/>
    <m/>
    <m/>
    <m/>
    <x v="0"/>
    <x v="0"/>
    <m/>
    <m/>
    <m/>
    <x v="0"/>
    <x v="0"/>
  </r>
  <r>
    <x v="316"/>
    <x v="34"/>
    <x v="32"/>
    <n v="20"/>
    <n v="0.34"/>
    <n v="358.3"/>
    <n v="7166"/>
    <n v="7318"/>
    <n v="2488.1200000000003"/>
    <n v="1.0212112754674854"/>
    <n v="1"/>
    <n v="2.1000000000000001E-2"/>
    <s v="310"/>
    <m/>
    <n v="5"/>
    <n v="7313"/>
    <n v="0.9993167532112599"/>
    <m/>
    <m/>
    <s v="佳樂美200箱"/>
    <m/>
    <x v="0"/>
    <x v="0"/>
    <m/>
    <m/>
    <m/>
    <x v="0"/>
    <x v="0"/>
  </r>
  <r>
    <x v="316"/>
    <x v="23"/>
    <x v="22"/>
    <n v="8"/>
    <n v="0.34"/>
    <n v="364.6"/>
    <n v="2916.8"/>
    <n v="2924"/>
    <n v="994.16000000000008"/>
    <n v="1.0024684585847503"/>
    <n v="1"/>
    <n v="2E-3"/>
    <s v="210"/>
    <m/>
    <n v="3"/>
    <n v="2921"/>
    <n v="0.99897400820793436"/>
    <m/>
    <m/>
    <m/>
    <m/>
    <x v="0"/>
    <x v="0"/>
    <m/>
    <m/>
    <m/>
    <x v="0"/>
    <x v="0"/>
  </r>
  <r>
    <x v="316"/>
    <x v="24"/>
    <x v="23"/>
    <n v="8"/>
    <n v="0.34"/>
    <n v="366"/>
    <n v="2928"/>
    <n v="3076"/>
    <n v="1045.8400000000001"/>
    <n v="1.0505464480874316"/>
    <n v="1"/>
    <n v="5.0999999999999997E-2"/>
    <s v="240"/>
    <m/>
    <n v="3"/>
    <n v="3073"/>
    <n v="0.99902470741222371"/>
    <m/>
    <m/>
    <m/>
    <m/>
    <x v="0"/>
    <x v="0"/>
    <m/>
    <m/>
    <m/>
    <x v="0"/>
    <x v="0"/>
  </r>
  <r>
    <x v="316"/>
    <x v="87"/>
    <x v="79"/>
    <n v="2"/>
    <n v="1"/>
    <n v="243"/>
    <n v="486"/>
    <n v="501"/>
    <n v="501"/>
    <n v="1.0308641975308641"/>
    <n v="1"/>
    <n v="3.1E-2"/>
    <s v="0"/>
    <m/>
    <n v="0"/>
    <n v="501"/>
    <n v="1"/>
    <m/>
    <m/>
    <s v="6/13包裝"/>
    <m/>
    <x v="0"/>
    <x v="0"/>
    <m/>
    <m/>
    <m/>
    <x v="0"/>
    <x v="0"/>
  </r>
  <r>
    <x v="317"/>
    <x v="43"/>
    <x v="41"/>
    <n v="16"/>
    <n v="0.26"/>
    <n v="584.29999999999995"/>
    <n v="9348.7999999999993"/>
    <n v="9308"/>
    <n v="2420.08"/>
    <n v="0.99563580352558623"/>
    <n v="1"/>
    <n v="-4.0000000000000001E-3"/>
    <s v="330"/>
    <m/>
    <n v="32"/>
    <n v="9276"/>
    <n v="0.99656209712075638"/>
    <m/>
    <m/>
    <m/>
    <m/>
    <x v="0"/>
    <x v="0"/>
    <m/>
    <m/>
    <m/>
    <x v="0"/>
    <x v="0"/>
  </r>
  <r>
    <x v="317"/>
    <x v="0"/>
    <x v="0"/>
    <n v="16"/>
    <n v="6"/>
    <n v="25.5"/>
    <n v="408"/>
    <n v="404"/>
    <n v="2424"/>
    <n v="0.99019607843137258"/>
    <n v="1"/>
    <n v="-0.01"/>
    <s v="270"/>
    <m/>
    <n v="2"/>
    <n v="402"/>
    <n v="0.99504950495049505"/>
    <m/>
    <m/>
    <m/>
    <m/>
    <x v="0"/>
    <x v="0"/>
    <m/>
    <m/>
    <m/>
    <x v="0"/>
    <x v="0"/>
  </r>
  <r>
    <x v="317"/>
    <x v="115"/>
    <x v="104"/>
    <n v="7.6133333333333333"/>
    <n v="4.5"/>
    <n v="37"/>
    <n v="281.69333333333333"/>
    <n v="295"/>
    <n v="1327.5"/>
    <n v="1.0472381313011787"/>
    <n v="1"/>
    <n v="4.7E-2"/>
    <s v="328"/>
    <m/>
    <n v="2"/>
    <n v="293"/>
    <n v="0.99322033898305084"/>
    <s v="1140606-01A "/>
    <m/>
    <s v="因WHM-242白桶封膜封蓋機約11:00發生故障，工務無法立即排除故障，討論決議更換舊設備來生產，因當下約有2P的藍莓餡延遲約1小時40分未充填重工。(C3080藍莓餡208公斤重工)"/>
    <m/>
    <x v="0"/>
    <x v="0"/>
    <m/>
    <m/>
    <m/>
    <x v="0"/>
    <x v="0"/>
  </r>
  <r>
    <x v="317"/>
    <x v="67"/>
    <x v="58"/>
    <n v="8"/>
    <n v="4.5"/>
    <n v="33.200000000000003"/>
    <n v="265.60000000000002"/>
    <n v="270"/>
    <n v="1215"/>
    <n v="1.0165662650602409"/>
    <n v="1"/>
    <n v="1.7000000000000001E-2"/>
    <s v="195"/>
    <m/>
    <n v="0"/>
    <n v="270"/>
    <n v="1"/>
    <m/>
    <m/>
    <m/>
    <m/>
    <x v="0"/>
    <x v="0"/>
    <m/>
    <m/>
    <m/>
    <x v="0"/>
    <x v="0"/>
  </r>
  <r>
    <x v="317"/>
    <x v="9"/>
    <x v="9"/>
    <n v="12"/>
    <n v="6"/>
    <n v="25.7"/>
    <n v="308.39999999999998"/>
    <n v="304"/>
    <n v="1824"/>
    <n v="0.9857328145265889"/>
    <n v="1"/>
    <n v="-1.4E-2"/>
    <s v="200"/>
    <m/>
    <n v="1"/>
    <n v="303"/>
    <n v="0.99671052631578949"/>
    <m/>
    <m/>
    <m/>
    <m/>
    <x v="0"/>
    <x v="0"/>
    <m/>
    <m/>
    <m/>
    <x v="0"/>
    <x v="0"/>
  </r>
  <r>
    <x v="317"/>
    <x v="35"/>
    <x v="33"/>
    <n v="16"/>
    <n v="18"/>
    <n v="6.6"/>
    <n v="105.6"/>
    <n v="106"/>
    <n v="1908"/>
    <n v="1.0037878787878789"/>
    <n v="1"/>
    <n v="4.0000000000000001E-3"/>
    <s v="195"/>
    <m/>
    <n v="0"/>
    <n v="106"/>
    <n v="1"/>
    <m/>
    <m/>
    <m/>
    <m/>
    <x v="0"/>
    <x v="0"/>
    <m/>
    <m/>
    <m/>
    <x v="0"/>
    <x v="0"/>
  </r>
  <r>
    <x v="317"/>
    <x v="11"/>
    <x v="11"/>
    <n v="48"/>
    <n v="2.8"/>
    <n v="44.5"/>
    <n v="2007.4285714285713"/>
    <n v="2097"/>
    <n v="5871.5999999999995"/>
    <n v="1.0446199829205807"/>
    <n v="1"/>
    <n v="4.4999999999999998E-2"/>
    <s v="490"/>
    <m/>
    <n v="1"/>
    <n v="2096"/>
    <n v="0.9995231282784931"/>
    <m/>
    <n v="144"/>
    <s v="D9920(18KG)*20桶，特殊製程(1140507-01A)。"/>
    <m/>
    <x v="0"/>
    <x v="0"/>
    <m/>
    <m/>
    <m/>
    <x v="0"/>
    <x v="0"/>
  </r>
  <r>
    <x v="318"/>
    <x v="58"/>
    <x v="51"/>
    <n v="8"/>
    <n v="6"/>
    <n v="25.7"/>
    <n v="205.6"/>
    <n v="204"/>
    <n v="1224"/>
    <n v="0.99221789883268485"/>
    <n v="1"/>
    <n v="-8.0000000000000002E-3"/>
    <s v="120"/>
    <m/>
    <n v="1"/>
    <n v="203"/>
    <n v="0.99509803921568629"/>
    <m/>
    <m/>
    <m/>
    <m/>
    <x v="0"/>
    <x v="0"/>
    <m/>
    <m/>
    <m/>
    <x v="0"/>
    <x v="0"/>
  </r>
  <r>
    <x v="318"/>
    <x v="9"/>
    <x v="9"/>
    <n v="28"/>
    <n v="6"/>
    <n v="25.7"/>
    <n v="719.6"/>
    <n v="731"/>
    <n v="4386"/>
    <n v="1.0158421345191773"/>
    <n v="1"/>
    <n v="1.6E-2"/>
    <s v="340"/>
    <m/>
    <n v="1"/>
    <n v="730"/>
    <n v="0.99863201094391241"/>
    <m/>
    <m/>
    <m/>
    <m/>
    <x v="0"/>
    <x v="0"/>
    <m/>
    <m/>
    <m/>
    <x v="0"/>
    <x v="0"/>
  </r>
  <r>
    <x v="318"/>
    <x v="69"/>
    <x v="2"/>
    <n v="8"/>
    <n v="6"/>
    <n v="25.5"/>
    <n v="204"/>
    <n v="203"/>
    <n v="1218"/>
    <n v="0.99509803921568629"/>
    <n v="1"/>
    <n v="-5.0000000000000001E-3"/>
    <s v="402"/>
    <m/>
    <n v="1"/>
    <n v="202"/>
    <n v="0.99507389162561577"/>
    <m/>
    <m/>
    <m/>
    <m/>
    <x v="0"/>
    <x v="0"/>
    <m/>
    <m/>
    <m/>
    <x v="0"/>
    <x v="0"/>
  </r>
  <r>
    <x v="318"/>
    <x v="46"/>
    <x v="17"/>
    <n v="21"/>
    <n v="3"/>
    <n v="31.6"/>
    <n v="663.6"/>
    <n v="664"/>
    <n v="1992"/>
    <n v="1.0006027727546714"/>
    <n v="1"/>
    <n v="1E-3"/>
    <s v="550"/>
    <m/>
    <n v="0"/>
    <n v="664"/>
    <n v="1"/>
    <s v="1140604-01A"/>
    <m/>
    <s v="因溝通不良誤倒白油導致缺料(未告之應倒入鐵桶內有沙拉油的鐵桶，故而倒錯未加沙拉油的鐵桶造成第三趟製程中沙拉油短少約7.5公斤。)"/>
    <m/>
    <x v="0"/>
    <x v="0"/>
    <m/>
    <m/>
    <m/>
    <x v="0"/>
    <x v="0"/>
  </r>
  <r>
    <x v="318"/>
    <x v="11"/>
    <x v="11"/>
    <n v="72"/>
    <n v="2.8"/>
    <n v="44.5"/>
    <n v="3204"/>
    <n v="3252"/>
    <n v="9105.5999999999985"/>
    <n v="1.0149812734082397"/>
    <n v="1"/>
    <n v="1.4999999999999999E-2"/>
    <s v="660"/>
    <m/>
    <n v="1"/>
    <n v="3251"/>
    <n v="0.9996924969249692"/>
    <m/>
    <n v="116"/>
    <s v="特殊製程(1140507-01A)。"/>
    <m/>
    <x v="0"/>
    <x v="0"/>
    <m/>
    <m/>
    <m/>
    <x v="0"/>
    <x v="0"/>
  </r>
  <r>
    <x v="319"/>
    <x v="8"/>
    <x v="8"/>
    <n v="40"/>
    <n v="0.44"/>
    <n v="344"/>
    <n v="13760"/>
    <n v="13429"/>
    <n v="5908.76"/>
    <n v="0.97594476744186043"/>
    <n v="1"/>
    <n v="-2.4E-2"/>
    <s v="540"/>
    <m/>
    <n v="9"/>
    <n v="13420"/>
    <n v="0.99932980862312903"/>
    <m/>
    <m/>
    <m/>
    <m/>
    <x v="0"/>
    <x v="0"/>
    <m/>
    <m/>
    <m/>
    <x v="0"/>
    <x v="0"/>
  </r>
  <r>
    <x v="319"/>
    <x v="22"/>
    <x v="10"/>
    <n v="20"/>
    <n v="6"/>
    <n v="25.1"/>
    <n v="502"/>
    <n v="511"/>
    <n v="3066"/>
    <n v="1.0179282868525896"/>
    <n v="1"/>
    <n v="1.7999999999999999E-2"/>
    <s v="270"/>
    <m/>
    <n v="2"/>
    <n v="509"/>
    <n v="0.99608610567514677"/>
    <m/>
    <m/>
    <m/>
    <m/>
    <x v="0"/>
    <x v="0"/>
    <m/>
    <m/>
    <m/>
    <x v="0"/>
    <x v="0"/>
  </r>
  <r>
    <x v="319"/>
    <x v="10"/>
    <x v="10"/>
    <n v="20"/>
    <n v="6"/>
    <n v="25.4"/>
    <n v="508"/>
    <n v="512"/>
    <n v="3072"/>
    <n v="1.0078740157480315"/>
    <n v="1"/>
    <n v="8.0000000000000002E-3"/>
    <s v="312"/>
    <m/>
    <n v="3"/>
    <n v="509"/>
    <n v="0.994140625"/>
    <m/>
    <m/>
    <m/>
    <m/>
    <x v="0"/>
    <x v="0"/>
    <m/>
    <m/>
    <m/>
    <x v="0"/>
    <x v="0"/>
  </r>
  <r>
    <x v="319"/>
    <x v="41"/>
    <x v="39"/>
    <n v="72"/>
    <n v="2.8"/>
    <n v="44.2"/>
    <n v="3182.4"/>
    <n v="3159"/>
    <n v="8845.1999999999989"/>
    <n v="0.99264705882352944"/>
    <n v="1"/>
    <n v="-7.0000000000000001E-3"/>
    <s v="570"/>
    <m/>
    <n v="1"/>
    <n v="3158"/>
    <n v="0.99968344412788857"/>
    <m/>
    <m/>
    <m/>
    <m/>
    <x v="0"/>
    <x v="0"/>
    <m/>
    <m/>
    <m/>
    <x v="0"/>
    <x v="0"/>
  </r>
  <r>
    <x v="320"/>
    <x v="2"/>
    <x v="2"/>
    <n v="24"/>
    <n v="6"/>
    <n v="26.6"/>
    <n v="638.40000000000009"/>
    <n v="622"/>
    <n v="3732"/>
    <n v="0.97431077694235579"/>
    <n v="1"/>
    <n v="-2.5999999999999999E-2"/>
    <s v="300"/>
    <m/>
    <n v="3"/>
    <n v="619"/>
    <n v="0.99517684887459812"/>
    <m/>
    <m/>
    <m/>
    <m/>
    <x v="0"/>
    <x v="0"/>
    <m/>
    <m/>
    <m/>
    <x v="0"/>
    <x v="0"/>
  </r>
  <r>
    <x v="320"/>
    <x v="129"/>
    <x v="113"/>
    <n v="8"/>
    <n v="6"/>
    <n v="0"/>
    <n v="0"/>
    <n v="197"/>
    <n v="1182"/>
    <s v="無法預估數據"/>
    <e v="#N/A"/>
    <s v="無法預估數據"/>
    <s v="110"/>
    <m/>
    <n v="2"/>
    <n v="195"/>
    <n v="0.98984771573604058"/>
    <m/>
    <m/>
    <s v="新品。"/>
    <m/>
    <x v="0"/>
    <x v="0"/>
    <m/>
    <m/>
    <m/>
    <x v="0"/>
    <x v="0"/>
  </r>
  <r>
    <x v="320"/>
    <x v="130"/>
    <x v="114"/>
    <n v="8"/>
    <n v="6"/>
    <n v="0"/>
    <n v="0"/>
    <n v="206"/>
    <n v="1236"/>
    <s v="無法預估數據"/>
    <e v="#N/A"/>
    <s v="無法預估數據"/>
    <s v="160"/>
    <m/>
    <n v="1"/>
    <n v="205"/>
    <n v="0.99514563106796117"/>
    <m/>
    <m/>
    <s v="新品。"/>
    <m/>
    <x v="0"/>
    <x v="0"/>
    <m/>
    <m/>
    <m/>
    <x v="0"/>
    <x v="0"/>
  </r>
  <r>
    <x v="320"/>
    <x v="48"/>
    <x v="17"/>
    <n v="21"/>
    <n v="3"/>
    <n v="30.8"/>
    <n v="646.80000000000007"/>
    <n v="648"/>
    <n v="1944"/>
    <n v="1.0018552875695732"/>
    <n v="1"/>
    <n v="2E-3"/>
    <s v="540"/>
    <m/>
    <n v="0"/>
    <n v="648"/>
    <n v="1"/>
    <m/>
    <m/>
    <m/>
    <m/>
    <x v="0"/>
    <x v="0"/>
    <m/>
    <m/>
    <m/>
    <x v="0"/>
    <x v="0"/>
  </r>
  <r>
    <x v="320"/>
    <x v="11"/>
    <x v="11"/>
    <n v="32"/>
    <n v="2.8"/>
    <n v="44.5"/>
    <n v="1424"/>
    <n v="1413"/>
    <n v="3956.3999999999996"/>
    <n v="0.9922752808988764"/>
    <n v="1"/>
    <n v="-8.0000000000000002E-3"/>
    <s v="340"/>
    <m/>
    <n v="1"/>
    <n v="1412"/>
    <n v="0.99929228591648978"/>
    <m/>
    <m/>
    <m/>
    <m/>
    <x v="0"/>
    <x v="0"/>
    <m/>
    <m/>
    <m/>
    <x v="0"/>
    <x v="0"/>
  </r>
  <r>
    <x v="320"/>
    <x v="12"/>
    <x v="12"/>
    <n v="20"/>
    <n v="0.8"/>
    <n v="157.69999999999999"/>
    <n v="3154"/>
    <n v="3164"/>
    <n v="2531.2000000000003"/>
    <n v="1.0031705770450221"/>
    <n v="1"/>
    <n v="3.0000000000000001E-3"/>
    <s v="315"/>
    <m/>
    <n v="2"/>
    <n v="3162"/>
    <n v="0.99936788874841975"/>
    <m/>
    <m/>
    <m/>
    <m/>
    <x v="0"/>
    <x v="0"/>
    <m/>
    <m/>
    <m/>
    <x v="0"/>
    <x v="0"/>
  </r>
  <r>
    <x v="321"/>
    <x v="21"/>
    <x v="21"/>
    <n v="72"/>
    <n v="3.2"/>
    <n v="46.4"/>
    <n v="3340.7999999999997"/>
    <n v="3376"/>
    <n v="10803.2"/>
    <n v="1.0105363984674329"/>
    <n v="1"/>
    <n v="1.0999999999999999E-2"/>
    <s v="540"/>
    <m/>
    <n v="2"/>
    <n v="3374"/>
    <n v="0.99940758293838861"/>
    <m/>
    <m/>
    <m/>
    <m/>
    <x v="0"/>
    <x v="0"/>
    <m/>
    <m/>
    <m/>
    <x v="0"/>
    <x v="0"/>
  </r>
  <r>
    <x v="321"/>
    <x v="9"/>
    <x v="9"/>
    <n v="20"/>
    <n v="6"/>
    <n v="25.7"/>
    <n v="514"/>
    <n v="522"/>
    <n v="3132"/>
    <n v="1.0155642023346303"/>
    <n v="1"/>
    <n v="1.6E-2"/>
    <s v="450"/>
    <m/>
    <n v="1"/>
    <n v="521"/>
    <n v="0.99808429118773945"/>
    <m/>
    <m/>
    <m/>
    <m/>
    <x v="0"/>
    <x v="0"/>
    <m/>
    <m/>
    <m/>
    <x v="0"/>
    <x v="0"/>
  </r>
  <r>
    <x v="321"/>
    <x v="16"/>
    <x v="16"/>
    <n v="20"/>
    <n v="6"/>
    <n v="26.1"/>
    <n v="522"/>
    <n v="533"/>
    <n v="3198"/>
    <n v="1.0210727969348659"/>
    <n v="1"/>
    <n v="2.1000000000000001E-2"/>
    <s v="540"/>
    <m/>
    <n v="1"/>
    <n v="532"/>
    <n v="0.99812382739212002"/>
    <m/>
    <m/>
    <m/>
    <m/>
    <x v="0"/>
    <x v="0"/>
    <m/>
    <m/>
    <m/>
    <x v="0"/>
    <x v="0"/>
  </r>
  <r>
    <x v="321"/>
    <x v="61"/>
    <x v="33"/>
    <n v="24"/>
    <n v="18"/>
    <n v="6.9"/>
    <n v="165.60000000000002"/>
    <n v="170"/>
    <n v="3060"/>
    <n v="1.0265700483091786"/>
    <n v="1"/>
    <n v="2.7E-2"/>
    <s v="280"/>
    <m/>
    <n v="0"/>
    <n v="170"/>
    <n v="1"/>
    <m/>
    <m/>
    <m/>
    <m/>
    <x v="0"/>
    <x v="0"/>
    <m/>
    <m/>
    <m/>
    <x v="0"/>
    <x v="0"/>
  </r>
  <r>
    <x v="321"/>
    <x v="55"/>
    <x v="48"/>
    <n v="24"/>
    <n v="18"/>
    <n v="6.9"/>
    <n v="165.60000000000002"/>
    <n v="168"/>
    <n v="3024"/>
    <n v="1.0144927536231882"/>
    <n v="1"/>
    <n v="1.4E-2"/>
    <s v="265"/>
    <m/>
    <n v="0"/>
    <n v="168"/>
    <n v="1"/>
    <m/>
    <m/>
    <m/>
    <m/>
    <x v="0"/>
    <x v="0"/>
    <m/>
    <m/>
    <m/>
    <x v="0"/>
    <x v="0"/>
  </r>
  <r>
    <x v="321"/>
    <x v="87"/>
    <x v="79"/>
    <n v="2"/>
    <n v="1"/>
    <n v="243"/>
    <n v="486"/>
    <n v="520"/>
    <n v="520"/>
    <n v="1.0699588477366255"/>
    <n v="1"/>
    <n v="7.0000000000000007E-2"/>
    <s v="0"/>
    <m/>
    <n v="1"/>
    <n v="519"/>
    <n v="0.99807692307692308"/>
    <m/>
    <m/>
    <m/>
    <m/>
    <x v="0"/>
    <x v="0"/>
    <m/>
    <m/>
    <m/>
    <x v="0"/>
    <x v="0"/>
  </r>
  <r>
    <x v="322"/>
    <x v="9"/>
    <x v="9"/>
    <n v="16"/>
    <n v="6"/>
    <n v="25.7"/>
    <n v="411.2"/>
    <n v="413"/>
    <n v="2478"/>
    <n v="1.0043774319066148"/>
    <n v="1"/>
    <n v="4.0000000000000001E-3"/>
    <s v="210"/>
    <m/>
    <n v="1"/>
    <n v="412"/>
    <n v="0.99757869249394671"/>
    <m/>
    <m/>
    <m/>
    <m/>
    <x v="0"/>
    <x v="0"/>
    <m/>
    <m/>
    <m/>
    <x v="0"/>
    <x v="0"/>
  </r>
  <r>
    <x v="322"/>
    <x v="10"/>
    <x v="10"/>
    <n v="20"/>
    <n v="6"/>
    <n v="25.4"/>
    <n v="508"/>
    <n v="502"/>
    <n v="3012"/>
    <n v="0.98818897637795278"/>
    <n v="1"/>
    <n v="-1.2E-2"/>
    <s v="330"/>
    <m/>
    <n v="1"/>
    <n v="501"/>
    <n v="0.99800796812749004"/>
    <m/>
    <m/>
    <m/>
    <m/>
    <x v="0"/>
    <x v="0"/>
    <m/>
    <m/>
    <m/>
    <x v="0"/>
    <x v="0"/>
  </r>
  <r>
    <x v="322"/>
    <x v="17"/>
    <x v="17"/>
    <n v="21"/>
    <n v="3"/>
    <n v="29.7"/>
    <n v="623.69999999999993"/>
    <n v="632"/>
    <n v="1896"/>
    <n v="1.0133076799743468"/>
    <n v="1"/>
    <n v="1.2999999999999999E-2"/>
    <s v="540"/>
    <m/>
    <n v="0"/>
    <n v="632"/>
    <n v="1"/>
    <m/>
    <m/>
    <m/>
    <m/>
    <x v="0"/>
    <x v="0"/>
    <m/>
    <m/>
    <m/>
    <x v="0"/>
    <x v="0"/>
  </r>
  <r>
    <x v="322"/>
    <x v="11"/>
    <x v="11"/>
    <n v="72"/>
    <n v="2.8"/>
    <n v="44.5"/>
    <n v="3204"/>
    <n v="3213"/>
    <n v="8996.4"/>
    <n v="1.002808988764045"/>
    <n v="1"/>
    <n v="3.0000000000000001E-3"/>
    <s v="630"/>
    <m/>
    <n v="1"/>
    <n v="3212"/>
    <n v="0.99968876439464671"/>
    <m/>
    <m/>
    <s v="D2021美芝城*100箱(2027.06.10)"/>
    <m/>
    <x v="0"/>
    <x v="0"/>
    <m/>
    <m/>
    <m/>
    <x v="0"/>
    <x v="0"/>
  </r>
  <r>
    <x v="323"/>
    <x v="13"/>
    <x v="13"/>
    <n v="20"/>
    <n v="0.9"/>
    <n v="160.5"/>
    <n v="3210"/>
    <n v="3168"/>
    <n v="2851.2000000000003"/>
    <n v="0.98691588785046724"/>
    <n v="1"/>
    <n v="-1.2999999999999999E-2"/>
    <s v="270"/>
    <m/>
    <n v="3"/>
    <n v="3165"/>
    <n v="0.99905303030303028"/>
    <m/>
    <m/>
    <m/>
    <m/>
    <x v="0"/>
    <x v="0"/>
    <m/>
    <m/>
    <m/>
    <x v="0"/>
    <x v="0"/>
  </r>
  <r>
    <x v="323"/>
    <x v="15"/>
    <x v="15"/>
    <n v="32"/>
    <n v="3.2"/>
    <n v="46.8"/>
    <n v="1497.6"/>
    <n v="1511"/>
    <n v="4835.2"/>
    <n v="1.0089476495726497"/>
    <n v="1"/>
    <n v="8.9999999999999993E-3"/>
    <s v="270"/>
    <m/>
    <n v="2"/>
    <n v="1509"/>
    <n v="0.99867637326273995"/>
    <m/>
    <m/>
    <m/>
    <m/>
    <x v="0"/>
    <x v="0"/>
    <m/>
    <m/>
    <m/>
    <x v="0"/>
    <x v="0"/>
  </r>
  <r>
    <x v="323"/>
    <x v="9"/>
    <x v="9"/>
    <n v="20"/>
    <n v="6"/>
    <n v="25.7"/>
    <n v="514"/>
    <n v="516"/>
    <n v="3096"/>
    <n v="1.0038910505836576"/>
    <n v="1"/>
    <n v="4.0000000000000001E-3"/>
    <s v="307"/>
    <m/>
    <n v="1"/>
    <n v="515"/>
    <n v="0.99806201550387597"/>
    <m/>
    <m/>
    <m/>
    <m/>
    <x v="0"/>
    <x v="0"/>
    <m/>
    <m/>
    <m/>
    <x v="0"/>
    <x v="0"/>
  </r>
  <r>
    <x v="323"/>
    <x v="127"/>
    <x v="75"/>
    <n v="6"/>
    <n v="6"/>
    <n v="25.8"/>
    <n v="154.80000000000001"/>
    <n v="186"/>
    <n v="1116"/>
    <n v="1.2015503875968991"/>
    <e v="#N/A"/>
    <e v="#N/A"/>
    <s v="170"/>
    <m/>
    <n v="1"/>
    <n v="185"/>
    <n v="0.9946236559139785"/>
    <m/>
    <n v="180"/>
    <s v="特殊製程"/>
    <m/>
    <x v="0"/>
    <x v="0"/>
    <m/>
    <m/>
    <m/>
    <x v="0"/>
    <x v="0"/>
  </r>
  <r>
    <x v="323"/>
    <x v="45"/>
    <x v="10"/>
    <n v="8"/>
    <n v="6"/>
    <n v="26.4"/>
    <n v="211.2"/>
    <n v="211"/>
    <n v="1266"/>
    <n v="0.99905303030303039"/>
    <n v="1"/>
    <n v="-1E-3"/>
    <s v="151"/>
    <m/>
    <n v="1"/>
    <n v="210"/>
    <n v="0.99526066350710896"/>
    <m/>
    <m/>
    <m/>
    <m/>
    <x v="0"/>
    <x v="0"/>
    <m/>
    <m/>
    <m/>
    <x v="0"/>
    <x v="0"/>
  </r>
  <r>
    <x v="323"/>
    <x v="11"/>
    <x v="11"/>
    <n v="72"/>
    <n v="2.8"/>
    <n v="44.5"/>
    <n v="3204"/>
    <n v="3213"/>
    <n v="8996.4"/>
    <n v="1.002808988764045"/>
    <n v="1"/>
    <n v="3.0000000000000001E-3"/>
    <s v="630"/>
    <m/>
    <n v="1"/>
    <n v="3212"/>
    <n v="0.99968876439464671"/>
    <m/>
    <m/>
    <m/>
    <m/>
    <x v="0"/>
    <x v="0"/>
    <m/>
    <m/>
    <m/>
    <x v="0"/>
    <x v="0"/>
  </r>
  <r>
    <x v="324"/>
    <x v="47"/>
    <x v="42"/>
    <n v="12"/>
    <n v="6"/>
    <n v="25.6"/>
    <n v="307.20000000000005"/>
    <n v="309"/>
    <n v="1854"/>
    <n v="1.0058593749999998"/>
    <n v="1"/>
    <n v="6.0000000000000001E-3"/>
    <s v="192"/>
    <m/>
    <n v="2"/>
    <n v="307"/>
    <n v="0.99352750809061485"/>
    <m/>
    <m/>
    <m/>
    <m/>
    <x v="0"/>
    <x v="0"/>
    <m/>
    <m/>
    <m/>
    <x v="0"/>
    <x v="0"/>
  </r>
  <r>
    <x v="324"/>
    <x v="36"/>
    <x v="34"/>
    <n v="6"/>
    <n v="6"/>
    <n v="24.3"/>
    <n v="145.80000000000001"/>
    <n v="148"/>
    <n v="888"/>
    <n v="1.0150891632373114"/>
    <n v="1"/>
    <n v="1.4999999999999999E-2"/>
    <s v="245"/>
    <m/>
    <n v="1"/>
    <n v="147"/>
    <n v="0.9932432432432432"/>
    <m/>
    <m/>
    <m/>
    <m/>
    <x v="0"/>
    <x v="0"/>
    <m/>
    <m/>
    <m/>
    <x v="0"/>
    <x v="0"/>
  </r>
  <r>
    <x v="324"/>
    <x v="130"/>
    <x v="114"/>
    <n v="8"/>
    <n v="6"/>
    <n v="0"/>
    <n v="0"/>
    <n v="208"/>
    <n v="1248"/>
    <s v="無法預估數據"/>
    <e v="#N/A"/>
    <s v="無法預估數據"/>
    <s v="170"/>
    <m/>
    <n v="2"/>
    <n v="206"/>
    <n v="0.99038461538461542"/>
    <m/>
    <m/>
    <m/>
    <m/>
    <x v="0"/>
    <x v="0"/>
    <m/>
    <m/>
    <m/>
    <x v="0"/>
    <x v="0"/>
  </r>
  <r>
    <x v="324"/>
    <x v="63"/>
    <x v="54"/>
    <n v="4"/>
    <n v="0.21"/>
    <n v="698.4"/>
    <n v="2793.6"/>
    <n v="2731"/>
    <n v="573.51"/>
    <n v="0.97759163802978244"/>
    <n v="1"/>
    <n v="-2.1999999999999999E-2"/>
    <s v="200"/>
    <m/>
    <n v="0"/>
    <n v="2731"/>
    <n v="1"/>
    <m/>
    <m/>
    <m/>
    <m/>
    <x v="0"/>
    <x v="0"/>
    <m/>
    <m/>
    <m/>
    <x v="0"/>
    <x v="0"/>
  </r>
  <r>
    <x v="324"/>
    <x v="39"/>
    <x v="37"/>
    <n v="12"/>
    <n v="4.5"/>
    <n v="36"/>
    <n v="432"/>
    <n v="432"/>
    <n v="1944"/>
    <n v="1"/>
    <n v="1"/>
    <n v="0"/>
    <s v="296"/>
    <m/>
    <n v="0"/>
    <n v="432"/>
    <n v="1"/>
    <m/>
    <m/>
    <m/>
    <m/>
    <x v="0"/>
    <x v="0"/>
    <m/>
    <m/>
    <m/>
    <x v="0"/>
    <x v="0"/>
  </r>
  <r>
    <x v="324"/>
    <x v="65"/>
    <x v="56"/>
    <n v="12"/>
    <n v="9.5"/>
    <n v="16.600000000000001"/>
    <n v="199.20000000000002"/>
    <n v="198"/>
    <n v="1881"/>
    <n v="0.99397590361445776"/>
    <n v="1"/>
    <n v="-6.0000000000000001E-3"/>
    <s v="450"/>
    <m/>
    <n v="0"/>
    <n v="198"/>
    <n v="1"/>
    <m/>
    <m/>
    <m/>
    <m/>
    <x v="0"/>
    <x v="0"/>
    <m/>
    <m/>
    <m/>
    <x v="0"/>
    <x v="0"/>
  </r>
  <r>
    <x v="324"/>
    <x v="18"/>
    <x v="18"/>
    <n v="12"/>
    <n v="6"/>
    <n v="26.4"/>
    <n v="316.79999999999995"/>
    <n v="324"/>
    <n v="1944"/>
    <n v="1.0227272727272729"/>
    <n v="1"/>
    <n v="2.3E-2"/>
    <s v="228"/>
    <m/>
    <n v="1"/>
    <n v="323"/>
    <n v="0.99691358024691357"/>
    <m/>
    <m/>
    <m/>
    <m/>
    <x v="0"/>
    <x v="0"/>
    <m/>
    <m/>
    <m/>
    <x v="0"/>
    <x v="0"/>
  </r>
  <r>
    <x v="324"/>
    <x v="41"/>
    <x v="39"/>
    <n v="72"/>
    <n v="2.8"/>
    <n v="44.2"/>
    <n v="3182.4"/>
    <n v="3166"/>
    <n v="8864.7999999999993"/>
    <n v="0.99484665661136251"/>
    <n v="1"/>
    <n v="-5.0000000000000001E-3"/>
    <s v="495"/>
    <m/>
    <n v="1"/>
    <n v="3165"/>
    <n v="0.99968414403032213"/>
    <m/>
    <m/>
    <m/>
    <m/>
    <x v="0"/>
    <x v="0"/>
    <m/>
    <m/>
    <m/>
    <x v="0"/>
    <x v="0"/>
  </r>
  <r>
    <x v="324"/>
    <x v="96"/>
    <x v="87"/>
    <n v="50"/>
    <n v="1"/>
    <n v="5.7"/>
    <n v="285"/>
    <n v="286"/>
    <n v="286"/>
    <n v="1.0035087719298246"/>
    <n v="1"/>
    <n v="4.0000000000000001E-3"/>
    <s v="0"/>
    <m/>
    <n v="0"/>
    <n v="286"/>
    <n v="1"/>
    <m/>
    <m/>
    <m/>
    <m/>
    <x v="0"/>
    <x v="0"/>
    <m/>
    <m/>
    <m/>
    <x v="0"/>
    <x v="0"/>
  </r>
  <r>
    <x v="325"/>
    <x v="15"/>
    <x v="15"/>
    <n v="72"/>
    <n v="3.2"/>
    <n v="46.8"/>
    <n v="3369.6"/>
    <n v="3364"/>
    <n v="10764.800000000001"/>
    <n v="0.99833808167141502"/>
    <n v="1"/>
    <n v="-2E-3"/>
    <s v="540"/>
    <m/>
    <n v="3"/>
    <n v="3361"/>
    <n v="0.99910820451843041"/>
    <m/>
    <m/>
    <m/>
    <m/>
    <x v="0"/>
    <x v="0"/>
    <m/>
    <m/>
    <m/>
    <x v="0"/>
    <x v="0"/>
  </r>
  <r>
    <x v="325"/>
    <x v="9"/>
    <x v="9"/>
    <n v="20"/>
    <n v="6"/>
    <n v="25.7"/>
    <n v="514"/>
    <n v="532"/>
    <n v="3192"/>
    <n v="1.0350194552529184"/>
    <n v="1"/>
    <n v="3.5000000000000003E-2"/>
    <s v="322"/>
    <m/>
    <n v="2"/>
    <n v="530"/>
    <n v="0.99624060150375937"/>
    <m/>
    <m/>
    <m/>
    <m/>
    <x v="0"/>
    <x v="0"/>
    <m/>
    <m/>
    <m/>
    <x v="0"/>
    <x v="0"/>
  </r>
  <r>
    <x v="325"/>
    <x v="19"/>
    <x v="19"/>
    <n v="12"/>
    <n v="6"/>
    <n v="25.5"/>
    <n v="306"/>
    <n v="307"/>
    <n v="1842"/>
    <n v="1.0032679738562091"/>
    <n v="1"/>
    <n v="3.0000000000000001E-3"/>
    <s v="178"/>
    <m/>
    <n v="1"/>
    <n v="306"/>
    <n v="0.99674267100977199"/>
    <m/>
    <m/>
    <m/>
    <m/>
    <x v="0"/>
    <x v="0"/>
    <m/>
    <m/>
    <m/>
    <x v="0"/>
    <x v="0"/>
  </r>
  <r>
    <x v="325"/>
    <x v="69"/>
    <x v="2"/>
    <n v="4"/>
    <n v="6"/>
    <n v="25.5"/>
    <n v="102"/>
    <n v="96"/>
    <n v="576"/>
    <n v="0.94117647058823528"/>
    <n v="1"/>
    <n v="-5.8999999999999997E-2"/>
    <s v="510"/>
    <m/>
    <n v="1"/>
    <n v="95"/>
    <n v="0.98958333333333337"/>
    <m/>
    <m/>
    <m/>
    <m/>
    <x v="0"/>
    <x v="0"/>
    <m/>
    <m/>
    <m/>
    <x v="0"/>
    <x v="0"/>
  </r>
  <r>
    <x v="325"/>
    <x v="6"/>
    <x v="6"/>
    <n v="36"/>
    <n v="0.4"/>
    <n v="309.2"/>
    <n v="11131.199999999999"/>
    <n v="11037"/>
    <n v="4414.8"/>
    <n v="0.99153730056058653"/>
    <n v="1"/>
    <n v="-8.0000000000000002E-3"/>
    <s v="505"/>
    <m/>
    <n v="3"/>
    <n v="11034"/>
    <n v="0.9997281870073389"/>
    <m/>
    <m/>
    <m/>
    <m/>
    <x v="0"/>
    <x v="0"/>
    <m/>
    <m/>
    <m/>
    <x v="0"/>
    <x v="0"/>
  </r>
  <r>
    <x v="326"/>
    <x v="30"/>
    <x v="28"/>
    <n v="8"/>
    <n v="0.43"/>
    <n v="340.4"/>
    <n v="2723.2"/>
    <n v="2668"/>
    <n v="1147.24"/>
    <n v="0.97972972972972983"/>
    <n v="1"/>
    <n v="-0.02"/>
    <s v="150"/>
    <m/>
    <n v="4"/>
    <n v="2664"/>
    <n v="0.99850074962518742"/>
    <m/>
    <m/>
    <m/>
    <m/>
    <x v="0"/>
    <x v="0"/>
    <m/>
    <m/>
    <m/>
    <x v="0"/>
    <x v="0"/>
  </r>
  <r>
    <x v="326"/>
    <x v="71"/>
    <x v="61"/>
    <n v="4"/>
    <n v="0.17"/>
    <n v="912.6"/>
    <n v="3650.4"/>
    <n v="3463"/>
    <n v="588.71"/>
    <n v="0.94866316020162167"/>
    <n v="1"/>
    <n v="-5.0999999999999997E-2"/>
    <s v="210"/>
    <m/>
    <n v="8"/>
    <n v="3455"/>
    <n v="0.99768986427952644"/>
    <m/>
    <m/>
    <m/>
    <m/>
    <x v="0"/>
    <x v="0"/>
    <m/>
    <m/>
    <m/>
    <x v="0"/>
    <x v="0"/>
  </r>
  <r>
    <x v="326"/>
    <x v="43"/>
    <x v="41"/>
    <n v="16"/>
    <n v="0.26"/>
    <n v="584.29999999999995"/>
    <n v="9348.7999999999993"/>
    <n v="9234"/>
    <n v="2400.84"/>
    <n v="0.98772034913571805"/>
    <n v="1"/>
    <n v="-1.2E-2"/>
    <s v="270"/>
    <m/>
    <n v="22"/>
    <n v="9212"/>
    <n v="0.99761750054147713"/>
    <m/>
    <m/>
    <m/>
    <m/>
    <x v="0"/>
    <x v="0"/>
    <m/>
    <m/>
    <m/>
    <x v="0"/>
    <x v="0"/>
  </r>
  <r>
    <x v="326"/>
    <x v="9"/>
    <x v="9"/>
    <n v="20"/>
    <n v="6"/>
    <n v="25.7"/>
    <n v="514"/>
    <n v="519"/>
    <n v="3114"/>
    <n v="1.0097276264591439"/>
    <n v="1"/>
    <n v="0.01"/>
    <s v="317"/>
    <m/>
    <n v="1"/>
    <n v="518"/>
    <n v="0.9980732177263969"/>
    <m/>
    <m/>
    <m/>
    <m/>
    <x v="0"/>
    <x v="0"/>
    <m/>
    <m/>
    <m/>
    <x v="0"/>
    <x v="0"/>
  </r>
  <r>
    <x v="326"/>
    <x v="122"/>
    <x v="111"/>
    <n v="16"/>
    <n v="6"/>
    <n v="0"/>
    <n v="0"/>
    <n v="403"/>
    <n v="2418"/>
    <s v="無法預估數據"/>
    <e v="#N/A"/>
    <s v="無法預估數據"/>
    <s v="240"/>
    <m/>
    <n v="2"/>
    <n v="401"/>
    <n v="0.99503722084367241"/>
    <m/>
    <m/>
    <m/>
    <m/>
    <x v="0"/>
    <x v="0"/>
    <m/>
    <m/>
    <m/>
    <x v="0"/>
    <x v="0"/>
  </r>
  <r>
    <x v="326"/>
    <x v="131"/>
    <x v="105"/>
    <n v="4"/>
    <n v="6"/>
    <n v="25.2"/>
    <n v="100.8"/>
    <n v="107"/>
    <n v="642"/>
    <n v="1.0615079365079365"/>
    <e v="#N/A"/>
    <e v="#N/A"/>
    <s v="106"/>
    <m/>
    <n v="3"/>
    <n v="104"/>
    <n v="0.9719626168224299"/>
    <m/>
    <n v="48"/>
    <s v="特殊製程(下市)"/>
    <m/>
    <x v="0"/>
    <x v="0"/>
    <m/>
    <m/>
    <m/>
    <x v="0"/>
    <x v="0"/>
  </r>
  <r>
    <x v="326"/>
    <x v="11"/>
    <x v="11"/>
    <n v="72"/>
    <n v="2.8"/>
    <n v="44.5"/>
    <n v="3043.2857142857142"/>
    <n v="3076"/>
    <n v="8612.7999999999993"/>
    <n v="1.0107496596723466"/>
    <n v="1"/>
    <n v="1.0999999999999999E-2"/>
    <s v="650"/>
    <m/>
    <n v="2"/>
    <n v="3074"/>
    <n v="0.9993498049414824"/>
    <m/>
    <m/>
    <s v="D2021美芝城*50箱，D9920(18kg)*25桶"/>
    <m/>
    <x v="0"/>
    <x v="0"/>
    <m/>
    <m/>
    <m/>
    <x v="0"/>
    <x v="0"/>
  </r>
  <r>
    <x v="326"/>
    <x v="94"/>
    <x v="85"/>
    <n v="1"/>
    <n v="1"/>
    <n v="591"/>
    <n v="591"/>
    <n v="552"/>
    <n v="552"/>
    <n v="0.93401015228426398"/>
    <n v="1"/>
    <n v="-6.6000000000000003E-2"/>
    <s v="0"/>
    <m/>
    <n v="0"/>
    <n v="552"/>
    <n v="1"/>
    <m/>
    <m/>
    <s v="(舊)"/>
    <m/>
    <x v="0"/>
    <x v="0"/>
    <m/>
    <m/>
    <m/>
    <x v="0"/>
    <x v="0"/>
  </r>
  <r>
    <x v="326"/>
    <x v="90"/>
    <x v="81"/>
    <n v="1"/>
    <n v="1"/>
    <n v="670"/>
    <n v="670"/>
    <n v="367"/>
    <n v="367"/>
    <n v="0.5477611940298508"/>
    <n v="1"/>
    <n v="-0.45200000000000001"/>
    <s v="0"/>
    <m/>
    <n v="0"/>
    <n v="367"/>
    <n v="1"/>
    <m/>
    <m/>
    <s v="2025/05/20包裝"/>
    <m/>
    <x v="0"/>
    <x v="0"/>
    <m/>
    <m/>
    <m/>
    <x v="0"/>
    <x v="0"/>
  </r>
  <r>
    <x v="327"/>
    <x v="15"/>
    <x v="15"/>
    <n v="68"/>
    <n v="3.2"/>
    <n v="46.8"/>
    <n v="3182.3999999999996"/>
    <n v="3212"/>
    <n v="10278.400000000001"/>
    <n v="1.0093011563599801"/>
    <n v="1"/>
    <n v="8.9999999999999993E-3"/>
    <s v="485"/>
    <m/>
    <n v="2"/>
    <n v="3210"/>
    <n v="0.99937733499377335"/>
    <m/>
    <m/>
    <m/>
    <m/>
    <x v="0"/>
    <x v="0"/>
    <m/>
    <m/>
    <m/>
    <x v="0"/>
    <x v="0"/>
  </r>
  <r>
    <x v="327"/>
    <x v="132"/>
    <x v="15"/>
    <n v="4"/>
    <n v="3.2"/>
    <n v="46.8"/>
    <n v="187.2"/>
    <n v="162"/>
    <n v="518.4"/>
    <n v="0.86538461538461542"/>
    <e v="#N/A"/>
    <e v="#N/A"/>
    <s v="120"/>
    <m/>
    <n v="3"/>
    <n v="159"/>
    <n v="0.98148148148148151"/>
    <m/>
    <m/>
    <s v="研發測試草莓原料。"/>
    <m/>
    <x v="0"/>
    <x v="0"/>
    <m/>
    <m/>
    <m/>
    <x v="0"/>
    <x v="0"/>
  </r>
  <r>
    <x v="327"/>
    <x v="10"/>
    <x v="10"/>
    <n v="24"/>
    <n v="6"/>
    <n v="25.4"/>
    <n v="609.59999999999991"/>
    <n v="613"/>
    <n v="3678"/>
    <n v="1.0055774278215224"/>
    <n v="1"/>
    <n v="6.0000000000000001E-3"/>
    <s v="348"/>
    <m/>
    <n v="1"/>
    <n v="612"/>
    <n v="0.99836867862969003"/>
    <m/>
    <m/>
    <m/>
    <m/>
    <x v="0"/>
    <x v="0"/>
    <m/>
    <m/>
    <m/>
    <x v="0"/>
    <x v="0"/>
  </r>
  <r>
    <x v="327"/>
    <x v="22"/>
    <x v="10"/>
    <n v="16"/>
    <n v="6"/>
    <n v="25.1"/>
    <n v="401.6"/>
    <n v="405"/>
    <n v="2430"/>
    <n v="1.0084661354581672"/>
    <n v="1"/>
    <n v="8.0000000000000002E-3"/>
    <s v="235"/>
    <m/>
    <n v="1"/>
    <n v="404"/>
    <n v="0.9975308641975309"/>
    <m/>
    <m/>
    <m/>
    <m/>
    <x v="0"/>
    <x v="0"/>
    <m/>
    <m/>
    <m/>
    <x v="0"/>
    <x v="0"/>
  </r>
  <r>
    <x v="327"/>
    <x v="24"/>
    <x v="23"/>
    <n v="16"/>
    <n v="0.34"/>
    <n v="366"/>
    <n v="5856"/>
    <n v="5916"/>
    <n v="2011.44"/>
    <n v="1.0102459016393444"/>
    <n v="1"/>
    <n v="0.01"/>
    <s v="400"/>
    <m/>
    <n v="5"/>
    <n v="5911"/>
    <n v="0.99915483434753216"/>
    <m/>
    <m/>
    <s v="佳樂美E0121*200箱(2026.06.17)"/>
    <m/>
    <x v="0"/>
    <x v="0"/>
    <m/>
    <m/>
    <m/>
    <x v="0"/>
    <x v="0"/>
  </r>
  <r>
    <x v="327"/>
    <x v="64"/>
    <x v="55"/>
    <n v="8"/>
    <n v="0.28999999999999998"/>
    <n v="412.6"/>
    <n v="3300.8"/>
    <n v="3424"/>
    <n v="992.95999999999992"/>
    <n v="1.0373242850218127"/>
    <n v="1"/>
    <n v="3.6999999999999998E-2"/>
    <s v="240"/>
    <m/>
    <n v="3"/>
    <n v="3421"/>
    <n v="0.99912383177570097"/>
    <m/>
    <m/>
    <s v="充填281g~285g"/>
    <m/>
    <x v="0"/>
    <x v="0"/>
    <m/>
    <m/>
    <m/>
    <x v="0"/>
    <x v="0"/>
  </r>
  <r>
    <x v="328"/>
    <x v="2"/>
    <x v="2"/>
    <n v="30"/>
    <n v="6"/>
    <n v="26.6"/>
    <n v="798"/>
    <n v="778"/>
    <n v="4668"/>
    <n v="0.97493734335839599"/>
    <n v="1"/>
    <n v="-2.5000000000000001E-2"/>
    <s v="448"/>
    <m/>
    <n v="1"/>
    <n v="777"/>
    <n v="0.99871465295629824"/>
    <m/>
    <m/>
    <m/>
    <m/>
    <x v="0"/>
    <x v="0"/>
    <m/>
    <m/>
    <m/>
    <x v="0"/>
    <x v="0"/>
  </r>
  <r>
    <x v="328"/>
    <x v="1"/>
    <x v="1"/>
    <n v="6"/>
    <n v="6"/>
    <n v="25.7"/>
    <n v="154.19999999999999"/>
    <n v="145"/>
    <n v="870"/>
    <n v="0.94033722438391709"/>
    <n v="1"/>
    <n v="-0.06"/>
    <s v="160"/>
    <m/>
    <n v="1"/>
    <n v="144"/>
    <n v="0.99310344827586206"/>
    <m/>
    <m/>
    <m/>
    <m/>
    <x v="0"/>
    <x v="0"/>
    <m/>
    <m/>
    <m/>
    <x v="0"/>
    <x v="0"/>
  </r>
  <r>
    <x v="328"/>
    <x v="133"/>
    <x v="115"/>
    <n v="32"/>
    <n v="4.5"/>
    <n v="33.200000000000003"/>
    <n v="1062.4000000000001"/>
    <n v="1117"/>
    <n v="5026.5"/>
    <n v="1.0513930722891565"/>
    <e v="#N/A"/>
    <e v="#N/A"/>
    <s v="450"/>
    <m/>
    <n v="0"/>
    <n v="1117"/>
    <n v="1"/>
    <m/>
    <m/>
    <m/>
    <m/>
    <x v="0"/>
    <x v="0"/>
    <m/>
    <m/>
    <m/>
    <x v="0"/>
    <x v="0"/>
  </r>
  <r>
    <x v="328"/>
    <x v="59"/>
    <x v="52"/>
    <n v="8"/>
    <n v="4.5"/>
    <n v="34.9"/>
    <n v="279.2"/>
    <n v="294"/>
    <n v="1323"/>
    <n v="1.0530085959885387"/>
    <n v="1"/>
    <n v="5.2999999999999999E-2"/>
    <s v="164"/>
    <m/>
    <n v="0"/>
    <n v="294"/>
    <n v="1"/>
    <m/>
    <m/>
    <m/>
    <m/>
    <x v="0"/>
    <x v="0"/>
    <m/>
    <m/>
    <m/>
    <x v="0"/>
    <x v="0"/>
  </r>
  <r>
    <x v="328"/>
    <x v="11"/>
    <x v="11"/>
    <n v="80"/>
    <n v="2.8"/>
    <n v="44.5"/>
    <n v="3560"/>
    <n v="3217"/>
    <n v="9007.5999999999985"/>
    <n v="0.90365168539325846"/>
    <n v="1"/>
    <n v="-9.6000000000000002E-2"/>
    <s v="690"/>
    <m/>
    <n v="7"/>
    <n v="3210"/>
    <n v="0.99782405968293442"/>
    <s v="1140618-01A "/>
    <m/>
    <s v="晚上8:38分通報因泵浦軸封漏水滲漏到冰水熱交換機，導致花生充填管路無法充填。由於現場人員無法即時排除故障，故將剩餘放置在真空鍋未降溫餘料漏出，以鐵桶盛裝備妥，待下次重工使用。"/>
    <m/>
    <x v="0"/>
    <x v="0"/>
    <m/>
    <m/>
    <m/>
    <x v="0"/>
    <x v="0"/>
  </r>
  <r>
    <x v="329"/>
    <x v="125"/>
    <x v="72"/>
    <n v="6"/>
    <n v="6"/>
    <n v="25.6"/>
    <n v="153.60000000000002"/>
    <n v="157"/>
    <n v="942"/>
    <n v="1.0221354166666665"/>
    <e v="#N/A"/>
    <e v="#N/A"/>
    <s v="135"/>
    <m/>
    <n v="1"/>
    <n v="156"/>
    <n v="0.99363057324840764"/>
    <m/>
    <m/>
    <m/>
    <m/>
    <x v="0"/>
    <x v="0"/>
    <m/>
    <m/>
    <m/>
    <x v="0"/>
    <x v="0"/>
  </r>
  <r>
    <x v="329"/>
    <x v="18"/>
    <x v="18"/>
    <n v="8"/>
    <n v="6"/>
    <n v="26.4"/>
    <n v="211.2"/>
    <n v="212"/>
    <n v="1272"/>
    <n v="1.0037878787878789"/>
    <n v="1"/>
    <n v="4.0000000000000001E-3"/>
    <s v="140"/>
    <m/>
    <n v="1"/>
    <n v="211"/>
    <n v="0.99528301886792447"/>
    <m/>
    <m/>
    <m/>
    <m/>
    <x v="0"/>
    <x v="0"/>
    <m/>
    <m/>
    <m/>
    <x v="0"/>
    <x v="0"/>
  </r>
  <r>
    <x v="329"/>
    <x v="9"/>
    <x v="9"/>
    <n v="24"/>
    <n v="6"/>
    <n v="25.7"/>
    <n v="616.79999999999995"/>
    <n v="624"/>
    <n v="3744"/>
    <n v="1.0116731517509729"/>
    <n v="1"/>
    <n v="1.2E-2"/>
    <s v="335"/>
    <m/>
    <n v="1"/>
    <n v="623"/>
    <n v="0.9983974358974359"/>
    <m/>
    <m/>
    <m/>
    <m/>
    <x v="0"/>
    <x v="0"/>
    <m/>
    <m/>
    <m/>
    <x v="0"/>
    <x v="0"/>
  </r>
  <r>
    <x v="329"/>
    <x v="17"/>
    <x v="17"/>
    <n v="21"/>
    <n v="3"/>
    <n v="29.7"/>
    <n v="623.69999999999993"/>
    <n v="632"/>
    <n v="1896"/>
    <n v="1.0133076799743468"/>
    <n v="1"/>
    <n v="1.2999999999999999E-2"/>
    <s v="540"/>
    <m/>
    <n v="0"/>
    <n v="632"/>
    <n v="1"/>
    <m/>
    <m/>
    <m/>
    <m/>
    <x v="0"/>
    <x v="0"/>
    <m/>
    <m/>
    <m/>
    <x v="0"/>
    <x v="0"/>
  </r>
  <r>
    <x v="329"/>
    <x v="41"/>
    <x v="39"/>
    <n v="40"/>
    <n v="2.8"/>
    <n v="44.2"/>
    <n v="1768"/>
    <n v="1773"/>
    <n v="4964.3999999999996"/>
    <n v="1.0028280542986425"/>
    <n v="1"/>
    <n v="3.0000000000000001E-3"/>
    <s v="455"/>
    <m/>
    <n v="1"/>
    <n v="1772"/>
    <n v="0.99943598420755786"/>
    <m/>
    <m/>
    <m/>
    <m/>
    <x v="0"/>
    <x v="0"/>
    <m/>
    <m/>
    <m/>
    <x v="0"/>
    <x v="0"/>
  </r>
  <r>
    <x v="330"/>
    <x v="8"/>
    <x v="8"/>
    <n v="40"/>
    <n v="0.44"/>
    <n v="344"/>
    <n v="13760"/>
    <n v="13660"/>
    <n v="6010.4"/>
    <n v="0.99273255813953487"/>
    <n v="1"/>
    <n v="-7.0000000000000001E-3"/>
    <s v="540"/>
    <m/>
    <n v="9"/>
    <n v="13651"/>
    <n v="0.99934114202049784"/>
    <m/>
    <m/>
    <m/>
    <m/>
    <x v="0"/>
    <x v="0"/>
    <m/>
    <m/>
    <m/>
    <x v="0"/>
    <x v="0"/>
  </r>
  <r>
    <x v="330"/>
    <x v="9"/>
    <x v="9"/>
    <n v="24"/>
    <n v="6"/>
    <n v="25.7"/>
    <n v="616.79999999999995"/>
    <n v="626"/>
    <n v="3756"/>
    <n v="1.0149156939040209"/>
    <n v="1"/>
    <n v="1.4999999999999999E-2"/>
    <s v="302"/>
    <m/>
    <n v="2"/>
    <n v="624"/>
    <n v="0.99680511182108622"/>
    <m/>
    <m/>
    <m/>
    <m/>
    <x v="0"/>
    <x v="0"/>
    <m/>
    <m/>
    <m/>
    <x v="0"/>
    <x v="0"/>
  </r>
  <r>
    <x v="330"/>
    <x v="74"/>
    <x v="64"/>
    <n v="6"/>
    <n v="6"/>
    <n v="25.2"/>
    <n v="151.19999999999999"/>
    <n v="155"/>
    <n v="930"/>
    <n v="1.0251322751322751"/>
    <n v="1"/>
    <n v="2.5000000000000001E-2"/>
    <s v="160"/>
    <m/>
    <n v="2"/>
    <n v="153"/>
    <n v="0.98709677419354835"/>
    <m/>
    <m/>
    <m/>
    <m/>
    <x v="0"/>
    <x v="0"/>
    <m/>
    <m/>
    <m/>
    <x v="0"/>
    <x v="0"/>
  </r>
  <r>
    <x v="330"/>
    <x v="129"/>
    <x v="113"/>
    <n v="8"/>
    <n v="6"/>
    <n v="0"/>
    <n v="0"/>
    <n v="203"/>
    <n v="1218"/>
    <s v="無法預估數據"/>
    <e v="#N/A"/>
    <s v="無法預估數據"/>
    <s v="166"/>
    <m/>
    <n v="1"/>
    <n v="202"/>
    <n v="0.99507389162561577"/>
    <m/>
    <m/>
    <m/>
    <m/>
    <x v="0"/>
    <x v="0"/>
    <m/>
    <m/>
    <m/>
    <x v="0"/>
    <x v="0"/>
  </r>
  <r>
    <x v="330"/>
    <x v="41"/>
    <x v="39"/>
    <n v="52"/>
    <n v="2.8"/>
    <n v="44.2"/>
    <n v="2298.4"/>
    <n v="2260"/>
    <n v="6328"/>
    <n v="0.98329272537417334"/>
    <n v="1"/>
    <n v="-1.7000000000000001E-2"/>
    <s v="400"/>
    <m/>
    <n v="1"/>
    <n v="2259"/>
    <n v="0.99955752212389382"/>
    <m/>
    <m/>
    <m/>
    <m/>
    <x v="0"/>
    <x v="0"/>
    <m/>
    <m/>
    <m/>
    <x v="0"/>
    <x v="0"/>
  </r>
  <r>
    <x v="330"/>
    <x v="114"/>
    <x v="103"/>
    <n v="8"/>
    <n v="0.8"/>
    <n v="155.5"/>
    <n v="1244"/>
    <n v="1266"/>
    <n v="1012.8000000000001"/>
    <n v="1.017684887459807"/>
    <n v="1"/>
    <n v="1.7999999999999999E-2"/>
    <s v="190"/>
    <m/>
    <n v="2"/>
    <n v="1264"/>
    <n v="0.99842022116903628"/>
    <m/>
    <m/>
    <m/>
    <m/>
    <x v="0"/>
    <x v="0"/>
    <m/>
    <m/>
    <m/>
    <x v="0"/>
    <x v="0"/>
  </r>
  <r>
    <x v="331"/>
    <x v="15"/>
    <x v="15"/>
    <n v="72"/>
    <n v="3.2"/>
    <n v="46.8"/>
    <n v="3369.6"/>
    <n v="3395"/>
    <n v="10864"/>
    <n v="1.0075379867046534"/>
    <n v="1"/>
    <n v="8.0000000000000002E-3"/>
    <s v="540"/>
    <m/>
    <n v="2"/>
    <n v="3393"/>
    <n v="0.99941089837997055"/>
    <m/>
    <m/>
    <m/>
    <m/>
    <x v="0"/>
    <x v="0"/>
    <m/>
    <m/>
    <m/>
    <x v="0"/>
    <x v="0"/>
  </r>
  <r>
    <x v="331"/>
    <x v="9"/>
    <x v="9"/>
    <n v="20"/>
    <n v="6"/>
    <n v="25.7"/>
    <n v="514"/>
    <n v="521"/>
    <n v="3126"/>
    <n v="1.0136186770428015"/>
    <n v="1"/>
    <n v="1.4E-2"/>
    <s v="263"/>
    <m/>
    <n v="1"/>
    <n v="520"/>
    <n v="0.99808061420345484"/>
    <m/>
    <m/>
    <s v="，白色印字NY袋(A12.B8)。"/>
    <m/>
    <x v="0"/>
    <x v="0"/>
    <m/>
    <m/>
    <m/>
    <x v="0"/>
    <x v="0"/>
  </r>
  <r>
    <x v="331"/>
    <x v="16"/>
    <x v="16"/>
    <n v="20"/>
    <n v="6"/>
    <n v="26.1"/>
    <n v="522"/>
    <n v="525"/>
    <n v="3150"/>
    <n v="1.0057471264367817"/>
    <n v="1"/>
    <n v="6.0000000000000001E-3"/>
    <s v="285"/>
    <m/>
    <n v="1"/>
    <n v="524"/>
    <n v="0.99809523809523815"/>
    <m/>
    <m/>
    <m/>
    <m/>
    <x v="0"/>
    <x v="0"/>
    <m/>
    <m/>
    <m/>
    <x v="0"/>
    <x v="0"/>
  </r>
  <r>
    <x v="331"/>
    <x v="23"/>
    <x v="22"/>
    <n v="36"/>
    <n v="0.34"/>
    <n v="364.6"/>
    <n v="13125.6"/>
    <n v="12985"/>
    <n v="4414.9000000000005"/>
    <n v="0.98928810873407691"/>
    <n v="1"/>
    <n v="-1.0999999999999999E-2"/>
    <s v="575"/>
    <m/>
    <n v="4"/>
    <n v="12981"/>
    <n v="0.9996919522525991"/>
    <m/>
    <m/>
    <m/>
    <m/>
    <x v="0"/>
    <x v="0"/>
    <m/>
    <m/>
    <m/>
    <x v="0"/>
    <x v="0"/>
  </r>
  <r>
    <x v="332"/>
    <x v="19"/>
    <x v="19"/>
    <n v="16"/>
    <n v="6"/>
    <n v="25.5"/>
    <n v="408"/>
    <n v="405"/>
    <n v="2430"/>
    <n v="0.99264705882352944"/>
    <n v="1"/>
    <n v="-7.0000000000000001E-3"/>
    <s v="195"/>
    <m/>
    <n v="1"/>
    <n v="404"/>
    <n v="0.9975308641975309"/>
    <m/>
    <m/>
    <m/>
    <m/>
    <x v="0"/>
    <x v="0"/>
    <m/>
    <m/>
    <m/>
    <x v="0"/>
    <x v="0"/>
  </r>
  <r>
    <x v="332"/>
    <x v="9"/>
    <x v="9"/>
    <n v="24"/>
    <n v="6"/>
    <n v="25.7"/>
    <n v="616.79999999999995"/>
    <n v="637"/>
    <n v="3822"/>
    <n v="1.0327496757457848"/>
    <n v="1"/>
    <n v="3.3000000000000002E-2"/>
    <s v="359"/>
    <m/>
    <n v="9"/>
    <n v="628"/>
    <n v="0.98587127158555732"/>
    <m/>
    <m/>
    <s v="，白色印字NY袋(A12.B12)。"/>
    <m/>
    <x v="0"/>
    <x v="0"/>
    <m/>
    <m/>
    <m/>
    <x v="0"/>
    <x v="0"/>
  </r>
  <r>
    <x v="332"/>
    <x v="46"/>
    <x v="17"/>
    <n v="21"/>
    <n v="3"/>
    <n v="31.6"/>
    <n v="663.6"/>
    <n v="664"/>
    <n v="1992"/>
    <n v="1.0006027727546714"/>
    <n v="1"/>
    <n v="1E-3"/>
    <s v="630"/>
    <m/>
    <n v="0"/>
    <n v="664"/>
    <n v="1"/>
    <m/>
    <m/>
    <m/>
    <m/>
    <x v="0"/>
    <x v="0"/>
    <m/>
    <m/>
    <m/>
    <x v="0"/>
    <x v="0"/>
  </r>
  <r>
    <x v="332"/>
    <x v="11"/>
    <x v="11"/>
    <n v="72"/>
    <n v="2.8"/>
    <n v="44.5"/>
    <n v="3204"/>
    <n v="3181"/>
    <n v="8906.7999999999993"/>
    <n v="0.99282147315855185"/>
    <n v="1"/>
    <n v="-7.0000000000000001E-3"/>
    <s v="655"/>
    <m/>
    <n v="1"/>
    <n v="3180"/>
    <n v="0.99968563344860106"/>
    <m/>
    <m/>
    <m/>
    <m/>
    <x v="0"/>
    <x v="0"/>
    <m/>
    <m/>
    <m/>
    <x v="0"/>
    <x v="0"/>
  </r>
  <r>
    <x v="332"/>
    <x v="100"/>
    <x v="90"/>
    <n v="1"/>
    <n v="1"/>
    <n v="139"/>
    <n v="139"/>
    <n v="150"/>
    <n v="150"/>
    <n v="1.079136690647482"/>
    <n v="1"/>
    <n v="7.9000000000000001E-2"/>
    <s v="0"/>
    <m/>
    <n v="0"/>
    <n v="150"/>
    <n v="1"/>
    <m/>
    <m/>
    <m/>
    <m/>
    <x v="0"/>
    <x v="0"/>
    <m/>
    <m/>
    <m/>
    <x v="0"/>
    <x v="0"/>
  </r>
  <r>
    <x v="332"/>
    <x v="97"/>
    <x v="88"/>
    <n v="50"/>
    <n v="1"/>
    <n v="6"/>
    <n v="300"/>
    <n v="301"/>
    <n v="301"/>
    <n v="1.0033333333333334"/>
    <n v="1"/>
    <n v="3.0000000000000001E-3"/>
    <s v="0"/>
    <m/>
    <n v="0"/>
    <n v="301"/>
    <n v="1"/>
    <m/>
    <m/>
    <m/>
    <m/>
    <x v="0"/>
    <x v="0"/>
    <m/>
    <m/>
    <m/>
    <x v="0"/>
    <x v="0"/>
  </r>
  <r>
    <x v="333"/>
    <x v="75"/>
    <x v="65"/>
    <n v="3"/>
    <n v="0.19"/>
    <n v="759.3"/>
    <n v="2277.8999999999996"/>
    <n v="2312"/>
    <n v="439.28000000000003"/>
    <n v="1.0149699284428642"/>
    <n v="1"/>
    <n v="1.4999999999999999E-2"/>
    <s v="210"/>
    <m/>
    <n v="5"/>
    <n v="2307"/>
    <n v="0.99783737024221453"/>
    <m/>
    <m/>
    <m/>
    <m/>
    <x v="0"/>
    <x v="0"/>
    <m/>
    <m/>
    <m/>
    <x v="0"/>
    <x v="0"/>
  </r>
  <r>
    <x v="333"/>
    <x v="134"/>
    <x v="116"/>
    <n v="3"/>
    <n v="0.35"/>
    <n v="341.7"/>
    <n v="1025.0999999999999"/>
    <n v="1476"/>
    <n v="516.6"/>
    <n v="1.4398595258999123"/>
    <n v="1"/>
    <n v="0.44"/>
    <s v="210"/>
    <m/>
    <n v="6"/>
    <n v="1470"/>
    <n v="0.99593495934959353"/>
    <m/>
    <m/>
    <m/>
    <m/>
    <x v="0"/>
    <x v="0"/>
    <m/>
    <m/>
    <m/>
    <x v="0"/>
    <x v="0"/>
  </r>
  <r>
    <x v="333"/>
    <x v="0"/>
    <x v="0"/>
    <n v="20"/>
    <n v="6"/>
    <n v="25.5"/>
    <n v="510"/>
    <n v="502"/>
    <n v="3012"/>
    <n v="0.98431372549019602"/>
    <n v="1"/>
    <n v="-1.6E-2"/>
    <s v="300"/>
    <m/>
    <n v="1"/>
    <n v="501"/>
    <n v="0.99800796812749004"/>
    <m/>
    <m/>
    <s v="，白色印字NY袋。"/>
    <m/>
    <x v="0"/>
    <x v="0"/>
    <m/>
    <m/>
    <m/>
    <x v="0"/>
    <x v="0"/>
  </r>
  <r>
    <x v="333"/>
    <x v="50"/>
    <x v="44"/>
    <n v="8"/>
    <n v="4.5"/>
    <n v="36.799999999999997"/>
    <n v="294.39999999999998"/>
    <n v="301"/>
    <n v="1354.5"/>
    <n v="1.0224184782608696"/>
    <n v="1"/>
    <n v="2.1999999999999999E-2"/>
    <s v="266"/>
    <m/>
    <n v="0"/>
    <n v="301"/>
    <n v="1"/>
    <m/>
    <m/>
    <m/>
    <m/>
    <x v="0"/>
    <x v="0"/>
    <m/>
    <m/>
    <m/>
    <x v="0"/>
    <x v="0"/>
  </r>
  <r>
    <x v="333"/>
    <x v="3"/>
    <x v="3"/>
    <n v="12"/>
    <n v="4.5"/>
    <n v="36.299999999999997"/>
    <n v="435.59999999999997"/>
    <n v="443"/>
    <n v="1993.5"/>
    <n v="1.016988062442608"/>
    <n v="1"/>
    <n v="1.7000000000000001E-2"/>
    <s v="240"/>
    <m/>
    <n v="0"/>
    <n v="443"/>
    <n v="1"/>
    <m/>
    <m/>
    <m/>
    <m/>
    <x v="0"/>
    <x v="0"/>
    <m/>
    <m/>
    <m/>
    <x v="0"/>
    <x v="0"/>
  </r>
  <r>
    <x v="333"/>
    <x v="9"/>
    <x v="9"/>
    <n v="16"/>
    <n v="6"/>
    <n v="25.7"/>
    <n v="411.2"/>
    <n v="414"/>
    <n v="2484"/>
    <n v="1.0068093385214008"/>
    <n v="1"/>
    <n v="7.0000000000000001E-3"/>
    <s v="258"/>
    <m/>
    <n v="1"/>
    <n v="413"/>
    <n v="0.99758454106280192"/>
    <m/>
    <m/>
    <s v="，白色印字NY袋(A8.B8)。"/>
    <m/>
    <x v="0"/>
    <x v="0"/>
    <m/>
    <m/>
    <m/>
    <x v="0"/>
    <x v="0"/>
  </r>
  <r>
    <x v="333"/>
    <x v="11"/>
    <x v="11"/>
    <n v="72"/>
    <n v="2.8"/>
    <n v="44.5"/>
    <n v="3204"/>
    <n v="3233"/>
    <n v="9052.4"/>
    <n v="1.0090511860174782"/>
    <n v="1"/>
    <n v="8.9999999999999993E-3"/>
    <s v="660"/>
    <m/>
    <n v="1"/>
    <n v="3232"/>
    <n v="0.99969068976183106"/>
    <m/>
    <n v="54.8"/>
    <s v="特殊製程(1140429-01A)。"/>
    <m/>
    <x v="0"/>
    <x v="0"/>
    <m/>
    <m/>
    <m/>
    <x v="0"/>
    <x v="0"/>
  </r>
  <r>
    <x v="334"/>
    <x v="13"/>
    <x v="13"/>
    <n v="40"/>
    <n v="0.9"/>
    <n v="160.5"/>
    <n v="6420"/>
    <n v="6536"/>
    <n v="5882.4000000000005"/>
    <n v="1.0180685358255452"/>
    <n v="1"/>
    <n v="1.7999999999999999E-2"/>
    <s v="540"/>
    <m/>
    <n v="3"/>
    <n v="6533"/>
    <n v="0.99954100367197063"/>
    <m/>
    <m/>
    <m/>
    <m/>
    <x v="0"/>
    <x v="0"/>
    <m/>
    <m/>
    <m/>
    <x v="0"/>
    <x v="0"/>
  </r>
  <r>
    <x v="334"/>
    <x v="48"/>
    <x v="17"/>
    <n v="21"/>
    <n v="3"/>
    <n v="30.8"/>
    <n v="646.80000000000007"/>
    <n v="632"/>
    <n v="1896"/>
    <n v="0.97711811997526277"/>
    <n v="1"/>
    <n v="-2.3E-2"/>
    <s v="540"/>
    <m/>
    <n v="0"/>
    <n v="632"/>
    <n v="1"/>
    <m/>
    <m/>
    <m/>
    <m/>
    <x v="0"/>
    <x v="0"/>
    <m/>
    <m/>
    <m/>
    <x v="0"/>
    <x v="0"/>
  </r>
  <r>
    <x v="334"/>
    <x v="11"/>
    <x v="11"/>
    <n v="72"/>
    <n v="2.8"/>
    <n v="44.5"/>
    <n v="3204"/>
    <n v="3299"/>
    <n v="9237.1999999999989"/>
    <n v="1.0296504369538078"/>
    <n v="1"/>
    <n v="0.03"/>
    <s v="640"/>
    <m/>
    <n v="6"/>
    <n v="3293"/>
    <n v="0.99818126705062138"/>
    <m/>
    <n v="220"/>
    <s v="特殊製程(1140618-01A)。"/>
    <m/>
    <x v="0"/>
    <x v="0"/>
    <m/>
    <m/>
    <m/>
    <x v="0"/>
    <x v="0"/>
  </r>
  <r>
    <x v="335"/>
    <x v="49"/>
    <x v="43"/>
    <n v="15"/>
    <n v="0.43"/>
    <n v="364"/>
    <n v="5460"/>
    <n v="5375"/>
    <n v="2311.25"/>
    <n v="0.98443223443223449"/>
    <n v="1"/>
    <n v="-1.6E-2"/>
    <s v="360"/>
    <m/>
    <n v="8"/>
    <n v="5367"/>
    <n v="0.99851162790697678"/>
    <m/>
    <m/>
    <m/>
    <m/>
    <x v="0"/>
    <x v="0"/>
    <m/>
    <m/>
    <m/>
    <x v="0"/>
    <x v="0"/>
  </r>
  <r>
    <x v="335"/>
    <x v="81"/>
    <x v="73"/>
    <n v="6"/>
    <n v="0.4"/>
    <n v="366.4"/>
    <n v="2198.3999999999996"/>
    <n v="2150"/>
    <n v="860"/>
    <n v="0.97798398835516753"/>
    <n v="1"/>
    <n v="-2.1999999999999999E-2"/>
    <s v="240"/>
    <m/>
    <n v="9"/>
    <n v="2141"/>
    <n v="0.99581395348837209"/>
    <m/>
    <m/>
    <m/>
    <m/>
    <x v="0"/>
    <x v="0"/>
    <m/>
    <m/>
    <m/>
    <x v="0"/>
    <x v="0"/>
  </r>
  <r>
    <x v="335"/>
    <x v="20"/>
    <x v="20"/>
    <n v="8"/>
    <n v="6"/>
    <n v="25"/>
    <n v="200"/>
    <n v="205"/>
    <n v="1230"/>
    <n v="1.0249999999999999"/>
    <n v="1"/>
    <n v="2.5000000000000001E-2"/>
    <s v="121"/>
    <m/>
    <n v="1"/>
    <n v="204"/>
    <n v="0.99512195121951219"/>
    <m/>
    <m/>
    <s v="，白色印字NY袋。"/>
    <m/>
    <x v="0"/>
    <x v="0"/>
    <m/>
    <m/>
    <m/>
    <x v="0"/>
    <x v="0"/>
  </r>
  <r>
    <x v="335"/>
    <x v="62"/>
    <x v="10"/>
    <n v="6"/>
    <n v="6"/>
    <n v="25.5"/>
    <n v="153"/>
    <n v="154"/>
    <n v="924"/>
    <n v="1.0065359477124183"/>
    <n v="1"/>
    <n v="7.0000000000000001E-3"/>
    <s v="150"/>
    <m/>
    <n v="1"/>
    <n v="153"/>
    <n v="0.99350649350649356"/>
    <m/>
    <m/>
    <s v="，白色印字NY袋。"/>
    <m/>
    <x v="0"/>
    <x v="0"/>
    <m/>
    <m/>
    <m/>
    <x v="0"/>
    <x v="0"/>
  </r>
  <r>
    <x v="335"/>
    <x v="9"/>
    <x v="9"/>
    <n v="24"/>
    <n v="6"/>
    <n v="25.7"/>
    <n v="616.79999999999995"/>
    <n v="634"/>
    <n v="3804"/>
    <n v="1.0278858625162128"/>
    <n v="1"/>
    <n v="2.8000000000000001E-2"/>
    <s v="322"/>
    <m/>
    <n v="1"/>
    <n v="633"/>
    <n v="0.99842271293375395"/>
    <m/>
    <m/>
    <s v="，白色印字NY袋(A12.B12)。"/>
    <m/>
    <x v="0"/>
    <x v="0"/>
    <m/>
    <m/>
    <m/>
    <x v="0"/>
    <x v="0"/>
  </r>
  <r>
    <x v="335"/>
    <x v="41"/>
    <x v="39"/>
    <n v="72"/>
    <n v="2.8"/>
    <n v="44.2"/>
    <n v="3182.4"/>
    <n v="3165"/>
    <n v="8862"/>
    <n v="0.99453242835595779"/>
    <n v="1"/>
    <n v="-5.0000000000000001E-3"/>
    <s v="570"/>
    <m/>
    <n v="1"/>
    <n v="3164"/>
    <n v="0.9996840442338073"/>
    <m/>
    <m/>
    <m/>
    <m/>
    <x v="0"/>
    <x v="0"/>
    <m/>
    <m/>
    <m/>
    <x v="0"/>
    <x v="0"/>
  </r>
  <r>
    <x v="336"/>
    <x v="11"/>
    <x v="11"/>
    <n v="60"/>
    <n v="2.8"/>
    <n v="44.5"/>
    <n v="2670"/>
    <n v="2773"/>
    <n v="7764.4"/>
    <n v="1.0385767790262173"/>
    <n v="1"/>
    <n v="3.9E-2"/>
    <s v="590"/>
    <m/>
    <n v="1"/>
    <n v="2772"/>
    <n v="0.99963937973314099"/>
    <m/>
    <n v="300"/>
    <s v="特殊製程(1140618-01A)。"/>
    <m/>
    <x v="0"/>
    <x v="0"/>
    <m/>
    <m/>
    <m/>
    <x v="0"/>
    <x v="0"/>
  </r>
  <r>
    <x v="337"/>
    <x v="10"/>
    <x v="10"/>
    <n v="24"/>
    <n v="6"/>
    <n v="25.4"/>
    <n v="609.59999999999991"/>
    <n v="609"/>
    <n v="3654"/>
    <n v="0.99901574803149618"/>
    <n v="1"/>
    <n v="-1E-3"/>
    <s v="330"/>
    <m/>
    <n v="1"/>
    <n v="608"/>
    <n v="0.99835796387520526"/>
    <m/>
    <m/>
    <m/>
    <m/>
    <x v="0"/>
    <x v="0"/>
    <m/>
    <m/>
    <m/>
    <x v="0"/>
    <x v="0"/>
  </r>
  <r>
    <x v="337"/>
    <x v="9"/>
    <x v="9"/>
    <n v="16"/>
    <n v="6"/>
    <n v="25.7"/>
    <n v="411.2"/>
    <n v="412"/>
    <n v="2472"/>
    <n v="1.0019455252918288"/>
    <n v="1"/>
    <n v="2E-3"/>
    <s v="210"/>
    <m/>
    <n v="1"/>
    <n v="411"/>
    <n v="0.99757281553398058"/>
    <m/>
    <m/>
    <m/>
    <m/>
    <x v="0"/>
    <x v="0"/>
    <m/>
    <m/>
    <m/>
    <x v="0"/>
    <x v="0"/>
  </r>
  <r>
    <x v="337"/>
    <x v="17"/>
    <x v="17"/>
    <n v="21"/>
    <n v="3"/>
    <n v="29.7"/>
    <n v="623.69999999999993"/>
    <n v="632"/>
    <n v="1896"/>
    <n v="1.0133076799743468"/>
    <n v="1"/>
    <n v="1.2999999999999999E-2"/>
    <s v="540"/>
    <m/>
    <n v="0"/>
    <n v="632"/>
    <n v="1"/>
    <m/>
    <m/>
    <m/>
    <m/>
    <x v="0"/>
    <x v="0"/>
    <m/>
    <m/>
    <m/>
    <x v="0"/>
    <x v="0"/>
  </r>
  <r>
    <x v="337"/>
    <x v="35"/>
    <x v="33"/>
    <n v="16"/>
    <n v="18"/>
    <n v="6.6"/>
    <n v="105.6"/>
    <n v="108"/>
    <n v="1944"/>
    <n v="1.0227272727272727"/>
    <n v="1"/>
    <n v="2.3E-2"/>
    <s v="195"/>
    <m/>
    <n v="0"/>
    <n v="108"/>
    <n v="1"/>
    <m/>
    <m/>
    <m/>
    <m/>
    <x v="0"/>
    <x v="0"/>
    <m/>
    <m/>
    <m/>
    <x v="0"/>
    <x v="0"/>
  </r>
  <r>
    <x v="337"/>
    <x v="11"/>
    <x v="11"/>
    <n v="56"/>
    <n v="2.8"/>
    <n v="44.5"/>
    <n v="2492"/>
    <n v="2603"/>
    <n v="7288.4"/>
    <n v="1.0445425361155698"/>
    <n v="1"/>
    <n v="4.4999999999999998E-2"/>
    <s v="540"/>
    <m/>
    <n v="1"/>
    <n v="2602"/>
    <n v="0.99961582789089509"/>
    <m/>
    <n v="360"/>
    <s v="特殊製程(1140618-01A)。"/>
    <m/>
    <x v="0"/>
    <x v="0"/>
    <m/>
    <m/>
    <m/>
    <x v="0"/>
    <x v="0"/>
  </r>
  <r>
    <x v="338"/>
    <x v="15"/>
    <x v="15"/>
    <n v="72"/>
    <n v="3.2"/>
    <n v="46.8"/>
    <n v="3369.6"/>
    <n v="3385"/>
    <n v="10832"/>
    <n v="1.0045702754036088"/>
    <n v="1"/>
    <n v="5.0000000000000001E-3"/>
    <s v="540"/>
    <m/>
    <n v="2"/>
    <n v="3383"/>
    <n v="0.99940915805022157"/>
    <m/>
    <m/>
    <m/>
    <m/>
    <x v="0"/>
    <x v="0"/>
    <m/>
    <m/>
    <m/>
    <x v="0"/>
    <x v="0"/>
  </r>
  <r>
    <x v="338"/>
    <x v="95"/>
    <x v="86"/>
    <n v="1"/>
    <n v="1"/>
    <n v="942"/>
    <n v="942"/>
    <n v="930"/>
    <n v="930"/>
    <n v="0.98726114649681529"/>
    <n v="1"/>
    <n v="-1.2999999999999999E-2"/>
    <s v="0"/>
    <m/>
    <n v="0"/>
    <n v="930"/>
    <n v="1"/>
    <m/>
    <m/>
    <m/>
    <m/>
    <x v="0"/>
    <x v="0"/>
    <m/>
    <m/>
    <m/>
    <x v="0"/>
    <x v="0"/>
  </r>
  <r>
    <x v="338"/>
    <x v="45"/>
    <x v="10"/>
    <n v="8"/>
    <n v="6"/>
    <n v="26.4"/>
    <n v="211.2"/>
    <n v="206"/>
    <n v="1236"/>
    <n v="0.97537878787878796"/>
    <n v="1"/>
    <n v="-2.5000000000000001E-2"/>
    <s v="200"/>
    <m/>
    <n v="1"/>
    <n v="205"/>
    <n v="0.99514563106796117"/>
    <m/>
    <m/>
    <m/>
    <m/>
    <x v="0"/>
    <x v="0"/>
    <m/>
    <m/>
    <m/>
    <x v="0"/>
    <x v="0"/>
  </r>
  <r>
    <x v="338"/>
    <x v="18"/>
    <x v="18"/>
    <n v="8"/>
    <n v="6"/>
    <n v="26.4"/>
    <n v="211.2"/>
    <n v="212"/>
    <n v="1272"/>
    <n v="1.0037878787878789"/>
    <n v="1"/>
    <n v="4.0000000000000001E-3"/>
    <s v="185"/>
    <m/>
    <n v="2"/>
    <n v="210"/>
    <n v="0.99056603773584906"/>
    <m/>
    <m/>
    <m/>
    <m/>
    <x v="0"/>
    <x v="0"/>
    <m/>
    <m/>
    <m/>
    <x v="0"/>
    <x v="0"/>
  </r>
  <r>
    <x v="338"/>
    <x v="36"/>
    <x v="34"/>
    <n v="6"/>
    <n v="6"/>
    <n v="24.3"/>
    <n v="145.80000000000001"/>
    <n v="150"/>
    <n v="900"/>
    <n v="1.0288065843621399"/>
    <n v="1"/>
    <n v="2.9000000000000001E-2"/>
    <s v="130"/>
    <m/>
    <n v="1"/>
    <n v="149"/>
    <n v="0.99333333333333329"/>
    <m/>
    <m/>
    <m/>
    <m/>
    <x v="0"/>
    <x v="0"/>
    <m/>
    <m/>
    <m/>
    <x v="0"/>
    <x v="0"/>
  </r>
  <r>
    <x v="338"/>
    <x v="130"/>
    <x v="114"/>
    <n v="8"/>
    <n v="6"/>
    <n v="0"/>
    <n v="0"/>
    <n v="207"/>
    <n v="1242"/>
    <s v="無法預估數據"/>
    <e v="#N/A"/>
    <s v="無法預估數據"/>
    <s v="166"/>
    <m/>
    <n v="1"/>
    <n v="206"/>
    <n v="0.99516908212560384"/>
    <m/>
    <m/>
    <m/>
    <m/>
    <x v="0"/>
    <x v="0"/>
    <m/>
    <m/>
    <m/>
    <x v="0"/>
    <x v="0"/>
  </r>
  <r>
    <x v="338"/>
    <x v="6"/>
    <x v="6"/>
    <n v="40"/>
    <n v="0.4"/>
    <n v="309.2"/>
    <n v="12368"/>
    <n v="12396"/>
    <n v="4958.4000000000005"/>
    <n v="1.0022639068564037"/>
    <n v="1"/>
    <n v="2E-3"/>
    <s v="515"/>
    <m/>
    <n v="4"/>
    <n v="12392"/>
    <n v="0.99967731526298809"/>
    <m/>
    <m/>
    <m/>
    <m/>
    <x v="0"/>
    <x v="0"/>
    <m/>
    <m/>
    <m/>
    <x v="0"/>
    <x v="0"/>
  </r>
  <r>
    <x v="339"/>
    <x v="8"/>
    <x v="8"/>
    <n v="24"/>
    <n v="0.44"/>
    <n v="344"/>
    <n v="8256"/>
    <n v="8123"/>
    <n v="3574.12"/>
    <n v="0.98389050387596899"/>
    <n v="1"/>
    <n v="-1.6E-2"/>
    <s v="320"/>
    <m/>
    <n v="9"/>
    <n v="8114"/>
    <n v="0.99889203496245227"/>
    <m/>
    <m/>
    <m/>
    <m/>
    <x v="0"/>
    <x v="0"/>
    <m/>
    <m/>
    <m/>
    <x v="0"/>
    <x v="0"/>
  </r>
  <r>
    <x v="339"/>
    <x v="30"/>
    <x v="28"/>
    <n v="8"/>
    <n v="0.43"/>
    <n v="340.4"/>
    <n v="2723.2"/>
    <n v="2642"/>
    <n v="1136.06"/>
    <n v="0.9701821386603996"/>
    <n v="1"/>
    <n v="-0.03"/>
    <s v="270"/>
    <m/>
    <n v="8"/>
    <n v="2634"/>
    <n v="0.99697199091597277"/>
    <m/>
    <m/>
    <s v="麥味登180箱"/>
    <m/>
    <x v="0"/>
    <x v="0"/>
    <m/>
    <m/>
    <m/>
    <x v="0"/>
    <x v="0"/>
  </r>
  <r>
    <x v="339"/>
    <x v="9"/>
    <x v="9"/>
    <n v="24"/>
    <n v="6"/>
    <n v="25.7"/>
    <n v="616.79999999999995"/>
    <n v="628"/>
    <n v="3768"/>
    <n v="1.0181582360570689"/>
    <n v="1"/>
    <n v="1.7999999999999999E-2"/>
    <s v="325"/>
    <m/>
    <n v="1"/>
    <n v="627"/>
    <n v="0.99840764331210186"/>
    <m/>
    <m/>
    <m/>
    <m/>
    <x v="0"/>
    <x v="0"/>
    <m/>
    <m/>
    <m/>
    <x v="0"/>
    <x v="0"/>
  </r>
  <r>
    <x v="339"/>
    <x v="2"/>
    <x v="2"/>
    <n v="20"/>
    <n v="6"/>
    <n v="26.6"/>
    <n v="532"/>
    <n v="515"/>
    <n v="3090"/>
    <n v="0.96804511278195493"/>
    <n v="1"/>
    <n v="-3.2000000000000001E-2"/>
    <s v="250"/>
    <m/>
    <n v="1"/>
    <n v="514"/>
    <n v="0.99805825242718449"/>
    <m/>
    <m/>
    <m/>
    <m/>
    <x v="0"/>
    <x v="0"/>
    <m/>
    <m/>
    <m/>
    <x v="0"/>
    <x v="0"/>
  </r>
  <r>
    <x v="339"/>
    <x v="11"/>
    <x v="11"/>
    <n v="72"/>
    <n v="2.8"/>
    <n v="44.5"/>
    <n v="3043.2857142857142"/>
    <n v="3098"/>
    <n v="8674.4"/>
    <n v="1.0179786884476365"/>
    <n v="1"/>
    <n v="1.7999999999999999E-2"/>
    <s v="655"/>
    <m/>
    <n v="1"/>
    <n v="3097"/>
    <n v="0.99967721110393803"/>
    <m/>
    <n v="80"/>
    <s v="D9920(18KG)*25桶，特殊製程(1140618-01A)。"/>
    <m/>
    <x v="0"/>
    <x v="0"/>
    <m/>
    <m/>
    <m/>
    <x v="0"/>
    <x v="0"/>
  </r>
  <r>
    <x v="340"/>
    <x v="15"/>
    <x v="15"/>
    <n v="36"/>
    <n v="3.2"/>
    <n v="46.8"/>
    <n v="1684.8"/>
    <n v="1675"/>
    <n v="5360"/>
    <n v="0.99418328584995252"/>
    <n v="1"/>
    <n v="-6.0000000000000001E-3"/>
    <s v="300"/>
    <m/>
    <n v="1"/>
    <n v="1674"/>
    <n v="0.99940298507462688"/>
    <m/>
    <m/>
    <m/>
    <m/>
    <x v="0"/>
    <x v="0"/>
    <m/>
    <m/>
    <m/>
    <x v="0"/>
    <x v="0"/>
  </r>
  <r>
    <x v="340"/>
    <x v="27"/>
    <x v="26"/>
    <n v="36"/>
    <n v="3.2"/>
    <n v="47.5"/>
    <n v="1710"/>
    <n v="1664"/>
    <n v="5324.8"/>
    <n v="0.97309941520467835"/>
    <n v="1"/>
    <n v="-2.7E-2"/>
    <s v="240"/>
    <m/>
    <n v="1"/>
    <n v="1663"/>
    <n v="0.99939903846153844"/>
    <m/>
    <m/>
    <m/>
    <m/>
    <x v="0"/>
    <x v="0"/>
    <m/>
    <m/>
    <m/>
    <x v="0"/>
    <x v="0"/>
  </r>
  <r>
    <x v="340"/>
    <x v="2"/>
    <x v="2"/>
    <n v="24"/>
    <n v="6"/>
    <n v="26.6"/>
    <n v="638.40000000000009"/>
    <n v="627"/>
    <n v="3762"/>
    <n v="0.98214285714285698"/>
    <n v="1"/>
    <n v="-1.7999999999999999E-2"/>
    <s v="340"/>
    <m/>
    <n v="1"/>
    <n v="626"/>
    <n v="0.99840510366826152"/>
    <m/>
    <m/>
    <m/>
    <m/>
    <x v="0"/>
    <x v="0"/>
    <m/>
    <m/>
    <m/>
    <x v="0"/>
    <x v="0"/>
  </r>
  <r>
    <x v="340"/>
    <x v="47"/>
    <x v="42"/>
    <n v="12"/>
    <n v="6"/>
    <n v="25.6"/>
    <n v="307.20000000000005"/>
    <n v="313"/>
    <n v="1878"/>
    <n v="1.0188802083333333"/>
    <n v="1"/>
    <n v="1.9E-2"/>
    <s v="210"/>
    <m/>
    <n v="2"/>
    <n v="311"/>
    <n v="0.99361022364217255"/>
    <m/>
    <m/>
    <m/>
    <m/>
    <x v="0"/>
    <x v="0"/>
    <m/>
    <m/>
    <m/>
    <x v="0"/>
    <x v="0"/>
  </r>
  <r>
    <x v="340"/>
    <x v="34"/>
    <x v="32"/>
    <n v="20"/>
    <n v="0.34"/>
    <n v="358.3"/>
    <n v="7166"/>
    <n v="7464"/>
    <n v="2537.7600000000002"/>
    <n v="1.0415852637454648"/>
    <n v="1"/>
    <n v="4.2000000000000003E-2"/>
    <s v="410"/>
    <m/>
    <n v="5"/>
    <n v="7459"/>
    <n v="0.99933011789924975"/>
    <m/>
    <m/>
    <s v="E0120佳樂美400箱"/>
    <m/>
    <x v="0"/>
    <x v="0"/>
    <m/>
    <m/>
    <m/>
    <x v="0"/>
    <x v="0"/>
  </r>
  <r>
    <x v="340"/>
    <x v="78"/>
    <x v="70"/>
    <n v="8"/>
    <n v="0.28999999999999998"/>
    <n v="388"/>
    <n v="3104"/>
    <n v="3294"/>
    <n v="955.26"/>
    <n v="1.0612113402061856"/>
    <n v="1"/>
    <n v="6.0999999999999999E-2"/>
    <s v="230"/>
    <m/>
    <n v="5"/>
    <n v="3289"/>
    <n v="0.99848208864602306"/>
    <m/>
    <m/>
    <s v="充填281g~285g"/>
    <m/>
    <x v="0"/>
    <x v="0"/>
    <m/>
    <m/>
    <m/>
    <x v="0"/>
    <x v="0"/>
  </r>
  <r>
    <x v="341"/>
    <x v="8"/>
    <x v="8"/>
    <n v="20"/>
    <n v="0.44"/>
    <n v="344"/>
    <n v="6880"/>
    <n v="6752"/>
    <n v="2970.88"/>
    <n v="0.98139534883720925"/>
    <n v="1"/>
    <n v="-1.9E-2"/>
    <s v="300"/>
    <m/>
    <n v="4"/>
    <n v="6748"/>
    <n v="0.99940758293838861"/>
    <m/>
    <m/>
    <m/>
    <m/>
    <x v="0"/>
    <x v="0"/>
    <m/>
    <m/>
    <m/>
    <x v="0"/>
    <x v="0"/>
  </r>
  <r>
    <x v="341"/>
    <x v="9"/>
    <x v="9"/>
    <n v="20"/>
    <n v="6"/>
    <n v="25.7"/>
    <n v="514"/>
    <n v="527"/>
    <n v="3162"/>
    <n v="1.0252918287937742"/>
    <n v="1"/>
    <n v="2.5000000000000001E-2"/>
    <s v="295"/>
    <m/>
    <n v="1"/>
    <n v="526"/>
    <n v="0.99810246679316883"/>
    <m/>
    <m/>
    <m/>
    <m/>
    <x v="0"/>
    <x v="0"/>
    <m/>
    <m/>
    <m/>
    <x v="0"/>
    <x v="0"/>
  </r>
  <r>
    <x v="341"/>
    <x v="131"/>
    <x v="105"/>
    <n v="8"/>
    <n v="6"/>
    <n v="25.2"/>
    <n v="201.6"/>
    <n v="213"/>
    <n v="1278"/>
    <n v="1.0565476190476191"/>
    <e v="#N/A"/>
    <e v="#N/A"/>
    <s v="155"/>
    <m/>
    <n v="2"/>
    <n v="211"/>
    <n v="0.99061032863849763"/>
    <m/>
    <n v="30"/>
    <s v="特殊製程(下市)"/>
    <m/>
    <x v="0"/>
    <x v="0"/>
    <m/>
    <m/>
    <m/>
    <x v="0"/>
    <x v="0"/>
  </r>
  <r>
    <x v="341"/>
    <x v="19"/>
    <x v="19"/>
    <n v="12"/>
    <n v="6"/>
    <n v="25.5"/>
    <n v="306"/>
    <n v="302"/>
    <n v="1812"/>
    <n v="0.98692810457516345"/>
    <n v="1"/>
    <n v="-1.2999999999999999E-2"/>
    <s v="175"/>
    <m/>
    <n v="1"/>
    <n v="301"/>
    <n v="0.99668874172185429"/>
    <m/>
    <m/>
    <m/>
    <m/>
    <x v="0"/>
    <x v="0"/>
    <m/>
    <m/>
    <m/>
    <x v="0"/>
    <x v="0"/>
  </r>
  <r>
    <x v="341"/>
    <x v="11"/>
    <x v="11"/>
    <n v="72"/>
    <n v="2.8"/>
    <n v="44.5"/>
    <n v="3204"/>
    <n v="3225"/>
    <n v="9030"/>
    <n v="1.0065543071161049"/>
    <n v="1"/>
    <n v="7.0000000000000001E-3"/>
    <s v="625"/>
    <m/>
    <n v="1"/>
    <n v="3224"/>
    <n v="0.99968992248062016"/>
    <m/>
    <m/>
    <m/>
    <m/>
    <x v="0"/>
    <x v="0"/>
    <m/>
    <m/>
    <m/>
    <x v="0"/>
    <x v="0"/>
  </r>
  <r>
    <x v="342"/>
    <x v="15"/>
    <x v="15"/>
    <n v="72"/>
    <n v="3.2"/>
    <n v="46.8"/>
    <n v="3369.6"/>
    <n v="3393"/>
    <n v="10857.6"/>
    <n v="1.0069444444444444"/>
    <n v="1"/>
    <n v="7.0000000000000001E-3"/>
    <s v="540"/>
    <m/>
    <n v="4"/>
    <n v="3389"/>
    <n v="0.99882110226937815"/>
    <m/>
    <m/>
    <m/>
    <m/>
    <x v="0"/>
    <x v="0"/>
    <m/>
    <m/>
    <m/>
    <x v="0"/>
    <x v="0"/>
  </r>
  <r>
    <x v="342"/>
    <x v="9"/>
    <x v="9"/>
    <n v="20"/>
    <n v="6"/>
    <n v="25.7"/>
    <n v="514"/>
    <n v="519"/>
    <n v="3114"/>
    <n v="1.0097276264591439"/>
    <n v="1"/>
    <n v="0.01"/>
    <s v="270"/>
    <m/>
    <n v="1"/>
    <n v="518"/>
    <n v="0.9980732177263969"/>
    <m/>
    <m/>
    <m/>
    <m/>
    <x v="0"/>
    <x v="0"/>
    <m/>
    <m/>
    <m/>
    <x v="0"/>
    <x v="0"/>
  </r>
  <r>
    <x v="342"/>
    <x v="127"/>
    <x v="75"/>
    <n v="8"/>
    <n v="6"/>
    <n v="25.8"/>
    <n v="206.4"/>
    <n v="207"/>
    <n v="1242"/>
    <n v="1.0029069767441861"/>
    <e v="#N/A"/>
    <e v="#N/A"/>
    <s v="160"/>
    <m/>
    <n v="1"/>
    <n v="206"/>
    <n v="0.99516908212560384"/>
    <m/>
    <n v="180"/>
    <s v="特殊製程"/>
    <m/>
    <x v="0"/>
    <x v="0"/>
    <m/>
    <m/>
    <m/>
    <x v="0"/>
    <x v="0"/>
  </r>
  <r>
    <x v="342"/>
    <x v="1"/>
    <x v="1"/>
    <n v="12"/>
    <n v="6"/>
    <n v="25.7"/>
    <n v="308.39999999999998"/>
    <n v="303"/>
    <n v="1818"/>
    <n v="0.98249027237354092"/>
    <n v="1"/>
    <n v="-1.7999999999999999E-2"/>
    <s v="210"/>
    <m/>
    <n v="1"/>
    <n v="302"/>
    <n v="0.99669966996699666"/>
    <m/>
    <m/>
    <m/>
    <m/>
    <x v="0"/>
    <x v="0"/>
    <m/>
    <m/>
    <m/>
    <x v="0"/>
    <x v="0"/>
  </r>
  <r>
    <x v="342"/>
    <x v="12"/>
    <x v="12"/>
    <n v="20"/>
    <n v="0.8"/>
    <n v="157.69999999999999"/>
    <n v="3154"/>
    <n v="3162"/>
    <n v="2529.6000000000004"/>
    <n v="1.0025364616360177"/>
    <n v="1"/>
    <n v="3.0000000000000001E-3"/>
    <s v="310"/>
    <m/>
    <n v="2"/>
    <n v="3160"/>
    <n v="0.99936748893105631"/>
    <m/>
    <m/>
    <m/>
    <m/>
    <x v="0"/>
    <x v="0"/>
    <m/>
    <m/>
    <m/>
    <x v="0"/>
    <x v="0"/>
  </r>
  <r>
    <x v="342"/>
    <x v="55"/>
    <x v="48"/>
    <n v="28"/>
    <n v="18"/>
    <n v="6.9"/>
    <n v="193.20000000000002"/>
    <n v="193"/>
    <n v="3474"/>
    <n v="0.99896480331262927"/>
    <n v="1"/>
    <n v="-1E-3"/>
    <s v="295"/>
    <m/>
    <n v="0"/>
    <n v="193"/>
    <n v="1"/>
    <m/>
    <m/>
    <m/>
    <m/>
    <x v="0"/>
    <x v="0"/>
    <m/>
    <m/>
    <m/>
    <x v="0"/>
    <x v="0"/>
  </r>
  <r>
    <x v="342"/>
    <x v="94"/>
    <x v="85"/>
    <n v="1"/>
    <n v="1"/>
    <n v="591"/>
    <n v="591"/>
    <n v="552"/>
    <n v="552"/>
    <n v="0.93401015228426398"/>
    <n v="1"/>
    <n v="-6.6000000000000003E-2"/>
    <s v="0"/>
    <m/>
    <n v="0"/>
    <n v="552"/>
    <n v="1"/>
    <m/>
    <m/>
    <m/>
    <m/>
    <x v="0"/>
    <x v="0"/>
    <m/>
    <m/>
    <m/>
    <x v="0"/>
    <x v="0"/>
  </r>
  <r>
    <x v="343"/>
    <x v="133"/>
    <x v="115"/>
    <n v="12"/>
    <n v="4.5"/>
    <n v="33.200000000000003"/>
    <n v="398.40000000000003"/>
    <n v="402"/>
    <n v="1809"/>
    <n v="1.0090361445783131"/>
    <e v="#N/A"/>
    <e v="#N/A"/>
    <s v="210"/>
    <m/>
    <n v="0"/>
    <n v="402"/>
    <n v="1"/>
    <m/>
    <m/>
    <m/>
    <m/>
    <x v="0"/>
    <x v="0"/>
    <m/>
    <m/>
    <m/>
    <x v="0"/>
    <x v="0"/>
  </r>
  <r>
    <x v="343"/>
    <x v="67"/>
    <x v="58"/>
    <n v="8"/>
    <n v="4.5"/>
    <n v="33.200000000000003"/>
    <n v="265.60000000000002"/>
    <n v="275"/>
    <n v="1237.5"/>
    <n v="1.0353915662650601"/>
    <n v="1"/>
    <n v="3.5000000000000003E-2"/>
    <s v="195"/>
    <m/>
    <n v="0"/>
    <n v="275"/>
    <n v="1"/>
    <m/>
    <m/>
    <m/>
    <m/>
    <x v="0"/>
    <x v="0"/>
    <m/>
    <m/>
    <m/>
    <x v="0"/>
    <x v="0"/>
  </r>
  <r>
    <x v="343"/>
    <x v="9"/>
    <x v="9"/>
    <n v="16"/>
    <n v="6"/>
    <n v="25.7"/>
    <n v="411.2"/>
    <n v="416"/>
    <n v="2496"/>
    <n v="1.0116731517509727"/>
    <n v="1"/>
    <n v="1.2E-2"/>
    <s v="270"/>
    <m/>
    <n v="1"/>
    <n v="415"/>
    <n v="0.99759615384615385"/>
    <m/>
    <m/>
    <m/>
    <m/>
    <x v="0"/>
    <x v="0"/>
    <m/>
    <m/>
    <m/>
    <x v="0"/>
    <x v="0"/>
  </r>
  <r>
    <x v="343"/>
    <x v="46"/>
    <x v="17"/>
    <n v="21"/>
    <n v="3"/>
    <n v="31.6"/>
    <n v="663.6"/>
    <n v="668"/>
    <n v="2004"/>
    <n v="1.0066305003013862"/>
    <n v="1"/>
    <n v="7.0000000000000001E-3"/>
    <s v="540"/>
    <m/>
    <n v="0"/>
    <n v="668"/>
    <n v="1"/>
    <m/>
    <m/>
    <m/>
    <m/>
    <x v="0"/>
    <x v="0"/>
    <m/>
    <m/>
    <m/>
    <x v="0"/>
    <x v="0"/>
  </r>
  <r>
    <x v="343"/>
    <x v="11"/>
    <x v="11"/>
    <n v="72"/>
    <n v="2.8"/>
    <n v="44.5"/>
    <n v="3204"/>
    <n v="2989"/>
    <n v="8369.1999999999989"/>
    <n v="0.93289637952559301"/>
    <n v="1"/>
    <n v="-6.7000000000000004E-2"/>
    <s v="555"/>
    <m/>
    <n v="1"/>
    <n v="2988"/>
    <n v="0.99966543994647039"/>
    <m/>
    <m/>
    <s v="，D9920(18kg)*35桶(2026.07.08)"/>
    <m/>
    <x v="0"/>
    <x v="0"/>
    <m/>
    <m/>
    <m/>
    <x v="0"/>
    <x v="0"/>
  </r>
  <r>
    <x v="344"/>
    <x v="13"/>
    <x v="13"/>
    <n v="20"/>
    <n v="0.9"/>
    <n v="160.5"/>
    <n v="3210"/>
    <n v="3208"/>
    <n v="2887.2000000000003"/>
    <n v="0.9993769470404984"/>
    <n v="1"/>
    <n v="-1E-3"/>
    <s v="330"/>
    <m/>
    <n v="3"/>
    <n v="3205"/>
    <n v="0.99906483790523692"/>
    <m/>
    <m/>
    <m/>
    <m/>
    <x v="0"/>
    <x v="0"/>
    <m/>
    <m/>
    <m/>
    <x v="0"/>
    <x v="0"/>
  </r>
  <r>
    <x v="344"/>
    <x v="43"/>
    <x v="41"/>
    <n v="16"/>
    <n v="0.26"/>
    <n v="584.29999999999995"/>
    <n v="9348.7999999999993"/>
    <n v="9420"/>
    <n v="2449.2000000000003"/>
    <n v="1.0076159507102516"/>
    <n v="1"/>
    <n v="8.0000000000000002E-3"/>
    <s v="240"/>
    <m/>
    <n v="35"/>
    <n v="9385"/>
    <n v="0.99628450106157107"/>
    <m/>
    <m/>
    <m/>
    <m/>
    <x v="0"/>
    <x v="0"/>
    <m/>
    <m/>
    <m/>
    <x v="0"/>
    <x v="0"/>
  </r>
  <r>
    <x v="344"/>
    <x v="135"/>
    <x v="117"/>
    <n v="4"/>
    <n v="3"/>
    <n v="0"/>
    <n v="0"/>
    <n v="146"/>
    <n v="438"/>
    <s v="無法預估數據"/>
    <e v="#N/A"/>
    <s v="無法預估數據"/>
    <s v="360"/>
    <m/>
    <n v="0"/>
    <n v="146"/>
    <n v="1"/>
    <m/>
    <m/>
    <m/>
    <m/>
    <x v="0"/>
    <x v="0"/>
    <m/>
    <m/>
    <m/>
    <x v="0"/>
    <x v="0"/>
  </r>
  <r>
    <x v="344"/>
    <x v="11"/>
    <x v="11"/>
    <n v="72"/>
    <n v="2.8"/>
    <n v="44.5"/>
    <n v="3204"/>
    <n v="3213"/>
    <n v="8996.4"/>
    <n v="1.002808988764045"/>
    <n v="1"/>
    <n v="3.0000000000000001E-3"/>
    <s v="625"/>
    <m/>
    <n v="1"/>
    <n v="3212"/>
    <n v="0.99968876439464671"/>
    <m/>
    <m/>
    <m/>
    <m/>
    <x v="0"/>
    <x v="0"/>
    <m/>
    <m/>
    <m/>
    <x v="0"/>
    <x v="0"/>
  </r>
  <r>
    <x v="344"/>
    <x v="96"/>
    <x v="87"/>
    <n v="50"/>
    <n v="1"/>
    <n v="5.7"/>
    <n v="285"/>
    <n v="290"/>
    <n v="290"/>
    <n v="1.0175438596491229"/>
    <n v="1"/>
    <n v="1.7999999999999999E-2"/>
    <s v="0"/>
    <m/>
    <n v="0"/>
    <n v="290"/>
    <n v="1"/>
    <m/>
    <m/>
    <m/>
    <m/>
    <x v="0"/>
    <x v="0"/>
    <m/>
    <m/>
    <m/>
    <x v="0"/>
    <x v="0"/>
  </r>
  <r>
    <x v="345"/>
    <x v="15"/>
    <x v="15"/>
    <n v="72"/>
    <n v="3.2"/>
    <n v="46.8"/>
    <n v="3369.6"/>
    <n v="3393"/>
    <n v="10857.6"/>
    <n v="1.0069444444444444"/>
    <n v="1"/>
    <n v="7.0000000000000001E-3"/>
    <s v="0"/>
    <m/>
    <n v="2"/>
    <n v="3391"/>
    <n v="0.99941055113468902"/>
    <m/>
    <m/>
    <m/>
    <m/>
    <x v="0"/>
    <x v="0"/>
    <m/>
    <m/>
    <m/>
    <x v="0"/>
    <x v="0"/>
  </r>
  <r>
    <x v="345"/>
    <x v="22"/>
    <x v="10"/>
    <n v="20"/>
    <n v="6"/>
    <n v="25.1"/>
    <n v="502"/>
    <n v="511"/>
    <n v="3066"/>
    <n v="1.0179282868525896"/>
    <n v="1"/>
    <n v="1.7999999999999999E-2"/>
    <s v="540"/>
    <m/>
    <n v="2"/>
    <n v="509"/>
    <n v="0.99608610567514677"/>
    <m/>
    <m/>
    <m/>
    <m/>
    <x v="0"/>
    <x v="0"/>
    <m/>
    <m/>
    <m/>
    <x v="0"/>
    <x v="0"/>
  </r>
  <r>
    <x v="345"/>
    <x v="10"/>
    <x v="10"/>
    <n v="20"/>
    <n v="6"/>
    <n v="25.4"/>
    <n v="508"/>
    <n v="501"/>
    <n v="3006"/>
    <n v="0.98622047244094491"/>
    <n v="1"/>
    <n v="-1.4E-2"/>
    <s v="270"/>
    <m/>
    <n v="1"/>
    <n v="500"/>
    <n v="0.99800399201596801"/>
    <m/>
    <m/>
    <m/>
    <m/>
    <x v="0"/>
    <x v="0"/>
    <m/>
    <m/>
    <m/>
    <x v="0"/>
    <x v="0"/>
  </r>
  <r>
    <x v="345"/>
    <x v="41"/>
    <x v="39"/>
    <n v="36"/>
    <n v="2.8"/>
    <n v="44.2"/>
    <n v="1591.2"/>
    <n v="1597"/>
    <n v="4471.5999999999995"/>
    <n v="1.0036450477626948"/>
    <n v="1"/>
    <n v="4.0000000000000001E-3"/>
    <s v="308"/>
    <m/>
    <n v="1"/>
    <n v="1596"/>
    <n v="0.9993738259236068"/>
    <m/>
    <m/>
    <m/>
    <m/>
    <x v="0"/>
    <x v="0"/>
    <m/>
    <m/>
    <m/>
    <x v="0"/>
    <x v="0"/>
  </r>
  <r>
    <x v="345"/>
    <x v="136"/>
    <x v="17"/>
    <n v="6.6"/>
    <n v="3"/>
    <n v="0"/>
    <n v="0"/>
    <n v="267"/>
    <n v="801"/>
    <s v="無法預估數據"/>
    <e v="#N/A"/>
    <s v="無法預估數據"/>
    <s v="315"/>
    <m/>
    <n v="0"/>
    <n v="267"/>
    <n v="1"/>
    <m/>
    <m/>
    <s v="裝箱"/>
    <m/>
    <x v="0"/>
    <x v="0"/>
    <m/>
    <m/>
    <m/>
    <x v="0"/>
    <x v="0"/>
  </r>
  <r>
    <x v="346"/>
    <x v="9"/>
    <x v="9"/>
    <n v="16"/>
    <n v="6"/>
    <n v="25.7"/>
    <n v="411.2"/>
    <n v="418"/>
    <n v="2508"/>
    <n v="1.0165369649805447"/>
    <n v="1"/>
    <n v="1.7000000000000001E-2"/>
    <s v="260"/>
    <m/>
    <n v="1"/>
    <n v="417"/>
    <n v="0.99760765550239239"/>
    <m/>
    <m/>
    <m/>
    <m/>
    <x v="0"/>
    <x v="0"/>
    <m/>
    <m/>
    <m/>
    <x v="0"/>
    <x v="0"/>
  </r>
  <r>
    <x v="346"/>
    <x v="16"/>
    <x v="16"/>
    <n v="20"/>
    <n v="6"/>
    <n v="26.1"/>
    <n v="522"/>
    <n v="528"/>
    <n v="3168"/>
    <n v="1.0114942528735633"/>
    <n v="1"/>
    <n v="1.0999999999999999E-2"/>
    <s v="230"/>
    <m/>
    <n v="2"/>
    <n v="526"/>
    <n v="0.99621212121212122"/>
    <m/>
    <m/>
    <m/>
    <m/>
    <x v="0"/>
    <x v="0"/>
    <m/>
    <m/>
    <m/>
    <x v="0"/>
    <x v="0"/>
  </r>
  <r>
    <x v="346"/>
    <x v="17"/>
    <x v="17"/>
    <n v="21"/>
    <n v="3"/>
    <n v="29.7"/>
    <n v="623.69999999999993"/>
    <n v="628"/>
    <n v="1884"/>
    <n v="1.0068943402276738"/>
    <n v="1"/>
    <n v="7.0000000000000001E-3"/>
    <s v="345"/>
    <m/>
    <n v="0"/>
    <n v="628"/>
    <n v="1"/>
    <m/>
    <m/>
    <m/>
    <m/>
    <x v="0"/>
    <x v="0"/>
    <m/>
    <m/>
    <m/>
    <x v="0"/>
    <x v="0"/>
  </r>
  <r>
    <x v="346"/>
    <x v="11"/>
    <x v="11"/>
    <n v="72"/>
    <n v="2.8"/>
    <n v="44.5"/>
    <n v="3204"/>
    <n v="3200"/>
    <n v="8960"/>
    <n v="0.99875156054931336"/>
    <n v="1"/>
    <n v="-1E-3"/>
    <s v="540"/>
    <m/>
    <n v="1"/>
    <n v="3199"/>
    <n v="0.99968749999999995"/>
    <m/>
    <m/>
    <m/>
    <m/>
    <x v="0"/>
    <x v="0"/>
    <m/>
    <m/>
    <m/>
    <x v="0"/>
    <x v="0"/>
  </r>
  <r>
    <x v="347"/>
    <x v="15"/>
    <x v="15"/>
    <n v="72"/>
    <n v="3.2"/>
    <n v="46.8"/>
    <n v="3369.6"/>
    <n v="3378"/>
    <n v="10809.6"/>
    <n v="1.0024928774928774"/>
    <n v="1"/>
    <n v="2E-3"/>
    <s v="540"/>
    <m/>
    <n v="7"/>
    <n v="3371"/>
    <n v="0.99792776791000593"/>
    <m/>
    <m/>
    <m/>
    <m/>
    <x v="0"/>
    <x v="0"/>
    <m/>
    <m/>
    <m/>
    <x v="0"/>
    <x v="0"/>
  </r>
  <r>
    <x v="347"/>
    <x v="16"/>
    <x v="16"/>
    <n v="20"/>
    <n v="6"/>
    <n v="26.1"/>
    <n v="522"/>
    <n v="525"/>
    <n v="3150"/>
    <n v="1.0057471264367817"/>
    <n v="1"/>
    <n v="6.0000000000000001E-3"/>
    <s v="275"/>
    <m/>
    <n v="4"/>
    <n v="521"/>
    <n v="0.99238095238095236"/>
    <m/>
    <m/>
    <m/>
    <m/>
    <x v="0"/>
    <x v="0"/>
    <m/>
    <m/>
    <m/>
    <x v="0"/>
    <x v="0"/>
  </r>
  <r>
    <x v="347"/>
    <x v="9"/>
    <x v="9"/>
    <n v="20"/>
    <n v="6"/>
    <n v="25.7"/>
    <n v="514"/>
    <n v="525"/>
    <n v="3150"/>
    <n v="1.0214007782101167"/>
    <n v="1"/>
    <n v="2.1000000000000001E-2"/>
    <s v="293"/>
    <m/>
    <n v="2"/>
    <n v="523"/>
    <n v="0.99619047619047618"/>
    <m/>
    <m/>
    <m/>
    <m/>
    <x v="0"/>
    <x v="0"/>
    <m/>
    <m/>
    <m/>
    <x v="0"/>
    <x v="0"/>
  </r>
  <r>
    <x v="347"/>
    <x v="34"/>
    <x v="32"/>
    <n v="20"/>
    <n v="0.34"/>
    <n v="358.3"/>
    <n v="7166"/>
    <n v="7315"/>
    <n v="2487.1000000000004"/>
    <n v="1.0207926318727323"/>
    <n v="1"/>
    <n v="2.1000000000000001E-2"/>
    <s v="320"/>
    <m/>
    <n v="1"/>
    <n v="7314"/>
    <n v="0.99986329460013668"/>
    <m/>
    <m/>
    <m/>
    <m/>
    <x v="0"/>
    <x v="0"/>
    <m/>
    <m/>
    <m/>
    <x v="0"/>
    <x v="0"/>
  </r>
  <r>
    <x v="347"/>
    <x v="24"/>
    <x v="23"/>
    <n v="12"/>
    <n v="0.34"/>
    <n v="366"/>
    <n v="4392"/>
    <n v="4225"/>
    <n v="1436.5"/>
    <n v="0.96197632058287796"/>
    <n v="1"/>
    <n v="-3.7999999999999999E-2"/>
    <s v="280"/>
    <m/>
    <n v="5"/>
    <n v="4220"/>
    <n v="0.99881656804733732"/>
    <m/>
    <m/>
    <s v="E0121佳樂美*200箱"/>
    <m/>
    <x v="0"/>
    <x v="0"/>
    <m/>
    <m/>
    <m/>
    <x v="0"/>
    <x v="0"/>
  </r>
  <r>
    <x v="347"/>
    <x v="23"/>
    <x v="22"/>
    <n v="8"/>
    <n v="0.34"/>
    <n v="364.6"/>
    <n v="2916.8"/>
    <n v="3213"/>
    <n v="1092.42"/>
    <n v="1.1015496434448711"/>
    <n v="1"/>
    <n v="0.10199999999999999"/>
    <s v="260"/>
    <m/>
    <n v="3"/>
    <n v="3210"/>
    <n v="0.99906629318394025"/>
    <m/>
    <m/>
    <m/>
    <m/>
    <x v="0"/>
    <x v="0"/>
    <m/>
    <m/>
    <m/>
    <x v="0"/>
    <x v="0"/>
  </r>
  <r>
    <x v="347"/>
    <x v="118"/>
    <x v="107"/>
    <n v="1"/>
    <n v="1"/>
    <n v="0"/>
    <n v="0"/>
    <n v="540"/>
    <n v="540"/>
    <s v="無法預估數據"/>
    <e v="#N/A"/>
    <s v="無法預估數據"/>
    <s v="0"/>
    <m/>
    <n v="0"/>
    <n v="540"/>
    <n v="1"/>
    <m/>
    <m/>
    <m/>
    <m/>
    <x v="0"/>
    <x v="0"/>
    <m/>
    <m/>
    <m/>
    <x v="0"/>
    <x v="0"/>
  </r>
  <r>
    <x v="348"/>
    <x v="8"/>
    <x v="8"/>
    <n v="40"/>
    <n v="0.44"/>
    <n v="344"/>
    <n v="13760"/>
    <n v="13789"/>
    <n v="6067.16"/>
    <n v="1.0021075581395349"/>
    <n v="1"/>
    <n v="2E-3"/>
    <s v="540"/>
    <m/>
    <n v="10"/>
    <n v="13779"/>
    <n v="0.99927478424831384"/>
    <m/>
    <m/>
    <m/>
    <m/>
    <x v="0"/>
    <x v="0"/>
    <m/>
    <m/>
    <m/>
    <x v="0"/>
    <x v="0"/>
  </r>
  <r>
    <x v="348"/>
    <x v="9"/>
    <x v="9"/>
    <n v="20"/>
    <n v="6"/>
    <n v="25.7"/>
    <n v="514"/>
    <n v="522"/>
    <n v="3132"/>
    <n v="1.0155642023346303"/>
    <n v="1"/>
    <n v="1.6E-2"/>
    <s v="273"/>
    <m/>
    <n v="1"/>
    <n v="521"/>
    <n v="0.99808429118773945"/>
    <m/>
    <m/>
    <m/>
    <m/>
    <x v="0"/>
    <x v="0"/>
    <m/>
    <m/>
    <m/>
    <x v="0"/>
    <x v="0"/>
  </r>
  <r>
    <x v="348"/>
    <x v="18"/>
    <x v="18"/>
    <n v="20"/>
    <n v="6"/>
    <n v="26.4"/>
    <n v="528"/>
    <n v="526"/>
    <n v="3156"/>
    <n v="0.99621212121212122"/>
    <n v="1"/>
    <n v="-4.0000000000000001E-3"/>
    <s v="275"/>
    <m/>
    <n v="2"/>
    <n v="524"/>
    <n v="0.99619771863117867"/>
    <m/>
    <m/>
    <m/>
    <m/>
    <x v="0"/>
    <x v="0"/>
    <m/>
    <m/>
    <m/>
    <x v="0"/>
    <x v="0"/>
  </r>
  <r>
    <x v="348"/>
    <x v="11"/>
    <x v="11"/>
    <n v="72"/>
    <n v="2.8"/>
    <n v="44.5"/>
    <n v="3011.1428571428573"/>
    <n v="3004"/>
    <n v="8411.1999999999989"/>
    <n v="0.9976278584305911"/>
    <n v="1"/>
    <n v="-2E-3"/>
    <s v="650"/>
    <m/>
    <n v="1"/>
    <n v="3003"/>
    <n v="0.99966711051930757"/>
    <m/>
    <m/>
    <s v="D9920(18kg)*30桶"/>
    <m/>
    <x v="0"/>
    <x v="0"/>
    <m/>
    <m/>
    <m/>
    <x v="0"/>
    <x v="0"/>
  </r>
  <r>
    <x v="349"/>
    <x v="2"/>
    <x v="2"/>
    <n v="32"/>
    <n v="6"/>
    <n v="26.6"/>
    <n v="851.2"/>
    <n v="853"/>
    <n v="5118"/>
    <n v="1.0021146616541352"/>
    <n v="1"/>
    <n v="2E-3"/>
    <s v="475"/>
    <m/>
    <n v="1"/>
    <n v="852"/>
    <n v="0.9988276670574443"/>
    <m/>
    <m/>
    <m/>
    <m/>
    <x v="0"/>
    <x v="0"/>
    <m/>
    <m/>
    <m/>
    <x v="0"/>
    <x v="0"/>
  </r>
  <r>
    <x v="349"/>
    <x v="129"/>
    <x v="113"/>
    <n v="6"/>
    <n v="6"/>
    <n v="0"/>
    <n v="0"/>
    <n v="150"/>
    <n v="900"/>
    <s v="無法預估數據"/>
    <e v="#N/A"/>
    <s v="無法預估數據"/>
    <s v="160"/>
    <m/>
    <n v="10"/>
    <n v="140"/>
    <n v="0.93333333333333335"/>
    <m/>
    <m/>
    <m/>
    <m/>
    <x v="0"/>
    <x v="0"/>
    <m/>
    <m/>
    <m/>
    <x v="0"/>
    <x v="0"/>
  </r>
  <r>
    <x v="349"/>
    <x v="11"/>
    <x v="11"/>
    <n v="24"/>
    <n v="2.8"/>
    <n v="44.5"/>
    <n v="1068"/>
    <n v="1081"/>
    <n v="3026.7999999999997"/>
    <n v="1.0121722846441947"/>
    <n v="1"/>
    <n v="1.2E-2"/>
    <s v="290"/>
    <m/>
    <n v="1"/>
    <n v="1080"/>
    <n v="0.99907493061979646"/>
    <m/>
    <m/>
    <s v="D2021美芝城*150箱"/>
    <m/>
    <x v="0"/>
    <x v="0"/>
    <m/>
    <m/>
    <m/>
    <x v="0"/>
    <x v="0"/>
  </r>
  <r>
    <x v="350"/>
    <x v="0"/>
    <x v="0"/>
    <n v="24"/>
    <n v="6"/>
    <n v="25.5"/>
    <n v="612"/>
    <n v="613"/>
    <n v="3678"/>
    <n v="1.0016339869281046"/>
    <n v="1"/>
    <n v="2E-3"/>
    <s v="288"/>
    <m/>
    <n v="4"/>
    <n v="609"/>
    <n v="0.99347471451876024"/>
    <m/>
    <m/>
    <m/>
    <m/>
    <x v="0"/>
    <x v="0"/>
    <m/>
    <m/>
    <m/>
    <x v="0"/>
    <x v="0"/>
  </r>
  <r>
    <x v="350"/>
    <x v="82"/>
    <x v="74"/>
    <n v="6"/>
    <n v="6"/>
    <n v="24.5"/>
    <n v="147"/>
    <n v="145"/>
    <n v="870"/>
    <n v="0.98639455782312924"/>
    <n v="1"/>
    <n v="-1.4E-2"/>
    <s v="160"/>
    <m/>
    <n v="1"/>
    <n v="144"/>
    <n v="0.99310344827586206"/>
    <m/>
    <m/>
    <m/>
    <m/>
    <x v="0"/>
    <x v="0"/>
    <m/>
    <m/>
    <m/>
    <x v="0"/>
    <x v="0"/>
  </r>
  <r>
    <x v="350"/>
    <x v="130"/>
    <x v="114"/>
    <n v="8"/>
    <n v="6"/>
    <n v="0"/>
    <n v="0"/>
    <n v="209"/>
    <n v="1254"/>
    <s v="無法預估數據"/>
    <e v="#N/A"/>
    <s v="無法預估數據"/>
    <s v="185"/>
    <m/>
    <n v="6"/>
    <n v="203"/>
    <n v="0.9712918660287081"/>
    <m/>
    <m/>
    <m/>
    <m/>
    <x v="0"/>
    <x v="0"/>
    <m/>
    <m/>
    <m/>
    <x v="0"/>
    <x v="0"/>
  </r>
  <r>
    <x v="350"/>
    <x v="52"/>
    <x v="46"/>
    <n v="8"/>
    <n v="4.5"/>
    <n v="35.6"/>
    <n v="284.8"/>
    <n v="284"/>
    <n v="1278"/>
    <n v="0.99719101123595499"/>
    <n v="1"/>
    <n v="-3.0000000000000001E-3"/>
    <s v="260"/>
    <m/>
    <n v="0"/>
    <n v="284"/>
    <n v="1"/>
    <m/>
    <m/>
    <m/>
    <m/>
    <x v="0"/>
    <x v="0"/>
    <m/>
    <m/>
    <m/>
    <x v="0"/>
    <x v="0"/>
  </r>
  <r>
    <x v="350"/>
    <x v="128"/>
    <x v="45"/>
    <n v="12"/>
    <n v="9.08"/>
    <n v="17.399999999999999"/>
    <n v="208.79999999999998"/>
    <n v="227"/>
    <n v="2061.16"/>
    <n v="1.0871647509578546"/>
    <e v="#N/A"/>
    <e v="#N/A"/>
    <s v="256"/>
    <m/>
    <n v="0"/>
    <n v="227"/>
    <n v="1"/>
    <m/>
    <n v="180"/>
    <s v="特殊製程(1140603-01A)。"/>
    <m/>
    <x v="0"/>
    <x v="0"/>
    <m/>
    <m/>
    <m/>
    <x v="0"/>
    <x v="0"/>
  </r>
  <r>
    <x v="350"/>
    <x v="122"/>
    <x v="111"/>
    <n v="16"/>
    <n v="6"/>
    <n v="0"/>
    <n v="0"/>
    <n v="399"/>
    <n v="2394"/>
    <s v="無法預估數據"/>
    <e v="#N/A"/>
    <s v="無法預估數據"/>
    <s v="270"/>
    <m/>
    <n v="1"/>
    <n v="398"/>
    <n v="0.99749373433583954"/>
    <m/>
    <m/>
    <m/>
    <m/>
    <x v="0"/>
    <x v="0"/>
    <m/>
    <m/>
    <m/>
    <x v="0"/>
    <x v="0"/>
  </r>
  <r>
    <x v="350"/>
    <x v="6"/>
    <x v="6"/>
    <n v="48"/>
    <n v="0.4"/>
    <n v="309.2"/>
    <n v="14841.599999999999"/>
    <n v="14870"/>
    <n v="5948"/>
    <n v="1.0019135403191031"/>
    <n v="1"/>
    <n v="2E-3"/>
    <s v="575"/>
    <m/>
    <n v="3"/>
    <n v="14867"/>
    <n v="0.99979825151311363"/>
    <m/>
    <m/>
    <m/>
    <m/>
    <x v="0"/>
    <x v="0"/>
    <m/>
    <m/>
    <m/>
    <x v="0"/>
    <x v="0"/>
  </r>
  <r>
    <x v="351"/>
    <x v="71"/>
    <x v="61"/>
    <n v="4"/>
    <n v="0.17"/>
    <n v="912.6"/>
    <n v="3650.4"/>
    <n v="3352"/>
    <n v="569.84"/>
    <n v="0.918255533640149"/>
    <n v="1"/>
    <n v="-8.2000000000000003E-2"/>
    <s v="190"/>
    <m/>
    <n v="5"/>
    <n v="3347"/>
    <n v="0.99850835322195708"/>
    <m/>
    <m/>
    <m/>
    <m/>
    <x v="0"/>
    <x v="0"/>
    <m/>
    <m/>
    <m/>
    <x v="0"/>
    <x v="0"/>
  </r>
  <r>
    <x v="351"/>
    <x v="117"/>
    <x v="106"/>
    <n v="4"/>
    <n v="0.26"/>
    <n v="612"/>
    <n v="2448"/>
    <n v="2264"/>
    <n v="588.64"/>
    <n v="0.92483660130718959"/>
    <n v="1"/>
    <n v="-7.4999999999999997E-2"/>
    <s v="130"/>
    <m/>
    <n v="11"/>
    <n v="2253"/>
    <n v="0.99514134275618371"/>
    <m/>
    <m/>
    <m/>
    <m/>
    <x v="0"/>
    <x v="0"/>
    <m/>
    <m/>
    <m/>
    <x v="0"/>
    <x v="0"/>
  </r>
  <r>
    <x v="351"/>
    <x v="21"/>
    <x v="21"/>
    <n v="40"/>
    <n v="3.2"/>
    <n v="46.4"/>
    <n v="1856"/>
    <n v="1878"/>
    <n v="6009.6"/>
    <n v="1.0118534482758621"/>
    <n v="1"/>
    <n v="1.2E-2"/>
    <s v="360"/>
    <m/>
    <n v="1"/>
    <n v="1877"/>
    <n v="0.99946751863684768"/>
    <m/>
    <m/>
    <m/>
    <m/>
    <x v="0"/>
    <x v="0"/>
    <m/>
    <m/>
    <m/>
    <x v="0"/>
    <x v="0"/>
  </r>
  <r>
    <x v="351"/>
    <x v="48"/>
    <x v="17"/>
    <n v="20"/>
    <n v="3"/>
    <n v="30.8"/>
    <n v="616"/>
    <n v="648"/>
    <n v="1944"/>
    <n v="1.051948051948052"/>
    <n v="1"/>
    <n v="5.1999999999999998E-2"/>
    <s v="540"/>
    <m/>
    <n v="0"/>
    <n v="648"/>
    <n v="1"/>
    <m/>
    <m/>
    <m/>
    <m/>
    <x v="0"/>
    <x v="0"/>
    <m/>
    <m/>
    <m/>
    <x v="0"/>
    <x v="0"/>
  </r>
  <r>
    <x v="351"/>
    <x v="41"/>
    <x v="39"/>
    <n v="40"/>
    <n v="2.8"/>
    <n v="44.2"/>
    <n v="1768"/>
    <n v="1791"/>
    <n v="5014.7999999999993"/>
    <n v="1.0130090497737556"/>
    <n v="1"/>
    <n v="1.2999999999999999E-2"/>
    <s v="370"/>
    <m/>
    <n v="2"/>
    <n v="1789"/>
    <n v="0.9988833054159687"/>
    <m/>
    <m/>
    <m/>
    <m/>
    <x v="0"/>
    <x v="0"/>
    <m/>
    <m/>
    <m/>
    <x v="0"/>
    <x v="0"/>
  </r>
  <r>
    <x v="351"/>
    <x v="61"/>
    <x v="33"/>
    <n v="32"/>
    <n v="18"/>
    <n v="6.9"/>
    <n v="220.8"/>
    <n v="224"/>
    <n v="4032"/>
    <n v="1.0144927536231882"/>
    <n v="1"/>
    <n v="1.4E-2"/>
    <s v="365"/>
    <m/>
    <n v="0"/>
    <n v="224"/>
    <n v="1"/>
    <m/>
    <m/>
    <m/>
    <m/>
    <x v="0"/>
    <x v="0"/>
    <m/>
    <m/>
    <m/>
    <x v="0"/>
    <x v="0"/>
  </r>
  <r>
    <x v="352"/>
    <x v="15"/>
    <x v="15"/>
    <n v="40"/>
    <n v="3.2"/>
    <n v="46.8"/>
    <n v="1872"/>
    <n v="1891"/>
    <n v="6051.2000000000007"/>
    <n v="1.0101495726495726"/>
    <n v="1"/>
    <n v="0.01"/>
    <s v="340"/>
    <m/>
    <n v="1"/>
    <n v="1890"/>
    <n v="0.99947117927022744"/>
    <m/>
    <m/>
    <m/>
    <m/>
    <x v="0"/>
    <x v="0"/>
    <m/>
    <m/>
    <m/>
    <x v="0"/>
    <x v="0"/>
  </r>
  <r>
    <x v="352"/>
    <x v="30"/>
    <x v="28"/>
    <n v="12"/>
    <n v="0.43"/>
    <n v="340.4"/>
    <n v="4084.7999999999997"/>
    <n v="4105"/>
    <n v="1765.1499999999999"/>
    <n v="1.0049451625538584"/>
    <n v="1"/>
    <n v="5.0000000000000001E-3"/>
    <s v="210"/>
    <m/>
    <n v="11"/>
    <n v="4094"/>
    <n v="0.997320341047503"/>
    <m/>
    <m/>
    <m/>
    <m/>
    <x v="0"/>
    <x v="0"/>
    <m/>
    <m/>
    <m/>
    <x v="0"/>
    <x v="0"/>
  </r>
  <r>
    <x v="352"/>
    <x v="137"/>
    <x v="118"/>
    <n v="4"/>
    <n v="6"/>
    <n v="0"/>
    <n v="0"/>
    <n v="104"/>
    <n v="624"/>
    <s v="無法預估數據"/>
    <e v="#N/A"/>
    <s v="無法預估數據"/>
    <s v="89"/>
    <m/>
    <n v="1"/>
    <n v="103"/>
    <n v="0.99038461538461542"/>
    <m/>
    <m/>
    <m/>
    <m/>
    <x v="0"/>
    <x v="0"/>
    <m/>
    <m/>
    <m/>
    <x v="0"/>
    <x v="0"/>
  </r>
  <r>
    <x v="352"/>
    <x v="127"/>
    <x v="75"/>
    <n v="6"/>
    <n v="6"/>
    <n v="25.8"/>
    <n v="154.80000000000001"/>
    <n v="183"/>
    <n v="1098"/>
    <n v="1.1821705426356588"/>
    <e v="#N/A"/>
    <e v="#N/A"/>
    <s v="175"/>
    <m/>
    <n v="2"/>
    <n v="181"/>
    <n v="0.98907103825136611"/>
    <m/>
    <m/>
    <m/>
    <m/>
    <x v="0"/>
    <x v="0"/>
    <m/>
    <m/>
    <m/>
    <x v="0"/>
    <x v="0"/>
  </r>
  <r>
    <x v="352"/>
    <x v="22"/>
    <x v="10"/>
    <n v="28"/>
    <n v="6"/>
    <n v="25.1"/>
    <n v="702.80000000000007"/>
    <n v="711"/>
    <n v="4266"/>
    <n v="1.0116676152532724"/>
    <n v="1"/>
    <n v="1.2E-2"/>
    <s v="390"/>
    <m/>
    <n v="1"/>
    <n v="710"/>
    <n v="0.99859353023909991"/>
    <m/>
    <m/>
    <m/>
    <m/>
    <x v="0"/>
    <x v="0"/>
    <m/>
    <m/>
    <m/>
    <x v="0"/>
    <x v="0"/>
  </r>
  <r>
    <x v="352"/>
    <x v="35"/>
    <x v="33"/>
    <n v="8"/>
    <n v="18"/>
    <n v="6.6"/>
    <n v="52.8"/>
    <n v="48"/>
    <n v="864"/>
    <n v="0.90909090909090917"/>
    <n v="1"/>
    <n v="-9.0999999999999998E-2"/>
    <s v="135"/>
    <m/>
    <n v="0"/>
    <n v="48"/>
    <n v="1"/>
    <m/>
    <m/>
    <m/>
    <m/>
    <x v="0"/>
    <x v="0"/>
    <m/>
    <m/>
    <m/>
    <x v="0"/>
    <x v="0"/>
  </r>
  <r>
    <x v="352"/>
    <x v="55"/>
    <x v="48"/>
    <n v="40"/>
    <n v="18"/>
    <n v="6.9"/>
    <n v="276"/>
    <n v="281"/>
    <n v="5058"/>
    <n v="1.0181159420289856"/>
    <n v="1"/>
    <n v="1.7999999999999999E-2"/>
    <s v="425"/>
    <m/>
    <n v="0"/>
    <n v="281"/>
    <n v="1"/>
    <m/>
    <m/>
    <m/>
    <m/>
    <x v="0"/>
    <x v="0"/>
    <m/>
    <m/>
    <m/>
    <x v="0"/>
    <x v="0"/>
  </r>
  <r>
    <x v="352"/>
    <x v="105"/>
    <x v="93"/>
    <n v="1"/>
    <n v="0.1"/>
    <n v="1732"/>
    <n v="1732"/>
    <n v="1650"/>
    <n v="165"/>
    <n v="0.95265588914549648"/>
    <n v="1"/>
    <n v="-4.7E-2"/>
    <s v="0"/>
    <m/>
    <n v="29"/>
    <n v="1621"/>
    <n v="0.98242424242424242"/>
    <m/>
    <m/>
    <m/>
    <m/>
    <x v="0"/>
    <x v="0"/>
    <m/>
    <m/>
    <m/>
    <x v="0"/>
    <x v="0"/>
  </r>
  <r>
    <x v="353"/>
    <x v="18"/>
    <x v="18"/>
    <n v="16"/>
    <n v="6"/>
    <n v="26.4"/>
    <n v="422.4"/>
    <n v="433"/>
    <n v="2598"/>
    <n v="1.025094696969697"/>
    <n v="1"/>
    <n v="2.5000000000000001E-2"/>
    <s v="250"/>
    <m/>
    <n v="2"/>
    <n v="431"/>
    <n v="0.99538106235565815"/>
    <m/>
    <m/>
    <m/>
    <m/>
    <x v="0"/>
    <x v="0"/>
    <m/>
    <m/>
    <m/>
    <x v="0"/>
    <x v="0"/>
  </r>
  <r>
    <x v="353"/>
    <x v="9"/>
    <x v="9"/>
    <n v="24"/>
    <n v="6"/>
    <n v="25.7"/>
    <n v="616.79999999999995"/>
    <n v="635"/>
    <n v="3810"/>
    <n v="1.0295071335927368"/>
    <n v="1"/>
    <n v="0.03"/>
    <s v="330"/>
    <m/>
    <n v="2"/>
    <n v="633"/>
    <n v="0.99685039370078743"/>
    <m/>
    <m/>
    <m/>
    <m/>
    <x v="0"/>
    <x v="0"/>
    <m/>
    <m/>
    <m/>
    <x v="0"/>
    <x v="0"/>
  </r>
  <r>
    <x v="353"/>
    <x v="46"/>
    <x v="17"/>
    <n v="21"/>
    <n v="3"/>
    <n v="31.6"/>
    <n v="663.6"/>
    <n v="668"/>
    <n v="2004"/>
    <n v="1.0066305003013862"/>
    <n v="1"/>
    <n v="7.0000000000000001E-3"/>
    <s v="540"/>
    <m/>
    <n v="0"/>
    <n v="668"/>
    <n v="1"/>
    <m/>
    <m/>
    <m/>
    <m/>
    <x v="0"/>
    <x v="0"/>
    <m/>
    <m/>
    <m/>
    <x v="0"/>
    <x v="0"/>
  </r>
  <r>
    <x v="353"/>
    <x v="11"/>
    <x v="11"/>
    <n v="72"/>
    <n v="2.8"/>
    <n v="44.5"/>
    <n v="3204"/>
    <n v="3216"/>
    <n v="9004.7999999999993"/>
    <n v="1.0037453183520599"/>
    <n v="1"/>
    <n v="4.0000000000000001E-3"/>
    <s v="615"/>
    <m/>
    <n v="1"/>
    <n v="3215"/>
    <n v="0.99968905472636815"/>
    <m/>
    <m/>
    <m/>
    <m/>
    <x v="0"/>
    <x v="0"/>
    <m/>
    <m/>
    <m/>
    <x v="0"/>
    <x v="0"/>
  </r>
  <r>
    <x v="354"/>
    <x v="9"/>
    <x v="9"/>
    <n v="24"/>
    <n v="6"/>
    <n v="25.7"/>
    <n v="616.79999999999995"/>
    <n v="633"/>
    <n v="3798"/>
    <n v="1.0262645914396888"/>
    <n v="1"/>
    <n v="2.5999999999999999E-2"/>
    <s v="310"/>
    <m/>
    <n v="3"/>
    <n v="630"/>
    <n v="0.99526066350710896"/>
    <m/>
    <m/>
    <m/>
    <m/>
    <x v="0"/>
    <x v="0"/>
    <m/>
    <m/>
    <m/>
    <x v="0"/>
    <x v="0"/>
  </r>
  <r>
    <x v="354"/>
    <x v="137"/>
    <x v="118"/>
    <n v="16"/>
    <n v="6"/>
    <n v="0"/>
    <n v="0"/>
    <n v="431"/>
    <n v="2586"/>
    <s v="無法預估數據"/>
    <e v="#N/A"/>
    <s v="無法預估數據"/>
    <s v="250"/>
    <m/>
    <n v="1"/>
    <n v="430"/>
    <n v="0.99767981438515085"/>
    <m/>
    <m/>
    <m/>
    <m/>
    <x v="0"/>
    <x v="0"/>
    <m/>
    <m/>
    <m/>
    <x v="0"/>
    <x v="0"/>
  </r>
  <r>
    <x v="354"/>
    <x v="17"/>
    <x v="17"/>
    <n v="21"/>
    <n v="3"/>
    <n v="29.7"/>
    <n v="623.69999999999993"/>
    <n v="628"/>
    <n v="1884"/>
    <n v="1.0068943402276738"/>
    <n v="1"/>
    <n v="7.0000000000000001E-3"/>
    <s v="540"/>
    <m/>
    <n v="0"/>
    <n v="628"/>
    <n v="1"/>
    <m/>
    <m/>
    <m/>
    <m/>
    <x v="0"/>
    <x v="0"/>
    <m/>
    <m/>
    <m/>
    <x v="0"/>
    <x v="0"/>
  </r>
  <r>
    <x v="354"/>
    <x v="11"/>
    <x v="11"/>
    <n v="72"/>
    <n v="2.8"/>
    <n v="44.5"/>
    <n v="3204"/>
    <n v="3213"/>
    <n v="8996.4"/>
    <n v="1.002808988764045"/>
    <n v="1"/>
    <n v="3.0000000000000001E-3"/>
    <s v="595"/>
    <m/>
    <n v="1"/>
    <n v="3212"/>
    <n v="0.99968876439464671"/>
    <m/>
    <m/>
    <m/>
    <m/>
    <x v="0"/>
    <x v="0"/>
    <m/>
    <m/>
    <m/>
    <x v="0"/>
    <x v="0"/>
  </r>
  <r>
    <x v="354"/>
    <x v="97"/>
    <x v="88"/>
    <n v="50"/>
    <n v="1"/>
    <n v="6"/>
    <n v="300"/>
    <n v="301"/>
    <n v="301"/>
    <n v="1.0033333333333334"/>
    <n v="1"/>
    <n v="3.0000000000000001E-3"/>
    <s v="0"/>
    <m/>
    <n v="0"/>
    <n v="301"/>
    <n v="1"/>
    <m/>
    <m/>
    <m/>
    <m/>
    <x v="0"/>
    <x v="0"/>
    <m/>
    <m/>
    <m/>
    <x v="0"/>
    <x v="0"/>
  </r>
  <r>
    <x v="355"/>
    <x v="27"/>
    <x v="26"/>
    <n v="72"/>
    <n v="3.2"/>
    <n v="47.5"/>
    <n v="3420"/>
    <n v="3349"/>
    <n v="10716.800000000001"/>
    <n v="0.97923976608187135"/>
    <n v="1"/>
    <n v="-2.1000000000000001E-2"/>
    <s v="540"/>
    <m/>
    <n v="2"/>
    <n v="3347"/>
    <n v="0.99940280680800242"/>
    <m/>
    <m/>
    <m/>
    <m/>
    <x v="0"/>
    <x v="0"/>
    <m/>
    <m/>
    <m/>
    <x v="0"/>
    <x v="0"/>
  </r>
  <r>
    <x v="355"/>
    <x v="10"/>
    <x v="10"/>
    <n v="20"/>
    <n v="6"/>
    <n v="25.4"/>
    <n v="508"/>
    <n v="499"/>
    <n v="2994"/>
    <n v="0.98228346456692917"/>
    <n v="1"/>
    <n v="-1.7999999999999999E-2"/>
    <s v="330"/>
    <m/>
    <n v="1"/>
    <n v="498"/>
    <n v="0.99799599198396793"/>
    <m/>
    <m/>
    <m/>
    <m/>
    <x v="0"/>
    <x v="0"/>
    <m/>
    <m/>
    <m/>
    <x v="0"/>
    <x v="0"/>
  </r>
  <r>
    <x v="355"/>
    <x v="9"/>
    <x v="9"/>
    <n v="20"/>
    <n v="6"/>
    <n v="25.7"/>
    <n v="514"/>
    <n v="526"/>
    <n v="3156"/>
    <n v="1.0233463035019454"/>
    <n v="1"/>
    <n v="2.3E-2"/>
    <s v="270"/>
    <m/>
    <n v="1"/>
    <n v="525"/>
    <n v="0.99809885931558939"/>
    <m/>
    <m/>
    <m/>
    <m/>
    <x v="0"/>
    <x v="0"/>
    <m/>
    <m/>
    <m/>
    <x v="0"/>
    <x v="0"/>
  </r>
  <r>
    <x v="355"/>
    <x v="78"/>
    <x v="70"/>
    <n v="8"/>
    <n v="0.28999999999999998"/>
    <n v="388"/>
    <n v="3104"/>
    <n v="3355"/>
    <n v="972.94999999999993"/>
    <n v="1.0808634020618557"/>
    <n v="1"/>
    <n v="8.1000000000000003E-2"/>
    <s v="255"/>
    <m/>
    <n v="9"/>
    <n v="3346"/>
    <n v="0.99731743666169892"/>
    <m/>
    <m/>
    <m/>
    <m/>
    <x v="0"/>
    <x v="0"/>
    <m/>
    <m/>
    <m/>
    <x v="0"/>
    <x v="0"/>
  </r>
  <r>
    <x v="355"/>
    <x v="41"/>
    <x v="39"/>
    <n v="36"/>
    <n v="2.8"/>
    <n v="44.2"/>
    <n v="1591.2"/>
    <n v="1604"/>
    <n v="4491.2"/>
    <n v="1.008044243338361"/>
    <n v="1"/>
    <n v="8.0000000000000002E-3"/>
    <s v="435"/>
    <m/>
    <n v="1"/>
    <n v="1603"/>
    <n v="0.99937655860349128"/>
    <m/>
    <m/>
    <m/>
    <m/>
    <x v="0"/>
    <x v="0"/>
    <m/>
    <m/>
    <m/>
    <x v="0"/>
    <x v="0"/>
  </r>
  <r>
    <x v="356"/>
    <x v="43"/>
    <x v="41"/>
    <n v="16"/>
    <n v="0.26"/>
    <n v="584.29999999999995"/>
    <n v="9348.7999999999993"/>
    <n v="9352"/>
    <n v="2431.52"/>
    <n v="1.000342289919562"/>
    <n v="1"/>
    <n v="0"/>
    <s v="240"/>
    <m/>
    <n v="11"/>
    <n v="9341"/>
    <n v="0.99882378100940972"/>
    <m/>
    <m/>
    <s v="瓶器225cc醬菜瓶"/>
    <m/>
    <x v="0"/>
    <x v="0"/>
    <m/>
    <m/>
    <m/>
    <x v="0"/>
    <x v="0"/>
  </r>
  <r>
    <x v="356"/>
    <x v="8"/>
    <x v="8"/>
    <n v="24"/>
    <n v="0.44"/>
    <n v="344"/>
    <n v="8256"/>
    <n v="8214"/>
    <n v="3614.16"/>
    <n v="0.99491279069767447"/>
    <n v="1"/>
    <n v="-5.0000000000000001E-3"/>
    <s v="340"/>
    <m/>
    <n v="5"/>
    <n v="8209"/>
    <n v="0.99939128317506698"/>
    <m/>
    <m/>
    <m/>
    <m/>
    <x v="0"/>
    <x v="0"/>
    <m/>
    <m/>
    <m/>
    <x v="0"/>
    <x v="0"/>
  </r>
  <r>
    <x v="356"/>
    <x v="4"/>
    <x v="4"/>
    <n v="12"/>
    <n v="4.5"/>
    <n v="34.5"/>
    <n v="414"/>
    <n v="424"/>
    <n v="1908"/>
    <n v="1.0241545893719808"/>
    <n v="1"/>
    <n v="2.4E-2"/>
    <s v="285"/>
    <m/>
    <n v="1"/>
    <n v="423"/>
    <n v="0.99764150943396224"/>
    <m/>
    <m/>
    <m/>
    <m/>
    <x v="0"/>
    <x v="0"/>
    <m/>
    <m/>
    <m/>
    <x v="0"/>
    <x v="0"/>
  </r>
  <r>
    <x v="356"/>
    <x v="59"/>
    <x v="52"/>
    <n v="12"/>
    <n v="4.5"/>
    <n v="34.9"/>
    <n v="418.79999999999995"/>
    <n v="434"/>
    <n v="1953"/>
    <n v="1.0362941738299907"/>
    <n v="1"/>
    <n v="3.5999999999999997E-2"/>
    <s v="217"/>
    <m/>
    <n v="0"/>
    <n v="434"/>
    <n v="1"/>
    <m/>
    <m/>
    <m/>
    <m/>
    <x v="0"/>
    <x v="0"/>
    <m/>
    <m/>
    <m/>
    <x v="0"/>
    <x v="0"/>
  </r>
  <r>
    <x v="356"/>
    <x v="16"/>
    <x v="16"/>
    <n v="12"/>
    <n v="6"/>
    <n v="26.1"/>
    <n v="313.20000000000005"/>
    <n v="322"/>
    <n v="1932"/>
    <n v="1.0280970625798211"/>
    <n v="1"/>
    <n v="2.8000000000000001E-2"/>
    <s v="220"/>
    <m/>
    <n v="1"/>
    <n v="321"/>
    <n v="0.99689440993788825"/>
    <m/>
    <m/>
    <m/>
    <m/>
    <x v="0"/>
    <x v="0"/>
    <m/>
    <m/>
    <m/>
    <x v="0"/>
    <x v="0"/>
  </r>
  <r>
    <x v="356"/>
    <x v="11"/>
    <x v="11"/>
    <n v="72"/>
    <n v="2.8"/>
    <n v="44.5"/>
    <n v="3204"/>
    <n v="3222"/>
    <n v="9021.5999999999985"/>
    <n v="1.0056179775280898"/>
    <n v="1"/>
    <n v="6.0000000000000001E-3"/>
    <s v="600"/>
    <m/>
    <n v="1"/>
    <n v="3221"/>
    <n v="0.99968963376784603"/>
    <m/>
    <m/>
    <m/>
    <m/>
    <x v="0"/>
    <x v="0"/>
    <m/>
    <m/>
    <m/>
    <x v="0"/>
    <x v="0"/>
  </r>
  <r>
    <x v="357"/>
    <x v="45"/>
    <x v="10"/>
    <n v="8"/>
    <n v="6"/>
    <n v="26.4"/>
    <n v="211.2"/>
    <n v="208"/>
    <n v="1248"/>
    <n v="0.98484848484848486"/>
    <n v="1"/>
    <n v="-1.4999999999999999E-2"/>
    <s v="120"/>
    <m/>
    <n v="1"/>
    <n v="207"/>
    <n v="0.99519230769230771"/>
    <m/>
    <m/>
    <m/>
    <m/>
    <x v="0"/>
    <x v="0"/>
    <m/>
    <m/>
    <m/>
    <x v="0"/>
    <x v="0"/>
  </r>
  <r>
    <x v="357"/>
    <x v="0"/>
    <x v="0"/>
    <n v="12"/>
    <n v="6"/>
    <n v="25.5"/>
    <n v="306"/>
    <n v="294"/>
    <n v="1764"/>
    <n v="0.96078431372549022"/>
    <n v="1"/>
    <n v="-3.9E-2"/>
    <s v="120"/>
    <m/>
    <n v="1"/>
    <n v="293"/>
    <n v="0.99659863945578231"/>
    <m/>
    <m/>
    <m/>
    <m/>
    <x v="0"/>
    <x v="0"/>
    <m/>
    <m/>
    <m/>
    <x v="0"/>
    <x v="0"/>
  </r>
  <r>
    <x v="357"/>
    <x v="65"/>
    <x v="56"/>
    <n v="20"/>
    <n v="9.5"/>
    <n v="16.600000000000001"/>
    <n v="332"/>
    <n v="332"/>
    <n v="3154"/>
    <n v="1"/>
    <n v="1"/>
    <n v="0"/>
    <s v="310"/>
    <m/>
    <n v="0"/>
    <n v="332"/>
    <n v="1"/>
    <m/>
    <m/>
    <m/>
    <m/>
    <x v="0"/>
    <x v="0"/>
    <m/>
    <m/>
    <m/>
    <x v="0"/>
    <x v="0"/>
  </r>
  <r>
    <x v="357"/>
    <x v="138"/>
    <x v="119"/>
    <n v="8"/>
    <e v="#N/A"/>
    <e v="#N/A"/>
    <e v="#N/A"/>
    <n v="648"/>
    <e v="#N/A"/>
    <e v="#N/A"/>
    <e v="#N/A"/>
    <e v="#N/A"/>
    <s v="540"/>
    <m/>
    <n v="0"/>
    <n v="648"/>
    <n v="1"/>
    <m/>
    <m/>
    <m/>
    <m/>
    <x v="0"/>
    <x v="0"/>
    <m/>
    <m/>
    <m/>
    <x v="0"/>
    <x v="0"/>
  </r>
  <r>
    <x v="357"/>
    <x v="11"/>
    <x v="11"/>
    <n v="72"/>
    <n v="2.8"/>
    <n v="44.5"/>
    <n v="2882.5714285714284"/>
    <n v="2893"/>
    <n v="8100.4"/>
    <n v="1.0036178015660622"/>
    <n v="1"/>
    <n v="4.0000000000000001E-3"/>
    <s v="590"/>
    <m/>
    <n v="1"/>
    <n v="2892"/>
    <n v="0.99965433805737991"/>
    <m/>
    <m/>
    <s v="D9920(18kg)*50桶"/>
    <m/>
    <x v="0"/>
    <x v="0"/>
    <m/>
    <m/>
    <m/>
    <x v="0"/>
    <x v="0"/>
  </r>
  <r>
    <x v="357"/>
    <x v="87"/>
    <x v="79"/>
    <n v="2"/>
    <n v="1"/>
    <n v="243"/>
    <n v="486"/>
    <n v="472"/>
    <n v="472"/>
    <n v="0.9711934156378601"/>
    <n v="1"/>
    <n v="-2.9000000000000001E-2"/>
    <s v="0"/>
    <m/>
    <n v="2"/>
    <n v="470"/>
    <n v="0.99576271186440679"/>
    <m/>
    <m/>
    <s v="2025/8/5包裝"/>
    <m/>
    <x v="0"/>
    <x v="0"/>
    <m/>
    <m/>
    <m/>
    <x v="0"/>
    <x v="0"/>
  </r>
  <r>
    <x v="358"/>
    <x v="9"/>
    <x v="9"/>
    <n v="24"/>
    <n v="6"/>
    <n v="25.7"/>
    <n v="616.79999999999995"/>
    <n v="630"/>
    <n v="3780"/>
    <n v="1.0214007782101169"/>
    <n v="1"/>
    <n v="2.1000000000000001E-2"/>
    <s v="352"/>
    <m/>
    <n v="2"/>
    <n v="628"/>
    <n v="0.99682539682539684"/>
    <m/>
    <m/>
    <m/>
    <m/>
    <x v="0"/>
    <x v="0"/>
    <m/>
    <m/>
    <m/>
    <x v="0"/>
    <x v="0"/>
  </r>
  <r>
    <x v="358"/>
    <x v="19"/>
    <x v="19"/>
    <n v="16"/>
    <n v="6"/>
    <n v="25.5"/>
    <n v="408"/>
    <n v="405"/>
    <n v="2430"/>
    <n v="0.99264705882352944"/>
    <n v="1"/>
    <n v="-7.0000000000000001E-3"/>
    <s v="210"/>
    <m/>
    <n v="1"/>
    <n v="404"/>
    <n v="0.9975308641975309"/>
    <m/>
    <m/>
    <m/>
    <m/>
    <x v="0"/>
    <x v="0"/>
    <m/>
    <m/>
    <m/>
    <x v="0"/>
    <x v="0"/>
  </r>
  <r>
    <x v="358"/>
    <x v="138"/>
    <x v="119"/>
    <n v="6"/>
    <e v="#N/A"/>
    <e v="#N/A"/>
    <e v="#N/A"/>
    <n v="490"/>
    <e v="#N/A"/>
    <e v="#N/A"/>
    <e v="#N/A"/>
    <e v="#N/A"/>
    <s v="540"/>
    <m/>
    <n v="0"/>
    <n v="490"/>
    <n v="1"/>
    <m/>
    <m/>
    <m/>
    <m/>
    <x v="0"/>
    <x v="0"/>
    <m/>
    <m/>
    <m/>
    <x v="0"/>
    <x v="0"/>
  </r>
  <r>
    <x v="358"/>
    <x v="23"/>
    <x v="22"/>
    <n v="32"/>
    <n v="0.34"/>
    <n v="364.6"/>
    <n v="11667.2"/>
    <n v="11400"/>
    <n v="3876.0000000000005"/>
    <n v="0.97709818979703777"/>
    <n v="1"/>
    <n v="-2.3E-2"/>
    <s v="430"/>
    <m/>
    <n v="3"/>
    <n v="11397"/>
    <n v="0.99973684210526315"/>
    <m/>
    <m/>
    <m/>
    <m/>
    <x v="0"/>
    <x v="0"/>
    <m/>
    <m/>
    <m/>
    <x v="0"/>
    <x v="0"/>
  </r>
  <r>
    <x v="358"/>
    <x v="24"/>
    <x v="23"/>
    <n v="12"/>
    <n v="0.34"/>
    <n v="366"/>
    <n v="4392"/>
    <n v="4427"/>
    <n v="1505.18"/>
    <n v="1.0079690346083789"/>
    <n v="1"/>
    <n v="8.0000000000000002E-3"/>
    <s v="260"/>
    <m/>
    <n v="5"/>
    <n v="4422"/>
    <n v="0.99887056697537835"/>
    <m/>
    <m/>
    <s v="E0121佳樂美*200箱"/>
    <m/>
    <x v="0"/>
    <x v="0"/>
    <m/>
    <m/>
    <m/>
    <x v="0"/>
    <x v="0"/>
  </r>
  <r>
    <x v="359"/>
    <x v="126"/>
    <x v="25"/>
    <n v="20"/>
    <n v="0.9"/>
    <n v="163"/>
    <n v="3260"/>
    <n v="3146"/>
    <n v="2831.4"/>
    <n v="0.96503067484662575"/>
    <e v="#N/A"/>
    <e v="#N/A"/>
    <s v="300"/>
    <m/>
    <n v="2"/>
    <n v="3144"/>
    <n v="0.99936427209154477"/>
    <m/>
    <m/>
    <m/>
    <m/>
    <x v="0"/>
    <x v="0"/>
    <m/>
    <m/>
    <m/>
    <x v="0"/>
    <x v="0"/>
  </r>
  <r>
    <x v="359"/>
    <x v="124"/>
    <x v="26"/>
    <n v="36"/>
    <n v="3.2"/>
    <n v="47.5"/>
    <n v="1710"/>
    <n v="1702"/>
    <n v="5446.4000000000005"/>
    <n v="0.99532163742690061"/>
    <e v="#N/A"/>
    <e v="#N/A"/>
    <s v="240"/>
    <m/>
    <n v="3"/>
    <n v="1699"/>
    <n v="0.99823736780258521"/>
    <m/>
    <m/>
    <m/>
    <m/>
    <x v="0"/>
    <x v="0"/>
    <m/>
    <m/>
    <m/>
    <x v="0"/>
    <x v="0"/>
  </r>
  <r>
    <x v="359"/>
    <x v="10"/>
    <x v="10"/>
    <n v="20"/>
    <n v="6"/>
    <n v="25.4"/>
    <n v="508"/>
    <n v="512"/>
    <n v="3072"/>
    <n v="1.0078740157480315"/>
    <n v="1"/>
    <n v="8.0000000000000002E-3"/>
    <s v="270"/>
    <m/>
    <n v="1"/>
    <n v="511"/>
    <n v="0.998046875"/>
    <m/>
    <m/>
    <m/>
    <m/>
    <x v="0"/>
    <x v="0"/>
    <m/>
    <m/>
    <m/>
    <x v="0"/>
    <x v="0"/>
  </r>
  <r>
    <x v="359"/>
    <x v="1"/>
    <x v="1"/>
    <n v="6"/>
    <n v="6"/>
    <n v="25.7"/>
    <n v="154.19999999999999"/>
    <n v="151"/>
    <n v="906"/>
    <n v="0.97924773022049294"/>
    <n v="1"/>
    <n v="-2.1000000000000001E-2"/>
    <s v="142"/>
    <m/>
    <n v="1"/>
    <n v="150"/>
    <n v="0.99337748344370858"/>
    <m/>
    <m/>
    <m/>
    <m/>
    <x v="0"/>
    <x v="0"/>
    <m/>
    <m/>
    <m/>
    <x v="0"/>
    <x v="0"/>
  </r>
  <r>
    <x v="359"/>
    <x v="130"/>
    <x v="114"/>
    <n v="6"/>
    <n v="6"/>
    <n v="0"/>
    <n v="0"/>
    <n v="151"/>
    <n v="906"/>
    <s v="無法預估數據"/>
    <e v="#N/A"/>
    <s v="無法預估數據"/>
    <s v="142"/>
    <m/>
    <n v="1"/>
    <n v="150"/>
    <n v="0.99337748344370858"/>
    <m/>
    <m/>
    <m/>
    <m/>
    <x v="0"/>
    <x v="0"/>
    <m/>
    <m/>
    <m/>
    <x v="0"/>
    <x v="0"/>
  </r>
  <r>
    <x v="359"/>
    <x v="129"/>
    <x v="113"/>
    <n v="6"/>
    <n v="6"/>
    <n v="0"/>
    <n v="0"/>
    <n v="159"/>
    <n v="954"/>
    <s v="無法預估數據"/>
    <e v="#N/A"/>
    <s v="無法預估數據"/>
    <s v="145"/>
    <m/>
    <n v="2"/>
    <n v="157"/>
    <n v="0.98742138364779874"/>
    <m/>
    <m/>
    <m/>
    <m/>
    <x v="0"/>
    <x v="0"/>
    <m/>
    <m/>
    <m/>
    <x v="0"/>
    <x v="0"/>
  </r>
  <r>
    <x v="359"/>
    <x v="11"/>
    <x v="11"/>
    <n v="72"/>
    <n v="2.8"/>
    <n v="44.5"/>
    <n v="2882.5714285714284"/>
    <n v="2890"/>
    <n v="8091.9999999999991"/>
    <n v="1.0025770641292497"/>
    <n v="1"/>
    <n v="3.0000000000000001E-3"/>
    <s v="590"/>
    <m/>
    <n v="1"/>
    <n v="2889"/>
    <n v="0.99965397923875432"/>
    <m/>
    <m/>
    <s v="D9920(18kg)*50桶"/>
    <m/>
    <x v="0"/>
    <x v="0"/>
    <m/>
    <m/>
    <m/>
    <x v="0"/>
    <x v="0"/>
  </r>
  <r>
    <x v="360"/>
    <x v="49"/>
    <x v="43"/>
    <n v="15"/>
    <n v="0.43"/>
    <n v="364"/>
    <n v="5460"/>
    <n v="5607"/>
    <n v="2411.0099999999998"/>
    <n v="1.0269230769230768"/>
    <n v="1"/>
    <n v="2.7E-2"/>
    <s v="300"/>
    <m/>
    <n v="10"/>
    <n v="5597"/>
    <n v="0.99821651507044762"/>
    <m/>
    <m/>
    <m/>
    <m/>
    <x v="0"/>
    <x v="0"/>
    <m/>
    <m/>
    <m/>
    <x v="0"/>
    <x v="0"/>
  </r>
  <r>
    <x v="360"/>
    <x v="63"/>
    <x v="54"/>
    <n v="4"/>
    <n v="0.21"/>
    <n v="698.4"/>
    <n v="2793.6"/>
    <n v="2664"/>
    <n v="559.43999999999994"/>
    <n v="0.95360824742268047"/>
    <n v="1"/>
    <n v="-4.5999999999999999E-2"/>
    <s v="240"/>
    <m/>
    <n v="6"/>
    <n v="2658"/>
    <n v="0.99774774774774777"/>
    <m/>
    <m/>
    <m/>
    <m/>
    <x v="0"/>
    <x v="0"/>
    <m/>
    <m/>
    <m/>
    <x v="0"/>
    <x v="0"/>
  </r>
  <r>
    <x v="360"/>
    <x v="38"/>
    <x v="36"/>
    <n v="3"/>
    <n v="4.5"/>
    <n v="32.799999999999997"/>
    <n v="98.399999999999991"/>
    <n v="102"/>
    <n v="459"/>
    <n v="1.0365853658536586"/>
    <n v="1"/>
    <n v="3.6999999999999998E-2"/>
    <s v="157"/>
    <m/>
    <n v="0"/>
    <n v="102"/>
    <n v="1"/>
    <m/>
    <m/>
    <m/>
    <m/>
    <x v="0"/>
    <x v="0"/>
    <m/>
    <m/>
    <m/>
    <x v="0"/>
    <x v="0"/>
  </r>
  <r>
    <x v="360"/>
    <x v="128"/>
    <x v="45"/>
    <n v="20"/>
    <n v="9.08"/>
    <n v="17.399999999999999"/>
    <n v="348"/>
    <n v="354"/>
    <n v="3214.32"/>
    <n v="1.0172413793103448"/>
    <e v="#N/A"/>
    <e v="#N/A"/>
    <s v="270"/>
    <m/>
    <n v="0"/>
    <n v="354"/>
    <n v="1"/>
    <m/>
    <n v="25"/>
    <s v="特殊製程(1140603-01A)。"/>
    <m/>
    <x v="0"/>
    <x v="0"/>
    <m/>
    <m/>
    <m/>
    <x v="0"/>
    <x v="0"/>
  </r>
  <r>
    <x v="360"/>
    <x v="67"/>
    <x v="58"/>
    <n v="12"/>
    <n v="4.5"/>
    <n v="33.200000000000003"/>
    <n v="398.40000000000003"/>
    <n v="437"/>
    <n v="1966.5"/>
    <n v="1.0968875502008031"/>
    <n v="1"/>
    <n v="9.7000000000000003E-2"/>
    <s v="240"/>
    <m/>
    <n v="0"/>
    <n v="437"/>
    <n v="1"/>
    <m/>
    <m/>
    <m/>
    <m/>
    <x v="0"/>
    <x v="0"/>
    <m/>
    <m/>
    <m/>
    <x v="0"/>
    <x v="0"/>
  </r>
  <r>
    <x v="360"/>
    <x v="11"/>
    <x v="11"/>
    <n v="44"/>
    <n v="2.8"/>
    <n v="44.5"/>
    <n v="1958"/>
    <n v="1955"/>
    <n v="5474"/>
    <n v="0.99846782431052095"/>
    <n v="1"/>
    <n v="-2E-3"/>
    <s v="365"/>
    <m/>
    <n v="1"/>
    <n v="1954"/>
    <n v="0.99948849104859339"/>
    <m/>
    <m/>
    <m/>
    <m/>
    <x v="0"/>
    <x v="0"/>
    <m/>
    <m/>
    <m/>
    <x v="0"/>
    <x v="0"/>
  </r>
  <r>
    <x v="360"/>
    <x v="12"/>
    <x v="12"/>
    <n v="20"/>
    <n v="0.8"/>
    <n v="157.69999999999999"/>
    <n v="3154"/>
    <n v="3138"/>
    <n v="2510.4"/>
    <n v="0.99492707672796454"/>
    <n v="1"/>
    <n v="-5.0000000000000001E-3"/>
    <s v="285"/>
    <m/>
    <n v="2"/>
    <n v="3136"/>
    <n v="0.99936265137029956"/>
    <m/>
    <m/>
    <m/>
    <m/>
    <x v="0"/>
    <x v="0"/>
    <m/>
    <m/>
    <m/>
    <x v="0"/>
    <x v="0"/>
  </r>
  <r>
    <x v="361"/>
    <x v="9"/>
    <x v="9"/>
    <n v="16"/>
    <n v="6"/>
    <n v="25.7"/>
    <n v="411.2"/>
    <n v="416"/>
    <n v="2496"/>
    <n v="1.0116731517509727"/>
    <n v="1"/>
    <n v="1.2E-2"/>
    <s v="210"/>
    <m/>
    <n v="1"/>
    <n v="415"/>
    <n v="0.99759615384615385"/>
    <m/>
    <m/>
    <m/>
    <m/>
    <x v="0"/>
    <x v="0"/>
    <m/>
    <m/>
    <m/>
    <x v="0"/>
    <x v="0"/>
  </r>
  <r>
    <x v="361"/>
    <x v="2"/>
    <x v="2"/>
    <n v="24"/>
    <n v="6"/>
    <n v="26.6"/>
    <n v="638.40000000000009"/>
    <n v="629"/>
    <n v="3774"/>
    <n v="0.98527568922305753"/>
    <n v="1"/>
    <n v="-1.4999999999999999E-2"/>
    <s v="330"/>
    <m/>
    <n v="1"/>
    <n v="628"/>
    <n v="0.99841017488076311"/>
    <m/>
    <m/>
    <m/>
    <m/>
    <x v="0"/>
    <x v="0"/>
    <m/>
    <m/>
    <m/>
    <x v="0"/>
    <x v="0"/>
  </r>
  <r>
    <x v="361"/>
    <x v="17"/>
    <x v="17"/>
    <n v="21"/>
    <n v="3"/>
    <n v="29.7"/>
    <n v="623.69999999999993"/>
    <n v="628"/>
    <n v="1884"/>
    <n v="1.0068943402276738"/>
    <n v="1"/>
    <n v="7.0000000000000001E-3"/>
    <s v="540"/>
    <m/>
    <n v="0"/>
    <n v="628"/>
    <n v="1"/>
    <m/>
    <m/>
    <m/>
    <m/>
    <x v="0"/>
    <x v="0"/>
    <m/>
    <m/>
    <m/>
    <x v="0"/>
    <x v="0"/>
  </r>
  <r>
    <x v="361"/>
    <x v="64"/>
    <x v="55"/>
    <n v="8"/>
    <n v="0.28999999999999998"/>
    <n v="412.6"/>
    <n v="3300.8"/>
    <n v="3395"/>
    <n v="984.55"/>
    <n v="1.0285385361124575"/>
    <n v="1"/>
    <n v="2.9000000000000001E-2"/>
    <s v="245"/>
    <m/>
    <n v="7"/>
    <n v="3388"/>
    <n v="0.99793814432989691"/>
    <m/>
    <m/>
    <m/>
    <m/>
    <x v="0"/>
    <x v="0"/>
    <m/>
    <m/>
    <m/>
    <x v="0"/>
    <x v="0"/>
  </r>
  <r>
    <x v="361"/>
    <x v="41"/>
    <x v="39"/>
    <n v="44"/>
    <n v="2.8"/>
    <n v="44.2"/>
    <n v="1880.514285714286"/>
    <n v="1877"/>
    <n v="5255.5999999999995"/>
    <n v="0.99813121030721064"/>
    <n v="1"/>
    <n v="-2E-3"/>
    <s v="480"/>
    <m/>
    <n v="1"/>
    <n v="1876"/>
    <n v="0.99946723494938727"/>
    <m/>
    <m/>
    <s v="D9921(18kg)*10桶"/>
    <m/>
    <x v="0"/>
    <x v="0"/>
    <m/>
    <m/>
    <m/>
    <x v="0"/>
    <x v="0"/>
  </r>
  <r>
    <x v="362"/>
    <x v="137"/>
    <x v="118"/>
    <n v="8"/>
    <n v="6"/>
    <n v="0"/>
    <n v="0"/>
    <n v="212"/>
    <n v="1272"/>
    <s v="無法預估數據"/>
    <e v="#N/A"/>
    <s v="無法預估數據"/>
    <s v="120"/>
    <m/>
    <n v="1"/>
    <n v="211"/>
    <n v="0.99528301886792447"/>
    <m/>
    <m/>
    <m/>
    <m/>
    <x v="0"/>
    <x v="0"/>
    <m/>
    <m/>
    <m/>
    <x v="0"/>
    <x v="0"/>
  </r>
  <r>
    <x v="362"/>
    <x v="2"/>
    <x v="2"/>
    <n v="32"/>
    <n v="6"/>
    <n v="26.6"/>
    <n v="851.2"/>
    <n v="854"/>
    <n v="5124"/>
    <n v="1.0032894736842104"/>
    <n v="1"/>
    <n v="3.0000000000000001E-3"/>
    <s v="380"/>
    <m/>
    <n v="6"/>
    <n v="848"/>
    <n v="0.99297423887587821"/>
    <m/>
    <m/>
    <m/>
    <m/>
    <x v="0"/>
    <x v="0"/>
    <m/>
    <m/>
    <m/>
    <x v="0"/>
    <x v="0"/>
  </r>
  <r>
    <x v="362"/>
    <x v="48"/>
    <x v="17"/>
    <n v="21"/>
    <n v="3"/>
    <n v="30.8"/>
    <n v="646.80000000000007"/>
    <n v="648"/>
    <n v="1944"/>
    <n v="1.0018552875695732"/>
    <n v="1"/>
    <n v="2E-3"/>
    <s v="540"/>
    <m/>
    <n v="0"/>
    <n v="648"/>
    <n v="1"/>
    <m/>
    <m/>
    <m/>
    <m/>
    <x v="0"/>
    <x v="0"/>
    <m/>
    <m/>
    <m/>
    <x v="0"/>
    <x v="0"/>
  </r>
  <r>
    <x v="362"/>
    <x v="61"/>
    <x v="33"/>
    <n v="40"/>
    <n v="18"/>
    <n v="6.9"/>
    <n v="276"/>
    <n v="281"/>
    <n v="5058"/>
    <n v="1.0181159420289856"/>
    <n v="1"/>
    <n v="1.7999999999999999E-2"/>
    <s v="390"/>
    <m/>
    <n v="0"/>
    <n v="281"/>
    <n v="1"/>
    <m/>
    <m/>
    <m/>
    <m/>
    <x v="0"/>
    <x v="0"/>
    <m/>
    <m/>
    <m/>
    <x v="0"/>
    <x v="0"/>
  </r>
  <r>
    <x v="362"/>
    <x v="87"/>
    <x v="79"/>
    <n v="2"/>
    <n v="1"/>
    <n v="243"/>
    <n v="486"/>
    <n v="488"/>
    <n v="488"/>
    <n v="1.0041152263374487"/>
    <n v="1"/>
    <n v="4.0000000000000001E-3"/>
    <s v="0"/>
    <m/>
    <n v="2"/>
    <n v="486"/>
    <n v="0.99590163934426235"/>
    <m/>
    <m/>
    <s v="2025/8/12包裝"/>
    <m/>
    <x v="0"/>
    <x v="0"/>
    <m/>
    <m/>
    <m/>
    <x v="0"/>
    <x v="0"/>
  </r>
  <r>
    <x v="363"/>
    <x v="47"/>
    <x v="42"/>
    <n v="12"/>
    <n v="6"/>
    <n v="25.6"/>
    <n v="307.20000000000005"/>
    <n v="314"/>
    <n v="1884"/>
    <n v="1.0221354166666665"/>
    <n v="1"/>
    <n v="2.1999999999999999E-2"/>
    <s v="190"/>
    <m/>
    <n v="1"/>
    <n v="313"/>
    <n v="0.99681528662420382"/>
    <m/>
    <m/>
    <m/>
    <m/>
    <x v="0"/>
    <x v="0"/>
    <m/>
    <m/>
    <m/>
    <x v="0"/>
    <x v="0"/>
  </r>
  <r>
    <x v="363"/>
    <x v="9"/>
    <x v="9"/>
    <n v="24"/>
    <n v="6"/>
    <n v="25.7"/>
    <n v="616.79999999999995"/>
    <n v="624"/>
    <n v="3744"/>
    <n v="1.0116731517509729"/>
    <n v="1"/>
    <n v="1.2E-2"/>
    <s v="360"/>
    <m/>
    <n v="1"/>
    <n v="623"/>
    <n v="0.9983974358974359"/>
    <m/>
    <m/>
    <m/>
    <m/>
    <x v="0"/>
    <x v="0"/>
    <m/>
    <m/>
    <m/>
    <x v="0"/>
    <x v="0"/>
  </r>
  <r>
    <x v="363"/>
    <x v="17"/>
    <x v="17"/>
    <n v="21"/>
    <n v="3"/>
    <n v="29.7"/>
    <n v="623.69999999999993"/>
    <n v="624"/>
    <n v="1872"/>
    <n v="1.0004810004810005"/>
    <n v="1"/>
    <n v="0"/>
    <s v="540"/>
    <m/>
    <n v="0"/>
    <n v="624"/>
    <n v="1"/>
    <m/>
    <m/>
    <m/>
    <m/>
    <x v="0"/>
    <x v="0"/>
    <m/>
    <m/>
    <m/>
    <x v="0"/>
    <x v="0"/>
  </r>
  <r>
    <x v="363"/>
    <x v="114"/>
    <x v="103"/>
    <n v="20"/>
    <n v="0.8"/>
    <n v="155.5"/>
    <n v="3110"/>
    <n v="3105"/>
    <n v="2484"/>
    <n v="0.99839228295819937"/>
    <n v="1"/>
    <n v="-2E-3"/>
    <s v="280"/>
    <m/>
    <n v="2"/>
    <n v="3103"/>
    <n v="0.99935587761674716"/>
    <m/>
    <m/>
    <m/>
    <m/>
    <x v="0"/>
    <x v="0"/>
    <m/>
    <m/>
    <m/>
    <x v="0"/>
    <x v="0"/>
  </r>
  <r>
    <x v="363"/>
    <x v="41"/>
    <x v="39"/>
    <n v="44"/>
    <n v="2.8"/>
    <n v="44.2"/>
    <n v="1944.8000000000002"/>
    <n v="1919"/>
    <n v="5373.2"/>
    <n v="0.9867338543809131"/>
    <n v="1"/>
    <n v="-1.2999999999999999E-2"/>
    <s v="380"/>
    <m/>
    <n v="1"/>
    <n v="1918"/>
    <n v="0.99947889525794686"/>
    <m/>
    <m/>
    <m/>
    <m/>
    <x v="0"/>
    <x v="0"/>
    <m/>
    <m/>
    <m/>
    <x v="0"/>
    <x v="0"/>
  </r>
  <r>
    <x v="364"/>
    <x v="13"/>
    <x v="13"/>
    <n v="20"/>
    <n v="0.9"/>
    <n v="160.5"/>
    <n v="3210"/>
    <n v="3202"/>
    <n v="2881.8"/>
    <n v="0.99750778816199381"/>
    <n v="1"/>
    <n v="-2E-3"/>
    <s v="270"/>
    <m/>
    <n v="2"/>
    <n v="3200"/>
    <n v="0.99937539038101186"/>
    <m/>
    <m/>
    <s v="，D2010美芝城50箱(2026.08.06)"/>
    <m/>
    <x v="0"/>
    <x v="0"/>
    <m/>
    <m/>
    <m/>
    <x v="0"/>
    <x v="0"/>
  </r>
  <r>
    <x v="364"/>
    <x v="126"/>
    <x v="25"/>
    <n v="20"/>
    <n v="0.9"/>
    <n v="163"/>
    <n v="3260"/>
    <n v="3253"/>
    <n v="2927.7000000000003"/>
    <n v="0.99785276073619633"/>
    <e v="#N/A"/>
    <e v="#N/A"/>
    <s v="270"/>
    <m/>
    <n v="2"/>
    <n v="3251"/>
    <n v="0.99938518290808487"/>
    <m/>
    <m/>
    <m/>
    <m/>
    <x v="0"/>
    <x v="0"/>
    <m/>
    <m/>
    <m/>
    <x v="0"/>
    <x v="0"/>
  </r>
  <r>
    <x v="364"/>
    <x v="16"/>
    <x v="16"/>
    <n v="16"/>
    <n v="6"/>
    <n v="26.1"/>
    <n v="417.6"/>
    <n v="422"/>
    <n v="2532"/>
    <n v="1.0105363984674329"/>
    <n v="1"/>
    <n v="1.0999999999999999E-2"/>
    <s v="260"/>
    <m/>
    <n v="1"/>
    <n v="421"/>
    <n v="0.99763033175355453"/>
    <m/>
    <m/>
    <m/>
    <m/>
    <x v="0"/>
    <x v="0"/>
    <m/>
    <m/>
    <m/>
    <x v="0"/>
    <x v="0"/>
  </r>
  <r>
    <x v="364"/>
    <x v="22"/>
    <x v="10"/>
    <n v="16"/>
    <n v="6"/>
    <n v="25.1"/>
    <n v="401.6"/>
    <n v="405"/>
    <n v="2430"/>
    <n v="1.0084661354581672"/>
    <n v="1"/>
    <n v="8.0000000000000002E-3"/>
    <s v="297"/>
    <m/>
    <n v="1"/>
    <n v="404"/>
    <n v="0.9975308641975309"/>
    <m/>
    <m/>
    <m/>
    <m/>
    <x v="0"/>
    <x v="0"/>
    <m/>
    <m/>
    <m/>
    <x v="0"/>
    <x v="0"/>
  </r>
  <r>
    <x v="364"/>
    <x v="11"/>
    <x v="11"/>
    <n v="72"/>
    <n v="2.8"/>
    <n v="44.5"/>
    <n v="2979"/>
    <n v="2984"/>
    <n v="8355.1999999999989"/>
    <n v="1.0016784155756966"/>
    <n v="1"/>
    <n v="2E-3"/>
    <s v="575"/>
    <m/>
    <n v="2"/>
    <n v="2982"/>
    <n v="0.99932975871313678"/>
    <m/>
    <m/>
    <s v="，D9920(18kg)*35桶(2026.08.06)"/>
    <m/>
    <x v="0"/>
    <x v="0"/>
    <m/>
    <m/>
    <m/>
    <x v="0"/>
    <x v="0"/>
  </r>
  <r>
    <x v="365"/>
    <x v="8"/>
    <x v="8"/>
    <n v="40"/>
    <n v="0.44"/>
    <n v="344"/>
    <n v="13760"/>
    <n v="13633"/>
    <n v="5998.52"/>
    <n v="0.99077034883720927"/>
    <n v="1"/>
    <n v="-8.9999999999999993E-3"/>
    <s v="570"/>
    <m/>
    <n v="15"/>
    <n v="13618"/>
    <n v="0.99889972859972131"/>
    <m/>
    <m/>
    <m/>
    <m/>
    <x v="0"/>
    <x v="0"/>
    <m/>
    <m/>
    <m/>
    <x v="0"/>
    <x v="0"/>
  </r>
  <r>
    <x v="365"/>
    <x v="50"/>
    <x v="44"/>
    <n v="12"/>
    <n v="4.5"/>
    <n v="36.799999999999997"/>
    <n v="441.59999999999997"/>
    <n v="445"/>
    <n v="2002.5"/>
    <n v="1.0076992753623188"/>
    <n v="1"/>
    <n v="8.0000000000000002E-3"/>
    <s v="240"/>
    <m/>
    <n v="0"/>
    <n v="445"/>
    <n v="1"/>
    <m/>
    <m/>
    <m/>
    <m/>
    <x v="0"/>
    <x v="0"/>
    <m/>
    <m/>
    <m/>
    <x v="0"/>
    <x v="0"/>
  </r>
  <r>
    <x v="365"/>
    <x v="3"/>
    <x v="3"/>
    <n v="24"/>
    <n v="4.5"/>
    <n v="36.299999999999997"/>
    <n v="871.19999999999993"/>
    <n v="891"/>
    <n v="4009.5"/>
    <n v="1.0227272727272727"/>
    <n v="1"/>
    <n v="2.3E-2"/>
    <s v="345"/>
    <m/>
    <n v="0"/>
    <n v="891"/>
    <n v="1"/>
    <m/>
    <m/>
    <m/>
    <m/>
    <x v="0"/>
    <x v="0"/>
    <m/>
    <m/>
    <m/>
    <x v="0"/>
    <x v="0"/>
  </r>
  <r>
    <x v="365"/>
    <x v="11"/>
    <x v="11"/>
    <n v="72"/>
    <n v="2.8"/>
    <n v="44.5"/>
    <n v="3204"/>
    <n v="3216"/>
    <n v="9004.7999999999993"/>
    <n v="1.0037453183520599"/>
    <n v="1"/>
    <n v="4.0000000000000001E-3"/>
    <s v="565"/>
    <m/>
    <n v="1"/>
    <n v="3215"/>
    <n v="0.99968905472636815"/>
    <m/>
    <m/>
    <m/>
    <m/>
    <x v="0"/>
    <x v="0"/>
    <m/>
    <m/>
    <m/>
    <x v="0"/>
    <x v="0"/>
  </r>
  <r>
    <x v="366"/>
    <x v="15"/>
    <x v="15"/>
    <n v="72"/>
    <n v="3.2"/>
    <n v="46.8"/>
    <n v="3369.6"/>
    <n v="3376"/>
    <n v="10803.2"/>
    <n v="1.0018993352326686"/>
    <n v="1"/>
    <n v="2E-3"/>
    <s v="540"/>
    <m/>
    <n v="2"/>
    <n v="3374"/>
    <n v="0.99940758293838861"/>
    <m/>
    <m/>
    <m/>
    <m/>
    <x v="0"/>
    <x v="0"/>
    <m/>
    <m/>
    <m/>
    <x v="0"/>
    <x v="0"/>
  </r>
  <r>
    <x v="366"/>
    <x v="42"/>
    <x v="40"/>
    <n v="6"/>
    <n v="3.5"/>
    <n v="25.4"/>
    <n v="152.39999999999998"/>
    <n v="152"/>
    <n v="532"/>
    <n v="0.99737532808398965"/>
    <n v="1"/>
    <n v="-3.0000000000000001E-3"/>
    <s v="300"/>
    <m/>
    <n v="0"/>
    <n v="152"/>
    <n v="1"/>
    <m/>
    <m/>
    <m/>
    <m/>
    <x v="0"/>
    <x v="0"/>
    <m/>
    <m/>
    <m/>
    <x v="0"/>
    <x v="0"/>
  </r>
  <r>
    <x v="366"/>
    <x v="9"/>
    <x v="9"/>
    <n v="20"/>
    <n v="6"/>
    <n v="25.7"/>
    <n v="514"/>
    <n v="522"/>
    <n v="3132"/>
    <n v="1.0155642023346303"/>
    <n v="1"/>
    <n v="1.6E-2"/>
    <s v="255"/>
    <m/>
    <n v="2"/>
    <n v="520"/>
    <n v="0.99616858237547889"/>
    <m/>
    <m/>
    <m/>
    <m/>
    <x v="0"/>
    <x v="0"/>
    <m/>
    <m/>
    <m/>
    <x v="0"/>
    <x v="0"/>
  </r>
  <r>
    <x v="366"/>
    <x v="34"/>
    <x v="32"/>
    <n v="20"/>
    <n v="0.34"/>
    <n v="358.3"/>
    <n v="7166"/>
    <n v="7211"/>
    <n v="2451.7400000000002"/>
    <n v="1.006279653921295"/>
    <n v="1"/>
    <n v="6.0000000000000001E-3"/>
    <s v="300"/>
    <m/>
    <n v="5"/>
    <n v="7206"/>
    <n v="0.99930661489391204"/>
    <m/>
    <m/>
    <s v="，E0120佳樂美*300箱(2026.08.08)"/>
    <m/>
    <x v="0"/>
    <x v="0"/>
    <m/>
    <m/>
    <m/>
    <x v="0"/>
    <x v="0"/>
  </r>
  <r>
    <x v="366"/>
    <x v="11"/>
    <x v="11"/>
    <n v="36"/>
    <n v="2.8"/>
    <n v="44.5"/>
    <n v="1602"/>
    <n v="1605"/>
    <n v="4494"/>
    <n v="1.0018726591760299"/>
    <n v="1"/>
    <n v="2E-3"/>
    <s v="370"/>
    <m/>
    <n v="1"/>
    <n v="1604"/>
    <n v="0.9993769470404984"/>
    <m/>
    <m/>
    <s v="，D2021美芝城*50箱"/>
    <m/>
    <x v="0"/>
    <x v="0"/>
    <m/>
    <m/>
    <m/>
    <x v="0"/>
    <x v="0"/>
  </r>
  <r>
    <x v="367"/>
    <x v="16"/>
    <x v="16"/>
    <n v="20"/>
    <n v="6"/>
    <n v="26.1"/>
    <n v="522"/>
    <n v="532"/>
    <n v="3192"/>
    <n v="1.0191570881226053"/>
    <n v="1"/>
    <n v="1.9E-2"/>
    <s v="300"/>
    <m/>
    <n v="1"/>
    <n v="531"/>
    <n v="0.99812030075187974"/>
    <m/>
    <m/>
    <m/>
    <m/>
    <x v="0"/>
    <x v="0"/>
    <m/>
    <m/>
    <m/>
    <x v="0"/>
    <x v="0"/>
  </r>
  <r>
    <x v="367"/>
    <x v="0"/>
    <x v="0"/>
    <n v="12"/>
    <n v="6"/>
    <n v="25.5"/>
    <n v="306"/>
    <n v="298"/>
    <n v="1788"/>
    <n v="0.97385620915032678"/>
    <n v="1"/>
    <n v="-2.5999999999999999E-2"/>
    <s v="150"/>
    <m/>
    <n v="1"/>
    <n v="297"/>
    <n v="0.99664429530201337"/>
    <m/>
    <m/>
    <m/>
    <m/>
    <x v="0"/>
    <x v="0"/>
    <m/>
    <m/>
    <m/>
    <x v="0"/>
    <x v="0"/>
  </r>
  <r>
    <x v="367"/>
    <x v="36"/>
    <x v="34"/>
    <n v="6"/>
    <n v="6"/>
    <n v="24.3"/>
    <n v="145.80000000000001"/>
    <n v="148"/>
    <n v="888"/>
    <n v="1.0150891632373114"/>
    <n v="1"/>
    <n v="1.4999999999999999E-2"/>
    <s v="120"/>
    <m/>
    <n v="2"/>
    <n v="146"/>
    <n v="0.98648648648648651"/>
    <m/>
    <m/>
    <m/>
    <m/>
    <x v="0"/>
    <x v="0"/>
    <m/>
    <m/>
    <m/>
    <x v="0"/>
    <x v="0"/>
  </r>
  <r>
    <x v="367"/>
    <x v="46"/>
    <x v="17"/>
    <n v="21"/>
    <n v="3"/>
    <n v="31.6"/>
    <n v="663.6"/>
    <n v="668"/>
    <n v="2004"/>
    <n v="1.0066305003013862"/>
    <n v="1"/>
    <n v="7.0000000000000001E-3"/>
    <s v="540"/>
    <m/>
    <n v="0"/>
    <n v="668"/>
    <n v="1"/>
    <m/>
    <m/>
    <m/>
    <m/>
    <x v="0"/>
    <x v="0"/>
    <m/>
    <m/>
    <m/>
    <x v="0"/>
    <x v="0"/>
  </r>
  <r>
    <x v="367"/>
    <x v="35"/>
    <x v="33"/>
    <n v="8"/>
    <n v="18"/>
    <n v="6.6"/>
    <n v="52.8"/>
    <n v="52"/>
    <n v="936"/>
    <n v="0.98484848484848486"/>
    <n v="1"/>
    <n v="-1.4999999999999999E-2"/>
    <s v="115"/>
    <m/>
    <n v="0"/>
    <n v="52"/>
    <n v="1"/>
    <m/>
    <m/>
    <m/>
    <m/>
    <x v="0"/>
    <x v="0"/>
    <m/>
    <m/>
    <m/>
    <x v="0"/>
    <x v="0"/>
  </r>
  <r>
    <x v="367"/>
    <x v="11"/>
    <x v="11"/>
    <n v="64"/>
    <n v="2.8"/>
    <n v="44.5"/>
    <n v="2526.5714285714284"/>
    <n v="2571"/>
    <n v="7198.7999999999993"/>
    <n v="1.0175845301368314"/>
    <n v="1"/>
    <n v="1.7999999999999999E-2"/>
    <s v="475"/>
    <m/>
    <n v="1"/>
    <n v="2570"/>
    <n v="0.99961104628549202"/>
    <m/>
    <m/>
    <s v="，D9920(18kg)*50桶(2026.08.11)"/>
    <m/>
    <x v="0"/>
    <x v="0"/>
    <m/>
    <m/>
    <m/>
    <x v="0"/>
    <x v="0"/>
  </r>
  <r>
    <x v="367"/>
    <x v="90"/>
    <x v="81"/>
    <n v="1"/>
    <n v="1"/>
    <n v="670"/>
    <n v="670"/>
    <n v="397"/>
    <n v="397"/>
    <n v="0.59253731343283578"/>
    <n v="1"/>
    <n v="-0.40699999999999997"/>
    <s v="0"/>
    <m/>
    <n v="0"/>
    <n v="397"/>
    <n v="1"/>
    <m/>
    <m/>
    <s v="2025/8/15包裝"/>
    <m/>
    <x v="0"/>
    <x v="0"/>
    <m/>
    <m/>
    <m/>
    <x v="0"/>
    <x v="0"/>
  </r>
  <r>
    <x v="368"/>
    <x v="15"/>
    <x v="15"/>
    <n v="32"/>
    <n v="3.2"/>
    <n v="46.8"/>
    <n v="1497.6"/>
    <n v="1492"/>
    <n v="4774.4000000000005"/>
    <n v="0.99626068376068377"/>
    <n v="1"/>
    <n v="-4.0000000000000001E-3"/>
    <s v="300"/>
    <m/>
    <n v="1"/>
    <n v="1491"/>
    <n v="0.99932975871313678"/>
    <m/>
    <m/>
    <m/>
    <m/>
    <x v="0"/>
    <x v="0"/>
    <m/>
    <m/>
    <m/>
    <x v="0"/>
    <x v="0"/>
  </r>
  <r>
    <x v="368"/>
    <x v="124"/>
    <x v="26"/>
    <n v="32"/>
    <n v="3.2"/>
    <n v="47.5"/>
    <n v="1520"/>
    <n v="1463"/>
    <n v="4681.6000000000004"/>
    <n v="0.96250000000000002"/>
    <e v="#N/A"/>
    <e v="#N/A"/>
    <s v="330"/>
    <m/>
    <n v="2"/>
    <n v="1461"/>
    <n v="0.99863294600136709"/>
    <s v="1140812-01A"/>
    <m/>
    <s v="8/12早上約11:44分作業人員在進行投料作業前，球型真空鍋下料管路開關閥沒有關閉而造成膠體流失產生製程異常。                                            _x000a_現場遺漏之膠體已污染地面，須視同報廢膠體"/>
    <m/>
    <x v="0"/>
    <x v="0"/>
    <m/>
    <m/>
    <m/>
    <x v="0"/>
    <x v="0"/>
  </r>
  <r>
    <x v="368"/>
    <x v="130"/>
    <x v="114"/>
    <n v="18"/>
    <n v="6"/>
    <n v="0"/>
    <n v="0"/>
    <n v="469"/>
    <n v="2814"/>
    <s v="無法預估數據"/>
    <e v="#N/A"/>
    <s v="無法預估數據"/>
    <s v="340"/>
    <m/>
    <n v="1"/>
    <n v="468"/>
    <n v="0.99786780383795304"/>
    <m/>
    <m/>
    <m/>
    <m/>
    <x v="0"/>
    <x v="0"/>
    <m/>
    <m/>
    <m/>
    <x v="0"/>
    <x v="0"/>
  </r>
  <r>
    <x v="368"/>
    <x v="9"/>
    <x v="9"/>
    <n v="16"/>
    <n v="6"/>
    <n v="25.7"/>
    <n v="411.2"/>
    <n v="414"/>
    <n v="2484"/>
    <n v="1.0068093385214008"/>
    <n v="1"/>
    <n v="7.0000000000000001E-3"/>
    <s v="210"/>
    <m/>
    <n v="1"/>
    <n v="413"/>
    <n v="0.99758454106280192"/>
    <m/>
    <m/>
    <m/>
    <m/>
    <x v="0"/>
    <x v="0"/>
    <m/>
    <m/>
    <m/>
    <x v="0"/>
    <x v="0"/>
  </r>
  <r>
    <x v="368"/>
    <x v="41"/>
    <x v="39"/>
    <n v="72"/>
    <n v="2.8"/>
    <n v="44.2"/>
    <n v="2539.5428571428574"/>
    <n v="2522"/>
    <n v="7061.5999999999995"/>
    <n v="0.99309212006660352"/>
    <n v="1"/>
    <n v="-7.0000000000000001E-3"/>
    <s v="570"/>
    <m/>
    <n v="1"/>
    <n v="2521"/>
    <n v="0.99960348929421095"/>
    <m/>
    <m/>
    <s v="，D9921(18kg)*100桶(2026.08.12)"/>
    <m/>
    <x v="0"/>
    <x v="0"/>
    <m/>
    <m/>
    <m/>
    <x v="0"/>
    <x v="0"/>
  </r>
  <r>
    <x v="369"/>
    <x v="43"/>
    <x v="41"/>
    <n v="20"/>
    <n v="0.26"/>
    <n v="584.29999999999995"/>
    <n v="11686"/>
    <n v="11802"/>
    <n v="3068.52"/>
    <n v="1.0099264076672942"/>
    <n v="1"/>
    <n v="0.01"/>
    <s v="300"/>
    <m/>
    <n v="26"/>
    <n v="11776"/>
    <n v="0.99779698356210811"/>
    <m/>
    <m/>
    <m/>
    <m/>
    <x v="0"/>
    <x v="0"/>
    <m/>
    <m/>
    <m/>
    <x v="0"/>
    <x v="0"/>
  </r>
  <r>
    <x v="369"/>
    <x v="30"/>
    <x v="28"/>
    <n v="8"/>
    <n v="0.43"/>
    <n v="340.4"/>
    <n v="2723.2"/>
    <n v="2659"/>
    <n v="1143.3699999999999"/>
    <n v="0.97642479435957708"/>
    <n v="1"/>
    <n v="-2.4E-2"/>
    <s v="240"/>
    <m/>
    <n v="12"/>
    <n v="2647"/>
    <n v="0.9954870251974427"/>
    <m/>
    <m/>
    <s v="，麥味登180箱"/>
    <m/>
    <x v="0"/>
    <x v="0"/>
    <m/>
    <m/>
    <m/>
    <x v="0"/>
    <x v="0"/>
  </r>
  <r>
    <x v="369"/>
    <x v="122"/>
    <x v="111"/>
    <n v="16"/>
    <n v="6"/>
    <n v="0"/>
    <n v="0"/>
    <n v="406"/>
    <n v="2436"/>
    <s v="無法預估數據"/>
    <e v="#N/A"/>
    <s v="無法預估數據"/>
    <s v="220"/>
    <m/>
    <n v="2"/>
    <n v="404"/>
    <n v="0.99507389162561577"/>
    <m/>
    <m/>
    <m/>
    <m/>
    <x v="0"/>
    <x v="0"/>
    <m/>
    <m/>
    <m/>
    <x v="0"/>
    <x v="0"/>
  </r>
  <r>
    <x v="369"/>
    <x v="9"/>
    <x v="9"/>
    <n v="20"/>
    <n v="6"/>
    <n v="25.7"/>
    <n v="514"/>
    <n v="521"/>
    <n v="3126"/>
    <n v="1.0136186770428015"/>
    <n v="1"/>
    <n v="1.4E-2"/>
    <s v="333"/>
    <m/>
    <n v="1"/>
    <n v="520"/>
    <n v="0.99808061420345484"/>
    <m/>
    <m/>
    <m/>
    <m/>
    <x v="0"/>
    <x v="0"/>
    <m/>
    <m/>
    <m/>
    <x v="0"/>
    <x v="0"/>
  </r>
  <r>
    <x v="369"/>
    <x v="11"/>
    <x v="11"/>
    <n v="72"/>
    <n v="2.8"/>
    <n v="44.5"/>
    <n v="3204"/>
    <n v="3212"/>
    <n v="8993.5999999999985"/>
    <n v="1.0024968789013733"/>
    <n v="1"/>
    <n v="2E-3"/>
    <s v="550"/>
    <m/>
    <n v="2"/>
    <n v="3210"/>
    <n v="0.99937733499377335"/>
    <m/>
    <m/>
    <m/>
    <m/>
    <x v="0"/>
    <x v="0"/>
    <m/>
    <m/>
    <m/>
    <x v="0"/>
    <x v="0"/>
  </r>
  <r>
    <x v="370"/>
    <x v="15"/>
    <x v="15"/>
    <n v="72"/>
    <n v="3.2"/>
    <n v="46.8"/>
    <n v="3369.6"/>
    <n v="3387"/>
    <n v="10838.400000000001"/>
    <n v="1.0051638176638178"/>
    <n v="1"/>
    <n v="5.0000000000000001E-3"/>
    <s v="540"/>
    <m/>
    <n v="2"/>
    <n v="3385"/>
    <n v="0.99940950693829345"/>
    <m/>
    <m/>
    <m/>
    <m/>
    <x v="0"/>
    <x v="0"/>
    <m/>
    <m/>
    <m/>
    <x v="0"/>
    <x v="0"/>
  </r>
  <r>
    <x v="370"/>
    <x v="9"/>
    <x v="9"/>
    <n v="12"/>
    <n v="6"/>
    <n v="25.7"/>
    <n v="308.39999999999998"/>
    <n v="312"/>
    <n v="1872"/>
    <n v="1.0116731517509729"/>
    <n v="1"/>
    <n v="1.2E-2"/>
    <s v="210"/>
    <m/>
    <n v="3"/>
    <n v="309"/>
    <n v="0.99038461538461542"/>
    <m/>
    <m/>
    <m/>
    <m/>
    <x v="0"/>
    <x v="0"/>
    <m/>
    <m/>
    <m/>
    <x v="0"/>
    <x v="0"/>
  </r>
  <r>
    <x v="370"/>
    <x v="10"/>
    <x v="10"/>
    <n v="24"/>
    <n v="6"/>
    <n v="25.4"/>
    <n v="609.59999999999991"/>
    <n v="611"/>
    <n v="3666"/>
    <n v="1.0022965879265093"/>
    <n v="1"/>
    <n v="2E-3"/>
    <s v="340"/>
    <m/>
    <n v="3"/>
    <n v="608"/>
    <n v="0.9950900163666121"/>
    <m/>
    <m/>
    <m/>
    <m/>
    <x v="0"/>
    <x v="0"/>
    <m/>
    <m/>
    <m/>
    <x v="0"/>
    <x v="0"/>
  </r>
  <r>
    <x v="370"/>
    <x v="23"/>
    <x v="22"/>
    <n v="36"/>
    <n v="0.34"/>
    <n v="364.6"/>
    <n v="13125.6"/>
    <n v="12940"/>
    <n v="4399.6000000000004"/>
    <n v="0.98585969403303464"/>
    <n v="1"/>
    <n v="-1.4E-2"/>
    <s v="495"/>
    <m/>
    <n v="3"/>
    <n v="12937"/>
    <n v="0.99976816074188568"/>
    <m/>
    <m/>
    <m/>
    <m/>
    <x v="0"/>
    <x v="0"/>
    <m/>
    <m/>
    <m/>
    <x v="0"/>
    <x v="0"/>
  </r>
  <r>
    <x v="370"/>
    <x v="24"/>
    <x v="23"/>
    <n v="8"/>
    <n v="0.34"/>
    <n v="366"/>
    <n v="2928"/>
    <n v="2969"/>
    <n v="1009.46"/>
    <n v="1.0140027322404372"/>
    <n v="1"/>
    <n v="1.4E-2"/>
    <s v="230"/>
    <m/>
    <n v="3"/>
    <n v="2966"/>
    <n v="0.99898955877399798"/>
    <m/>
    <m/>
    <m/>
    <m/>
    <x v="0"/>
    <x v="0"/>
    <m/>
    <m/>
    <m/>
    <x v="0"/>
    <x v="0"/>
  </r>
  <r>
    <x v="371"/>
    <x v="9"/>
    <x v="9"/>
    <n v="16"/>
    <n v="6"/>
    <n v="25.7"/>
    <n v="411.2"/>
    <n v="416"/>
    <n v="2496"/>
    <n v="1.0116731517509727"/>
    <n v="1"/>
    <n v="1.2E-2"/>
    <s v="240"/>
    <m/>
    <n v="1"/>
    <n v="415"/>
    <n v="0.99759615384615385"/>
    <m/>
    <m/>
    <m/>
    <m/>
    <x v="0"/>
    <x v="0"/>
    <m/>
    <m/>
    <m/>
    <x v="0"/>
    <x v="0"/>
  </r>
  <r>
    <x v="371"/>
    <x v="131"/>
    <x v="105"/>
    <n v="4"/>
    <n v="6"/>
    <n v="25.2"/>
    <n v="100.8"/>
    <n v="101"/>
    <n v="606"/>
    <n v="1.001984126984127"/>
    <e v="#N/A"/>
    <e v="#N/A"/>
    <s v="114"/>
    <m/>
    <n v="1"/>
    <n v="100"/>
    <n v="0.99009900990099009"/>
    <m/>
    <m/>
    <m/>
    <m/>
    <x v="0"/>
    <x v="0"/>
    <m/>
    <m/>
    <m/>
    <x v="0"/>
    <x v="0"/>
  </r>
  <r>
    <x v="371"/>
    <x v="129"/>
    <x v="113"/>
    <n v="18"/>
    <n v="6"/>
    <n v="0"/>
    <n v="0"/>
    <n v="465"/>
    <n v="2790"/>
    <s v="無法預估數據"/>
    <e v="#N/A"/>
    <s v="無法預估數據"/>
    <s v="275"/>
    <m/>
    <n v="2"/>
    <n v="463"/>
    <n v="0.99569892473118282"/>
    <m/>
    <m/>
    <m/>
    <m/>
    <x v="0"/>
    <x v="0"/>
    <m/>
    <m/>
    <m/>
    <x v="0"/>
    <x v="0"/>
  </r>
  <r>
    <x v="371"/>
    <x v="48"/>
    <x v="17"/>
    <n v="21"/>
    <n v="3"/>
    <n v="30.8"/>
    <n v="646.80000000000007"/>
    <n v="648"/>
    <n v="1944"/>
    <n v="1.0018552875695732"/>
    <n v="1"/>
    <n v="2E-3"/>
    <s v="570"/>
    <m/>
    <n v="0"/>
    <n v="648"/>
    <n v="1"/>
    <m/>
    <m/>
    <m/>
    <m/>
    <x v="0"/>
    <x v="0"/>
    <m/>
    <m/>
    <m/>
    <x v="0"/>
    <x v="0"/>
  </r>
  <r>
    <x v="371"/>
    <x v="41"/>
    <x v="39"/>
    <n v="72"/>
    <n v="2.8"/>
    <n v="44.2"/>
    <n v="3182.4"/>
    <n v="3151"/>
    <n v="8822.7999999999993"/>
    <n v="0.99013323278029153"/>
    <n v="1"/>
    <n v="-0.01"/>
    <s v="550"/>
    <m/>
    <n v="1"/>
    <n v="3150"/>
    <n v="0.99968264043160904"/>
    <m/>
    <m/>
    <m/>
    <m/>
    <x v="0"/>
    <x v="0"/>
    <m/>
    <m/>
    <m/>
    <x v="0"/>
    <x v="0"/>
  </r>
  <r>
    <x v="372"/>
    <x v="13"/>
    <x v="13"/>
    <n v="40"/>
    <n v="0.9"/>
    <n v="160.5"/>
    <n v="6420"/>
    <n v="6517"/>
    <n v="5865.3"/>
    <n v="1.0151090342679128"/>
    <n v="1"/>
    <n v="1.4999999999999999E-2"/>
    <s v="532"/>
    <m/>
    <n v="3"/>
    <n v="6514"/>
    <n v="0.9995396654902563"/>
    <m/>
    <m/>
    <m/>
    <m/>
    <x v="0"/>
    <x v="0"/>
    <m/>
    <m/>
    <m/>
    <x v="0"/>
    <x v="0"/>
  </r>
  <r>
    <x v="372"/>
    <x v="9"/>
    <x v="9"/>
    <n v="24"/>
    <n v="6"/>
    <n v="25.7"/>
    <n v="616.79999999999995"/>
    <n v="629"/>
    <n v="3774"/>
    <n v="1.0197795071335929"/>
    <n v="1"/>
    <n v="0.02"/>
    <s v="349"/>
    <m/>
    <n v="9"/>
    <n v="620"/>
    <n v="0.98569157392686801"/>
    <s v="1140924-01B"/>
    <m/>
    <m/>
    <m/>
    <x v="0"/>
    <x v="0"/>
    <m/>
    <m/>
    <m/>
    <x v="0"/>
    <x v="0"/>
  </r>
  <r>
    <x v="372"/>
    <x v="129"/>
    <x v="113"/>
    <n v="12"/>
    <n v="6"/>
    <n v="0"/>
    <n v="0"/>
    <n v="307"/>
    <n v="1842"/>
    <s v="無法預估數據"/>
    <e v="#N/A"/>
    <s v="無法預估數據"/>
    <s v="200"/>
    <m/>
    <n v="1"/>
    <n v="306"/>
    <n v="0.99674267100977199"/>
    <m/>
    <m/>
    <m/>
    <m/>
    <x v="0"/>
    <x v="0"/>
    <m/>
    <m/>
    <m/>
    <x v="0"/>
    <x v="0"/>
  </r>
  <r>
    <x v="372"/>
    <x v="34"/>
    <x v="32"/>
    <n v="20"/>
    <n v="0.34"/>
    <n v="358.3"/>
    <n v="7166"/>
    <n v="7267"/>
    <n v="2470.7800000000002"/>
    <n v="1.0140943343566844"/>
    <n v="1"/>
    <n v="1.4E-2"/>
    <s v="395"/>
    <m/>
    <n v="3"/>
    <n v="7264"/>
    <n v="0.99958717490023397"/>
    <m/>
    <m/>
    <m/>
    <m/>
    <x v="0"/>
    <x v="0"/>
    <m/>
    <m/>
    <m/>
    <x v="0"/>
    <x v="0"/>
  </r>
  <r>
    <x v="372"/>
    <x v="24"/>
    <x v="23"/>
    <n v="16"/>
    <n v="0.34"/>
    <n v="366"/>
    <n v="5856"/>
    <n v="5748"/>
    <n v="1954.3200000000002"/>
    <n v="0.98155737704918034"/>
    <n v="1"/>
    <n v="-1.7999999999999999E-2"/>
    <s v="285"/>
    <m/>
    <n v="5"/>
    <n v="5743"/>
    <n v="0.99913013221990254"/>
    <m/>
    <m/>
    <s v="，E0121佳樂美300箱(2026.08.18)"/>
    <m/>
    <x v="0"/>
    <x v="0"/>
    <m/>
    <m/>
    <m/>
    <x v="0"/>
    <x v="0"/>
  </r>
  <r>
    <x v="373"/>
    <x v="70"/>
    <x v="60"/>
    <n v="4"/>
    <n v="3.4"/>
    <n v="43"/>
    <n v="172"/>
    <n v="177"/>
    <n v="601.79999999999995"/>
    <n v="1.0290697674418605"/>
    <n v="1"/>
    <n v="2.9000000000000001E-2"/>
    <s v="164"/>
    <m/>
    <n v="1"/>
    <n v="176"/>
    <n v="0.99435028248587576"/>
    <m/>
    <m/>
    <m/>
    <m/>
    <x v="0"/>
    <x v="0"/>
    <m/>
    <m/>
    <m/>
    <x v="0"/>
    <x v="0"/>
  </r>
  <r>
    <x v="373"/>
    <x v="15"/>
    <x v="15"/>
    <n v="68"/>
    <n v="3.2"/>
    <n v="46.8"/>
    <n v="3182.3999999999996"/>
    <n v="3213"/>
    <n v="10281.6"/>
    <n v="1.0096153846153848"/>
    <n v="1"/>
    <n v="0.01"/>
    <s v="460"/>
    <m/>
    <n v="3"/>
    <n v="3210"/>
    <n v="0.99906629318394025"/>
    <m/>
    <m/>
    <m/>
    <m/>
    <x v="0"/>
    <x v="0"/>
    <m/>
    <m/>
    <m/>
    <x v="0"/>
    <x v="0"/>
  </r>
  <r>
    <x v="373"/>
    <x v="2"/>
    <x v="2"/>
    <n v="36"/>
    <n v="6"/>
    <n v="26.6"/>
    <n v="957.6"/>
    <n v="952"/>
    <n v="5712"/>
    <n v="0.99415204678362568"/>
    <n v="1"/>
    <n v="-6.0000000000000001E-3"/>
    <s v="460"/>
    <m/>
    <n v="3"/>
    <n v="949"/>
    <n v="0.99684873949579833"/>
    <m/>
    <m/>
    <m/>
    <m/>
    <x v="0"/>
    <x v="0"/>
    <m/>
    <m/>
    <m/>
    <x v="0"/>
    <x v="0"/>
  </r>
  <r>
    <x v="373"/>
    <x v="127"/>
    <x v="75"/>
    <n v="0.6"/>
    <n v="6"/>
    <n v="25.8"/>
    <n v="15.48"/>
    <n v="15"/>
    <n v="90"/>
    <n v="0.96899224806201545"/>
    <e v="#N/A"/>
    <e v="#N/A"/>
    <s v="83"/>
    <m/>
    <n v="1"/>
    <n v="14"/>
    <n v="0.93333333333333335"/>
    <m/>
    <n v="24"/>
    <s v="，生產90kg，特殊製程(4)，白色印字NY袋。。"/>
    <m/>
    <x v="0"/>
    <x v="0"/>
    <m/>
    <m/>
    <m/>
    <x v="0"/>
    <x v="0"/>
  </r>
  <r>
    <x v="373"/>
    <x v="12"/>
    <x v="12"/>
    <n v="40"/>
    <n v="0.8"/>
    <n v="157.69999999999999"/>
    <n v="6308"/>
    <n v="6263"/>
    <n v="5010.4000000000005"/>
    <n v="0.9928662016487001"/>
    <n v="1"/>
    <n v="-7.0000000000000001E-3"/>
    <s v="475"/>
    <m/>
    <n v="3"/>
    <n v="6260"/>
    <n v="0.99952099632763847"/>
    <m/>
    <m/>
    <m/>
    <m/>
    <x v="0"/>
    <x v="0"/>
    <m/>
    <m/>
    <m/>
    <x v="0"/>
    <x v="0"/>
  </r>
  <r>
    <x v="374"/>
    <x v="8"/>
    <x v="8"/>
    <n v="40"/>
    <n v="0.44"/>
    <n v="344"/>
    <n v="13760"/>
    <n v="13778"/>
    <n v="6062.32"/>
    <n v="1.0013081395348837"/>
    <n v="1"/>
    <n v="1E-3"/>
    <s v="480"/>
    <m/>
    <n v="10"/>
    <n v="13768"/>
    <n v="0.99927420525475397"/>
    <m/>
    <m/>
    <m/>
    <m/>
    <x v="0"/>
    <x v="0"/>
    <m/>
    <m/>
    <m/>
    <x v="0"/>
    <x v="0"/>
  </r>
  <r>
    <x v="374"/>
    <x v="22"/>
    <x v="10"/>
    <n v="12"/>
    <n v="6"/>
    <n v="25.1"/>
    <n v="301.20000000000005"/>
    <n v="302"/>
    <n v="1812"/>
    <n v="1.0026560424966797"/>
    <n v="1"/>
    <n v="3.0000000000000001E-3"/>
    <s v="180"/>
    <m/>
    <n v="2"/>
    <n v="300"/>
    <n v="0.99337748344370858"/>
    <m/>
    <m/>
    <m/>
    <m/>
    <x v="0"/>
    <x v="0"/>
    <m/>
    <m/>
    <m/>
    <x v="0"/>
    <x v="0"/>
  </r>
  <r>
    <x v="374"/>
    <x v="10"/>
    <x v="10"/>
    <n v="24"/>
    <n v="6"/>
    <n v="25.4"/>
    <n v="609.59999999999991"/>
    <n v="619"/>
    <n v="3714"/>
    <n v="1.0154199475065617"/>
    <n v="1"/>
    <n v="1.4999999999999999E-2"/>
    <s v="370"/>
    <m/>
    <n v="1"/>
    <n v="618"/>
    <n v="0.99838449111470118"/>
    <m/>
    <m/>
    <m/>
    <m/>
    <x v="0"/>
    <x v="0"/>
    <m/>
    <m/>
    <m/>
    <x v="0"/>
    <x v="0"/>
  </r>
  <r>
    <x v="374"/>
    <x v="11"/>
    <x v="11"/>
    <n v="72"/>
    <n v="2.8"/>
    <n v="44.5"/>
    <n v="3075.4285714285716"/>
    <n v="3085"/>
    <n v="8638"/>
    <n v="1.003112225938313"/>
    <n v="1"/>
    <n v="3.0000000000000001E-3"/>
    <s v="565"/>
    <m/>
    <n v="1"/>
    <n v="3084"/>
    <n v="0.99967585089141009"/>
    <m/>
    <m/>
    <s v="，D2021美芝城*50箱(2027.08.20)；D9920(18KG)20桶(2026.08.20)"/>
    <m/>
    <x v="0"/>
    <x v="0"/>
    <m/>
    <m/>
    <m/>
    <x v="0"/>
    <x v="0"/>
  </r>
  <r>
    <x v="374"/>
    <x v="102"/>
    <x v="92"/>
    <n v="1"/>
    <n v="1"/>
    <n v="142"/>
    <n v="142"/>
    <n v="139"/>
    <n v="139"/>
    <n v="0.97887323943661975"/>
    <n v="1"/>
    <n v="-2.1000000000000001E-2"/>
    <s v="0"/>
    <m/>
    <n v="0"/>
    <n v="139"/>
    <n v="1"/>
    <m/>
    <m/>
    <m/>
    <m/>
    <x v="0"/>
    <x v="0"/>
    <m/>
    <m/>
    <m/>
    <x v="0"/>
    <x v="0"/>
  </r>
  <r>
    <x v="375"/>
    <x v="0"/>
    <x v="0"/>
    <n v="12"/>
    <n v="6"/>
    <n v="25.5"/>
    <n v="306"/>
    <n v="299"/>
    <n v="1794"/>
    <n v="0.97712418300653592"/>
    <n v="1"/>
    <n v="-2.3E-2"/>
    <s v="160"/>
    <m/>
    <n v="5"/>
    <n v="294"/>
    <n v="0.98327759197324416"/>
    <m/>
    <m/>
    <m/>
    <m/>
    <x v="0"/>
    <x v="0"/>
    <m/>
    <m/>
    <m/>
    <x v="0"/>
    <x v="0"/>
  </r>
  <r>
    <x v="375"/>
    <x v="130"/>
    <x v="114"/>
    <n v="18"/>
    <n v="6"/>
    <n v="0"/>
    <n v="0"/>
    <n v="490"/>
    <n v="2940"/>
    <s v="無法預估數據"/>
    <e v="#N/A"/>
    <s v="無法預估數據"/>
    <s v="330"/>
    <m/>
    <n v="2"/>
    <n v="488"/>
    <n v="0.99591836734693873"/>
    <m/>
    <m/>
    <m/>
    <m/>
    <x v="0"/>
    <x v="0"/>
    <m/>
    <m/>
    <m/>
    <x v="0"/>
    <x v="0"/>
  </r>
  <r>
    <x v="375"/>
    <x v="1"/>
    <x v="1"/>
    <n v="6"/>
    <n v="6"/>
    <n v="25.7"/>
    <n v="154.19999999999999"/>
    <n v="152"/>
    <n v="912"/>
    <n v="0.9857328145265889"/>
    <n v="1"/>
    <n v="-1.4E-2"/>
    <s v="150"/>
    <m/>
    <n v="3"/>
    <n v="149"/>
    <n v="0.98026315789473684"/>
    <m/>
    <m/>
    <m/>
    <m/>
    <x v="0"/>
    <x v="0"/>
    <m/>
    <m/>
    <m/>
    <x v="0"/>
    <x v="0"/>
  </r>
  <r>
    <x v="375"/>
    <x v="3"/>
    <x v="3"/>
    <n v="20"/>
    <n v="4.5"/>
    <n v="36.299999999999997"/>
    <n v="726"/>
    <n v="736"/>
    <n v="3312"/>
    <n v="1.0137741046831956"/>
    <n v="1"/>
    <n v="1.4E-2"/>
    <s v="354"/>
    <m/>
    <n v="0"/>
    <n v="736"/>
    <n v="1"/>
    <m/>
    <m/>
    <m/>
    <m/>
    <x v="0"/>
    <x v="0"/>
    <m/>
    <m/>
    <m/>
    <x v="0"/>
    <x v="0"/>
  </r>
  <r>
    <x v="375"/>
    <x v="39"/>
    <x v="37"/>
    <n v="12"/>
    <n v="4.5"/>
    <n v="36"/>
    <n v="432"/>
    <n v="429"/>
    <n v="1930.5"/>
    <n v="0.99305555555555558"/>
    <n v="1"/>
    <n v="-7.0000000000000001E-3"/>
    <s v="195"/>
    <m/>
    <n v="0"/>
    <n v="429"/>
    <n v="1"/>
    <m/>
    <m/>
    <m/>
    <m/>
    <x v="0"/>
    <x v="0"/>
    <m/>
    <m/>
    <m/>
    <x v="0"/>
    <x v="0"/>
  </r>
  <r>
    <x v="375"/>
    <x v="77"/>
    <x v="69"/>
    <n v="3"/>
    <n v="4.5"/>
    <n v="32.9"/>
    <n v="98.699999999999989"/>
    <n v="101"/>
    <n v="454.5"/>
    <n v="1.0233029381965553"/>
    <n v="1"/>
    <n v="2.3E-2"/>
    <s v="130"/>
    <m/>
    <n v="0"/>
    <n v="101"/>
    <n v="1"/>
    <m/>
    <m/>
    <m/>
    <m/>
    <x v="0"/>
    <x v="0"/>
    <m/>
    <m/>
    <m/>
    <x v="0"/>
    <x v="0"/>
  </r>
  <r>
    <x v="375"/>
    <x v="11"/>
    <x v="11"/>
    <n v="72"/>
    <n v="2.8"/>
    <n v="44.5"/>
    <n v="3204"/>
    <n v="3216"/>
    <n v="9004.7999999999993"/>
    <n v="1.0037453183520599"/>
    <n v="1"/>
    <n v="4.0000000000000001E-3"/>
    <s v="545"/>
    <m/>
    <n v="1"/>
    <n v="3215"/>
    <n v="0.99968905472636815"/>
    <m/>
    <m/>
    <m/>
    <m/>
    <x v="0"/>
    <x v="0"/>
    <m/>
    <m/>
    <m/>
    <x v="0"/>
    <x v="0"/>
  </r>
  <r>
    <x v="375"/>
    <x v="97"/>
    <x v="88"/>
    <n v="50"/>
    <n v="1"/>
    <n v="6"/>
    <n v="300"/>
    <n v="301"/>
    <n v="301"/>
    <n v="1.0033333333333334"/>
    <n v="1"/>
    <n v="3.0000000000000001E-3"/>
    <s v="0"/>
    <m/>
    <n v="0"/>
    <n v="301"/>
    <n v="1"/>
    <m/>
    <m/>
    <m/>
    <m/>
    <x v="0"/>
    <x v="0"/>
    <m/>
    <m/>
    <m/>
    <x v="0"/>
    <x v="0"/>
  </r>
  <r>
    <x v="376"/>
    <x v="15"/>
    <x v="15"/>
    <n v="72"/>
    <n v="3.2"/>
    <n v="46.8"/>
    <n v="3369.6"/>
    <n v="3381"/>
    <n v="10819.2"/>
    <n v="1.0033831908831909"/>
    <n v="1"/>
    <n v="3.0000000000000001E-3"/>
    <s v="540"/>
    <m/>
    <n v="795"/>
    <n v="2586"/>
    <n v="0.76486246672582081"/>
    <m/>
    <m/>
    <s v="太軟785"/>
    <m/>
    <x v="0"/>
    <x v="0"/>
    <m/>
    <m/>
    <m/>
    <x v="0"/>
    <x v="0"/>
  </r>
  <r>
    <x v="376"/>
    <x v="16"/>
    <x v="16"/>
    <n v="16"/>
    <n v="6"/>
    <n v="26.1"/>
    <n v="417.6"/>
    <n v="421"/>
    <n v="2526"/>
    <n v="1.0081417624521072"/>
    <n v="1"/>
    <n v="8.0000000000000002E-3"/>
    <s v="220"/>
    <m/>
    <n v="1"/>
    <n v="420"/>
    <n v="0.99762470308788598"/>
    <m/>
    <m/>
    <m/>
    <m/>
    <x v="0"/>
    <x v="0"/>
    <m/>
    <m/>
    <m/>
    <x v="0"/>
    <x v="0"/>
  </r>
  <r>
    <x v="376"/>
    <x v="47"/>
    <x v="42"/>
    <n v="8"/>
    <n v="6"/>
    <n v="25.6"/>
    <n v="204.8"/>
    <n v="209"/>
    <n v="1254"/>
    <n v="1.0205078125"/>
    <n v="1"/>
    <n v="2.1000000000000001E-2"/>
    <s v="154"/>
    <m/>
    <n v="1"/>
    <n v="208"/>
    <n v="0.99521531100478466"/>
    <m/>
    <m/>
    <m/>
    <m/>
    <x v="0"/>
    <x v="0"/>
    <m/>
    <m/>
    <m/>
    <x v="0"/>
    <x v="0"/>
  </r>
  <r>
    <x v="376"/>
    <x v="19"/>
    <x v="19"/>
    <n v="12"/>
    <n v="6"/>
    <n v="25.5"/>
    <n v="306"/>
    <n v="308"/>
    <n v="1848"/>
    <n v="1.0065359477124183"/>
    <n v="1"/>
    <n v="7.0000000000000001E-3"/>
    <s v="210"/>
    <m/>
    <n v="1"/>
    <n v="307"/>
    <n v="0.99675324675324672"/>
    <m/>
    <m/>
    <m/>
    <m/>
    <x v="0"/>
    <x v="0"/>
    <m/>
    <m/>
    <m/>
    <x v="0"/>
    <x v="0"/>
  </r>
  <r>
    <x v="376"/>
    <x v="11"/>
    <x v="11"/>
    <n v="72"/>
    <n v="2.8"/>
    <n v="44.5"/>
    <n v="3204"/>
    <n v="3221"/>
    <n v="9018.7999999999993"/>
    <n v="1.0053058676654183"/>
    <n v="1"/>
    <n v="5.0000000000000001E-3"/>
    <s v="540"/>
    <m/>
    <n v="3"/>
    <n v="3218"/>
    <n v="0.99906861223222598"/>
    <m/>
    <m/>
    <m/>
    <m/>
    <x v="0"/>
    <x v="0"/>
    <m/>
    <m/>
    <m/>
    <x v="0"/>
    <x v="0"/>
  </r>
  <r>
    <x v="377"/>
    <x v="26"/>
    <x v="25"/>
    <n v="20"/>
    <n v="0.9"/>
    <n v="163"/>
    <n v="3260"/>
    <n v="3277"/>
    <n v="2949.3"/>
    <n v="1.0052147239263804"/>
    <n v="1"/>
    <n v="5.0000000000000001E-3"/>
    <s v="270"/>
    <m/>
    <n v="2"/>
    <n v="3275"/>
    <n v="0.99938968568812936"/>
    <m/>
    <m/>
    <m/>
    <m/>
    <x v="0"/>
    <x v="0"/>
    <m/>
    <m/>
    <m/>
    <x v="0"/>
    <x v="0"/>
  </r>
  <r>
    <x v="377"/>
    <x v="21"/>
    <x v="21"/>
    <n v="36"/>
    <n v="3.2"/>
    <n v="46.4"/>
    <n v="1670.3999999999999"/>
    <n v="1658"/>
    <n v="5305.6"/>
    <n v="0.9925766283524905"/>
    <n v="1"/>
    <n v="-7.0000000000000001E-3"/>
    <s v="300"/>
    <m/>
    <n v="1"/>
    <n v="1657"/>
    <n v="0.99939686369119418"/>
    <m/>
    <n v="60"/>
    <s v="特殊製程(1140812-01A)。"/>
    <m/>
    <x v="0"/>
    <x v="0"/>
    <m/>
    <m/>
    <m/>
    <x v="0"/>
    <x v="0"/>
  </r>
  <r>
    <x v="377"/>
    <x v="28"/>
    <x v="19"/>
    <n v="16"/>
    <n v="6"/>
    <n v="25.5"/>
    <n v="408"/>
    <n v="414"/>
    <n v="2484"/>
    <n v="1.0147058823529411"/>
    <n v="1"/>
    <n v="1.4999999999999999E-2"/>
    <s v="239"/>
    <m/>
    <n v="2"/>
    <n v="412"/>
    <n v="0.99516908212560384"/>
    <m/>
    <m/>
    <m/>
    <m/>
    <x v="0"/>
    <x v="0"/>
    <m/>
    <m/>
    <m/>
    <x v="0"/>
    <x v="0"/>
  </r>
  <r>
    <x v="377"/>
    <x v="18"/>
    <x v="18"/>
    <n v="12"/>
    <n v="6"/>
    <n v="26.4"/>
    <n v="316.79999999999995"/>
    <n v="322"/>
    <n v="1932"/>
    <n v="1.0164141414141417"/>
    <n v="1"/>
    <n v="1.6E-2"/>
    <s v="162"/>
    <m/>
    <n v="1"/>
    <n v="321"/>
    <n v="0.99689440993788825"/>
    <m/>
    <m/>
    <m/>
    <m/>
    <x v="0"/>
    <x v="0"/>
    <m/>
    <m/>
    <m/>
    <x v="0"/>
    <x v="0"/>
  </r>
  <r>
    <x v="377"/>
    <x v="129"/>
    <x v="113"/>
    <n v="12"/>
    <n v="6"/>
    <n v="0"/>
    <n v="0"/>
    <n v="308"/>
    <n v="1848"/>
    <s v="無法預估數據"/>
    <e v="#N/A"/>
    <s v="無法預估數據"/>
    <s v="180"/>
    <m/>
    <n v="2"/>
    <n v="306"/>
    <n v="0.99350649350649356"/>
    <m/>
    <m/>
    <m/>
    <m/>
    <x v="0"/>
    <x v="0"/>
    <m/>
    <m/>
    <m/>
    <x v="0"/>
    <x v="0"/>
  </r>
  <r>
    <x v="377"/>
    <x v="11"/>
    <x v="11"/>
    <n v="72"/>
    <n v="2.8"/>
    <n v="44.5"/>
    <n v="2850.4285714285716"/>
    <n v="2856"/>
    <n v="7996.7999999999993"/>
    <n v="1.0019545932942415"/>
    <n v="1"/>
    <n v="2E-3"/>
    <s v="555"/>
    <m/>
    <n v="1"/>
    <n v="2855"/>
    <n v="0.99964985994397759"/>
    <m/>
    <m/>
    <s v="D9920*55桶"/>
    <m/>
    <x v="0"/>
    <x v="0"/>
    <m/>
    <m/>
    <m/>
    <x v="0"/>
    <x v="0"/>
  </r>
  <r>
    <x v="378"/>
    <x v="43"/>
    <x v="41"/>
    <n v="20"/>
    <n v="0.26"/>
    <n v="584.29999999999995"/>
    <n v="11686"/>
    <n v="11783"/>
    <n v="3063.58"/>
    <n v="1.0083005305493753"/>
    <n v="1"/>
    <n v="8.0000000000000002E-3"/>
    <s v="370"/>
    <m/>
    <n v="27"/>
    <n v="11756"/>
    <n v="0.9977085631842485"/>
    <m/>
    <m/>
    <m/>
    <m/>
    <x v="0"/>
    <x v="0"/>
    <m/>
    <m/>
    <m/>
    <x v="0"/>
    <x v="0"/>
  </r>
  <r>
    <x v="378"/>
    <x v="71"/>
    <x v="61"/>
    <n v="4"/>
    <n v="0.17"/>
    <n v="912.6"/>
    <n v="3650.4"/>
    <n v="3550"/>
    <n v="603.5"/>
    <n v="0.97249616480385703"/>
    <n v="1"/>
    <n v="-2.8000000000000001E-2"/>
    <s v="210"/>
    <m/>
    <n v="3"/>
    <n v="3547"/>
    <n v="0.99915492957746477"/>
    <m/>
    <m/>
    <m/>
    <m/>
    <x v="0"/>
    <x v="0"/>
    <m/>
    <m/>
    <m/>
    <x v="0"/>
    <x v="0"/>
  </r>
  <r>
    <x v="378"/>
    <x v="16"/>
    <x v="16"/>
    <n v="20"/>
    <n v="6"/>
    <n v="26.1"/>
    <n v="522"/>
    <n v="530"/>
    <n v="3180"/>
    <n v="1.0153256704980842"/>
    <n v="1"/>
    <n v="1.4999999999999999E-2"/>
    <s v="304"/>
    <m/>
    <n v="2"/>
    <n v="528"/>
    <n v="0.99622641509433962"/>
    <m/>
    <m/>
    <m/>
    <m/>
    <x v="0"/>
    <x v="0"/>
    <m/>
    <m/>
    <m/>
    <x v="0"/>
    <x v="0"/>
  </r>
  <r>
    <x v="378"/>
    <x v="58"/>
    <x v="51"/>
    <n v="8"/>
    <n v="6"/>
    <n v="25.7"/>
    <n v="205.6"/>
    <n v="209"/>
    <n v="1254"/>
    <n v="1.0165369649805447"/>
    <n v="1"/>
    <n v="1.7000000000000001E-2"/>
    <s v="127"/>
    <m/>
    <n v="2"/>
    <n v="207"/>
    <n v="0.99043062200956933"/>
    <m/>
    <m/>
    <m/>
    <m/>
    <x v="0"/>
    <x v="0"/>
    <m/>
    <m/>
    <m/>
    <x v="0"/>
    <x v="0"/>
  </r>
  <r>
    <x v="378"/>
    <x v="66"/>
    <x v="57"/>
    <n v="6"/>
    <n v="9.08"/>
    <n v="17.5"/>
    <n v="105"/>
    <n v="104"/>
    <n v="944.32"/>
    <n v="0.99047619047619051"/>
    <n v="1"/>
    <n v="-0.01"/>
    <s v="165"/>
    <m/>
    <n v="0"/>
    <n v="104"/>
    <n v="1"/>
    <m/>
    <m/>
    <m/>
    <m/>
    <x v="0"/>
    <x v="0"/>
    <m/>
    <m/>
    <m/>
    <x v="0"/>
    <x v="0"/>
  </r>
  <r>
    <x v="378"/>
    <x v="55"/>
    <x v="48"/>
    <n v="40"/>
    <n v="18"/>
    <n v="6.9"/>
    <n v="276"/>
    <n v="280"/>
    <n v="5040"/>
    <n v="1.0144927536231885"/>
    <n v="1"/>
    <n v="1.4E-2"/>
    <s v="425"/>
    <m/>
    <n v="0"/>
    <n v="280"/>
    <n v="1"/>
    <m/>
    <m/>
    <m/>
    <m/>
    <x v="0"/>
    <x v="0"/>
    <m/>
    <m/>
    <m/>
    <x v="0"/>
    <x v="0"/>
  </r>
  <r>
    <x v="379"/>
    <x v="27"/>
    <x v="26"/>
    <n v="72"/>
    <n v="3.2"/>
    <n v="47.5"/>
    <n v="3420"/>
    <n v="3465"/>
    <n v="11088"/>
    <n v="1.013157894736842"/>
    <n v="1"/>
    <n v="1.2999999999999999E-2"/>
    <s v="570"/>
    <m/>
    <n v="3"/>
    <n v="3462"/>
    <n v="0.9991341991341991"/>
    <m/>
    <m/>
    <m/>
    <m/>
    <x v="0"/>
    <x v="0"/>
    <m/>
    <m/>
    <m/>
    <x v="0"/>
    <x v="0"/>
  </r>
  <r>
    <x v="379"/>
    <x v="45"/>
    <x v="10"/>
    <n v="8"/>
    <n v="6"/>
    <n v="26.4"/>
    <n v="211.2"/>
    <n v="210"/>
    <n v="1260"/>
    <n v="0.99431818181818188"/>
    <n v="1"/>
    <n v="-6.0000000000000001E-3"/>
    <s v="172"/>
    <m/>
    <n v="1"/>
    <n v="209"/>
    <n v="0.99523809523809526"/>
    <m/>
    <m/>
    <m/>
    <m/>
    <x v="0"/>
    <x v="0"/>
    <m/>
    <m/>
    <m/>
    <x v="0"/>
    <x v="0"/>
  </r>
  <r>
    <x v="379"/>
    <x v="47"/>
    <x v="42"/>
    <n v="16"/>
    <n v="6"/>
    <n v="25.6"/>
    <n v="409.6"/>
    <n v="427"/>
    <n v="2562"/>
    <n v="1.04248046875"/>
    <n v="1"/>
    <n v="4.2000000000000003E-2"/>
    <s v="210"/>
    <m/>
    <n v="2"/>
    <n v="425"/>
    <n v="0.99531615925058547"/>
    <m/>
    <m/>
    <m/>
    <m/>
    <x v="0"/>
    <x v="0"/>
    <m/>
    <m/>
    <m/>
    <x v="0"/>
    <x v="0"/>
  </r>
  <r>
    <x v="379"/>
    <x v="22"/>
    <x v="10"/>
    <n v="16"/>
    <n v="6"/>
    <n v="25.1"/>
    <n v="401.6"/>
    <n v="410"/>
    <n v="2460"/>
    <n v="1.0209163346613546"/>
    <n v="1"/>
    <n v="2.1000000000000001E-2"/>
    <s v="200"/>
    <m/>
    <n v="2"/>
    <n v="408"/>
    <n v="0.99512195121951219"/>
    <m/>
    <m/>
    <m/>
    <m/>
    <x v="0"/>
    <x v="0"/>
    <m/>
    <m/>
    <m/>
    <x v="0"/>
    <x v="0"/>
  </r>
  <r>
    <x v="379"/>
    <x v="17"/>
    <x v="17"/>
    <n v="21"/>
    <n v="3"/>
    <n v="29.7"/>
    <n v="623.69999999999993"/>
    <n v="628"/>
    <n v="1884"/>
    <n v="1.0068943402276738"/>
    <n v="1"/>
    <n v="7.0000000000000001E-3"/>
    <s v="540"/>
    <m/>
    <n v="0"/>
    <n v="628"/>
    <n v="1"/>
    <m/>
    <m/>
    <m/>
    <m/>
    <x v="0"/>
    <x v="0"/>
    <m/>
    <m/>
    <m/>
    <x v="0"/>
    <x v="0"/>
  </r>
  <r>
    <x v="379"/>
    <x v="96"/>
    <x v="87"/>
    <n v="50"/>
    <n v="1"/>
    <n v="5.7"/>
    <n v="285"/>
    <n v="296"/>
    <n v="296"/>
    <n v="1.0385964912280701"/>
    <n v="1"/>
    <n v="3.9E-2"/>
    <s v="0"/>
    <m/>
    <n v="0"/>
    <n v="296"/>
    <n v="1"/>
    <m/>
    <m/>
    <m/>
    <m/>
    <x v="0"/>
    <x v="0"/>
    <m/>
    <m/>
    <m/>
    <x v="0"/>
    <x v="0"/>
  </r>
  <r>
    <x v="380"/>
    <x v="26"/>
    <x v="25"/>
    <n v="40"/>
    <n v="0.9"/>
    <n v="163"/>
    <n v="6520"/>
    <n v="6673"/>
    <n v="6005.7"/>
    <n v="1.0234662576687117"/>
    <n v="1"/>
    <n v="2.3E-2"/>
    <s v="570"/>
    <m/>
    <n v="3"/>
    <n v="6670"/>
    <n v="0.99955042709426045"/>
    <m/>
    <n v="216"/>
    <s v="特殊製程(1140812-01A)。"/>
    <m/>
    <x v="0"/>
    <x v="0"/>
    <m/>
    <m/>
    <m/>
    <x v="0"/>
    <x v="0"/>
  </r>
  <r>
    <x v="380"/>
    <x v="105"/>
    <x v="93"/>
    <n v="1"/>
    <n v="0.1"/>
    <n v="1732"/>
    <n v="1732"/>
    <n v="1600"/>
    <n v="160"/>
    <n v="0.92378752886836024"/>
    <n v="1"/>
    <n v="-7.5999999999999998E-2"/>
    <s v="0"/>
    <m/>
    <n v="59"/>
    <n v="1541"/>
    <n v="0.96312500000000001"/>
    <m/>
    <m/>
    <m/>
    <m/>
    <x v="0"/>
    <x v="0"/>
    <m/>
    <m/>
    <m/>
    <x v="0"/>
    <x v="0"/>
  </r>
  <r>
    <x v="380"/>
    <x v="94"/>
    <x v="85"/>
    <n v="1"/>
    <n v="1"/>
    <n v="591"/>
    <n v="591"/>
    <n v="520"/>
    <n v="520"/>
    <n v="0.87986463620981392"/>
    <n v="1"/>
    <n v="-0.12"/>
    <s v="0"/>
    <m/>
    <n v="0"/>
    <n v="520"/>
    <n v="1"/>
    <m/>
    <m/>
    <m/>
    <m/>
    <x v="0"/>
    <x v="0"/>
    <m/>
    <m/>
    <m/>
    <x v="0"/>
    <x v="0"/>
  </r>
  <r>
    <x v="381"/>
    <x v="51"/>
    <x v="45"/>
    <n v="20"/>
    <n v="9.08"/>
    <n v="17.8"/>
    <n v="356"/>
    <n v="355"/>
    <n v="3223.4"/>
    <n v="0.9971910112359551"/>
    <n v="1"/>
    <n v="-3.0000000000000001E-3"/>
    <s v="315"/>
    <m/>
    <n v="0"/>
    <n v="355"/>
    <n v="1"/>
    <m/>
    <m/>
    <m/>
    <m/>
    <x v="0"/>
    <x v="0"/>
    <m/>
    <m/>
    <m/>
    <x v="0"/>
    <x v="0"/>
  </r>
  <r>
    <x v="381"/>
    <x v="10"/>
    <x v="10"/>
    <n v="20"/>
    <n v="6"/>
    <n v="25.4"/>
    <n v="508"/>
    <n v="508"/>
    <n v="3048"/>
    <n v="1"/>
    <n v="1"/>
    <n v="0"/>
    <s v="210"/>
    <m/>
    <n v="1"/>
    <n v="507"/>
    <n v="0.99803149606299213"/>
    <m/>
    <m/>
    <m/>
    <m/>
    <x v="0"/>
    <x v="0"/>
    <m/>
    <m/>
    <m/>
    <x v="0"/>
    <x v="0"/>
  </r>
  <r>
    <x v="381"/>
    <x v="11"/>
    <x v="11"/>
    <n v="32"/>
    <n v="2.8"/>
    <n v="44.5"/>
    <n v="1424"/>
    <n v="1436"/>
    <n v="4020.7999999999997"/>
    <n v="1.0084269662921348"/>
    <n v="1"/>
    <n v="8.0000000000000002E-3"/>
    <s v="390"/>
    <m/>
    <n v="1"/>
    <n v="1435"/>
    <n v="0.99930362116991645"/>
    <m/>
    <m/>
    <m/>
    <m/>
    <x v="0"/>
    <x v="0"/>
    <m/>
    <m/>
    <m/>
    <x v="0"/>
    <x v="0"/>
  </r>
  <r>
    <x v="382"/>
    <x v="15"/>
    <x v="15"/>
    <n v="36"/>
    <n v="3.2"/>
    <n v="46.8"/>
    <n v="1684.8"/>
    <n v="1661"/>
    <n v="5315.2000000000007"/>
    <n v="0.98587369420702753"/>
    <n v="1"/>
    <n v="-1.4E-2"/>
    <s v="300"/>
    <m/>
    <n v="54"/>
    <n v="1607"/>
    <n v="0.96748946417820592"/>
    <s v="1140908-01A"/>
    <m/>
    <s v="用電動拖車搬運鐵籠過程中，未將鐵籠安全門扣妥，導致鐵籠內之成品滑落至地面而受損，此次異常品數量約54罐"/>
    <m/>
    <x v="0"/>
    <x v="0"/>
    <m/>
    <m/>
    <m/>
    <x v="0"/>
    <x v="0"/>
  </r>
  <r>
    <x v="382"/>
    <x v="27"/>
    <x v="26"/>
    <n v="36"/>
    <n v="3.2"/>
    <n v="47.5"/>
    <n v="1710"/>
    <n v="1741"/>
    <n v="5571.2000000000007"/>
    <n v="1.0181286549707602"/>
    <n v="1"/>
    <n v="1.7999999999999999E-2"/>
    <s v="240"/>
    <m/>
    <n v="1"/>
    <n v="1740"/>
    <n v="0.99942561746122915"/>
    <m/>
    <n v="108"/>
    <s v="特殊製程(1140812-01A)。"/>
    <m/>
    <x v="0"/>
    <x v="0"/>
    <m/>
    <m/>
    <m/>
    <x v="0"/>
    <x v="0"/>
  </r>
  <r>
    <x v="382"/>
    <x v="9"/>
    <x v="9"/>
    <n v="20"/>
    <n v="6"/>
    <n v="25.7"/>
    <n v="514"/>
    <n v="529"/>
    <n v="3174"/>
    <n v="1.0291828793774318"/>
    <n v="1"/>
    <n v="2.9000000000000001E-2"/>
    <s v="331"/>
    <m/>
    <n v="1"/>
    <n v="528"/>
    <n v="0.99810964083175802"/>
    <m/>
    <m/>
    <m/>
    <m/>
    <x v="0"/>
    <x v="0"/>
    <m/>
    <m/>
    <m/>
    <x v="0"/>
    <x v="0"/>
  </r>
  <r>
    <x v="382"/>
    <x v="20"/>
    <x v="20"/>
    <n v="8"/>
    <n v="6"/>
    <n v="25"/>
    <n v="200"/>
    <n v="201"/>
    <n v="1206"/>
    <n v="1.0049999999999999"/>
    <n v="1"/>
    <n v="5.0000000000000001E-3"/>
    <s v="119"/>
    <m/>
    <n v="1"/>
    <n v="200"/>
    <n v="0.99502487562189057"/>
    <m/>
    <m/>
    <m/>
    <m/>
    <x v="0"/>
    <x v="0"/>
    <m/>
    <m/>
    <m/>
    <x v="0"/>
    <x v="0"/>
  </r>
  <r>
    <x v="382"/>
    <x v="36"/>
    <x v="34"/>
    <n v="6"/>
    <n v="6"/>
    <n v="24.3"/>
    <n v="145.80000000000001"/>
    <n v="153"/>
    <n v="918"/>
    <n v="1.0493827160493827"/>
    <n v="1"/>
    <n v="4.9000000000000002E-2"/>
    <s v="130"/>
    <m/>
    <n v="1"/>
    <n v="152"/>
    <n v="0.99346405228758172"/>
    <m/>
    <m/>
    <m/>
    <m/>
    <x v="0"/>
    <x v="0"/>
    <m/>
    <m/>
    <m/>
    <x v="0"/>
    <x v="0"/>
  </r>
  <r>
    <x v="382"/>
    <x v="6"/>
    <x v="6"/>
    <n v="32"/>
    <n v="0.4"/>
    <n v="309.2"/>
    <n v="9894.4"/>
    <n v="10297"/>
    <n v="4118.8"/>
    <n v="1.0406896830530401"/>
    <n v="1"/>
    <n v="4.1000000000000002E-2"/>
    <s v="475"/>
    <m/>
    <n v="3"/>
    <n v="10294"/>
    <n v="0.99970865300572986"/>
    <m/>
    <m/>
    <m/>
    <m/>
    <x v="0"/>
    <x v="0"/>
    <m/>
    <m/>
    <m/>
    <x v="0"/>
    <x v="0"/>
  </r>
  <r>
    <x v="382"/>
    <x v="34"/>
    <x v="32"/>
    <n v="12"/>
    <n v="0.34"/>
    <n v="358.3"/>
    <n v="4299.6000000000004"/>
    <n v="4038"/>
    <n v="1372.92"/>
    <n v="0.93915713089589725"/>
    <n v="1"/>
    <n v="-6.0999999999999999E-2"/>
    <s v="190"/>
    <m/>
    <n v="4"/>
    <n v="4034"/>
    <n v="0.99900941059930659"/>
    <m/>
    <m/>
    <s v="E0120佳樂美*300箱)"/>
    <m/>
    <x v="0"/>
    <x v="0"/>
    <m/>
    <m/>
    <m/>
    <x v="0"/>
    <x v="0"/>
  </r>
  <r>
    <x v="383"/>
    <x v="82"/>
    <x v="74"/>
    <n v="6"/>
    <n v="6"/>
    <n v="24.5"/>
    <n v="147"/>
    <n v="144"/>
    <n v="864"/>
    <n v="0.97959183673469385"/>
    <n v="1"/>
    <n v="-0.02"/>
    <s v="150"/>
    <m/>
    <n v="1"/>
    <n v="143"/>
    <n v="0.99305555555555558"/>
    <m/>
    <m/>
    <m/>
    <m/>
    <x v="0"/>
    <x v="0"/>
    <m/>
    <m/>
    <m/>
    <x v="0"/>
    <x v="0"/>
  </r>
  <r>
    <x v="383"/>
    <x v="2"/>
    <x v="2"/>
    <n v="30"/>
    <n v="6"/>
    <n v="26.6"/>
    <n v="798"/>
    <n v="800"/>
    <n v="4800"/>
    <n v="1.0025062656641603"/>
    <n v="1"/>
    <n v="3.0000000000000001E-3"/>
    <s v="433"/>
    <m/>
    <n v="1"/>
    <n v="799"/>
    <n v="0.99875000000000003"/>
    <m/>
    <m/>
    <m/>
    <m/>
    <x v="0"/>
    <x v="0"/>
    <m/>
    <m/>
    <m/>
    <x v="0"/>
    <x v="0"/>
  </r>
  <r>
    <x v="383"/>
    <x v="119"/>
    <x v="108"/>
    <n v="18"/>
    <n v="9.08"/>
    <n v="17.600000000000001"/>
    <n v="316.8"/>
    <n v="334"/>
    <n v="3032.72"/>
    <n v="1.0542929292929293"/>
    <n v="1"/>
    <n v="5.3999999999999999E-2"/>
    <s v="290"/>
    <m/>
    <n v="0"/>
    <n v="334"/>
    <n v="1"/>
    <m/>
    <m/>
    <m/>
    <m/>
    <x v="0"/>
    <x v="0"/>
    <m/>
    <m/>
    <m/>
    <x v="0"/>
    <x v="0"/>
  </r>
  <r>
    <x v="383"/>
    <x v="5"/>
    <x v="5"/>
    <n v="18"/>
    <n v="9.08"/>
    <n v="17.3"/>
    <n v="311.40000000000003"/>
    <n v="316"/>
    <n v="2869.28"/>
    <n v="1.0147719974309568"/>
    <n v="1"/>
    <n v="1.4999999999999999E-2"/>
    <s v="260"/>
    <m/>
    <n v="1"/>
    <n v="315"/>
    <n v="0.99683544303797467"/>
    <m/>
    <m/>
    <m/>
    <m/>
    <x v="0"/>
    <x v="0"/>
    <m/>
    <m/>
    <m/>
    <x v="0"/>
    <x v="0"/>
  </r>
  <r>
    <x v="383"/>
    <x v="11"/>
    <x v="11"/>
    <n v="72"/>
    <n v="2.8"/>
    <n v="44.5"/>
    <n v="2882.5714285714284"/>
    <n v="2894"/>
    <n v="8103.2"/>
    <n v="1.0039647140449997"/>
    <n v="1"/>
    <n v="4.0000000000000001E-3"/>
    <s v="555"/>
    <m/>
    <n v="1"/>
    <n v="2893"/>
    <n v="0.99965445749827231"/>
    <m/>
    <m/>
    <s v="D2021*50箱，D9920(18kg)*50桶"/>
    <m/>
    <x v="0"/>
    <x v="0"/>
    <m/>
    <m/>
    <m/>
    <x v="0"/>
    <x v="0"/>
  </r>
  <r>
    <x v="384"/>
    <x v="15"/>
    <x v="15"/>
    <n v="36"/>
    <n v="3.2"/>
    <n v="46.8"/>
    <n v="1684.8"/>
    <n v="1682"/>
    <n v="5382.4000000000005"/>
    <n v="0.99833808167141502"/>
    <n v="1"/>
    <n v="-2E-3"/>
    <s v="300"/>
    <m/>
    <n v="6"/>
    <n v="1676"/>
    <n v="0.99643281807372175"/>
    <m/>
    <m/>
    <m/>
    <m/>
    <x v="0"/>
    <x v="0"/>
    <m/>
    <m/>
    <m/>
    <x v="0"/>
    <x v="0"/>
  </r>
  <r>
    <x v="384"/>
    <x v="26"/>
    <x v="25"/>
    <n v="20"/>
    <n v="0.9"/>
    <n v="163"/>
    <n v="3260"/>
    <n v="3274"/>
    <n v="2946.6"/>
    <n v="1.0042944785276073"/>
    <n v="1"/>
    <n v="4.0000000000000001E-3"/>
    <s v="270"/>
    <m/>
    <n v="2"/>
    <n v="3272"/>
    <n v="0.99938912645082467"/>
    <m/>
    <n v="28"/>
    <s v="特殊製程(1140812-01A)。"/>
    <m/>
    <x v="0"/>
    <x v="0"/>
    <m/>
    <m/>
    <m/>
    <x v="0"/>
    <x v="0"/>
  </r>
  <r>
    <x v="384"/>
    <x v="9"/>
    <x v="9"/>
    <n v="20"/>
    <n v="6"/>
    <n v="25.7"/>
    <n v="514"/>
    <n v="519"/>
    <n v="3114"/>
    <n v="1.0097276264591439"/>
    <n v="1"/>
    <n v="0.01"/>
    <s v="326"/>
    <m/>
    <n v="1"/>
    <n v="518"/>
    <n v="0.9980732177263969"/>
    <m/>
    <m/>
    <m/>
    <m/>
    <x v="0"/>
    <x v="0"/>
    <m/>
    <m/>
    <m/>
    <x v="0"/>
    <x v="0"/>
  </r>
  <r>
    <x v="384"/>
    <x v="0"/>
    <x v="0"/>
    <n v="18"/>
    <n v="6"/>
    <n v="25.5"/>
    <n v="459"/>
    <n v="459"/>
    <n v="2754"/>
    <n v="1"/>
    <n v="1"/>
    <n v="0"/>
    <s v="260"/>
    <m/>
    <n v="1"/>
    <n v="458"/>
    <n v="0.9978213507625272"/>
    <m/>
    <m/>
    <m/>
    <m/>
    <x v="0"/>
    <x v="0"/>
    <m/>
    <m/>
    <m/>
    <x v="0"/>
    <x v="0"/>
  </r>
  <r>
    <x v="384"/>
    <x v="11"/>
    <x v="11"/>
    <n v="72"/>
    <n v="2.8"/>
    <n v="44.5"/>
    <n v="3204"/>
    <n v="3210"/>
    <n v="8988"/>
    <n v="1.0018726591760299"/>
    <n v="1"/>
    <n v="2E-3"/>
    <s v="545"/>
    <m/>
    <n v="3"/>
    <n v="3207"/>
    <n v="0.99906542056074765"/>
    <m/>
    <m/>
    <m/>
    <m/>
    <x v="0"/>
    <x v="0"/>
    <m/>
    <m/>
    <m/>
    <x v="0"/>
    <x v="0"/>
  </r>
  <r>
    <x v="385"/>
    <x v="30"/>
    <x v="28"/>
    <n v="16"/>
    <n v="0.43"/>
    <n v="340.4"/>
    <n v="5446.4"/>
    <n v="5419"/>
    <n v="2330.17"/>
    <n v="0.99496915393654528"/>
    <n v="1"/>
    <n v="-5.0000000000000001E-3"/>
    <s v="270"/>
    <m/>
    <n v="14"/>
    <n v="5405"/>
    <n v="0.99741649750876549"/>
    <m/>
    <m/>
    <s v="麥味登 180箱"/>
    <m/>
    <x v="0"/>
    <x v="0"/>
    <m/>
    <m/>
    <m/>
    <x v="0"/>
    <x v="0"/>
  </r>
  <r>
    <x v="385"/>
    <x v="8"/>
    <x v="8"/>
    <n v="20"/>
    <n v="0.44"/>
    <n v="344"/>
    <n v="6880"/>
    <n v="6774"/>
    <n v="2980.56"/>
    <n v="0.98459302325581399"/>
    <n v="1"/>
    <n v="-1.4999999999999999E-2"/>
    <s v="350"/>
    <m/>
    <n v="8"/>
    <n v="6766"/>
    <n v="0.998819013876587"/>
    <m/>
    <m/>
    <m/>
    <m/>
    <x v="0"/>
    <x v="0"/>
    <m/>
    <m/>
    <m/>
    <x v="0"/>
    <x v="0"/>
  </r>
  <r>
    <x v="385"/>
    <x v="10"/>
    <x v="10"/>
    <n v="20"/>
    <n v="6"/>
    <n v="25.4"/>
    <n v="508"/>
    <n v="517"/>
    <n v="3102"/>
    <n v="1.0177165354330708"/>
    <n v="1"/>
    <n v="1.7999999999999999E-2"/>
    <s v="330"/>
    <m/>
    <n v="1"/>
    <n v="516"/>
    <n v="0.99806576402321079"/>
    <m/>
    <m/>
    <m/>
    <m/>
    <x v="0"/>
    <x v="0"/>
    <m/>
    <m/>
    <m/>
    <x v="0"/>
    <x v="0"/>
  </r>
  <r>
    <x v="385"/>
    <x v="9"/>
    <x v="9"/>
    <n v="20"/>
    <n v="6"/>
    <n v="25.7"/>
    <n v="514"/>
    <n v="527"/>
    <n v="3162"/>
    <n v="1.0252918287937742"/>
    <n v="1"/>
    <n v="2.5000000000000001E-2"/>
    <s v="240"/>
    <m/>
    <n v="2"/>
    <n v="525"/>
    <n v="0.99620493358633777"/>
    <m/>
    <m/>
    <m/>
    <m/>
    <x v="0"/>
    <x v="0"/>
    <m/>
    <m/>
    <m/>
    <x v="0"/>
    <x v="0"/>
  </r>
  <r>
    <x v="385"/>
    <x v="11"/>
    <x v="11"/>
    <n v="72"/>
    <n v="2.8"/>
    <n v="44.5"/>
    <n v="3204"/>
    <n v="3213"/>
    <n v="8996.4"/>
    <n v="1.002808988764045"/>
    <n v="1"/>
    <n v="3.0000000000000001E-3"/>
    <s v="560"/>
    <m/>
    <n v="1"/>
    <n v="3212"/>
    <n v="0.99968876439464671"/>
    <m/>
    <m/>
    <m/>
    <m/>
    <x v="0"/>
    <x v="0"/>
    <m/>
    <m/>
    <m/>
    <x v="0"/>
    <x v="0"/>
  </r>
  <r>
    <x v="385"/>
    <x v="94"/>
    <x v="85"/>
    <n v="1"/>
    <n v="1"/>
    <n v="591"/>
    <n v="591"/>
    <n v="584"/>
    <n v="584"/>
    <n v="0.98815566835871405"/>
    <n v="1"/>
    <n v="-1.2E-2"/>
    <s v="0"/>
    <m/>
    <n v="0"/>
    <n v="584"/>
    <n v="1"/>
    <m/>
    <m/>
    <m/>
    <m/>
    <x v="0"/>
    <x v="0"/>
    <m/>
    <m/>
    <m/>
    <x v="0"/>
    <x v="0"/>
  </r>
  <r>
    <x v="386"/>
    <x v="27"/>
    <x v="26"/>
    <n v="36"/>
    <n v="3.2"/>
    <n v="47.5"/>
    <n v="1710"/>
    <n v="1712"/>
    <n v="5478.4000000000005"/>
    <n v="1.0011695906432749"/>
    <n v="1"/>
    <n v="1E-3"/>
    <s v="270"/>
    <m/>
    <n v="1"/>
    <n v="1711"/>
    <n v="0.99941588785046731"/>
    <m/>
    <m/>
    <m/>
    <m/>
    <x v="0"/>
    <x v="0"/>
    <m/>
    <m/>
    <m/>
    <x v="0"/>
    <x v="0"/>
  </r>
  <r>
    <x v="386"/>
    <x v="15"/>
    <x v="15"/>
    <n v="36"/>
    <n v="3.2"/>
    <n v="46.8"/>
    <n v="1684.8"/>
    <n v="1678"/>
    <n v="5369.6"/>
    <n v="0.99596391263057937"/>
    <n v="1"/>
    <n v="-4.0000000000000001E-3"/>
    <s v="300"/>
    <m/>
    <n v="4"/>
    <n v="1674"/>
    <n v="0.99761620977353993"/>
    <m/>
    <m/>
    <m/>
    <m/>
    <x v="0"/>
    <x v="0"/>
    <m/>
    <m/>
    <m/>
    <x v="0"/>
    <x v="0"/>
  </r>
  <r>
    <x v="386"/>
    <x v="28"/>
    <x v="19"/>
    <n v="16"/>
    <n v="6"/>
    <n v="25.5"/>
    <n v="408"/>
    <n v="410"/>
    <n v="2460"/>
    <n v="1.0049019607843137"/>
    <n v="1"/>
    <n v="5.0000000000000001E-3"/>
    <s v="240"/>
    <m/>
    <n v="1"/>
    <n v="409"/>
    <n v="0.9975609756097561"/>
    <m/>
    <m/>
    <m/>
    <m/>
    <x v="0"/>
    <x v="0"/>
    <m/>
    <m/>
    <m/>
    <x v="0"/>
    <x v="0"/>
  </r>
  <r>
    <x v="386"/>
    <x v="47"/>
    <x v="42"/>
    <n v="12"/>
    <n v="6"/>
    <n v="25.6"/>
    <n v="307.20000000000005"/>
    <n v="314"/>
    <n v="1884"/>
    <n v="1.0221354166666665"/>
    <n v="1"/>
    <n v="2.1999999999999999E-2"/>
    <s v="158"/>
    <m/>
    <n v="1"/>
    <n v="313"/>
    <n v="0.99681528662420382"/>
    <m/>
    <m/>
    <m/>
    <m/>
    <x v="0"/>
    <x v="0"/>
    <m/>
    <m/>
    <m/>
    <x v="0"/>
    <x v="0"/>
  </r>
  <r>
    <x v="386"/>
    <x v="1"/>
    <x v="1"/>
    <n v="12"/>
    <n v="6"/>
    <n v="25.7"/>
    <n v="308.39999999999998"/>
    <n v="318"/>
    <n v="1908"/>
    <n v="1.0311284046692608"/>
    <n v="1"/>
    <n v="3.1E-2"/>
    <s v="177"/>
    <m/>
    <n v="4"/>
    <n v="314"/>
    <n v="0.98742138364779874"/>
    <m/>
    <m/>
    <m/>
    <m/>
    <x v="0"/>
    <x v="0"/>
    <m/>
    <m/>
    <m/>
    <x v="0"/>
    <x v="0"/>
  </r>
  <r>
    <x v="386"/>
    <x v="78"/>
    <x v="70"/>
    <n v="8"/>
    <n v="0.28999999999999998"/>
    <n v="388"/>
    <n v="3104"/>
    <n v="3321"/>
    <n v="963.08999999999992"/>
    <n v="1.0699097938144331"/>
    <n v="1"/>
    <n v="7.0000000000000007E-2"/>
    <s v="255"/>
    <m/>
    <n v="5"/>
    <n v="3316"/>
    <n v="0.99849442938873834"/>
    <m/>
    <m/>
    <s v="充填281g~285g"/>
    <m/>
    <x v="0"/>
    <x v="0"/>
    <m/>
    <m/>
    <m/>
    <x v="0"/>
    <x v="0"/>
  </r>
  <r>
    <x v="386"/>
    <x v="42"/>
    <x v="40"/>
    <n v="6"/>
    <n v="3.5"/>
    <n v="25.4"/>
    <n v="152.39999999999998"/>
    <n v="154"/>
    <n v="539"/>
    <n v="1.0104986876640421"/>
    <n v="1"/>
    <n v="0.01"/>
    <s v="330"/>
    <m/>
    <n v="0"/>
    <n v="154"/>
    <n v="1"/>
    <m/>
    <m/>
    <m/>
    <m/>
    <x v="0"/>
    <x v="0"/>
    <m/>
    <m/>
    <m/>
    <x v="0"/>
    <x v="0"/>
  </r>
  <r>
    <x v="387"/>
    <x v="49"/>
    <x v="43"/>
    <n v="15"/>
    <n v="0.43"/>
    <n v="364"/>
    <n v="5460"/>
    <n v="5535"/>
    <n v="2380.0500000000002"/>
    <n v="1.0137362637362637"/>
    <n v="1"/>
    <n v="1.4E-2"/>
    <s v="330"/>
    <m/>
    <n v="11"/>
    <n v="5524"/>
    <n v="0.99801264679313462"/>
    <m/>
    <m/>
    <m/>
    <m/>
    <x v="0"/>
    <x v="0"/>
    <m/>
    <m/>
    <m/>
    <x v="0"/>
    <x v="0"/>
  </r>
  <r>
    <x v="387"/>
    <x v="13"/>
    <x v="13"/>
    <n v="20"/>
    <n v="0.9"/>
    <n v="160.5"/>
    <n v="3210"/>
    <n v="3216"/>
    <n v="2894.4"/>
    <n v="1.0018691588785047"/>
    <n v="1"/>
    <n v="2E-3"/>
    <s v="300"/>
    <m/>
    <n v="3"/>
    <n v="3213"/>
    <n v="0.99906716417910446"/>
    <m/>
    <m/>
    <m/>
    <m/>
    <x v="0"/>
    <x v="0"/>
    <m/>
    <m/>
    <m/>
    <x v="0"/>
    <x v="0"/>
  </r>
  <r>
    <x v="387"/>
    <x v="16"/>
    <x v="16"/>
    <n v="20"/>
    <n v="6"/>
    <n v="26.1"/>
    <n v="522"/>
    <n v="525"/>
    <n v="3150"/>
    <n v="1.0057471264367817"/>
    <n v="1"/>
    <n v="6.0000000000000001E-3"/>
    <s v="260"/>
    <m/>
    <n v="1"/>
    <n v="524"/>
    <n v="0.99809523809523815"/>
    <m/>
    <m/>
    <m/>
    <m/>
    <x v="0"/>
    <x v="0"/>
    <m/>
    <m/>
    <m/>
    <x v="0"/>
    <x v="0"/>
  </r>
  <r>
    <x v="387"/>
    <x v="9"/>
    <x v="9"/>
    <n v="20"/>
    <n v="6"/>
    <n v="25.7"/>
    <n v="514"/>
    <n v="523"/>
    <n v="3138"/>
    <n v="1.0175097276264591"/>
    <n v="1"/>
    <n v="1.7999999999999999E-2"/>
    <s v="280"/>
    <m/>
    <n v="1"/>
    <n v="522"/>
    <n v="0.99808795411089868"/>
    <m/>
    <m/>
    <m/>
    <m/>
    <x v="0"/>
    <x v="0"/>
    <m/>
    <m/>
    <m/>
    <x v="0"/>
    <x v="0"/>
  </r>
  <r>
    <x v="387"/>
    <x v="11"/>
    <x v="11"/>
    <n v="72"/>
    <n v="2.8"/>
    <n v="44.5"/>
    <n v="3204"/>
    <n v="3243"/>
    <n v="9080.4"/>
    <n v="1.0121722846441947"/>
    <n v="1"/>
    <n v="1.2E-2"/>
    <s v="585"/>
    <m/>
    <n v="1"/>
    <n v="3242"/>
    <n v="0.99969164353993212"/>
    <m/>
    <m/>
    <m/>
    <m/>
    <x v="0"/>
    <x v="0"/>
    <m/>
    <m/>
    <m/>
    <x v="0"/>
    <x v="0"/>
  </r>
  <r>
    <x v="388"/>
    <x v="70"/>
    <x v="60"/>
    <n v="4"/>
    <n v="3.4"/>
    <n v="43"/>
    <n v="172"/>
    <n v="174"/>
    <n v="591.6"/>
    <n v="1.0116279069767442"/>
    <n v="1"/>
    <n v="1.2E-2"/>
    <s v="160"/>
    <m/>
    <n v="1"/>
    <n v="173"/>
    <n v="0.99425287356321834"/>
    <m/>
    <m/>
    <m/>
    <m/>
    <x v="0"/>
    <x v="0"/>
    <m/>
    <m/>
    <m/>
    <x v="0"/>
    <x v="0"/>
  </r>
  <r>
    <x v="388"/>
    <x v="15"/>
    <x v="15"/>
    <n v="68"/>
    <n v="3.2"/>
    <n v="46.8"/>
    <n v="3182.3999999999996"/>
    <n v="3235"/>
    <n v="10352"/>
    <n v="1.0165284062342888"/>
    <n v="1"/>
    <n v="1.7000000000000001E-2"/>
    <s v="470"/>
    <m/>
    <n v="3"/>
    <n v="3232"/>
    <n v="0.9990726429675425"/>
    <m/>
    <m/>
    <m/>
    <m/>
    <x v="0"/>
    <x v="0"/>
    <m/>
    <m/>
    <m/>
    <x v="0"/>
    <x v="0"/>
  </r>
  <r>
    <x v="388"/>
    <x v="50"/>
    <x v="44"/>
    <n v="12"/>
    <n v="4.5"/>
    <n v="36.799999999999997"/>
    <n v="441.59999999999997"/>
    <n v="456"/>
    <n v="2052"/>
    <n v="1.0326086956521741"/>
    <n v="1"/>
    <n v="3.3000000000000002E-2"/>
    <s v="237"/>
    <m/>
    <n v="0"/>
    <n v="456"/>
    <n v="1"/>
    <m/>
    <m/>
    <m/>
    <m/>
    <x v="0"/>
    <x v="0"/>
    <m/>
    <m/>
    <m/>
    <x v="0"/>
    <x v="0"/>
  </r>
  <r>
    <x v="388"/>
    <x v="52"/>
    <x v="46"/>
    <n v="8"/>
    <n v="4.5"/>
    <n v="35.6"/>
    <n v="284.8"/>
    <n v="290"/>
    <n v="1305"/>
    <n v="1.018258426966292"/>
    <n v="1"/>
    <n v="1.7999999999999999E-2"/>
    <s v="190"/>
    <m/>
    <n v="0"/>
    <n v="290"/>
    <n v="1"/>
    <m/>
    <m/>
    <m/>
    <m/>
    <x v="0"/>
    <x v="0"/>
    <m/>
    <m/>
    <m/>
    <x v="0"/>
    <x v="0"/>
  </r>
  <r>
    <x v="388"/>
    <x v="3"/>
    <x v="3"/>
    <n v="16"/>
    <n v="4.5"/>
    <n v="36.299999999999997"/>
    <n v="580.79999999999995"/>
    <n v="584"/>
    <n v="2628"/>
    <n v="1.0055096418732783"/>
    <n v="1"/>
    <n v="6.0000000000000001E-3"/>
    <s v="287"/>
    <m/>
    <n v="0"/>
    <n v="584"/>
    <n v="1"/>
    <m/>
    <m/>
    <m/>
    <m/>
    <x v="0"/>
    <x v="0"/>
    <m/>
    <m/>
    <m/>
    <x v="0"/>
    <x v="0"/>
  </r>
  <r>
    <x v="388"/>
    <x v="46"/>
    <x v="17"/>
    <n v="21"/>
    <n v="3"/>
    <n v="31.6"/>
    <n v="663.6"/>
    <n v="668"/>
    <n v="2004"/>
    <n v="1.0066305003013862"/>
    <n v="1"/>
    <n v="7.0000000000000001E-3"/>
    <s v="540"/>
    <m/>
    <n v="0"/>
    <n v="668"/>
    <n v="1"/>
    <m/>
    <m/>
    <m/>
    <m/>
    <x v="0"/>
    <x v="0"/>
    <m/>
    <m/>
    <m/>
    <x v="0"/>
    <x v="0"/>
  </r>
  <r>
    <x v="389"/>
    <x v="2"/>
    <x v="2"/>
    <n v="24"/>
    <n v="6"/>
    <n v="26.6"/>
    <n v="638.40000000000009"/>
    <n v="643"/>
    <n v="3858"/>
    <n v="1.0072055137844611"/>
    <n v="1"/>
    <n v="7.0000000000000001E-3"/>
    <s v="350"/>
    <m/>
    <n v="3"/>
    <n v="640"/>
    <n v="0.99533437013996895"/>
    <m/>
    <m/>
    <m/>
    <m/>
    <x v="0"/>
    <x v="0"/>
    <m/>
    <m/>
    <m/>
    <x v="0"/>
    <x v="0"/>
  </r>
  <r>
    <x v="389"/>
    <x v="18"/>
    <x v="18"/>
    <n v="16"/>
    <n v="6"/>
    <n v="26.4"/>
    <n v="422.4"/>
    <n v="428"/>
    <n v="2568"/>
    <n v="1.0132575757575759"/>
    <n v="1"/>
    <n v="1.2999999999999999E-2"/>
    <s v="240"/>
    <m/>
    <n v="1"/>
    <n v="427"/>
    <n v="0.99766355140186913"/>
    <m/>
    <m/>
    <m/>
    <m/>
    <x v="0"/>
    <x v="0"/>
    <m/>
    <m/>
    <m/>
    <x v="0"/>
    <x v="0"/>
  </r>
  <r>
    <x v="389"/>
    <x v="48"/>
    <x v="17"/>
    <n v="21"/>
    <n v="3"/>
    <n v="30.8"/>
    <n v="646.80000000000007"/>
    <n v="648"/>
    <n v="1944"/>
    <n v="1.0018552875695732"/>
    <n v="1"/>
    <n v="2E-3"/>
    <s v="540"/>
    <m/>
    <n v="0"/>
    <n v="648"/>
    <n v="1"/>
    <m/>
    <m/>
    <m/>
    <m/>
    <x v="0"/>
    <x v="0"/>
    <m/>
    <m/>
    <m/>
    <x v="0"/>
    <x v="0"/>
  </r>
  <r>
    <x v="389"/>
    <x v="79"/>
    <x v="71"/>
    <n v="8"/>
    <n v="8"/>
    <n v="19.600000000000001"/>
    <n v="156.80000000000001"/>
    <n v="157"/>
    <n v="1256"/>
    <n v="1.0012755102040816"/>
    <n v="1"/>
    <n v="1E-3"/>
    <s v="190"/>
    <m/>
    <n v="0"/>
    <n v="157"/>
    <n v="1"/>
    <m/>
    <m/>
    <m/>
    <m/>
    <x v="0"/>
    <x v="0"/>
    <m/>
    <m/>
    <m/>
    <x v="0"/>
    <x v="0"/>
  </r>
  <r>
    <x v="389"/>
    <x v="41"/>
    <x v="39"/>
    <n v="52"/>
    <n v="2.8"/>
    <n v="44.2"/>
    <n v="2298.4"/>
    <n v="2298"/>
    <n v="6434.4"/>
    <n v="0.99982596588931427"/>
    <n v="1"/>
    <n v="0"/>
    <s v="430"/>
    <m/>
    <n v="1"/>
    <n v="2297"/>
    <n v="0.99956483899042647"/>
    <m/>
    <m/>
    <m/>
    <m/>
    <x v="0"/>
    <x v="0"/>
    <m/>
    <m/>
    <m/>
    <x v="0"/>
    <x v="0"/>
  </r>
  <r>
    <x v="389"/>
    <x v="95"/>
    <x v="86"/>
    <n v="1"/>
    <n v="1"/>
    <n v="942"/>
    <n v="942"/>
    <n v="901"/>
    <n v="901"/>
    <n v="0.95647558386411891"/>
    <n v="1"/>
    <n v="-4.3999999999999997E-2"/>
    <s v="0"/>
    <m/>
    <n v="0"/>
    <n v="901"/>
    <n v="1"/>
    <m/>
    <m/>
    <m/>
    <m/>
    <x v="0"/>
    <x v="0"/>
    <m/>
    <m/>
    <m/>
    <x v="0"/>
    <x v="0"/>
  </r>
  <r>
    <x v="390"/>
    <x v="8"/>
    <x v="8"/>
    <n v="40"/>
    <n v="0.44"/>
    <n v="344"/>
    <n v="13760"/>
    <n v="13698"/>
    <n v="6027.12"/>
    <n v="0.99549418604651163"/>
    <n v="1"/>
    <n v="-5.0000000000000001E-3"/>
    <s v="540"/>
    <m/>
    <n v="13"/>
    <n v="13685"/>
    <n v="0.99905095634399177"/>
    <m/>
    <m/>
    <m/>
    <m/>
    <x v="0"/>
    <x v="0"/>
    <m/>
    <m/>
    <m/>
    <x v="0"/>
    <x v="0"/>
  </r>
  <r>
    <x v="390"/>
    <x v="59"/>
    <x v="52"/>
    <n v="12"/>
    <n v="4.5"/>
    <n v="34.9"/>
    <n v="418.79999999999995"/>
    <n v="424"/>
    <n v="1908"/>
    <n v="1.0124164278892074"/>
    <n v="1"/>
    <n v="1.2E-2"/>
    <s v="250"/>
    <m/>
    <n v="1"/>
    <n v="423"/>
    <n v="0.99764150943396224"/>
    <m/>
    <m/>
    <m/>
    <m/>
    <x v="0"/>
    <x v="0"/>
    <m/>
    <m/>
    <m/>
    <x v="0"/>
    <x v="0"/>
  </r>
  <r>
    <x v="390"/>
    <x v="131"/>
    <x v="105"/>
    <n v="3"/>
    <n v="6"/>
    <n v="25.2"/>
    <n v="75.599999999999994"/>
    <n v="75"/>
    <n v="450"/>
    <n v="0.99206349206349209"/>
    <e v="#N/A"/>
    <e v="#N/A"/>
    <s v="158"/>
    <m/>
    <n v="1"/>
    <n v="74"/>
    <n v="0.98666666666666669"/>
    <m/>
    <m/>
    <m/>
    <m/>
    <x v="0"/>
    <x v="0"/>
    <m/>
    <m/>
    <m/>
    <x v="0"/>
    <x v="0"/>
  </r>
  <r>
    <x v="390"/>
    <x v="0"/>
    <x v="0"/>
    <n v="18"/>
    <n v="6"/>
    <n v="25.5"/>
    <n v="459"/>
    <n v="459"/>
    <n v="2754"/>
    <n v="1"/>
    <n v="1"/>
    <n v="0"/>
    <s v="210"/>
    <m/>
    <n v="5"/>
    <n v="454"/>
    <n v="0.98910675381263613"/>
    <m/>
    <m/>
    <m/>
    <m/>
    <x v="0"/>
    <x v="0"/>
    <m/>
    <m/>
    <m/>
    <x v="0"/>
    <x v="0"/>
  </r>
  <r>
    <x v="390"/>
    <x v="17"/>
    <x v="17"/>
    <n v="21"/>
    <n v="3"/>
    <n v="29.7"/>
    <n v="623.69999999999993"/>
    <n v="632"/>
    <n v="1896"/>
    <n v="1.0133076799743468"/>
    <n v="1"/>
    <n v="1.2999999999999999E-2"/>
    <s v="540"/>
    <m/>
    <n v="0"/>
    <n v="632"/>
    <n v="1"/>
    <m/>
    <m/>
    <m/>
    <m/>
    <x v="0"/>
    <x v="0"/>
    <m/>
    <m/>
    <m/>
    <x v="0"/>
    <x v="0"/>
  </r>
  <r>
    <x v="390"/>
    <x v="94"/>
    <x v="85"/>
    <n v="1"/>
    <n v="1"/>
    <n v="591"/>
    <n v="591"/>
    <n v="496"/>
    <n v="496"/>
    <n v="0.83925549915397635"/>
    <n v="1"/>
    <n v="-0.161"/>
    <s v="0"/>
    <m/>
    <n v="0"/>
    <n v="496"/>
    <n v="1"/>
    <m/>
    <m/>
    <m/>
    <m/>
    <x v="0"/>
    <x v="0"/>
    <m/>
    <m/>
    <m/>
    <x v="0"/>
    <x v="0"/>
  </r>
  <r>
    <x v="390"/>
    <x v="97"/>
    <x v="88"/>
    <n v="70"/>
    <n v="1"/>
    <n v="6"/>
    <n v="420"/>
    <n v="422"/>
    <n v="422"/>
    <n v="1.0047619047619047"/>
    <n v="1"/>
    <n v="5.0000000000000001E-3"/>
    <m/>
    <m/>
    <n v="0"/>
    <n v="422"/>
    <n v="1"/>
    <m/>
    <m/>
    <m/>
    <m/>
    <x v="0"/>
    <x v="0"/>
    <m/>
    <m/>
    <m/>
    <x v="0"/>
    <x v="0"/>
  </r>
  <r>
    <x v="391"/>
    <x v="15"/>
    <x v="15"/>
    <n v="72"/>
    <n v="3.2"/>
    <n v="46.8"/>
    <n v="3369.6"/>
    <n v="3422"/>
    <n v="10950.400000000001"/>
    <n v="1.0155508072174739"/>
    <n v="1"/>
    <n v="1.6E-2"/>
    <s v="540"/>
    <m/>
    <n v="7"/>
    <n v="3415"/>
    <n v="0.99795441262419637"/>
    <m/>
    <m/>
    <m/>
    <m/>
    <x v="0"/>
    <x v="0"/>
    <m/>
    <m/>
    <m/>
    <x v="0"/>
    <x v="0"/>
  </r>
  <r>
    <x v="391"/>
    <x v="122"/>
    <x v="111"/>
    <n v="16"/>
    <n v="6"/>
    <n v="0"/>
    <n v="0"/>
    <n v="406"/>
    <n v="2436"/>
    <s v="無法預估數據"/>
    <e v="#N/A"/>
    <s v="無法預估數據"/>
    <s v="230"/>
    <m/>
    <n v="1"/>
    <n v="405"/>
    <n v="0.99753694581280783"/>
    <m/>
    <m/>
    <m/>
    <m/>
    <x v="0"/>
    <x v="0"/>
    <m/>
    <m/>
    <m/>
    <x v="0"/>
    <x v="0"/>
  </r>
  <r>
    <x v="391"/>
    <x v="9"/>
    <x v="9"/>
    <n v="24"/>
    <n v="6"/>
    <n v="25.7"/>
    <n v="616.79999999999995"/>
    <n v="637"/>
    <n v="3822"/>
    <n v="1.0327496757457848"/>
    <n v="1"/>
    <n v="3.3000000000000002E-2"/>
    <s v="317"/>
    <m/>
    <n v="1"/>
    <n v="636"/>
    <n v="0.99843014128728413"/>
    <m/>
    <m/>
    <m/>
    <m/>
    <x v="0"/>
    <x v="0"/>
    <m/>
    <m/>
    <m/>
    <x v="0"/>
    <x v="0"/>
  </r>
  <r>
    <x v="391"/>
    <x v="11"/>
    <x v="11"/>
    <n v="72"/>
    <n v="2.8"/>
    <n v="44.5"/>
    <n v="3204"/>
    <n v="3207"/>
    <n v="8979.5999999999985"/>
    <n v="1.0009363295880149"/>
    <n v="1"/>
    <n v="1E-3"/>
    <s v="575"/>
    <m/>
    <n v="1"/>
    <n v="3206"/>
    <n v="0.99968818210165267"/>
    <m/>
    <m/>
    <m/>
    <m/>
    <x v="0"/>
    <x v="0"/>
    <m/>
    <m/>
    <m/>
    <x v="0"/>
    <x v="0"/>
  </r>
  <r>
    <x v="392"/>
    <x v="9"/>
    <x v="9"/>
    <n v="24"/>
    <n v="6"/>
    <n v="25.7"/>
    <n v="616.79999999999995"/>
    <n v="637"/>
    <n v="3822"/>
    <n v="1.0327496757457848"/>
    <n v="1"/>
    <n v="3.3000000000000002E-2"/>
    <s v="327"/>
    <m/>
    <n v="4"/>
    <n v="633"/>
    <n v="0.99372056514913654"/>
    <m/>
    <m/>
    <m/>
    <m/>
    <x v="0"/>
    <x v="0"/>
    <m/>
    <m/>
    <m/>
    <x v="0"/>
    <x v="0"/>
  </r>
  <r>
    <x v="392"/>
    <x v="28"/>
    <x v="19"/>
    <n v="16"/>
    <n v="6"/>
    <n v="25.5"/>
    <n v="408"/>
    <n v="410"/>
    <n v="2460"/>
    <n v="1.0049019607843137"/>
    <n v="1"/>
    <n v="5.0000000000000001E-3"/>
    <s v="230"/>
    <m/>
    <n v="2"/>
    <n v="408"/>
    <n v="0.99512195121951219"/>
    <m/>
    <m/>
    <m/>
    <m/>
    <x v="0"/>
    <x v="0"/>
    <m/>
    <m/>
    <m/>
    <x v="0"/>
    <x v="0"/>
  </r>
  <r>
    <x v="392"/>
    <x v="46"/>
    <x v="17"/>
    <n v="21"/>
    <n v="3"/>
    <n v="31.6"/>
    <n v="663.6"/>
    <n v="668"/>
    <n v="2004"/>
    <n v="1.0066305003013862"/>
    <n v="1"/>
    <n v="7.0000000000000001E-3"/>
    <s v="540"/>
    <m/>
    <n v="0"/>
    <n v="668"/>
    <n v="1"/>
    <m/>
    <m/>
    <m/>
    <m/>
    <x v="0"/>
    <x v="0"/>
    <m/>
    <m/>
    <m/>
    <x v="0"/>
    <x v="0"/>
  </r>
  <r>
    <x v="392"/>
    <x v="11"/>
    <x v="11"/>
    <n v="72"/>
    <n v="2.8"/>
    <n v="44.5"/>
    <n v="2175.4285714285716"/>
    <n v="2186"/>
    <n v="6120.7999999999993"/>
    <n v="1.0048594693984765"/>
    <n v="1"/>
    <n v="5.0000000000000001E-3"/>
    <s v="575"/>
    <m/>
    <n v="1"/>
    <n v="2185"/>
    <n v="0.99954254345837146"/>
    <m/>
    <m/>
    <s v="，D2021*50箱D9920(18KG)*160桶"/>
    <m/>
    <x v="0"/>
    <x v="0"/>
    <m/>
    <m/>
    <m/>
    <x v="0"/>
    <x v="0"/>
  </r>
  <r>
    <x v="392"/>
    <x v="102"/>
    <x v="92"/>
    <n v="1"/>
    <n v="1"/>
    <n v="142"/>
    <n v="142"/>
    <n v="160"/>
    <n v="160"/>
    <n v="1.1267605633802817"/>
    <n v="1"/>
    <n v="0.127"/>
    <s v="0"/>
    <m/>
    <n v="0"/>
    <n v="160"/>
    <n v="1"/>
    <m/>
    <m/>
    <m/>
    <m/>
    <x v="0"/>
    <x v="0"/>
    <m/>
    <m/>
    <m/>
    <x v="0"/>
    <x v="0"/>
  </r>
  <r>
    <x v="393"/>
    <x v="43"/>
    <x v="41"/>
    <n v="16"/>
    <n v="0.26"/>
    <n v="584.29999999999995"/>
    <n v="9348.7999999999993"/>
    <n v="9290"/>
    <n v="2415.4"/>
    <n v="0.99371042272805077"/>
    <n v="1"/>
    <n v="-6.0000000000000001E-3"/>
    <s v="300"/>
    <m/>
    <n v="49"/>
    <n v="9241"/>
    <n v="0.99472551130247577"/>
    <m/>
    <m/>
    <m/>
    <m/>
    <x v="0"/>
    <x v="0"/>
    <m/>
    <m/>
    <m/>
    <x v="0"/>
    <x v="0"/>
  </r>
  <r>
    <x v="393"/>
    <x v="8"/>
    <x v="8"/>
    <n v="20"/>
    <n v="0.44"/>
    <n v="344"/>
    <n v="6880"/>
    <n v="6803"/>
    <n v="2993.32"/>
    <n v="0.98880813953488367"/>
    <n v="1"/>
    <n v="-1.0999999999999999E-2"/>
    <s v="330"/>
    <m/>
    <n v="7"/>
    <n v="6796"/>
    <n v="0.99897104218727029"/>
    <m/>
    <m/>
    <m/>
    <m/>
    <x v="0"/>
    <x v="0"/>
    <m/>
    <m/>
    <m/>
    <x v="0"/>
    <x v="0"/>
  </r>
  <r>
    <x v="393"/>
    <x v="130"/>
    <x v="114"/>
    <n v="12"/>
    <n v="6"/>
    <n v="0"/>
    <n v="0"/>
    <n v="320"/>
    <n v="1920"/>
    <s v="無法預估數據"/>
    <e v="#N/A"/>
    <s v="無法預估數據"/>
    <s v="147"/>
    <m/>
    <n v="3"/>
    <n v="317"/>
    <n v="0.99062499999999998"/>
    <m/>
    <m/>
    <m/>
    <m/>
    <x v="0"/>
    <x v="0"/>
    <m/>
    <m/>
    <m/>
    <x v="0"/>
    <x v="0"/>
  </r>
  <r>
    <x v="393"/>
    <x v="19"/>
    <x v="19"/>
    <n v="16"/>
    <n v="6"/>
    <n v="25.5"/>
    <n v="408"/>
    <n v="410"/>
    <n v="2460"/>
    <n v="1.0049019607843137"/>
    <n v="1"/>
    <n v="5.0000000000000001E-3"/>
    <s v="200"/>
    <m/>
    <n v="2"/>
    <n v="408"/>
    <n v="0.99512195121951219"/>
    <m/>
    <m/>
    <m/>
    <m/>
    <x v="0"/>
    <x v="0"/>
    <m/>
    <m/>
    <m/>
    <x v="0"/>
    <x v="0"/>
  </r>
  <r>
    <x v="393"/>
    <x v="9"/>
    <x v="9"/>
    <n v="12"/>
    <n v="6"/>
    <n v="25.7"/>
    <n v="308.39999999999998"/>
    <n v="316"/>
    <n v="1896"/>
    <n v="1.0246433203631649"/>
    <n v="1"/>
    <n v="2.5000000000000001E-2"/>
    <s v="234"/>
    <m/>
    <n v="1"/>
    <n v="315"/>
    <n v="0.99683544303797467"/>
    <m/>
    <m/>
    <m/>
    <m/>
    <x v="0"/>
    <x v="0"/>
    <m/>
    <m/>
    <m/>
    <x v="0"/>
    <x v="0"/>
  </r>
  <r>
    <x v="393"/>
    <x v="11"/>
    <x v="11"/>
    <n v="36"/>
    <n v="2.8"/>
    <n v="44.5"/>
    <n v="1602"/>
    <n v="1590"/>
    <n v="4452"/>
    <n v="0.99250936329588013"/>
    <n v="1"/>
    <n v="-7.0000000000000001E-3"/>
    <s v="340"/>
    <m/>
    <n v="1"/>
    <n v="1589"/>
    <n v="0.99937106918238994"/>
    <m/>
    <m/>
    <m/>
    <m/>
    <x v="0"/>
    <x v="0"/>
    <m/>
    <m/>
    <m/>
    <x v="0"/>
    <x v="0"/>
  </r>
  <r>
    <x v="393"/>
    <x v="12"/>
    <x v="12"/>
    <n v="20"/>
    <n v="0.8"/>
    <n v="157.69999999999999"/>
    <n v="3154"/>
    <n v="3192"/>
    <n v="2553.6000000000004"/>
    <n v="1.0120481927710843"/>
    <n v="1"/>
    <n v="1.2E-2"/>
    <s v="310"/>
    <m/>
    <n v="2"/>
    <n v="3190"/>
    <n v="0.99937343358395991"/>
    <m/>
    <m/>
    <m/>
    <m/>
    <x v="0"/>
    <x v="0"/>
    <m/>
    <m/>
    <m/>
    <x v="0"/>
    <x v="0"/>
  </r>
  <r>
    <x v="394"/>
    <x v="15"/>
    <x v="15"/>
    <n v="72"/>
    <n v="3.2"/>
    <n v="46.8"/>
    <n v="3369.6"/>
    <n v="3403"/>
    <n v="10889.6"/>
    <n v="1.0099121557454891"/>
    <n v="1"/>
    <n v="0.01"/>
    <s v="540"/>
    <m/>
    <n v="2"/>
    <n v="3401"/>
    <n v="0.9994122832794593"/>
    <m/>
    <m/>
    <m/>
    <m/>
    <x v="0"/>
    <x v="0"/>
    <m/>
    <m/>
    <m/>
    <x v="0"/>
    <x v="0"/>
  </r>
  <r>
    <x v="394"/>
    <x v="2"/>
    <x v="2"/>
    <n v="40"/>
    <n v="6"/>
    <n v="26.6"/>
    <n v="1064"/>
    <n v="1068"/>
    <n v="6408"/>
    <n v="1.0037593984962405"/>
    <n v="1"/>
    <n v="4.0000000000000001E-3"/>
    <s v="510"/>
    <m/>
    <n v="16"/>
    <n v="1052"/>
    <n v="0.98501872659176026"/>
    <m/>
    <m/>
    <m/>
    <m/>
    <x v="0"/>
    <x v="0"/>
    <m/>
    <m/>
    <m/>
    <x v="0"/>
    <x v="0"/>
  </r>
  <r>
    <x v="394"/>
    <x v="17"/>
    <x v="17"/>
    <n v="21"/>
    <n v="3"/>
    <n v="29.7"/>
    <n v="623.69999999999993"/>
    <n v="628"/>
    <n v="1884"/>
    <n v="1.0068943402276738"/>
    <n v="1"/>
    <n v="7.0000000000000001E-3"/>
    <s v="455"/>
    <m/>
    <n v="0"/>
    <n v="628"/>
    <n v="1"/>
    <m/>
    <m/>
    <m/>
    <m/>
    <x v="0"/>
    <x v="0"/>
    <m/>
    <m/>
    <m/>
    <x v="0"/>
    <x v="0"/>
  </r>
  <r>
    <x v="395"/>
    <x v="13"/>
    <x v="13"/>
    <n v="40"/>
    <n v="0.9"/>
    <n v="160.5"/>
    <n v="6420"/>
    <n v="6560"/>
    <n v="5904"/>
    <n v="1.0218068535825544"/>
    <n v="1"/>
    <n v="2.1999999999999999E-2"/>
    <s v="540"/>
    <m/>
    <n v="2"/>
    <n v="6558"/>
    <n v="0.99969512195121957"/>
    <m/>
    <m/>
    <m/>
    <m/>
    <x v="0"/>
    <x v="0"/>
    <m/>
    <m/>
    <m/>
    <x v="0"/>
    <x v="0"/>
  </r>
  <r>
    <x v="395"/>
    <x v="16"/>
    <x v="16"/>
    <n v="16"/>
    <n v="6"/>
    <n v="26.1"/>
    <n v="417.6"/>
    <n v="424"/>
    <n v="2544"/>
    <n v="1.0153256704980842"/>
    <n v="1"/>
    <n v="1.4999999999999999E-2"/>
    <s v="200"/>
    <m/>
    <n v="1"/>
    <n v="423"/>
    <n v="0.99764150943396224"/>
    <m/>
    <m/>
    <m/>
    <m/>
    <x v="0"/>
    <x v="0"/>
    <m/>
    <m/>
    <m/>
    <x v="0"/>
    <x v="0"/>
  </r>
  <r>
    <x v="395"/>
    <x v="10"/>
    <x v="10"/>
    <n v="28"/>
    <n v="6"/>
    <n v="25.4"/>
    <n v="711.19999999999993"/>
    <n v="723"/>
    <n v="4338"/>
    <n v="1.0165916760404949"/>
    <n v="1"/>
    <n v="1.7000000000000001E-2"/>
    <s v="410"/>
    <m/>
    <n v="1"/>
    <n v="722"/>
    <n v="0.99861687413554634"/>
    <m/>
    <m/>
    <m/>
    <m/>
    <x v="0"/>
    <x v="0"/>
    <m/>
    <m/>
    <m/>
    <x v="0"/>
    <x v="0"/>
  </r>
  <r>
    <x v="395"/>
    <x v="55"/>
    <x v="48"/>
    <n v="48"/>
    <n v="18"/>
    <n v="6.9"/>
    <n v="331.20000000000005"/>
    <n v="336"/>
    <n v="6048"/>
    <n v="1.0144927536231882"/>
    <n v="1"/>
    <n v="1.4E-2"/>
    <s v="385"/>
    <m/>
    <n v="0"/>
    <n v="336"/>
    <n v="1"/>
    <m/>
    <m/>
    <m/>
    <m/>
    <x v="0"/>
    <x v="0"/>
    <m/>
    <m/>
    <m/>
    <x v="0"/>
    <x v="0"/>
  </r>
  <r>
    <x v="396"/>
    <x v="15"/>
    <x v="15"/>
    <n v="72"/>
    <n v="3.2"/>
    <n v="46.8"/>
    <n v="3369.6"/>
    <n v="3399"/>
    <n v="10876.800000000001"/>
    <n v="1.0087250712250713"/>
    <n v="1"/>
    <n v="8.9999999999999993E-3"/>
    <s v="540"/>
    <m/>
    <n v="5"/>
    <n v="3394"/>
    <n v="0.9985289791115034"/>
    <m/>
    <m/>
    <m/>
    <m/>
    <x v="0"/>
    <x v="0"/>
    <m/>
    <m/>
    <m/>
    <x v="0"/>
    <x v="0"/>
  </r>
  <r>
    <x v="396"/>
    <x v="22"/>
    <x v="10"/>
    <n v="16"/>
    <n v="6"/>
    <n v="25.1"/>
    <n v="401.6"/>
    <n v="412"/>
    <n v="2472"/>
    <n v="1.0258964143426295"/>
    <n v="1"/>
    <n v="2.5999999999999999E-2"/>
    <s v="570"/>
    <m/>
    <n v="1"/>
    <n v="411"/>
    <n v="0.99757281553398058"/>
    <m/>
    <m/>
    <m/>
    <m/>
    <x v="0"/>
    <x v="0"/>
    <m/>
    <m/>
    <m/>
    <x v="0"/>
    <x v="0"/>
  </r>
  <r>
    <x v="396"/>
    <x v="9"/>
    <x v="9"/>
    <n v="28"/>
    <n v="6"/>
    <n v="25.7"/>
    <n v="719.6"/>
    <n v="737"/>
    <n v="4422"/>
    <n v="1.0241801000555864"/>
    <n v="1"/>
    <n v="2.4E-2"/>
    <s v="510"/>
    <m/>
    <n v="1"/>
    <n v="736"/>
    <n v="0.99864314789687925"/>
    <m/>
    <m/>
    <m/>
    <m/>
    <x v="0"/>
    <x v="0"/>
    <m/>
    <m/>
    <m/>
    <x v="0"/>
    <x v="0"/>
  </r>
  <r>
    <x v="396"/>
    <x v="11"/>
    <x v="11"/>
    <n v="72"/>
    <n v="2.8"/>
    <n v="44.5"/>
    <n v="2239.7142857142858"/>
    <n v="2251"/>
    <n v="6302.7999999999993"/>
    <n v="1.0050389080239825"/>
    <n v="1"/>
    <n v="5.0000000000000001E-3"/>
    <s v="500"/>
    <m/>
    <n v="1"/>
    <n v="2250"/>
    <n v="0.99955575299866728"/>
    <m/>
    <m/>
    <s v="D9920(18kg)*150桶，D2021美芝城*50箱"/>
    <m/>
    <x v="0"/>
    <x v="0"/>
    <m/>
    <m/>
    <m/>
    <x v="0"/>
    <x v="0"/>
  </r>
  <r>
    <x v="396"/>
    <x v="95"/>
    <x v="86"/>
    <n v="1"/>
    <n v="1"/>
    <n v="942"/>
    <n v="942"/>
    <n v="750"/>
    <n v="750"/>
    <n v="0.79617834394904463"/>
    <n v="1"/>
    <n v="-0.20399999999999999"/>
    <s v="0"/>
    <m/>
    <n v="0"/>
    <n v="750"/>
    <n v="1"/>
    <m/>
    <m/>
    <m/>
    <m/>
    <x v="0"/>
    <x v="0"/>
    <m/>
    <m/>
    <m/>
    <x v="0"/>
    <x v="0"/>
  </r>
  <r>
    <x v="397"/>
    <x v="125"/>
    <x v="72"/>
    <n v="16"/>
    <n v="6"/>
    <n v="25.6"/>
    <n v="409.6"/>
    <n v="426"/>
    <n v="2556"/>
    <n v="1.0400390625"/>
    <e v="#N/A"/>
    <e v="#N/A"/>
    <s v="200"/>
    <m/>
    <n v="2"/>
    <n v="424"/>
    <n v="0.99530516431924887"/>
    <m/>
    <m/>
    <m/>
    <m/>
    <x v="0"/>
    <x v="0"/>
    <m/>
    <m/>
    <m/>
    <x v="0"/>
    <x v="0"/>
  </r>
  <r>
    <x v="397"/>
    <x v="82"/>
    <x v="74"/>
    <n v="6"/>
    <n v="6"/>
    <n v="24.5"/>
    <n v="147"/>
    <n v="150"/>
    <n v="900"/>
    <n v="1.0204081632653061"/>
    <n v="1"/>
    <n v="0.02"/>
    <s v="160"/>
    <m/>
    <n v="8"/>
    <n v="142"/>
    <n v="0.94666666666666666"/>
    <m/>
    <m/>
    <m/>
    <m/>
    <x v="0"/>
    <x v="0"/>
    <m/>
    <m/>
    <m/>
    <x v="0"/>
    <x v="0"/>
  </r>
  <r>
    <x v="397"/>
    <x v="9"/>
    <x v="9"/>
    <n v="16"/>
    <n v="6"/>
    <n v="25.7"/>
    <n v="411.2"/>
    <n v="415"/>
    <n v="2490"/>
    <n v="1.0092412451361867"/>
    <n v="1"/>
    <n v="8.9999999999999993E-3"/>
    <s v="210"/>
    <m/>
    <n v="1"/>
    <n v="414"/>
    <n v="0.99759036144578317"/>
    <m/>
    <m/>
    <m/>
    <m/>
    <x v="0"/>
    <x v="0"/>
    <m/>
    <m/>
    <m/>
    <x v="0"/>
    <x v="0"/>
  </r>
  <r>
    <x v="397"/>
    <x v="48"/>
    <x v="17"/>
    <n v="21"/>
    <n v="3"/>
    <n v="30.8"/>
    <n v="646.80000000000007"/>
    <n v="644"/>
    <n v="1932"/>
    <n v="0.9956709956709956"/>
    <n v="1"/>
    <n v="-4.0000000000000001E-3"/>
    <s v="540"/>
    <m/>
    <n v="0"/>
    <n v="644"/>
    <n v="1"/>
    <m/>
    <m/>
    <m/>
    <m/>
    <x v="0"/>
    <x v="0"/>
    <m/>
    <m/>
    <m/>
    <x v="0"/>
    <x v="0"/>
  </r>
  <r>
    <x v="397"/>
    <x v="11"/>
    <x v="11"/>
    <n v="72"/>
    <n v="2.8"/>
    <n v="44.5"/>
    <n v="3204"/>
    <n v="3208"/>
    <n v="8982.4"/>
    <n v="1.0012484394506866"/>
    <n v="1"/>
    <n v="1E-3"/>
    <s v="515"/>
    <m/>
    <n v="1"/>
    <n v="3207"/>
    <n v="0.99968827930174564"/>
    <m/>
    <m/>
    <m/>
    <m/>
    <x v="0"/>
    <x v="0"/>
    <m/>
    <m/>
    <m/>
    <x v="0"/>
    <x v="0"/>
  </r>
  <r>
    <x v="397"/>
    <x v="100"/>
    <x v="90"/>
    <n v="1"/>
    <n v="1"/>
    <n v="139"/>
    <n v="139"/>
    <n v="162"/>
    <n v="162"/>
    <n v="1.1654676258992807"/>
    <n v="1"/>
    <n v="0.16500000000000001"/>
    <s v="0"/>
    <m/>
    <n v="0"/>
    <n v="162"/>
    <n v="1"/>
    <m/>
    <m/>
    <m/>
    <m/>
    <x v="0"/>
    <x v="0"/>
    <m/>
    <m/>
    <m/>
    <x v="0"/>
    <x v="0"/>
  </r>
  <r>
    <x v="398"/>
    <x v="27"/>
    <x v="26"/>
    <n v="32"/>
    <n v="3.2"/>
    <n v="47.5"/>
    <n v="1520"/>
    <n v="1507"/>
    <n v="4822.4000000000005"/>
    <n v="0.99144736842105263"/>
    <n v="1"/>
    <n v="-8.9999999999999993E-3"/>
    <s v="340"/>
    <m/>
    <n v="1"/>
    <n v="1506"/>
    <n v="0.99933642999336425"/>
    <m/>
    <m/>
    <m/>
    <m/>
    <x v="0"/>
    <x v="0"/>
    <m/>
    <m/>
    <m/>
    <x v="0"/>
    <x v="0"/>
  </r>
  <r>
    <x v="398"/>
    <x v="63"/>
    <x v="54"/>
    <n v="4"/>
    <n v="0.21"/>
    <n v="698.4"/>
    <n v="2793.6"/>
    <n v="2820"/>
    <n v="592.19999999999993"/>
    <n v="1.0094501718213058"/>
    <n v="1"/>
    <n v="8.9999999999999993E-3"/>
    <s v="150"/>
    <m/>
    <n v="6"/>
    <n v="2814"/>
    <n v="0.99787234042553197"/>
    <m/>
    <m/>
    <m/>
    <m/>
    <x v="0"/>
    <x v="0"/>
    <m/>
    <m/>
    <m/>
    <x v="0"/>
    <x v="0"/>
  </r>
  <r>
    <x v="398"/>
    <x v="75"/>
    <x v="65"/>
    <n v="3"/>
    <n v="0.19"/>
    <n v="759.3"/>
    <n v="2277.8999999999996"/>
    <n v="2296"/>
    <n v="436.24"/>
    <n v="1.0079459150972387"/>
    <n v="1"/>
    <n v="8.0000000000000002E-3"/>
    <s v="180"/>
    <m/>
    <n v="14"/>
    <n v="2282"/>
    <n v="0.99390243902439024"/>
    <m/>
    <m/>
    <m/>
    <m/>
    <x v="0"/>
    <x v="0"/>
    <m/>
    <m/>
    <m/>
    <x v="0"/>
    <x v="0"/>
  </r>
  <r>
    <x v="398"/>
    <x v="45"/>
    <x v="10"/>
    <n v="16"/>
    <n v="6"/>
    <n v="26.4"/>
    <n v="422.4"/>
    <n v="430"/>
    <n v="2580"/>
    <n v="1.0179924242424243"/>
    <n v="1"/>
    <n v="1.7999999999999999E-2"/>
    <s v="230"/>
    <m/>
    <n v="2"/>
    <n v="428"/>
    <n v="0.99534883720930234"/>
    <m/>
    <m/>
    <m/>
    <m/>
    <x v="0"/>
    <x v="0"/>
    <m/>
    <m/>
    <m/>
    <x v="0"/>
    <x v="0"/>
  </r>
  <r>
    <x v="398"/>
    <x v="9"/>
    <x v="9"/>
    <n v="28"/>
    <n v="6"/>
    <n v="25.7"/>
    <n v="719.6"/>
    <n v="736"/>
    <n v="4416"/>
    <n v="1.0227904391328515"/>
    <n v="1"/>
    <n v="2.3E-2"/>
    <s v="377"/>
    <m/>
    <n v="1"/>
    <n v="735"/>
    <n v="0.99864130434782605"/>
    <m/>
    <m/>
    <m/>
    <m/>
    <x v="0"/>
    <x v="0"/>
    <m/>
    <m/>
    <m/>
    <x v="0"/>
    <x v="0"/>
  </r>
  <r>
    <x v="398"/>
    <x v="61"/>
    <x v="33"/>
    <n v="40"/>
    <n v="18"/>
    <n v="6.9"/>
    <n v="276"/>
    <n v="280"/>
    <n v="5040"/>
    <n v="1.0144927536231885"/>
    <n v="1"/>
    <n v="1.4E-2"/>
    <s v="345"/>
    <m/>
    <n v="0"/>
    <n v="280"/>
    <n v="1"/>
    <m/>
    <m/>
    <m/>
    <m/>
    <x v="0"/>
    <x v="0"/>
    <m/>
    <m/>
    <m/>
    <x v="0"/>
    <x v="0"/>
  </r>
  <r>
    <x v="399"/>
    <x v="2"/>
    <x v="2"/>
    <n v="28"/>
    <n v="6"/>
    <n v="26.6"/>
    <n v="744.80000000000007"/>
    <n v="735"/>
    <n v="4410"/>
    <n v="0.98684210526315785"/>
    <n v="1"/>
    <n v="-1.2999999999999999E-2"/>
    <s v="410"/>
    <m/>
    <n v="1"/>
    <n v="734"/>
    <n v="0.99863945578231295"/>
    <m/>
    <m/>
    <m/>
    <m/>
    <x v="0"/>
    <x v="0"/>
    <m/>
    <m/>
    <m/>
    <x v="0"/>
    <x v="0"/>
  </r>
  <r>
    <x v="399"/>
    <x v="0"/>
    <x v="0"/>
    <n v="20"/>
    <n v="6"/>
    <n v="25.5"/>
    <n v="510"/>
    <n v="514"/>
    <n v="3084"/>
    <n v="1.0078431372549019"/>
    <n v="1"/>
    <n v="8.0000000000000002E-3"/>
    <s v="285"/>
    <m/>
    <n v="2"/>
    <n v="512"/>
    <n v="0.99610894941634243"/>
    <m/>
    <m/>
    <m/>
    <m/>
    <x v="0"/>
    <x v="0"/>
    <m/>
    <m/>
    <m/>
    <x v="0"/>
    <x v="0"/>
  </r>
  <r>
    <x v="399"/>
    <x v="53"/>
    <x v="46"/>
    <n v="4"/>
    <n v="4.5"/>
    <n v="34.5"/>
    <n v="138"/>
    <n v="136"/>
    <n v="612"/>
    <n v="0.98550724637681164"/>
    <n v="1"/>
    <n v="-1.4E-2"/>
    <s v="150"/>
    <m/>
    <n v="0"/>
    <n v="136"/>
    <n v="1"/>
    <m/>
    <m/>
    <m/>
    <m/>
    <x v="0"/>
    <x v="0"/>
    <m/>
    <m/>
    <m/>
    <x v="0"/>
    <x v="0"/>
  </r>
  <r>
    <x v="399"/>
    <x v="3"/>
    <x v="3"/>
    <n v="20"/>
    <n v="4.5"/>
    <n v="36.299999999999997"/>
    <n v="726"/>
    <n v="734"/>
    <n v="3303"/>
    <n v="1.0110192837465564"/>
    <n v="1"/>
    <n v="1.0999999999999999E-2"/>
    <s v="351"/>
    <m/>
    <n v="0"/>
    <n v="734"/>
    <n v="1"/>
    <m/>
    <m/>
    <m/>
    <m/>
    <x v="0"/>
    <x v="0"/>
    <m/>
    <m/>
    <m/>
    <x v="0"/>
    <x v="0"/>
  </r>
  <r>
    <x v="399"/>
    <x v="65"/>
    <x v="56"/>
    <n v="12"/>
    <n v="9.5"/>
    <n v="16.600000000000001"/>
    <n v="199.20000000000002"/>
    <n v="196"/>
    <n v="1862"/>
    <n v="0.98393574297188746"/>
    <n v="1"/>
    <n v="-1.6E-2"/>
    <s v="246"/>
    <m/>
    <n v="0"/>
    <n v="196"/>
    <n v="1"/>
    <m/>
    <m/>
    <m/>
    <m/>
    <x v="0"/>
    <x v="0"/>
    <m/>
    <m/>
    <m/>
    <x v="0"/>
    <x v="0"/>
  </r>
  <r>
    <x v="399"/>
    <x v="23"/>
    <x v="22"/>
    <n v="40"/>
    <n v="0.34"/>
    <n v="364.6"/>
    <n v="14584"/>
    <n v="14482"/>
    <n v="4923.88"/>
    <n v="0.99300603400987386"/>
    <n v="1"/>
    <n v="-7.0000000000000001E-3"/>
    <s v="600"/>
    <m/>
    <n v="3"/>
    <n v="14479"/>
    <n v="0.99979284629194864"/>
    <m/>
    <m/>
    <m/>
    <m/>
    <x v="0"/>
    <x v="0"/>
    <m/>
    <m/>
    <m/>
    <x v="0"/>
    <x v="0"/>
  </r>
  <r>
    <x v="399"/>
    <x v="96"/>
    <x v="87"/>
    <n v="50"/>
    <n v="1"/>
    <n v="5.7"/>
    <n v="285"/>
    <n v="293"/>
    <n v="293"/>
    <n v="1.0280701754385966"/>
    <n v="1"/>
    <n v="2.8000000000000001E-2"/>
    <s v="0"/>
    <m/>
    <n v="0"/>
    <n v="293"/>
    <n v="1"/>
    <m/>
    <m/>
    <m/>
    <m/>
    <x v="0"/>
    <x v="0"/>
    <m/>
    <m/>
    <m/>
    <x v="0"/>
    <x v="0"/>
  </r>
  <r>
    <x v="400"/>
    <x v="15"/>
    <x v="15"/>
    <n v="72"/>
    <n v="3.2"/>
    <n v="46.8"/>
    <n v="3369.6"/>
    <n v="3383"/>
    <n v="10825.6"/>
    <n v="1.0039767331433997"/>
    <n v="1"/>
    <n v="4.0000000000000001E-3"/>
    <s v="540"/>
    <m/>
    <n v="5"/>
    <n v="3378"/>
    <n v="0.99852202187407624"/>
    <m/>
    <m/>
    <m/>
    <m/>
    <x v="0"/>
    <x v="0"/>
    <m/>
    <m/>
    <m/>
    <x v="0"/>
    <x v="0"/>
  </r>
  <r>
    <x v="400"/>
    <x v="47"/>
    <x v="42"/>
    <n v="12"/>
    <n v="6"/>
    <n v="25.6"/>
    <n v="307.20000000000005"/>
    <n v="317"/>
    <n v="1902"/>
    <n v="1.0319010416666665"/>
    <n v="1"/>
    <n v="3.2000000000000001E-2"/>
    <s v="185"/>
    <m/>
    <n v="1"/>
    <n v="316"/>
    <n v="0.99684542586750791"/>
    <m/>
    <m/>
    <m/>
    <m/>
    <x v="0"/>
    <x v="0"/>
    <m/>
    <m/>
    <m/>
    <x v="0"/>
    <x v="0"/>
  </r>
  <r>
    <x v="400"/>
    <x v="129"/>
    <x v="113"/>
    <n v="12"/>
    <n v="6"/>
    <n v="0"/>
    <n v="0"/>
    <n v="310"/>
    <n v="1860"/>
    <s v="無法預估數據"/>
    <e v="#N/A"/>
    <s v="無法預估數據"/>
    <s v="190"/>
    <m/>
    <n v="1"/>
    <n v="309"/>
    <n v="0.99677419354838714"/>
    <m/>
    <m/>
    <m/>
    <m/>
    <x v="0"/>
    <x v="0"/>
    <m/>
    <m/>
    <m/>
    <x v="0"/>
    <x v="0"/>
  </r>
  <r>
    <x v="400"/>
    <x v="9"/>
    <x v="9"/>
    <n v="20"/>
    <n v="6"/>
    <n v="25.7"/>
    <n v="514"/>
    <n v="523"/>
    <n v="3138"/>
    <n v="1.0175097276264591"/>
    <n v="1"/>
    <n v="1.7999999999999999E-2"/>
    <s v="270"/>
    <m/>
    <n v="2"/>
    <n v="521"/>
    <n v="0.99617590822179736"/>
    <m/>
    <m/>
    <m/>
    <m/>
    <x v="0"/>
    <x v="0"/>
    <m/>
    <m/>
    <m/>
    <x v="0"/>
    <x v="0"/>
  </r>
  <r>
    <x v="400"/>
    <x v="6"/>
    <x v="6"/>
    <n v="44"/>
    <n v="0.4"/>
    <n v="309.2"/>
    <n v="13604.8"/>
    <n v="13642"/>
    <n v="5456.8"/>
    <n v="1.0027343290603317"/>
    <n v="1"/>
    <n v="3.0000000000000001E-3"/>
    <s v="560"/>
    <m/>
    <n v="5"/>
    <n v="13637"/>
    <n v="0.99963348482627179"/>
    <m/>
    <m/>
    <m/>
    <m/>
    <x v="0"/>
    <x v="0"/>
    <m/>
    <m/>
    <m/>
    <x v="0"/>
    <x v="0"/>
  </r>
  <r>
    <x v="401"/>
    <x v="8"/>
    <x v="8"/>
    <n v="40"/>
    <n v="0.44"/>
    <n v="344"/>
    <n v="13760"/>
    <n v="13778"/>
    <n v="6062.32"/>
    <n v="1.0013081395348837"/>
    <n v="1"/>
    <n v="1E-3"/>
    <s v="540"/>
    <m/>
    <n v="8"/>
    <n v="13770"/>
    <n v="0.99941936420380317"/>
    <m/>
    <m/>
    <m/>
    <m/>
    <x v="0"/>
    <x v="0"/>
    <m/>
    <m/>
    <m/>
    <x v="0"/>
    <x v="0"/>
  </r>
  <r>
    <x v="401"/>
    <x v="28"/>
    <x v="19"/>
    <n v="16"/>
    <n v="6"/>
    <n v="25.5"/>
    <n v="408"/>
    <n v="407"/>
    <n v="2442"/>
    <n v="0.99754901960784315"/>
    <n v="1"/>
    <n v="-2E-3"/>
    <s v="220"/>
    <m/>
    <n v="3"/>
    <n v="404"/>
    <n v="0.99262899262899262"/>
    <m/>
    <m/>
    <m/>
    <m/>
    <x v="0"/>
    <x v="0"/>
    <m/>
    <m/>
    <m/>
    <x v="0"/>
    <x v="0"/>
  </r>
  <r>
    <x v="401"/>
    <x v="9"/>
    <x v="9"/>
    <n v="24"/>
    <n v="6"/>
    <n v="25.7"/>
    <n v="616.79999999999995"/>
    <n v="633"/>
    <n v="3798"/>
    <n v="1.0262645914396888"/>
    <n v="1"/>
    <n v="2.5999999999999999E-2"/>
    <s v="320"/>
    <m/>
    <n v="1"/>
    <n v="632"/>
    <n v="0.99842022116903628"/>
    <m/>
    <m/>
    <m/>
    <m/>
    <x v="0"/>
    <x v="0"/>
    <m/>
    <m/>
    <m/>
    <x v="0"/>
    <x v="0"/>
  </r>
  <r>
    <x v="401"/>
    <x v="17"/>
    <x v="17"/>
    <n v="21"/>
    <n v="3"/>
    <n v="29.7"/>
    <n v="623.69999999999993"/>
    <n v="628"/>
    <n v="1884"/>
    <n v="1.0068943402276738"/>
    <n v="1"/>
    <n v="7.0000000000000001E-3"/>
    <s v="540"/>
    <m/>
    <n v="0"/>
    <n v="628"/>
    <n v="1"/>
    <m/>
    <m/>
    <m/>
    <m/>
    <x v="0"/>
    <x v="0"/>
    <m/>
    <m/>
    <m/>
    <x v="0"/>
    <x v="0"/>
  </r>
  <r>
    <x v="402"/>
    <x v="15"/>
    <x v="15"/>
    <n v="72"/>
    <n v="3.2"/>
    <n v="46.8"/>
    <n v="3369.6"/>
    <n v="3397"/>
    <n v="10870.400000000001"/>
    <n v="1.0081315289648622"/>
    <n v="1"/>
    <n v="8.0000000000000002E-3"/>
    <s v="540"/>
    <m/>
    <n v="3"/>
    <n v="3394"/>
    <n v="0.99911686782455111"/>
    <m/>
    <m/>
    <m/>
    <m/>
    <x v="0"/>
    <x v="0"/>
    <m/>
    <m/>
    <m/>
    <x v="0"/>
    <x v="0"/>
  </r>
  <r>
    <x v="402"/>
    <x v="10"/>
    <x v="10"/>
    <n v="20"/>
    <n v="6"/>
    <n v="25.4"/>
    <n v="508"/>
    <n v="516"/>
    <n v="3096"/>
    <n v="1.015748031496063"/>
    <n v="1"/>
    <n v="1.6E-2"/>
    <s v="275"/>
    <m/>
    <n v="1"/>
    <n v="515"/>
    <n v="0.99806201550387597"/>
    <m/>
    <m/>
    <m/>
    <m/>
    <x v="0"/>
    <x v="0"/>
    <m/>
    <m/>
    <m/>
    <x v="0"/>
    <x v="0"/>
  </r>
  <r>
    <x v="402"/>
    <x v="9"/>
    <x v="9"/>
    <n v="24"/>
    <n v="6"/>
    <n v="25.7"/>
    <n v="616.79999999999995"/>
    <n v="629"/>
    <n v="3774"/>
    <n v="1.0197795071335929"/>
    <n v="1"/>
    <n v="0.02"/>
    <s v="332"/>
    <m/>
    <n v="1"/>
    <n v="628"/>
    <n v="0.99841017488076311"/>
    <m/>
    <m/>
    <m/>
    <m/>
    <x v="0"/>
    <x v="0"/>
    <m/>
    <m/>
    <m/>
    <x v="0"/>
    <x v="0"/>
  </r>
  <r>
    <x v="402"/>
    <x v="46"/>
    <x v="17"/>
    <n v="21"/>
    <n v="3"/>
    <n v="31.6"/>
    <n v="663.6"/>
    <n v="668"/>
    <n v="2004"/>
    <n v="1.0066305003013862"/>
    <n v="1"/>
    <n v="7.0000000000000001E-3"/>
    <s v="540"/>
    <m/>
    <n v="0"/>
    <n v="668"/>
    <n v="1"/>
    <m/>
    <m/>
    <m/>
    <m/>
    <x v="0"/>
    <x v="0"/>
    <m/>
    <m/>
    <m/>
    <x v="0"/>
    <x v="0"/>
  </r>
  <r>
    <x v="403"/>
    <x v="71"/>
    <x v="61"/>
    <n v="4"/>
    <n v="0.17"/>
    <n v="912.6"/>
    <n v="3650.4"/>
    <n v="3520"/>
    <n v="598.40000000000009"/>
    <n v="0.96427788735481046"/>
    <n v="1"/>
    <n v="-3.5999999999999997E-2"/>
    <s v="200"/>
    <m/>
    <n v="3"/>
    <n v="3517"/>
    <n v="0.99914772727272727"/>
    <m/>
    <m/>
    <m/>
    <m/>
    <x v="0"/>
    <x v="0"/>
    <m/>
    <m/>
    <m/>
    <x v="0"/>
    <x v="0"/>
  </r>
  <r>
    <x v="403"/>
    <x v="117"/>
    <x v="106"/>
    <n v="5"/>
    <n v="0.26"/>
    <n v="612"/>
    <n v="3060"/>
    <n v="2873"/>
    <n v="746.98"/>
    <n v="0.93888888888888888"/>
    <n v="1"/>
    <n v="-6.0999999999999999E-2"/>
    <s v="240"/>
    <m/>
    <n v="18"/>
    <n v="2855"/>
    <n v="0.99373477201531502"/>
    <m/>
    <m/>
    <m/>
    <m/>
    <x v="0"/>
    <x v="0"/>
    <m/>
    <m/>
    <m/>
    <x v="0"/>
    <x v="0"/>
  </r>
  <r>
    <x v="403"/>
    <x v="30"/>
    <x v="28"/>
    <n v="12"/>
    <n v="0.43"/>
    <n v="340.4"/>
    <n v="4084.7999999999997"/>
    <n v="4081"/>
    <n v="1754.83"/>
    <n v="0.99906972189580889"/>
    <n v="1"/>
    <n v="-1E-3"/>
    <s v="183"/>
    <m/>
    <n v="12"/>
    <n v="4069"/>
    <n v="0.9970595442293555"/>
    <m/>
    <m/>
    <s v="麥味登*180箱"/>
    <m/>
    <x v="0"/>
    <x v="0"/>
    <m/>
    <m/>
    <m/>
    <x v="0"/>
    <x v="0"/>
  </r>
  <r>
    <x v="403"/>
    <x v="2"/>
    <x v="2"/>
    <n v="36"/>
    <n v="6"/>
    <n v="26.6"/>
    <n v="957.6"/>
    <n v="970"/>
    <n v="5820"/>
    <n v="1.0129490392648288"/>
    <n v="1"/>
    <n v="1.2999999999999999E-2"/>
    <s v="450"/>
    <m/>
    <n v="1"/>
    <n v="969"/>
    <n v="0.99896907216494846"/>
    <m/>
    <m/>
    <m/>
    <m/>
    <x v="0"/>
    <x v="0"/>
    <m/>
    <m/>
    <m/>
    <x v="0"/>
    <x v="0"/>
  </r>
  <r>
    <x v="403"/>
    <x v="1"/>
    <x v="1"/>
    <n v="6"/>
    <n v="6"/>
    <n v="25.7"/>
    <n v="154.19999999999999"/>
    <n v="151"/>
    <n v="906"/>
    <n v="0.97924773022049294"/>
    <n v="1"/>
    <n v="-2.1000000000000001E-2"/>
    <s v="112"/>
    <m/>
    <n v="1"/>
    <n v="150"/>
    <n v="0.99337748344370858"/>
    <m/>
    <m/>
    <m/>
    <m/>
    <x v="0"/>
    <x v="0"/>
    <m/>
    <m/>
    <m/>
    <x v="0"/>
    <x v="0"/>
  </r>
  <r>
    <x v="403"/>
    <x v="11"/>
    <x v="11"/>
    <n v="72"/>
    <n v="2.8"/>
    <n v="44.5"/>
    <n v="3204"/>
    <n v="3234"/>
    <n v="9055.1999999999989"/>
    <n v="1.0093632958801497"/>
    <n v="1"/>
    <n v="8.9999999999999993E-3"/>
    <s v="545"/>
    <m/>
    <n v="1"/>
    <n v="3233"/>
    <n v="0.99969078540507117"/>
    <m/>
    <m/>
    <s v="D2021美芝城*50箱"/>
    <m/>
    <x v="0"/>
    <x v="0"/>
    <m/>
    <m/>
    <m/>
    <x v="0"/>
    <x v="0"/>
  </r>
  <r>
    <x v="404"/>
    <x v="27"/>
    <x v="26"/>
    <n v="72"/>
    <n v="3.2"/>
    <n v="47.5"/>
    <n v="3420"/>
    <n v="3448"/>
    <n v="11033.6"/>
    <n v="1.0081871345029241"/>
    <n v="1"/>
    <n v="8.0000000000000002E-3"/>
    <s v="540"/>
    <m/>
    <n v="4"/>
    <n v="3444"/>
    <n v="0.99883990719257543"/>
    <m/>
    <m/>
    <m/>
    <m/>
    <x v="0"/>
    <x v="0"/>
    <m/>
    <m/>
    <m/>
    <x v="0"/>
    <x v="0"/>
  </r>
  <r>
    <x v="404"/>
    <x v="28"/>
    <x v="19"/>
    <n v="32"/>
    <n v="6"/>
    <n v="25.5"/>
    <n v="816"/>
    <n v="824"/>
    <n v="4944"/>
    <n v="1.0098039215686274"/>
    <n v="1"/>
    <n v="0.01"/>
    <s v="390"/>
    <m/>
    <n v="3"/>
    <n v="821"/>
    <n v="0.99635922330097082"/>
    <m/>
    <m/>
    <m/>
    <m/>
    <x v="0"/>
    <x v="0"/>
    <m/>
    <m/>
    <m/>
    <x v="0"/>
    <x v="0"/>
  </r>
  <r>
    <x v="404"/>
    <x v="36"/>
    <x v="34"/>
    <n v="6"/>
    <n v="6"/>
    <n v="24.3"/>
    <n v="145.80000000000001"/>
    <n v="151"/>
    <n v="906"/>
    <n v="1.0356652949245542"/>
    <n v="1"/>
    <n v="3.5999999999999997E-2"/>
    <s v="145"/>
    <m/>
    <n v="1"/>
    <n v="150"/>
    <n v="0.99337748344370858"/>
    <m/>
    <m/>
    <m/>
    <m/>
    <x v="0"/>
    <x v="0"/>
    <m/>
    <m/>
    <m/>
    <x v="0"/>
    <x v="0"/>
  </r>
  <r>
    <x v="404"/>
    <x v="11"/>
    <x v="11"/>
    <n v="36"/>
    <n v="2.8"/>
    <n v="44.5"/>
    <n v="1473.4285714285713"/>
    <n v="1475"/>
    <n v="4130"/>
    <n v="1.0010665115377158"/>
    <n v="1"/>
    <n v="1E-3"/>
    <s v="290"/>
    <m/>
    <n v="1"/>
    <n v="1474"/>
    <n v="0.9993220338983051"/>
    <m/>
    <m/>
    <s v="D9920(18kg)*20桶"/>
    <m/>
    <x v="0"/>
    <x v="0"/>
    <m/>
    <m/>
    <m/>
    <x v="0"/>
    <x v="0"/>
  </r>
  <r>
    <x v="404"/>
    <x v="34"/>
    <x v="32"/>
    <n v="20"/>
    <n v="0.34"/>
    <n v="358.3"/>
    <n v="7166"/>
    <n v="7248"/>
    <n v="2464.3200000000002"/>
    <n v="1.0114429249232486"/>
    <n v="1"/>
    <n v="1.0999999999999999E-2"/>
    <s v="325"/>
    <m/>
    <n v="5"/>
    <n v="7243"/>
    <n v="0.9993101545253863"/>
    <m/>
    <m/>
    <m/>
    <m/>
    <x v="0"/>
    <x v="0"/>
    <m/>
    <m/>
    <m/>
    <x v="0"/>
    <x v="0"/>
  </r>
  <r>
    <x v="405"/>
    <x v="76"/>
    <x v="66"/>
    <n v="6"/>
    <n v="0.42"/>
    <n v="365.1"/>
    <n v="2190.6000000000004"/>
    <n v="2268"/>
    <n v="952.56"/>
    <n v="1.0353327855382086"/>
    <n v="1"/>
    <n v="3.5000000000000003E-2"/>
    <s v="240"/>
    <m/>
    <n v="7"/>
    <n v="2261"/>
    <n v="0.99691358024691357"/>
    <m/>
    <m/>
    <m/>
    <m/>
    <x v="0"/>
    <x v="0"/>
    <m/>
    <m/>
    <m/>
    <x v="0"/>
    <x v="0"/>
  </r>
  <r>
    <x v="405"/>
    <x v="49"/>
    <x v="43"/>
    <n v="15"/>
    <n v="0.43"/>
    <n v="364"/>
    <n v="5460"/>
    <n v="5574"/>
    <n v="2396.8200000000002"/>
    <n v="1.0208791208791208"/>
    <n v="1"/>
    <n v="2.1000000000000001E-2"/>
    <s v="303"/>
    <m/>
    <n v="8"/>
    <n v="5566"/>
    <n v="0.99856476498026547"/>
    <m/>
    <m/>
    <m/>
    <m/>
    <x v="0"/>
    <x v="0"/>
    <m/>
    <m/>
    <m/>
    <x v="0"/>
    <x v="0"/>
  </r>
  <r>
    <x v="405"/>
    <x v="9"/>
    <x v="9"/>
    <n v="24"/>
    <n v="6"/>
    <n v="25.7"/>
    <n v="616.79999999999995"/>
    <n v="634"/>
    <n v="3804"/>
    <n v="1.0278858625162128"/>
    <n v="1"/>
    <n v="2.8000000000000001E-2"/>
    <s v="314"/>
    <m/>
    <n v="1"/>
    <n v="633"/>
    <n v="0.99842271293375395"/>
    <m/>
    <m/>
    <m/>
    <m/>
    <x v="0"/>
    <x v="0"/>
    <m/>
    <m/>
    <m/>
    <x v="0"/>
    <x v="0"/>
  </r>
  <r>
    <x v="405"/>
    <x v="16"/>
    <x v="16"/>
    <n v="20"/>
    <n v="6"/>
    <n v="26.1"/>
    <n v="522"/>
    <n v="524"/>
    <n v="3144"/>
    <n v="1.0038314176245211"/>
    <n v="1"/>
    <n v="4.0000000000000001E-3"/>
    <s v="270"/>
    <m/>
    <n v="1"/>
    <n v="523"/>
    <n v="0.99809160305343514"/>
    <m/>
    <m/>
    <m/>
    <m/>
    <x v="0"/>
    <x v="0"/>
    <m/>
    <m/>
    <m/>
    <x v="0"/>
    <x v="0"/>
  </r>
  <r>
    <x v="405"/>
    <x v="41"/>
    <x v="39"/>
    <n v="72"/>
    <n v="2.8"/>
    <n v="44.2"/>
    <n v="3182.4"/>
    <n v="3173"/>
    <n v="8884.4"/>
    <n v="0.99704625439919559"/>
    <n v="1"/>
    <n v="-3.0000000000000001E-3"/>
    <s v="545"/>
    <m/>
    <n v="1"/>
    <n v="3172"/>
    <n v="0.9996848408446265"/>
    <m/>
    <m/>
    <m/>
    <m/>
    <x v="0"/>
    <x v="0"/>
    <m/>
    <m/>
    <m/>
    <x v="0"/>
    <x v="0"/>
  </r>
  <r>
    <x v="406"/>
    <x v="21"/>
    <x v="21"/>
    <n v="36"/>
    <n v="3.2"/>
    <n v="46.4"/>
    <n v="1670.3999999999999"/>
    <n v="1653"/>
    <n v="5289.6"/>
    <n v="0.98958333333333337"/>
    <n v="1"/>
    <n v="-0.01"/>
    <s v="300"/>
    <m/>
    <n v="1"/>
    <n v="1652"/>
    <n v="0.999395039322444"/>
    <m/>
    <m/>
    <m/>
    <m/>
    <x v="0"/>
    <x v="0"/>
    <m/>
    <m/>
    <m/>
    <x v="0"/>
    <x v="0"/>
  </r>
  <r>
    <x v="406"/>
    <x v="26"/>
    <x v="25"/>
    <n v="20"/>
    <n v="0.9"/>
    <n v="163"/>
    <n v="3260"/>
    <n v="3306"/>
    <n v="2975.4"/>
    <n v="1.0141104294478527"/>
    <n v="1"/>
    <n v="1.4E-2"/>
    <s v="330"/>
    <m/>
    <n v="32"/>
    <n v="3274"/>
    <n v="0.99032062915910468"/>
    <m/>
    <m/>
    <m/>
    <m/>
    <x v="0"/>
    <x v="0"/>
    <m/>
    <m/>
    <m/>
    <x v="0"/>
    <x v="0"/>
  </r>
  <r>
    <x v="406"/>
    <x v="9"/>
    <x v="9"/>
    <n v="24"/>
    <n v="6"/>
    <n v="25.7"/>
    <n v="616.79999999999995"/>
    <n v="624"/>
    <n v="3744"/>
    <n v="1.0116731517509729"/>
    <n v="1"/>
    <n v="1.2E-2"/>
    <s v="307"/>
    <m/>
    <n v="1"/>
    <n v="623"/>
    <n v="0.9983974358974359"/>
    <m/>
    <m/>
    <m/>
    <m/>
    <x v="0"/>
    <x v="0"/>
    <m/>
    <m/>
    <m/>
    <x v="0"/>
    <x v="0"/>
  </r>
  <r>
    <x v="406"/>
    <x v="18"/>
    <x v="18"/>
    <n v="20"/>
    <n v="6"/>
    <n v="26.4"/>
    <n v="528"/>
    <n v="526"/>
    <n v="3156"/>
    <n v="0.99621212121212122"/>
    <n v="1"/>
    <n v="-4.0000000000000001E-3"/>
    <s v="280"/>
    <m/>
    <n v="2"/>
    <n v="524"/>
    <n v="0.99619771863117867"/>
    <m/>
    <m/>
    <m/>
    <m/>
    <x v="0"/>
    <x v="0"/>
    <m/>
    <m/>
    <m/>
    <x v="0"/>
    <x v="0"/>
  </r>
  <r>
    <x v="406"/>
    <x v="17"/>
    <x v="17"/>
    <n v="21"/>
    <n v="3"/>
    <n v="29.7"/>
    <n v="623.69999999999993"/>
    <n v="632"/>
    <n v="1896"/>
    <n v="1.0133076799743468"/>
    <n v="1"/>
    <n v="1.2999999999999999E-2"/>
    <s v="540"/>
    <m/>
    <n v="0"/>
    <n v="632"/>
    <n v="1"/>
    <m/>
    <m/>
    <m/>
    <m/>
    <x v="0"/>
    <x v="0"/>
    <m/>
    <m/>
    <m/>
    <x v="0"/>
    <x v="0"/>
  </r>
  <r>
    <x v="407"/>
    <x v="0"/>
    <x v="0"/>
    <n v="20"/>
    <n v="6"/>
    <n v="25.5"/>
    <n v="510"/>
    <n v="514"/>
    <n v="3084"/>
    <n v="1.0078431372549019"/>
    <n v="1"/>
    <n v="8.0000000000000002E-3"/>
    <s v="280"/>
    <m/>
    <n v="1"/>
    <n v="513"/>
    <n v="0.99805447470817121"/>
    <m/>
    <m/>
    <m/>
    <m/>
    <x v="0"/>
    <x v="0"/>
    <m/>
    <m/>
    <m/>
    <x v="0"/>
    <x v="0"/>
  </r>
  <r>
    <x v="407"/>
    <x v="129"/>
    <x v="113"/>
    <n v="18"/>
    <n v="6"/>
    <n v="0"/>
    <n v="0"/>
    <n v="447"/>
    <n v="2682"/>
    <s v="無法預估數據"/>
    <e v="#N/A"/>
    <s v="無法預估數據"/>
    <s v="300"/>
    <m/>
    <n v="5"/>
    <n v="442"/>
    <n v="0.98881431767337813"/>
    <m/>
    <m/>
    <m/>
    <m/>
    <x v="0"/>
    <x v="0"/>
    <m/>
    <m/>
    <m/>
    <x v="0"/>
    <x v="0"/>
  </r>
  <r>
    <x v="407"/>
    <x v="52"/>
    <x v="46"/>
    <n v="8"/>
    <n v="4.5"/>
    <n v="35.6"/>
    <n v="284.8"/>
    <n v="283"/>
    <n v="1273.5"/>
    <n v="0.99367977528089879"/>
    <n v="1"/>
    <n v="-6.0000000000000001E-3"/>
    <s v="170"/>
    <m/>
    <n v="0"/>
    <n v="283"/>
    <n v="1"/>
    <m/>
    <m/>
    <m/>
    <m/>
    <x v="0"/>
    <x v="0"/>
    <m/>
    <m/>
    <m/>
    <x v="0"/>
    <x v="0"/>
  </r>
  <r>
    <x v="407"/>
    <x v="51"/>
    <x v="45"/>
    <n v="12"/>
    <n v="9.08"/>
    <n v="17.8"/>
    <n v="213.60000000000002"/>
    <n v="214"/>
    <n v="1943.1200000000001"/>
    <n v="1.0018726591760299"/>
    <n v="1"/>
    <n v="2E-3"/>
    <s v="220"/>
    <m/>
    <n v="0"/>
    <n v="214"/>
    <n v="1"/>
    <m/>
    <m/>
    <m/>
    <m/>
    <x v="0"/>
    <x v="0"/>
    <m/>
    <m/>
    <m/>
    <x v="0"/>
    <x v="0"/>
  </r>
  <r>
    <x v="407"/>
    <x v="3"/>
    <x v="3"/>
    <n v="20"/>
    <n v="4.5"/>
    <n v="36.299999999999997"/>
    <n v="726"/>
    <n v="727"/>
    <n v="3271.5"/>
    <n v="1.0013774104683195"/>
    <n v="1"/>
    <n v="1E-3"/>
    <s v="331"/>
    <m/>
    <n v="0"/>
    <n v="727"/>
    <n v="1"/>
    <m/>
    <m/>
    <s v="(5-7mm)"/>
    <m/>
    <x v="0"/>
    <x v="0"/>
    <m/>
    <m/>
    <m/>
    <x v="0"/>
    <x v="0"/>
  </r>
  <r>
    <x v="407"/>
    <x v="55"/>
    <x v="48"/>
    <n v="56"/>
    <n v="18"/>
    <n v="6.9"/>
    <n v="386.40000000000003"/>
    <n v="388"/>
    <n v="6984"/>
    <n v="1.0041407867494823"/>
    <n v="1"/>
    <n v="4.0000000000000001E-3"/>
    <s v="470"/>
    <m/>
    <n v="0"/>
    <n v="388"/>
    <n v="1"/>
    <m/>
    <m/>
    <m/>
    <m/>
    <x v="0"/>
    <x v="0"/>
    <m/>
    <m/>
    <m/>
    <x v="0"/>
    <x v="0"/>
  </r>
  <r>
    <x v="407"/>
    <x v="87"/>
    <x v="79"/>
    <n v="1"/>
    <n v="1"/>
    <n v="243"/>
    <n v="243"/>
    <n v="240"/>
    <n v="240"/>
    <n v="0.98765432098765427"/>
    <n v="1"/>
    <n v="-1.2E-2"/>
    <s v="0"/>
    <m/>
    <n v="0"/>
    <n v="240"/>
    <n v="1"/>
    <m/>
    <m/>
    <m/>
    <m/>
    <x v="0"/>
    <x v="0"/>
    <m/>
    <m/>
    <m/>
    <x v="0"/>
    <x v="0"/>
  </r>
  <r>
    <x v="407"/>
    <x v="105"/>
    <x v="93"/>
    <n v="1"/>
    <n v="0.1"/>
    <n v="1732"/>
    <n v="1732"/>
    <n v="1800"/>
    <n v="180"/>
    <n v="1.0392609699769053"/>
    <n v="1"/>
    <n v="3.9E-2"/>
    <s v="0"/>
    <m/>
    <n v="85"/>
    <n v="1715"/>
    <n v="0.95277777777777772"/>
    <m/>
    <m/>
    <m/>
    <m/>
    <x v="0"/>
    <x v="0"/>
    <m/>
    <m/>
    <m/>
    <x v="0"/>
    <x v="0"/>
  </r>
  <r>
    <x v="408"/>
    <x v="10"/>
    <x v="10"/>
    <n v="20"/>
    <n v="6"/>
    <n v="25.4"/>
    <n v="508"/>
    <n v="508"/>
    <n v="3048"/>
    <n v="1"/>
    <n v="1"/>
    <n v="0"/>
    <s v="300"/>
    <m/>
    <n v="1"/>
    <n v="507"/>
    <n v="0.99803149606299213"/>
    <m/>
    <m/>
    <m/>
    <m/>
    <x v="0"/>
    <x v="0"/>
    <m/>
    <m/>
    <m/>
    <x v="0"/>
    <x v="0"/>
  </r>
  <r>
    <x v="408"/>
    <x v="22"/>
    <x v="10"/>
    <n v="16"/>
    <n v="6"/>
    <n v="25.1"/>
    <n v="401.6"/>
    <n v="409"/>
    <n v="2454"/>
    <n v="1.018426294820717"/>
    <n v="1"/>
    <n v="1.7999999999999999E-2"/>
    <s v="160"/>
    <m/>
    <n v="2"/>
    <n v="407"/>
    <n v="0.99511002444987773"/>
    <m/>
    <m/>
    <m/>
    <m/>
    <x v="0"/>
    <x v="0"/>
    <m/>
    <m/>
    <m/>
    <x v="0"/>
    <x v="0"/>
  </r>
  <r>
    <x v="408"/>
    <x v="20"/>
    <x v="20"/>
    <n v="8"/>
    <n v="6"/>
    <n v="25"/>
    <n v="200"/>
    <n v="201"/>
    <n v="1206"/>
    <n v="1.0049999999999999"/>
    <n v="1"/>
    <n v="5.0000000000000001E-3"/>
    <s v="150"/>
    <m/>
    <n v="2"/>
    <n v="199"/>
    <n v="0.99004975124378114"/>
    <m/>
    <m/>
    <m/>
    <m/>
    <x v="0"/>
    <x v="0"/>
    <m/>
    <m/>
    <m/>
    <x v="0"/>
    <x v="0"/>
  </r>
  <r>
    <x v="408"/>
    <x v="48"/>
    <x v="17"/>
    <n v="21"/>
    <n v="3"/>
    <n v="30.8"/>
    <n v="646.80000000000007"/>
    <n v="648"/>
    <n v="1944"/>
    <n v="1.0018552875695732"/>
    <n v="1"/>
    <n v="2E-3"/>
    <s v="540"/>
    <m/>
    <n v="0"/>
    <n v="648"/>
    <n v="1"/>
    <m/>
    <m/>
    <m/>
    <m/>
    <x v="0"/>
    <x v="0"/>
    <m/>
    <m/>
    <m/>
    <x v="0"/>
    <x v="0"/>
  </r>
  <r>
    <x v="408"/>
    <x v="11"/>
    <x v="11"/>
    <n v="72"/>
    <n v="2.8"/>
    <n v="44.5"/>
    <n v="3204"/>
    <n v="3209"/>
    <n v="8985.1999999999989"/>
    <n v="1.0015605493133584"/>
    <n v="1"/>
    <n v="2E-3"/>
    <s v="530"/>
    <m/>
    <n v="11"/>
    <n v="3198"/>
    <n v="0.9965721408538486"/>
    <m/>
    <m/>
    <s v="D2021美芝城*50箱"/>
    <m/>
    <x v="0"/>
    <x v="0"/>
    <m/>
    <m/>
    <m/>
    <x v="0"/>
    <x v="0"/>
  </r>
  <r>
    <x v="408"/>
    <x v="97"/>
    <x v="88"/>
    <n v="50"/>
    <n v="1"/>
    <n v="6"/>
    <n v="300"/>
    <n v="301"/>
    <n v="301"/>
    <n v="1.0033333333333334"/>
    <n v="1"/>
    <n v="3.0000000000000001E-3"/>
    <s v="0"/>
    <m/>
    <n v="0"/>
    <n v="301"/>
    <n v="1"/>
    <m/>
    <m/>
    <m/>
    <m/>
    <x v="0"/>
    <x v="0"/>
    <m/>
    <m/>
    <m/>
    <x v="0"/>
    <x v="0"/>
  </r>
  <r>
    <x v="409"/>
    <x v="15"/>
    <x v="15"/>
    <n v="72"/>
    <n v="3.2"/>
    <n v="46.8"/>
    <n v="3369.6"/>
    <n v="3394"/>
    <n v="10860.800000000001"/>
    <n v="1.0072412155745489"/>
    <n v="1"/>
    <n v="7.0000000000000001E-3"/>
    <s v="540"/>
    <m/>
    <n v="2"/>
    <n v="3392"/>
    <n v="0.99941072480848558"/>
    <m/>
    <m/>
    <m/>
    <m/>
    <x v="0"/>
    <x v="0"/>
    <m/>
    <m/>
    <m/>
    <x v="0"/>
    <x v="0"/>
  </r>
  <r>
    <x v="409"/>
    <x v="2"/>
    <x v="2"/>
    <n v="24"/>
    <n v="6"/>
    <n v="26.6"/>
    <n v="638.40000000000009"/>
    <n v="638"/>
    <n v="3828"/>
    <n v="0.9993734335839598"/>
    <n v="1"/>
    <n v="-1E-3"/>
    <s v="335"/>
    <m/>
    <n v="1"/>
    <n v="637"/>
    <n v="0.99843260188087779"/>
    <m/>
    <m/>
    <m/>
    <m/>
    <x v="0"/>
    <x v="0"/>
    <m/>
    <m/>
    <m/>
    <x v="0"/>
    <x v="0"/>
  </r>
  <r>
    <x v="409"/>
    <x v="9"/>
    <x v="9"/>
    <n v="24"/>
    <n v="6"/>
    <n v="25.7"/>
    <n v="616.79999999999995"/>
    <n v="723"/>
    <n v="4338"/>
    <n v="1.1721789883268483"/>
    <n v="1"/>
    <n v="0.17199999999999999"/>
    <s v="270"/>
    <m/>
    <n v="723"/>
    <n v="0"/>
    <n v="0"/>
    <s v="1140924-01B"/>
    <m/>
    <m/>
    <m/>
    <x v="0"/>
    <x v="0"/>
    <m/>
    <m/>
    <m/>
    <x v="0"/>
    <x v="0"/>
  </r>
  <r>
    <x v="409"/>
    <x v="114"/>
    <x v="103"/>
    <n v="24"/>
    <n v="0.8"/>
    <n v="155.5"/>
    <n v="3732"/>
    <n v="3688"/>
    <n v="2950.4"/>
    <n v="0.98821007502679525"/>
    <n v="1"/>
    <n v="-1.2E-2"/>
    <s v="335"/>
    <m/>
    <n v="2"/>
    <n v="3686"/>
    <n v="0.99945770065075923"/>
    <m/>
    <m/>
    <m/>
    <m/>
    <x v="0"/>
    <x v="0"/>
    <m/>
    <m/>
    <m/>
    <x v="0"/>
    <x v="0"/>
  </r>
  <r>
    <x v="409"/>
    <x v="24"/>
    <x v="23"/>
    <n v="12"/>
    <n v="0.34"/>
    <n v="366"/>
    <n v="4392"/>
    <n v="4396"/>
    <n v="1494.64"/>
    <n v="1.0009107468123861"/>
    <n v="1"/>
    <n v="1E-3"/>
    <s v="345"/>
    <m/>
    <n v="3"/>
    <n v="4393"/>
    <n v="0.99931756141947226"/>
    <m/>
    <m/>
    <m/>
    <m/>
    <x v="0"/>
    <x v="0"/>
    <m/>
    <m/>
    <m/>
    <x v="0"/>
    <x v="0"/>
  </r>
  <r>
    <x v="410"/>
    <x v="43"/>
    <x v="41"/>
    <n v="16"/>
    <n v="0.26"/>
    <n v="584.29999999999995"/>
    <n v="9348.7999999999993"/>
    <n v="9500"/>
    <n v="2470"/>
    <n v="1.0161731986992983"/>
    <n v="1"/>
    <n v="1.6E-2"/>
    <s v="300"/>
    <m/>
    <n v="27"/>
    <n v="9473"/>
    <n v="0.99715789473684213"/>
    <m/>
    <m/>
    <s v="瓶器225cc醬菜瓶。"/>
    <m/>
    <x v="0"/>
    <x v="0"/>
    <m/>
    <m/>
    <m/>
    <x v="0"/>
    <x v="0"/>
  </r>
  <r>
    <x v="410"/>
    <x v="13"/>
    <x v="13"/>
    <n v="20"/>
    <n v="0.9"/>
    <n v="160.5"/>
    <n v="3210"/>
    <n v="3282"/>
    <n v="2953.8"/>
    <n v="1.0224299065420561"/>
    <n v="1"/>
    <n v="2.1999999999999999E-2"/>
    <s v="300"/>
    <m/>
    <n v="2"/>
    <n v="3280"/>
    <n v="0.99939061547836683"/>
    <s v="1141001-02A"/>
    <n v="96"/>
    <s v="D2010美芝城50箱"/>
    <m/>
    <x v="0"/>
    <x v="0"/>
    <m/>
    <m/>
    <m/>
    <x v="0"/>
    <x v="0"/>
  </r>
  <r>
    <x v="410"/>
    <x v="130"/>
    <x v="114"/>
    <n v="18"/>
    <n v="6"/>
    <n v="0"/>
    <n v="0"/>
    <n v="478"/>
    <n v="2868"/>
    <s v="無法預估數據"/>
    <e v="#N/A"/>
    <s v="無法預估數據"/>
    <s v="300"/>
    <m/>
    <n v="3"/>
    <n v="475"/>
    <n v="0.99372384937238489"/>
    <m/>
    <m/>
    <m/>
    <m/>
    <x v="0"/>
    <x v="0"/>
    <m/>
    <m/>
    <m/>
    <x v="0"/>
    <x v="0"/>
  </r>
  <r>
    <x v="410"/>
    <x v="19"/>
    <x v="19"/>
    <n v="20"/>
    <n v="6"/>
    <n v="25.5"/>
    <n v="510"/>
    <n v="511"/>
    <n v="3066"/>
    <n v="1.0019607843137255"/>
    <n v="1"/>
    <n v="2E-3"/>
    <s v="287"/>
    <m/>
    <n v="1"/>
    <n v="510"/>
    <n v="0.99804305283757333"/>
    <m/>
    <m/>
    <m/>
    <m/>
    <x v="0"/>
    <x v="0"/>
    <m/>
    <m/>
    <m/>
    <x v="0"/>
    <x v="0"/>
  </r>
  <r>
    <x v="410"/>
    <x v="58"/>
    <x v="51"/>
    <n v="4"/>
    <n v="6"/>
    <n v="25.7"/>
    <n v="102.8"/>
    <n v="99"/>
    <n v="594"/>
    <n v="0.96303501945525294"/>
    <n v="1"/>
    <n v="-3.6999999999999998E-2"/>
    <s v="130"/>
    <m/>
    <n v="1"/>
    <n v="98"/>
    <n v="0.98989898989898994"/>
    <m/>
    <m/>
    <m/>
    <m/>
    <x v="0"/>
    <x v="0"/>
    <m/>
    <m/>
    <m/>
    <x v="0"/>
    <x v="0"/>
  </r>
  <r>
    <x v="410"/>
    <x v="11"/>
    <x v="11"/>
    <n v="72"/>
    <n v="2.8"/>
    <n v="44.5"/>
    <n v="3204"/>
    <n v="3214"/>
    <n v="8999.1999999999989"/>
    <n v="1.0031210986267165"/>
    <n v="1"/>
    <n v="3.0000000000000001E-3"/>
    <s v="585"/>
    <m/>
    <n v="1"/>
    <n v="3213"/>
    <n v="0.99968886123210954"/>
    <m/>
    <m/>
    <m/>
    <m/>
    <x v="0"/>
    <x v="0"/>
    <m/>
    <m/>
    <m/>
    <x v="0"/>
    <x v="0"/>
  </r>
  <r>
    <x v="411"/>
    <x v="15"/>
    <x v="15"/>
    <n v="72"/>
    <n v="3.2"/>
    <n v="46.8"/>
    <n v="3369.6"/>
    <n v="3482"/>
    <n v="11142.400000000001"/>
    <n v="1.0333570750237417"/>
    <n v="1"/>
    <n v="3.3000000000000002E-2"/>
    <s v="540"/>
    <m/>
    <n v="3"/>
    <n v="3479"/>
    <n v="0.99913842619184379"/>
    <s v="1141001-02A"/>
    <n v="346"/>
    <m/>
    <m/>
    <x v="0"/>
    <x v="0"/>
    <m/>
    <m/>
    <m/>
    <x v="0"/>
    <x v="0"/>
  </r>
  <r>
    <x v="411"/>
    <x v="16"/>
    <x v="16"/>
    <n v="20"/>
    <n v="6"/>
    <n v="26.1"/>
    <n v="522"/>
    <n v="516"/>
    <n v="3096"/>
    <n v="0.9885057471264368"/>
    <n v="1"/>
    <n v="-1.0999999999999999E-2"/>
    <s v="520"/>
    <m/>
    <n v="1"/>
    <n v="515"/>
    <n v="0.99806201550387597"/>
    <m/>
    <m/>
    <m/>
    <m/>
    <x v="0"/>
    <x v="0"/>
    <m/>
    <m/>
    <m/>
    <x v="0"/>
    <x v="0"/>
  </r>
  <r>
    <x v="411"/>
    <x v="9"/>
    <x v="9"/>
    <n v="28"/>
    <n v="6"/>
    <n v="25.7"/>
    <n v="719.6"/>
    <n v="736"/>
    <n v="4416"/>
    <n v="1.0227904391328515"/>
    <n v="1"/>
    <n v="2.3E-2"/>
    <s v="570"/>
    <m/>
    <n v="2"/>
    <n v="734"/>
    <n v="0.99728260869565222"/>
    <m/>
    <m/>
    <m/>
    <m/>
    <x v="0"/>
    <x v="0"/>
    <m/>
    <m/>
    <m/>
    <x v="0"/>
    <x v="0"/>
  </r>
  <r>
    <x v="411"/>
    <x v="41"/>
    <x v="39"/>
    <n v="72"/>
    <n v="2.8"/>
    <n v="44.2"/>
    <n v="3182.4"/>
    <n v="3164"/>
    <n v="8859.1999999999989"/>
    <n v="0.99421820010055306"/>
    <n v="1"/>
    <n v="-6.0000000000000001E-3"/>
    <s v="540"/>
    <m/>
    <n v="1"/>
    <n v="3163"/>
    <n v="0.99968394437420982"/>
    <m/>
    <m/>
    <m/>
    <m/>
    <x v="0"/>
    <x v="0"/>
    <m/>
    <m/>
    <m/>
    <x v="0"/>
    <x v="0"/>
  </r>
  <r>
    <x v="412"/>
    <x v="15"/>
    <x v="15"/>
    <n v="72"/>
    <n v="3.2"/>
    <n v="46.8"/>
    <n v="3369.6"/>
    <n v="3472"/>
    <n v="11110.400000000001"/>
    <n v="1.0303893637226971"/>
    <n v="1"/>
    <n v="0.03"/>
    <s v="540"/>
    <m/>
    <n v="3"/>
    <n v="3469"/>
    <n v="0.99913594470046085"/>
    <s v="1141001-02A"/>
    <n v="346"/>
    <m/>
    <m/>
    <x v="0"/>
    <x v="0"/>
    <m/>
    <m/>
    <m/>
    <x v="0"/>
    <x v="0"/>
  </r>
  <r>
    <x v="412"/>
    <x v="10"/>
    <x v="10"/>
    <n v="16"/>
    <n v="6"/>
    <n v="25.4"/>
    <n v="406.4"/>
    <n v="410"/>
    <n v="2460"/>
    <n v="1.0088582677165354"/>
    <n v="1"/>
    <n v="8.9999999999999993E-3"/>
    <s v="270"/>
    <m/>
    <n v="1"/>
    <n v="409"/>
    <n v="0.9975609756097561"/>
    <m/>
    <m/>
    <m/>
    <m/>
    <x v="0"/>
    <x v="0"/>
    <m/>
    <m/>
    <m/>
    <x v="0"/>
    <x v="0"/>
  </r>
  <r>
    <x v="412"/>
    <x v="9"/>
    <x v="9"/>
    <n v="20"/>
    <n v="6"/>
    <n v="25.7"/>
    <n v="514"/>
    <n v="521"/>
    <n v="3126"/>
    <n v="1.0136186770428015"/>
    <n v="1"/>
    <n v="1.4E-2"/>
    <s v="271"/>
    <m/>
    <n v="1"/>
    <n v="520"/>
    <n v="0.99808061420345484"/>
    <m/>
    <m/>
    <m/>
    <m/>
    <x v="0"/>
    <x v="0"/>
    <m/>
    <m/>
    <m/>
    <x v="0"/>
    <x v="0"/>
  </r>
  <r>
    <x v="412"/>
    <x v="11"/>
    <x v="11"/>
    <n v="60"/>
    <n v="2.8"/>
    <n v="44.5"/>
    <n v="2284.2857142857142"/>
    <n v="2282"/>
    <n v="6389.5999999999995"/>
    <n v="0.99899937460913069"/>
    <n v="1"/>
    <n v="-1E-3"/>
    <s v="470"/>
    <m/>
    <n v="1"/>
    <n v="2281"/>
    <n v="0.99956178790534622"/>
    <m/>
    <m/>
    <m/>
    <m/>
    <x v="0"/>
    <x v="0"/>
    <m/>
    <m/>
    <m/>
    <x v="0"/>
    <x v="0"/>
  </r>
  <r>
    <x v="413"/>
    <x v="43"/>
    <x v="41"/>
    <n v="16"/>
    <n v="0.26"/>
    <n v="584.29999999999995"/>
    <n v="9348.7999999999993"/>
    <n v="9410"/>
    <n v="2446.6"/>
    <n v="1.0065462947116208"/>
    <n v="1"/>
    <n v="7.0000000000000001E-3"/>
    <s v="300"/>
    <m/>
    <n v="21"/>
    <n v="9389"/>
    <n v="0.99776833156216793"/>
    <m/>
    <m/>
    <m/>
    <m/>
    <x v="0"/>
    <x v="0"/>
    <m/>
    <m/>
    <m/>
    <x v="0"/>
    <x v="0"/>
  </r>
  <r>
    <x v="413"/>
    <x v="8"/>
    <x v="8"/>
    <n v="20"/>
    <n v="0.44"/>
    <n v="344"/>
    <n v="6880"/>
    <n v="6820"/>
    <n v="3000.8"/>
    <n v="0.99127906976744184"/>
    <n v="1"/>
    <n v="-8.9999999999999993E-3"/>
    <s v="300"/>
    <m/>
    <n v="4"/>
    <n v="6816"/>
    <n v="0.99941348973607036"/>
    <m/>
    <m/>
    <m/>
    <m/>
    <x v="0"/>
    <x v="0"/>
    <m/>
    <m/>
    <m/>
    <x v="0"/>
    <x v="0"/>
  </r>
  <r>
    <x v="413"/>
    <x v="122"/>
    <x v="111"/>
    <n v="16"/>
    <n v="6"/>
    <n v="0"/>
    <n v="0"/>
    <n v="405"/>
    <n v="2430"/>
    <s v="無法預估數據"/>
    <e v="#N/A"/>
    <s v="無法預估數據"/>
    <s v="215"/>
    <m/>
    <n v="2"/>
    <n v="403"/>
    <n v="0.99506172839506168"/>
    <m/>
    <m/>
    <m/>
    <m/>
    <x v="0"/>
    <x v="0"/>
    <m/>
    <m/>
    <m/>
    <x v="0"/>
    <x v="0"/>
  </r>
  <r>
    <x v="413"/>
    <x v="9"/>
    <x v="9"/>
    <n v="24"/>
    <n v="6"/>
    <n v="25.7"/>
    <n v="616.79999999999995"/>
    <n v="696"/>
    <n v="4176"/>
    <n v="1.1284046692607004"/>
    <n v="1"/>
    <n v="0.128"/>
    <s v="332"/>
    <m/>
    <n v="696"/>
    <m/>
    <n v="0"/>
    <s v="1140924-01B"/>
    <m/>
    <m/>
    <m/>
    <x v="0"/>
    <x v="0"/>
    <m/>
    <m/>
    <m/>
    <x v="0"/>
    <x v="0"/>
  </r>
  <r>
    <x v="413"/>
    <x v="11"/>
    <x v="11"/>
    <n v="60"/>
    <n v="2.8"/>
    <n v="44.5"/>
    <n v="2670"/>
    <n v="2676"/>
    <n v="7492.7999999999993"/>
    <n v="1.002247191011236"/>
    <n v="1"/>
    <n v="2E-3"/>
    <s v="465"/>
    <m/>
    <n v="1"/>
    <n v="2675"/>
    <n v="0.99962630792227203"/>
    <m/>
    <m/>
    <m/>
    <m/>
    <x v="0"/>
    <x v="0"/>
    <m/>
    <m/>
    <m/>
    <x v="0"/>
    <x v="0"/>
  </r>
  <r>
    <x v="414"/>
    <x v="27"/>
    <x v="26"/>
    <n v="72"/>
    <n v="3.2"/>
    <n v="47.5"/>
    <n v="3420"/>
    <n v="3437"/>
    <n v="10998.400000000001"/>
    <n v="1.0049707602339182"/>
    <n v="1"/>
    <n v="5.0000000000000001E-3"/>
    <s v="540"/>
    <m/>
    <n v="2"/>
    <n v="3435"/>
    <n v="0.9994180971777713"/>
    <m/>
    <m/>
    <m/>
    <m/>
    <x v="0"/>
    <x v="0"/>
    <m/>
    <m/>
    <m/>
    <x v="0"/>
    <x v="0"/>
  </r>
  <r>
    <x v="414"/>
    <x v="22"/>
    <x v="10"/>
    <n v="12"/>
    <n v="6"/>
    <n v="25.1"/>
    <n v="301.20000000000005"/>
    <n v="307"/>
    <n v="1842"/>
    <n v="1.0192563081009294"/>
    <n v="1"/>
    <n v="1.9E-2"/>
    <s v="200"/>
    <m/>
    <n v="1"/>
    <n v="306"/>
    <n v="0.99674267100977199"/>
    <m/>
    <m/>
    <m/>
    <m/>
    <x v="0"/>
    <x v="0"/>
    <m/>
    <m/>
    <m/>
    <x v="0"/>
    <x v="0"/>
  </r>
  <r>
    <x v="414"/>
    <x v="9"/>
    <x v="9"/>
    <n v="24"/>
    <n v="6"/>
    <n v="25.7"/>
    <n v="616.79999999999995"/>
    <n v="621"/>
    <n v="3726"/>
    <n v="1.0068093385214008"/>
    <n v="1"/>
    <n v="7.0000000000000001E-3"/>
    <s v="355"/>
    <m/>
    <n v="1"/>
    <n v="620"/>
    <n v="0.99838969404186795"/>
    <m/>
    <m/>
    <m/>
    <m/>
    <x v="0"/>
    <x v="0"/>
    <m/>
    <m/>
    <m/>
    <x v="0"/>
    <x v="0"/>
  </r>
  <r>
    <x v="414"/>
    <x v="41"/>
    <x v="39"/>
    <n v="60"/>
    <n v="2.8"/>
    <n v="44.2"/>
    <n v="2652"/>
    <n v="2568"/>
    <n v="7190.4"/>
    <n v="0.96832579185520362"/>
    <n v="1"/>
    <n v="-3.2000000000000001E-2"/>
    <s v="480"/>
    <m/>
    <n v="1"/>
    <n v="2567"/>
    <n v="0.99961059190031154"/>
    <m/>
    <m/>
    <m/>
    <m/>
    <x v="0"/>
    <x v="0"/>
    <m/>
    <m/>
    <m/>
    <x v="0"/>
    <x v="0"/>
  </r>
  <r>
    <x v="414"/>
    <x v="139"/>
    <x v="120"/>
    <n v="600"/>
    <n v="15"/>
    <n v="0"/>
    <n v="0"/>
    <n v="600"/>
    <n v="9000"/>
    <s v="無法預估數據"/>
    <n v="1"/>
    <s v="無法預估數據"/>
    <s v="0"/>
    <m/>
    <n v="0"/>
    <n v="600"/>
    <n v="1"/>
    <m/>
    <m/>
    <m/>
    <m/>
    <x v="0"/>
    <x v="0"/>
    <m/>
    <m/>
    <m/>
    <x v="0"/>
    <x v="0"/>
  </r>
  <r>
    <x v="415"/>
    <x v="2"/>
    <x v="2"/>
    <n v="30"/>
    <n v="6"/>
    <n v="26.6"/>
    <n v="798"/>
    <n v="782"/>
    <n v="4692"/>
    <n v="0.97994987468671679"/>
    <n v="1"/>
    <n v="-0.02"/>
    <s v="490"/>
    <m/>
    <n v="1"/>
    <n v="781"/>
    <n v="0.99872122762148341"/>
    <m/>
    <m/>
    <m/>
    <m/>
    <x v="0"/>
    <x v="0"/>
    <m/>
    <m/>
    <m/>
    <x v="0"/>
    <x v="0"/>
  </r>
  <r>
    <x v="415"/>
    <x v="1"/>
    <x v="1"/>
    <n v="6"/>
    <n v="6"/>
    <n v="25.7"/>
    <n v="154.19999999999999"/>
    <n v="153"/>
    <n v="918"/>
    <n v="0.99221789883268485"/>
    <n v="1"/>
    <n v="-8.0000000000000002E-3"/>
    <s v="160"/>
    <m/>
    <n v="1"/>
    <n v="152"/>
    <n v="0.99346405228758172"/>
    <m/>
    <m/>
    <m/>
    <m/>
    <x v="0"/>
    <x v="0"/>
    <m/>
    <m/>
    <m/>
    <x v="0"/>
    <x v="0"/>
  </r>
  <r>
    <x v="415"/>
    <x v="50"/>
    <x v="44"/>
    <n v="12"/>
    <n v="4.5"/>
    <n v="36.799999999999997"/>
    <n v="441.59999999999997"/>
    <n v="466"/>
    <n v="2097"/>
    <n v="1.055253623188406"/>
    <n v="1"/>
    <n v="5.5E-2"/>
    <s v="232"/>
    <m/>
    <n v="0"/>
    <n v="466"/>
    <n v="1"/>
    <m/>
    <m/>
    <m/>
    <m/>
    <x v="0"/>
    <x v="0"/>
    <m/>
    <m/>
    <m/>
    <x v="0"/>
    <x v="0"/>
  </r>
  <r>
    <x v="415"/>
    <x v="59"/>
    <x v="52"/>
    <n v="12"/>
    <n v="4.5"/>
    <n v="34.9"/>
    <n v="418.79999999999995"/>
    <n v="427"/>
    <n v="1921.5"/>
    <n v="1.0195797516714424"/>
    <n v="1"/>
    <n v="0.02"/>
    <s v="188"/>
    <m/>
    <n v="0"/>
    <n v="427"/>
    <n v="1"/>
    <m/>
    <m/>
    <m/>
    <m/>
    <x v="0"/>
    <x v="0"/>
    <m/>
    <m/>
    <m/>
    <x v="0"/>
    <x v="0"/>
  </r>
  <r>
    <x v="415"/>
    <x v="3"/>
    <x v="3"/>
    <n v="12"/>
    <n v="4.5"/>
    <n v="36.299999999999997"/>
    <n v="435.59999999999997"/>
    <n v="437"/>
    <n v="1966.5"/>
    <n v="1.0032139577594124"/>
    <n v="1"/>
    <n v="3.0000000000000001E-3"/>
    <s v="210"/>
    <m/>
    <n v="0"/>
    <n v="437"/>
    <n v="1"/>
    <m/>
    <m/>
    <m/>
    <m/>
    <x v="0"/>
    <x v="0"/>
    <m/>
    <m/>
    <m/>
    <x v="0"/>
    <x v="0"/>
  </r>
  <r>
    <x v="415"/>
    <x v="125"/>
    <x v="72"/>
    <n v="4"/>
    <n v="6"/>
    <n v="25.6"/>
    <n v="102.4"/>
    <n v="100"/>
    <n v="600"/>
    <n v="0.9765625"/>
    <e v="#N/A"/>
    <e v="#N/A"/>
    <s v="130"/>
    <m/>
    <n v="1"/>
    <n v="99"/>
    <n v="0.99"/>
    <m/>
    <m/>
    <m/>
    <m/>
    <x v="0"/>
    <x v="0"/>
    <m/>
    <m/>
    <m/>
    <x v="0"/>
    <x v="0"/>
  </r>
  <r>
    <x v="415"/>
    <x v="17"/>
    <x v="17"/>
    <n v="21"/>
    <n v="3"/>
    <n v="29.7"/>
    <n v="623.69999999999993"/>
    <n v="628"/>
    <n v="1884"/>
    <n v="1.0068943402276738"/>
    <n v="1"/>
    <n v="7.0000000000000001E-3"/>
    <s v="540"/>
    <m/>
    <n v="0"/>
    <n v="628"/>
    <n v="1"/>
    <m/>
    <m/>
    <m/>
    <m/>
    <x v="0"/>
    <x v="0"/>
    <m/>
    <m/>
    <m/>
    <x v="0"/>
    <x v="0"/>
  </r>
  <r>
    <x v="415"/>
    <x v="95"/>
    <x v="86"/>
    <n v="1"/>
    <n v="1"/>
    <n v="942"/>
    <n v="942"/>
    <n v="795"/>
    <n v="795"/>
    <n v="0.8439490445859873"/>
    <n v="1"/>
    <n v="-0.156"/>
    <s v="0"/>
    <m/>
    <n v="0"/>
    <n v="795"/>
    <n v="1"/>
    <m/>
    <m/>
    <m/>
    <m/>
    <x v="0"/>
    <x v="0"/>
    <m/>
    <m/>
    <m/>
    <x v="0"/>
    <x v="0"/>
  </r>
  <r>
    <x v="416"/>
    <x v="49"/>
    <x v="43"/>
    <n v="15"/>
    <n v="0.43"/>
    <n v="364"/>
    <n v="5460"/>
    <n v="5544"/>
    <n v="2383.92"/>
    <n v="1.0153846153846153"/>
    <n v="1"/>
    <n v="1.4999999999999999E-2"/>
    <s v="300"/>
    <m/>
    <n v="7"/>
    <n v="5537"/>
    <n v="0.9987373737373737"/>
    <m/>
    <m/>
    <m/>
    <m/>
    <x v="0"/>
    <x v="0"/>
    <m/>
    <m/>
    <m/>
    <x v="0"/>
    <x v="0"/>
  </r>
  <r>
    <x v="416"/>
    <x v="30"/>
    <x v="28"/>
    <n v="8"/>
    <n v="0.43"/>
    <n v="340.4"/>
    <n v="2723.2"/>
    <n v="2656"/>
    <n v="1142.08"/>
    <n v="0.97532314923619279"/>
    <n v="1"/>
    <n v="-2.5000000000000001E-2"/>
    <s v="240"/>
    <m/>
    <n v="6"/>
    <n v="2650"/>
    <n v="0.99774096385542166"/>
    <m/>
    <m/>
    <s v="麥味登180箱。"/>
    <m/>
    <x v="0"/>
    <x v="0"/>
    <m/>
    <m/>
    <m/>
    <x v="0"/>
    <x v="0"/>
  </r>
  <r>
    <x v="416"/>
    <x v="45"/>
    <x v="10"/>
    <n v="16"/>
    <n v="6"/>
    <n v="26.4"/>
    <n v="422.4"/>
    <n v="423"/>
    <n v="2538"/>
    <n v="1.0014204545454546"/>
    <n v="1"/>
    <n v="1E-3"/>
    <s v="275"/>
    <m/>
    <n v="1"/>
    <n v="422"/>
    <n v="0.99763593380614657"/>
    <m/>
    <m/>
    <m/>
    <m/>
    <x v="0"/>
    <x v="0"/>
    <m/>
    <m/>
    <m/>
    <x v="0"/>
    <x v="0"/>
  </r>
  <r>
    <x v="416"/>
    <x v="9"/>
    <x v="9"/>
    <n v="24"/>
    <n v="6"/>
    <n v="25.7"/>
    <n v="616.79999999999995"/>
    <n v="617"/>
    <n v="3702"/>
    <n v="1.0003242542153048"/>
    <n v="1"/>
    <n v="0"/>
    <s v="356"/>
    <m/>
    <n v="1"/>
    <n v="616"/>
    <n v="0.99837925445705022"/>
    <m/>
    <m/>
    <m/>
    <m/>
    <x v="0"/>
    <x v="0"/>
    <m/>
    <m/>
    <m/>
    <x v="0"/>
    <x v="0"/>
  </r>
  <r>
    <x v="416"/>
    <x v="11"/>
    <x v="11"/>
    <n v="60"/>
    <n v="2.8"/>
    <n v="44.5"/>
    <n v="2187.8571428571427"/>
    <n v="2192"/>
    <n v="6137.5999999999995"/>
    <n v="1.0018935683969965"/>
    <n v="1"/>
    <n v="2E-3"/>
    <s v="470"/>
    <m/>
    <n v="1"/>
    <n v="2191"/>
    <n v="0.99954379562043794"/>
    <m/>
    <m/>
    <s v="D9920(18kg)*75桶"/>
    <m/>
    <x v="0"/>
    <x v="0"/>
    <m/>
    <m/>
    <m/>
    <x v="0"/>
    <x v="0"/>
  </r>
  <r>
    <x v="417"/>
    <x v="26"/>
    <x v="25"/>
    <n v="40"/>
    <n v="0.9"/>
    <n v="163"/>
    <n v="6520"/>
    <n v="6645"/>
    <n v="5980.5"/>
    <n v="1.0191717791411044"/>
    <n v="1"/>
    <n v="1.9E-2"/>
    <s v="540"/>
    <m/>
    <n v="2"/>
    <n v="6643"/>
    <n v="0.99969902182091797"/>
    <m/>
    <m/>
    <m/>
    <m/>
    <x v="0"/>
    <x v="0"/>
    <m/>
    <m/>
    <m/>
    <x v="0"/>
    <x v="0"/>
  </r>
  <r>
    <x v="417"/>
    <x v="9"/>
    <x v="9"/>
    <n v="20"/>
    <n v="6"/>
    <n v="25.7"/>
    <n v="514"/>
    <n v="514"/>
    <n v="3084"/>
    <n v="1"/>
    <n v="1"/>
    <n v="0"/>
    <s v="270"/>
    <m/>
    <n v="1"/>
    <n v="513"/>
    <n v="0.99805447470817121"/>
    <m/>
    <m/>
    <m/>
    <m/>
    <x v="0"/>
    <x v="0"/>
    <m/>
    <m/>
    <m/>
    <x v="0"/>
    <x v="0"/>
  </r>
  <r>
    <x v="417"/>
    <x v="42"/>
    <x v="40"/>
    <n v="6"/>
    <n v="3.5"/>
    <n v="25.4"/>
    <n v="152.39999999999998"/>
    <n v="142.57142857142858"/>
    <n v="499.00000000000006"/>
    <n v="0.93550806149231369"/>
    <n v="1"/>
    <n v="-6.4000000000000001E-2"/>
    <s v="450"/>
    <m/>
    <n v="142.57142857142858"/>
    <n v="0"/>
    <n v="0"/>
    <s v="1141029-01A"/>
    <m/>
    <s v="D0820性狀太軟重工"/>
    <m/>
    <x v="0"/>
    <x v="0"/>
    <m/>
    <m/>
    <m/>
    <x v="0"/>
    <x v="0"/>
  </r>
  <r>
    <x v="417"/>
    <x v="11"/>
    <x v="11"/>
    <n v="60"/>
    <n v="2.8"/>
    <n v="44.5"/>
    <n v="2670"/>
    <n v="2674"/>
    <n v="7487.2"/>
    <n v="1.0014981273408239"/>
    <n v="1"/>
    <n v="1E-3"/>
    <s v="455"/>
    <m/>
    <n v="1"/>
    <n v="2673"/>
    <n v="0.9996260284218399"/>
    <m/>
    <m/>
    <m/>
    <m/>
    <x v="0"/>
    <x v="0"/>
    <m/>
    <m/>
    <m/>
    <x v="0"/>
    <x v="0"/>
  </r>
  <r>
    <x v="418"/>
    <x v="21"/>
    <x v="21"/>
    <n v="72"/>
    <n v="3.2"/>
    <n v="46.4"/>
    <n v="3340.7999999999997"/>
    <n v="3322"/>
    <n v="10630.400000000001"/>
    <n v="0.99437260536398475"/>
    <n v="1"/>
    <n v="-6.0000000000000001E-3"/>
    <s v="540"/>
    <m/>
    <n v="3"/>
    <n v="3319"/>
    <n v="0.99909692956050566"/>
    <m/>
    <m/>
    <m/>
    <m/>
    <x v="0"/>
    <x v="0"/>
    <m/>
    <m/>
    <m/>
    <x v="0"/>
    <x v="0"/>
  </r>
  <r>
    <x v="418"/>
    <x v="9"/>
    <x v="9"/>
    <n v="24"/>
    <n v="6"/>
    <n v="25.7"/>
    <n v="616.79999999999995"/>
    <n v="628"/>
    <n v="3768"/>
    <n v="1.0181582360570689"/>
    <n v="1"/>
    <n v="1.7999999999999999E-2"/>
    <s v="302"/>
    <m/>
    <n v="3"/>
    <n v="625"/>
    <n v="0.99522292993630568"/>
    <m/>
    <m/>
    <m/>
    <m/>
    <x v="0"/>
    <x v="0"/>
    <m/>
    <m/>
    <m/>
    <x v="0"/>
    <x v="0"/>
  </r>
  <r>
    <x v="418"/>
    <x v="125"/>
    <x v="72"/>
    <n v="8"/>
    <n v="6"/>
    <n v="25.6"/>
    <n v="204.8"/>
    <n v="208"/>
    <n v="1248"/>
    <n v="1.015625"/>
    <e v="#N/A"/>
    <e v="#N/A"/>
    <s v="165"/>
    <m/>
    <n v="1"/>
    <n v="207"/>
    <n v="0.99519230769230771"/>
    <m/>
    <m/>
    <m/>
    <m/>
    <x v="0"/>
    <x v="0"/>
    <m/>
    <m/>
    <m/>
    <x v="0"/>
    <x v="0"/>
  </r>
  <r>
    <x v="418"/>
    <x v="82"/>
    <x v="74"/>
    <n v="6"/>
    <n v="6"/>
    <n v="24.5"/>
    <n v="147"/>
    <n v="149"/>
    <n v="894"/>
    <n v="1.0136054421768708"/>
    <n v="1"/>
    <n v="1.4E-2"/>
    <s v="125"/>
    <m/>
    <n v="1"/>
    <n v="148"/>
    <n v="0.99328859060402686"/>
    <m/>
    <m/>
    <m/>
    <m/>
    <x v="0"/>
    <x v="0"/>
    <m/>
    <m/>
    <m/>
    <x v="0"/>
    <x v="0"/>
  </r>
  <r>
    <x v="418"/>
    <x v="23"/>
    <x v="22"/>
    <n v="36"/>
    <n v="0.34"/>
    <n v="364.6"/>
    <n v="13125.6"/>
    <n v="13070"/>
    <n v="4443.8"/>
    <n v="0.99576400316937885"/>
    <n v="1"/>
    <n v="-4.0000000000000001E-3"/>
    <s v="540"/>
    <m/>
    <n v="3"/>
    <n v="13067"/>
    <n v="0.99977046671767411"/>
    <m/>
    <m/>
    <m/>
    <m/>
    <x v="0"/>
    <x v="0"/>
    <m/>
    <m/>
    <m/>
    <x v="0"/>
    <x v="0"/>
  </r>
  <r>
    <x v="419"/>
    <x v="13"/>
    <x v="13"/>
    <n v="40"/>
    <n v="0.9"/>
    <n v="160.5"/>
    <n v="6420"/>
    <n v="6647"/>
    <n v="5982.3"/>
    <n v="1.0353582554517133"/>
    <n v="1"/>
    <n v="3.5000000000000003E-2"/>
    <s v="540"/>
    <m/>
    <n v="2"/>
    <n v="6645"/>
    <n v="0.99969911238152553"/>
    <s v="1141001-02A"/>
    <n v="121"/>
    <m/>
    <m/>
    <x v="0"/>
    <x v="0"/>
    <m/>
    <m/>
    <m/>
    <x v="0"/>
    <x v="0"/>
  </r>
  <r>
    <x v="419"/>
    <x v="3"/>
    <x v="3"/>
    <n v="16"/>
    <n v="4.5"/>
    <n v="36.299999999999997"/>
    <n v="580.79999999999995"/>
    <n v="577"/>
    <n v="2596.5"/>
    <n v="0.99345730027548218"/>
    <n v="1"/>
    <n v="-7.0000000000000001E-3"/>
    <s v="264"/>
    <m/>
    <n v="0"/>
    <n v="577"/>
    <n v="1"/>
    <m/>
    <m/>
    <m/>
    <m/>
    <x v="0"/>
    <x v="0"/>
    <m/>
    <m/>
    <m/>
    <x v="0"/>
    <x v="0"/>
  </r>
  <r>
    <x v="419"/>
    <x v="67"/>
    <x v="58"/>
    <n v="8"/>
    <n v="4.5"/>
    <n v="33.200000000000003"/>
    <n v="265.60000000000002"/>
    <n v="280"/>
    <n v="1260"/>
    <n v="1.0542168674698795"/>
    <n v="1"/>
    <n v="5.3999999999999999E-2"/>
    <s v="170"/>
    <m/>
    <n v="0"/>
    <n v="280"/>
    <n v="1"/>
    <m/>
    <m/>
    <m/>
    <m/>
    <x v="0"/>
    <x v="0"/>
    <m/>
    <m/>
    <m/>
    <x v="0"/>
    <x v="0"/>
  </r>
  <r>
    <x v="419"/>
    <x v="66"/>
    <x v="57"/>
    <n v="12"/>
    <n v="9.08"/>
    <n v="17.5"/>
    <n v="210"/>
    <n v="217"/>
    <n v="1970.3600000000001"/>
    <n v="1.0333333333333334"/>
    <n v="1"/>
    <n v="3.3000000000000002E-2"/>
    <s v="205"/>
    <m/>
    <n v="0"/>
    <n v="217"/>
    <n v="1"/>
    <m/>
    <m/>
    <m/>
    <m/>
    <x v="0"/>
    <x v="0"/>
    <m/>
    <m/>
    <m/>
    <x v="0"/>
    <x v="0"/>
  </r>
  <r>
    <x v="419"/>
    <x v="64"/>
    <x v="55"/>
    <n v="8"/>
    <n v="0.28999999999999998"/>
    <n v="412.6"/>
    <n v="3300.8"/>
    <n v="3455"/>
    <n v="1001.9499999999999"/>
    <n v="1.0467159476490546"/>
    <n v="1"/>
    <n v="4.7E-2"/>
    <s v="300"/>
    <m/>
    <n v="3"/>
    <n v="3452"/>
    <n v="0.99913169319826334"/>
    <m/>
    <m/>
    <s v="充填281g~285g"/>
    <m/>
    <x v="0"/>
    <x v="0"/>
    <m/>
    <m/>
    <m/>
    <x v="0"/>
    <x v="0"/>
  </r>
  <r>
    <x v="419"/>
    <x v="12"/>
    <x v="12"/>
    <n v="20"/>
    <n v="0.8"/>
    <n v="157.69999999999999"/>
    <n v="3154"/>
    <n v="3099"/>
    <n v="2479.2000000000003"/>
    <n v="0.98256182625237798"/>
    <n v="1"/>
    <n v="-1.7000000000000001E-2"/>
    <s v="390"/>
    <m/>
    <n v="2"/>
    <n v="3097"/>
    <n v="0.99935463052597617"/>
    <m/>
    <m/>
    <m/>
    <m/>
    <x v="0"/>
    <x v="0"/>
    <m/>
    <m/>
    <m/>
    <x v="0"/>
    <x v="0"/>
  </r>
  <r>
    <x v="420"/>
    <x v="15"/>
    <x v="15"/>
    <n v="72"/>
    <n v="3.2"/>
    <n v="46.8"/>
    <n v="3369.6"/>
    <n v="3488"/>
    <n v="11161.6"/>
    <n v="1.0351377018043686"/>
    <n v="1"/>
    <n v="3.5000000000000003E-2"/>
    <s v="540"/>
    <m/>
    <n v="2"/>
    <n v="3486"/>
    <n v="0.99942660550458717"/>
    <s v="1141001-02A"/>
    <n v="346"/>
    <m/>
    <m/>
    <x v="0"/>
    <x v="0"/>
    <m/>
    <m/>
    <m/>
    <x v="0"/>
    <x v="0"/>
  </r>
  <r>
    <x v="420"/>
    <x v="9"/>
    <x v="9"/>
    <n v="24"/>
    <n v="6"/>
    <n v="25.7"/>
    <n v="616.79999999999995"/>
    <n v="621"/>
    <n v="3726"/>
    <n v="1.0068093385214008"/>
    <n v="1"/>
    <n v="7.0000000000000001E-3"/>
    <s v="328"/>
    <m/>
    <n v="1"/>
    <n v="620"/>
    <n v="0.99838969404186795"/>
    <m/>
    <m/>
    <m/>
    <m/>
    <x v="0"/>
    <x v="0"/>
    <m/>
    <m/>
    <m/>
    <x v="0"/>
    <x v="0"/>
  </r>
  <r>
    <x v="420"/>
    <x v="125"/>
    <x v="72"/>
    <n v="16"/>
    <n v="6"/>
    <n v="25.6"/>
    <n v="409.6"/>
    <n v="426"/>
    <n v="2556"/>
    <n v="1.0400390625"/>
    <e v="#N/A"/>
    <e v="#N/A"/>
    <s v="220"/>
    <m/>
    <n v="4"/>
    <n v="422"/>
    <n v="0.99061032863849763"/>
    <m/>
    <m/>
    <m/>
    <m/>
    <x v="0"/>
    <x v="0"/>
    <m/>
    <m/>
    <m/>
    <x v="0"/>
    <x v="0"/>
  </r>
  <r>
    <x v="420"/>
    <x v="11"/>
    <x v="11"/>
    <n v="32"/>
    <n v="2.8"/>
    <n v="44.5"/>
    <n v="1424"/>
    <n v="1432"/>
    <n v="4009.6"/>
    <n v="1.0056179775280898"/>
    <n v="1"/>
    <n v="6.0000000000000001E-3"/>
    <s v="285"/>
    <m/>
    <n v="1"/>
    <n v="1431"/>
    <n v="0.99930167597765363"/>
    <m/>
    <m/>
    <s v="D2021美芝城*50箱"/>
    <m/>
    <x v="0"/>
    <x v="0"/>
    <m/>
    <m/>
    <m/>
    <x v="0"/>
    <x v="0"/>
  </r>
  <r>
    <x v="420"/>
    <x v="42"/>
    <x v="40"/>
    <n v="6"/>
    <n v="3.5"/>
    <n v="25.4"/>
    <n v="152.39999999999998"/>
    <n v="146"/>
    <n v="511"/>
    <n v="0.95800524934383213"/>
    <n v="1"/>
    <n v="-4.2000000000000003E-2"/>
    <s v="330"/>
    <m/>
    <n v="0"/>
    <n v="146"/>
    <n v="1"/>
    <m/>
    <m/>
    <m/>
    <m/>
    <x v="0"/>
    <x v="0"/>
    <m/>
    <m/>
    <m/>
    <x v="0"/>
    <x v="0"/>
  </r>
  <r>
    <x v="421"/>
    <x v="18"/>
    <x v="18"/>
    <n v="16"/>
    <n v="6"/>
    <n v="26.4"/>
    <n v="422.4"/>
    <n v="423"/>
    <n v="2538"/>
    <n v="1.0014204545454546"/>
    <n v="1"/>
    <n v="1E-3"/>
    <s v="225"/>
    <m/>
    <n v="3"/>
    <n v="420"/>
    <n v="0.99290780141843971"/>
    <m/>
    <m/>
    <m/>
    <m/>
    <x v="0"/>
    <x v="0"/>
    <m/>
    <m/>
    <m/>
    <x v="0"/>
    <x v="0"/>
  </r>
  <r>
    <x v="421"/>
    <x v="9"/>
    <x v="9"/>
    <n v="20"/>
    <n v="6"/>
    <n v="25.7"/>
    <n v="514"/>
    <n v="521"/>
    <n v="3126"/>
    <n v="1.0136186770428015"/>
    <n v="1"/>
    <n v="1.4E-2"/>
    <s v="315"/>
    <m/>
    <n v="2"/>
    <n v="519"/>
    <n v="0.99616122840690979"/>
    <m/>
    <m/>
    <m/>
    <m/>
    <x v="0"/>
    <x v="0"/>
    <m/>
    <m/>
    <m/>
    <x v="0"/>
    <x v="0"/>
  </r>
  <r>
    <x v="421"/>
    <x v="46"/>
    <x v="17"/>
    <n v="21"/>
    <n v="3"/>
    <n v="31.6"/>
    <n v="663.6"/>
    <n v="564"/>
    <n v="1692"/>
    <n v="0.84990958408679929"/>
    <n v="1"/>
    <n v="-0.15"/>
    <s v="540"/>
    <m/>
    <n v="0"/>
    <n v="564"/>
    <n v="1"/>
    <s v="1141104-01A"/>
    <m/>
    <s v="刀具掉入入料槽導致馬達故障"/>
    <m/>
    <x v="0"/>
    <x v="0"/>
    <m/>
    <m/>
    <m/>
    <x v="0"/>
    <x v="0"/>
  </r>
  <r>
    <x v="421"/>
    <x v="11"/>
    <x v="11"/>
    <n v="60"/>
    <n v="2.8"/>
    <n v="44.5"/>
    <n v="2670"/>
    <n v="2690"/>
    <n v="7531.9999999999991"/>
    <n v="1.0074906367041199"/>
    <n v="1"/>
    <n v="7.0000000000000001E-3"/>
    <s v="480"/>
    <m/>
    <n v="1"/>
    <n v="2689"/>
    <n v="0.99962825278810408"/>
    <m/>
    <m/>
    <m/>
    <m/>
    <x v="0"/>
    <x v="0"/>
    <m/>
    <m/>
    <m/>
    <x v="0"/>
    <x v="0"/>
  </r>
  <r>
    <x v="421"/>
    <x v="87"/>
    <x v="79"/>
    <n v="1"/>
    <n v="1"/>
    <n v="243"/>
    <n v="243"/>
    <n v="256"/>
    <n v="256"/>
    <n v="1.0534979423868314"/>
    <n v="1"/>
    <n v="5.2999999999999999E-2"/>
    <s v="0"/>
    <m/>
    <n v="-2"/>
    <n v="258"/>
    <n v="1.0078125"/>
    <m/>
    <m/>
    <m/>
    <m/>
    <x v="0"/>
    <x v="0"/>
    <m/>
    <m/>
    <m/>
    <x v="0"/>
    <x v="0"/>
  </r>
  <r>
    <x v="421"/>
    <x v="94"/>
    <x v="85"/>
    <n v="1"/>
    <n v="1"/>
    <n v="591"/>
    <n v="591"/>
    <n v="472"/>
    <n v="472"/>
    <n v="0.79864636209813877"/>
    <n v="1"/>
    <n v="-0.20100000000000001"/>
    <s v="0"/>
    <m/>
    <n v="0"/>
    <n v="472"/>
    <n v="1"/>
    <m/>
    <m/>
    <m/>
    <m/>
    <x v="0"/>
    <x v="0"/>
    <m/>
    <m/>
    <m/>
    <x v="0"/>
    <x v="0"/>
  </r>
  <r>
    <x v="422"/>
    <x v="71"/>
    <x v="61"/>
    <n v="4"/>
    <n v="0.17"/>
    <n v="912.6"/>
    <n v="3650.4"/>
    <n v="3590"/>
    <n v="610.30000000000007"/>
    <n v="0.98345386806925261"/>
    <n v="1"/>
    <n v="-1.7000000000000001E-2"/>
    <s v="220"/>
    <m/>
    <n v="7"/>
    <n v="3583"/>
    <n v="0.99805013927576602"/>
    <m/>
    <m/>
    <m/>
    <m/>
    <x v="0"/>
    <x v="0"/>
    <m/>
    <m/>
    <m/>
    <x v="0"/>
    <x v="0"/>
  </r>
  <r>
    <x v="422"/>
    <x v="101"/>
    <x v="91"/>
    <n v="3"/>
    <n v="0.42"/>
    <n v="370.5"/>
    <n v="1111.5"/>
    <n v="1124"/>
    <n v="472.08"/>
    <n v="1.0112460638776428"/>
    <n v="1"/>
    <n v="1.0999999999999999E-2"/>
    <s v="172"/>
    <m/>
    <n v="7"/>
    <n v="1117"/>
    <n v="0.99377224199288261"/>
    <m/>
    <m/>
    <m/>
    <m/>
    <x v="0"/>
    <x v="0"/>
    <m/>
    <m/>
    <m/>
    <x v="0"/>
    <x v="0"/>
  </r>
  <r>
    <x v="422"/>
    <x v="81"/>
    <x v="73"/>
    <n v="6"/>
    <n v="0.4"/>
    <n v="366.4"/>
    <n v="2198.3999999999996"/>
    <n v="2247"/>
    <n v="898.80000000000007"/>
    <n v="1.0221069868995636"/>
    <n v="1"/>
    <n v="2.1999999999999999E-2"/>
    <s v="240"/>
    <m/>
    <n v="4"/>
    <n v="2243"/>
    <n v="0.99821984868713842"/>
    <m/>
    <m/>
    <m/>
    <m/>
    <x v="0"/>
    <x v="0"/>
    <m/>
    <m/>
    <m/>
    <x v="0"/>
    <x v="0"/>
  </r>
  <r>
    <x v="422"/>
    <x v="16"/>
    <x v="16"/>
    <n v="20"/>
    <n v="6"/>
    <n v="26.1"/>
    <n v="522"/>
    <n v="515"/>
    <n v="3090"/>
    <n v="0.98659003831417624"/>
    <n v="1"/>
    <n v="-1.2999999999999999E-2"/>
    <s v="280"/>
    <m/>
    <n v="1"/>
    <n v="514"/>
    <n v="0.99805825242718449"/>
    <m/>
    <m/>
    <m/>
    <m/>
    <x v="0"/>
    <x v="0"/>
    <m/>
    <m/>
    <m/>
    <x v="0"/>
    <x v="0"/>
  </r>
  <r>
    <x v="422"/>
    <x v="9"/>
    <x v="9"/>
    <n v="16"/>
    <n v="6"/>
    <n v="25.7"/>
    <n v="411.2"/>
    <n v="414"/>
    <n v="2484"/>
    <n v="1.0068093385214008"/>
    <n v="1"/>
    <n v="7.0000000000000001E-3"/>
    <s v="271"/>
    <m/>
    <n v="2"/>
    <n v="412"/>
    <n v="0.99516908212560384"/>
    <m/>
    <m/>
    <m/>
    <m/>
    <x v="0"/>
    <x v="0"/>
    <m/>
    <m/>
    <m/>
    <x v="0"/>
    <x v="0"/>
  </r>
  <r>
    <x v="422"/>
    <x v="11"/>
    <x v="11"/>
    <n v="60"/>
    <n v="2.8"/>
    <n v="44.5"/>
    <n v="2670"/>
    <n v="2714"/>
    <n v="7599.2"/>
    <n v="1.0164794007490636"/>
    <n v="1"/>
    <n v="1.6E-2"/>
    <s v="475"/>
    <m/>
    <n v="1"/>
    <n v="2713"/>
    <n v="0.9996315401621223"/>
    <m/>
    <m/>
    <m/>
    <m/>
    <x v="0"/>
    <x v="0"/>
    <m/>
    <m/>
    <m/>
    <x v="0"/>
    <x v="0"/>
  </r>
  <r>
    <x v="423"/>
    <x v="15"/>
    <x v="15"/>
    <n v="72"/>
    <n v="3.2"/>
    <n v="46.8"/>
    <n v="3369.6"/>
    <n v="3484"/>
    <n v="11148.800000000001"/>
    <n v="1.0339506172839505"/>
    <n v="1"/>
    <n v="3.4000000000000002E-2"/>
    <s v="540"/>
    <m/>
    <n v="206"/>
    <n v="3278"/>
    <n v="0.94087256027554533"/>
    <s v="1141001-02A"/>
    <n v="257"/>
    <s v="果醬成品硬度偏軟"/>
    <m/>
    <x v="0"/>
    <x v="0"/>
    <m/>
    <m/>
    <m/>
    <x v="0"/>
    <x v="0"/>
  </r>
  <r>
    <x v="423"/>
    <x v="9"/>
    <x v="9"/>
    <n v="20"/>
    <n v="6"/>
    <n v="25.7"/>
    <n v="514"/>
    <n v="522"/>
    <n v="3132"/>
    <n v="1.0155642023346303"/>
    <n v="1"/>
    <n v="1.6E-2"/>
    <s v="298"/>
    <m/>
    <n v="3"/>
    <n v="519"/>
    <n v="0.99425287356321834"/>
    <m/>
    <m/>
    <m/>
    <m/>
    <x v="0"/>
    <x v="0"/>
    <m/>
    <m/>
    <m/>
    <x v="0"/>
    <x v="0"/>
  </r>
  <r>
    <x v="423"/>
    <x v="10"/>
    <x v="10"/>
    <n v="16"/>
    <n v="6"/>
    <n v="25.4"/>
    <n v="406.4"/>
    <n v="423"/>
    <n v="2538"/>
    <n v="1.0408464566929134"/>
    <n v="1"/>
    <n v="4.1000000000000002E-2"/>
    <s v="265"/>
    <m/>
    <n v="8"/>
    <n v="415"/>
    <n v="0.98108747044917255"/>
    <m/>
    <m/>
    <m/>
    <m/>
    <x v="0"/>
    <x v="0"/>
    <m/>
    <m/>
    <m/>
    <x v="0"/>
    <x v="0"/>
  </r>
  <r>
    <x v="423"/>
    <x v="48"/>
    <x v="17"/>
    <n v="21"/>
    <n v="3"/>
    <n v="30.8"/>
    <n v="646.80000000000007"/>
    <n v="648"/>
    <n v="1944"/>
    <n v="1.0018552875695732"/>
    <n v="1"/>
    <n v="2E-3"/>
    <s v="570"/>
    <m/>
    <n v="0"/>
    <n v="648"/>
    <n v="1"/>
    <m/>
    <m/>
    <m/>
    <m/>
    <x v="0"/>
    <x v="0"/>
    <m/>
    <m/>
    <m/>
    <x v="0"/>
    <x v="0"/>
  </r>
  <r>
    <x v="424"/>
    <x v="53"/>
    <x v="46"/>
    <n v="4"/>
    <n v="4.5"/>
    <n v="34.5"/>
    <n v="138"/>
    <n v="139"/>
    <n v="625.5"/>
    <n v="1.0072463768115942"/>
    <n v="1"/>
    <n v="7.0000000000000001E-3"/>
    <s v="120"/>
    <m/>
    <n v="0"/>
    <n v="139"/>
    <n v="1"/>
    <m/>
    <m/>
    <m/>
    <m/>
    <x v="0"/>
    <x v="0"/>
    <m/>
    <m/>
    <m/>
    <x v="0"/>
    <x v="0"/>
  </r>
  <r>
    <x v="424"/>
    <x v="65"/>
    <x v="56"/>
    <n v="16"/>
    <n v="9.5"/>
    <n v="16.600000000000001"/>
    <n v="265.60000000000002"/>
    <n v="263"/>
    <n v="2498.5"/>
    <n v="0.99021084337349385"/>
    <n v="1"/>
    <n v="-0.01"/>
    <s v="270"/>
    <m/>
    <n v="1"/>
    <n v="262"/>
    <n v="0.99619771863117867"/>
    <m/>
    <m/>
    <m/>
    <m/>
    <x v="0"/>
    <x v="0"/>
    <m/>
    <m/>
    <m/>
    <x v="0"/>
    <x v="0"/>
  </r>
  <r>
    <x v="424"/>
    <x v="47"/>
    <x v="42"/>
    <n v="12"/>
    <n v="6"/>
    <n v="25.6"/>
    <n v="307.20000000000005"/>
    <n v="313"/>
    <n v="1878"/>
    <n v="1.0188802083333333"/>
    <n v="1"/>
    <n v="1.9E-2"/>
    <s v="180"/>
    <m/>
    <n v="2"/>
    <n v="311"/>
    <n v="0.99361022364217255"/>
    <m/>
    <m/>
    <m/>
    <m/>
    <x v="0"/>
    <x v="0"/>
    <m/>
    <m/>
    <m/>
    <x v="0"/>
    <x v="0"/>
  </r>
  <r>
    <x v="424"/>
    <x v="17"/>
    <x v="17"/>
    <n v="21"/>
    <n v="3"/>
    <n v="29.7"/>
    <n v="623.69999999999993"/>
    <n v="628"/>
    <n v="1884"/>
    <n v="1.0068943402276738"/>
    <n v="1"/>
    <n v="7.0000000000000001E-3"/>
    <s v="510"/>
    <m/>
    <n v="0"/>
    <n v="628"/>
    <n v="1"/>
    <m/>
    <m/>
    <m/>
    <m/>
    <x v="0"/>
    <x v="0"/>
    <m/>
    <m/>
    <m/>
    <x v="0"/>
    <x v="0"/>
  </r>
  <r>
    <x v="424"/>
    <x v="34"/>
    <x v="32"/>
    <n v="16"/>
    <n v="0.34"/>
    <n v="358.3"/>
    <n v="5732.8"/>
    <n v="5371"/>
    <n v="1826.14"/>
    <n v="0.93688947809098522"/>
    <n v="1"/>
    <n v="-6.3E-2"/>
    <s v="280"/>
    <m/>
    <n v="3"/>
    <n v="5368"/>
    <n v="0.9994414447961274"/>
    <m/>
    <m/>
    <m/>
    <m/>
    <x v="0"/>
    <x v="0"/>
    <m/>
    <m/>
    <m/>
    <x v="0"/>
    <x v="0"/>
  </r>
  <r>
    <x v="424"/>
    <x v="6"/>
    <x v="6"/>
    <n v="20"/>
    <n v="0.4"/>
    <n v="309.2"/>
    <n v="6184"/>
    <n v="6533"/>
    <n v="2613.2000000000003"/>
    <n v="1.0564359637774903"/>
    <n v="1"/>
    <n v="5.6000000000000001E-2"/>
    <s v="360"/>
    <m/>
    <n v="3"/>
    <n v="6530"/>
    <n v="0.99954079289759679"/>
    <m/>
    <m/>
    <m/>
    <m/>
    <x v="0"/>
    <x v="0"/>
    <m/>
    <m/>
    <m/>
    <x v="0"/>
    <x v="0"/>
  </r>
  <r>
    <x v="425"/>
    <x v="63"/>
    <x v="54"/>
    <n v="6"/>
    <n v="0.21"/>
    <n v="698.4"/>
    <n v="4190.3999999999996"/>
    <n v="4193"/>
    <n v="880.53"/>
    <n v="1.0006204658266515"/>
    <n v="1"/>
    <n v="1E-3"/>
    <s v="240"/>
    <m/>
    <n v="9"/>
    <n v="4184"/>
    <n v="0.99785356546625326"/>
    <m/>
    <m/>
    <m/>
    <m/>
    <x v="0"/>
    <x v="0"/>
    <m/>
    <m/>
    <m/>
    <x v="0"/>
    <x v="0"/>
  </r>
  <r>
    <x v="425"/>
    <x v="8"/>
    <x v="8"/>
    <n v="24"/>
    <n v="0.44"/>
    <n v="344"/>
    <n v="8256"/>
    <n v="8166"/>
    <n v="3593.04"/>
    <n v="0.98909883720930236"/>
    <n v="1"/>
    <n v="-1.0999999999999999E-2"/>
    <s v="330"/>
    <m/>
    <n v="4"/>
    <n v="8162"/>
    <n v="0.99951016409502813"/>
    <m/>
    <m/>
    <m/>
    <m/>
    <x v="0"/>
    <x v="0"/>
    <m/>
    <m/>
    <m/>
    <x v="0"/>
    <x v="0"/>
  </r>
  <r>
    <x v="425"/>
    <x v="9"/>
    <x v="9"/>
    <n v="24"/>
    <n v="6"/>
    <n v="25.7"/>
    <n v="616.79999999999995"/>
    <n v="623"/>
    <n v="3738"/>
    <n v="1.0100518806744487"/>
    <n v="1"/>
    <n v="0.01"/>
    <s v="366"/>
    <m/>
    <n v="1"/>
    <n v="622"/>
    <n v="0.9983948635634029"/>
    <m/>
    <m/>
    <m/>
    <m/>
    <x v="0"/>
    <x v="0"/>
    <m/>
    <m/>
    <m/>
    <x v="0"/>
    <x v="0"/>
  </r>
  <r>
    <x v="425"/>
    <x v="0"/>
    <x v="0"/>
    <n v="12"/>
    <n v="6"/>
    <n v="25.5"/>
    <n v="306"/>
    <n v="308"/>
    <n v="1848"/>
    <n v="1.0065359477124183"/>
    <n v="1"/>
    <n v="7.0000000000000001E-3"/>
    <s v="180"/>
    <m/>
    <n v="1"/>
    <n v="307"/>
    <n v="0.99675324675324672"/>
    <m/>
    <m/>
    <m/>
    <m/>
    <x v="0"/>
    <x v="0"/>
    <m/>
    <m/>
    <m/>
    <x v="0"/>
    <x v="0"/>
  </r>
  <r>
    <x v="425"/>
    <x v="97"/>
    <x v="88"/>
    <n v="30"/>
    <n v="1"/>
    <n v="6"/>
    <n v="180"/>
    <n v="197"/>
    <n v="197"/>
    <n v="1.0944444444444446"/>
    <n v="1"/>
    <n v="9.4E-2"/>
    <s v="0"/>
    <m/>
    <n v="0"/>
    <n v="197"/>
    <n v="1"/>
    <m/>
    <m/>
    <m/>
    <m/>
    <x v="0"/>
    <x v="0"/>
    <m/>
    <m/>
    <m/>
    <x v="0"/>
    <x v="0"/>
  </r>
  <r>
    <x v="425"/>
    <x v="96"/>
    <x v="87"/>
    <n v="25"/>
    <n v="1"/>
    <n v="5.7"/>
    <n v="142.5"/>
    <n v="146"/>
    <n v="146"/>
    <n v="1.024561403508772"/>
    <n v="1"/>
    <n v="2.5000000000000001E-2"/>
    <s v="0"/>
    <m/>
    <n v="0"/>
    <n v="146"/>
    <n v="1"/>
    <m/>
    <m/>
    <m/>
    <m/>
    <x v="0"/>
    <x v="0"/>
    <m/>
    <m/>
    <m/>
    <x v="0"/>
    <x v="0"/>
  </r>
  <r>
    <x v="426"/>
    <x v="87"/>
    <x v="79"/>
    <n v="2"/>
    <n v="1"/>
    <n v="243"/>
    <n v="486"/>
    <n v="472"/>
    <n v="472"/>
    <n v="0.9711934156378601"/>
    <n v="1"/>
    <n v="-2.9000000000000001E-2"/>
    <s v="0"/>
    <m/>
    <n v="0"/>
    <n v="472"/>
    <n v="1"/>
    <m/>
    <m/>
    <m/>
    <m/>
    <x v="0"/>
    <x v="0"/>
    <m/>
    <m/>
    <m/>
    <x v="0"/>
    <x v="0"/>
  </r>
  <r>
    <x v="427"/>
    <x v="43"/>
    <x v="41"/>
    <n v="12"/>
    <n v="0.26"/>
    <n v="584.29999999999995"/>
    <n v="7011.5999999999995"/>
    <n v="6908"/>
    <n v="1796.0800000000002"/>
    <n v="0.9852244851389127"/>
    <n v="1"/>
    <n v="-1.4999999999999999E-2"/>
    <s v="300"/>
    <m/>
    <n v="16"/>
    <n v="6892"/>
    <n v="0.99768384481760275"/>
    <m/>
    <m/>
    <m/>
    <m/>
    <x v="0"/>
    <x v="0"/>
    <m/>
    <m/>
    <m/>
    <x v="0"/>
    <x v="0"/>
  </r>
  <r>
    <x v="427"/>
    <x v="8"/>
    <x v="8"/>
    <n v="20"/>
    <n v="0.44"/>
    <n v="344"/>
    <n v="6880"/>
    <n v="6772"/>
    <n v="2979.68"/>
    <n v="0.9843023255813953"/>
    <n v="1"/>
    <n v="-1.6E-2"/>
    <s v="240"/>
    <m/>
    <n v="4"/>
    <n v="6768"/>
    <n v="0.99940933254577669"/>
    <m/>
    <m/>
    <m/>
    <m/>
    <x v="0"/>
    <x v="0"/>
    <m/>
    <m/>
    <m/>
    <x v="0"/>
    <x v="0"/>
  </r>
  <r>
    <x v="427"/>
    <x v="9"/>
    <x v="9"/>
    <n v="16"/>
    <n v="6"/>
    <n v="25.7"/>
    <n v="411.2"/>
    <n v="419"/>
    <n v="2514"/>
    <n v="1.0189688715953307"/>
    <n v="1"/>
    <n v="1.9E-2"/>
    <s v="210"/>
    <m/>
    <n v="1"/>
    <n v="418"/>
    <n v="0.99761336515513122"/>
    <m/>
    <m/>
    <m/>
    <m/>
    <x v="0"/>
    <x v="0"/>
    <m/>
    <m/>
    <m/>
    <x v="0"/>
    <x v="0"/>
  </r>
  <r>
    <x v="427"/>
    <x v="125"/>
    <x v="72"/>
    <n v="8"/>
    <n v="6"/>
    <n v="25.6"/>
    <n v="204.8"/>
    <n v="206"/>
    <n v="1236"/>
    <n v="1.005859375"/>
    <e v="#N/A"/>
    <e v="#N/A"/>
    <s v="195"/>
    <m/>
    <n v="1"/>
    <n v="205"/>
    <n v="0.99514563106796117"/>
    <m/>
    <m/>
    <s v=""/>
    <m/>
    <x v="0"/>
    <x v="0"/>
    <m/>
    <m/>
    <m/>
    <x v="0"/>
    <x v="0"/>
  </r>
  <r>
    <x v="427"/>
    <x v="19"/>
    <x v="19"/>
    <n v="12"/>
    <n v="6"/>
    <n v="25.5"/>
    <n v="306"/>
    <n v="306"/>
    <n v="1836"/>
    <n v="1"/>
    <n v="1"/>
    <n v="0"/>
    <s v="195"/>
    <m/>
    <n v="1"/>
    <n v="305"/>
    <n v="0.99673202614379086"/>
    <m/>
    <m/>
    <s v=""/>
    <m/>
    <x v="0"/>
    <x v="0"/>
    <m/>
    <m/>
    <m/>
    <x v="0"/>
    <x v="0"/>
  </r>
  <r>
    <x v="427"/>
    <x v="17"/>
    <x v="17"/>
    <n v="15"/>
    <n v="3"/>
    <n v="29.7"/>
    <n v="445.5"/>
    <n v="452"/>
    <n v="1356"/>
    <n v="1.0145903479236813"/>
    <n v="1"/>
    <n v="1.4999999999999999E-2"/>
    <s v="540"/>
    <m/>
    <n v="0"/>
    <n v="452"/>
    <n v="1"/>
    <m/>
    <m/>
    <m/>
    <m/>
    <x v="0"/>
    <x v="0"/>
    <m/>
    <m/>
    <m/>
    <x v="0"/>
    <x v="0"/>
  </r>
  <r>
    <x v="428"/>
    <x v="36"/>
    <x v="34"/>
    <n v="6"/>
    <n v="6"/>
    <n v="24.3"/>
    <n v="145.80000000000001"/>
    <n v="152"/>
    <n v="912"/>
    <n v="1.0425240054869684"/>
    <n v="1"/>
    <n v="4.2999999999999997E-2"/>
    <s v="174"/>
    <m/>
    <n v="2"/>
    <n v="150"/>
    <n v="0.98684210526315785"/>
    <m/>
    <m/>
    <s v=""/>
    <m/>
    <x v="0"/>
    <x v="0"/>
    <m/>
    <m/>
    <m/>
    <x v="0"/>
    <x v="0"/>
  </r>
  <r>
    <x v="428"/>
    <x v="1"/>
    <x v="1"/>
    <n v="6"/>
    <n v="6"/>
    <n v="25.7"/>
    <n v="154.19999999999999"/>
    <n v="156"/>
    <n v="936"/>
    <n v="1.0116731517509729"/>
    <n v="1"/>
    <n v="1.2E-2"/>
    <s v="130"/>
    <m/>
    <n v="1"/>
    <n v="155"/>
    <n v="0.99358974358974361"/>
    <m/>
    <m/>
    <m/>
    <m/>
    <x v="0"/>
    <x v="0"/>
    <m/>
    <m/>
    <m/>
    <x v="0"/>
    <x v="0"/>
  </r>
  <r>
    <x v="428"/>
    <x v="16"/>
    <x v="16"/>
    <n v="20"/>
    <n v="6"/>
    <n v="26.1"/>
    <n v="522"/>
    <n v="543"/>
    <n v="3258"/>
    <n v="1.0402298850574712"/>
    <n v="1"/>
    <n v="0.04"/>
    <s v="300"/>
    <m/>
    <n v="3"/>
    <n v="540"/>
    <n v="0.99447513812154698"/>
    <m/>
    <m/>
    <s v=""/>
    <m/>
    <x v="0"/>
    <x v="0"/>
    <m/>
    <m/>
    <m/>
    <x v="0"/>
    <x v="0"/>
  </r>
  <r>
    <x v="428"/>
    <x v="46"/>
    <x v="17"/>
    <n v="21"/>
    <n v="3"/>
    <n v="31.6"/>
    <n v="663.6"/>
    <n v="672"/>
    <n v="2016"/>
    <n v="1.0126582278481013"/>
    <n v="1"/>
    <n v="1.2999999999999999E-2"/>
    <s v="540"/>
    <m/>
    <n v="0"/>
    <n v="672"/>
    <n v="1"/>
    <m/>
    <m/>
    <m/>
    <m/>
    <x v="0"/>
    <x v="0"/>
    <m/>
    <m/>
    <m/>
    <x v="0"/>
    <x v="0"/>
  </r>
  <r>
    <x v="428"/>
    <x v="41"/>
    <x v="39"/>
    <n v="60"/>
    <n v="2.8"/>
    <n v="44.2"/>
    <n v="2009.1428571428571"/>
    <n v="2000"/>
    <n v="5600"/>
    <n v="0.99544937428896474"/>
    <n v="1"/>
    <n v="-5.0000000000000001E-3"/>
    <s v="520"/>
    <m/>
    <n v="1"/>
    <n v="1999"/>
    <n v="0.99950000000000006"/>
    <m/>
    <m/>
    <s v="D9921(18kg)*100桶"/>
    <m/>
    <x v="0"/>
    <x v="0"/>
    <m/>
    <m/>
    <m/>
    <x v="0"/>
    <x v="0"/>
  </r>
  <r>
    <x v="429"/>
    <x v="15"/>
    <x v="15"/>
    <n v="32"/>
    <n v="3.2"/>
    <n v="46.8"/>
    <n v="1497.6"/>
    <n v="1526"/>
    <n v="4883.2"/>
    <n v="1.0189636752136753"/>
    <n v="1"/>
    <n v="1.9E-2"/>
    <s v="300"/>
    <m/>
    <n v="1"/>
    <n v="1525"/>
    <n v="0.99934469200524245"/>
    <s v="1141001-02A"/>
    <n v="93"/>
    <s v=""/>
    <m/>
    <x v="0"/>
    <x v="0"/>
    <m/>
    <m/>
    <m/>
    <x v="0"/>
    <x v="0"/>
  </r>
  <r>
    <x v="429"/>
    <x v="27"/>
    <x v="26"/>
    <n v="32"/>
    <n v="3.2"/>
    <n v="47.5"/>
    <n v="1520"/>
    <n v="1493"/>
    <n v="4777.6000000000004"/>
    <n v="0.98223684210526319"/>
    <n v="1"/>
    <n v="-1.7999999999999999E-2"/>
    <s v="240"/>
    <m/>
    <n v="2"/>
    <n v="1491"/>
    <n v="0.99866041527126592"/>
    <m/>
    <m/>
    <s v=""/>
    <m/>
    <x v="0"/>
    <x v="0"/>
    <m/>
    <m/>
    <m/>
    <x v="0"/>
    <x v="0"/>
  </r>
  <r>
    <x v="429"/>
    <x v="115"/>
    <x v="104"/>
    <n v="8"/>
    <n v="4.5"/>
    <n v="37"/>
    <n v="296"/>
    <n v="297"/>
    <n v="1336.5"/>
    <n v="1.0033783783783783"/>
    <n v="1"/>
    <n v="3.0000000000000001E-3"/>
    <s v="215"/>
    <m/>
    <n v="0"/>
    <n v="297"/>
    <n v="1"/>
    <m/>
    <m/>
    <s v=""/>
    <m/>
    <x v="0"/>
    <x v="0"/>
    <m/>
    <m/>
    <m/>
    <x v="0"/>
    <x v="0"/>
  </r>
  <r>
    <x v="429"/>
    <x v="9"/>
    <x v="9"/>
    <n v="24"/>
    <n v="6"/>
    <n v="25.7"/>
    <n v="616.79999999999995"/>
    <n v="621"/>
    <n v="3726"/>
    <n v="1.0068093385214008"/>
    <n v="1"/>
    <n v="7.0000000000000001E-3"/>
    <s v="357"/>
    <m/>
    <n v="1"/>
    <n v="620"/>
    <n v="0.99838969404186795"/>
    <m/>
    <m/>
    <m/>
    <m/>
    <x v="0"/>
    <x v="0"/>
    <m/>
    <m/>
    <m/>
    <x v="0"/>
    <x v="0"/>
  </r>
  <r>
    <x v="429"/>
    <x v="24"/>
    <x v="23"/>
    <n v="8"/>
    <n v="0.34"/>
    <n v="366"/>
    <n v="2928"/>
    <n v="2749"/>
    <n v="934.66000000000008"/>
    <n v="0.93886612021857918"/>
    <n v="1"/>
    <n v="-6.0999999999999999E-2"/>
    <s v="320"/>
    <m/>
    <n v="769"/>
    <n v="1980"/>
    <n v="0.72026191342306289"/>
    <s v="1141117-01A "/>
    <m/>
    <s v="D1521出貨足量1803(製造日期:S14K25)。第1趟產品開罐檢驗，性狀偏軟，未達預期硬度。"/>
    <m/>
    <x v="0"/>
    <x v="0"/>
    <m/>
    <m/>
    <m/>
    <x v="0"/>
    <x v="0"/>
  </r>
  <r>
    <x v="429"/>
    <x v="113"/>
    <x v="102"/>
    <n v="4"/>
    <n v="0.28999999999999998"/>
    <n v="0"/>
    <n v="0"/>
    <n v="1805"/>
    <n v="523.44999999999993"/>
    <s v="無法預估數據"/>
    <n v="1"/>
    <s v="無法預估數據"/>
    <s v="265"/>
    <m/>
    <n v="2"/>
    <n v="1803"/>
    <n v="0.99889196675900283"/>
    <m/>
    <m/>
    <s v="D1521出貨足量1803(製造日期:S14K25)。"/>
    <m/>
    <x v="0"/>
    <x v="0"/>
    <m/>
    <m/>
    <m/>
    <x v="0"/>
    <x v="0"/>
  </r>
  <r>
    <x v="429"/>
    <x v="11"/>
    <x v="11"/>
    <n v="32"/>
    <n v="2.8"/>
    <n v="44.5"/>
    <n v="556.14285714285711"/>
    <n v="580"/>
    <n v="1624"/>
    <n v="1.0428975083483176"/>
    <n v="1"/>
    <n v="4.2999999999999997E-2"/>
    <s v="255"/>
    <m/>
    <n v="1"/>
    <n v="579"/>
    <n v="0.99827586206896557"/>
    <m/>
    <m/>
    <s v="D9920(18kg)*135桶"/>
    <m/>
    <x v="0"/>
    <x v="0"/>
    <m/>
    <m/>
    <m/>
    <x v="0"/>
    <x v="0"/>
  </r>
  <r>
    <x v="430"/>
    <x v="8"/>
    <x v="8"/>
    <n v="40"/>
    <n v="0.44"/>
    <n v="344"/>
    <n v="13760"/>
    <n v="13704"/>
    <n v="6029.76"/>
    <n v="0.99593023255813951"/>
    <n v="1"/>
    <n v="-4.0000000000000001E-3"/>
    <s v="540"/>
    <m/>
    <n v="14"/>
    <n v="13690"/>
    <n v="0.99897840046701691"/>
    <m/>
    <m/>
    <m/>
    <m/>
    <x v="0"/>
    <x v="0"/>
    <m/>
    <m/>
    <m/>
    <x v="0"/>
    <x v="0"/>
  </r>
  <r>
    <x v="430"/>
    <x v="130"/>
    <x v="114"/>
    <n v="8"/>
    <n v="6"/>
    <n v="0"/>
    <n v="0"/>
    <n v="214"/>
    <n v="1284"/>
    <s v="無法預估數據"/>
    <e v="#N/A"/>
    <s v="無法預估數據"/>
    <s v="212"/>
    <m/>
    <n v="2"/>
    <n v="212"/>
    <n v="0.99065420560747663"/>
    <m/>
    <m/>
    <s v=""/>
    <m/>
    <x v="0"/>
    <x v="0"/>
    <m/>
    <m/>
    <m/>
    <x v="0"/>
    <x v="0"/>
  </r>
  <r>
    <x v="430"/>
    <x v="28"/>
    <x v="19"/>
    <n v="32"/>
    <n v="6"/>
    <n v="25.5"/>
    <n v="816"/>
    <n v="824"/>
    <n v="4944"/>
    <n v="1.0098039215686274"/>
    <n v="1"/>
    <n v="0.01"/>
    <s v="400"/>
    <m/>
    <n v="1"/>
    <n v="823"/>
    <n v="0.99878640776699024"/>
    <m/>
    <m/>
    <m/>
    <m/>
    <x v="0"/>
    <x v="0"/>
    <m/>
    <m/>
    <m/>
    <x v="0"/>
    <x v="0"/>
  </r>
  <r>
    <x v="430"/>
    <x v="11"/>
    <x v="11"/>
    <n v="60"/>
    <n v="2.8"/>
    <n v="44.5"/>
    <n v="2370"/>
    <n v="2418"/>
    <n v="6770.4"/>
    <n v="1.0202531645569621"/>
    <n v="1"/>
    <n v="0.02"/>
    <s v="470"/>
    <m/>
    <n v="1"/>
    <n v="2417"/>
    <n v="0.99958643507030609"/>
    <s v="1141029-01A"/>
    <n v="28"/>
    <s v="D2021美芝城*50箱"/>
    <m/>
    <x v="0"/>
    <x v="0"/>
    <m/>
    <m/>
    <m/>
    <x v="0"/>
    <x v="0"/>
  </r>
  <r>
    <x v="430"/>
    <x v="90"/>
    <x v="81"/>
    <n v="1"/>
    <n v="1"/>
    <n v="670"/>
    <n v="670"/>
    <n v="403"/>
    <n v="403"/>
    <n v="0.60149253731343288"/>
    <n v="1"/>
    <n v="-0.39900000000000002"/>
    <s v="0"/>
    <m/>
    <n v="0"/>
    <n v="403"/>
    <n v="1"/>
    <m/>
    <m/>
    <m/>
    <m/>
    <x v="0"/>
    <x v="0"/>
    <m/>
    <m/>
    <m/>
    <x v="0"/>
    <x v="0"/>
  </r>
  <r>
    <x v="430"/>
    <x v="118"/>
    <x v="107"/>
    <n v="1"/>
    <n v="1"/>
    <n v="0"/>
    <n v="0"/>
    <n v="430"/>
    <n v="430"/>
    <s v="無法預估數據"/>
    <e v="#N/A"/>
    <s v="無法預估數據"/>
    <s v="0"/>
    <m/>
    <n v="0"/>
    <n v="430"/>
    <n v="1"/>
    <m/>
    <m/>
    <m/>
    <m/>
    <x v="0"/>
    <x v="0"/>
    <m/>
    <m/>
    <m/>
    <x v="0"/>
    <x v="0"/>
  </r>
  <r>
    <x v="431"/>
    <x v="15"/>
    <x v="15"/>
    <n v="32"/>
    <n v="3.2"/>
    <n v="46.8"/>
    <n v="1497.6"/>
    <n v="1507"/>
    <n v="4822.4000000000005"/>
    <n v="1.0062767094017095"/>
    <n v="1"/>
    <n v="6.0000000000000001E-3"/>
    <s v="300"/>
    <m/>
    <n v="1"/>
    <n v="1506"/>
    <n v="0.99933642999336425"/>
    <s v="1141001-02A"/>
    <n v="133"/>
    <s v=""/>
    <m/>
    <x v="0"/>
    <x v="0"/>
    <m/>
    <m/>
    <m/>
    <x v="0"/>
    <x v="0"/>
  </r>
  <r>
    <x v="431"/>
    <x v="75"/>
    <x v="65"/>
    <n v="3"/>
    <n v="0.19"/>
    <n v="759.3"/>
    <n v="2277.8999999999996"/>
    <n v="2283"/>
    <n v="433.77"/>
    <n v="1.0022389042539182"/>
    <n v="1"/>
    <n v="2E-3"/>
    <s v="240"/>
    <m/>
    <n v="6"/>
    <n v="2277"/>
    <n v="0.99737187910643887"/>
    <m/>
    <m/>
    <s v=""/>
    <m/>
    <x v="0"/>
    <x v="0"/>
    <m/>
    <m/>
    <m/>
    <x v="0"/>
    <x v="0"/>
  </r>
  <r>
    <x v="431"/>
    <x v="10"/>
    <x v="10"/>
    <n v="20"/>
    <n v="6"/>
    <n v="25.4"/>
    <n v="508"/>
    <n v="519"/>
    <n v="3114"/>
    <n v="1.0216535433070866"/>
    <n v="1"/>
    <n v="2.1999999999999999E-2"/>
    <s v="275"/>
    <m/>
    <n v="1"/>
    <n v="518"/>
    <n v="0.9980732177263969"/>
    <m/>
    <m/>
    <m/>
    <m/>
    <x v="0"/>
    <x v="0"/>
    <m/>
    <m/>
    <m/>
    <x v="0"/>
    <x v="0"/>
  </r>
  <r>
    <x v="431"/>
    <x v="140"/>
    <x v="10"/>
    <n v="1"/>
    <n v="6"/>
    <n v="25.4"/>
    <n v="25.4"/>
    <n v="25"/>
    <n v="150"/>
    <n v="0.98425196850393704"/>
    <e v="#N/A"/>
    <e v="#N/A"/>
    <s v="103"/>
    <m/>
    <n v="1"/>
    <n v="24"/>
    <n v="0.96"/>
    <m/>
    <m/>
    <s v="(新品)"/>
    <m/>
    <x v="0"/>
    <x v="0"/>
    <m/>
    <m/>
    <m/>
    <x v="0"/>
    <x v="0"/>
  </r>
  <r>
    <x v="431"/>
    <x v="9"/>
    <x v="9"/>
    <n v="20"/>
    <n v="6"/>
    <n v="25.7"/>
    <n v="514"/>
    <n v="517"/>
    <n v="3102"/>
    <n v="1.0058365758754864"/>
    <n v="1"/>
    <n v="6.0000000000000001E-3"/>
    <s v="270"/>
    <m/>
    <n v="1"/>
    <n v="516"/>
    <n v="0.99806576402321079"/>
    <m/>
    <m/>
    <m/>
    <m/>
    <x v="0"/>
    <x v="0"/>
    <m/>
    <m/>
    <m/>
    <x v="0"/>
    <x v="0"/>
  </r>
  <r>
    <x v="431"/>
    <x v="6"/>
    <x v="6"/>
    <n v="32"/>
    <n v="0.4"/>
    <n v="309.2"/>
    <n v="9894.4"/>
    <n v="9786"/>
    <n v="3914.4"/>
    <n v="0.98904430789133246"/>
    <n v="1"/>
    <n v="-1.0999999999999999E-2"/>
    <s v="500"/>
    <m/>
    <n v="3"/>
    <n v="9783"/>
    <n v="0.99969343960760271"/>
    <m/>
    <m/>
    <s v=""/>
    <m/>
    <x v="0"/>
    <x v="0"/>
    <m/>
    <m/>
    <m/>
    <x v="0"/>
    <x v="0"/>
  </r>
  <r>
    <x v="432"/>
    <x v="18"/>
    <x v="18"/>
    <n v="16"/>
    <n v="6"/>
    <n v="26.4"/>
    <n v="422.4"/>
    <n v="430"/>
    <n v="2580"/>
    <n v="1.0179924242424243"/>
    <n v="1"/>
    <n v="1.7999999999999999E-2"/>
    <s v="230"/>
    <m/>
    <n v="4"/>
    <n v="426"/>
    <n v="0.99069767441860468"/>
    <m/>
    <m/>
    <s v=""/>
    <m/>
    <x v="0"/>
    <x v="0"/>
    <m/>
    <m/>
    <m/>
    <x v="0"/>
    <x v="0"/>
  </r>
  <r>
    <x v="432"/>
    <x v="9"/>
    <x v="9"/>
    <n v="24"/>
    <n v="6"/>
    <n v="25.7"/>
    <n v="616.79999999999995"/>
    <n v="621"/>
    <n v="3726"/>
    <n v="1.0068093385214008"/>
    <n v="1"/>
    <n v="7.0000000000000001E-3"/>
    <s v="340"/>
    <m/>
    <n v="3"/>
    <n v="618"/>
    <n v="0.99516908212560384"/>
    <m/>
    <m/>
    <m/>
    <m/>
    <x v="0"/>
    <x v="0"/>
    <m/>
    <m/>
    <m/>
    <x v="0"/>
    <x v="0"/>
  </r>
  <r>
    <x v="432"/>
    <x v="48"/>
    <x v="17"/>
    <n v="21"/>
    <n v="3"/>
    <n v="30.8"/>
    <n v="646.80000000000007"/>
    <n v="648"/>
    <n v="1944"/>
    <n v="1.0018552875695732"/>
    <n v="1"/>
    <n v="2E-3"/>
    <s v="540"/>
    <m/>
    <n v="0"/>
    <n v="648"/>
    <n v="1"/>
    <m/>
    <m/>
    <s v=""/>
    <m/>
    <x v="0"/>
    <x v="0"/>
    <m/>
    <m/>
    <m/>
    <x v="0"/>
    <x v="0"/>
  </r>
  <r>
    <x v="432"/>
    <x v="11"/>
    <x v="11"/>
    <n v="32"/>
    <n v="2.8"/>
    <n v="44.5"/>
    <n v="1424"/>
    <n v="1485"/>
    <n v="4158"/>
    <n v="1.0428370786516854"/>
    <n v="1"/>
    <n v="4.2999999999999997E-2"/>
    <s v="415"/>
    <m/>
    <n v="2"/>
    <n v="1483"/>
    <n v="0.99865319865319868"/>
    <s v="1141029-01A"/>
    <n v="56"/>
    <s v=""/>
    <m/>
    <x v="0"/>
    <x v="0"/>
    <m/>
    <m/>
    <m/>
    <x v="0"/>
    <x v="0"/>
  </r>
  <r>
    <x v="432"/>
    <x v="78"/>
    <x v="70"/>
    <n v="8"/>
    <n v="0.28999999999999998"/>
    <n v="388"/>
    <n v="3104"/>
    <n v="3346"/>
    <n v="970.33999999999992"/>
    <n v="1.0779639175257731"/>
    <n v="1"/>
    <n v="7.8E-2"/>
    <s v="250"/>
    <m/>
    <n v="5"/>
    <n v="3341"/>
    <n v="0.99850567842199645"/>
    <m/>
    <m/>
    <m/>
    <m/>
    <x v="0"/>
    <x v="0"/>
    <m/>
    <m/>
    <m/>
    <x v="0"/>
    <x v="0"/>
  </r>
  <r>
    <x v="432"/>
    <x v="102"/>
    <x v="92"/>
    <n v="1"/>
    <n v="1"/>
    <n v="142"/>
    <n v="142"/>
    <n v="152"/>
    <n v="152"/>
    <n v="1.0704225352112675"/>
    <n v="1"/>
    <n v="7.0000000000000007E-2"/>
    <s v="0"/>
    <m/>
    <n v="0"/>
    <n v="152"/>
    <n v="1"/>
    <m/>
    <m/>
    <s v=""/>
    <m/>
    <x v="0"/>
    <x v="0"/>
    <m/>
    <m/>
    <m/>
    <x v="0"/>
    <x v="0"/>
  </r>
  <r>
    <x v="433"/>
    <x v="49"/>
    <x v="43"/>
    <n v="15"/>
    <n v="0.43"/>
    <n v="364"/>
    <n v="5460"/>
    <n v="5563"/>
    <n v="2392.09"/>
    <n v="1.0188644688644688"/>
    <n v="1"/>
    <n v="1.9E-2"/>
    <s v="300"/>
    <m/>
    <n v="4"/>
    <n v="5559"/>
    <n v="0.99928096350889806"/>
    <m/>
    <m/>
    <m/>
    <m/>
    <x v="0"/>
    <x v="0"/>
    <m/>
    <m/>
    <m/>
    <x v="0"/>
    <x v="0"/>
  </r>
  <r>
    <x v="433"/>
    <x v="43"/>
    <x v="41"/>
    <n v="16"/>
    <n v="0.26"/>
    <n v="584.29999999999995"/>
    <n v="9348.7999999999993"/>
    <n v="9453"/>
    <n v="2457.7800000000002"/>
    <n v="1.0111458155057333"/>
    <n v="1"/>
    <n v="1.0999999999999999E-2"/>
    <s v="270"/>
    <m/>
    <n v="25"/>
    <n v="9428"/>
    <n v="0.99735533693007505"/>
    <m/>
    <m/>
    <m/>
    <m/>
    <x v="0"/>
    <x v="0"/>
    <m/>
    <m/>
    <m/>
    <x v="0"/>
    <x v="0"/>
  </r>
  <r>
    <x v="433"/>
    <x v="122"/>
    <x v="111"/>
    <n v="16"/>
    <n v="6"/>
    <n v="0"/>
    <n v="0"/>
    <n v="401"/>
    <n v="2406"/>
    <s v="無法預估數據"/>
    <e v="#N/A"/>
    <s v="無法預估數據"/>
    <s v="217"/>
    <m/>
    <n v="2"/>
    <n v="399"/>
    <n v="0.99501246882793015"/>
    <m/>
    <m/>
    <s v=""/>
    <m/>
    <x v="0"/>
    <x v="0"/>
    <m/>
    <m/>
    <m/>
    <x v="0"/>
    <x v="0"/>
  </r>
  <r>
    <x v="433"/>
    <x v="9"/>
    <x v="9"/>
    <n v="16"/>
    <n v="6"/>
    <n v="25.7"/>
    <n v="411.2"/>
    <n v="411"/>
    <n v="2466"/>
    <n v="0.9995136186770428"/>
    <n v="1"/>
    <n v="0"/>
    <s v="210"/>
    <m/>
    <n v="1"/>
    <n v="410"/>
    <n v="0.9975669099756691"/>
    <m/>
    <m/>
    <m/>
    <m/>
    <x v="0"/>
    <x v="0"/>
    <m/>
    <m/>
    <m/>
    <x v="0"/>
    <x v="0"/>
  </r>
  <r>
    <x v="433"/>
    <x v="62"/>
    <x v="10"/>
    <n v="6"/>
    <n v="6"/>
    <n v="25.5"/>
    <n v="153"/>
    <n v="154"/>
    <n v="924"/>
    <n v="1.0065359477124183"/>
    <n v="1"/>
    <n v="7.0000000000000001E-3"/>
    <s v="160"/>
    <m/>
    <n v="1"/>
    <n v="153"/>
    <n v="0.99350649350649356"/>
    <m/>
    <m/>
    <s v=""/>
    <m/>
    <x v="0"/>
    <x v="0"/>
    <m/>
    <m/>
    <m/>
    <x v="0"/>
    <x v="0"/>
  </r>
  <r>
    <x v="433"/>
    <x v="41"/>
    <x v="39"/>
    <n v="60"/>
    <n v="2.8"/>
    <n v="44.2"/>
    <n v="2652"/>
    <n v="2639"/>
    <n v="7389.2"/>
    <n v="0.99509803921568629"/>
    <n v="1"/>
    <n v="-5.0000000000000001E-3"/>
    <s v="475"/>
    <m/>
    <n v="5"/>
    <n v="2634"/>
    <n v="0.99810534293292918"/>
    <m/>
    <m/>
    <s v=""/>
    <m/>
    <x v="0"/>
    <x v="0"/>
    <m/>
    <m/>
    <m/>
    <x v="0"/>
    <x v="0"/>
  </r>
  <r>
    <x v="434"/>
    <x v="2"/>
    <x v="2"/>
    <n v="30"/>
    <n v="6"/>
    <n v="26.6"/>
    <n v="798"/>
    <n v="792"/>
    <n v="4752"/>
    <n v="0.99248120300751874"/>
    <n v="1"/>
    <n v="-8.0000000000000002E-3"/>
    <s v="442"/>
    <m/>
    <n v="2"/>
    <n v="790"/>
    <n v="0.99747474747474751"/>
    <m/>
    <m/>
    <s v=""/>
    <m/>
    <x v="0"/>
    <x v="0"/>
    <m/>
    <m/>
    <m/>
    <x v="0"/>
    <x v="0"/>
  </r>
  <r>
    <x v="434"/>
    <x v="129"/>
    <x v="113"/>
    <n v="6"/>
    <n v="6"/>
    <n v="0"/>
    <n v="0"/>
    <n v="149"/>
    <n v="894"/>
    <s v="無法預估數據"/>
    <e v="#N/A"/>
    <s v="無法預估數據"/>
    <s v="170"/>
    <m/>
    <n v="1"/>
    <n v="148"/>
    <n v="0.99328859060402686"/>
    <m/>
    <m/>
    <s v=""/>
    <m/>
    <x v="0"/>
    <x v="0"/>
    <m/>
    <m/>
    <m/>
    <x v="0"/>
    <x v="0"/>
  </r>
  <r>
    <x v="434"/>
    <x v="3"/>
    <x v="3"/>
    <n v="20"/>
    <n v="4.5"/>
    <n v="36.299999999999997"/>
    <n v="726"/>
    <n v="727"/>
    <n v="3271.5"/>
    <n v="1.0013774104683195"/>
    <n v="1"/>
    <n v="1E-3"/>
    <s v="315"/>
    <m/>
    <n v="0"/>
    <n v="727"/>
    <n v="1"/>
    <m/>
    <m/>
    <m/>
    <m/>
    <x v="0"/>
    <x v="0"/>
    <m/>
    <m/>
    <m/>
    <x v="0"/>
    <x v="0"/>
  </r>
  <r>
    <x v="434"/>
    <x v="52"/>
    <x v="46"/>
    <n v="12"/>
    <n v="4.5"/>
    <n v="35.6"/>
    <n v="427.20000000000005"/>
    <n v="425"/>
    <n v="1912.5"/>
    <n v="0.99485018726591745"/>
    <n v="1"/>
    <n v="-5.0000000000000001E-3"/>
    <s v="195"/>
    <m/>
    <n v="0"/>
    <n v="425"/>
    <n v="1"/>
    <m/>
    <m/>
    <s v=""/>
    <m/>
    <x v="0"/>
    <x v="0"/>
    <m/>
    <m/>
    <m/>
    <x v="0"/>
    <x v="0"/>
  </r>
  <r>
    <x v="434"/>
    <x v="115"/>
    <x v="104"/>
    <n v="6"/>
    <n v="4.5"/>
    <n v="37"/>
    <n v="222"/>
    <n v="223"/>
    <n v="1003.5"/>
    <n v="1.0045045045045045"/>
    <n v="1"/>
    <n v="5.0000000000000001E-3"/>
    <s v="120"/>
    <m/>
    <n v="0"/>
    <n v="223"/>
    <n v="1"/>
    <m/>
    <m/>
    <s v=""/>
    <m/>
    <x v="0"/>
    <x v="0"/>
    <m/>
    <m/>
    <m/>
    <x v="0"/>
    <x v="0"/>
  </r>
  <r>
    <x v="434"/>
    <x v="23"/>
    <x v="22"/>
    <n v="36"/>
    <n v="0.34"/>
    <n v="364.6"/>
    <n v="13125.6"/>
    <n v="12943"/>
    <n v="4400.62"/>
    <n v="0.98608825501310415"/>
    <n v="1"/>
    <n v="-1.4E-2"/>
    <s v="550"/>
    <m/>
    <n v="5"/>
    <n v="12938"/>
    <n v="0.9996136907981148"/>
    <m/>
    <m/>
    <m/>
    <m/>
    <x v="0"/>
    <x v="0"/>
    <m/>
    <m/>
    <m/>
    <x v="0"/>
    <x v="0"/>
  </r>
  <r>
    <x v="435"/>
    <x v="30"/>
    <x v="28"/>
    <n v="20"/>
    <n v="0.43"/>
    <n v="340.4"/>
    <n v="6808"/>
    <n v="6916"/>
    <n v="2973.88"/>
    <n v="1.0158636897767332"/>
    <n v="1"/>
    <n v="1.6E-2"/>
    <s v="393"/>
    <m/>
    <n v="16"/>
    <n v="6900"/>
    <n v="0.9976865240023135"/>
    <m/>
    <m/>
    <s v="麥味登*180箱。"/>
    <m/>
    <x v="0"/>
    <x v="0"/>
    <m/>
    <m/>
    <m/>
    <x v="0"/>
    <x v="0"/>
  </r>
  <r>
    <x v="435"/>
    <x v="71"/>
    <x v="61"/>
    <n v="4"/>
    <n v="0.17"/>
    <n v="912.6"/>
    <n v="3650.4"/>
    <n v="3454"/>
    <n v="587.18000000000006"/>
    <n v="0.94619767696690771"/>
    <n v="1"/>
    <n v="-5.3999999999999999E-2"/>
    <s v="210"/>
    <m/>
    <n v="4"/>
    <n v="3450"/>
    <n v="0.99884192240880143"/>
    <m/>
    <m/>
    <m/>
    <m/>
    <x v="0"/>
    <x v="0"/>
    <m/>
    <m/>
    <m/>
    <x v="0"/>
    <x v="0"/>
  </r>
  <r>
    <x v="435"/>
    <x v="9"/>
    <x v="9"/>
    <n v="24"/>
    <n v="6"/>
    <n v="25.7"/>
    <n v="616.79999999999995"/>
    <n v="625"/>
    <n v="3750"/>
    <n v="1.0132944228274969"/>
    <n v="1"/>
    <n v="1.2999999999999999E-2"/>
    <s v="268"/>
    <m/>
    <n v="2"/>
    <n v="623"/>
    <n v="0.99680000000000002"/>
    <m/>
    <m/>
    <m/>
    <m/>
    <x v="0"/>
    <x v="0"/>
    <m/>
    <m/>
    <m/>
    <x v="0"/>
    <x v="0"/>
  </r>
  <r>
    <x v="435"/>
    <x v="58"/>
    <x v="51"/>
    <n v="8"/>
    <n v="6"/>
    <n v="25.7"/>
    <n v="205.6"/>
    <n v="208"/>
    <n v="1248"/>
    <n v="1.0116731517509727"/>
    <n v="1"/>
    <n v="1.2E-2"/>
    <s v="129"/>
    <m/>
    <n v="2"/>
    <n v="206"/>
    <n v="0.99038461538461542"/>
    <m/>
    <m/>
    <s v=""/>
    <m/>
    <x v="0"/>
    <x v="0"/>
    <m/>
    <m/>
    <m/>
    <x v="0"/>
    <x v="0"/>
  </r>
  <r>
    <x v="435"/>
    <x v="125"/>
    <x v="72"/>
    <n v="6"/>
    <n v="6"/>
    <n v="25.6"/>
    <n v="153.60000000000002"/>
    <n v="154"/>
    <n v="924"/>
    <n v="1.0026041666666665"/>
    <e v="#N/A"/>
    <e v="#N/A"/>
    <s v="150"/>
    <m/>
    <n v="1"/>
    <n v="153"/>
    <n v="0.99350649350649356"/>
    <m/>
    <m/>
    <s v=""/>
    <m/>
    <x v="0"/>
    <x v="0"/>
    <m/>
    <m/>
    <m/>
    <x v="0"/>
    <x v="0"/>
  </r>
  <r>
    <x v="435"/>
    <x v="19"/>
    <x v="19"/>
    <n v="0.5"/>
    <n v="6"/>
    <n v="25.5"/>
    <n v="12.75"/>
    <n v="9"/>
    <n v="54"/>
    <n v="0.70588235294117652"/>
    <n v="1"/>
    <n v="-0.29399999999999998"/>
    <s v="61"/>
    <m/>
    <n v="0"/>
    <n v="9"/>
    <n v="1"/>
    <m/>
    <m/>
    <s v="(研發測試)"/>
    <m/>
    <x v="0"/>
    <x v="0"/>
    <m/>
    <m/>
    <m/>
    <x v="0"/>
    <x v="0"/>
  </r>
  <r>
    <x v="435"/>
    <x v="11"/>
    <x v="11"/>
    <n v="64"/>
    <n v="2.8"/>
    <n v="44.5"/>
    <n v="2494.4285714285716"/>
    <n v="2542"/>
    <n v="7117.5999999999995"/>
    <n v="1.01907107267625"/>
    <n v="1"/>
    <n v="1.9E-2"/>
    <s v="500"/>
    <m/>
    <n v="6"/>
    <n v="2536"/>
    <n v="0.99763965381589303"/>
    <s v="1141029-01A"/>
    <n v="112"/>
    <s v="D2021美芝城*100箱，D9920(18kg)*55桶"/>
    <m/>
    <x v="0"/>
    <x v="0"/>
    <m/>
    <m/>
    <m/>
    <x v="0"/>
    <x v="0"/>
  </r>
  <r>
    <x v="435"/>
    <x v="94"/>
    <x v="85"/>
    <n v="1"/>
    <n v="1"/>
    <n v="591"/>
    <n v="591"/>
    <n v="488"/>
    <n v="488"/>
    <n v="0.82571912013536375"/>
    <n v="1"/>
    <n v="-0.17399999999999999"/>
    <s v="0"/>
    <m/>
    <n v="0"/>
    <n v="488"/>
    <n v="1"/>
    <m/>
    <m/>
    <s v="(新)"/>
    <m/>
    <x v="0"/>
    <x v="0"/>
    <m/>
    <m/>
    <m/>
    <x v="0"/>
    <x v="0"/>
  </r>
  <r>
    <x v="436"/>
    <x v="15"/>
    <x v="15"/>
    <n v="68"/>
    <n v="3.2"/>
    <n v="46.8"/>
    <n v="3182.3999999999996"/>
    <n v="3245"/>
    <n v="10384"/>
    <n v="1.019670688788336"/>
    <n v="1"/>
    <n v="0.02"/>
    <s v="570"/>
    <m/>
    <n v="5"/>
    <n v="3240"/>
    <n v="0.99845916795069334"/>
    <s v="1141001-02A"/>
    <n v="306"/>
    <m/>
    <m/>
    <x v="0"/>
    <x v="0"/>
    <m/>
    <m/>
    <m/>
    <x v="0"/>
    <x v="0"/>
  </r>
  <r>
    <x v="436"/>
    <x v="10"/>
    <x v="10"/>
    <n v="24"/>
    <n v="6"/>
    <n v="25.4"/>
    <n v="609.59999999999991"/>
    <n v="614"/>
    <n v="3684"/>
    <n v="1.007217847769029"/>
    <n v="1"/>
    <n v="7.0000000000000001E-3"/>
    <s v="330"/>
    <m/>
    <n v="2"/>
    <n v="612"/>
    <n v="0.99674267100977199"/>
    <m/>
    <m/>
    <m/>
    <m/>
    <x v="0"/>
    <x v="0"/>
    <m/>
    <m/>
    <m/>
    <x v="0"/>
    <x v="0"/>
  </r>
  <r>
    <x v="436"/>
    <x v="45"/>
    <x v="10"/>
    <n v="16"/>
    <n v="6"/>
    <n v="26.4"/>
    <n v="422.4"/>
    <n v="425"/>
    <n v="2550"/>
    <n v="1.006155303030303"/>
    <n v="1"/>
    <n v="6.0000000000000001E-3"/>
    <s v="210"/>
    <m/>
    <n v="2"/>
    <n v="423"/>
    <n v="0.99529411764705877"/>
    <m/>
    <m/>
    <m/>
    <m/>
    <x v="0"/>
    <x v="0"/>
    <m/>
    <m/>
    <m/>
    <x v="0"/>
    <x v="0"/>
  </r>
  <r>
    <x v="436"/>
    <x v="34"/>
    <x v="32"/>
    <n v="15.44"/>
    <n v="0.34"/>
    <n v="358.3"/>
    <n v="5532.152"/>
    <n v="5425"/>
    <n v="1844.5000000000002"/>
    <n v="0.98063104556780079"/>
    <n v="1"/>
    <n v="-1.9E-2"/>
    <s v="220"/>
    <m/>
    <n v="3"/>
    <n v="5422"/>
    <n v="0.99944700460829494"/>
    <m/>
    <m/>
    <s v="E0120佳樂美*200箱+味榮D1520(290g)出貨足量241瓶(製造日期:S25K25)。"/>
    <m/>
    <x v="0"/>
    <x v="0"/>
    <m/>
    <m/>
    <m/>
    <x v="0"/>
    <x v="0"/>
  </r>
  <r>
    <x v="436"/>
    <x v="112"/>
    <x v="55"/>
    <n v="0.56000000000000005"/>
    <n v="0.28999999999999998"/>
    <n v="0"/>
    <n v="0"/>
    <n v="244"/>
    <n v="70.759999999999991"/>
    <s v="無法預估數據"/>
    <n v="1"/>
    <s v="無法預估數據"/>
    <s v="110"/>
    <m/>
    <n v="3"/>
    <n v="241"/>
    <n v="0.98770491803278693"/>
    <m/>
    <m/>
    <s v="E0120佳樂美*200箱+味榮D1520(290g)出貨足量241瓶(製造日期:S25K25)。"/>
    <m/>
    <x v="0"/>
    <x v="0"/>
    <m/>
    <m/>
    <m/>
    <x v="0"/>
    <x v="0"/>
  </r>
  <r>
    <x v="436"/>
    <x v="12"/>
    <x v="12"/>
    <n v="20"/>
    <n v="0.8"/>
    <n v="157.69999999999999"/>
    <n v="3154"/>
    <n v="3271"/>
    <n v="2616.8000000000002"/>
    <n v="1.0370957514267596"/>
    <n v="1"/>
    <n v="3.6999999999999998E-2"/>
    <s v="380"/>
    <m/>
    <n v="2"/>
    <n v="3269"/>
    <n v="0.99938856618771021"/>
    <s v="1141029-01A"/>
    <n v="35"/>
    <m/>
    <m/>
    <x v="0"/>
    <x v="0"/>
    <m/>
    <m/>
    <m/>
    <x v="0"/>
    <x v="0"/>
  </r>
  <r>
    <x v="437"/>
    <x v="13"/>
    <x v="13"/>
    <n v="20"/>
    <n v="0.9"/>
    <n v="160.5"/>
    <n v="3210"/>
    <n v="3309"/>
    <n v="2978.1"/>
    <n v="1.030841121495327"/>
    <n v="1"/>
    <n v="3.1E-2"/>
    <s v="300"/>
    <m/>
    <n v="3"/>
    <n v="3306"/>
    <n v="0.99909338168631001"/>
    <s v="1141001-02A"/>
    <n v="90"/>
    <m/>
    <m/>
    <x v="0"/>
    <x v="0"/>
    <m/>
    <m/>
    <m/>
    <x v="0"/>
    <x v="0"/>
  </r>
  <r>
    <x v="437"/>
    <x v="0"/>
    <x v="0"/>
    <n v="12"/>
    <n v="6"/>
    <n v="25.5"/>
    <n v="306"/>
    <n v="298"/>
    <n v="1788"/>
    <n v="0.97385620915032678"/>
    <n v="1"/>
    <n v="-2.5999999999999999E-2"/>
    <s v="200"/>
    <m/>
    <n v="1"/>
    <n v="297"/>
    <n v="0.99664429530201337"/>
    <m/>
    <m/>
    <s v=""/>
    <m/>
    <x v="0"/>
    <x v="0"/>
    <m/>
    <m/>
    <m/>
    <x v="0"/>
    <x v="0"/>
  </r>
  <r>
    <x v="437"/>
    <x v="36"/>
    <x v="34"/>
    <n v="6"/>
    <n v="6"/>
    <n v="24.3"/>
    <n v="145.80000000000001"/>
    <n v="149"/>
    <n v="894"/>
    <n v="1.0219478737997256"/>
    <n v="1"/>
    <n v="2.1999999999999999E-2"/>
    <s v="120"/>
    <n v="2"/>
    <n v="147"/>
    <n v="0"/>
    <n v="0"/>
    <s v="1141208-01A "/>
    <m/>
    <s v="包裝班於2025.11.28上午08:15通報，2025.12.11客戶要求不得有果皮，因此本批產品決定不出貨。異常數量147包(882公斤)依重工製程規範進入後續生產流程"/>
    <m/>
    <x v="0"/>
    <x v="0"/>
    <m/>
    <m/>
    <m/>
    <x v="0"/>
    <x v="0"/>
  </r>
  <r>
    <x v="437"/>
    <x v="3"/>
    <x v="3"/>
    <n v="12"/>
    <n v="4.5"/>
    <n v="36.299999999999997"/>
    <n v="435.59999999999997"/>
    <n v="439"/>
    <n v="1975.5"/>
    <n v="1.0078053259871442"/>
    <n v="1"/>
    <n v="8.0000000000000002E-3"/>
    <s v="225"/>
    <m/>
    <n v="0"/>
    <n v="439"/>
    <n v="1"/>
    <m/>
    <m/>
    <m/>
    <m/>
    <x v="0"/>
    <x v="0"/>
    <m/>
    <m/>
    <m/>
    <x v="0"/>
    <x v="0"/>
  </r>
  <r>
    <x v="437"/>
    <x v="50"/>
    <x v="44"/>
    <n v="12"/>
    <n v="4.5"/>
    <n v="36.799999999999997"/>
    <n v="441.59999999999997"/>
    <n v="450"/>
    <n v="2025"/>
    <n v="1.0190217391304348"/>
    <n v="1"/>
    <n v="1.9E-2"/>
    <s v="240"/>
    <m/>
    <n v="0"/>
    <n v="450"/>
    <n v="1"/>
    <m/>
    <m/>
    <s v=""/>
    <m/>
    <x v="0"/>
    <x v="0"/>
    <m/>
    <m/>
    <m/>
    <x v="0"/>
    <x v="0"/>
  </r>
  <r>
    <x v="437"/>
    <x v="59"/>
    <x v="52"/>
    <n v="12"/>
    <n v="4.5"/>
    <n v="34.9"/>
    <n v="418.79999999999995"/>
    <n v="425"/>
    <n v="1912.5"/>
    <n v="1.0148042024832857"/>
    <n v="1"/>
    <n v="1.4999999999999999E-2"/>
    <s v="220"/>
    <m/>
    <n v="0"/>
    <n v="425"/>
    <n v="1"/>
    <m/>
    <m/>
    <s v=""/>
    <m/>
    <x v="0"/>
    <x v="0"/>
    <m/>
    <m/>
    <m/>
    <x v="0"/>
    <x v="0"/>
  </r>
  <r>
    <x v="437"/>
    <x v="24"/>
    <x v="23"/>
    <n v="8"/>
    <n v="0.34"/>
    <n v="366"/>
    <n v="2928"/>
    <n v="2817"/>
    <n v="957.78000000000009"/>
    <n v="0.96209016393442626"/>
    <n v="1"/>
    <n v="-3.7999999999999999E-2"/>
    <s v="190"/>
    <m/>
    <n v="4"/>
    <n v="2813"/>
    <n v="0.99858004969826053"/>
    <m/>
    <m/>
    <s v="E0121佳樂美*200箱"/>
    <m/>
    <x v="0"/>
    <x v="0"/>
    <m/>
    <m/>
    <m/>
    <x v="0"/>
    <x v="0"/>
  </r>
  <r>
    <x v="437"/>
    <x v="41"/>
    <x v="39"/>
    <n v="48"/>
    <n v="2.8"/>
    <n v="44.2"/>
    <n v="2121.6000000000004"/>
    <n v="2112"/>
    <n v="5913.5999999999995"/>
    <n v="0.99547511312217174"/>
    <n v="1"/>
    <n v="-5.0000000000000001E-3"/>
    <s v="470"/>
    <m/>
    <n v="1"/>
    <n v="2111"/>
    <n v="0.99952651515151514"/>
    <m/>
    <m/>
    <s v=""/>
    <m/>
    <x v="0"/>
    <x v="0"/>
    <m/>
    <m/>
    <m/>
    <x v="0"/>
    <x v="0"/>
  </r>
  <r>
    <x v="438"/>
    <x v="15"/>
    <x v="15"/>
    <n v="68"/>
    <n v="3.2"/>
    <n v="46.8"/>
    <n v="3182.3999999999996"/>
    <n v="3286"/>
    <n v="10515.2"/>
    <n v="1.0325540472599297"/>
    <n v="1"/>
    <n v="3.3000000000000002E-2"/>
    <s v="540"/>
    <m/>
    <n v="3"/>
    <n v="3283"/>
    <n v="0.99908703590992087"/>
    <s v="1141001-02A"/>
    <n v="306"/>
    <m/>
    <m/>
    <x v="0"/>
    <x v="0"/>
    <m/>
    <m/>
    <m/>
    <x v="0"/>
    <x v="0"/>
  </r>
  <r>
    <x v="438"/>
    <x v="9"/>
    <x v="9"/>
    <n v="24"/>
    <n v="6"/>
    <n v="25.7"/>
    <n v="616.79999999999995"/>
    <n v="626"/>
    <n v="3756"/>
    <n v="1.0149156939040209"/>
    <n v="1"/>
    <n v="1.4999999999999999E-2"/>
    <s v="291"/>
    <m/>
    <n v="1"/>
    <n v="625"/>
    <n v="0.99840255591054317"/>
    <m/>
    <m/>
    <m/>
    <m/>
    <x v="0"/>
    <x v="0"/>
    <m/>
    <m/>
    <m/>
    <x v="0"/>
    <x v="0"/>
  </r>
  <r>
    <x v="438"/>
    <x v="51"/>
    <x v="45"/>
    <n v="8"/>
    <n v="9.08"/>
    <n v="17.8"/>
    <n v="142.4"/>
    <n v="142"/>
    <n v="1289.3599999999999"/>
    <n v="0.99719101123595499"/>
    <n v="1"/>
    <n v="-3.0000000000000001E-3"/>
    <s v="170"/>
    <m/>
    <n v="0"/>
    <n v="142"/>
    <n v="1"/>
    <m/>
    <m/>
    <s v=""/>
    <m/>
    <x v="0"/>
    <x v="0"/>
    <m/>
    <m/>
    <m/>
    <x v="0"/>
    <x v="0"/>
  </r>
  <r>
    <x v="438"/>
    <x v="20"/>
    <x v="20"/>
    <n v="8"/>
    <n v="6"/>
    <n v="25"/>
    <n v="200"/>
    <n v="201"/>
    <n v="1206"/>
    <n v="1.0049999999999999"/>
    <n v="1"/>
    <n v="5.0000000000000001E-3"/>
    <s v="135"/>
    <m/>
    <n v="1"/>
    <n v="200"/>
    <n v="0.99502487562189057"/>
    <m/>
    <m/>
    <s v=""/>
    <m/>
    <x v="0"/>
    <x v="0"/>
    <m/>
    <m/>
    <m/>
    <x v="0"/>
    <x v="0"/>
  </r>
  <r>
    <x v="438"/>
    <x v="17"/>
    <x v="17"/>
    <n v="21"/>
    <n v="3"/>
    <n v="29.7"/>
    <n v="623.69999999999993"/>
    <n v="632"/>
    <n v="1896"/>
    <n v="1.0133076799743468"/>
    <n v="1"/>
    <n v="1.2999999999999999E-2"/>
    <s v="540"/>
    <m/>
    <n v="0"/>
    <n v="632"/>
    <n v="1"/>
    <m/>
    <m/>
    <m/>
    <m/>
    <x v="0"/>
    <x v="0"/>
    <m/>
    <m/>
    <m/>
    <x v="0"/>
    <x v="0"/>
  </r>
  <r>
    <x v="438"/>
    <x v="97"/>
    <x v="88"/>
    <n v="50"/>
    <n v="1"/>
    <n v="6"/>
    <n v="300"/>
    <n v="305"/>
    <n v="305"/>
    <n v="1.0166666666666666"/>
    <n v="1"/>
    <n v="1.7000000000000001E-2"/>
    <s v="0"/>
    <m/>
    <n v="0"/>
    <n v="305"/>
    <n v="1"/>
    <m/>
    <m/>
    <m/>
    <m/>
    <x v="0"/>
    <x v="0"/>
    <m/>
    <m/>
    <m/>
    <x v="0"/>
    <x v="0"/>
  </r>
  <r>
    <x v="439"/>
    <x v="43"/>
    <x v="41"/>
    <n v="16"/>
    <n v="0.26"/>
    <n v="584.29999999999995"/>
    <n v="9348.7999999999993"/>
    <n v="9408"/>
    <n v="2446.08"/>
    <n v="1.0063323635118946"/>
    <n v="1"/>
    <n v="6.0000000000000001E-3"/>
    <s v="300"/>
    <m/>
    <n v="28"/>
    <n v="9380"/>
    <n v="0.99702380952380953"/>
    <m/>
    <m/>
    <m/>
    <m/>
    <x v="0"/>
    <x v="0"/>
    <m/>
    <m/>
    <m/>
    <x v="0"/>
    <x v="0"/>
  </r>
  <r>
    <x v="439"/>
    <x v="8"/>
    <x v="8"/>
    <n v="20"/>
    <n v="0.44"/>
    <n v="344"/>
    <n v="6880"/>
    <n v="6796"/>
    <n v="2990.2400000000002"/>
    <n v="0.98779069767441863"/>
    <n v="1"/>
    <n v="-1.2E-2"/>
    <s v="300"/>
    <m/>
    <n v="6"/>
    <n v="6790"/>
    <n v="0.99911712772218952"/>
    <m/>
    <m/>
    <m/>
    <m/>
    <x v="0"/>
    <x v="0"/>
    <m/>
    <m/>
    <m/>
    <x v="0"/>
    <x v="0"/>
  </r>
  <r>
    <x v="439"/>
    <x v="9"/>
    <x v="9"/>
    <n v="24"/>
    <n v="6"/>
    <n v="25.7"/>
    <n v="616.79999999999995"/>
    <n v="625"/>
    <n v="3750"/>
    <n v="1.0132944228274969"/>
    <n v="1"/>
    <n v="1.2999999999999999E-2"/>
    <s v="324"/>
    <m/>
    <n v="1"/>
    <n v="624"/>
    <n v="0.99839999999999995"/>
    <m/>
    <m/>
    <m/>
    <m/>
    <x v="0"/>
    <x v="0"/>
    <m/>
    <m/>
    <m/>
    <x v="0"/>
    <x v="0"/>
  </r>
  <r>
    <x v="439"/>
    <x v="16"/>
    <x v="16"/>
    <n v="16"/>
    <n v="6"/>
    <n v="26.1"/>
    <n v="417.6"/>
    <n v="423"/>
    <n v="2538"/>
    <n v="1.0129310344827587"/>
    <n v="1"/>
    <n v="1.2999999999999999E-2"/>
    <s v="215"/>
    <m/>
    <n v="4"/>
    <n v="419"/>
    <n v="0.99054373522458627"/>
    <m/>
    <m/>
    <s v=""/>
    <m/>
    <x v="0"/>
    <x v="0"/>
    <m/>
    <m/>
    <m/>
    <x v="0"/>
    <x v="0"/>
  </r>
  <r>
    <x v="439"/>
    <x v="11"/>
    <x v="11"/>
    <n v="60"/>
    <n v="2.8"/>
    <n v="44.5"/>
    <n v="2670"/>
    <n v="2718"/>
    <n v="7610.4"/>
    <n v="1.0179775280898877"/>
    <n v="1"/>
    <n v="1.7999999999999999E-2"/>
    <s v="480"/>
    <m/>
    <n v="1"/>
    <n v="2717"/>
    <n v="0.9996320824135394"/>
    <s v="1141029-01A"/>
    <n v="49"/>
    <m/>
    <m/>
    <x v="0"/>
    <x v="0"/>
    <m/>
    <m/>
    <m/>
    <x v="0"/>
    <x v="0"/>
  </r>
  <r>
    <x v="440"/>
    <x v="125"/>
    <x v="72"/>
    <n v="8"/>
    <n v="6"/>
    <n v="25.6"/>
    <n v="204.8"/>
    <n v="206"/>
    <n v="1236"/>
    <n v="1.005859375"/>
    <e v="#N/A"/>
    <e v="#N/A"/>
    <s v="180"/>
    <m/>
    <n v="1"/>
    <n v="205"/>
    <n v="0.99514563106796117"/>
    <m/>
    <m/>
    <m/>
    <m/>
    <x v="0"/>
    <x v="0"/>
    <m/>
    <m/>
    <m/>
    <x v="0"/>
    <x v="0"/>
  </r>
  <r>
    <x v="440"/>
    <x v="9"/>
    <x v="9"/>
    <n v="16"/>
    <n v="6"/>
    <n v="25.7"/>
    <n v="411.2"/>
    <n v="412"/>
    <n v="2472"/>
    <n v="1.0019455252918288"/>
    <n v="1"/>
    <n v="2E-3"/>
    <s v="270"/>
    <m/>
    <n v="1"/>
    <n v="411"/>
    <n v="0.99757281553398058"/>
    <m/>
    <m/>
    <m/>
    <m/>
    <x v="0"/>
    <x v="0"/>
    <m/>
    <m/>
    <m/>
    <x v="0"/>
    <x v="0"/>
  </r>
  <r>
    <x v="440"/>
    <x v="130"/>
    <x v="114"/>
    <n v="18"/>
    <n v="6"/>
    <n v="0"/>
    <n v="0"/>
    <n v="474"/>
    <n v="2844"/>
    <s v="無法預估數據"/>
    <e v="#N/A"/>
    <s v="無法預估數據"/>
    <s v="265"/>
    <m/>
    <n v="4"/>
    <n v="470"/>
    <n v="0.99156118143459915"/>
    <m/>
    <m/>
    <s v=""/>
    <m/>
    <x v="0"/>
    <x v="0"/>
    <m/>
    <m/>
    <m/>
    <x v="0"/>
    <x v="0"/>
  </r>
  <r>
    <x v="440"/>
    <x v="46"/>
    <x v="17"/>
    <n v="21"/>
    <n v="3"/>
    <n v="31.6"/>
    <n v="663.6"/>
    <n v="668"/>
    <n v="2004"/>
    <n v="1.0066305003013862"/>
    <n v="1"/>
    <n v="7.0000000000000001E-3"/>
    <s v="540"/>
    <m/>
    <n v="0"/>
    <n v="668"/>
    <n v="1"/>
    <m/>
    <m/>
    <s v=""/>
    <m/>
    <x v="0"/>
    <x v="0"/>
    <m/>
    <m/>
    <m/>
    <x v="0"/>
    <x v="0"/>
  </r>
  <r>
    <x v="440"/>
    <x v="61"/>
    <x v="33"/>
    <n v="40"/>
    <n v="18"/>
    <n v="6.9"/>
    <n v="276"/>
    <n v="277"/>
    <n v="4986"/>
    <n v="1.0036231884057971"/>
    <n v="1"/>
    <n v="4.0000000000000001E-3"/>
    <s v="350"/>
    <m/>
    <n v="0"/>
    <n v="277"/>
    <n v="1"/>
    <m/>
    <m/>
    <s v=""/>
    <m/>
    <x v="0"/>
    <x v="0"/>
    <m/>
    <m/>
    <m/>
    <x v="0"/>
    <x v="0"/>
  </r>
  <r>
    <x v="440"/>
    <x v="94"/>
    <x v="85"/>
    <n v="1"/>
    <n v="1"/>
    <n v="591"/>
    <n v="591"/>
    <n v="496"/>
    <n v="496"/>
    <n v="0.83925549915397635"/>
    <n v="1"/>
    <n v="-0.161"/>
    <s v="0"/>
    <m/>
    <n v="0"/>
    <n v="496"/>
    <n v="1"/>
    <m/>
    <m/>
    <s v="(舊)"/>
    <m/>
    <x v="0"/>
    <x v="0"/>
    <m/>
    <m/>
    <m/>
    <x v="0"/>
    <x v="0"/>
  </r>
  <r>
    <x v="441"/>
    <x v="8"/>
    <x v="8"/>
    <n v="40"/>
    <n v="0.44"/>
    <n v="344"/>
    <n v="13760"/>
    <n v="13701"/>
    <n v="6028.44"/>
    <n v="0.99571220930232562"/>
    <n v="1"/>
    <n v="-4.0000000000000001E-3"/>
    <s v="540"/>
    <m/>
    <n v="4"/>
    <n v="13697"/>
    <n v="0.99970805050726219"/>
    <m/>
    <m/>
    <m/>
    <m/>
    <x v="0"/>
    <x v="0"/>
    <m/>
    <m/>
    <m/>
    <x v="0"/>
    <x v="0"/>
  </r>
  <r>
    <x v="441"/>
    <x v="9"/>
    <x v="9"/>
    <n v="24"/>
    <n v="6"/>
    <n v="25.7"/>
    <n v="616.79999999999995"/>
    <n v="615"/>
    <n v="3690"/>
    <n v="0.99708171206225693"/>
    <n v="1"/>
    <n v="-3.0000000000000001E-3"/>
    <s v="320"/>
    <m/>
    <n v="1"/>
    <n v="614"/>
    <n v="0.99837398373983743"/>
    <m/>
    <m/>
    <m/>
    <m/>
    <x v="0"/>
    <x v="0"/>
    <m/>
    <m/>
    <m/>
    <x v="0"/>
    <x v="0"/>
  </r>
  <r>
    <x v="441"/>
    <x v="10"/>
    <x v="10"/>
    <n v="16"/>
    <n v="6"/>
    <n v="25.4"/>
    <n v="406.4"/>
    <n v="407"/>
    <n v="2442"/>
    <n v="1.001476377952756"/>
    <n v="1"/>
    <n v="1E-3"/>
    <s v="260"/>
    <m/>
    <n v="1"/>
    <n v="406"/>
    <n v="0.99754299754299758"/>
    <m/>
    <m/>
    <m/>
    <m/>
    <x v="0"/>
    <x v="0"/>
    <m/>
    <m/>
    <m/>
    <x v="0"/>
    <x v="0"/>
  </r>
  <r>
    <x v="441"/>
    <x v="11"/>
    <x v="11"/>
    <n v="64"/>
    <n v="2.8"/>
    <n v="44.5"/>
    <n v="2687.2857142857142"/>
    <n v="2748"/>
    <n v="7694.4"/>
    <n v="1.0225931635745042"/>
    <n v="1"/>
    <n v="2.3E-2"/>
    <s v="500"/>
    <m/>
    <n v="1"/>
    <n v="2747"/>
    <n v="0.99963609898107719"/>
    <m/>
    <m/>
    <s v="D9920(18kg)*25桶"/>
    <m/>
    <x v="0"/>
    <x v="0"/>
    <m/>
    <m/>
    <m/>
    <x v="0"/>
    <x v="0"/>
  </r>
  <r>
    <x v="441"/>
    <x v="100"/>
    <x v="90"/>
    <n v="1"/>
    <n v="1"/>
    <n v="139"/>
    <n v="139"/>
    <n v="150"/>
    <n v="150"/>
    <n v="1.079136690647482"/>
    <n v="1"/>
    <n v="7.9000000000000001E-2"/>
    <s v="0"/>
    <m/>
    <n v="0"/>
    <n v="150"/>
    <n v="1"/>
    <m/>
    <m/>
    <s v=""/>
    <m/>
    <x v="0"/>
    <x v="0"/>
    <m/>
    <m/>
    <m/>
    <x v="0"/>
    <x v="0"/>
  </r>
  <r>
    <x v="442"/>
    <x v="19"/>
    <x v="19"/>
    <n v="12"/>
    <n v="6"/>
    <n v="25.5"/>
    <n v="306"/>
    <n v="306"/>
    <n v="1836"/>
    <n v="1"/>
    <n v="1"/>
    <n v="0"/>
    <s v="162"/>
    <m/>
    <n v="2"/>
    <n v="304"/>
    <n v="0.99346405228758172"/>
    <m/>
    <m/>
    <s v=""/>
    <m/>
    <x v="0"/>
    <x v="0"/>
    <m/>
    <m/>
    <m/>
    <x v="0"/>
    <x v="0"/>
  </r>
  <r>
    <x v="442"/>
    <x v="9"/>
    <x v="9"/>
    <n v="20"/>
    <n v="6"/>
    <n v="25.7"/>
    <n v="514"/>
    <n v="523"/>
    <n v="3138"/>
    <n v="1.0175097276264591"/>
    <n v="1"/>
    <n v="1.7999999999999999E-2"/>
    <s v="284"/>
    <m/>
    <n v="1"/>
    <n v="522"/>
    <n v="0.99808795411089868"/>
    <m/>
    <m/>
    <m/>
    <m/>
    <x v="0"/>
    <x v="0"/>
    <m/>
    <m/>
    <m/>
    <x v="0"/>
    <x v="0"/>
  </r>
  <r>
    <x v="442"/>
    <x v="18"/>
    <x v="18"/>
    <n v="8"/>
    <n v="6"/>
    <n v="26.4"/>
    <n v="211.2"/>
    <n v="216"/>
    <n v="1296"/>
    <n v="1.0227272727272727"/>
    <n v="1"/>
    <n v="2.3E-2"/>
    <s v="180"/>
    <m/>
    <n v="5"/>
    <n v="211"/>
    <n v="0.97685185185185186"/>
    <m/>
    <m/>
    <m/>
    <m/>
    <x v="0"/>
    <x v="0"/>
    <m/>
    <m/>
    <m/>
    <x v="0"/>
    <x v="0"/>
  </r>
  <r>
    <x v="442"/>
    <x v="17"/>
    <x v="17"/>
    <n v="21"/>
    <n v="3"/>
    <n v="29.7"/>
    <n v="623.69999999999993"/>
    <n v="628"/>
    <n v="1884"/>
    <n v="1.0068943402276738"/>
    <n v="1"/>
    <n v="7.0000000000000001E-3"/>
    <s v="510"/>
    <m/>
    <n v="0"/>
    <n v="628"/>
    <n v="1"/>
    <m/>
    <m/>
    <s v=""/>
    <m/>
    <x v="0"/>
    <x v="0"/>
    <m/>
    <m/>
    <m/>
    <x v="0"/>
    <x v="0"/>
  </r>
  <r>
    <x v="442"/>
    <x v="55"/>
    <x v="48"/>
    <n v="56"/>
    <n v="18"/>
    <n v="6.9"/>
    <n v="386.40000000000003"/>
    <n v="389"/>
    <n v="7002"/>
    <n v="1.0067287784679089"/>
    <n v="1"/>
    <n v="7.0000000000000001E-3"/>
    <s v="455"/>
    <m/>
    <n v="0"/>
    <n v="389"/>
    <n v="1"/>
    <m/>
    <m/>
    <s v=""/>
    <m/>
    <x v="0"/>
    <x v="0"/>
    <m/>
    <m/>
    <m/>
    <x v="0"/>
    <x v="0"/>
  </r>
  <r>
    <x v="442"/>
    <x v="96"/>
    <x v="87"/>
    <n v="50"/>
    <n v="1"/>
    <n v="5.7"/>
    <n v="285"/>
    <n v="295"/>
    <n v="295"/>
    <n v="1.0350877192982457"/>
    <n v="1"/>
    <n v="3.5000000000000003E-2"/>
    <s v="0"/>
    <m/>
    <n v="0"/>
    <n v="295"/>
    <n v="1"/>
    <m/>
    <m/>
    <m/>
    <m/>
    <x v="0"/>
    <x v="0"/>
    <m/>
    <m/>
    <m/>
    <x v="0"/>
    <x v="0"/>
  </r>
  <r>
    <x v="443"/>
    <x v="109"/>
    <x v="96"/>
    <n v="4"/>
    <n v="0.2"/>
    <n v="763"/>
    <n v="3052"/>
    <n v="2976"/>
    <n v="595.20000000000005"/>
    <n v="0.97509829619921362"/>
    <n v="1"/>
    <n v="-2.5000000000000001E-2"/>
    <s v="270"/>
    <m/>
    <n v="12"/>
    <n v="2964"/>
    <n v="0.99596774193548387"/>
    <m/>
    <m/>
    <s v=""/>
    <m/>
    <x v="0"/>
    <x v="0"/>
    <m/>
    <m/>
    <m/>
    <x v="0"/>
    <x v="0"/>
  </r>
  <r>
    <x v="443"/>
    <x v="49"/>
    <x v="43"/>
    <n v="15"/>
    <n v="0.43"/>
    <n v="364"/>
    <n v="5460"/>
    <n v="5511"/>
    <n v="2369.73"/>
    <n v="1.0093406593406593"/>
    <n v="1"/>
    <n v="8.9999999999999993E-3"/>
    <s v="360"/>
    <m/>
    <n v="9"/>
    <n v="5502"/>
    <n v="0.99836690255851934"/>
    <m/>
    <m/>
    <m/>
    <m/>
    <x v="0"/>
    <x v="0"/>
    <m/>
    <m/>
    <m/>
    <x v="0"/>
    <x v="0"/>
  </r>
  <r>
    <x v="443"/>
    <x v="9"/>
    <x v="9"/>
    <n v="8"/>
    <n v="6"/>
    <n v="25.7"/>
    <n v="205.6"/>
    <n v="203"/>
    <n v="1218"/>
    <n v="0.98735408560311289"/>
    <n v="1"/>
    <n v="-1.2999999999999999E-2"/>
    <s v="120"/>
    <m/>
    <n v="1"/>
    <n v="202"/>
    <n v="0.99507389162561577"/>
    <m/>
    <m/>
    <m/>
    <m/>
    <x v="0"/>
    <x v="0"/>
    <m/>
    <m/>
    <m/>
    <x v="0"/>
    <x v="0"/>
  </r>
  <r>
    <x v="443"/>
    <x v="140"/>
    <x v="10"/>
    <n v="30"/>
    <n v="6"/>
    <n v="25.4"/>
    <n v="762"/>
    <n v="796"/>
    <n v="4776"/>
    <n v="1.0446194225721785"/>
    <e v="#N/A"/>
    <e v="#N/A"/>
    <s v="420"/>
    <m/>
    <n v="3"/>
    <n v="793"/>
    <n v="0.99623115577889443"/>
    <m/>
    <m/>
    <s v=""/>
    <m/>
    <x v="0"/>
    <x v="0"/>
    <m/>
    <m/>
    <m/>
    <x v="0"/>
    <x v="0"/>
  </r>
  <r>
    <x v="443"/>
    <x v="11"/>
    <x v="11"/>
    <n v="64"/>
    <n v="2.8"/>
    <n v="44.5"/>
    <n v="2848"/>
    <n v="2925"/>
    <n v="8189.9999999999991"/>
    <n v="1.0270365168539326"/>
    <n v="1"/>
    <n v="2.7E-2"/>
    <s v="500"/>
    <m/>
    <n v="1"/>
    <n v="2924"/>
    <n v="0.99965811965811968"/>
    <m/>
    <m/>
    <m/>
    <m/>
    <x v="0"/>
    <x v="0"/>
    <m/>
    <m/>
    <m/>
    <x v="0"/>
    <x v="0"/>
  </r>
  <r>
    <x v="444"/>
    <x v="15"/>
    <x v="15"/>
    <n v="72"/>
    <n v="3.2"/>
    <n v="46.8"/>
    <n v="3369.6"/>
    <n v="3499"/>
    <n v="11196.800000000001"/>
    <n v="1.0384021842355176"/>
    <n v="1"/>
    <n v="3.7999999999999999E-2"/>
    <s v="570"/>
    <m/>
    <n v="3"/>
    <n v="3496"/>
    <n v="0.99914261217490707"/>
    <m/>
    <m/>
    <s v=""/>
    <m/>
    <x v="0"/>
    <x v="0"/>
    <m/>
    <m/>
    <m/>
    <x v="0"/>
    <x v="0"/>
  </r>
  <r>
    <x v="444"/>
    <x v="22"/>
    <x v="10"/>
    <n v="16"/>
    <n v="6"/>
    <n v="25.1"/>
    <n v="401.6"/>
    <n v="410"/>
    <n v="2460"/>
    <n v="1.0209163346613546"/>
    <n v="1"/>
    <n v="2.1000000000000001E-2"/>
    <s v="180"/>
    <m/>
    <n v="5"/>
    <n v="405"/>
    <n v="0.98780487804878048"/>
    <m/>
    <m/>
    <s v=""/>
    <m/>
    <x v="0"/>
    <x v="0"/>
    <m/>
    <m/>
    <m/>
    <x v="0"/>
    <x v="0"/>
  </r>
  <r>
    <x v="444"/>
    <x v="16"/>
    <x v="16"/>
    <n v="24"/>
    <n v="6"/>
    <n v="26.1"/>
    <n v="626.40000000000009"/>
    <n v="641"/>
    <n v="3846"/>
    <n v="1.0233077905491696"/>
    <n v="1"/>
    <n v="2.3E-2"/>
    <s v="330"/>
    <m/>
    <n v="2"/>
    <n v="639"/>
    <n v="0.99687987519500776"/>
    <m/>
    <m/>
    <s v=""/>
    <m/>
    <x v="0"/>
    <x v="0"/>
    <m/>
    <m/>
    <m/>
    <x v="0"/>
    <x v="0"/>
  </r>
  <r>
    <x v="444"/>
    <x v="136"/>
    <x v="17"/>
    <n v="10"/>
    <n v="3"/>
    <n v="0"/>
    <n v="0"/>
    <n v="404"/>
    <n v="1212"/>
    <s v="無法預估數據"/>
    <e v="#N/A"/>
    <s v="無法預估數據"/>
    <s v="540"/>
    <m/>
    <n v="0"/>
    <n v="404"/>
    <n v="1"/>
    <m/>
    <m/>
    <s v=""/>
    <m/>
    <x v="0"/>
    <x v="0"/>
    <m/>
    <m/>
    <m/>
    <x v="0"/>
    <x v="0"/>
  </r>
  <r>
    <x v="444"/>
    <x v="41"/>
    <x v="39"/>
    <n v="20"/>
    <n v="2.8"/>
    <n v="44.2"/>
    <n v="884"/>
    <n v="882"/>
    <n v="2469.6"/>
    <n v="0.99773755656108598"/>
    <n v="1"/>
    <n v="-2E-3"/>
    <s v="290"/>
    <m/>
    <n v="1"/>
    <n v="881"/>
    <n v="0.99886621315192747"/>
    <m/>
    <m/>
    <s v=""/>
    <m/>
    <x v="0"/>
    <x v="0"/>
    <m/>
    <m/>
    <m/>
    <x v="0"/>
    <x v="0"/>
  </r>
  <r>
    <x v="445"/>
    <x v="10"/>
    <x v="10"/>
    <n v="24"/>
    <n v="6"/>
    <n v="25.4"/>
    <n v="609.59999999999991"/>
    <n v="612"/>
    <n v="3672"/>
    <n v="1.003937007874016"/>
    <n v="1"/>
    <n v="4.0000000000000001E-3"/>
    <s v="420"/>
    <m/>
    <n v="2"/>
    <n v="610"/>
    <n v="0.99673202614379086"/>
    <m/>
    <m/>
    <m/>
    <m/>
    <x v="0"/>
    <x v="0"/>
    <m/>
    <m/>
    <m/>
    <x v="0"/>
    <x v="0"/>
  </r>
  <r>
    <x v="445"/>
    <x v="9"/>
    <x v="9"/>
    <n v="16"/>
    <n v="6"/>
    <n v="25.7"/>
    <n v="411.2"/>
    <n v="414"/>
    <n v="2484"/>
    <n v="1.0068093385214008"/>
    <n v="1"/>
    <n v="7.0000000000000001E-3"/>
    <s v="260"/>
    <m/>
    <n v="1"/>
    <n v="413"/>
    <n v="0.99758454106280192"/>
    <m/>
    <m/>
    <m/>
    <m/>
    <x v="0"/>
    <x v="0"/>
    <m/>
    <m/>
    <m/>
    <x v="0"/>
    <x v="0"/>
  </r>
  <r>
    <x v="445"/>
    <x v="48"/>
    <x v="17"/>
    <n v="21"/>
    <n v="3"/>
    <n v="30.8"/>
    <n v="646.80000000000007"/>
    <n v="648"/>
    <n v="1944"/>
    <n v="1.0018552875695732"/>
    <n v="1"/>
    <n v="2E-3"/>
    <s v="540"/>
    <m/>
    <n v="0"/>
    <n v="648"/>
    <n v="1"/>
    <m/>
    <m/>
    <m/>
    <m/>
    <x v="0"/>
    <x v="0"/>
    <m/>
    <m/>
    <m/>
    <x v="0"/>
    <x v="0"/>
  </r>
  <r>
    <x v="445"/>
    <x v="6"/>
    <x v="6"/>
    <n v="28"/>
    <n v="0.4"/>
    <n v="309.2"/>
    <n v="8657.6"/>
    <n v="8763"/>
    <n v="3505.2000000000003"/>
    <n v="1.0121742746257623"/>
    <n v="1"/>
    <n v="1.2E-2"/>
    <s v="665"/>
    <m/>
    <n v="3"/>
    <n v="8760"/>
    <n v="0.99965765148921604"/>
    <m/>
    <m/>
    <m/>
    <m/>
    <x v="0"/>
    <x v="0"/>
    <m/>
    <m/>
    <m/>
    <x v="0"/>
    <x v="0"/>
  </r>
  <r>
    <x v="446"/>
    <x v="15"/>
    <x v="15"/>
    <n v="72"/>
    <n v="3.2"/>
    <n v="46.8"/>
    <n v="3369.6"/>
    <n v="3442"/>
    <n v="11014.400000000001"/>
    <n v="1.0214862298195633"/>
    <n v="1"/>
    <n v="2.1000000000000001E-2"/>
    <s v="540"/>
    <m/>
    <n v="3"/>
    <n v="3439"/>
    <n v="0.99912841371295757"/>
    <m/>
    <m/>
    <m/>
    <m/>
    <x v="0"/>
    <x v="0"/>
    <m/>
    <m/>
    <m/>
    <x v="0"/>
    <x v="0"/>
  </r>
  <r>
    <x v="446"/>
    <x v="19"/>
    <x v="19"/>
    <n v="0.5"/>
    <n v="6"/>
    <n v="25.5"/>
    <n v="12.75"/>
    <n v="12"/>
    <n v="72"/>
    <n v="0.94117647058823528"/>
    <n v="1"/>
    <n v="-5.8999999999999997E-2"/>
    <s v="105"/>
    <m/>
    <n v="1"/>
    <n v="11"/>
    <n v="0.91666666666666663"/>
    <m/>
    <m/>
    <s v="(研發測試)"/>
    <m/>
    <x v="0"/>
    <x v="0"/>
    <m/>
    <m/>
    <m/>
    <x v="0"/>
    <x v="0"/>
  </r>
  <r>
    <x v="446"/>
    <x v="9"/>
    <x v="9"/>
    <n v="24"/>
    <n v="6"/>
    <n v="25.7"/>
    <n v="616.79999999999995"/>
    <n v="620"/>
    <n v="3720"/>
    <n v="1.0051880674448768"/>
    <n v="1"/>
    <n v="5.0000000000000001E-3"/>
    <s v="300"/>
    <m/>
    <n v="1"/>
    <n v="619"/>
    <n v="0.99838709677419357"/>
    <m/>
    <m/>
    <m/>
    <m/>
    <x v="0"/>
    <x v="0"/>
    <m/>
    <m/>
    <m/>
    <x v="0"/>
    <x v="0"/>
  </r>
  <r>
    <x v="446"/>
    <x v="16"/>
    <x v="16"/>
    <n v="20"/>
    <n v="6"/>
    <n v="26.1"/>
    <n v="522"/>
    <n v="527"/>
    <n v="3162"/>
    <n v="1.0095785440613028"/>
    <n v="1"/>
    <n v="0.01"/>
    <s v="270"/>
    <m/>
    <n v="1"/>
    <n v="526"/>
    <n v="0.99810246679316883"/>
    <m/>
    <m/>
    <s v=""/>
    <m/>
    <x v="0"/>
    <x v="0"/>
    <m/>
    <m/>
    <m/>
    <x v="0"/>
    <x v="0"/>
  </r>
  <r>
    <x v="446"/>
    <x v="11"/>
    <x v="11"/>
    <n v="68"/>
    <n v="2.8"/>
    <n v="44.5"/>
    <n v="3026"/>
    <n v="3069"/>
    <n v="8593.1999999999989"/>
    <n v="1.0142101784534039"/>
    <n v="1"/>
    <n v="1.4E-2"/>
    <s v="530"/>
    <m/>
    <n v="1"/>
    <n v="3068"/>
    <n v="0.99967416096448358"/>
    <m/>
    <m/>
    <m/>
    <m/>
    <x v="0"/>
    <x v="0"/>
    <m/>
    <m/>
    <m/>
    <x v="0"/>
    <x v="0"/>
  </r>
  <r>
    <x v="447"/>
    <x v="13"/>
    <x v="13"/>
    <n v="20"/>
    <n v="0.9"/>
    <n v="160.5"/>
    <n v="3210"/>
    <n v="3283"/>
    <n v="2954.7000000000003"/>
    <n v="1.0227414330218068"/>
    <n v="1"/>
    <n v="2.3E-2"/>
    <s v="319"/>
    <m/>
    <n v="3"/>
    <n v="3280"/>
    <n v="0.99908620164483708"/>
    <m/>
    <m/>
    <m/>
    <m/>
    <x v="0"/>
    <x v="0"/>
    <m/>
    <m/>
    <m/>
    <x v="0"/>
    <x v="0"/>
  </r>
  <r>
    <x v="447"/>
    <x v="47"/>
    <x v="42"/>
    <n v="12"/>
    <n v="6"/>
    <n v="25.6"/>
    <n v="307.20000000000005"/>
    <n v="310"/>
    <n v="1860"/>
    <n v="1.0091145833333333"/>
    <n v="1"/>
    <n v="8.9999999999999993E-3"/>
    <s v="158"/>
    <m/>
    <n v="2"/>
    <n v="308"/>
    <n v="0.99354838709677418"/>
    <m/>
    <m/>
    <s v=""/>
    <m/>
    <x v="0"/>
    <x v="0"/>
    <m/>
    <m/>
    <m/>
    <x v="0"/>
    <x v="0"/>
  </r>
  <r>
    <x v="447"/>
    <x v="129"/>
    <x v="113"/>
    <n v="6"/>
    <n v="6"/>
    <n v="0"/>
    <n v="0"/>
    <n v="146"/>
    <n v="876"/>
    <s v="無法預估數據"/>
    <e v="#N/A"/>
    <s v="無法預估數據"/>
    <s v="160"/>
    <m/>
    <n v="1"/>
    <n v="145"/>
    <n v="0.99315068493150682"/>
    <m/>
    <m/>
    <s v=""/>
    <m/>
    <x v="0"/>
    <x v="0"/>
    <m/>
    <m/>
    <m/>
    <x v="0"/>
    <x v="0"/>
  </r>
  <r>
    <x v="447"/>
    <x v="9"/>
    <x v="9"/>
    <n v="20"/>
    <n v="6"/>
    <n v="25.7"/>
    <n v="514"/>
    <n v="516"/>
    <n v="3096"/>
    <n v="1.0038910505836576"/>
    <n v="1"/>
    <n v="4.0000000000000001E-3"/>
    <s v="240"/>
    <m/>
    <n v="1"/>
    <n v="515"/>
    <n v="0.99806201550387597"/>
    <m/>
    <m/>
    <m/>
    <m/>
    <x v="0"/>
    <x v="0"/>
    <m/>
    <m/>
    <m/>
    <x v="0"/>
    <x v="0"/>
  </r>
  <r>
    <x v="447"/>
    <x v="12"/>
    <x v="12"/>
    <n v="20"/>
    <n v="0.8"/>
    <n v="157.69999999999999"/>
    <n v="3154"/>
    <n v="3135"/>
    <n v="2508"/>
    <n v="0.99397590361445787"/>
    <n v="1"/>
    <n v="-6.0000000000000001E-3"/>
    <s v="310"/>
    <m/>
    <n v="2"/>
    <n v="3133"/>
    <n v="0.99936204146730467"/>
    <m/>
    <m/>
    <s v=""/>
    <m/>
    <x v="0"/>
    <x v="0"/>
    <m/>
    <m/>
    <m/>
    <x v="0"/>
    <x v="0"/>
  </r>
  <r>
    <x v="447"/>
    <x v="34"/>
    <x v="32"/>
    <n v="16"/>
    <n v="0.34"/>
    <n v="358.3"/>
    <n v="5732.8"/>
    <n v="5769"/>
    <n v="1961.46"/>
    <n v="1.0063145408875245"/>
    <n v="1"/>
    <n v="6.0000000000000001E-3"/>
    <s v="345"/>
    <m/>
    <n v="3"/>
    <n v="5766"/>
    <n v="0.99947997919916798"/>
    <m/>
    <m/>
    <m/>
    <m/>
    <x v="0"/>
    <x v="0"/>
    <m/>
    <m/>
    <m/>
    <x v="0"/>
    <x v="0"/>
  </r>
  <r>
    <x v="447"/>
    <x v="97"/>
    <x v="88"/>
    <n v="70"/>
    <n v="1"/>
    <n v="6"/>
    <n v="420"/>
    <n v="418"/>
    <n v="418"/>
    <n v="0.99523809523809526"/>
    <n v="1"/>
    <n v="-5.0000000000000001E-3"/>
    <s v="0"/>
    <m/>
    <n v="0"/>
    <n v="418"/>
    <n v="1"/>
    <m/>
    <m/>
    <m/>
    <m/>
    <x v="0"/>
    <x v="0"/>
    <m/>
    <m/>
    <m/>
    <x v="0"/>
    <x v="0"/>
  </r>
  <r>
    <x v="447"/>
    <x v="96"/>
    <x v="87"/>
    <n v="30"/>
    <n v="1"/>
    <n v="5.7"/>
    <n v="171"/>
    <n v="145"/>
    <n v="145"/>
    <n v="0.84795321637426901"/>
    <n v="1"/>
    <n v="-0.152"/>
    <s v="0"/>
    <m/>
    <n v="0"/>
    <n v="145"/>
    <n v="1"/>
    <m/>
    <m/>
    <m/>
    <m/>
    <x v="0"/>
    <x v="0"/>
    <m/>
    <m/>
    <m/>
    <x v="0"/>
    <x v="0"/>
  </r>
  <r>
    <x v="448"/>
    <x v="15"/>
    <x v="15"/>
    <n v="36"/>
    <n v="3.2"/>
    <n v="46.8"/>
    <n v="1684.8"/>
    <n v="1716"/>
    <n v="5491.2000000000007"/>
    <n v="1.0185185185185186"/>
    <n v="1"/>
    <n v="1.9E-2"/>
    <s v="340"/>
    <m/>
    <n v="4"/>
    <n v="1712"/>
    <n v="0.99766899766899764"/>
    <s v="1141001-02A"/>
    <n v="68"/>
    <m/>
    <m/>
    <x v="0"/>
    <x v="0"/>
    <m/>
    <m/>
    <m/>
    <x v="0"/>
    <x v="0"/>
  </r>
  <r>
    <x v="448"/>
    <x v="27"/>
    <x v="26"/>
    <n v="36"/>
    <n v="3.2"/>
    <n v="47.5"/>
    <n v="1710"/>
    <n v="1683"/>
    <n v="5385.6"/>
    <n v="0.98421052631578942"/>
    <n v="1"/>
    <n v="-1.6E-2"/>
    <s v="240"/>
    <m/>
    <n v="1"/>
    <n v="1682"/>
    <n v="0.99940582293523472"/>
    <m/>
    <m/>
    <s v=""/>
    <m/>
    <x v="0"/>
    <x v="0"/>
    <m/>
    <m/>
    <m/>
    <x v="0"/>
    <x v="0"/>
  </r>
  <r>
    <x v="448"/>
    <x v="28"/>
    <x v="19"/>
    <n v="32"/>
    <n v="6"/>
    <n v="25.5"/>
    <n v="816"/>
    <n v="822"/>
    <n v="4932"/>
    <n v="1.0073529411764706"/>
    <n v="1"/>
    <n v="7.0000000000000001E-3"/>
    <s v="390"/>
    <m/>
    <n v="2"/>
    <n v="820"/>
    <n v="0.9975669099756691"/>
    <m/>
    <m/>
    <m/>
    <m/>
    <x v="0"/>
    <x v="0"/>
    <m/>
    <m/>
    <m/>
    <x v="0"/>
    <x v="0"/>
  </r>
  <r>
    <x v="448"/>
    <x v="18"/>
    <x v="18"/>
    <n v="8"/>
    <n v="6"/>
    <n v="26.4"/>
    <n v="211.2"/>
    <n v="214"/>
    <n v="1284"/>
    <n v="1.0132575757575759"/>
    <n v="1"/>
    <n v="1.2999999999999999E-2"/>
    <s v="159"/>
    <m/>
    <n v="3"/>
    <n v="211"/>
    <n v="0.98598130841121501"/>
    <m/>
    <m/>
    <s v=""/>
    <m/>
    <x v="0"/>
    <x v="0"/>
    <m/>
    <m/>
    <m/>
    <x v="0"/>
    <x v="0"/>
  </r>
  <r>
    <x v="448"/>
    <x v="11"/>
    <x v="11"/>
    <n v="32"/>
    <n v="2.8"/>
    <n v="44.5"/>
    <n v="1424"/>
    <n v="1481"/>
    <n v="4146.8"/>
    <n v="1.0400280898876404"/>
    <n v="1"/>
    <n v="0.04"/>
    <s v="320"/>
    <m/>
    <n v="1"/>
    <n v="1480"/>
    <n v="0.9993247805536799"/>
    <m/>
    <m/>
    <m/>
    <m/>
    <x v="0"/>
    <x v="0"/>
    <m/>
    <m/>
    <m/>
    <x v="0"/>
    <x v="0"/>
  </r>
  <r>
    <x v="448"/>
    <x v="42"/>
    <x v="40"/>
    <n v="6"/>
    <n v="3.5"/>
    <n v="25.4"/>
    <n v="152.39999999999998"/>
    <n v="148"/>
    <n v="518"/>
    <n v="0.97112860892388464"/>
    <n v="1"/>
    <n v="-2.9000000000000001E-2"/>
    <s v="360"/>
    <m/>
    <n v="0"/>
    <n v="148"/>
    <n v="1"/>
    <m/>
    <m/>
    <s v=""/>
    <m/>
    <x v="0"/>
    <x v="0"/>
    <m/>
    <m/>
    <m/>
    <x v="0"/>
    <x v="0"/>
  </r>
  <r>
    <x v="449"/>
    <x v="2"/>
    <x v="2"/>
    <n v="30"/>
    <n v="6"/>
    <n v="26.6"/>
    <n v="798"/>
    <n v="790"/>
    <n v="4740"/>
    <n v="0.9899749373433584"/>
    <n v="1"/>
    <n v="-0.01"/>
    <s v="400"/>
    <m/>
    <n v="1"/>
    <n v="789"/>
    <n v="0.99873417721518987"/>
    <m/>
    <m/>
    <s v=""/>
    <m/>
    <x v="0"/>
    <x v="0"/>
    <m/>
    <m/>
    <m/>
    <x v="0"/>
    <x v="0"/>
  </r>
  <r>
    <x v="449"/>
    <x v="0"/>
    <x v="0"/>
    <n v="12"/>
    <n v="6"/>
    <n v="25.5"/>
    <n v="306"/>
    <n v="303"/>
    <n v="1818"/>
    <n v="0.99019607843137258"/>
    <n v="1"/>
    <n v="-0.01"/>
    <s v="202"/>
    <m/>
    <n v="1"/>
    <n v="302"/>
    <n v="0.99669966996699666"/>
    <m/>
    <m/>
    <s v=""/>
    <m/>
    <x v="0"/>
    <x v="0"/>
    <m/>
    <m/>
    <m/>
    <x v="0"/>
    <x v="0"/>
  </r>
  <r>
    <x v="449"/>
    <x v="4"/>
    <x v="4"/>
    <n v="8"/>
    <n v="4.5"/>
    <n v="34.5"/>
    <n v="276"/>
    <n v="284"/>
    <n v="1278"/>
    <n v="1.0289855072463767"/>
    <n v="1"/>
    <n v="2.9000000000000001E-2"/>
    <s v="180"/>
    <m/>
    <n v="0"/>
    <n v="284"/>
    <n v="1"/>
    <m/>
    <m/>
    <s v=""/>
    <m/>
    <x v="0"/>
    <x v="0"/>
    <m/>
    <m/>
    <m/>
    <x v="0"/>
    <x v="0"/>
  </r>
  <r>
    <x v="449"/>
    <x v="38"/>
    <x v="36"/>
    <n v="3"/>
    <n v="4.5"/>
    <n v="32.799999999999997"/>
    <n v="98.399999999999991"/>
    <n v="101"/>
    <n v="454.5"/>
    <n v="1.0264227642276424"/>
    <n v="1"/>
    <n v="2.5999999999999999E-2"/>
    <s v="130"/>
    <m/>
    <n v="0"/>
    <n v="101"/>
    <n v="1"/>
    <m/>
    <m/>
    <s v=""/>
    <m/>
    <x v="0"/>
    <x v="0"/>
    <m/>
    <m/>
    <m/>
    <x v="0"/>
    <x v="0"/>
  </r>
  <r>
    <x v="449"/>
    <x v="3"/>
    <x v="3"/>
    <n v="24"/>
    <n v="4.5"/>
    <n v="36.299999999999997"/>
    <n v="871.19999999999993"/>
    <n v="874"/>
    <n v="3933"/>
    <n v="1.0032139577594124"/>
    <n v="1"/>
    <n v="3.0000000000000001E-3"/>
    <s v="328"/>
    <m/>
    <n v="0"/>
    <n v="874"/>
    <n v="1"/>
    <m/>
    <m/>
    <m/>
    <m/>
    <x v="0"/>
    <x v="0"/>
    <m/>
    <m/>
    <m/>
    <x v="0"/>
    <x v="0"/>
  </r>
  <r>
    <x v="449"/>
    <x v="23"/>
    <x v="22"/>
    <n v="24"/>
    <n v="0.34"/>
    <n v="364.6"/>
    <n v="8750.4000000000015"/>
    <n v="8214"/>
    <n v="2792.76"/>
    <n v="0.93869994514536459"/>
    <n v="1"/>
    <n v="-6.0999999999999999E-2"/>
    <s v="465"/>
    <m/>
    <n v="33"/>
    <n v="8181"/>
    <n v="0.99598246895544196"/>
    <m/>
    <m/>
    <m/>
    <m/>
    <x v="0"/>
    <x v="0"/>
    <m/>
    <m/>
    <m/>
    <x v="0"/>
    <x v="0"/>
  </r>
  <r>
    <x v="449"/>
    <x v="24"/>
    <x v="23"/>
    <n v="12"/>
    <n v="0.34"/>
    <n v="366"/>
    <n v="4392"/>
    <n v="4693"/>
    <n v="1595.6200000000001"/>
    <n v="1.0685336976320583"/>
    <n v="1"/>
    <n v="6.9000000000000006E-2"/>
    <s v="360"/>
    <m/>
    <n v="3"/>
    <n v="4690"/>
    <n v="0.99936075005327085"/>
    <m/>
    <m/>
    <m/>
    <m/>
    <x v="0"/>
    <x v="0"/>
    <m/>
    <m/>
    <m/>
    <x v="0"/>
    <x v="0"/>
  </r>
  <r>
    <x v="450"/>
    <x v="21"/>
    <x v="21"/>
    <n v="32"/>
    <n v="3.2"/>
    <n v="46.4"/>
    <n v="1484.8"/>
    <n v="1435"/>
    <n v="4592"/>
    <n v="0.96646012931034486"/>
    <n v="1"/>
    <n v="-3.4000000000000002E-2"/>
    <s v="360"/>
    <m/>
    <n v="1"/>
    <n v="1434"/>
    <n v="0.99930313588850173"/>
    <m/>
    <m/>
    <s v=""/>
    <m/>
    <x v="0"/>
    <x v="0"/>
    <m/>
    <m/>
    <m/>
    <x v="0"/>
    <x v="0"/>
  </r>
  <r>
    <x v="450"/>
    <x v="36"/>
    <x v="34"/>
    <n v="8"/>
    <n v="6"/>
    <n v="24.3"/>
    <n v="194.4"/>
    <n v="229"/>
    <n v="1374"/>
    <n v="1.1779835390946503"/>
    <n v="1"/>
    <n v="0.17799999999999999"/>
    <s v="139"/>
    <m/>
    <n v="2"/>
    <n v="227"/>
    <n v="0.99126637554585151"/>
    <s v="1141208-01A "/>
    <n v="192"/>
    <s v=""/>
    <m/>
    <x v="0"/>
    <x v="0"/>
    <m/>
    <m/>
    <m/>
    <x v="0"/>
    <x v="0"/>
  </r>
  <r>
    <x v="450"/>
    <x v="130"/>
    <x v="114"/>
    <n v="12"/>
    <n v="6"/>
    <n v="0"/>
    <n v="0"/>
    <n v="313"/>
    <n v="1878"/>
    <s v="無法預估數據"/>
    <e v="#N/A"/>
    <s v="無法預估數據"/>
    <s v="205"/>
    <m/>
    <n v="2"/>
    <n v="311"/>
    <n v="0.99361022364217255"/>
    <m/>
    <m/>
    <s v=""/>
    <m/>
    <x v="0"/>
    <x v="0"/>
    <m/>
    <m/>
    <m/>
    <x v="0"/>
    <x v="0"/>
  </r>
  <r>
    <x v="450"/>
    <x v="50"/>
    <x v="44"/>
    <n v="8"/>
    <n v="4.5"/>
    <n v="36.799999999999997"/>
    <n v="294.39999999999998"/>
    <n v="294"/>
    <n v="1323"/>
    <n v="0.99864130434782616"/>
    <n v="1"/>
    <n v="-1E-3"/>
    <s v="135"/>
    <m/>
    <n v="0"/>
    <n v="294"/>
    <n v="1"/>
    <m/>
    <m/>
    <s v=""/>
    <m/>
    <x v="0"/>
    <x v="0"/>
    <m/>
    <m/>
    <m/>
    <x v="0"/>
    <x v="0"/>
  </r>
  <r>
    <x v="450"/>
    <x v="115"/>
    <x v="104"/>
    <n v="20"/>
    <n v="4.5"/>
    <n v="37"/>
    <n v="740"/>
    <n v="766"/>
    <n v="3447"/>
    <n v="1.0351351351351352"/>
    <n v="1"/>
    <n v="3.5000000000000003E-2"/>
    <s v="368"/>
    <m/>
    <n v="0"/>
    <n v="766"/>
    <n v="1"/>
    <m/>
    <m/>
    <s v=""/>
    <m/>
    <x v="0"/>
    <x v="0"/>
    <m/>
    <m/>
    <m/>
    <x v="0"/>
    <x v="0"/>
  </r>
  <r>
    <x v="450"/>
    <x v="53"/>
    <x v="46"/>
    <n v="4"/>
    <n v="4.5"/>
    <n v="34.5"/>
    <n v="138"/>
    <n v="137"/>
    <n v="616.5"/>
    <n v="0.99275362318840576"/>
    <n v="1"/>
    <n v="-7.0000000000000001E-3"/>
    <s v="145"/>
    <m/>
    <n v="0"/>
    <n v="137"/>
    <n v="1"/>
    <m/>
    <m/>
    <s v=""/>
    <m/>
    <x v="0"/>
    <x v="0"/>
    <m/>
    <m/>
    <m/>
    <x v="0"/>
    <x v="0"/>
  </r>
  <r>
    <x v="450"/>
    <x v="35"/>
    <x v="33"/>
    <n v="11"/>
    <n v="18"/>
    <n v="6.6"/>
    <n v="72.599999999999994"/>
    <n v="72"/>
    <n v="1296"/>
    <n v="0.99173553719008267"/>
    <n v="1"/>
    <n v="-8.0000000000000002E-3"/>
    <s v="165"/>
    <m/>
    <n v="0"/>
    <n v="72"/>
    <n v="1"/>
    <m/>
    <m/>
    <s v=""/>
    <m/>
    <x v="0"/>
    <x v="0"/>
    <m/>
    <m/>
    <m/>
    <x v="0"/>
    <x v="0"/>
  </r>
  <r>
    <x v="450"/>
    <x v="11"/>
    <x v="11"/>
    <n v="40"/>
    <n v="2.8"/>
    <n v="44.5"/>
    <n v="1619.2857142857142"/>
    <n v="1671"/>
    <n v="4678.7999999999993"/>
    <n v="1.0319364799294222"/>
    <n v="1"/>
    <n v="3.2000000000000001E-2"/>
    <s v="375"/>
    <m/>
    <n v="1"/>
    <n v="1670"/>
    <n v="0.99940155595451829"/>
    <m/>
    <m/>
    <s v="D9920(18kg)25桶"/>
    <m/>
    <x v="0"/>
    <x v="0"/>
    <m/>
    <m/>
    <m/>
    <x v="0"/>
    <x v="0"/>
  </r>
  <r>
    <x v="450"/>
    <x v="94"/>
    <x v="85"/>
    <n v="1"/>
    <n v="1"/>
    <n v="591"/>
    <n v="591"/>
    <n v="480"/>
    <n v="480"/>
    <n v="0.81218274111675126"/>
    <n v="1"/>
    <n v="-0.188"/>
    <s v="0"/>
    <m/>
    <n v="0"/>
    <n v="480"/>
    <n v="1"/>
    <m/>
    <m/>
    <m/>
    <m/>
    <x v="0"/>
    <x v="0"/>
    <m/>
    <m/>
    <m/>
    <x v="0"/>
    <x v="0"/>
  </r>
  <r>
    <x v="451"/>
    <x v="9"/>
    <x v="9"/>
    <n v="24"/>
    <n v="6"/>
    <n v="25.7"/>
    <n v="616.79999999999995"/>
    <n v="672"/>
    <n v="4032"/>
    <n v="1.0894941634241246"/>
    <n v="1"/>
    <n v="8.8999999999999996E-2"/>
    <s v="342"/>
    <m/>
    <n v="2"/>
    <n v="670"/>
    <n v="0.99702380952380953"/>
    <m/>
    <m/>
    <m/>
    <m/>
    <x v="0"/>
    <x v="0"/>
    <m/>
    <m/>
    <m/>
    <x v="0"/>
    <x v="0"/>
  </r>
  <r>
    <x v="451"/>
    <x v="122"/>
    <x v="111"/>
    <n v="20"/>
    <n v="6"/>
    <n v="0"/>
    <n v="0"/>
    <n v="507"/>
    <n v="3042"/>
    <s v="無法預估數據"/>
    <e v="#N/A"/>
    <s v="無法預估數據"/>
    <s v="260"/>
    <m/>
    <n v="1"/>
    <n v="506"/>
    <n v="0.99802761341222879"/>
    <m/>
    <m/>
    <s v=""/>
    <m/>
    <x v="0"/>
    <x v="0"/>
    <m/>
    <m/>
    <m/>
    <x v="0"/>
    <x v="0"/>
  </r>
  <r>
    <x v="451"/>
    <x v="17"/>
    <x v="17"/>
    <n v="21"/>
    <n v="3"/>
    <n v="29.7"/>
    <n v="623.69999999999993"/>
    <n v="624"/>
    <n v="1872"/>
    <n v="1.0004810004810005"/>
    <n v="1"/>
    <n v="0"/>
    <s v="540"/>
    <m/>
    <n v="0"/>
    <n v="624"/>
    <n v="1"/>
    <m/>
    <m/>
    <s v=""/>
    <m/>
    <x v="0"/>
    <x v="0"/>
    <m/>
    <m/>
    <m/>
    <x v="0"/>
    <x v="0"/>
  </r>
  <r>
    <x v="451"/>
    <x v="78"/>
    <x v="70"/>
    <n v="8"/>
    <n v="0.28999999999999998"/>
    <n v="388"/>
    <n v="3104"/>
    <n v="3266"/>
    <n v="947.14"/>
    <n v="1.0521907216494846"/>
    <n v="1"/>
    <n v="5.1999999999999998E-2"/>
    <s v="250"/>
    <m/>
    <n v="8"/>
    <n v="3258"/>
    <n v="0.99755052051439064"/>
    <m/>
    <m/>
    <m/>
    <m/>
    <x v="0"/>
    <x v="0"/>
    <m/>
    <m/>
    <m/>
    <x v="0"/>
    <x v="0"/>
  </r>
  <r>
    <x v="451"/>
    <x v="11"/>
    <x v="11"/>
    <n v="28"/>
    <n v="2.8"/>
    <n v="44.5"/>
    <n v="1246"/>
    <n v="1295"/>
    <n v="3625.9999999999995"/>
    <n v="1.0393258426966292"/>
    <n v="1"/>
    <n v="3.9E-2"/>
    <s v="400"/>
    <m/>
    <n v="1"/>
    <n v="1294"/>
    <n v="0.99922779922779925"/>
    <m/>
    <m/>
    <m/>
    <m/>
    <x v="0"/>
    <x v="0"/>
    <m/>
    <m/>
    <m/>
    <x v="0"/>
    <x v="0"/>
  </r>
  <r>
    <x v="452"/>
    <x v="8"/>
    <x v="8"/>
    <n v="28"/>
    <n v="0.44"/>
    <n v="344"/>
    <n v="9632"/>
    <n v="9568"/>
    <n v="4209.92"/>
    <n v="0.99335548172757471"/>
    <n v="1"/>
    <n v="-7.0000000000000001E-3"/>
    <s v="420"/>
    <m/>
    <n v="7"/>
    <n v="9561"/>
    <n v="0.99926839464882944"/>
    <m/>
    <m/>
    <m/>
    <m/>
    <x v="0"/>
    <x v="0"/>
    <m/>
    <m/>
    <m/>
    <x v="0"/>
    <x v="0"/>
  </r>
  <r>
    <x v="452"/>
    <x v="63"/>
    <x v="54"/>
    <n v="4"/>
    <n v="0.21"/>
    <n v="698.4"/>
    <n v="2793.6"/>
    <n v="2808"/>
    <n v="589.67999999999995"/>
    <n v="1.0051546391752577"/>
    <n v="1"/>
    <n v="5.0000000000000001E-3"/>
    <s v="240"/>
    <m/>
    <n v="4"/>
    <n v="2804"/>
    <n v="0.99857549857549854"/>
    <m/>
    <m/>
    <s v=""/>
    <m/>
    <x v="0"/>
    <x v="0"/>
    <m/>
    <m/>
    <m/>
    <x v="0"/>
    <x v="0"/>
  </r>
  <r>
    <x v="452"/>
    <x v="9"/>
    <x v="9"/>
    <n v="16"/>
    <n v="6"/>
    <n v="25.7"/>
    <n v="411.2"/>
    <n v="407"/>
    <n v="2442"/>
    <n v="0.98978599221789887"/>
    <n v="1"/>
    <n v="-0.01"/>
    <s v="229"/>
    <m/>
    <n v="1"/>
    <n v="406"/>
    <n v="0.99754299754299758"/>
    <m/>
    <m/>
    <m/>
    <m/>
    <x v="0"/>
    <x v="0"/>
    <m/>
    <m/>
    <m/>
    <x v="0"/>
    <x v="0"/>
  </r>
  <r>
    <x v="452"/>
    <x v="22"/>
    <x v="10"/>
    <n v="16"/>
    <n v="6"/>
    <n v="25.1"/>
    <n v="401.6"/>
    <n v="408"/>
    <n v="2448"/>
    <n v="1.0159362549800797"/>
    <n v="1"/>
    <n v="1.6E-2"/>
    <s v="214"/>
    <m/>
    <n v="1"/>
    <n v="407"/>
    <n v="0.99754901960784315"/>
    <m/>
    <m/>
    <s v=""/>
    <m/>
    <x v="0"/>
    <x v="0"/>
    <m/>
    <m/>
    <m/>
    <x v="0"/>
    <x v="0"/>
  </r>
  <r>
    <x v="452"/>
    <x v="125"/>
    <x v="72"/>
    <n v="8"/>
    <n v="6"/>
    <n v="25.6"/>
    <n v="204.8"/>
    <n v="208"/>
    <n v="1248"/>
    <n v="1.015625"/>
    <e v="#N/A"/>
    <e v="#N/A"/>
    <s v="160"/>
    <m/>
    <n v="1"/>
    <n v="207"/>
    <n v="0.99519230769230771"/>
    <m/>
    <m/>
    <s v=""/>
    <m/>
    <x v="0"/>
    <x v="0"/>
    <m/>
    <m/>
    <m/>
    <x v="0"/>
    <x v="0"/>
  </r>
  <r>
    <x v="452"/>
    <x v="11"/>
    <x v="11"/>
    <n v="64"/>
    <n v="2.8"/>
    <n v="44.5"/>
    <n v="2205.1428571428569"/>
    <n v="2266"/>
    <n v="6344.7999999999993"/>
    <n v="1.0275978232702774"/>
    <n v="1"/>
    <n v="2.8000000000000001E-2"/>
    <s v="550"/>
    <m/>
    <n v="1"/>
    <n v="2265"/>
    <n v="0.99955869373345096"/>
    <s v="1141003-01B"/>
    <n v="56"/>
    <s v="D9920(18kg)100桶"/>
    <m/>
    <x v="0"/>
    <x v="0"/>
    <m/>
    <m/>
    <m/>
    <x v="0"/>
    <x v="0"/>
  </r>
  <r>
    <x v="452"/>
    <x v="19"/>
    <x v="19"/>
    <n v="0.5"/>
    <n v="6"/>
    <n v="25.5"/>
    <n v="12.75"/>
    <n v="10"/>
    <n v="60"/>
    <n v="0.78431372549019607"/>
    <n v="1"/>
    <n v="-0.216"/>
    <s v="86"/>
    <m/>
    <n v="1"/>
    <n v="9"/>
    <n v="0.9"/>
    <m/>
    <m/>
    <s v="(研發測試)"/>
    <m/>
    <x v="0"/>
    <x v="0"/>
    <m/>
    <m/>
    <m/>
    <x v="0"/>
    <x v="0"/>
  </r>
  <r>
    <x v="452"/>
    <x v="141"/>
    <x v="121"/>
    <n v="1"/>
    <n v="1"/>
    <n v="0"/>
    <n v="0"/>
    <n v="460"/>
    <n v="460"/>
    <s v="無法預估數據"/>
    <e v="#N/A"/>
    <s v="無法預估數據"/>
    <s v="0"/>
    <m/>
    <n v="0"/>
    <n v="460"/>
    <n v="1"/>
    <m/>
    <m/>
    <s v=""/>
    <m/>
    <x v="0"/>
    <x v="0"/>
    <m/>
    <m/>
    <m/>
    <x v="0"/>
    <x v="0"/>
  </r>
  <r>
    <x v="453"/>
    <x v="9"/>
    <x v="9"/>
    <n v="24"/>
    <n v="6"/>
    <n v="25.7"/>
    <n v="616.79999999999995"/>
    <n v="626"/>
    <n v="3756"/>
    <n v="1.0149156939040209"/>
    <n v="1"/>
    <n v="1.4999999999999999E-2"/>
    <s v="265"/>
    <m/>
    <n v="1"/>
    <n v="625"/>
    <n v="0.99840255591054317"/>
    <m/>
    <m/>
    <m/>
    <m/>
    <x v="0"/>
    <x v="0"/>
    <m/>
    <m/>
    <m/>
    <x v="0"/>
    <x v="0"/>
  </r>
  <r>
    <x v="453"/>
    <x v="10"/>
    <x v="10"/>
    <n v="20"/>
    <n v="6"/>
    <n v="25.4"/>
    <n v="508"/>
    <n v="505"/>
    <n v="3030"/>
    <n v="0.99409448818897639"/>
    <n v="1"/>
    <n v="-6.0000000000000001E-3"/>
    <s v="510"/>
    <m/>
    <n v="1"/>
    <n v="504"/>
    <n v="0.99801980198019802"/>
    <m/>
    <m/>
    <m/>
    <m/>
    <x v="0"/>
    <x v="0"/>
    <m/>
    <m/>
    <m/>
    <x v="0"/>
    <x v="0"/>
  </r>
  <r>
    <x v="453"/>
    <x v="46"/>
    <x v="17"/>
    <n v="21"/>
    <n v="3"/>
    <n v="31.6"/>
    <n v="663.6"/>
    <n v="668"/>
    <n v="2004"/>
    <n v="1.0066305003013862"/>
    <n v="1"/>
    <n v="7.0000000000000001E-3"/>
    <s v="540"/>
    <m/>
    <n v="0"/>
    <n v="668"/>
    <n v="1"/>
    <m/>
    <m/>
    <s v=""/>
    <m/>
    <x v="0"/>
    <x v="0"/>
    <m/>
    <m/>
    <m/>
    <x v="0"/>
    <x v="0"/>
  </r>
  <r>
    <x v="453"/>
    <x v="41"/>
    <x v="39"/>
    <n v="32"/>
    <n v="2.8"/>
    <n v="44.2"/>
    <n v="1414.4"/>
    <n v="1397"/>
    <n v="3911.6"/>
    <n v="0.98769796380090491"/>
    <n v="1"/>
    <n v="-1.2E-2"/>
    <s v="300"/>
    <m/>
    <n v="1"/>
    <n v="1396"/>
    <n v="0.99928418038654254"/>
    <m/>
    <m/>
    <s v=""/>
    <m/>
    <x v="0"/>
    <x v="0"/>
    <m/>
    <m/>
    <m/>
    <x v="0"/>
    <x v="0"/>
  </r>
  <r>
    <x v="453"/>
    <x v="114"/>
    <x v="103"/>
    <n v="16"/>
    <n v="0.8"/>
    <n v="155.5"/>
    <n v="2488"/>
    <n v="2448"/>
    <n v="1958.4"/>
    <n v="0.98392282958199362"/>
    <n v="1"/>
    <n v="-1.6E-2"/>
    <s v="250"/>
    <m/>
    <n v="2"/>
    <n v="2446"/>
    <n v="0.99918300653594772"/>
    <m/>
    <m/>
    <s v=""/>
    <m/>
    <x v="0"/>
    <x v="0"/>
    <m/>
    <m/>
    <m/>
    <x v="0"/>
    <x v="0"/>
  </r>
  <r>
    <x v="453"/>
    <x v="97"/>
    <x v="88"/>
    <n v="30"/>
    <n v="1"/>
    <n v="6"/>
    <n v="180"/>
    <n v="182"/>
    <n v="182"/>
    <n v="1.0111111111111111"/>
    <n v="1"/>
    <n v="1.0999999999999999E-2"/>
    <s v="0"/>
    <m/>
    <n v="0"/>
    <n v="182"/>
    <n v="1"/>
    <m/>
    <m/>
    <m/>
    <m/>
    <x v="0"/>
    <x v="0"/>
    <m/>
    <m/>
    <m/>
    <x v="0"/>
    <x v="0"/>
  </r>
  <r>
    <x v="453"/>
    <x v="96"/>
    <x v="87"/>
    <n v="50"/>
    <n v="1"/>
    <n v="5.7"/>
    <n v="285"/>
    <n v="294"/>
    <n v="294"/>
    <n v="1.0315789473684212"/>
    <n v="1"/>
    <n v="3.2000000000000001E-2"/>
    <s v="0"/>
    <m/>
    <n v="0"/>
    <n v="294"/>
    <n v="1"/>
    <m/>
    <m/>
    <m/>
    <m/>
    <x v="0"/>
    <x v="0"/>
    <m/>
    <m/>
    <m/>
    <x v="0"/>
    <x v="0"/>
  </r>
  <r>
    <x v="454"/>
    <x v="15"/>
    <x v="15"/>
    <n v="72"/>
    <n v="3.2"/>
    <n v="46.8"/>
    <n v="3369.6"/>
    <n v="3452"/>
    <n v="11046.400000000001"/>
    <n v="1.0244539411206077"/>
    <n v="1"/>
    <n v="2.4E-2"/>
    <s v="540"/>
    <m/>
    <n v="2"/>
    <n v="3450"/>
    <n v="0.99942062572421786"/>
    <s v="1141107-01A "/>
    <n v="180"/>
    <m/>
    <m/>
    <x v="0"/>
    <x v="0"/>
    <m/>
    <m/>
    <m/>
    <x v="0"/>
    <x v="0"/>
  </r>
  <r>
    <x v="454"/>
    <x v="9"/>
    <x v="9"/>
    <n v="16"/>
    <n v="6"/>
    <n v="25.7"/>
    <n v="411.2"/>
    <n v="454"/>
    <n v="2724"/>
    <n v="1.1040856031128405"/>
    <n v="1"/>
    <n v="0.104"/>
    <s v="210"/>
    <m/>
    <n v="1"/>
    <n v="453"/>
    <n v="0.99779735682819382"/>
    <m/>
    <m/>
    <m/>
    <m/>
    <x v="0"/>
    <x v="0"/>
    <m/>
    <m/>
    <m/>
    <x v="0"/>
    <x v="0"/>
  </r>
  <r>
    <x v="454"/>
    <x v="19"/>
    <x v="19"/>
    <n v="8"/>
    <n v="6"/>
    <n v="25.5"/>
    <n v="204"/>
    <n v="198"/>
    <n v="1188"/>
    <n v="0.97058823529411764"/>
    <n v="1"/>
    <n v="-2.9000000000000001E-2"/>
    <s v="140"/>
    <m/>
    <n v="1"/>
    <n v="197"/>
    <n v="0.99494949494949492"/>
    <m/>
    <m/>
    <s v=""/>
    <m/>
    <x v="0"/>
    <x v="0"/>
    <m/>
    <m/>
    <m/>
    <x v="0"/>
    <x v="0"/>
  </r>
  <r>
    <x v="454"/>
    <x v="18"/>
    <x v="18"/>
    <n v="16"/>
    <n v="6"/>
    <n v="26.4"/>
    <n v="422.4"/>
    <n v="431"/>
    <n v="2586"/>
    <n v="1.0203598484848486"/>
    <n v="1"/>
    <n v="0.02"/>
    <s v="271"/>
    <m/>
    <n v="2"/>
    <n v="429"/>
    <n v="0.9953596287703016"/>
    <m/>
    <m/>
    <s v=""/>
    <m/>
    <x v="0"/>
    <x v="0"/>
    <m/>
    <m/>
    <m/>
    <x v="0"/>
    <x v="0"/>
  </r>
  <r>
    <x v="454"/>
    <x v="23"/>
    <x v="22"/>
    <n v="36"/>
    <n v="0.34"/>
    <n v="364.6"/>
    <n v="13125.6"/>
    <n v="12925"/>
    <n v="4394.5"/>
    <n v="0.98471688913268729"/>
    <n v="1"/>
    <n v="-1.4999999999999999E-2"/>
    <s v="560"/>
    <m/>
    <n v="3"/>
    <n v="12922"/>
    <n v="0.99976789168278535"/>
    <m/>
    <m/>
    <m/>
    <m/>
    <x v="0"/>
    <x v="0"/>
    <m/>
    <m/>
    <m/>
    <x v="0"/>
    <x v="0"/>
  </r>
  <r>
    <x v="454"/>
    <x v="141"/>
    <x v="121"/>
    <n v="1"/>
    <n v="1"/>
    <n v="0"/>
    <n v="0"/>
    <n v="495"/>
    <n v="495"/>
    <s v="無法預估數據"/>
    <e v="#N/A"/>
    <s v="無法預估數據"/>
    <s v="0"/>
    <m/>
    <n v="0"/>
    <n v="495"/>
    <n v="1"/>
    <m/>
    <m/>
    <s v=""/>
    <m/>
    <x v="0"/>
    <x v="0"/>
    <m/>
    <m/>
    <m/>
    <x v="0"/>
    <x v="0"/>
  </r>
  <r>
    <x v="455"/>
    <x v="131"/>
    <x v="105"/>
    <n v="6"/>
    <n v="6"/>
    <n v="25.2"/>
    <n v="151.19999999999999"/>
    <n v="157"/>
    <n v="942"/>
    <n v="1.0383597883597884"/>
    <e v="#N/A"/>
    <e v="#N/A"/>
    <s v="140"/>
    <m/>
    <n v="1"/>
    <n v="156"/>
    <n v="0.99363057324840764"/>
    <m/>
    <m/>
    <s v=""/>
    <m/>
    <x v="0"/>
    <x v="0"/>
    <m/>
    <m/>
    <m/>
    <x v="0"/>
    <x v="0"/>
  </r>
  <r>
    <x v="455"/>
    <x v="28"/>
    <x v="19"/>
    <n v="32"/>
    <n v="6"/>
    <n v="25.5"/>
    <n v="816"/>
    <n v="829"/>
    <n v="4974"/>
    <n v="1.0159313725490196"/>
    <n v="1"/>
    <n v="1.6E-2"/>
    <s v="343"/>
    <m/>
    <n v="1"/>
    <n v="828"/>
    <n v="0.99879372738238847"/>
    <m/>
    <m/>
    <m/>
    <m/>
    <x v="0"/>
    <x v="0"/>
    <m/>
    <m/>
    <m/>
    <x v="0"/>
    <x v="0"/>
  </r>
  <r>
    <x v="455"/>
    <x v="1"/>
    <x v="1"/>
    <n v="6"/>
    <n v="6"/>
    <n v="25.7"/>
    <n v="154.19999999999999"/>
    <n v="156"/>
    <n v="936"/>
    <n v="1.0116731517509729"/>
    <n v="1"/>
    <n v="1.2E-2"/>
    <s v="160"/>
    <m/>
    <n v="1"/>
    <n v="155"/>
    <n v="0.99358974358974361"/>
    <m/>
    <m/>
    <m/>
    <m/>
    <x v="0"/>
    <x v="0"/>
    <m/>
    <m/>
    <m/>
    <x v="0"/>
    <x v="0"/>
  </r>
  <r>
    <x v="455"/>
    <x v="48"/>
    <x v="17"/>
    <n v="21"/>
    <n v="3"/>
    <n v="30.8"/>
    <n v="646.80000000000007"/>
    <n v="648"/>
    <n v="1944"/>
    <n v="1.0018552875695732"/>
    <n v="1"/>
    <n v="2E-3"/>
    <s v="540"/>
    <m/>
    <n v="0"/>
    <n v="648"/>
    <n v="1"/>
    <m/>
    <m/>
    <s v=""/>
    <m/>
    <x v="0"/>
    <x v="0"/>
    <m/>
    <m/>
    <m/>
    <x v="0"/>
    <x v="0"/>
  </r>
  <r>
    <x v="455"/>
    <x v="34"/>
    <x v="32"/>
    <n v="16"/>
    <n v="0.34"/>
    <n v="358.3"/>
    <n v="5732.8"/>
    <n v="5773"/>
    <n v="1962.8200000000002"/>
    <n v="1.0070122802121126"/>
    <n v="1"/>
    <n v="7.0000000000000001E-3"/>
    <s v="405"/>
    <m/>
    <n v="4"/>
    <n v="5769"/>
    <n v="0.99930711934869221"/>
    <m/>
    <m/>
    <s v="E0120佳樂美300箱(紅蓋)，味榮(D1520)充填281g~286g出貨足量1801瓶"/>
    <m/>
    <x v="0"/>
    <x v="0"/>
    <m/>
    <m/>
    <m/>
    <x v="0"/>
    <x v="0"/>
  </r>
  <r>
    <x v="455"/>
    <x v="112"/>
    <x v="55"/>
    <n v="4"/>
    <n v="0.28999999999999998"/>
    <n v="0"/>
    <n v="0"/>
    <n v="1802"/>
    <n v="522.57999999999993"/>
    <s v="無法預估數據"/>
    <n v="1"/>
    <s v="無法預估數據"/>
    <s v="335"/>
    <m/>
    <n v="1"/>
    <n v="1801"/>
    <n v="0.99944506104328523"/>
    <m/>
    <m/>
    <s v="E0120佳樂美300箱(紅蓋)，味榮(D1520)充填281g~286g出貨足量1801瓶"/>
    <m/>
    <x v="0"/>
    <x v="0"/>
    <m/>
    <m/>
    <m/>
    <x v="0"/>
    <x v="0"/>
  </r>
  <r>
    <x v="455"/>
    <x v="141"/>
    <x v="121"/>
    <n v="1"/>
    <n v="1"/>
    <n v="0"/>
    <n v="0"/>
    <n v="510"/>
    <n v="510"/>
    <s v="無法預估數據"/>
    <e v="#N/A"/>
    <s v="無法預估數據"/>
    <s v="0"/>
    <m/>
    <n v="0"/>
    <n v="510"/>
    <n v="1"/>
    <m/>
    <m/>
    <s v=""/>
    <m/>
    <x v="0"/>
    <x v="0"/>
    <m/>
    <m/>
    <m/>
    <x v="0"/>
    <x v="0"/>
  </r>
  <r>
    <x v="456"/>
    <x v="8"/>
    <x v="8"/>
    <n v="28"/>
    <n v="0.44"/>
    <n v="344"/>
    <n v="9632"/>
    <n v="9539"/>
    <n v="4197.16"/>
    <n v="0.99034468438538203"/>
    <n v="1"/>
    <n v="-0.01"/>
    <s v="390"/>
    <m/>
    <n v="7"/>
    <n v="9532"/>
    <n v="0.99926617045811927"/>
    <m/>
    <m/>
    <m/>
    <m/>
    <x v="0"/>
    <x v="0"/>
    <m/>
    <m/>
    <m/>
    <x v="0"/>
    <x v="0"/>
  </r>
  <r>
    <x v="456"/>
    <x v="43"/>
    <x v="41"/>
    <n v="16"/>
    <n v="0.26"/>
    <n v="584.29999999999995"/>
    <n v="9348.7999999999993"/>
    <n v="9619"/>
    <n v="2500.94"/>
    <n v="1.0289021050830054"/>
    <n v="1"/>
    <n v="2.9000000000000001E-2"/>
    <s v="330"/>
    <m/>
    <n v="28"/>
    <n v="9591"/>
    <n v="0.99708909450046779"/>
    <m/>
    <m/>
    <s v="，瓶器225cc醬菜瓶。"/>
    <m/>
    <x v="0"/>
    <x v="0"/>
    <m/>
    <m/>
    <m/>
    <x v="0"/>
    <x v="0"/>
  </r>
  <r>
    <x v="456"/>
    <x v="9"/>
    <x v="9"/>
    <n v="24"/>
    <n v="6"/>
    <n v="25.7"/>
    <n v="616.79999999999995"/>
    <n v="696"/>
    <n v="4176"/>
    <n v="1.1284046692607004"/>
    <n v="1"/>
    <n v="0.128"/>
    <s v="510"/>
    <m/>
    <n v="5"/>
    <n v="691"/>
    <n v="0.99281609195402298"/>
    <m/>
    <m/>
    <m/>
    <m/>
    <x v="0"/>
    <x v="0"/>
    <m/>
    <m/>
    <m/>
    <x v="0"/>
    <x v="0"/>
  </r>
  <r>
    <x v="456"/>
    <x v="36"/>
    <x v="34"/>
    <n v="6"/>
    <n v="6"/>
    <n v="24.3"/>
    <n v="145.80000000000001"/>
    <n v="175"/>
    <n v="1050"/>
    <n v="1.2002743484224965"/>
    <n v="1"/>
    <n v="0.2"/>
    <s v="270"/>
    <m/>
    <n v="1"/>
    <n v="174"/>
    <n v="0.99428571428571433"/>
    <s v="1141208-01A "/>
    <n v="144"/>
    <s v=""/>
    <m/>
    <x v="0"/>
    <x v="0"/>
    <m/>
    <m/>
    <m/>
    <x v="0"/>
    <x v="0"/>
  </r>
  <r>
    <x v="456"/>
    <x v="47"/>
    <x v="42"/>
    <n v="12"/>
    <n v="6"/>
    <n v="25.6"/>
    <n v="307.20000000000005"/>
    <n v="308"/>
    <n v="1848"/>
    <n v="1.0026041666666665"/>
    <n v="1"/>
    <n v="3.0000000000000001E-3"/>
    <s v="434"/>
    <m/>
    <n v="2"/>
    <n v="306"/>
    <n v="0.99350649350649356"/>
    <m/>
    <m/>
    <s v=""/>
    <m/>
    <x v="0"/>
    <x v="0"/>
    <m/>
    <m/>
    <m/>
    <x v="0"/>
    <x v="0"/>
  </r>
  <r>
    <x v="456"/>
    <x v="35"/>
    <x v="33"/>
    <n v="8"/>
    <n v="18"/>
    <n v="6.6"/>
    <n v="52.8"/>
    <n v="52"/>
    <n v="936"/>
    <n v="0.98484848484848486"/>
    <n v="1"/>
    <n v="-1.4999999999999999E-2"/>
    <s v="120"/>
    <m/>
    <n v="0"/>
    <n v="52"/>
    <n v="1"/>
    <m/>
    <m/>
    <s v=""/>
    <m/>
    <x v="0"/>
    <x v="0"/>
    <m/>
    <m/>
    <m/>
    <x v="0"/>
    <x v="0"/>
  </r>
  <r>
    <x v="456"/>
    <x v="55"/>
    <x v="48"/>
    <n v="24"/>
    <n v="18"/>
    <n v="6.9"/>
    <n v="165.60000000000002"/>
    <n v="172"/>
    <n v="3096"/>
    <n v="1.038647342995169"/>
    <n v="1"/>
    <n v="3.9E-2"/>
    <s v="245"/>
    <m/>
    <n v="0"/>
    <n v="172"/>
    <n v="1"/>
    <m/>
    <m/>
    <s v=""/>
    <m/>
    <x v="0"/>
    <x v="0"/>
    <m/>
    <m/>
    <m/>
    <x v="0"/>
    <x v="0"/>
  </r>
  <r>
    <x v="456"/>
    <x v="61"/>
    <x v="33"/>
    <n v="24"/>
    <n v="18"/>
    <n v="6.9"/>
    <n v="165.60000000000002"/>
    <n v="172"/>
    <n v="3096"/>
    <n v="1.038647342995169"/>
    <n v="1"/>
    <n v="3.9E-2"/>
    <s v="230"/>
    <m/>
    <n v="0"/>
    <n v="172"/>
    <n v="1"/>
    <m/>
    <m/>
    <s v=""/>
    <m/>
    <x v="0"/>
    <x v="0"/>
    <m/>
    <m/>
    <m/>
    <x v="0"/>
    <x v="0"/>
  </r>
  <r>
    <x v="456"/>
    <x v="141"/>
    <x v="121"/>
    <n v="1"/>
    <n v="1"/>
    <n v="0"/>
    <n v="0"/>
    <n v="510"/>
    <n v="510"/>
    <s v="無法預估數據"/>
    <e v="#N/A"/>
    <s v="無法預估數據"/>
    <s v="0"/>
    <m/>
    <n v="0"/>
    <n v="510"/>
    <n v="1"/>
    <m/>
    <m/>
    <s v=""/>
    <m/>
    <x v="0"/>
    <x v="0"/>
    <m/>
    <m/>
    <m/>
    <x v="0"/>
    <x v="0"/>
  </r>
  <r>
    <x v="457"/>
    <x v="2"/>
    <x v="2"/>
    <n v="28"/>
    <n v="6"/>
    <n v="26.6"/>
    <n v="744.80000000000007"/>
    <n v="732"/>
    <n v="4392"/>
    <n v="0.98281417830289997"/>
    <n v="1"/>
    <n v="-1.7000000000000001E-2"/>
    <s v="380"/>
    <m/>
    <n v="1"/>
    <n v="731"/>
    <n v="0.99863387978142082"/>
    <m/>
    <m/>
    <s v=""/>
    <m/>
    <x v="0"/>
    <x v="0"/>
    <m/>
    <m/>
    <m/>
    <x v="0"/>
    <x v="0"/>
  </r>
  <r>
    <x v="457"/>
    <x v="0"/>
    <x v="0"/>
    <n v="18"/>
    <n v="6"/>
    <n v="25.5"/>
    <n v="459"/>
    <n v="455"/>
    <n v="2730"/>
    <n v="0.99128540305010893"/>
    <n v="1"/>
    <n v="-8.9999999999999993E-3"/>
    <s v="269"/>
    <m/>
    <n v="1"/>
    <n v="454"/>
    <n v="0.99780219780219781"/>
    <m/>
    <m/>
    <s v=""/>
    <m/>
    <x v="0"/>
    <x v="0"/>
    <m/>
    <m/>
    <m/>
    <x v="0"/>
    <x v="0"/>
  </r>
  <r>
    <x v="457"/>
    <x v="5"/>
    <x v="5"/>
    <n v="12"/>
    <n v="9.08"/>
    <n v="17.3"/>
    <n v="207.60000000000002"/>
    <n v="206"/>
    <n v="1870.48"/>
    <n v="0.9922928709055876"/>
    <n v="1"/>
    <n v="-8.0000000000000002E-3"/>
    <s v="182"/>
    <m/>
    <n v="0"/>
    <n v="206"/>
    <n v="1"/>
    <m/>
    <m/>
    <s v=""/>
    <m/>
    <x v="0"/>
    <x v="0"/>
    <m/>
    <m/>
    <m/>
    <x v="0"/>
    <x v="0"/>
  </r>
  <r>
    <x v="457"/>
    <x v="108"/>
    <x v="45"/>
    <n v="6"/>
    <n v="9.08"/>
    <n v="17.399999999999999"/>
    <n v="104.39999999999999"/>
    <n v="109"/>
    <n v="989.72"/>
    <n v="1.0440613026819925"/>
    <n v="1"/>
    <n v="4.3999999999999997E-2"/>
    <s v="150"/>
    <m/>
    <n v="0"/>
    <n v="109"/>
    <n v="1"/>
    <m/>
    <m/>
    <s v="(貼誠成標籤)"/>
    <m/>
    <x v="0"/>
    <x v="0"/>
    <m/>
    <m/>
    <m/>
    <x v="0"/>
    <x v="0"/>
  </r>
  <r>
    <x v="457"/>
    <x v="115"/>
    <x v="104"/>
    <n v="16"/>
    <n v="4.5"/>
    <n v="37"/>
    <n v="592"/>
    <n v="599"/>
    <n v="2695.5"/>
    <n v="1.0118243243243243"/>
    <n v="1"/>
    <n v="1.2E-2"/>
    <s v="275"/>
    <m/>
    <n v="0"/>
    <n v="599"/>
    <n v="1"/>
    <m/>
    <m/>
    <s v=""/>
    <m/>
    <x v="0"/>
    <x v="0"/>
    <m/>
    <m/>
    <m/>
    <x v="0"/>
    <x v="0"/>
  </r>
  <r>
    <x v="457"/>
    <x v="64"/>
    <x v="55"/>
    <n v="8"/>
    <n v="0.28999999999999998"/>
    <n v="412.6"/>
    <n v="3300.8"/>
    <n v="3438"/>
    <n v="997.02"/>
    <n v="1.0415656810470189"/>
    <n v="1"/>
    <n v="4.2000000000000003E-2"/>
    <s v="335"/>
    <m/>
    <n v="3"/>
    <n v="3435"/>
    <n v="0.99912739965095987"/>
    <m/>
    <m/>
    <m/>
    <m/>
    <x v="0"/>
    <x v="0"/>
    <m/>
    <m/>
    <m/>
    <x v="0"/>
    <x v="0"/>
  </r>
  <r>
    <x v="457"/>
    <x v="11"/>
    <x v="11"/>
    <n v="36"/>
    <n v="2.8"/>
    <n v="44.5"/>
    <n v="1248.4285714285713"/>
    <n v="1270"/>
    <n v="3556"/>
    <n v="1.0172788648586795"/>
    <n v="1"/>
    <n v="1.7000000000000001E-2"/>
    <s v="420"/>
    <m/>
    <n v="1"/>
    <n v="1269"/>
    <n v="0.99921259842519683"/>
    <s v="1141003-01B"/>
    <n v="63"/>
    <s v="美芝城*50箱、D9920(18kg)*55桶"/>
    <m/>
    <x v="0"/>
    <x v="0"/>
    <m/>
    <m/>
    <m/>
    <x v="0"/>
    <x v="0"/>
  </r>
  <r>
    <x v="457"/>
    <x v="95"/>
    <x v="86"/>
    <n v="1"/>
    <n v="1"/>
    <n v="942"/>
    <n v="942"/>
    <n v="945"/>
    <n v="945"/>
    <n v="1.0031847133757963"/>
    <n v="1"/>
    <n v="3.0000000000000001E-3"/>
    <s v="0"/>
    <m/>
    <n v="0"/>
    <n v="945"/>
    <n v="1"/>
    <m/>
    <m/>
    <s v=""/>
    <m/>
    <x v="0"/>
    <x v="0"/>
    <m/>
    <m/>
    <m/>
    <x v="0"/>
    <x v="0"/>
  </r>
  <r>
    <x v="458"/>
    <x v="10"/>
    <x v="10"/>
    <n v="20"/>
    <n v="6"/>
    <n v="25.4"/>
    <n v="508"/>
    <n v="517"/>
    <n v="3102"/>
    <n v="1.0177165354330708"/>
    <n v="1"/>
    <n v="1.7999999999999999E-2"/>
    <s v="300"/>
    <m/>
    <n v="1"/>
    <n v="516"/>
    <n v="0.99806576402321079"/>
    <m/>
    <m/>
    <m/>
    <m/>
    <x v="0"/>
    <x v="0"/>
    <m/>
    <m/>
    <m/>
    <x v="0"/>
    <x v="0"/>
  </r>
  <r>
    <x v="458"/>
    <x v="9"/>
    <x v="9"/>
    <n v="20"/>
    <n v="6"/>
    <n v="25.7"/>
    <n v="514"/>
    <n v="584"/>
    <n v="3504"/>
    <n v="1.1361867704280155"/>
    <n v="1"/>
    <n v="0.13600000000000001"/>
    <s v="270"/>
    <m/>
    <n v="1"/>
    <n v="583"/>
    <n v="0.99828767123287676"/>
    <m/>
    <m/>
    <m/>
    <m/>
    <x v="0"/>
    <x v="0"/>
    <m/>
    <m/>
    <m/>
    <x v="0"/>
    <x v="0"/>
  </r>
  <r>
    <x v="458"/>
    <x v="17"/>
    <x v="17"/>
    <n v="15"/>
    <n v="3"/>
    <n v="29.7"/>
    <n v="445.5"/>
    <n v="480"/>
    <n v="1440"/>
    <n v="1.0774410774410774"/>
    <n v="1"/>
    <n v="7.6999999999999999E-2"/>
    <s v="480"/>
    <m/>
    <n v="0"/>
    <n v="480"/>
    <n v="1"/>
    <m/>
    <m/>
    <s v=""/>
    <m/>
    <x v="0"/>
    <x v="0"/>
    <m/>
    <m/>
    <m/>
    <x v="0"/>
    <x v="0"/>
  </r>
  <r>
    <x v="458"/>
    <x v="41"/>
    <x v="39"/>
    <n v="64"/>
    <n v="2.8"/>
    <n v="44.2"/>
    <n v="2185.9428571428571"/>
    <n v="2181"/>
    <n v="6106.7999999999993"/>
    <n v="0.99773879855701364"/>
    <n v="1"/>
    <n v="-2E-3"/>
    <s v="570"/>
    <m/>
    <n v="7"/>
    <n v="2174"/>
    <n v="0.99679046309032548"/>
    <m/>
    <m/>
    <s v="D9921(18kg)100桶"/>
    <m/>
    <x v="0"/>
    <x v="0"/>
    <m/>
    <m/>
    <m/>
    <x v="0"/>
    <x v="0"/>
  </r>
  <r>
    <x v="458"/>
    <x v="141"/>
    <x v="121"/>
    <n v="1"/>
    <n v="1"/>
    <n v="0"/>
    <n v="0"/>
    <n v="480"/>
    <n v="480"/>
    <s v="無法預估數據"/>
    <e v="#N/A"/>
    <s v="無法預估數據"/>
    <s v="0"/>
    <m/>
    <n v="0"/>
    <n v="480"/>
    <n v="1"/>
    <m/>
    <m/>
    <s v=""/>
    <m/>
    <x v="0"/>
    <x v="0"/>
    <m/>
    <m/>
    <m/>
    <x v="0"/>
    <x v="0"/>
  </r>
  <r>
    <x v="459"/>
    <x v="15"/>
    <x v="15"/>
    <n v="36"/>
    <n v="3.2"/>
    <n v="46.8"/>
    <n v="1684.8"/>
    <n v="1762"/>
    <n v="5638.4000000000005"/>
    <n v="1.0458214624881292"/>
    <n v="1"/>
    <n v="4.5999999999999999E-2"/>
    <s v="240"/>
    <m/>
    <n v="3"/>
    <n v="1759"/>
    <n v="0.99829738933030643"/>
    <s v="1141107-01A "/>
    <n v="167"/>
    <m/>
    <m/>
    <x v="0"/>
    <x v="0"/>
    <m/>
    <m/>
    <m/>
    <x v="0"/>
    <x v="0"/>
  </r>
  <r>
    <x v="459"/>
    <x v="13"/>
    <x v="13"/>
    <n v="20"/>
    <n v="0.9"/>
    <n v="160.5"/>
    <n v="3210"/>
    <n v="1200"/>
    <n v="1080"/>
    <n v="0.37383177570093457"/>
    <n v="1"/>
    <n v="-0.626"/>
    <s v="300"/>
    <m/>
    <n v="1"/>
    <n v="1199"/>
    <n v="0.99916666666666665"/>
    <m/>
    <m/>
    <s v="D2010美芝城100箱"/>
    <m/>
    <x v="0"/>
    <x v="0"/>
    <m/>
    <m/>
    <m/>
    <x v="0"/>
    <x v="0"/>
  </r>
  <r>
    <x v="459"/>
    <x v="28"/>
    <x v="19"/>
    <n v="32"/>
    <n v="6"/>
    <n v="25.5"/>
    <n v="816"/>
    <n v="2095"/>
    <n v="12570"/>
    <n v="2.5674019607843137"/>
    <n v="1"/>
    <n v="1.5669999999999999"/>
    <s v="510"/>
    <m/>
    <n v="4"/>
    <n v="2091"/>
    <n v="0.99809069212410506"/>
    <m/>
    <m/>
    <m/>
    <m/>
    <x v="0"/>
    <x v="0"/>
    <m/>
    <m/>
    <m/>
    <x v="0"/>
    <x v="0"/>
  </r>
  <r>
    <x v="459"/>
    <x v="125"/>
    <x v="72"/>
    <n v="5"/>
    <n v="6"/>
    <n v="25.6"/>
    <n v="128"/>
    <n v="127"/>
    <n v="762"/>
    <n v="0.9921875"/>
    <e v="#N/A"/>
    <e v="#N/A"/>
    <s v="480"/>
    <m/>
    <n v="3"/>
    <n v="124"/>
    <n v="0.97637795275590555"/>
    <m/>
    <m/>
    <s v=""/>
    <m/>
    <x v="0"/>
    <x v="0"/>
    <m/>
    <m/>
    <m/>
    <x v="0"/>
    <x v="0"/>
  </r>
  <r>
    <x v="459"/>
    <x v="11"/>
    <x v="11"/>
    <n v="32"/>
    <n v="2.8"/>
    <n v="44.5"/>
    <n v="1006.1428571428571"/>
    <n v="1031"/>
    <n v="2886.7999999999997"/>
    <n v="1.0247053812295897"/>
    <n v="1"/>
    <n v="2.5000000000000001E-2"/>
    <s v="300"/>
    <m/>
    <n v="1"/>
    <n v="1030"/>
    <n v="0.99903006789524729"/>
    <s v="1141003-01B"/>
    <n v="56"/>
    <s v="D2021美芝城100箱；D9920(18kg)*65桶"/>
    <m/>
    <x v="0"/>
    <x v="0"/>
    <m/>
    <m/>
    <m/>
    <x v="0"/>
    <x v="0"/>
  </r>
  <r>
    <x v="459"/>
    <x v="79"/>
    <x v="71"/>
    <n v="8"/>
    <n v="8"/>
    <n v="19.600000000000001"/>
    <n v="156.80000000000001"/>
    <n v="158"/>
    <n v="1264"/>
    <n v="1.0076530612244898"/>
    <n v="1"/>
    <n v="8.0000000000000002E-3"/>
    <s v="310"/>
    <m/>
    <n v="0"/>
    <n v="158"/>
    <n v="1"/>
    <m/>
    <m/>
    <s v=""/>
    <m/>
    <x v="0"/>
    <x v="0"/>
    <m/>
    <m/>
    <m/>
    <x v="0"/>
    <x v="0"/>
  </r>
  <r>
    <x v="460"/>
    <x v="30"/>
    <x v="28"/>
    <n v="20"/>
    <n v="0.43"/>
    <n v="340.4"/>
    <n v="6808"/>
    <n v="6898"/>
    <n v="2966.14"/>
    <n v="1.013219741480611"/>
    <n v="1"/>
    <n v="1.2999999999999999E-2"/>
    <s v="430"/>
    <m/>
    <n v="20"/>
    <n v="6878"/>
    <n v="0.99710060887213681"/>
    <m/>
    <m/>
    <s v="，麥味登*360箱"/>
    <m/>
    <x v="0"/>
    <x v="0"/>
    <m/>
    <m/>
    <m/>
    <x v="0"/>
    <x v="0"/>
  </r>
  <r>
    <x v="460"/>
    <x v="71"/>
    <x v="61"/>
    <n v="4"/>
    <n v="0.17"/>
    <n v="912.6"/>
    <n v="3650.4"/>
    <n v="3547"/>
    <n v="602.99"/>
    <n v="0.97167433705895245"/>
    <n v="1"/>
    <n v="-2.8000000000000001E-2"/>
    <s v="200"/>
    <m/>
    <n v="16"/>
    <n v="3531"/>
    <n v="0.99548914575697778"/>
    <m/>
    <m/>
    <m/>
    <m/>
    <x v="0"/>
    <x v="0"/>
    <m/>
    <m/>
    <m/>
    <x v="0"/>
    <x v="0"/>
  </r>
  <r>
    <x v="460"/>
    <x v="9"/>
    <x v="9"/>
    <n v="28"/>
    <n v="6"/>
    <n v="25.7"/>
    <n v="719.6"/>
    <n v="806"/>
    <n v="4836"/>
    <n v="1.1200667037242913"/>
    <n v="1"/>
    <n v="0.12"/>
    <s v="323"/>
    <m/>
    <n v="1"/>
    <n v="805"/>
    <n v="0.99875930521091816"/>
    <m/>
    <m/>
    <m/>
    <m/>
    <x v="0"/>
    <x v="0"/>
    <m/>
    <m/>
    <m/>
    <x v="0"/>
    <x v="0"/>
  </r>
  <r>
    <x v="460"/>
    <x v="19"/>
    <x v="19"/>
    <n v="8"/>
    <n v="6"/>
    <n v="25.5"/>
    <n v="204"/>
    <n v="199"/>
    <n v="1194"/>
    <n v="0.97549019607843135"/>
    <n v="1"/>
    <n v="-2.5000000000000001E-2"/>
    <s v="114"/>
    <m/>
    <n v="1"/>
    <n v="198"/>
    <n v="0.99497487437185927"/>
    <m/>
    <m/>
    <s v=""/>
    <m/>
    <x v="0"/>
    <x v="0"/>
    <m/>
    <m/>
    <m/>
    <x v="0"/>
    <x v="0"/>
  </r>
  <r>
    <x v="460"/>
    <x v="82"/>
    <x v="74"/>
    <n v="6"/>
    <n v="6"/>
    <n v="24.5"/>
    <n v="147"/>
    <n v="147"/>
    <n v="882"/>
    <n v="1"/>
    <n v="1"/>
    <n v="0"/>
    <s v="140"/>
    <m/>
    <n v="1"/>
    <n v="146"/>
    <n v="0.99319727891156462"/>
    <m/>
    <m/>
    <s v=""/>
    <m/>
    <x v="0"/>
    <x v="0"/>
    <m/>
    <m/>
    <m/>
    <x v="0"/>
    <x v="0"/>
  </r>
  <r>
    <x v="460"/>
    <x v="11"/>
    <x v="11"/>
    <n v="64"/>
    <n v="2.8"/>
    <n v="44.5"/>
    <n v="2848"/>
    <n v="2910"/>
    <n v="8147.9999999999991"/>
    <n v="1.0217696629213484"/>
    <n v="1"/>
    <n v="2.1999999999999999E-2"/>
    <s v="500"/>
    <m/>
    <n v="1"/>
    <n v="2909"/>
    <n v="0.99965635738831615"/>
    <s v="1141003-01B"/>
    <n v="112"/>
    <m/>
    <m/>
    <x v="0"/>
    <x v="0"/>
    <m/>
    <m/>
    <m/>
    <x v="0"/>
    <x v="0"/>
  </r>
  <r>
    <x v="461"/>
    <x v="8"/>
    <x v="8"/>
    <n v="28"/>
    <n v="0.44"/>
    <n v="344"/>
    <n v="9632"/>
    <n v="9657"/>
    <n v="4249.08"/>
    <n v="1.0025955149501662"/>
    <n v="1"/>
    <n v="3.0000000000000001E-3"/>
    <s v="400"/>
    <m/>
    <n v="13"/>
    <n v="9644"/>
    <n v="0.99865382624003318"/>
    <m/>
    <m/>
    <s v="，(5-7mm)"/>
    <m/>
    <x v="0"/>
    <x v="0"/>
    <m/>
    <m/>
    <m/>
    <x v="0"/>
    <x v="0"/>
  </r>
  <r>
    <x v="461"/>
    <x v="117"/>
    <x v="106"/>
    <n v="4"/>
    <n v="0.26"/>
    <n v="612"/>
    <n v="2448"/>
    <n v="2174"/>
    <n v="565.24"/>
    <n v="0.88807189542483655"/>
    <n v="1"/>
    <n v="-0.112"/>
    <s v="240"/>
    <m/>
    <n v="15"/>
    <n v="2159"/>
    <n v="0.99310027598896045"/>
    <m/>
    <m/>
    <s v=""/>
    <m/>
    <x v="0"/>
    <x v="0"/>
    <m/>
    <m/>
    <m/>
    <x v="0"/>
    <x v="0"/>
  </r>
  <r>
    <x v="461"/>
    <x v="53"/>
    <x v="46"/>
    <n v="4"/>
    <n v="4.5"/>
    <n v="34.5"/>
    <n v="138"/>
    <n v="136"/>
    <n v="612"/>
    <n v="0.98550724637681164"/>
    <n v="1"/>
    <n v="-1.4E-2"/>
    <s v="115"/>
    <m/>
    <n v="0"/>
    <n v="136"/>
    <n v="1"/>
    <m/>
    <m/>
    <m/>
    <m/>
    <x v="0"/>
    <x v="0"/>
    <m/>
    <m/>
    <m/>
    <x v="0"/>
    <x v="0"/>
  </r>
  <r>
    <x v="461"/>
    <x v="3"/>
    <x v="3"/>
    <n v="36"/>
    <n v="4.5"/>
    <n v="36.299999999999997"/>
    <n v="1306.8"/>
    <n v="1317"/>
    <n v="5926.5"/>
    <n v="1.0078053259871442"/>
    <n v="1"/>
    <n v="8.0000000000000002E-3"/>
    <s v="473"/>
    <m/>
    <n v="0"/>
    <n v="1317"/>
    <n v="1"/>
    <m/>
    <m/>
    <m/>
    <m/>
    <x v="0"/>
    <x v="0"/>
    <m/>
    <m/>
    <m/>
    <x v="0"/>
    <x v="0"/>
  </r>
  <r>
    <x v="461"/>
    <x v="11"/>
    <x v="11"/>
    <n v="64"/>
    <n v="2.8"/>
    <n v="44.5"/>
    <n v="2848"/>
    <n v="2893"/>
    <n v="8100.4"/>
    <n v="1.0158005617977528"/>
    <n v="1"/>
    <n v="1.6E-2"/>
    <s v="520"/>
    <m/>
    <n v="2"/>
    <n v="2891"/>
    <n v="0.99930867611475982"/>
    <s v="1141003-01B"/>
    <n v="112"/>
    <m/>
    <m/>
    <x v="0"/>
    <x v="0"/>
    <m/>
    <m/>
    <m/>
    <x v="0"/>
    <x v="0"/>
  </r>
  <r>
    <x v="461"/>
    <x v="94"/>
    <x v="85"/>
    <n v="1"/>
    <n v="1"/>
    <n v="591"/>
    <n v="591"/>
    <n v="496"/>
    <n v="496"/>
    <n v="0.83925549915397635"/>
    <n v="1"/>
    <n v="-0.161"/>
    <s v="0"/>
    <m/>
    <n v="0"/>
    <n v="496"/>
    <n v="1"/>
    <m/>
    <m/>
    <s v="(舊)"/>
    <m/>
    <x v="0"/>
    <x v="0"/>
    <m/>
    <m/>
    <m/>
    <x v="0"/>
    <x v="0"/>
  </r>
  <r>
    <x v="462"/>
    <x v="15"/>
    <x v="15"/>
    <n v="72"/>
    <n v="3.2"/>
    <n v="46.8"/>
    <n v="3369.6"/>
    <n v="3448"/>
    <n v="11033.6"/>
    <n v="1.0232668566001899"/>
    <n v="1"/>
    <n v="2.3E-2"/>
    <s v="570"/>
    <m/>
    <n v="2"/>
    <n v="3446"/>
    <n v="0.99941995359628766"/>
    <s v="1141107-01A "/>
    <n v="279"/>
    <m/>
    <m/>
    <x v="0"/>
    <x v="0"/>
    <m/>
    <m/>
    <m/>
    <x v="0"/>
    <x v="0"/>
  </r>
  <r>
    <x v="462"/>
    <x v="9"/>
    <x v="9"/>
    <n v="28"/>
    <n v="6"/>
    <n v="25.7"/>
    <n v="719.6"/>
    <n v="792"/>
    <n v="4752"/>
    <n v="1.1006114508060032"/>
    <n v="1"/>
    <n v="0.10100000000000001"/>
    <s v="540"/>
    <m/>
    <n v="3"/>
    <n v="789"/>
    <n v="0.99621212121212122"/>
    <m/>
    <m/>
    <s v=""/>
    <m/>
    <x v="0"/>
    <x v="0"/>
    <m/>
    <m/>
    <m/>
    <x v="0"/>
    <x v="0"/>
  </r>
  <r>
    <x v="462"/>
    <x v="45"/>
    <x v="10"/>
    <n v="16"/>
    <n v="6"/>
    <n v="26.4"/>
    <n v="422.4"/>
    <n v="413"/>
    <n v="2478"/>
    <n v="0.97774621212121215"/>
    <n v="1"/>
    <n v="-2.1999999999999999E-2"/>
    <s v="600"/>
    <m/>
    <n v="1"/>
    <n v="412"/>
    <n v="0.99757869249394671"/>
    <m/>
    <m/>
    <s v=""/>
    <m/>
    <x v="0"/>
    <x v="0"/>
    <m/>
    <m/>
    <m/>
    <x v="0"/>
    <x v="0"/>
  </r>
  <r>
    <x v="462"/>
    <x v="142"/>
    <x v="6"/>
    <n v="2"/>
    <n v="0.4"/>
    <n v="309.2"/>
    <n v="618.4"/>
    <n v="367"/>
    <n v="146.80000000000001"/>
    <n v="0.59346701164294957"/>
    <e v="#N/A"/>
    <e v="#N/A"/>
    <s v="90"/>
    <m/>
    <n v="1"/>
    <n v="366"/>
    <n v="0.99727520435967298"/>
    <s v="1141208-01A "/>
    <m/>
    <s v="(研發測試)"/>
    <m/>
    <x v="0"/>
    <x v="0"/>
    <m/>
    <m/>
    <m/>
    <x v="0"/>
    <x v="0"/>
  </r>
  <r>
    <x v="462"/>
    <x v="6"/>
    <x v="6"/>
    <n v="32"/>
    <n v="0.4"/>
    <n v="309.2"/>
    <n v="9894.4"/>
    <n v="10241"/>
    <n v="4096.4000000000005"/>
    <n v="1.0350299159120311"/>
    <n v="1"/>
    <n v="3.5000000000000003E-2"/>
    <s v="510"/>
    <m/>
    <n v="3"/>
    <n v="10238"/>
    <n v="0.9997070598574358"/>
    <m/>
    <m/>
    <s v=""/>
    <m/>
    <x v="0"/>
    <x v="0"/>
    <m/>
    <m/>
    <m/>
    <x v="0"/>
    <x v="0"/>
  </r>
  <r>
    <x v="463"/>
    <x v="1"/>
    <x v="1"/>
    <n v="6"/>
    <n v="6"/>
    <n v="25.7"/>
    <n v="154.19999999999999"/>
    <n v="155"/>
    <n v="930"/>
    <n v="1.0051880674448768"/>
    <n v="1"/>
    <n v="5.0000000000000001E-3"/>
    <s v="150"/>
    <m/>
    <n v="0"/>
    <n v="155"/>
    <n v="1"/>
    <m/>
    <m/>
    <n v="0"/>
    <m/>
    <x v="0"/>
    <x v="0"/>
    <m/>
    <m/>
    <m/>
    <x v="0"/>
    <x v="0"/>
  </r>
  <r>
    <x v="463"/>
    <x v="47"/>
    <x v="42"/>
    <n v="6"/>
    <n v="6"/>
    <n v="25.6"/>
    <n v="153.60000000000002"/>
    <n v="153"/>
    <n v="918"/>
    <n v="0.99609374999999989"/>
    <n v="1"/>
    <n v="-4.0000000000000001E-3"/>
    <s v="150"/>
    <m/>
    <n v="0"/>
    <n v="153"/>
    <n v="1"/>
    <m/>
    <m/>
    <s v=""/>
    <m/>
    <x v="0"/>
    <x v="0"/>
    <m/>
    <m/>
    <m/>
    <x v="0"/>
    <x v="0"/>
  </r>
  <r>
    <x v="463"/>
    <x v="2"/>
    <x v="2"/>
    <n v="32"/>
    <n v="6"/>
    <n v="26.6"/>
    <n v="851.2"/>
    <n v="836"/>
    <n v="5016"/>
    <n v="0.9821428571428571"/>
    <n v="1"/>
    <n v="-1.7999999999999999E-2"/>
    <s v="405"/>
    <m/>
    <n v="0"/>
    <n v="836"/>
    <n v="1"/>
    <m/>
    <m/>
    <s v=""/>
    <m/>
    <x v="0"/>
    <x v="0"/>
    <m/>
    <m/>
    <m/>
    <x v="0"/>
    <x v="0"/>
  </r>
  <r>
    <x v="463"/>
    <x v="77"/>
    <x v="69"/>
    <n v="3"/>
    <n v="4.5"/>
    <n v="32.9"/>
    <n v="98.699999999999989"/>
    <n v="100"/>
    <n v="450"/>
    <n v="1.0131712259371835"/>
    <n v="1"/>
    <n v="1.2999999999999999E-2"/>
    <s v="130"/>
    <m/>
    <n v="0"/>
    <n v="100"/>
    <n v="1"/>
    <m/>
    <m/>
    <s v=""/>
    <m/>
    <x v="0"/>
    <x v="0"/>
    <m/>
    <m/>
    <m/>
    <x v="0"/>
    <x v="0"/>
  </r>
  <r>
    <x v="463"/>
    <x v="52"/>
    <x v="46"/>
    <n v="12"/>
    <n v="4.5"/>
    <n v="35.6"/>
    <n v="427.20000000000005"/>
    <n v="414"/>
    <n v="1863"/>
    <n v="0.96910112359550549"/>
    <n v="1"/>
    <n v="-3.1E-2"/>
    <s v="230"/>
    <m/>
    <n v="0"/>
    <n v="414"/>
    <n v="1"/>
    <m/>
    <m/>
    <s v=""/>
    <m/>
    <x v="0"/>
    <x v="0"/>
    <m/>
    <m/>
    <m/>
    <x v="0"/>
    <x v="0"/>
  </r>
  <r>
    <x v="463"/>
    <x v="67"/>
    <x v="58"/>
    <n v="8"/>
    <n v="4.5"/>
    <n v="33.200000000000003"/>
    <n v="265.60000000000002"/>
    <n v="273"/>
    <n v="1228.5"/>
    <n v="1.0278614457831325"/>
    <n v="1"/>
    <n v="2.8000000000000001E-2"/>
    <s v="175"/>
    <m/>
    <n v="0"/>
    <n v="273"/>
    <n v="1"/>
    <m/>
    <m/>
    <s v="，(5-7mm)"/>
    <m/>
    <x v="0"/>
    <x v="0"/>
    <m/>
    <m/>
    <m/>
    <x v="0"/>
    <x v="0"/>
  </r>
  <r>
    <x v="463"/>
    <x v="39"/>
    <x v="37"/>
    <n v="12"/>
    <n v="4.5"/>
    <n v="36"/>
    <n v="432"/>
    <n v="434"/>
    <n v="1953"/>
    <n v="1.0046296296296295"/>
    <n v="1"/>
    <n v="5.0000000000000001E-3"/>
    <s v="220"/>
    <m/>
    <n v="0"/>
    <n v="434"/>
    <n v="1"/>
    <m/>
    <m/>
    <s v=""/>
    <m/>
    <x v="0"/>
    <x v="0"/>
    <m/>
    <m/>
    <m/>
    <x v="0"/>
    <x v="0"/>
  </r>
  <r>
    <x v="463"/>
    <x v="46"/>
    <x v="17"/>
    <n v="21"/>
    <n v="3"/>
    <n v="31.6"/>
    <n v="663.6"/>
    <n v="668"/>
    <n v="2004"/>
    <n v="1.0066305003013862"/>
    <n v="1"/>
    <n v="7.0000000000000001E-3"/>
    <s v="510"/>
    <m/>
    <n v="0"/>
    <n v="668"/>
    <n v="1"/>
    <m/>
    <m/>
    <s v=""/>
    <m/>
    <x v="0"/>
    <x v="0"/>
    <m/>
    <m/>
    <m/>
    <x v="0"/>
    <x v="0"/>
  </r>
  <r>
    <x v="463"/>
    <x v="97"/>
    <x v="88"/>
    <n v="50"/>
    <n v="1"/>
    <n v="6"/>
    <n v="300"/>
    <n v="308"/>
    <n v="308"/>
    <n v="1.0266666666666666"/>
    <n v="1"/>
    <n v="2.7E-2"/>
    <m/>
    <m/>
    <n v="0"/>
    <n v="308"/>
    <n v="1"/>
    <m/>
    <m/>
    <m/>
    <m/>
    <x v="0"/>
    <x v="0"/>
    <m/>
    <m/>
    <m/>
    <x v="0"/>
    <x v="0"/>
  </r>
  <r>
    <x v="463"/>
    <x v="96"/>
    <x v="87"/>
    <n v="30"/>
    <n v="1"/>
    <n v="5.7"/>
    <n v="171"/>
    <n v="145"/>
    <n v="145"/>
    <n v="0.84795321637426901"/>
    <n v="1"/>
    <n v="-0.152"/>
    <m/>
    <m/>
    <n v="0"/>
    <n v="145"/>
    <n v="1"/>
    <m/>
    <m/>
    <m/>
    <m/>
    <x v="0"/>
    <x v="0"/>
    <m/>
    <m/>
    <m/>
    <x v="0"/>
    <x v="0"/>
  </r>
  <r>
    <x v="464"/>
    <x v="27"/>
    <x v="26"/>
    <n v="72"/>
    <n v="3.2"/>
    <n v="47.5"/>
    <n v="3420"/>
    <n v="3371"/>
    <n v="10787.2"/>
    <n v="0.98567251461988303"/>
    <n v="1"/>
    <n v="-1.4E-2"/>
    <s v="540"/>
    <m/>
    <n v="2"/>
    <n v="3369"/>
    <n v="0.99940670424206468"/>
    <m/>
    <m/>
    <s v=""/>
    <m/>
    <x v="0"/>
    <x v="0"/>
    <m/>
    <m/>
    <m/>
    <x v="0"/>
    <x v="0"/>
  </r>
  <r>
    <x v="464"/>
    <x v="16"/>
    <x v="16"/>
    <n v="24"/>
    <n v="6"/>
    <n v="26.1"/>
    <n v="626.40000000000009"/>
    <n v="631"/>
    <n v="3786"/>
    <n v="1.0073435504469985"/>
    <n v="1"/>
    <n v="7.0000000000000001E-3"/>
    <s v="310"/>
    <m/>
    <n v="2"/>
    <n v="629"/>
    <n v="0.99683042789223453"/>
    <m/>
    <m/>
    <s v=""/>
    <m/>
    <x v="0"/>
    <x v="0"/>
    <m/>
    <m/>
    <m/>
    <x v="0"/>
    <x v="0"/>
  </r>
  <r>
    <x v="464"/>
    <x v="9"/>
    <x v="9"/>
    <n v="20"/>
    <n v="6"/>
    <n v="25.7"/>
    <n v="514"/>
    <n v="574"/>
    <n v="3444"/>
    <n v="1.1167315175097277"/>
    <n v="1"/>
    <n v="0.11700000000000001"/>
    <s v="270"/>
    <m/>
    <n v="1"/>
    <n v="573"/>
    <n v="0.99825783972125437"/>
    <m/>
    <m/>
    <s v=""/>
    <m/>
    <x v="0"/>
    <x v="0"/>
    <m/>
    <m/>
    <m/>
    <x v="0"/>
    <x v="0"/>
  </r>
  <r>
    <x v="464"/>
    <x v="17"/>
    <x v="17"/>
    <n v="21"/>
    <n v="3"/>
    <n v="29.7"/>
    <n v="623.69999999999993"/>
    <n v="628"/>
    <n v="1884"/>
    <n v="1.0068943402276738"/>
    <n v="1"/>
    <n v="7.0000000000000001E-3"/>
    <s v="570"/>
    <m/>
    <n v="0"/>
    <n v="628"/>
    <n v="1"/>
    <m/>
    <m/>
    <s v=""/>
    <m/>
    <x v="0"/>
    <x v="0"/>
    <m/>
    <m/>
    <m/>
    <x v="0"/>
    <x v="0"/>
  </r>
  <r>
    <x v="465"/>
    <x v="10"/>
    <x v="10"/>
    <n v="16"/>
    <n v="6"/>
    <n v="25.4"/>
    <n v="406.4"/>
    <n v="405"/>
    <n v="2430"/>
    <n v="0.99655511811023623"/>
    <n v="1"/>
    <n v="-3.0000000000000001E-3"/>
    <s v="200"/>
    <m/>
    <n v="1"/>
    <n v="404"/>
    <n v="0.9975308641975309"/>
    <m/>
    <m/>
    <s v="，(A16.B12)。"/>
    <m/>
    <x v="0"/>
    <x v="0"/>
    <m/>
    <m/>
    <m/>
    <x v="0"/>
    <x v="0"/>
  </r>
  <r>
    <x v="465"/>
    <x v="19"/>
    <x v="19"/>
    <n v="8"/>
    <n v="6"/>
    <n v="25.5"/>
    <n v="204"/>
    <n v="190"/>
    <n v="1140"/>
    <n v="0.93137254901960786"/>
    <n v="1"/>
    <n v="-6.9000000000000006E-2"/>
    <s v="160"/>
    <m/>
    <n v="190"/>
    <n v="0"/>
    <n v="0"/>
    <s v="1150109-01A"/>
    <m/>
    <s v="現場D0111暫行配方研發課未更新為最新版本，導致現場人員仍用舊版本進行製程，發現時已生產完畢。當下已全部投料無法作調整，因此之後需當重工品再使用"/>
    <m/>
    <x v="0"/>
    <x v="0"/>
    <m/>
    <m/>
    <m/>
    <x v="0"/>
    <x v="0"/>
  </r>
  <r>
    <x v="465"/>
    <x v="51"/>
    <x v="45"/>
    <n v="12"/>
    <n v="9.08"/>
    <n v="17.8"/>
    <n v="213.60000000000002"/>
    <n v="214"/>
    <n v="1943.1200000000001"/>
    <n v="1.0018726591760299"/>
    <n v="1"/>
    <n v="2E-3"/>
    <s v="210"/>
    <m/>
    <n v="0"/>
    <n v="214"/>
    <n v="1"/>
    <m/>
    <m/>
    <s v=""/>
    <m/>
    <x v="0"/>
    <x v="0"/>
    <m/>
    <m/>
    <m/>
    <x v="0"/>
    <x v="0"/>
  </r>
  <r>
    <x v="465"/>
    <x v="48"/>
    <x v="17"/>
    <n v="21"/>
    <n v="3"/>
    <n v="30.8"/>
    <n v="646.80000000000007"/>
    <n v="648"/>
    <n v="1944"/>
    <n v="1.0018552875695732"/>
    <n v="1"/>
    <n v="2E-3"/>
    <s v="510"/>
    <m/>
    <n v="0"/>
    <n v="648"/>
    <n v="1"/>
    <m/>
    <m/>
    <s v=""/>
    <m/>
    <x v="0"/>
    <x v="0"/>
    <m/>
    <m/>
    <m/>
    <x v="0"/>
    <x v="0"/>
  </r>
  <r>
    <x v="465"/>
    <x v="11"/>
    <x v="11"/>
    <n v="32"/>
    <n v="2.8"/>
    <n v="44.5"/>
    <n v="1102.5714285714284"/>
    <n v="1116"/>
    <n v="3124.7999999999997"/>
    <n v="1.0121793210676342"/>
    <n v="1"/>
    <n v="1.2E-2"/>
    <s v="300"/>
    <m/>
    <n v="1"/>
    <n v="1115"/>
    <n v="0.99910394265232971"/>
    <s v="1141003-01B"/>
    <n v="56"/>
    <s v="D9920*50桶"/>
    <m/>
    <x v="0"/>
    <x v="0"/>
    <m/>
    <m/>
    <m/>
    <x v="0"/>
    <x v="0"/>
  </r>
  <r>
    <x v="465"/>
    <x v="41"/>
    <x v="39"/>
    <n v="32"/>
    <n v="2.8"/>
    <n v="44.2"/>
    <n v="636.5428571428572"/>
    <n v="650"/>
    <n v="1819.9999999999998"/>
    <n v="1.021140984783877"/>
    <n v="1"/>
    <n v="2.1000000000000001E-2"/>
    <s v="355"/>
    <m/>
    <n v="1"/>
    <n v="649"/>
    <n v="0.99846153846153851"/>
    <m/>
    <m/>
    <s v="D9921*121桶"/>
    <m/>
    <x v="0"/>
    <x v="0"/>
    <m/>
    <m/>
    <m/>
    <x v="0"/>
    <x v="0"/>
  </r>
  <r>
    <x v="465"/>
    <x v="141"/>
    <x v="121"/>
    <n v="1"/>
    <n v="1"/>
    <n v="0"/>
    <n v="0"/>
    <n v="495"/>
    <n v="495"/>
    <s v="無法預估數據"/>
    <e v="#N/A"/>
    <s v="無法預估數據"/>
    <m/>
    <m/>
    <n v="0"/>
    <n v="495"/>
    <n v="1"/>
    <m/>
    <m/>
    <s v=""/>
    <m/>
    <x v="0"/>
    <x v="0"/>
    <m/>
    <m/>
    <m/>
    <x v="0"/>
    <x v="0"/>
  </r>
  <r>
    <x v="465"/>
    <x v="102"/>
    <x v="92"/>
    <n v="1"/>
    <n v="1"/>
    <n v="142"/>
    <n v="142"/>
    <n v="159"/>
    <n v="159"/>
    <n v="1.119718309859155"/>
    <n v="1"/>
    <n v="0.12"/>
    <m/>
    <m/>
    <n v="0"/>
    <n v="159"/>
    <n v="1"/>
    <m/>
    <m/>
    <s v=""/>
    <m/>
    <x v="0"/>
    <x v="0"/>
    <m/>
    <m/>
    <m/>
    <x v="0"/>
    <x v="0"/>
  </r>
  <r>
    <x v="466"/>
    <x v="65"/>
    <x v="56"/>
    <n v="24"/>
    <n v="9.5"/>
    <n v="16.600000000000001"/>
    <n v="398.40000000000003"/>
    <n v="395"/>
    <n v="3752.5"/>
    <n v="0.99146586345381515"/>
    <n v="1"/>
    <n v="-8.9999999999999993E-3"/>
    <s v="340"/>
    <m/>
    <n v="0"/>
    <n v="395"/>
    <n v="1"/>
    <m/>
    <m/>
    <s v=""/>
    <m/>
    <x v="0"/>
    <x v="0"/>
    <m/>
    <m/>
    <m/>
    <x v="0"/>
    <x v="0"/>
  </r>
  <r>
    <x v="466"/>
    <x v="50"/>
    <x v="44"/>
    <n v="12"/>
    <n v="4.5"/>
    <n v="36.799999999999997"/>
    <n v="441.59999999999997"/>
    <n v="441"/>
    <n v="1984.5"/>
    <n v="0.99864130434782616"/>
    <n v="1"/>
    <n v="-1E-3"/>
    <s v="210"/>
    <m/>
    <n v="0"/>
    <n v="441"/>
    <n v="1"/>
    <m/>
    <m/>
    <s v=""/>
    <m/>
    <x v="0"/>
    <x v="0"/>
    <m/>
    <m/>
    <m/>
    <x v="0"/>
    <x v="0"/>
  </r>
  <r>
    <x v="466"/>
    <x v="17"/>
    <x v="17"/>
    <n v="21"/>
    <n v="3"/>
    <n v="29.7"/>
    <n v="623.69999999999993"/>
    <n v="628"/>
    <n v="1884"/>
    <n v="1.0068943402276738"/>
    <n v="1"/>
    <n v="7.0000000000000001E-3"/>
    <s v="510"/>
    <m/>
    <n v="0"/>
    <n v="628"/>
    <n v="1"/>
    <m/>
    <m/>
    <s v=""/>
    <m/>
    <x v="0"/>
    <x v="0"/>
    <m/>
    <m/>
    <m/>
    <x v="0"/>
    <x v="0"/>
  </r>
  <r>
    <x v="466"/>
    <x v="143"/>
    <x v="32"/>
    <n v="4"/>
    <n v="0.34"/>
    <n v="358.3"/>
    <n v="1433.2"/>
    <n v="1213"/>
    <n v="412.42"/>
    <n v="0.84635780072564892"/>
    <e v="#N/A"/>
    <e v="#N/A"/>
    <s v="90"/>
    <m/>
    <n v="3"/>
    <n v="1210"/>
    <n v="0.99752679307502057"/>
    <s v="1141208-01A "/>
    <m/>
    <s v="(紅蓋)(研發測試)"/>
    <m/>
    <x v="0"/>
    <x v="0"/>
    <m/>
    <m/>
    <m/>
    <x v="0"/>
    <x v="0"/>
  </r>
  <r>
    <x v="466"/>
    <x v="34"/>
    <x v="32"/>
    <n v="16"/>
    <n v="0.34"/>
    <n v="358.3"/>
    <n v="5732.8"/>
    <n v="5933"/>
    <n v="2017.2200000000003"/>
    <n v="1.0349218531956461"/>
    <n v="1"/>
    <n v="3.5000000000000003E-2"/>
    <s v="260"/>
    <m/>
    <n v="5"/>
    <n v="5928"/>
    <n v="0.99915725602561944"/>
    <m/>
    <m/>
    <s v="(紅蓋)+E0120佳樂美(紅蓋)200箱(2027.01.12)"/>
    <m/>
    <x v="0"/>
    <x v="0"/>
    <m/>
    <m/>
    <m/>
    <x v="0"/>
    <x v="0"/>
  </r>
  <r>
    <x v="466"/>
    <x v="24"/>
    <x v="23"/>
    <n v="20"/>
    <n v="0.34"/>
    <n v="366"/>
    <n v="7320"/>
    <n v="7331"/>
    <n v="2492.54"/>
    <n v="1.0015027322404371"/>
    <n v="1"/>
    <n v="2E-3"/>
    <s v="400"/>
    <m/>
    <n v="5"/>
    <n v="7326"/>
    <n v="0.99931796480698409"/>
    <m/>
    <m/>
    <s v="(黃蓋)+E0121佳樂美(黃蓋)200箱(2027.01.12)"/>
    <m/>
    <x v="0"/>
    <x v="0"/>
    <m/>
    <m/>
    <m/>
    <x v="0"/>
    <x v="0"/>
  </r>
  <r>
    <x v="466"/>
    <x v="94"/>
    <x v="85"/>
    <n v="1"/>
    <n v="1"/>
    <n v="591"/>
    <n v="591"/>
    <n v="504"/>
    <n v="504"/>
    <n v="0.85279187817258884"/>
    <n v="1"/>
    <n v="-0.14699999999999999"/>
    <s v="0"/>
    <m/>
    <n v="0"/>
    <n v="504"/>
    <n v="1"/>
    <m/>
    <m/>
    <s v="(新)"/>
    <m/>
    <x v="0"/>
    <x v="0"/>
    <m/>
    <m/>
    <m/>
    <x v="0"/>
    <x v="0"/>
  </r>
  <r>
    <x v="467"/>
    <x v="13"/>
    <x v="13"/>
    <n v="20"/>
    <n v="0.9"/>
    <n v="160.5"/>
    <n v="3210"/>
    <n v="3228"/>
    <n v="2905.2000000000003"/>
    <n v="1.0056074766355141"/>
    <n v="1"/>
    <n v="6.0000000000000001E-3"/>
    <s v="300"/>
    <m/>
    <n v="2"/>
    <n v="3226"/>
    <n v="0.99938042131350679"/>
    <m/>
    <m/>
    <s v=""/>
    <m/>
    <x v="0"/>
    <x v="0"/>
    <m/>
    <m/>
    <m/>
    <x v="0"/>
    <x v="0"/>
  </r>
  <r>
    <x v="467"/>
    <x v="15"/>
    <x v="15"/>
    <n v="36"/>
    <n v="3.2"/>
    <n v="46.8"/>
    <n v="1684.8"/>
    <n v="1683"/>
    <n v="5385.6"/>
    <n v="0.99893162393162394"/>
    <n v="1"/>
    <n v="-1E-3"/>
    <s v="330"/>
    <m/>
    <n v="3"/>
    <n v="1680"/>
    <n v="0.99821746880570406"/>
    <m/>
    <m/>
    <s v=""/>
    <m/>
    <x v="0"/>
    <x v="0"/>
    <m/>
    <m/>
    <m/>
    <x v="0"/>
    <x v="0"/>
  </r>
  <r>
    <x v="467"/>
    <x v="3"/>
    <x v="3"/>
    <n v="36"/>
    <n v="4.5"/>
    <n v="36.299999999999997"/>
    <n v="1306.8"/>
    <n v="1301"/>
    <n v="5854.5"/>
    <n v="0.99556167737985923"/>
    <n v="1"/>
    <n v="-4.0000000000000001E-3"/>
    <s v="450"/>
    <m/>
    <n v="0"/>
    <n v="1301"/>
    <n v="1"/>
    <m/>
    <m/>
    <m/>
    <m/>
    <x v="0"/>
    <x v="0"/>
    <m/>
    <m/>
    <m/>
    <x v="0"/>
    <x v="0"/>
  </r>
  <r>
    <x v="467"/>
    <x v="38"/>
    <x v="36"/>
    <n v="3"/>
    <n v="4.5"/>
    <n v="32.799999999999997"/>
    <n v="98.399999999999991"/>
    <n v="100"/>
    <n v="450"/>
    <n v="1.0162601626016261"/>
    <n v="1"/>
    <n v="1.6E-2"/>
    <s v="145"/>
    <m/>
    <n v="0"/>
    <n v="100"/>
    <n v="1"/>
    <m/>
    <m/>
    <s v=""/>
    <m/>
    <x v="0"/>
    <x v="0"/>
    <m/>
    <m/>
    <m/>
    <x v="0"/>
    <x v="0"/>
  </r>
  <r>
    <x v="467"/>
    <x v="11"/>
    <x v="11"/>
    <n v="72"/>
    <n v="2.8"/>
    <n v="44.5"/>
    <n v="3204"/>
    <n v="3272"/>
    <n v="9161.5999999999985"/>
    <n v="1.021223470661673"/>
    <n v="1"/>
    <n v="2.1000000000000001E-2"/>
    <s v="550"/>
    <m/>
    <n v="1"/>
    <n v="3271"/>
    <n v="0.99969437652811732"/>
    <s v="1141003-01B"/>
    <n v="49"/>
    <m/>
    <m/>
    <x v="0"/>
    <x v="0"/>
    <m/>
    <m/>
    <m/>
    <x v="0"/>
    <x v="0"/>
  </r>
  <r>
    <x v="467"/>
    <x v="96"/>
    <x v="87"/>
    <n v="30"/>
    <n v="1"/>
    <n v="5.7"/>
    <n v="171"/>
    <n v="152"/>
    <n v="152"/>
    <n v="0.88888888888888884"/>
    <n v="1"/>
    <n v="-0.111"/>
    <s v="0"/>
    <m/>
    <n v="0"/>
    <n v="152"/>
    <n v="1"/>
    <m/>
    <m/>
    <m/>
    <m/>
    <x v="0"/>
    <x v="0"/>
    <m/>
    <m/>
    <m/>
    <x v="0"/>
    <x v="0"/>
  </r>
  <r>
    <x v="468"/>
    <x v="43"/>
    <x v="41"/>
    <n v="16"/>
    <n v="0.26"/>
    <n v="584.29999999999995"/>
    <n v="9348.7999999999993"/>
    <n v="9536"/>
    <n v="2479.36"/>
    <n v="1.0200239602943695"/>
    <n v="1"/>
    <n v="0.02"/>
    <s v="330"/>
    <m/>
    <n v="16"/>
    <n v="9520"/>
    <n v="0.99832214765100669"/>
    <m/>
    <m/>
    <s v="瓶器225cc醬菜瓶。"/>
    <m/>
    <x v="0"/>
    <x v="0"/>
    <m/>
    <m/>
    <m/>
    <x v="0"/>
    <x v="0"/>
  </r>
  <r>
    <x v="468"/>
    <x v="49"/>
    <x v="43"/>
    <n v="15"/>
    <n v="0.43"/>
    <n v="364"/>
    <n v="5460"/>
    <n v="5679"/>
    <n v="2441.9699999999998"/>
    <n v="1.0401098901098902"/>
    <n v="1"/>
    <n v="0.04"/>
    <s v="300"/>
    <m/>
    <n v="14"/>
    <n v="5665"/>
    <n v="0.99753477724951578"/>
    <m/>
    <m/>
    <m/>
    <m/>
    <x v="0"/>
    <x v="0"/>
    <m/>
    <m/>
    <m/>
    <x v="0"/>
    <x v="0"/>
  </r>
  <r>
    <x v="468"/>
    <x v="9"/>
    <x v="9"/>
    <n v="20"/>
    <n v="6"/>
    <n v="25.7"/>
    <n v="514"/>
    <n v="576"/>
    <n v="3456"/>
    <n v="1.1206225680933852"/>
    <n v="1"/>
    <n v="0.121"/>
    <s v="270"/>
    <m/>
    <n v="1"/>
    <n v="575"/>
    <n v="0.99826388888888884"/>
    <m/>
    <m/>
    <m/>
    <m/>
    <x v="0"/>
    <x v="0"/>
    <m/>
    <m/>
    <m/>
    <x v="0"/>
    <x v="0"/>
  </r>
  <r>
    <x v="468"/>
    <x v="28"/>
    <x v="19"/>
    <n v="16"/>
    <n v="6"/>
    <n v="25.5"/>
    <n v="408"/>
    <n v="412"/>
    <n v="2472"/>
    <n v="1.0098039215686274"/>
    <n v="1"/>
    <n v="0.01"/>
    <s v="222"/>
    <m/>
    <n v="2"/>
    <n v="410"/>
    <n v="0.99514563106796117"/>
    <m/>
    <m/>
    <m/>
    <m/>
    <x v="0"/>
    <x v="0"/>
    <m/>
    <m/>
    <m/>
    <x v="0"/>
    <x v="0"/>
  </r>
  <r>
    <x v="468"/>
    <x v="19"/>
    <x v="19"/>
    <n v="8"/>
    <n v="6"/>
    <n v="25.5"/>
    <n v="204"/>
    <n v="199"/>
    <n v="1194"/>
    <n v="0.97549019607843135"/>
    <n v="1"/>
    <n v="-2.5000000000000001E-2"/>
    <s v="150"/>
    <m/>
    <n v="2"/>
    <n v="197"/>
    <n v="0.98994974874371855"/>
    <m/>
    <m/>
    <m/>
    <m/>
    <x v="0"/>
    <x v="0"/>
    <m/>
    <m/>
    <m/>
    <x v="0"/>
    <x v="0"/>
  </r>
  <r>
    <x v="468"/>
    <x v="11"/>
    <x v="11"/>
    <n v="72"/>
    <n v="2.8"/>
    <n v="44.5"/>
    <n v="3075.4285714285716"/>
    <n v="3098"/>
    <n v="8674.4"/>
    <n v="1.0073392790784095"/>
    <n v="1"/>
    <n v="7.0000000000000001E-3"/>
    <s v="550"/>
    <m/>
    <n v="1"/>
    <n v="3097"/>
    <n v="0.99967721110393803"/>
    <m/>
    <m/>
    <s v="D9920(18kg)*20桶"/>
    <m/>
    <x v="0"/>
    <x v="0"/>
    <m/>
    <m/>
    <m/>
    <x v="0"/>
    <x v="0"/>
  </r>
  <r>
    <x v="468"/>
    <x v="141"/>
    <x v="121"/>
    <n v="1"/>
    <n v="1"/>
    <n v="0"/>
    <n v="0"/>
    <n v="480"/>
    <n v="480"/>
    <s v="無法預估數據"/>
    <e v="#N/A"/>
    <s v="無法預估數據"/>
    <s v="0"/>
    <m/>
    <n v="0"/>
    <n v="480"/>
    <n v="1"/>
    <m/>
    <m/>
    <s v=""/>
    <m/>
    <x v="0"/>
    <x v="0"/>
    <m/>
    <m/>
    <m/>
    <x v="0"/>
    <x v="0"/>
  </r>
  <r>
    <x v="469"/>
    <x v="26"/>
    <x v="25"/>
    <n v="20"/>
    <n v="0.9"/>
    <n v="163"/>
    <n v="3260"/>
    <n v="3239"/>
    <n v="2915.1"/>
    <n v="0.99355828220858899"/>
    <n v="1"/>
    <n v="-6.0000000000000001E-3"/>
    <s v="300"/>
    <m/>
    <n v="2"/>
    <n v="3237"/>
    <n v="0.99938252547082429"/>
    <m/>
    <m/>
    <s v=""/>
    <m/>
    <x v="0"/>
    <x v="0"/>
    <m/>
    <m/>
    <m/>
    <x v="0"/>
    <x v="0"/>
  </r>
  <r>
    <x v="469"/>
    <x v="21"/>
    <x v="21"/>
    <n v="36"/>
    <n v="3.2"/>
    <n v="46.4"/>
    <n v="1670.3999999999999"/>
    <n v="1632"/>
    <n v="5222.4000000000005"/>
    <n v="0.97701149425287359"/>
    <n v="1"/>
    <n v="-2.3E-2"/>
    <s v="350"/>
    <m/>
    <n v="2"/>
    <n v="1630"/>
    <n v="0.99877450980392157"/>
    <m/>
    <m/>
    <s v=""/>
    <m/>
    <x v="0"/>
    <x v="0"/>
    <m/>
    <m/>
    <m/>
    <x v="0"/>
    <x v="0"/>
  </r>
  <r>
    <x v="469"/>
    <x v="59"/>
    <x v="52"/>
    <n v="12"/>
    <n v="4.5"/>
    <n v="34.9"/>
    <n v="418.79999999999995"/>
    <n v="419"/>
    <n v="1885.5"/>
    <n v="1.0004775549188158"/>
    <n v="1"/>
    <n v="0"/>
    <s v="230"/>
    <m/>
    <n v="0"/>
    <n v="419"/>
    <n v="1"/>
    <m/>
    <m/>
    <s v=""/>
    <m/>
    <x v="0"/>
    <x v="0"/>
    <m/>
    <m/>
    <m/>
    <x v="0"/>
    <x v="0"/>
  </r>
  <r>
    <x v="469"/>
    <x v="9"/>
    <x v="9"/>
    <n v="28"/>
    <n v="6"/>
    <n v="25.7"/>
    <n v="719.6"/>
    <n v="795"/>
    <n v="4770"/>
    <n v="1.104780433574208"/>
    <n v="1"/>
    <n v="0.105"/>
    <s v="342"/>
    <m/>
    <n v="1"/>
    <n v="794"/>
    <n v="0.99874213836477987"/>
    <m/>
    <m/>
    <m/>
    <m/>
    <x v="0"/>
    <x v="0"/>
    <m/>
    <m/>
    <m/>
    <x v="0"/>
    <x v="0"/>
  </r>
  <r>
    <x v="469"/>
    <x v="78"/>
    <x v="70"/>
    <n v="8"/>
    <n v="0.28999999999999998"/>
    <n v="388"/>
    <n v="3104"/>
    <n v="3216"/>
    <n v="932.64"/>
    <n v="1.0360824742268042"/>
    <n v="1"/>
    <n v="3.5999999999999997E-2"/>
    <s v="300"/>
    <m/>
    <n v="5"/>
    <n v="3211"/>
    <n v="0.99844527363184077"/>
    <m/>
    <m/>
    <s v="充填281g~285g"/>
    <m/>
    <x v="0"/>
    <x v="0"/>
    <m/>
    <m/>
    <m/>
    <x v="0"/>
    <x v="0"/>
  </r>
  <r>
    <x v="469"/>
    <x v="12"/>
    <x v="12"/>
    <n v="20"/>
    <n v="0.8"/>
    <n v="157.69999999999999"/>
    <n v="3154"/>
    <n v="3225"/>
    <n v="2580"/>
    <n v="1.0225110970196576"/>
    <n v="1"/>
    <n v="2.3E-2"/>
    <s v="420"/>
    <m/>
    <n v="2"/>
    <n v="3223"/>
    <n v="0.99937984496124033"/>
    <m/>
    <m/>
    <s v=""/>
    <m/>
    <x v="0"/>
    <x v="0"/>
    <m/>
    <m/>
    <m/>
    <x v="0"/>
    <x v="0"/>
  </r>
  <r>
    <x v="470"/>
    <x v="15"/>
    <x v="15"/>
    <n v="72"/>
    <n v="3.2"/>
    <n v="46.8"/>
    <n v="3369.6"/>
    <n v="3402"/>
    <n v="10886.400000000001"/>
    <n v="1.0096153846153846"/>
    <n v="1"/>
    <n v="0.01"/>
    <s v="540"/>
    <m/>
    <n v="17"/>
    <n v="3385"/>
    <n v="0.99500293944738394"/>
    <m/>
    <m/>
    <m/>
    <m/>
    <x v="0"/>
    <x v="0"/>
    <m/>
    <m/>
    <m/>
    <x v="0"/>
    <x v="0"/>
  </r>
  <r>
    <x v="470"/>
    <x v="9"/>
    <x v="9"/>
    <n v="24"/>
    <n v="6"/>
    <n v="25.7"/>
    <n v="616.79999999999995"/>
    <n v="689"/>
    <n v="4134"/>
    <n v="1.1170557717250325"/>
    <n v="1"/>
    <n v="0.11700000000000001"/>
    <s v="302"/>
    <m/>
    <n v="1"/>
    <n v="688"/>
    <n v="0.99854862119013066"/>
    <m/>
    <m/>
    <m/>
    <m/>
    <x v="0"/>
    <x v="0"/>
    <m/>
    <m/>
    <m/>
    <x v="0"/>
    <x v="0"/>
  </r>
  <r>
    <x v="470"/>
    <x v="58"/>
    <x v="51"/>
    <n v="8"/>
    <n v="6"/>
    <n v="25.7"/>
    <n v="205.6"/>
    <n v="207"/>
    <n v="1242"/>
    <n v="1.0068093385214008"/>
    <n v="1"/>
    <n v="7.0000000000000001E-3"/>
    <s v="150"/>
    <m/>
    <n v="1"/>
    <n v="206"/>
    <n v="0.99516908212560384"/>
    <m/>
    <m/>
    <m/>
    <m/>
    <x v="0"/>
    <x v="0"/>
    <m/>
    <m/>
    <m/>
    <x v="0"/>
    <x v="0"/>
  </r>
  <r>
    <x v="470"/>
    <x v="10"/>
    <x v="10"/>
    <n v="12"/>
    <n v="6"/>
    <n v="25.4"/>
    <n v="304.79999999999995"/>
    <n v="307"/>
    <n v="1842"/>
    <n v="1.007217847769029"/>
    <n v="1"/>
    <n v="7.0000000000000001E-3"/>
    <s v="178"/>
    <m/>
    <n v="1"/>
    <n v="306"/>
    <n v="0.99674267100977199"/>
    <m/>
    <m/>
    <m/>
    <m/>
    <x v="0"/>
    <x v="0"/>
    <m/>
    <m/>
    <m/>
    <x v="0"/>
    <x v="0"/>
  </r>
  <r>
    <x v="470"/>
    <x v="55"/>
    <x v="48"/>
    <n v="64"/>
    <n v="18"/>
    <n v="6.9"/>
    <n v="441.6"/>
    <n v="446"/>
    <n v="8028"/>
    <n v="1.0099637681159419"/>
    <n v="1"/>
    <n v="0.01"/>
    <s v="510"/>
    <m/>
    <n v="0"/>
    <n v="446"/>
    <n v="1"/>
    <m/>
    <m/>
    <s v=""/>
    <m/>
    <x v="0"/>
    <x v="0"/>
    <m/>
    <m/>
    <m/>
    <x v="0"/>
    <x v="0"/>
  </r>
  <r>
    <x v="470"/>
    <x v="141"/>
    <x v="121"/>
    <n v="1"/>
    <n v="1"/>
    <n v="0"/>
    <n v="0"/>
    <n v="495"/>
    <n v="495"/>
    <s v="無法預估數據"/>
    <e v="#N/A"/>
    <s v="無法預估數據"/>
    <s v="0"/>
    <m/>
    <n v="0"/>
    <n v="495"/>
    <n v="1"/>
    <m/>
    <m/>
    <s v=""/>
    <m/>
    <x v="0"/>
    <x v="0"/>
    <m/>
    <m/>
    <m/>
    <x v="0"/>
    <x v="0"/>
  </r>
  <r>
    <x v="471"/>
    <x v="70"/>
    <x v="60"/>
    <n v="8"/>
    <n v="3.4"/>
    <n v="43"/>
    <n v="344"/>
    <n v="351"/>
    <n v="1193.3999999999999"/>
    <n v="1.0203488372093024"/>
    <n v="1"/>
    <n v="0.02"/>
    <s v="155"/>
    <m/>
    <n v="1"/>
    <n v="350"/>
    <n v="0.9971509971509972"/>
    <m/>
    <m/>
    <s v=""/>
    <m/>
    <x v="0"/>
    <x v="0"/>
    <m/>
    <m/>
    <m/>
    <x v="0"/>
    <x v="0"/>
  </r>
  <r>
    <x v="471"/>
    <x v="15"/>
    <x v="15"/>
    <n v="64"/>
    <n v="3.2"/>
    <n v="46.8"/>
    <n v="2995.2"/>
    <n v="3002"/>
    <n v="9606.4"/>
    <n v="1.0022702991452992"/>
    <n v="1"/>
    <n v="2E-3"/>
    <s v="450"/>
    <m/>
    <n v="3"/>
    <n v="2999"/>
    <n v="0.99900066622251837"/>
    <m/>
    <m/>
    <s v=""/>
    <m/>
    <x v="0"/>
    <x v="0"/>
    <m/>
    <m/>
    <m/>
    <x v="0"/>
    <x v="0"/>
  </r>
  <r>
    <x v="471"/>
    <x v="9"/>
    <x v="9"/>
    <n v="24"/>
    <n v="6"/>
    <n v="25.7"/>
    <n v="616.79999999999995"/>
    <n v="694"/>
    <n v="4164"/>
    <n v="1.1251621271076524"/>
    <n v="1"/>
    <n v="0.125"/>
    <s v="312"/>
    <m/>
    <n v="2"/>
    <n v="692"/>
    <n v="0.99711815561959649"/>
    <m/>
    <m/>
    <m/>
    <m/>
    <x v="0"/>
    <x v="0"/>
    <m/>
    <m/>
    <m/>
    <x v="0"/>
    <x v="0"/>
  </r>
  <r>
    <x v="471"/>
    <x v="16"/>
    <x v="16"/>
    <n v="24"/>
    <n v="6"/>
    <n v="26.1"/>
    <n v="626.40000000000009"/>
    <n v="638"/>
    <n v="3828"/>
    <n v="1.0185185185185184"/>
    <n v="1"/>
    <n v="1.9E-2"/>
    <s v="380"/>
    <m/>
    <n v="1"/>
    <n v="637"/>
    <n v="0.99843260188087779"/>
    <m/>
    <m/>
    <s v=""/>
    <m/>
    <x v="0"/>
    <x v="0"/>
    <m/>
    <m/>
    <m/>
    <x v="0"/>
    <x v="0"/>
  </r>
  <r>
    <x v="471"/>
    <x v="23"/>
    <x v="22"/>
    <n v="40"/>
    <n v="0.34"/>
    <n v="364.6"/>
    <n v="14584"/>
    <n v="14352"/>
    <n v="4879.68"/>
    <n v="0.98409215578716402"/>
    <n v="1"/>
    <n v="-1.6E-2"/>
    <s v="635"/>
    <m/>
    <n v="3"/>
    <n v="14349"/>
    <n v="0.99979096989966554"/>
    <m/>
    <m/>
    <m/>
    <m/>
    <x v="0"/>
    <x v="0"/>
    <m/>
    <m/>
    <m/>
    <x v="0"/>
    <x v="0"/>
  </r>
  <r>
    <x v="471"/>
    <x v="105"/>
    <x v="93"/>
    <n v="1"/>
    <n v="0.1"/>
    <n v="1732"/>
    <n v="1732"/>
    <n v="1710"/>
    <n v="171"/>
    <n v="0.98729792147806006"/>
    <n v="1"/>
    <n v="-1.2999999999999999E-2"/>
    <s v="0"/>
    <m/>
    <n v="126"/>
    <n v="1584"/>
    <n v="0.9263157894736842"/>
    <m/>
    <m/>
    <s v="東豐100包，其餘里仁。"/>
    <m/>
    <x v="0"/>
    <x v="0"/>
    <m/>
    <m/>
    <m/>
    <x v="0"/>
    <x v="0"/>
  </r>
  <r>
    <x v="471"/>
    <x v="94"/>
    <x v="85"/>
    <n v="1"/>
    <n v="1"/>
    <n v="591"/>
    <n v="591"/>
    <n v="488"/>
    <n v="488"/>
    <n v="0.82571912013536375"/>
    <n v="1"/>
    <n v="-0.17399999999999999"/>
    <s v="0"/>
    <m/>
    <n v="0"/>
    <n v="488"/>
    <n v="1"/>
    <m/>
    <m/>
    <m/>
    <m/>
    <x v="0"/>
    <x v="0"/>
    <m/>
    <m/>
    <m/>
    <x v="0"/>
    <x v="0"/>
  </r>
  <r>
    <x v="472"/>
    <x v="2"/>
    <x v="2"/>
    <n v="30"/>
    <n v="6"/>
    <n v="26.6"/>
    <n v="798"/>
    <n v="780"/>
    <n v="4680"/>
    <n v="0.97744360902255634"/>
    <n v="1"/>
    <n v="-2.3E-2"/>
    <s v="430"/>
    <m/>
    <n v="1"/>
    <n v="779"/>
    <n v="0.99871794871794872"/>
    <m/>
    <m/>
    <s v=""/>
    <m/>
    <x v="0"/>
    <x v="0"/>
    <m/>
    <m/>
    <m/>
    <x v="0"/>
    <x v="0"/>
  </r>
  <r>
    <x v="472"/>
    <x v="129"/>
    <x v="113"/>
    <n v="12"/>
    <n v="6"/>
    <n v="0"/>
    <n v="0"/>
    <n v="301"/>
    <n v="1806"/>
    <s v="無法預估數據"/>
    <e v="#N/A"/>
    <s v="無法預估數據"/>
    <s v="220"/>
    <m/>
    <n v="1"/>
    <n v="300"/>
    <n v="0.99667774086378735"/>
    <m/>
    <m/>
    <s v=""/>
    <m/>
    <x v="0"/>
    <x v="0"/>
    <m/>
    <m/>
    <m/>
    <x v="0"/>
    <x v="0"/>
  </r>
  <r>
    <x v="472"/>
    <x v="53"/>
    <x v="46"/>
    <n v="16"/>
    <n v="4.5"/>
    <n v="34.5"/>
    <n v="552"/>
    <n v="564"/>
    <n v="2538"/>
    <n v="1.0217391304347827"/>
    <n v="1"/>
    <n v="2.1999999999999999E-2"/>
    <s v="235"/>
    <m/>
    <n v="0"/>
    <n v="564"/>
    <n v="1"/>
    <m/>
    <m/>
    <s v=""/>
    <m/>
    <x v="0"/>
    <x v="0"/>
    <m/>
    <m/>
    <m/>
    <x v="0"/>
    <x v="0"/>
  </r>
  <r>
    <x v="472"/>
    <x v="3"/>
    <x v="3"/>
    <n v="28"/>
    <n v="4.5"/>
    <n v="36.299999999999997"/>
    <n v="1016.3999999999999"/>
    <n v="1018"/>
    <n v="4581"/>
    <n v="1.0015741833923653"/>
    <n v="1"/>
    <n v="2E-3"/>
    <s v="374"/>
    <m/>
    <n v="0"/>
    <n v="1018"/>
    <n v="1"/>
    <m/>
    <m/>
    <m/>
    <m/>
    <x v="0"/>
    <x v="0"/>
    <m/>
    <m/>
    <m/>
    <x v="0"/>
    <x v="0"/>
  </r>
  <r>
    <x v="472"/>
    <x v="46"/>
    <x v="17"/>
    <n v="21"/>
    <n v="3"/>
    <n v="31.6"/>
    <n v="663.6"/>
    <n v="672"/>
    <n v="2016"/>
    <n v="1.0126582278481013"/>
    <n v="1"/>
    <n v="1.2999999999999999E-2"/>
    <s v="570"/>
    <m/>
    <n v="0"/>
    <n v="672"/>
    <n v="1"/>
    <m/>
    <m/>
    <s v=""/>
    <m/>
    <x v="0"/>
    <x v="0"/>
    <m/>
    <m/>
    <m/>
    <x v="0"/>
    <x v="0"/>
  </r>
  <r>
    <x v="472"/>
    <x v="97"/>
    <x v="88"/>
    <n v="50"/>
    <n v="1"/>
    <n v="6"/>
    <n v="300"/>
    <n v="299"/>
    <n v="299"/>
    <n v="0.9966666666666667"/>
    <n v="1"/>
    <n v="-3.0000000000000001E-3"/>
    <s v="0"/>
    <m/>
    <n v="0"/>
    <n v="299"/>
    <n v="1"/>
    <m/>
    <m/>
    <m/>
    <m/>
    <x v="0"/>
    <x v="0"/>
    <m/>
    <m/>
    <m/>
    <x v="0"/>
    <x v="0"/>
  </r>
  <r>
    <x v="472"/>
    <x v="96"/>
    <x v="87"/>
    <n v="50"/>
    <n v="1"/>
    <n v="5.7"/>
    <n v="285"/>
    <n v="296"/>
    <n v="296"/>
    <n v="1.0385964912280701"/>
    <n v="1"/>
    <n v="3.9E-2"/>
    <s v="0"/>
    <m/>
    <n v="0"/>
    <n v="296"/>
    <n v="1"/>
    <m/>
    <m/>
    <m/>
    <m/>
    <x v="0"/>
    <x v="0"/>
    <m/>
    <m/>
    <m/>
    <x v="0"/>
    <x v="0"/>
  </r>
  <r>
    <x v="473"/>
    <x v="75"/>
    <x v="65"/>
    <n v="3"/>
    <n v="0.19"/>
    <n v="759.3"/>
    <n v="2277.8999999999996"/>
    <n v="2235"/>
    <n v="424.65"/>
    <n v="0.98116686421704213"/>
    <n v="1"/>
    <n v="-1.9E-2"/>
    <s v="270"/>
    <m/>
    <n v="10"/>
    <n v="2225"/>
    <n v="0.99552572706935127"/>
    <m/>
    <m/>
    <s v=""/>
    <m/>
    <x v="0"/>
    <x v="0"/>
    <m/>
    <m/>
    <m/>
    <x v="0"/>
    <x v="0"/>
  </r>
  <r>
    <x v="473"/>
    <x v="31"/>
    <x v="29"/>
    <n v="4"/>
    <n v="0.42"/>
    <n v="364"/>
    <n v="1456"/>
    <n v="1344"/>
    <n v="564.48"/>
    <n v="0.92307692307692313"/>
    <n v="1"/>
    <n v="-7.6999999999999999E-2"/>
    <s v="150"/>
    <m/>
    <n v="8"/>
    <n v="1336"/>
    <n v="0.99404761904761907"/>
    <m/>
    <m/>
    <s v=""/>
    <m/>
    <x v="0"/>
    <x v="0"/>
    <m/>
    <m/>
    <m/>
    <x v="0"/>
    <x v="0"/>
  </r>
  <r>
    <x v="473"/>
    <x v="43"/>
    <x v="41"/>
    <n v="16"/>
    <n v="0.26"/>
    <n v="584.29999999999995"/>
    <n v="9348.7999999999993"/>
    <n v="9401"/>
    <n v="2444.2600000000002"/>
    <n v="1.005583604312853"/>
    <n v="1"/>
    <n v="6.0000000000000001E-3"/>
    <s v="300"/>
    <m/>
    <n v="13"/>
    <n v="9388"/>
    <n v="0.99861716838634185"/>
    <m/>
    <m/>
    <s v="瓶器225cc醬菜瓶。"/>
    <m/>
    <x v="0"/>
    <x v="0"/>
    <m/>
    <m/>
    <m/>
    <x v="0"/>
    <x v="0"/>
  </r>
  <r>
    <x v="473"/>
    <x v="9"/>
    <x v="9"/>
    <n v="12"/>
    <n v="6"/>
    <n v="25.7"/>
    <n v="308.39999999999998"/>
    <n v="345"/>
    <n v="2070"/>
    <n v="1.1186770428015564"/>
    <n v="1"/>
    <n v="0.11899999999999999"/>
    <s v="180"/>
    <m/>
    <n v="1"/>
    <n v="344"/>
    <n v="0.99710144927536237"/>
    <m/>
    <m/>
    <m/>
    <m/>
    <x v="0"/>
    <x v="0"/>
    <m/>
    <m/>
    <m/>
    <x v="0"/>
    <x v="0"/>
  </r>
  <r>
    <x v="473"/>
    <x v="22"/>
    <x v="10"/>
    <n v="16"/>
    <n v="6"/>
    <n v="25.1"/>
    <n v="401.6"/>
    <n v="401"/>
    <n v="2406"/>
    <n v="0.99850597609561742"/>
    <n v="1"/>
    <n v="-1E-3"/>
    <s v="225"/>
    <m/>
    <n v="1"/>
    <n v="400"/>
    <n v="0.99750623441396513"/>
    <m/>
    <m/>
    <s v=""/>
    <m/>
    <x v="0"/>
    <x v="0"/>
    <m/>
    <m/>
    <m/>
    <x v="0"/>
    <x v="0"/>
  </r>
  <r>
    <x v="473"/>
    <x v="18"/>
    <x v="18"/>
    <n v="20"/>
    <n v="6"/>
    <n v="26.4"/>
    <n v="528"/>
    <n v="542"/>
    <n v="3252"/>
    <n v="1.0265151515151516"/>
    <n v="1"/>
    <n v="2.7E-2"/>
    <s v="340"/>
    <m/>
    <n v="2"/>
    <n v="540"/>
    <n v="0.99630996309963105"/>
    <m/>
    <m/>
    <s v=""/>
    <m/>
    <x v="0"/>
    <x v="0"/>
    <m/>
    <m/>
    <m/>
    <x v="0"/>
    <x v="0"/>
  </r>
  <r>
    <x v="473"/>
    <x v="11"/>
    <x v="11"/>
    <n v="72"/>
    <n v="2.8"/>
    <n v="44.5"/>
    <n v="2850.4285714285716"/>
    <n v="2850"/>
    <n v="7979.9999999999991"/>
    <n v="0.99984964666967369"/>
    <n v="1"/>
    <n v="0"/>
    <s v="560"/>
    <m/>
    <n v="2"/>
    <n v="2848"/>
    <n v="0.99929824561403513"/>
    <m/>
    <m/>
    <s v="D9920(18kg)55桶"/>
    <m/>
    <x v="0"/>
    <x v="0"/>
    <m/>
    <m/>
    <m/>
    <x v="0"/>
    <x v="0"/>
  </r>
  <r>
    <x v="473"/>
    <x v="141"/>
    <x v="121"/>
    <n v="1"/>
    <n v="1"/>
    <n v="0"/>
    <n v="0"/>
    <n v="495"/>
    <n v="495"/>
    <s v="無法預估數據"/>
    <e v="#N/A"/>
    <s v="無法預估數據"/>
    <s v="0"/>
    <m/>
    <n v="0"/>
    <n v="495"/>
    <n v="1"/>
    <m/>
    <m/>
    <s v=""/>
    <m/>
    <x v="0"/>
    <x v="0"/>
    <m/>
    <m/>
    <m/>
    <x v="0"/>
    <x v="0"/>
  </r>
  <r>
    <x v="474"/>
    <x v="13"/>
    <x v="13"/>
    <n v="20"/>
    <n v="0.9"/>
    <n v="160.5"/>
    <n v="3210"/>
    <n v="3215"/>
    <n v="2893.5"/>
    <n v="1.0015576323987538"/>
    <n v="1"/>
    <n v="2E-3"/>
    <s v="330"/>
    <m/>
    <n v="13"/>
    <n v="3202"/>
    <n v="0.9959564541213064"/>
    <m/>
    <m/>
    <s v=""/>
    <m/>
    <x v="0"/>
    <x v="0"/>
    <m/>
    <m/>
    <m/>
    <x v="0"/>
    <x v="0"/>
  </r>
  <r>
    <x v="474"/>
    <x v="0"/>
    <x v="0"/>
    <n v="20"/>
    <n v="6"/>
    <n v="25.5"/>
    <n v="510"/>
    <n v="497"/>
    <n v="2982"/>
    <n v="0.97450980392156861"/>
    <n v="1"/>
    <n v="-2.5000000000000001E-2"/>
    <s v="270"/>
    <m/>
    <n v="1"/>
    <n v="496"/>
    <n v="0.99798792756539234"/>
    <m/>
    <m/>
    <s v=""/>
    <m/>
    <x v="0"/>
    <x v="0"/>
    <m/>
    <m/>
    <m/>
    <x v="0"/>
    <x v="0"/>
  </r>
  <r>
    <x v="474"/>
    <x v="9"/>
    <x v="9"/>
    <n v="24"/>
    <n v="6"/>
    <n v="25.7"/>
    <n v="616.79999999999995"/>
    <n v="686"/>
    <n v="4116"/>
    <n v="1.1121919584954605"/>
    <n v="1"/>
    <n v="0.112"/>
    <s v="330"/>
    <m/>
    <n v="1"/>
    <n v="685"/>
    <n v="0.99854227405247808"/>
    <m/>
    <m/>
    <m/>
    <m/>
    <x v="0"/>
    <x v="0"/>
    <m/>
    <m/>
    <m/>
    <x v="0"/>
    <x v="0"/>
  </r>
  <r>
    <x v="474"/>
    <x v="42"/>
    <x v="40"/>
    <n v="6"/>
    <n v="3.5"/>
    <n v="25.4"/>
    <n v="152.39999999999998"/>
    <n v="150"/>
    <n v="525"/>
    <n v="0.98425196850393715"/>
    <n v="1"/>
    <n v="-1.6E-2"/>
    <s v="390"/>
    <m/>
    <n v="0"/>
    <n v="150"/>
    <n v="1"/>
    <m/>
    <m/>
    <s v=""/>
    <m/>
    <x v="0"/>
    <x v="0"/>
    <m/>
    <m/>
    <m/>
    <x v="0"/>
    <x v="0"/>
  </r>
  <r>
    <x v="474"/>
    <x v="142"/>
    <x v="6"/>
    <n v="12"/>
    <n v="0.4"/>
    <n v="309.2"/>
    <n v="3710.3999999999996"/>
    <n v="3445"/>
    <n v="1378"/>
    <n v="0.92847132384648567"/>
    <e v="#N/A"/>
    <e v="#N/A"/>
    <s v="205"/>
    <m/>
    <n v="3"/>
    <n v="3442"/>
    <n v="0.99912917271407842"/>
    <s v="1141208-01A "/>
    <n v="134"/>
    <s v="(特殊製程)"/>
    <m/>
    <x v="0"/>
    <x v="0"/>
    <m/>
    <m/>
    <m/>
    <x v="0"/>
    <x v="0"/>
  </r>
  <r>
    <x v="474"/>
    <x v="6"/>
    <x v="6"/>
    <n v="32"/>
    <n v="0.4"/>
    <n v="309.2"/>
    <n v="9894.4"/>
    <n v="10248"/>
    <n v="4099.2"/>
    <n v="1.0357373868046573"/>
    <n v="1"/>
    <n v="3.5999999999999997E-2"/>
    <s v="425"/>
    <m/>
    <n v="3"/>
    <n v="10245"/>
    <n v="0.99970725995316156"/>
    <m/>
    <m/>
    <m/>
    <m/>
    <x v="0"/>
    <x v="0"/>
    <m/>
    <m/>
    <m/>
    <x v="0"/>
    <x v="0"/>
  </r>
  <r>
    <x v="475"/>
    <x v="30"/>
    <x v="28"/>
    <n v="16"/>
    <n v="0.43"/>
    <n v="340.4"/>
    <n v="5446.4"/>
    <n v="5501"/>
    <n v="2365.4299999999998"/>
    <n v="1.0100249706227968"/>
    <n v="1"/>
    <n v="0.01"/>
    <s v="300"/>
    <m/>
    <n v="10"/>
    <n v="5491"/>
    <n v="0.99818214870023636"/>
    <m/>
    <m/>
    <s v="麥味登180箱。"/>
    <m/>
    <x v="0"/>
    <x v="0"/>
    <m/>
    <m/>
    <m/>
    <x v="0"/>
    <x v="0"/>
  </r>
  <r>
    <x v="476"/>
    <x v="97"/>
    <x v="88"/>
    <n v="77"/>
    <n v="1"/>
    <n v="6"/>
    <n v="462"/>
    <n v="299"/>
    <n v="299"/>
    <n v="0.6471861471861472"/>
    <n v="1"/>
    <n v="-0.35299999999999998"/>
    <m/>
    <m/>
    <n v="0"/>
    <n v="299"/>
    <n v="1"/>
    <m/>
    <m/>
    <m/>
    <m/>
    <x v="0"/>
    <x v="0"/>
    <m/>
    <m/>
    <m/>
    <x v="0"/>
    <x v="0"/>
  </r>
  <r>
    <x v="476"/>
    <x v="96"/>
    <x v="87"/>
    <n v="25"/>
    <n v="1"/>
    <n v="5.7"/>
    <n v="142.5"/>
    <n v="296"/>
    <n v="296"/>
    <n v="2.0771929824561401"/>
    <n v="1"/>
    <n v="1.077"/>
    <m/>
    <m/>
    <n v="0"/>
    <n v="296"/>
    <n v="1"/>
    <m/>
    <m/>
    <m/>
    <m/>
    <x v="0"/>
    <x v="0"/>
    <m/>
    <m/>
    <m/>
    <x v="0"/>
    <x v="0"/>
  </r>
  <r>
    <x v="475"/>
    <x v="8"/>
    <x v="8"/>
    <n v="20"/>
    <n v="0.44"/>
    <n v="344"/>
    <n v="6880"/>
    <n v="6783"/>
    <n v="2984.52"/>
    <n v="0.98590116279069773"/>
    <n v="1"/>
    <n v="-1.4E-2"/>
    <s v="300"/>
    <m/>
    <n v="7"/>
    <n v="6776"/>
    <n v="0.9989680082559339"/>
    <m/>
    <m/>
    <m/>
    <m/>
    <x v="0"/>
    <x v="0"/>
    <m/>
    <m/>
    <m/>
    <x v="0"/>
    <x v="0"/>
  </r>
  <r>
    <x v="475"/>
    <x v="122"/>
    <x v="111"/>
    <n v="24"/>
    <n v="6"/>
    <n v="0"/>
    <n v="0"/>
    <n v="603"/>
    <n v="3618"/>
    <s v="無法預估數據"/>
    <e v="#N/A"/>
    <s v="無法預估數據"/>
    <s v="340"/>
    <m/>
    <n v="3"/>
    <n v="600"/>
    <n v="0.99502487562189057"/>
    <m/>
    <m/>
    <s v=""/>
    <m/>
    <x v="0"/>
    <x v="0"/>
    <m/>
    <m/>
    <m/>
    <x v="0"/>
    <x v="0"/>
  </r>
  <r>
    <x v="475"/>
    <x v="9"/>
    <x v="9"/>
    <n v="24"/>
    <n v="6"/>
    <n v="25.7"/>
    <n v="616.79999999999995"/>
    <n v="696"/>
    <n v="4176"/>
    <n v="1.1284046692607004"/>
    <n v="1"/>
    <n v="0.128"/>
    <s v="330"/>
    <m/>
    <n v="1"/>
    <n v="695"/>
    <n v="0.99856321839080464"/>
    <m/>
    <m/>
    <m/>
    <m/>
    <x v="0"/>
    <x v="0"/>
    <m/>
    <m/>
    <m/>
    <x v="0"/>
    <x v="0"/>
  </r>
  <r>
    <x v="475"/>
    <x v="61"/>
    <x v="33"/>
    <n v="28"/>
    <n v="18"/>
    <n v="6.9"/>
    <n v="193.20000000000002"/>
    <n v="194"/>
    <n v="3492"/>
    <n v="1.0041407867494823"/>
    <n v="1"/>
    <n v="4.0000000000000001E-3"/>
    <s v="240"/>
    <m/>
    <n v="0"/>
    <n v="194"/>
    <n v="1"/>
    <m/>
    <m/>
    <s v=""/>
    <m/>
    <x v="0"/>
    <x v="0"/>
    <m/>
    <m/>
    <m/>
    <x v="0"/>
    <x v="0"/>
  </r>
  <r>
    <x v="475"/>
    <x v="11"/>
    <x v="11"/>
    <n v="44"/>
    <n v="2.8"/>
    <n v="44.5"/>
    <n v="1958"/>
    <n v="1986"/>
    <n v="5560.7999999999993"/>
    <n v="1.0143003064351379"/>
    <n v="1"/>
    <n v="1.4E-2"/>
    <s v="355"/>
    <m/>
    <n v="3"/>
    <n v="1983"/>
    <n v="0.99848942598187307"/>
    <m/>
    <m/>
    <s v="D2021美芝城150箱"/>
    <m/>
    <x v="0"/>
    <x v="0"/>
    <m/>
    <m/>
    <m/>
    <x v="0"/>
    <x v="0"/>
  </r>
  <r>
    <x v="475"/>
    <x v="92"/>
    <x v="83"/>
    <n v="1"/>
    <n v="1"/>
    <n v="1224"/>
    <n v="1224"/>
    <n v="750"/>
    <n v="750"/>
    <n v="0.61274509803921573"/>
    <n v="1"/>
    <n v="-0.38700000000000001"/>
    <m/>
    <m/>
    <n v="0"/>
    <n v="750"/>
    <n v="1"/>
    <m/>
    <m/>
    <s v="400kg"/>
    <m/>
    <x v="0"/>
    <x v="0"/>
    <m/>
    <m/>
    <m/>
    <x v="0"/>
    <x v="0"/>
  </r>
  <r>
    <x v="477"/>
    <x v="15"/>
    <x v="15"/>
    <n v="72"/>
    <n v="3.2"/>
    <n v="46.8"/>
    <n v="3369.6"/>
    <n v="3431"/>
    <n v="10979.2"/>
    <n v="1.0182217473884141"/>
    <n v="1"/>
    <n v="1.7999999999999999E-2"/>
    <s v="570"/>
    <m/>
    <n v="3"/>
    <n v="3428"/>
    <n v="0.99912561935295829"/>
    <m/>
    <m/>
    <m/>
    <m/>
    <x v="0"/>
    <x v="0"/>
    <m/>
    <m/>
    <m/>
    <x v="0"/>
    <x v="0"/>
  </r>
  <r>
    <x v="477"/>
    <x v="130"/>
    <x v="114"/>
    <n v="24"/>
    <n v="6"/>
    <n v="0"/>
    <n v="0"/>
    <n v="621"/>
    <n v="3726"/>
    <s v="無法預估數據"/>
    <e v="#N/A"/>
    <s v="無法預估數據"/>
    <s v="340"/>
    <m/>
    <n v="6"/>
    <n v="615"/>
    <n v="0.99033816425120769"/>
    <m/>
    <m/>
    <m/>
    <m/>
    <x v="0"/>
    <x v="0"/>
    <m/>
    <m/>
    <m/>
    <x v="0"/>
    <x v="0"/>
  </r>
  <r>
    <x v="477"/>
    <x v="9"/>
    <x v="9"/>
    <n v="20"/>
    <n v="6"/>
    <n v="25.7"/>
    <n v="514"/>
    <n v="574"/>
    <n v="3444"/>
    <n v="1.1167315175097277"/>
    <n v="1"/>
    <n v="0.11700000000000001"/>
    <s v="270"/>
    <m/>
    <n v="2"/>
    <n v="572"/>
    <n v="0.99651567944250874"/>
    <m/>
    <m/>
    <m/>
    <m/>
    <x v="0"/>
    <x v="0"/>
    <m/>
    <m/>
    <m/>
    <x v="0"/>
    <x v="0"/>
  </r>
  <r>
    <x v="477"/>
    <x v="48"/>
    <x v="17"/>
    <n v="21"/>
    <n v="3"/>
    <n v="30.8"/>
    <n v="646.80000000000007"/>
    <n v="648"/>
    <n v="1944"/>
    <n v="1.0018552875695732"/>
    <n v="1"/>
    <n v="2E-3"/>
    <s v="600"/>
    <m/>
    <n v="0"/>
    <n v="648"/>
    <n v="1"/>
    <m/>
    <m/>
    <m/>
    <m/>
    <x v="0"/>
    <x v="0"/>
    <m/>
    <m/>
    <m/>
    <x v="0"/>
    <x v="0"/>
  </r>
  <r>
    <x v="477"/>
    <x v="94"/>
    <x v="85"/>
    <n v="1"/>
    <n v="1"/>
    <n v="591"/>
    <n v="591"/>
    <n v="584"/>
    <n v="584"/>
    <n v="0.98815566835871405"/>
    <n v="1"/>
    <n v="-1.2E-2"/>
    <s v="0"/>
    <m/>
    <n v="0"/>
    <n v="584"/>
    <n v="1"/>
    <m/>
    <m/>
    <m/>
    <m/>
    <x v="0"/>
    <x v="0"/>
    <m/>
    <m/>
    <m/>
    <x v="0"/>
    <x v="0"/>
  </r>
  <r>
    <x v="478"/>
    <x v="8"/>
    <x v="8"/>
    <n v="44"/>
    <n v="0.44"/>
    <n v="344"/>
    <n v="15136"/>
    <n v="15093"/>
    <n v="6640.92"/>
    <n v="0.99715909090909094"/>
    <n v="1"/>
    <n v="-3.0000000000000001E-3"/>
    <s v="570"/>
    <m/>
    <n v="14"/>
    <n v="15079"/>
    <n v="0.99907241767706889"/>
    <m/>
    <m/>
    <m/>
    <m/>
    <x v="0"/>
    <x v="0"/>
    <m/>
    <m/>
    <m/>
    <x v="0"/>
    <x v="0"/>
  </r>
  <r>
    <x v="478"/>
    <x v="9"/>
    <x v="9"/>
    <n v="20"/>
    <n v="6"/>
    <n v="25.7"/>
    <n v="514"/>
    <n v="580"/>
    <n v="3480"/>
    <n v="1.1284046692607004"/>
    <n v="1"/>
    <n v="0.128"/>
    <s v="270"/>
    <m/>
    <n v="2"/>
    <n v="578"/>
    <n v="0.99655172413793103"/>
    <m/>
    <m/>
    <m/>
    <m/>
    <x v="0"/>
    <x v="0"/>
    <m/>
    <m/>
    <m/>
    <x v="0"/>
    <x v="0"/>
  </r>
  <r>
    <x v="478"/>
    <x v="19"/>
    <x v="19"/>
    <n v="6"/>
    <n v="6"/>
    <n v="25.5"/>
    <n v="153"/>
    <n v="162"/>
    <n v="972"/>
    <n v="1.0588235294117647"/>
    <n v="1"/>
    <n v="5.8999999999999997E-2"/>
    <s v="147"/>
    <m/>
    <n v="1"/>
    <n v="161"/>
    <n v="0.99382716049382713"/>
    <m/>
    <m/>
    <m/>
    <m/>
    <x v="0"/>
    <x v="0"/>
    <m/>
    <m/>
    <m/>
    <x v="0"/>
    <x v="0"/>
  </r>
  <r>
    <x v="478"/>
    <x v="18"/>
    <x v="18"/>
    <n v="16"/>
    <n v="6"/>
    <n v="26.4"/>
    <n v="422.4"/>
    <n v="434"/>
    <n v="2604"/>
    <n v="1.0274621212121213"/>
    <n v="1"/>
    <n v="2.7E-2"/>
    <s v="245"/>
    <m/>
    <n v="3"/>
    <n v="431"/>
    <n v="0.99308755760368661"/>
    <m/>
    <m/>
    <m/>
    <m/>
    <x v="0"/>
    <x v="0"/>
    <m/>
    <m/>
    <m/>
    <x v="0"/>
    <x v="0"/>
  </r>
  <r>
    <x v="478"/>
    <x v="11"/>
    <x v="11"/>
    <n v="60"/>
    <n v="2.8"/>
    <n v="44.5"/>
    <n v="2541.4285714285716"/>
    <n v="2544"/>
    <n v="7123.2"/>
    <n v="1.0010118043844856"/>
    <n v="1"/>
    <n v="1E-3"/>
    <s v="465"/>
    <m/>
    <n v="2"/>
    <n v="2542"/>
    <n v="0.99921383647798745"/>
    <m/>
    <m/>
    <s v="，D9920(18kg)*20桶(2027.01.27)"/>
    <m/>
    <x v="0"/>
    <x v="0"/>
    <m/>
    <m/>
    <m/>
    <x v="0"/>
    <x v="0"/>
  </r>
  <r>
    <x v="479"/>
    <x v="13"/>
    <x v="13"/>
    <n v="40"/>
    <n v="0.9"/>
    <n v="160.5"/>
    <n v="6420"/>
    <n v="6567"/>
    <n v="5910.3"/>
    <n v="1.0228971962616822"/>
    <n v="1"/>
    <n v="2.3E-2"/>
    <s v="540"/>
    <m/>
    <n v="2"/>
    <n v="6565"/>
    <n v="0.99969544693162782"/>
    <m/>
    <m/>
    <m/>
    <m/>
    <x v="0"/>
    <x v="0"/>
    <m/>
    <m/>
    <m/>
    <x v="0"/>
    <x v="0"/>
  </r>
  <r>
    <x v="479"/>
    <x v="45"/>
    <x v="10"/>
    <n v="16"/>
    <n v="6"/>
    <n v="26.4"/>
    <n v="422.4"/>
    <n v="415"/>
    <n v="2490"/>
    <n v="0.98248106060606066"/>
    <n v="1"/>
    <n v="-1.7999999999999999E-2"/>
    <s v="240"/>
    <m/>
    <n v="1"/>
    <n v="414"/>
    <n v="0.99759036144578317"/>
    <m/>
    <m/>
    <m/>
    <m/>
    <x v="0"/>
    <x v="0"/>
    <m/>
    <m/>
    <m/>
    <x v="0"/>
    <x v="0"/>
  </r>
  <r>
    <x v="479"/>
    <x v="9"/>
    <x v="9"/>
    <n v="28"/>
    <n v="6"/>
    <n v="25.7"/>
    <n v="719.6"/>
    <n v="806"/>
    <n v="4836"/>
    <n v="1.1200667037242913"/>
    <n v="1"/>
    <n v="0.12"/>
    <s v="342"/>
    <m/>
    <n v="1"/>
    <n v="805"/>
    <n v="0.99875930521091816"/>
    <m/>
    <m/>
    <m/>
    <m/>
    <x v="0"/>
    <x v="0"/>
    <m/>
    <m/>
    <m/>
    <x v="0"/>
    <x v="0"/>
  </r>
  <r>
    <x v="479"/>
    <x v="17"/>
    <x v="17"/>
    <n v="18"/>
    <n v="3"/>
    <n v="29.7"/>
    <n v="534.6"/>
    <n v="536"/>
    <n v="1608"/>
    <n v="1.0026187803965581"/>
    <n v="1"/>
    <n v="3.0000000000000001E-3"/>
    <s v="540"/>
    <m/>
    <n v="0"/>
    <n v="536"/>
    <n v="1"/>
    <m/>
    <m/>
    <m/>
    <m/>
    <x v="0"/>
    <x v="0"/>
    <m/>
    <m/>
    <m/>
    <x v="0"/>
    <x v="0"/>
  </r>
  <r>
    <x v="479"/>
    <x v="92"/>
    <x v="83"/>
    <n v="1"/>
    <n v="1"/>
    <n v="1224"/>
    <n v="1224"/>
    <n v="780"/>
    <n v="780"/>
    <n v="0.63725490196078427"/>
    <n v="1"/>
    <n v="-0.36299999999999999"/>
    <s v="0"/>
    <m/>
    <n v="0"/>
    <n v="780"/>
    <n v="1"/>
    <m/>
    <m/>
    <m/>
    <m/>
    <x v="0"/>
    <x v="0"/>
    <m/>
    <m/>
    <m/>
    <x v="0"/>
    <x v="0"/>
  </r>
  <r>
    <x v="480"/>
    <x v="49"/>
    <x v="43"/>
    <n v="18"/>
    <n v="0.43"/>
    <n v="364"/>
    <n v="6552"/>
    <n v="6781"/>
    <n v="2915.83"/>
    <n v="1.03495115995116"/>
    <n v="1"/>
    <n v="3.5000000000000003E-2"/>
    <s v="434"/>
    <m/>
    <n v="7"/>
    <n v="6774"/>
    <n v="0.99896770387848399"/>
    <m/>
    <m/>
    <m/>
    <m/>
    <x v="0"/>
    <x v="0"/>
    <m/>
    <m/>
    <m/>
    <x v="0"/>
    <x v="0"/>
  </r>
  <r>
    <x v="480"/>
    <x v="71"/>
    <x v="61"/>
    <n v="4"/>
    <n v="0.17"/>
    <n v="912.6"/>
    <n v="3650.4"/>
    <n v="3634"/>
    <n v="617.78000000000009"/>
    <n v="0.99550734166118782"/>
    <n v="1"/>
    <n v="-4.0000000000000001E-3"/>
    <s v="240"/>
    <m/>
    <n v="3"/>
    <n v="3631"/>
    <n v="0.99917446340121074"/>
    <m/>
    <m/>
    <m/>
    <m/>
    <x v="0"/>
    <x v="0"/>
    <m/>
    <m/>
    <m/>
    <x v="0"/>
    <x v="0"/>
  </r>
  <r>
    <x v="480"/>
    <x v="10"/>
    <x v="10"/>
    <n v="20"/>
    <n v="6"/>
    <n v="25.4"/>
    <n v="508"/>
    <n v="509"/>
    <n v="3054"/>
    <n v="1.0019685039370079"/>
    <n v="1"/>
    <n v="2E-3"/>
    <s v="540"/>
    <m/>
    <n v="1"/>
    <n v="508"/>
    <n v="0.99803536345776034"/>
    <m/>
    <m/>
    <m/>
    <m/>
    <x v="0"/>
    <x v="0"/>
    <m/>
    <m/>
    <m/>
    <x v="0"/>
    <x v="0"/>
  </r>
  <r>
    <x v="480"/>
    <x v="19"/>
    <x v="19"/>
    <n v="24"/>
    <n v="6"/>
    <n v="25.5"/>
    <n v="612"/>
    <n v="674"/>
    <n v="4044"/>
    <n v="1.1013071895424837"/>
    <n v="1"/>
    <n v="0.10100000000000001"/>
    <s v="570"/>
    <m/>
    <n v="1"/>
    <n v="673"/>
    <n v="0.99851632047477745"/>
    <m/>
    <m/>
    <m/>
    <m/>
    <x v="0"/>
    <x v="0"/>
    <m/>
    <m/>
    <m/>
    <x v="0"/>
    <x v="0"/>
  </r>
  <r>
    <x v="480"/>
    <x v="11"/>
    <x v="11"/>
    <n v="60"/>
    <n v="2.8"/>
    <n v="44.5"/>
    <n v="2670"/>
    <n v="2687"/>
    <n v="7523.5999999999995"/>
    <n v="1.006367041198502"/>
    <n v="1"/>
    <n v="6.0000000000000001E-3"/>
    <s v="450"/>
    <m/>
    <n v="1"/>
    <n v="2686"/>
    <n v="0.99962783773725339"/>
    <m/>
    <m/>
    <s v="，D2021美芝城*50箱(2028.01.29)"/>
    <m/>
    <x v="0"/>
    <x v="0"/>
    <m/>
    <m/>
    <m/>
    <x v="0"/>
    <x v="0"/>
  </r>
  <r>
    <x v="480"/>
    <x v="100"/>
    <x v="90"/>
    <n v="1"/>
    <n v="1"/>
    <n v="139"/>
    <n v="139"/>
    <n v="144"/>
    <n v="144"/>
    <n v="1.0359712230215827"/>
    <n v="1"/>
    <n v="3.5999999999999997E-2"/>
    <s v="0"/>
    <m/>
    <n v="0"/>
    <n v="144"/>
    <n v="1"/>
    <m/>
    <m/>
    <m/>
    <m/>
    <x v="0"/>
    <x v="0"/>
    <m/>
    <m/>
    <m/>
    <x v="0"/>
    <x v="0"/>
  </r>
  <r>
    <x v="481"/>
    <x v="15"/>
    <x v="15"/>
    <n v="36"/>
    <n v="3.2"/>
    <n v="46.8"/>
    <n v="1684.8"/>
    <n v="1675"/>
    <n v="5360"/>
    <n v="0.99418328584995252"/>
    <n v="1"/>
    <n v="-6.0000000000000001E-3"/>
    <s v="300"/>
    <m/>
    <n v="1"/>
    <n v="1674"/>
    <n v="0.99940298507462688"/>
    <s v="1150130-01A"/>
    <m/>
    <s v="膠體流失約15kg"/>
    <m/>
    <x v="0"/>
    <x v="0"/>
    <m/>
    <m/>
    <m/>
    <x v="0"/>
    <x v="0"/>
  </r>
  <r>
    <x v="481"/>
    <x v="27"/>
    <x v="26"/>
    <n v="36"/>
    <n v="3.2"/>
    <n v="47.5"/>
    <n v="1710"/>
    <n v="1677"/>
    <n v="5366.4000000000005"/>
    <n v="0.98070175438596496"/>
    <n v="1"/>
    <n v="-1.9E-2"/>
    <s v="300"/>
    <m/>
    <n v="2"/>
    <n v="1675"/>
    <n v="0.99880739415623132"/>
    <m/>
    <m/>
    <m/>
    <m/>
    <x v="0"/>
    <x v="0"/>
    <m/>
    <m/>
    <m/>
    <x v="0"/>
    <x v="0"/>
  </r>
  <r>
    <x v="481"/>
    <x v="2"/>
    <x v="2"/>
    <n v="24"/>
    <n v="6"/>
    <n v="26.6"/>
    <n v="638.40000000000009"/>
    <n v="638"/>
    <n v="3828"/>
    <n v="0.9993734335839598"/>
    <n v="1"/>
    <n v="-1E-3"/>
    <s v="300"/>
    <m/>
    <n v="1"/>
    <n v="637"/>
    <n v="0.99843260188087779"/>
    <m/>
    <m/>
    <m/>
    <m/>
    <x v="0"/>
    <x v="0"/>
    <m/>
    <m/>
    <m/>
    <x v="0"/>
    <x v="0"/>
  </r>
  <r>
    <x v="481"/>
    <x v="16"/>
    <x v="16"/>
    <n v="24"/>
    <n v="6"/>
    <n v="26.1"/>
    <n v="626.40000000000009"/>
    <n v="644"/>
    <n v="3864"/>
    <n v="1.0280970625798211"/>
    <n v="1"/>
    <n v="2.8000000000000001E-2"/>
    <s v="340"/>
    <m/>
    <n v="3"/>
    <n v="641"/>
    <n v="0.99534161490683226"/>
    <m/>
    <m/>
    <s v="(NY箱*20個)"/>
    <m/>
    <x v="0"/>
    <x v="0"/>
    <m/>
    <m/>
    <m/>
    <x v="0"/>
    <x v="0"/>
  </r>
  <r>
    <x v="481"/>
    <x v="41"/>
    <x v="39"/>
    <n v="56"/>
    <n v="2.8"/>
    <n v="44.2"/>
    <n v="2475.2000000000003"/>
    <n v="2444"/>
    <n v="6843.2"/>
    <n v="0.98739495798319321"/>
    <n v="1"/>
    <n v="-1.2999999999999999E-2"/>
    <s v="500"/>
    <m/>
    <n v="1"/>
    <n v="2443"/>
    <n v="0.99959083469721766"/>
    <m/>
    <m/>
    <m/>
    <m/>
    <x v="0"/>
    <x v="0"/>
    <m/>
    <m/>
    <m/>
    <x v="0"/>
    <x v="0"/>
  </r>
  <r>
    <x v="482"/>
    <x v="15"/>
    <x v="15"/>
    <n v="72"/>
    <n v="3.2"/>
    <n v="46.8"/>
    <n v="3369.6"/>
    <n v="3372"/>
    <n v="10790.400000000001"/>
    <n v="1.0007122507122508"/>
    <n v="1"/>
    <n v="1E-3"/>
    <s v="540"/>
    <m/>
    <n v="3"/>
    <n v="3369"/>
    <n v="0.99911032028469748"/>
    <m/>
    <m/>
    <s v=""/>
    <m/>
    <x v="0"/>
    <x v="0"/>
    <m/>
    <m/>
    <m/>
    <x v="0"/>
    <x v="0"/>
  </r>
  <r>
    <x v="482"/>
    <x v="28"/>
    <x v="19"/>
    <n v="48"/>
    <n v="6"/>
    <n v="25.5"/>
    <n v="1224"/>
    <n v="1225"/>
    <n v="7350"/>
    <n v="1.0008169934640523"/>
    <n v="1"/>
    <n v="1E-3"/>
    <s v="600"/>
    <m/>
    <n v="5"/>
    <n v="1220"/>
    <n v="0.99591836734693873"/>
    <m/>
    <m/>
    <m/>
    <m/>
    <x v="0"/>
    <x v="0"/>
    <m/>
    <m/>
    <m/>
    <x v="0"/>
    <x v="0"/>
  </r>
  <r>
    <x v="482"/>
    <x v="11"/>
    <x v="11"/>
    <n v="72"/>
    <n v="2.8"/>
    <n v="44.5"/>
    <n v="2561.1428571428569"/>
    <n v="2558"/>
    <n v="7162.4"/>
    <n v="0.99877286925479702"/>
    <n v="1"/>
    <n v="-1E-3"/>
    <s v="550"/>
    <m/>
    <n v="1"/>
    <n v="2557"/>
    <n v="0.9996090695856138"/>
    <m/>
    <m/>
    <s v="D9920(18kg)100桶"/>
    <m/>
    <x v="0"/>
    <x v="0"/>
    <m/>
    <m/>
    <m/>
    <x v="0"/>
    <x v="0"/>
  </r>
  <r>
    <x v="482"/>
    <x v="94"/>
    <x v="85"/>
    <n v="1"/>
    <n v="1"/>
    <n v="591"/>
    <n v="591"/>
    <n v="552"/>
    <n v="552"/>
    <n v="0.93401015228426398"/>
    <n v="1"/>
    <n v="-6.6000000000000003E-2"/>
    <s v="0"/>
    <m/>
    <n v="0"/>
    <n v="552"/>
    <n v="1"/>
    <m/>
    <m/>
    <s v=""/>
    <m/>
    <x v="0"/>
    <x v="0"/>
    <m/>
    <m/>
    <m/>
    <x v="0"/>
    <x v="0"/>
  </r>
  <r>
    <x v="483"/>
    <x v="10"/>
    <x v="10"/>
    <n v="24"/>
    <n v="6"/>
    <n v="25.4"/>
    <n v="609.59999999999991"/>
    <n v="608"/>
    <n v="3648"/>
    <n v="0.99737532808398965"/>
    <n v="1"/>
    <n v="-3.0000000000000001E-3"/>
    <s v="350"/>
    <m/>
    <n v="1"/>
    <n v="607"/>
    <n v="0.99835526315789469"/>
    <m/>
    <m/>
    <m/>
    <m/>
    <x v="0"/>
    <x v="0"/>
    <m/>
    <m/>
    <m/>
    <x v="0"/>
    <x v="0"/>
  </r>
  <r>
    <x v="483"/>
    <x v="9"/>
    <x v="9"/>
    <n v="20"/>
    <n v="6"/>
    <n v="25.7"/>
    <n v="514"/>
    <n v="565"/>
    <n v="3390"/>
    <n v="1.0992217898832686"/>
    <n v="1"/>
    <n v="9.9000000000000005E-2"/>
    <s v="300"/>
    <m/>
    <n v="4"/>
    <n v="561"/>
    <n v="0.99292035398230083"/>
    <m/>
    <m/>
    <m/>
    <m/>
    <x v="0"/>
    <x v="0"/>
    <m/>
    <m/>
    <m/>
    <x v="0"/>
    <x v="0"/>
  </r>
  <r>
    <x v="483"/>
    <x v="17"/>
    <x v="17"/>
    <n v="21"/>
    <n v="3"/>
    <n v="29.7"/>
    <n v="623.69999999999993"/>
    <n v="624"/>
    <n v="1872"/>
    <n v="1.0004810004810005"/>
    <n v="1"/>
    <n v="0"/>
    <s v="510"/>
    <m/>
    <n v="0"/>
    <n v="624"/>
    <n v="1"/>
    <m/>
    <m/>
    <m/>
    <m/>
    <x v="0"/>
    <x v="0"/>
    <m/>
    <m/>
    <m/>
    <x v="0"/>
    <x v="0"/>
  </r>
  <r>
    <x v="483"/>
    <x v="34"/>
    <x v="32"/>
    <n v="20"/>
    <n v="0.34"/>
    <n v="358.3"/>
    <n v="7166"/>
    <n v="7236"/>
    <n v="2460.2400000000002"/>
    <n v="1.0097683505442367"/>
    <n v="1"/>
    <n v="0.01"/>
    <s v="310"/>
    <m/>
    <n v="3"/>
    <n v="7233"/>
    <n v="0.99958540630182424"/>
    <m/>
    <m/>
    <m/>
    <m/>
    <x v="0"/>
    <x v="0"/>
    <m/>
    <m/>
    <m/>
    <x v="0"/>
    <x v="0"/>
  </r>
  <r>
    <x v="483"/>
    <x v="55"/>
    <x v="48"/>
    <n v="32"/>
    <n v="18"/>
    <n v="6.9"/>
    <n v="220.8"/>
    <n v="228"/>
    <n v="4104"/>
    <n v="1.0326086956521738"/>
    <n v="1"/>
    <n v="3.3000000000000002E-2"/>
    <s v="340"/>
    <m/>
    <n v="0"/>
    <n v="228"/>
    <n v="1"/>
    <m/>
    <m/>
    <s v=""/>
    <m/>
    <x v="0"/>
    <x v="0"/>
    <m/>
    <m/>
    <m/>
    <x v="0"/>
    <x v="0"/>
  </r>
  <r>
    <x v="483"/>
    <x v="102"/>
    <x v="92"/>
    <n v="1"/>
    <n v="1"/>
    <n v="142"/>
    <n v="142"/>
    <n v="152"/>
    <n v="152"/>
    <n v="1.0704225352112675"/>
    <n v="1"/>
    <n v="7.0000000000000007E-2"/>
    <s v="0"/>
    <m/>
    <n v="0"/>
    <n v="152"/>
    <n v="1"/>
    <m/>
    <m/>
    <s v=""/>
    <m/>
    <x v="0"/>
    <x v="0"/>
    <m/>
    <m/>
    <m/>
    <x v="0"/>
    <x v="0"/>
  </r>
  <r>
    <x v="484"/>
    <x v="15"/>
    <x v="15"/>
    <n v="72"/>
    <n v="3.2"/>
    <n v="46.8"/>
    <n v="3369.6"/>
    <n v="3386"/>
    <n v="10835.2"/>
    <n v="1.0048670465337133"/>
    <n v="1"/>
    <n v="5.0000000000000001E-3"/>
    <s v="540"/>
    <m/>
    <n v="7"/>
    <n v="3379"/>
    <n v="0.99793266391021851"/>
    <m/>
    <m/>
    <s v=""/>
    <m/>
    <x v="0"/>
    <x v="0"/>
    <m/>
    <m/>
    <m/>
    <x v="0"/>
    <x v="0"/>
  </r>
  <r>
    <x v="484"/>
    <x v="16"/>
    <x v="16"/>
    <n v="24"/>
    <n v="6"/>
    <n v="26.1"/>
    <n v="626.40000000000009"/>
    <n v="638"/>
    <n v="3828"/>
    <n v="1.0185185185185184"/>
    <n v="1"/>
    <n v="1.9E-2"/>
    <s v="335"/>
    <m/>
    <n v="2"/>
    <n v="636"/>
    <n v="0.99686520376175547"/>
    <m/>
    <m/>
    <m/>
    <m/>
    <x v="0"/>
    <x v="0"/>
    <m/>
    <m/>
    <m/>
    <x v="0"/>
    <x v="0"/>
  </r>
  <r>
    <x v="484"/>
    <x v="9"/>
    <x v="9"/>
    <n v="20"/>
    <n v="6"/>
    <n v="25.7"/>
    <n v="514"/>
    <n v="580"/>
    <n v="3480"/>
    <n v="1.1284046692607004"/>
    <n v="1"/>
    <n v="0.128"/>
    <s v="270"/>
    <m/>
    <n v="2"/>
    <n v="578"/>
    <n v="0.99655172413793103"/>
    <m/>
    <m/>
    <m/>
    <m/>
    <x v="0"/>
    <x v="0"/>
    <m/>
    <m/>
    <m/>
    <x v="0"/>
    <x v="0"/>
  </r>
  <r>
    <x v="484"/>
    <x v="11"/>
    <x v="11"/>
    <n v="72"/>
    <n v="2.8"/>
    <n v="44.5"/>
    <n v="3204"/>
    <n v="3177"/>
    <n v="8895.5999999999985"/>
    <n v="0.9915730337078652"/>
    <n v="1"/>
    <n v="-8.0000000000000002E-3"/>
    <s v="605"/>
    <m/>
    <n v="1"/>
    <n v="3176"/>
    <n v="0.9996852376455776"/>
    <m/>
    <m/>
    <s v=""/>
    <m/>
    <x v="0"/>
    <x v="0"/>
    <m/>
    <m/>
    <m/>
    <x v="0"/>
    <x v="0"/>
  </r>
  <r>
    <x v="485"/>
    <x v="2"/>
    <x v="2"/>
    <n v="28"/>
    <n v="6"/>
    <n v="26.6"/>
    <n v="744.80000000000007"/>
    <n v="726"/>
    <n v="4356"/>
    <n v="0.97475832438238441"/>
    <n v="1"/>
    <n v="-2.5000000000000001E-2"/>
    <s v="358"/>
    <m/>
    <n v="1"/>
    <n v="725"/>
    <n v="0.99862258953168048"/>
    <m/>
    <m/>
    <s v=""/>
    <m/>
    <x v="0"/>
    <x v="0"/>
    <m/>
    <m/>
    <m/>
    <x v="0"/>
    <x v="0"/>
  </r>
  <r>
    <x v="485"/>
    <x v="47"/>
    <x v="42"/>
    <n v="12"/>
    <n v="6"/>
    <n v="25.6"/>
    <n v="307.20000000000005"/>
    <n v="313"/>
    <n v="1878"/>
    <n v="1.0188802083333333"/>
    <n v="1"/>
    <n v="1.9E-2"/>
    <s v="165"/>
    <m/>
    <n v="1"/>
    <n v="312"/>
    <n v="0.99680511182108622"/>
    <m/>
    <m/>
    <m/>
    <m/>
    <x v="0"/>
    <x v="0"/>
    <m/>
    <m/>
    <m/>
    <x v="0"/>
    <x v="0"/>
  </r>
  <r>
    <x v="485"/>
    <x v="82"/>
    <x v="74"/>
    <n v="6"/>
    <n v="6"/>
    <n v="24.5"/>
    <n v="147"/>
    <n v="146"/>
    <n v="876"/>
    <n v="0.99319727891156462"/>
    <n v="1"/>
    <n v="-7.0000000000000001E-3"/>
    <s v="170"/>
    <m/>
    <n v="2"/>
    <n v="144"/>
    <n v="0.98630136986301364"/>
    <m/>
    <m/>
    <m/>
    <m/>
    <x v="0"/>
    <x v="0"/>
    <m/>
    <m/>
    <m/>
    <x v="0"/>
    <x v="0"/>
  </r>
  <r>
    <x v="485"/>
    <x v="51"/>
    <x v="45"/>
    <n v="16"/>
    <n v="9.08"/>
    <n v="17.8"/>
    <n v="284.8"/>
    <n v="282"/>
    <n v="2560.56"/>
    <n v="0.9901685393258427"/>
    <n v="1"/>
    <n v="-0.01"/>
    <s v="232"/>
    <m/>
    <n v="0"/>
    <n v="282"/>
    <n v="1"/>
    <m/>
    <m/>
    <s v=""/>
    <m/>
    <x v="0"/>
    <x v="0"/>
    <m/>
    <m/>
    <m/>
    <x v="0"/>
    <x v="0"/>
  </r>
  <r>
    <x v="485"/>
    <x v="5"/>
    <x v="5"/>
    <n v="12"/>
    <n v="9.08"/>
    <n v="17.3"/>
    <n v="207.60000000000002"/>
    <n v="207"/>
    <n v="1879.56"/>
    <n v="0.99710982658959524"/>
    <n v="1"/>
    <n v="-3.0000000000000001E-3"/>
    <s v="203"/>
    <m/>
    <n v="0"/>
    <n v="207"/>
    <n v="1"/>
    <m/>
    <m/>
    <s v=""/>
    <m/>
    <x v="0"/>
    <x v="0"/>
    <m/>
    <m/>
    <m/>
    <x v="0"/>
    <x v="0"/>
  </r>
  <r>
    <x v="485"/>
    <x v="3"/>
    <x v="3"/>
    <n v="12"/>
    <n v="4.5"/>
    <n v="36.299999999999997"/>
    <n v="435.59999999999997"/>
    <n v="436"/>
    <n v="1962"/>
    <n v="1.0009182736455464"/>
    <n v="1"/>
    <n v="1E-3"/>
    <s v="230"/>
    <m/>
    <n v="0"/>
    <n v="436"/>
    <n v="1"/>
    <m/>
    <m/>
    <m/>
    <m/>
    <x v="0"/>
    <x v="0"/>
    <m/>
    <m/>
    <m/>
    <x v="0"/>
    <x v="0"/>
  </r>
  <r>
    <x v="485"/>
    <x v="142"/>
    <x v="6"/>
    <n v="20"/>
    <n v="0.4"/>
    <n v="309.2"/>
    <n v="6184"/>
    <n v="6214"/>
    <n v="2485.6000000000004"/>
    <n v="1.0048512289780078"/>
    <e v="#N/A"/>
    <e v="#N/A"/>
    <s v="265"/>
    <m/>
    <n v="1"/>
    <n v="6213"/>
    <n v="0.99983907306083042"/>
    <s v="1141208-01A "/>
    <n v="222"/>
    <s v="(特殊製程)"/>
    <m/>
    <x v="0"/>
    <x v="0"/>
    <m/>
    <m/>
    <m/>
    <x v="0"/>
    <x v="0"/>
  </r>
  <r>
    <x v="485"/>
    <x v="6"/>
    <x v="6"/>
    <n v="20"/>
    <n v="0.4"/>
    <n v="309.2"/>
    <n v="6184"/>
    <n v="6339"/>
    <n v="2535.6000000000004"/>
    <n v="1.0250646830530401"/>
    <n v="1"/>
    <n v="2.5000000000000001E-2"/>
    <s v="295"/>
    <m/>
    <n v="3"/>
    <n v="6336"/>
    <n v="0.99952673923331758"/>
    <m/>
    <m/>
    <m/>
    <m/>
    <x v="0"/>
    <x v="0"/>
    <m/>
    <m/>
    <m/>
    <x v="0"/>
    <x v="0"/>
  </r>
  <r>
    <x v="486"/>
    <x v="15"/>
    <x v="15"/>
    <n v="72"/>
    <n v="3.2"/>
    <n v="46.8"/>
    <n v="3369.6"/>
    <n v="3350"/>
    <n v="10720"/>
    <n v="0.99418328584995252"/>
    <n v="1"/>
    <n v="-6.0000000000000001E-3"/>
    <s v="570"/>
    <m/>
    <n v="6"/>
    <n v="3344"/>
    <n v="0.99820895522388065"/>
    <m/>
    <m/>
    <s v=""/>
    <m/>
    <x v="0"/>
    <x v="0"/>
    <m/>
    <m/>
    <m/>
    <x v="0"/>
    <x v="0"/>
  </r>
  <r>
    <x v="486"/>
    <x v="28"/>
    <x v="19"/>
    <n v="16"/>
    <n v="6"/>
    <n v="25.5"/>
    <n v="408"/>
    <n v="409"/>
    <n v="2454"/>
    <n v="1.0024509803921569"/>
    <n v="1"/>
    <n v="2E-3"/>
    <s v="230"/>
    <m/>
    <n v="1"/>
    <n v="408"/>
    <n v="0.99755501222493892"/>
    <m/>
    <m/>
    <m/>
    <m/>
    <x v="0"/>
    <x v="0"/>
    <m/>
    <m/>
    <m/>
    <x v="0"/>
    <x v="0"/>
  </r>
  <r>
    <x v="486"/>
    <x v="22"/>
    <x v="10"/>
    <n v="12"/>
    <n v="6"/>
    <n v="25.1"/>
    <n v="301.20000000000005"/>
    <n v="304"/>
    <n v="1824"/>
    <n v="1.0092961487383796"/>
    <n v="1"/>
    <n v="8.9999999999999993E-3"/>
    <s v="185"/>
    <m/>
    <n v="1"/>
    <n v="303"/>
    <n v="0.99671052631578949"/>
    <m/>
    <m/>
    <s v=""/>
    <m/>
    <x v="0"/>
    <x v="0"/>
    <m/>
    <m/>
    <m/>
    <x v="0"/>
    <x v="0"/>
  </r>
  <r>
    <x v="486"/>
    <x v="19"/>
    <x v="19"/>
    <n v="12"/>
    <n v="6"/>
    <n v="25.5"/>
    <n v="306"/>
    <n v="334"/>
    <n v="2004"/>
    <n v="1.0915032679738561"/>
    <n v="1"/>
    <n v="9.1999999999999998E-2"/>
    <s v="194"/>
    <m/>
    <n v="2"/>
    <n v="332"/>
    <n v="0.99401197604790414"/>
    <m/>
    <m/>
    <m/>
    <m/>
    <x v="0"/>
    <x v="0"/>
    <m/>
    <m/>
    <m/>
    <x v="0"/>
    <x v="0"/>
  </r>
  <r>
    <x v="486"/>
    <x v="11"/>
    <x v="11"/>
    <n v="72"/>
    <n v="2.8"/>
    <n v="44.5"/>
    <n v="3204"/>
    <n v="3348"/>
    <n v="9374.4"/>
    <n v="1.0449438202247192"/>
    <n v="1"/>
    <n v="4.4999999999999998E-2"/>
    <s v="540"/>
    <m/>
    <n v="1"/>
    <n v="3347"/>
    <n v="0.99970131421744324"/>
    <s v="1141208-01A "/>
    <n v="360"/>
    <m/>
    <m/>
    <x v="0"/>
    <x v="0"/>
    <m/>
    <m/>
    <m/>
    <x v="0"/>
    <x v="0"/>
  </r>
  <r>
    <x v="487"/>
    <x v="96"/>
    <x v="87"/>
    <n v="50"/>
    <n v="1"/>
    <n v="5.7"/>
    <n v="285"/>
    <n v="293"/>
    <n v="293"/>
    <n v="1.0280701754385966"/>
    <n v="1"/>
    <n v="2.8000000000000001E-2"/>
    <n v="0"/>
    <m/>
    <n v="0"/>
    <n v="293"/>
    <n v="1"/>
    <m/>
    <m/>
    <m/>
    <m/>
    <x v="0"/>
    <x v="0"/>
    <m/>
    <m/>
    <m/>
    <x v="0"/>
    <x v="0"/>
  </r>
  <r>
    <x v="488"/>
    <x v="26"/>
    <x v="25"/>
    <n v="20"/>
    <n v="0.9"/>
    <n v="163"/>
    <n v="3260"/>
    <n v="3254"/>
    <n v="2928.6"/>
    <n v="0.998159509202454"/>
    <n v="1"/>
    <n v="-2E-3"/>
    <s v="300"/>
    <m/>
    <n v="4"/>
    <n v="3250"/>
    <n v="0.99877074370006147"/>
    <m/>
    <m/>
    <s v=""/>
    <m/>
    <x v="0"/>
    <x v="0"/>
    <m/>
    <m/>
    <m/>
    <x v="0"/>
    <x v="0"/>
  </r>
  <r>
    <x v="488"/>
    <x v="2"/>
    <x v="2"/>
    <n v="20"/>
    <n v="6"/>
    <n v="26.6"/>
    <n v="532"/>
    <n v="523"/>
    <n v="3138"/>
    <n v="0.98308270676691734"/>
    <n v="1"/>
    <n v="-1.7000000000000001E-2"/>
    <s v="240"/>
    <m/>
    <n v="2"/>
    <n v="521"/>
    <n v="0.99617590822179736"/>
    <m/>
    <m/>
    <s v=""/>
    <m/>
    <x v="0"/>
    <x v="0"/>
    <m/>
    <m/>
    <m/>
    <x v="0"/>
    <x v="0"/>
  </r>
  <r>
    <x v="488"/>
    <x v="3"/>
    <x v="3"/>
    <n v="36"/>
    <n v="4.5"/>
    <n v="36.299999999999997"/>
    <n v="1306.8"/>
    <n v="1329"/>
    <n v="5980.5"/>
    <n v="1.016988062442608"/>
    <n v="1"/>
    <n v="1.7000000000000001E-2"/>
    <s v="492"/>
    <m/>
    <n v="0"/>
    <n v="1329"/>
    <n v="1"/>
    <m/>
    <m/>
    <m/>
    <m/>
    <x v="0"/>
    <x v="0"/>
    <m/>
    <m/>
    <m/>
    <x v="0"/>
    <x v="0"/>
  </r>
  <r>
    <x v="488"/>
    <x v="53"/>
    <x v="46"/>
    <n v="4"/>
    <n v="4.5"/>
    <n v="34.5"/>
    <n v="138"/>
    <n v="135"/>
    <n v="607.5"/>
    <n v="0.97826086956521741"/>
    <n v="1"/>
    <n v="-2.1999999999999999E-2"/>
    <s v="135"/>
    <m/>
    <n v="0"/>
    <n v="135"/>
    <n v="1"/>
    <m/>
    <m/>
    <m/>
    <m/>
    <x v="0"/>
    <x v="0"/>
    <m/>
    <m/>
    <m/>
    <x v="0"/>
    <x v="0"/>
  </r>
  <r>
    <x v="488"/>
    <x v="11"/>
    <x v="11"/>
    <n v="72"/>
    <n v="2.8"/>
    <n v="44.5"/>
    <n v="3204"/>
    <n v="3271"/>
    <n v="9158.7999999999993"/>
    <n v="1.0209113607990012"/>
    <n v="1"/>
    <n v="2.1000000000000001E-2"/>
    <s v="570"/>
    <m/>
    <n v="2"/>
    <n v="3269"/>
    <n v="0.99938856618771021"/>
    <s v="1141208-01A "/>
    <n v="208"/>
    <m/>
    <m/>
    <x v="0"/>
    <x v="0"/>
    <m/>
    <m/>
    <m/>
    <x v="0"/>
    <x v="0"/>
  </r>
  <r>
    <x v="489"/>
    <x v="21"/>
    <x v="21"/>
    <n v="36"/>
    <n v="3.2"/>
    <n v="46.4"/>
    <n v="1670.3999999999999"/>
    <n v="1650"/>
    <n v="5280"/>
    <n v="0.98778735632183912"/>
    <n v="1"/>
    <n v="-1.2E-2"/>
    <s v="300"/>
    <m/>
    <n v="1"/>
    <n v="1649"/>
    <n v="0.99939393939393939"/>
    <m/>
    <m/>
    <m/>
    <m/>
    <x v="0"/>
    <x v="0"/>
    <m/>
    <m/>
    <m/>
    <x v="0"/>
    <x v="0"/>
  </r>
  <r>
    <x v="489"/>
    <x v="27"/>
    <x v="26"/>
    <n v="36"/>
    <n v="3.2"/>
    <n v="47.5"/>
    <n v="1710"/>
    <n v="1679"/>
    <n v="5372.8"/>
    <n v="0.98187134502923978"/>
    <n v="1"/>
    <n v="-1.7999999999999999E-2"/>
    <s v="270"/>
    <m/>
    <n v="1"/>
    <n v="1678"/>
    <n v="0.99940440738534841"/>
    <m/>
    <m/>
    <m/>
    <m/>
    <x v="0"/>
    <x v="0"/>
    <m/>
    <m/>
    <m/>
    <x v="0"/>
    <x v="0"/>
  </r>
  <r>
    <x v="489"/>
    <x v="130"/>
    <x v="114"/>
    <n v="12"/>
    <n v="6"/>
    <n v="0"/>
    <n v="0"/>
    <n v="328"/>
    <n v="1968"/>
    <s v="無法預估數據"/>
    <e v="#N/A"/>
    <s v="無法預估數據"/>
    <s v="170"/>
    <m/>
    <n v="5"/>
    <n v="323"/>
    <n v="0.9847560975609756"/>
    <m/>
    <m/>
    <m/>
    <m/>
    <x v="0"/>
    <x v="0"/>
    <m/>
    <m/>
    <m/>
    <x v="0"/>
    <x v="0"/>
  </r>
  <r>
    <x v="489"/>
    <x v="10"/>
    <x v="10"/>
    <n v="16"/>
    <n v="6"/>
    <n v="25.4"/>
    <n v="406.4"/>
    <n v="408"/>
    <n v="2448"/>
    <n v="1.0039370078740157"/>
    <n v="1"/>
    <n v="4.0000000000000001E-3"/>
    <s v="240"/>
    <m/>
    <n v="1"/>
    <n v="407"/>
    <n v="0.99754901960784315"/>
    <m/>
    <m/>
    <m/>
    <m/>
    <x v="0"/>
    <x v="0"/>
    <m/>
    <m/>
    <m/>
    <x v="0"/>
    <x v="0"/>
  </r>
  <r>
    <x v="489"/>
    <x v="19"/>
    <x v="19"/>
    <n v="12"/>
    <n v="6"/>
    <n v="25.5"/>
    <n v="306"/>
    <n v="332"/>
    <n v="1992"/>
    <n v="1.0849673202614378"/>
    <n v="1"/>
    <n v="8.5000000000000006E-2"/>
    <s v="215"/>
    <m/>
    <n v="1"/>
    <n v="331"/>
    <n v="0.99698795180722888"/>
    <m/>
    <m/>
    <s v=""/>
    <m/>
    <x v="0"/>
    <x v="0"/>
    <m/>
    <m/>
    <m/>
    <x v="0"/>
    <x v="0"/>
  </r>
  <r>
    <x v="489"/>
    <x v="11"/>
    <x v="11"/>
    <n v="72"/>
    <n v="2.8"/>
    <n v="44.5"/>
    <n v="3107.5714285714284"/>
    <n v="3104"/>
    <n v="8691.1999999999989"/>
    <n v="0.99885073323219786"/>
    <n v="1"/>
    <n v="-1E-3"/>
    <s v="545"/>
    <m/>
    <n v="1"/>
    <n v="3103"/>
    <n v="0.99967783505154639"/>
    <m/>
    <m/>
    <s v="，D2021美芝城*150箱。(2028.02.10)_x000a_D9920(18kg)*15桶(2027.02.10)"/>
    <m/>
    <x v="0"/>
    <x v="0"/>
    <m/>
    <m/>
    <m/>
    <x v="0"/>
    <x v="0"/>
  </r>
  <r>
    <x v="490"/>
    <x v="2"/>
    <x v="2"/>
    <n v="16"/>
    <n v="6"/>
    <n v="26.6"/>
    <n v="425.6"/>
    <n v="413"/>
    <n v="2478"/>
    <n v="0.9703947368421052"/>
    <n v="1"/>
    <n v="-0.03"/>
    <s v="280"/>
    <m/>
    <n v="4"/>
    <n v="409"/>
    <n v="0.99031476997578693"/>
    <m/>
    <m/>
    <s v=""/>
    <m/>
    <x v="0"/>
    <x v="0"/>
    <m/>
    <m/>
    <m/>
    <x v="0"/>
    <x v="0"/>
  </r>
  <r>
    <x v="490"/>
    <x v="0"/>
    <x v="0"/>
    <n v="16"/>
    <n v="6"/>
    <n v="25.5"/>
    <n v="408"/>
    <n v="406"/>
    <n v="2436"/>
    <n v="0.99509803921568629"/>
    <n v="1"/>
    <n v="-5.0000000000000001E-3"/>
    <s v="256"/>
    <m/>
    <n v="1"/>
    <n v="405"/>
    <n v="0.99753694581280783"/>
    <m/>
    <m/>
    <s v=""/>
    <m/>
    <x v="0"/>
    <x v="0"/>
    <m/>
    <m/>
    <m/>
    <x v="0"/>
    <x v="0"/>
  </r>
  <r>
    <x v="490"/>
    <x v="1"/>
    <x v="1"/>
    <n v="6"/>
    <n v="6"/>
    <n v="25.7"/>
    <n v="154.19999999999999"/>
    <n v="147"/>
    <n v="882"/>
    <n v="0.953307392996109"/>
    <n v="1"/>
    <n v="-4.7E-2"/>
    <s v="160"/>
    <m/>
    <n v="1"/>
    <n v="146"/>
    <n v="0.99319727891156462"/>
    <m/>
    <m/>
    <m/>
    <m/>
    <x v="0"/>
    <x v="0"/>
    <m/>
    <m/>
    <m/>
    <x v="0"/>
    <x v="0"/>
  </r>
  <r>
    <x v="490"/>
    <x v="65"/>
    <x v="56"/>
    <n v="16"/>
    <n v="9.5"/>
    <n v="16.600000000000001"/>
    <n v="265.60000000000002"/>
    <n v="262"/>
    <n v="2489"/>
    <n v="0.98644578313253006"/>
    <n v="1"/>
    <n v="-1.4E-2"/>
    <s v="250"/>
    <m/>
    <n v="0"/>
    <n v="262"/>
    <n v="1"/>
    <m/>
    <m/>
    <s v=""/>
    <m/>
    <x v="0"/>
    <x v="0"/>
    <m/>
    <m/>
    <m/>
    <x v="0"/>
    <x v="0"/>
  </r>
  <r>
    <x v="490"/>
    <x v="52"/>
    <x v="46"/>
    <n v="12"/>
    <n v="4.5"/>
    <n v="35.6"/>
    <n v="427.20000000000005"/>
    <n v="425"/>
    <n v="1912.5"/>
    <n v="0.99485018726591745"/>
    <n v="1"/>
    <n v="-5.0000000000000001E-3"/>
    <s v="275"/>
    <m/>
    <n v="0"/>
    <n v="425"/>
    <n v="1"/>
    <m/>
    <m/>
    <s v=""/>
    <m/>
    <x v="0"/>
    <x v="0"/>
    <m/>
    <m/>
    <m/>
    <x v="0"/>
    <x v="0"/>
  </r>
  <r>
    <x v="490"/>
    <x v="59"/>
    <x v="52"/>
    <n v="12"/>
    <n v="4.5"/>
    <n v="34.9"/>
    <n v="418.79999999999995"/>
    <n v="421"/>
    <n v="1894.5"/>
    <n v="1.0052531041069723"/>
    <n v="1"/>
    <n v="5.0000000000000001E-3"/>
    <s v="248"/>
    <m/>
    <n v="0"/>
    <n v="421"/>
    <n v="1"/>
    <m/>
    <m/>
    <s v=""/>
    <m/>
    <x v="0"/>
    <x v="0"/>
    <m/>
    <m/>
    <m/>
    <x v="0"/>
    <x v="0"/>
  </r>
  <r>
    <x v="490"/>
    <x v="12"/>
    <x v="12"/>
    <n v="20"/>
    <n v="0.8"/>
    <n v="157.69999999999999"/>
    <n v="3154"/>
    <n v="3111"/>
    <n v="2488.8000000000002"/>
    <n v="0.98636651870640457"/>
    <n v="1"/>
    <n v="-1.4E-2"/>
    <s v="310"/>
    <m/>
    <n v="3"/>
    <n v="3108"/>
    <n v="0.99903567984570874"/>
    <m/>
    <m/>
    <m/>
    <m/>
    <x v="0"/>
    <x v="0"/>
    <m/>
    <m/>
    <m/>
    <x v="0"/>
    <x v="0"/>
  </r>
  <r>
    <x v="490"/>
    <x v="114"/>
    <x v="103"/>
    <n v="20"/>
    <n v="0.8"/>
    <n v="155.5"/>
    <n v="3110"/>
    <n v="3151"/>
    <n v="2520.8000000000002"/>
    <n v="1.0131832797427653"/>
    <n v="1"/>
    <n v="1.2999999999999999E-2"/>
    <s v="360"/>
    <m/>
    <n v="2"/>
    <n v="3149"/>
    <n v="0.99936528086321808"/>
    <m/>
    <m/>
    <s v=""/>
    <m/>
    <x v="0"/>
    <x v="0"/>
    <m/>
    <m/>
    <m/>
    <x v="0"/>
    <x v="0"/>
  </r>
  <r>
    <x v="491"/>
    <x v="15"/>
    <x v="15"/>
    <n v="72"/>
    <n v="3.2"/>
    <n v="46.8"/>
    <n v="3369.6"/>
    <n v="3340"/>
    <n v="10688"/>
    <n v="0.99121557454890796"/>
    <n v="1"/>
    <n v="-8.9999999999999993E-3"/>
    <s v="570"/>
    <m/>
    <n v="6"/>
    <n v="3334"/>
    <n v="0.99820359281437121"/>
    <m/>
    <m/>
    <s v=""/>
    <m/>
    <x v="0"/>
    <x v="0"/>
    <m/>
    <m/>
    <m/>
    <x v="0"/>
    <x v="0"/>
  </r>
  <r>
    <x v="491"/>
    <x v="9"/>
    <x v="9"/>
    <n v="24"/>
    <n v="6"/>
    <n v="25.7"/>
    <n v="616.79999999999995"/>
    <n v="690"/>
    <n v="4140"/>
    <n v="1.1186770428015564"/>
    <n v="1"/>
    <n v="0.11899999999999999"/>
    <s v="328"/>
    <m/>
    <n v="1"/>
    <n v="689"/>
    <n v="0.99855072463768113"/>
    <m/>
    <m/>
    <m/>
    <m/>
    <x v="0"/>
    <x v="0"/>
    <m/>
    <m/>
    <m/>
    <x v="0"/>
    <x v="0"/>
  </r>
  <r>
    <x v="491"/>
    <x v="122"/>
    <x v="111"/>
    <n v="16"/>
    <n v="6"/>
    <n v="0"/>
    <n v="0"/>
    <n v="404"/>
    <n v="2424"/>
    <s v="無法預估數據"/>
    <e v="#N/A"/>
    <s v="無法預估數據"/>
    <s v="220"/>
    <m/>
    <n v="5"/>
    <n v="399"/>
    <n v="0.98762376237623761"/>
    <m/>
    <m/>
    <s v=""/>
    <m/>
    <x v="0"/>
    <x v="0"/>
    <m/>
    <m/>
    <m/>
    <x v="0"/>
    <x v="0"/>
  </r>
  <r>
    <x v="491"/>
    <x v="64"/>
    <x v="55"/>
    <n v="8"/>
    <n v="0.28999999999999998"/>
    <n v="412.6"/>
    <n v="3300.8"/>
    <n v="3581"/>
    <n v="1038.49"/>
    <n v="1.0848885118759088"/>
    <n v="1"/>
    <n v="8.5000000000000006E-2"/>
    <s v="445"/>
    <m/>
    <n v="3"/>
    <n v="3578"/>
    <n v="0.99916224518290975"/>
    <m/>
    <m/>
    <s v="，充填281g~285g"/>
    <m/>
    <x v="0"/>
    <x v="0"/>
    <m/>
    <m/>
    <m/>
    <x v="0"/>
    <x v="0"/>
  </r>
  <r>
    <x v="491"/>
    <x v="78"/>
    <x v="70"/>
    <n v="8"/>
    <n v="0.28999999999999998"/>
    <n v="388"/>
    <n v="3104"/>
    <n v="3269"/>
    <n v="948.01"/>
    <n v="1.0531572164948453"/>
    <n v="1"/>
    <n v="5.2999999999999999E-2"/>
    <s v="255"/>
    <m/>
    <n v="4"/>
    <n v="3265"/>
    <n v="0.99877638421535642"/>
    <m/>
    <m/>
    <s v="，充填281g~285g"/>
    <m/>
    <x v="0"/>
    <x v="0"/>
    <m/>
    <m/>
    <m/>
    <x v="0"/>
    <x v="0"/>
  </r>
  <r>
    <x v="492"/>
    <x v="8"/>
    <x v="8"/>
    <n v="8"/>
    <n v="0.44"/>
    <n v="344"/>
    <n v="2752"/>
    <n v="2685"/>
    <n v="1181.4000000000001"/>
    <n v="0.97565406976744184"/>
    <n v="1"/>
    <n v="-2.4E-2"/>
    <s v="230"/>
    <m/>
    <n v="3"/>
    <n v="2682"/>
    <n v="0.99888268156424576"/>
    <m/>
    <m/>
    <m/>
    <m/>
    <x v="0"/>
    <x v="0"/>
    <m/>
    <m/>
    <m/>
    <x v="0"/>
    <x v="0"/>
  </r>
  <r>
    <x v="492"/>
    <x v="63"/>
    <x v="54"/>
    <n v="4"/>
    <n v="0.21"/>
    <n v="698.4"/>
    <n v="2793.6"/>
    <n v="2788"/>
    <n v="585.48"/>
    <n v="0.99799541809851089"/>
    <n v="1"/>
    <n v="-2E-3"/>
    <s v="182"/>
    <m/>
    <n v="9"/>
    <n v="2779"/>
    <n v="0.99677187948350077"/>
    <m/>
    <m/>
    <s v=""/>
    <m/>
    <x v="0"/>
    <x v="0"/>
    <m/>
    <m/>
    <m/>
    <x v="0"/>
    <x v="0"/>
  </r>
  <r>
    <x v="492"/>
    <x v="41"/>
    <x v="39"/>
    <n v="36"/>
    <n v="2.8"/>
    <n v="44.2"/>
    <n v="1591.2"/>
    <n v="1601"/>
    <n v="4482.7999999999993"/>
    <n v="1.0061588738059326"/>
    <n v="1"/>
    <n v="6.0000000000000001E-3"/>
    <s v="385"/>
    <m/>
    <n v="1"/>
    <n v="1600"/>
    <n v="0.99937539038101186"/>
    <m/>
    <m/>
    <s v=""/>
    <m/>
    <x v="0"/>
    <x v="0"/>
    <m/>
    <m/>
    <m/>
    <x v="0"/>
    <x v="0"/>
  </r>
  <r>
    <x v="493"/>
    <x v="15"/>
    <x v="15"/>
    <n v="72"/>
    <n v="3.2"/>
    <n v="46.8"/>
    <n v="3369.6"/>
    <n v="3345"/>
    <n v="10704"/>
    <n v="0.99269943019943019"/>
    <n v="1"/>
    <n v="-7.0000000000000001E-3"/>
    <s v="540"/>
    <m/>
    <n v="4"/>
    <n v="3341"/>
    <n v="0.99880418535127058"/>
    <m/>
    <m/>
    <s v=""/>
    <m/>
    <x v="0"/>
    <x v="0"/>
    <m/>
    <m/>
    <m/>
    <x v="0"/>
    <x v="0"/>
  </r>
  <r>
    <x v="493"/>
    <x v="28"/>
    <x v="19"/>
    <n v="16"/>
    <n v="6"/>
    <n v="25.5"/>
    <n v="408"/>
    <n v="402"/>
    <n v="2412"/>
    <n v="0.98529411764705888"/>
    <n v="1"/>
    <n v="-1.4999999999999999E-2"/>
    <s v="250"/>
    <m/>
    <n v="1"/>
    <n v="401"/>
    <n v="0.99751243781094523"/>
    <m/>
    <m/>
    <m/>
    <m/>
    <x v="0"/>
    <x v="0"/>
    <m/>
    <m/>
    <m/>
    <x v="0"/>
    <x v="0"/>
  </r>
  <r>
    <x v="493"/>
    <x v="10"/>
    <x v="10"/>
    <n v="20"/>
    <n v="6"/>
    <n v="25.4"/>
    <n v="508"/>
    <n v="510"/>
    <n v="3060"/>
    <n v="1.0039370078740157"/>
    <n v="1"/>
    <n v="4.0000000000000001E-3"/>
    <s v="312"/>
    <m/>
    <n v="2"/>
    <n v="508"/>
    <n v="0.99607843137254903"/>
    <m/>
    <m/>
    <m/>
    <m/>
    <x v="0"/>
    <x v="0"/>
    <m/>
    <m/>
    <m/>
    <x v="0"/>
    <x v="0"/>
  </r>
  <r>
    <x v="493"/>
    <x v="48"/>
    <x v="17"/>
    <n v="21"/>
    <n v="3"/>
    <n v="30.8"/>
    <n v="646.80000000000007"/>
    <n v="644"/>
    <n v="1932"/>
    <n v="0.9956709956709956"/>
    <n v="1"/>
    <n v="-4.0000000000000001E-3"/>
    <s v="600"/>
    <m/>
    <n v="0"/>
    <n v="644"/>
    <n v="1"/>
    <m/>
    <m/>
    <s v=""/>
    <m/>
    <x v="0"/>
    <x v="0"/>
    <m/>
    <m/>
    <m/>
    <x v="0"/>
    <x v="0"/>
  </r>
  <r>
    <x v="494"/>
    <x v="43"/>
    <x v="41"/>
    <n v="16"/>
    <n v="0.26"/>
    <n v="584.29999999999995"/>
    <n v="9348.7999999999993"/>
    <n v="9225"/>
    <n v="2398.5"/>
    <n v="0.98675765873695032"/>
    <n v="1"/>
    <n v="-1.2999999999999999E-2"/>
    <s v="330"/>
    <m/>
    <n v="25"/>
    <n v="9200"/>
    <n v="0.99728997289972898"/>
    <m/>
    <m/>
    <m/>
    <m/>
    <x v="0"/>
    <x v="0"/>
    <m/>
    <m/>
    <m/>
    <x v="0"/>
    <x v="0"/>
  </r>
  <r>
    <x v="494"/>
    <x v="18"/>
    <x v="18"/>
    <n v="16"/>
    <n v="6"/>
    <n v="26.4"/>
    <n v="422.4"/>
    <n v="426"/>
    <n v="2556"/>
    <n v="1.0085227272727273"/>
    <n v="1"/>
    <n v="8.9999999999999993E-3"/>
    <s v="300"/>
    <m/>
    <n v="3"/>
    <n v="423"/>
    <n v="0.99295774647887325"/>
    <m/>
    <m/>
    <s v=""/>
    <m/>
    <x v="0"/>
    <x v="0"/>
    <m/>
    <m/>
    <m/>
    <x v="0"/>
    <x v="0"/>
  </r>
  <r>
    <x v="494"/>
    <x v="11"/>
    <x v="11"/>
    <n v="36"/>
    <n v="2.8"/>
    <n v="44.5"/>
    <n v="1602"/>
    <n v="1589"/>
    <n v="4449.2"/>
    <n v="0.99188514357053681"/>
    <n v="1"/>
    <n v="-8.0000000000000002E-3"/>
    <s v="320"/>
    <m/>
    <n v="2"/>
    <n v="1587"/>
    <n v="0.99874134675896786"/>
    <m/>
    <m/>
    <m/>
    <m/>
    <x v="0"/>
    <x v="0"/>
    <m/>
    <m/>
    <m/>
    <x v="0"/>
    <x v="0"/>
  </r>
  <r>
    <x v="495"/>
    <x v="27"/>
    <x v="26"/>
    <n v="72"/>
    <n v="3.2"/>
    <n v="47.5"/>
    <n v="3420"/>
    <n v="3375"/>
    <n v="10800"/>
    <n v="0.98684210526315785"/>
    <n v="1"/>
    <n v="-1.2999999999999999E-2"/>
    <s v="570"/>
    <m/>
    <n v="2"/>
    <n v="3373"/>
    <n v="0.99940740740740741"/>
    <m/>
    <m/>
    <s v=""/>
    <m/>
    <x v="0"/>
    <x v="0"/>
    <m/>
    <m/>
    <m/>
    <x v="0"/>
    <x v="0"/>
  </r>
  <r>
    <x v="495"/>
    <x v="39"/>
    <x v="37"/>
    <n v="12"/>
    <n v="4.5"/>
    <n v="36"/>
    <n v="432"/>
    <n v="430"/>
    <n v="1935"/>
    <n v="0.99537037037037035"/>
    <n v="1"/>
    <n v="-5.0000000000000001E-3"/>
    <s v="190"/>
    <m/>
    <n v="0"/>
    <n v="430"/>
    <n v="1"/>
    <m/>
    <m/>
    <s v=""/>
    <m/>
    <x v="0"/>
    <x v="0"/>
    <m/>
    <m/>
    <m/>
    <x v="0"/>
    <x v="0"/>
  </r>
  <r>
    <x v="495"/>
    <x v="3"/>
    <x v="3"/>
    <n v="28"/>
    <n v="4.5"/>
    <n v="36.299999999999997"/>
    <n v="1016.3999999999999"/>
    <n v="1016"/>
    <n v="4572"/>
    <n v="0.99960645415190885"/>
    <n v="1"/>
    <n v="0"/>
    <s v="424"/>
    <m/>
    <n v="0"/>
    <n v="1016"/>
    <n v="1"/>
    <m/>
    <m/>
    <m/>
    <m/>
    <x v="0"/>
    <x v="0"/>
    <m/>
    <m/>
    <m/>
    <x v="0"/>
    <x v="0"/>
  </r>
  <r>
    <x v="495"/>
    <x v="11"/>
    <x v="11"/>
    <n v="36"/>
    <n v="2.8"/>
    <n v="44.5"/>
    <n v="1602"/>
    <n v="1602"/>
    <n v="4485.5999999999995"/>
    <n v="1"/>
    <n v="1"/>
    <n v="0"/>
    <s v="300"/>
    <m/>
    <n v="1"/>
    <n v="1601"/>
    <n v="0.99937578027465668"/>
    <m/>
    <m/>
    <m/>
    <m/>
    <x v="0"/>
    <x v="0"/>
    <m/>
    <m/>
    <m/>
    <x v="0"/>
    <x v="0"/>
  </r>
  <r>
    <x v="495"/>
    <x v="23"/>
    <x v="22"/>
    <n v="20"/>
    <n v="0.34"/>
    <n v="364.6"/>
    <n v="7292"/>
    <n v="7366"/>
    <n v="2504.44"/>
    <n v="1.0101481075150851"/>
    <n v="1"/>
    <n v="0.01"/>
    <s v="430"/>
    <m/>
    <n v="3"/>
    <n v="7363"/>
    <n v="0.99959272332337767"/>
    <m/>
    <m/>
    <m/>
    <m/>
    <x v="0"/>
    <x v="0"/>
    <m/>
    <m/>
    <m/>
    <x v="0"/>
    <x v="0"/>
  </r>
  <r>
    <x v="496"/>
    <x v="8"/>
    <x v="8"/>
    <n v="40"/>
    <n v="0.44"/>
    <n v="344"/>
    <n v="13760"/>
    <n v="13534"/>
    <n v="5954.96"/>
    <n v="0.98357558139534884"/>
    <n v="1"/>
    <n v="-1.6E-2"/>
    <s v="540"/>
    <m/>
    <n v="9"/>
    <n v="13525"/>
    <n v="0.99933500812767839"/>
    <m/>
    <m/>
    <m/>
    <m/>
    <x v="0"/>
    <x v="0"/>
    <m/>
    <m/>
    <m/>
    <x v="0"/>
    <x v="0"/>
  </r>
  <r>
    <x v="496"/>
    <x v="19"/>
    <x v="19"/>
    <n v="16"/>
    <n v="6"/>
    <n v="25.5"/>
    <n v="408"/>
    <n v="450"/>
    <n v="2700"/>
    <n v="1.1029411764705883"/>
    <n v="1"/>
    <n v="0.10299999999999999"/>
    <s v="320"/>
    <m/>
    <n v="1"/>
    <n v="449"/>
    <n v="0.99777777777777776"/>
    <m/>
    <m/>
    <s v=""/>
    <m/>
    <x v="0"/>
    <x v="0"/>
    <m/>
    <m/>
    <m/>
    <x v="0"/>
    <x v="0"/>
  </r>
  <r>
    <x v="496"/>
    <x v="9"/>
    <x v="9"/>
    <n v="12"/>
    <n v="6"/>
    <n v="25.7"/>
    <n v="308.39999999999998"/>
    <n v="342"/>
    <n v="2052"/>
    <n v="1.1089494163424125"/>
    <n v="1"/>
    <n v="0.109"/>
    <s v="385"/>
    <m/>
    <n v="1"/>
    <n v="341"/>
    <n v="0.99707602339181289"/>
    <m/>
    <m/>
    <m/>
    <m/>
    <x v="0"/>
    <x v="0"/>
    <m/>
    <m/>
    <m/>
    <x v="0"/>
    <x v="0"/>
  </r>
  <r>
    <x v="496"/>
    <x v="22"/>
    <x v="10"/>
    <n v="12"/>
    <n v="6"/>
    <n v="25.1"/>
    <n v="301.20000000000005"/>
    <n v="301"/>
    <n v="1806"/>
    <n v="0.9993359893758299"/>
    <n v="1"/>
    <n v="-1E-3"/>
    <s v="190"/>
    <m/>
    <n v="1"/>
    <n v="300"/>
    <n v="0.99667774086378735"/>
    <m/>
    <m/>
    <s v=""/>
    <m/>
    <x v="0"/>
    <x v="0"/>
    <m/>
    <m/>
    <m/>
    <x v="0"/>
    <x v="0"/>
  </r>
  <r>
    <x v="496"/>
    <x v="46"/>
    <x v="17"/>
    <n v="21"/>
    <n v="3"/>
    <n v="31.6"/>
    <n v="663.6"/>
    <n v="668"/>
    <n v="2004"/>
    <n v="1.0066305003013862"/>
    <n v="1"/>
    <n v="7.0000000000000001E-3"/>
    <s v="570"/>
    <m/>
    <n v="0"/>
    <n v="668"/>
    <n v="1"/>
    <m/>
    <m/>
    <s v=""/>
    <m/>
    <x v="0"/>
    <x v="0"/>
    <m/>
    <m/>
    <m/>
    <x v="0"/>
    <x v="0"/>
  </r>
  <r>
    <x v="497"/>
    <x v="15"/>
    <x v="15"/>
    <n v="72"/>
    <n v="3.2"/>
    <n v="46.8"/>
    <n v="3369.6"/>
    <n v="3336"/>
    <n v="10675.2"/>
    <n v="0.99002849002849003"/>
    <n v="1"/>
    <n v="-0.01"/>
    <s v="540"/>
    <m/>
    <n v="2"/>
    <n v="3334"/>
    <n v="0.99940047961630696"/>
    <m/>
    <m/>
    <s v=""/>
    <m/>
    <x v="0"/>
    <x v="0"/>
    <m/>
    <m/>
    <m/>
    <x v="0"/>
    <x v="0"/>
  </r>
  <r>
    <x v="497"/>
    <x v="17"/>
    <x v="17"/>
    <n v="21"/>
    <n v="3"/>
    <n v="29.7"/>
    <n v="623.69999999999993"/>
    <n v="628"/>
    <n v="1884"/>
    <n v="1.0068943402276738"/>
    <n v="1"/>
    <n v="7.0000000000000001E-3"/>
    <s v="540"/>
    <m/>
    <n v="0"/>
    <n v="628"/>
    <n v="1"/>
    <m/>
    <m/>
    <s v=""/>
    <m/>
    <x v="0"/>
    <x v="0"/>
    <m/>
    <m/>
    <m/>
    <x v="0"/>
    <x v="0"/>
  </r>
  <r>
    <x v="497"/>
    <x v="11"/>
    <x v="11"/>
    <n v="36"/>
    <n v="2.8"/>
    <n v="44.5"/>
    <n v="1216.2857142857142"/>
    <n v="1221"/>
    <n v="3418.7999999999997"/>
    <n v="1.0038759689922481"/>
    <n v="1"/>
    <n v="4.0000000000000001E-3"/>
    <s v="300"/>
    <m/>
    <n v="1"/>
    <n v="1220"/>
    <n v="0.99918099918099923"/>
    <m/>
    <m/>
    <s v="，D9920(18kg)*60桶(2027.03.02)"/>
    <m/>
    <x v="0"/>
    <x v="0"/>
    <m/>
    <m/>
    <m/>
    <x v="0"/>
    <x v="0"/>
  </r>
  <r>
    <x v="497"/>
    <x v="61"/>
    <x v="33"/>
    <n v="32"/>
    <n v="18"/>
    <n v="6.9"/>
    <n v="220.8"/>
    <n v="218"/>
    <n v="3924"/>
    <n v="0.98731884057971009"/>
    <n v="1"/>
    <n v="-1.2999999999999999E-2"/>
    <s v="310"/>
    <m/>
    <n v="0"/>
    <n v="218"/>
    <n v="1"/>
    <m/>
    <m/>
    <m/>
    <m/>
    <x v="0"/>
    <x v="0"/>
    <m/>
    <m/>
    <m/>
    <x v="0"/>
    <x v="0"/>
  </r>
  <r>
    <x v="498"/>
    <x v="26"/>
    <x v="25"/>
    <n v="20"/>
    <n v="0.9"/>
    <n v="163"/>
    <n v="3260"/>
    <n v="3237"/>
    <n v="2913.3"/>
    <n v="0.99294478527607366"/>
    <n v="1"/>
    <n v="-7.0000000000000001E-3"/>
    <s v="240"/>
    <m/>
    <n v="0"/>
    <n v="3237"/>
    <n v="1"/>
    <m/>
    <m/>
    <s v=""/>
    <m/>
    <x v="0"/>
    <x v="0"/>
    <m/>
    <m/>
    <m/>
    <x v="0"/>
    <x v="0"/>
  </r>
  <r>
    <x v="498"/>
    <x v="13"/>
    <x v="13"/>
    <n v="20"/>
    <n v="0.9"/>
    <n v="160.5"/>
    <n v="3210"/>
    <n v="3178"/>
    <n v="2860.2000000000003"/>
    <n v="0.99003115264797503"/>
    <n v="1"/>
    <n v="-0.01"/>
    <s v="300"/>
    <m/>
    <n v="2"/>
    <n v="3176"/>
    <n v="0.99937067337948393"/>
    <m/>
    <m/>
    <s v=""/>
    <m/>
    <x v="0"/>
    <x v="0"/>
    <m/>
    <m/>
    <m/>
    <x v="0"/>
    <x v="0"/>
  </r>
  <r>
    <x v="498"/>
    <x v="9"/>
    <x v="9"/>
    <n v="16"/>
    <n v="6"/>
    <n v="25.7"/>
    <n v="411.2"/>
    <n v="408"/>
    <n v="2448"/>
    <n v="0.99221789883268485"/>
    <n v="1"/>
    <n v="-8.0000000000000002E-3"/>
    <s v="246"/>
    <m/>
    <n v="2"/>
    <n v="406"/>
    <n v="0.99509803921568629"/>
    <m/>
    <m/>
    <s v="，(A8.B8)。"/>
    <m/>
    <x v="0"/>
    <x v="0"/>
    <m/>
    <m/>
    <m/>
    <x v="0"/>
    <x v="0"/>
  </r>
  <r>
    <x v="498"/>
    <x v="130"/>
    <x v="114"/>
    <n v="12"/>
    <n v="6"/>
    <n v="0"/>
    <n v="0"/>
    <n v="317"/>
    <n v="1902"/>
    <s v="無法預估數據"/>
    <e v="#N/A"/>
    <s v="無法預估數據"/>
    <s v="183"/>
    <m/>
    <n v="1"/>
    <n v="316"/>
    <n v="0.99684542586750791"/>
    <m/>
    <m/>
    <s v=""/>
    <m/>
    <x v="0"/>
    <x v="0"/>
    <m/>
    <m/>
    <m/>
    <x v="0"/>
    <x v="0"/>
  </r>
  <r>
    <x v="498"/>
    <x v="16"/>
    <x v="16"/>
    <n v="12"/>
    <n v="6"/>
    <n v="26.1"/>
    <n v="313.20000000000005"/>
    <n v="317"/>
    <n v="1902"/>
    <n v="1.01213282247765"/>
    <n v="1"/>
    <n v="1.2E-2"/>
    <s v="195"/>
    <m/>
    <n v="1"/>
    <n v="316"/>
    <n v="0.99684542586750791"/>
    <m/>
    <m/>
    <s v=""/>
    <m/>
    <x v="0"/>
    <x v="0"/>
    <m/>
    <m/>
    <m/>
    <x v="0"/>
    <x v="0"/>
  </r>
  <r>
    <x v="498"/>
    <x v="24"/>
    <x v="23"/>
    <n v="12"/>
    <n v="0.34"/>
    <n v="366"/>
    <n v="4392"/>
    <n v="4385"/>
    <n v="1490.9"/>
    <n v="0.99840619307832423"/>
    <n v="1"/>
    <n v="-2E-3"/>
    <s v="285"/>
    <m/>
    <n v="3"/>
    <n v="4382"/>
    <n v="0.99931584948688712"/>
    <m/>
    <m/>
    <s v="(黃蓋)"/>
    <m/>
    <x v="0"/>
    <x v="0"/>
    <m/>
    <m/>
    <m/>
    <x v="0"/>
    <x v="0"/>
  </r>
  <r>
    <x v="498"/>
    <x v="23"/>
    <x v="22"/>
    <n v="28"/>
    <n v="0.34"/>
    <n v="364.6"/>
    <n v="10208.800000000001"/>
    <n v="10082"/>
    <n v="3427.88"/>
    <n v="0.98757934331165254"/>
    <n v="1"/>
    <n v="-1.2E-2"/>
    <s v="500"/>
    <m/>
    <n v="7"/>
    <n v="10075"/>
    <n v="0.99930569331481844"/>
    <m/>
    <m/>
    <s v="(紅蓋)"/>
    <m/>
    <x v="0"/>
    <x v="0"/>
    <m/>
    <m/>
    <m/>
    <x v="0"/>
    <x v="0"/>
  </r>
  <r>
    <x v="498"/>
    <x v="118"/>
    <x v="107"/>
    <n v="1"/>
    <n v="1"/>
    <n v="0"/>
    <n v="0"/>
    <n v="490"/>
    <n v="490"/>
    <s v="無法預估數據"/>
    <e v="#N/A"/>
    <s v="無法預估數據"/>
    <s v="0"/>
    <m/>
    <n v="0"/>
    <n v="490"/>
    <n v="1"/>
    <m/>
    <m/>
    <s v="(常溫)"/>
    <m/>
    <x v="0"/>
    <x v="0"/>
    <m/>
    <m/>
    <m/>
    <x v="0"/>
    <x v="0"/>
  </r>
  <r>
    <x v="499"/>
    <x v="30"/>
    <x v="28"/>
    <n v="12"/>
    <n v="0.43"/>
    <n v="340.4"/>
    <n v="4084.7999999999997"/>
    <n v="4117"/>
    <n v="1770.31"/>
    <n v="1.007882882882883"/>
    <n v="1"/>
    <n v="8.0000000000000002E-3"/>
    <s v="240"/>
    <m/>
    <n v="6"/>
    <n v="4111"/>
    <n v="0.99854262812727712"/>
    <m/>
    <m/>
    <s v="麥味登180箱(RP99空白箱)(2160瓶)"/>
    <m/>
    <x v="0"/>
    <x v="0"/>
    <m/>
    <m/>
    <m/>
    <x v="0"/>
    <x v="0"/>
  </r>
  <r>
    <x v="499"/>
    <x v="49"/>
    <x v="43"/>
    <n v="15"/>
    <n v="0.43"/>
    <n v="364"/>
    <n v="5460"/>
    <n v="5468"/>
    <n v="2351.2399999999998"/>
    <n v="1.0014652014652015"/>
    <n v="1"/>
    <n v="1E-3"/>
    <s v="300"/>
    <m/>
    <n v="9"/>
    <n v="5459"/>
    <n v="0.99835405998536941"/>
    <m/>
    <m/>
    <s v="，(7-9mm)"/>
    <m/>
    <x v="0"/>
    <x v="0"/>
    <m/>
    <m/>
    <m/>
    <x v="0"/>
    <x v="0"/>
  </r>
  <r>
    <x v="499"/>
    <x v="41"/>
    <x v="39"/>
    <n v="72"/>
    <n v="2.8"/>
    <n v="44.2"/>
    <n v="3118.1142857142859"/>
    <n v="3071"/>
    <n v="8598.7999999999993"/>
    <n v="0.98489013506331657"/>
    <n v="1"/>
    <n v="-1.4999999999999999E-2"/>
    <s v="600"/>
    <m/>
    <n v="1"/>
    <n v="3070"/>
    <n v="0.99967437316834906"/>
    <m/>
    <m/>
    <s v="D9921(18kg)* 10桶"/>
    <m/>
    <x v="0"/>
    <x v="0"/>
    <m/>
    <m/>
    <m/>
    <x v="0"/>
    <x v="0"/>
  </r>
  <r>
    <x v="500"/>
    <x v="2"/>
    <x v="2"/>
    <n v="36"/>
    <n v="6"/>
    <n v="26.6"/>
    <n v="957.6"/>
    <n v="942"/>
    <n v="5652"/>
    <n v="0.98370927318295742"/>
    <n v="1"/>
    <n v="-1.6E-2"/>
    <s v="540"/>
    <m/>
    <n v="4"/>
    <n v="938"/>
    <n v="0.99575371549893843"/>
    <m/>
    <m/>
    <s v=""/>
    <m/>
    <x v="0"/>
    <x v="0"/>
    <m/>
    <m/>
    <m/>
    <x v="0"/>
    <x v="0"/>
  </r>
  <r>
    <x v="500"/>
    <x v="50"/>
    <x v="44"/>
    <n v="12"/>
    <n v="4.5"/>
    <n v="36.799999999999997"/>
    <n v="441.59999999999997"/>
    <n v="455"/>
    <n v="2047.5"/>
    <n v="1.0303442028985508"/>
    <n v="1"/>
    <n v="0.03"/>
    <s v="240"/>
    <m/>
    <n v="0"/>
    <n v="455"/>
    <n v="1"/>
    <m/>
    <m/>
    <s v=""/>
    <m/>
    <x v="0"/>
    <x v="0"/>
    <m/>
    <m/>
    <m/>
    <x v="0"/>
    <x v="0"/>
  </r>
  <r>
    <x v="500"/>
    <x v="3"/>
    <x v="3"/>
    <n v="24"/>
    <n v="4.5"/>
    <n v="36.299999999999997"/>
    <n v="871.19999999999993"/>
    <n v="878"/>
    <n v="3951"/>
    <n v="1.0078053259871442"/>
    <n v="1"/>
    <n v="8.0000000000000002E-3"/>
    <s v="345"/>
    <m/>
    <n v="0"/>
    <n v="878"/>
    <n v="1"/>
    <m/>
    <m/>
    <s v="，(5-7mm)"/>
    <m/>
    <x v="0"/>
    <x v="0"/>
    <m/>
    <m/>
    <m/>
    <x v="0"/>
    <x v="0"/>
  </r>
  <r>
    <x v="500"/>
    <x v="11"/>
    <x v="11"/>
    <n v="72"/>
    <n v="2.8"/>
    <n v="44.5"/>
    <n v="3204"/>
    <n v="3231"/>
    <n v="9046.7999999999993"/>
    <n v="1.0084269662921348"/>
    <n v="1"/>
    <n v="8.0000000000000002E-3"/>
    <s v="540"/>
    <m/>
    <n v="1"/>
    <n v="3230"/>
    <n v="0.99969049829774059"/>
    <m/>
    <m/>
    <m/>
    <m/>
    <x v="0"/>
    <x v="0"/>
    <m/>
    <m/>
    <m/>
    <x v="0"/>
    <x v="0"/>
  </r>
  <r>
    <x v="501"/>
    <x v="144"/>
    <x v="122"/>
    <n v="4"/>
    <n v="0.22"/>
    <n v="0"/>
    <n v="0"/>
    <n v="2962"/>
    <n v="651.64"/>
    <s v="無法預估數據"/>
    <e v="#N/A"/>
    <s v="無法預估數據"/>
    <s v="230"/>
    <m/>
    <n v="22"/>
    <n v="2940"/>
    <n v="0.99257258609047938"/>
    <m/>
    <m/>
    <s v=""/>
    <m/>
    <x v="0"/>
    <x v="0"/>
    <m/>
    <m/>
    <m/>
    <x v="0"/>
    <x v="0"/>
  </r>
  <r>
    <x v="501"/>
    <x v="72"/>
    <x v="62"/>
    <n v="3"/>
    <n v="0.26"/>
    <n v="580"/>
    <n v="1740"/>
    <n v="1765"/>
    <n v="458.90000000000003"/>
    <n v="1.014367816091954"/>
    <n v="1"/>
    <n v="1.4E-2"/>
    <s v="160"/>
    <m/>
    <n v="4"/>
    <n v="1761"/>
    <n v="0.99773371104815867"/>
    <m/>
    <m/>
    <s v=""/>
    <m/>
    <x v="0"/>
    <x v="0"/>
    <m/>
    <m/>
    <m/>
    <x v="0"/>
    <x v="0"/>
  </r>
  <r>
    <x v="501"/>
    <x v="81"/>
    <x v="73"/>
    <n v="6"/>
    <n v="0.4"/>
    <n v="366.4"/>
    <n v="2198.3999999999996"/>
    <n v="2175"/>
    <n v="870"/>
    <n v="0.98935589519650668"/>
    <n v="1"/>
    <n v="-1.0999999999999999E-2"/>
    <s v="240"/>
    <m/>
    <n v="7"/>
    <n v="2168"/>
    <n v="0.99678160919540226"/>
    <m/>
    <m/>
    <s v=""/>
    <m/>
    <x v="0"/>
    <x v="0"/>
    <m/>
    <m/>
    <m/>
    <x v="0"/>
    <x v="0"/>
  </r>
  <r>
    <x v="501"/>
    <x v="145"/>
    <x v="123"/>
    <n v="3"/>
    <n v="6"/>
    <n v="0"/>
    <n v="0"/>
    <n v="83"/>
    <n v="498"/>
    <s v="無法預估數據"/>
    <e v="#N/A"/>
    <s v="無法預估數據"/>
    <s v="130"/>
    <m/>
    <n v="1"/>
    <n v="82"/>
    <n v="0.98795180722891562"/>
    <m/>
    <m/>
    <s v="(冷凍)"/>
    <m/>
    <x v="0"/>
    <x v="0"/>
    <m/>
    <m/>
    <m/>
    <x v="0"/>
    <x v="0"/>
  </r>
  <r>
    <x v="501"/>
    <x v="47"/>
    <x v="42"/>
    <n v="12"/>
    <n v="6"/>
    <n v="25.6"/>
    <n v="307.20000000000005"/>
    <n v="307"/>
    <n v="1842"/>
    <n v="0.99934895833333315"/>
    <n v="1"/>
    <n v="-1E-3"/>
    <s v="148"/>
    <m/>
    <n v="2"/>
    <n v="305"/>
    <n v="0.99348534201954397"/>
    <m/>
    <m/>
    <s v=""/>
    <m/>
    <x v="0"/>
    <x v="0"/>
    <m/>
    <m/>
    <m/>
    <x v="0"/>
    <x v="0"/>
  </r>
  <r>
    <x v="501"/>
    <x v="9"/>
    <x v="9"/>
    <n v="24"/>
    <n v="6"/>
    <n v="25.7"/>
    <n v="616.79999999999995"/>
    <n v="686"/>
    <n v="4116"/>
    <n v="1.1121919584954605"/>
    <n v="1"/>
    <n v="0.112"/>
    <s v="340"/>
    <m/>
    <n v="1"/>
    <n v="685"/>
    <n v="0.99854227405247808"/>
    <m/>
    <m/>
    <s v="，(A12.B12)。"/>
    <m/>
    <x v="0"/>
    <x v="0"/>
    <m/>
    <m/>
    <m/>
    <x v="0"/>
    <x v="0"/>
  </r>
  <r>
    <x v="501"/>
    <x v="11"/>
    <x v="11"/>
    <n v="72"/>
    <n v="2.8"/>
    <n v="44.5"/>
    <n v="3204"/>
    <n v="3214"/>
    <n v="8999.1999999999989"/>
    <n v="1.0031210986267165"/>
    <n v="1"/>
    <n v="3.0000000000000001E-3"/>
    <s v="570"/>
    <m/>
    <n v="1"/>
    <n v="3213"/>
    <n v="0.99968886123210954"/>
    <m/>
    <m/>
    <m/>
    <m/>
    <x v="0"/>
    <x v="0"/>
    <m/>
    <m/>
    <m/>
    <x v="0"/>
    <x v="0"/>
  </r>
  <r>
    <x v="502"/>
    <x v="21"/>
    <x v="21"/>
    <n v="72"/>
    <n v="3.2"/>
    <n v="46.4"/>
    <n v="3340.7999999999997"/>
    <n v="3369"/>
    <n v="10780.800000000001"/>
    <n v="1.008441091954023"/>
    <n v="1"/>
    <n v="8.0000000000000002E-3"/>
    <s v="540"/>
    <m/>
    <n v="1"/>
    <n v="3368"/>
    <n v="0.99970317601662217"/>
    <m/>
    <m/>
    <s v=""/>
    <m/>
    <x v="0"/>
    <x v="0"/>
    <m/>
    <m/>
    <m/>
    <x v="0"/>
    <x v="0"/>
  </r>
  <r>
    <x v="502"/>
    <x v="9"/>
    <x v="9"/>
    <n v="24"/>
    <n v="6"/>
    <n v="25.7"/>
    <n v="616.79999999999995"/>
    <n v="684"/>
    <n v="4104"/>
    <n v="1.1089494163424125"/>
    <n v="1"/>
    <n v="0.109"/>
    <s v="358"/>
    <m/>
    <n v="2"/>
    <n v="682"/>
    <n v="0.99707602339181289"/>
    <m/>
    <m/>
    <s v="，(A12.B12)。"/>
    <m/>
    <x v="0"/>
    <x v="0"/>
    <m/>
    <m/>
    <m/>
    <x v="0"/>
    <x v="0"/>
  </r>
  <r>
    <x v="502"/>
    <x v="10"/>
    <x v="10"/>
    <n v="16"/>
    <n v="6"/>
    <n v="25.4"/>
    <n v="406.4"/>
    <n v="401"/>
    <n v="2406"/>
    <n v="0.98671259842519687"/>
    <n v="1"/>
    <n v="-1.2999999999999999E-2"/>
    <s v="250"/>
    <m/>
    <n v="3"/>
    <n v="398"/>
    <n v="0.99251870324189528"/>
    <m/>
    <m/>
    <s v="，(A8.B8)。"/>
    <m/>
    <x v="0"/>
    <x v="0"/>
    <m/>
    <m/>
    <m/>
    <x v="0"/>
    <x v="0"/>
  </r>
  <r>
    <x v="502"/>
    <x v="34"/>
    <x v="32"/>
    <n v="16"/>
    <n v="0.34"/>
    <n v="358.3"/>
    <n v="5732.8"/>
    <n v="5633"/>
    <n v="1915.22"/>
    <n v="0.98259140385152099"/>
    <n v="1"/>
    <n v="-1.7000000000000001E-2"/>
    <s v="300"/>
    <m/>
    <n v="4"/>
    <n v="5629"/>
    <n v="0.9992898988105805"/>
    <m/>
    <m/>
    <s v="(紅蓋)"/>
    <m/>
    <x v="0"/>
    <x v="0"/>
    <m/>
    <m/>
    <m/>
    <x v="0"/>
    <x v="0"/>
  </r>
  <r>
    <x v="502"/>
    <x v="55"/>
    <x v="48"/>
    <n v="36"/>
    <n v="18"/>
    <n v="6.9"/>
    <n v="248.4"/>
    <n v="259"/>
    <n v="4662"/>
    <n v="1.0426731078904992"/>
    <n v="1"/>
    <n v="4.2999999999999997E-2"/>
    <s v="390"/>
    <m/>
    <n v="0"/>
    <n v="259"/>
    <n v="1"/>
    <m/>
    <m/>
    <s v=""/>
    <m/>
    <x v="0"/>
    <x v="0"/>
    <m/>
    <m/>
    <m/>
    <x v="0"/>
    <x v="0"/>
  </r>
  <r>
    <x v="503"/>
    <x v="71"/>
    <x v="61"/>
    <n v="6"/>
    <n v="0.17"/>
    <n v="912.6"/>
    <n v="5475.6"/>
    <n v="5402"/>
    <n v="918.34"/>
    <n v="0.98655855066111475"/>
    <n v="1"/>
    <n v="-1.2999999999999999E-2"/>
    <s v="230"/>
    <m/>
    <n v="12"/>
    <n v="5390"/>
    <n v="0.99777860051832656"/>
    <m/>
    <m/>
    <s v="，(5-7mm)"/>
    <m/>
    <x v="0"/>
    <x v="0"/>
    <m/>
    <m/>
    <m/>
    <x v="0"/>
    <x v="0"/>
  </r>
  <r>
    <x v="503"/>
    <x v="43"/>
    <x v="41"/>
    <n v="20"/>
    <n v="0.26"/>
    <n v="584.29999999999995"/>
    <n v="11686"/>
    <n v="11465"/>
    <n v="2980.9"/>
    <n v="0.98108848194420673"/>
    <n v="1"/>
    <n v="-1.9E-2"/>
    <s v="432"/>
    <m/>
    <n v="16"/>
    <n v="11449"/>
    <n v="0.99860444832097683"/>
    <m/>
    <m/>
    <s v="，瓶器225cc醬菜瓶。"/>
    <m/>
    <x v="0"/>
    <x v="0"/>
    <m/>
    <m/>
    <m/>
    <x v="0"/>
    <x v="0"/>
  </r>
  <r>
    <x v="503"/>
    <x v="17"/>
    <x v="17"/>
    <n v="21"/>
    <n v="3"/>
    <n v="29.7"/>
    <n v="623.69999999999993"/>
    <n v="628"/>
    <n v="1884"/>
    <n v="1.0068943402276738"/>
    <n v="1"/>
    <n v="7.0000000000000001E-3"/>
    <s v="540"/>
    <m/>
    <n v="0"/>
    <n v="628"/>
    <n v="1"/>
    <m/>
    <m/>
    <s v=""/>
    <m/>
    <x v="0"/>
    <x v="0"/>
    <m/>
    <m/>
    <m/>
    <x v="0"/>
    <x v="0"/>
  </r>
  <r>
    <x v="503"/>
    <x v="41"/>
    <x v="39"/>
    <n v="72"/>
    <n v="2.8"/>
    <n v="44.2"/>
    <n v="2539.5428571428574"/>
    <n v="2506"/>
    <n v="7016.7999999999993"/>
    <n v="0.98679177354754499"/>
    <n v="1"/>
    <n v="-1.2999999999999999E-2"/>
    <s v="665"/>
    <m/>
    <n v="1"/>
    <n v="2505"/>
    <n v="0.99960095770151636"/>
    <m/>
    <m/>
    <s v="，D9921(18kg)*100桶(2027.03.10)"/>
    <m/>
    <x v="0"/>
    <x v="0"/>
    <m/>
    <m/>
    <m/>
    <x v="0"/>
    <x v="0"/>
  </r>
  <r>
    <x v="503"/>
    <x v="95"/>
    <x v="86"/>
    <n v="1"/>
    <n v="1"/>
    <n v="942"/>
    <n v="942"/>
    <n v="783"/>
    <n v="783"/>
    <n v="0.83121019108280259"/>
    <n v="1"/>
    <n v="-0.16900000000000001"/>
    <s v="0"/>
    <m/>
    <n v="0"/>
    <n v="783"/>
    <n v="1"/>
    <m/>
    <m/>
    <s v=""/>
    <m/>
    <x v="0"/>
    <x v="0"/>
    <m/>
    <m/>
    <m/>
    <x v="0"/>
    <x v="0"/>
  </r>
  <r>
    <x v="504"/>
    <x v="0"/>
    <x v="0"/>
    <n v="18"/>
    <n v="6"/>
    <n v="25.5"/>
    <n v="459"/>
    <n v="445"/>
    <n v="2670"/>
    <n v="0.9694989106753813"/>
    <n v="1"/>
    <n v="-3.1E-2"/>
    <s v="270"/>
    <m/>
    <n v="2"/>
    <n v="443"/>
    <n v="0.99550561797752812"/>
    <m/>
    <m/>
    <s v=""/>
    <m/>
    <x v="0"/>
    <x v="0"/>
    <m/>
    <m/>
    <m/>
    <x v="0"/>
    <x v="0"/>
  </r>
  <r>
    <x v="504"/>
    <x v="82"/>
    <x v="74"/>
    <n v="6"/>
    <n v="6"/>
    <n v="24.5"/>
    <n v="147"/>
    <n v="143"/>
    <n v="858"/>
    <n v="0.97278911564625847"/>
    <n v="1"/>
    <n v="-2.7E-2"/>
    <s v="160"/>
    <m/>
    <n v="1"/>
    <n v="142"/>
    <n v="0.99300699300699302"/>
    <m/>
    <m/>
    <s v=""/>
    <m/>
    <x v="0"/>
    <x v="0"/>
    <m/>
    <m/>
    <m/>
    <x v="0"/>
    <x v="0"/>
  </r>
  <r>
    <x v="504"/>
    <x v="2"/>
    <x v="2"/>
    <n v="12"/>
    <n v="6"/>
    <n v="26.6"/>
    <n v="319.20000000000005"/>
    <n v="313"/>
    <n v="1878"/>
    <n v="0.98057644110275677"/>
    <n v="1"/>
    <n v="-1.9E-2"/>
    <s v="205"/>
    <m/>
    <n v="1"/>
    <n v="312"/>
    <n v="0.99680511182108622"/>
    <m/>
    <m/>
    <s v=""/>
    <m/>
    <x v="0"/>
    <x v="0"/>
    <m/>
    <m/>
    <m/>
    <x v="0"/>
    <x v="0"/>
  </r>
  <r>
    <x v="504"/>
    <x v="4"/>
    <x v="4"/>
    <n v="8"/>
    <n v="4.5"/>
    <n v="34.5"/>
    <n v="276"/>
    <n v="279"/>
    <n v="1255.5"/>
    <n v="1.0108695652173914"/>
    <n v="1"/>
    <n v="1.0999999999999999E-2"/>
    <s v="170"/>
    <m/>
    <n v="0"/>
    <n v="279"/>
    <n v="1"/>
    <m/>
    <m/>
    <s v=""/>
    <m/>
    <x v="0"/>
    <x v="0"/>
    <m/>
    <m/>
    <m/>
    <x v="0"/>
    <x v="0"/>
  </r>
  <r>
    <x v="504"/>
    <x v="67"/>
    <x v="58"/>
    <n v="12"/>
    <n v="4.5"/>
    <n v="33.200000000000003"/>
    <n v="398.40000000000003"/>
    <n v="419"/>
    <n v="1885.5"/>
    <n v="1.0517068273092369"/>
    <n v="1"/>
    <n v="5.1999999999999998E-2"/>
    <s v="230"/>
    <m/>
    <n v="0"/>
    <n v="419"/>
    <n v="1"/>
    <m/>
    <m/>
    <m/>
    <m/>
    <x v="0"/>
    <x v="0"/>
    <m/>
    <m/>
    <m/>
    <x v="0"/>
    <x v="0"/>
  </r>
  <r>
    <x v="504"/>
    <x v="9"/>
    <x v="9"/>
    <n v="16"/>
    <n v="6"/>
    <n v="25.7"/>
    <n v="411.2"/>
    <n v="403"/>
    <n v="2418"/>
    <n v="0.98005836575875493"/>
    <n v="1"/>
    <n v="-0.02"/>
    <s v="240"/>
    <m/>
    <n v="2"/>
    <n v="401"/>
    <n v="0.99503722084367241"/>
    <m/>
    <m/>
    <s v="，(A8.B8)。"/>
    <m/>
    <x v="0"/>
    <x v="0"/>
    <m/>
    <m/>
    <m/>
    <x v="0"/>
    <x v="0"/>
  </r>
  <r>
    <x v="504"/>
    <x v="11"/>
    <x v="11"/>
    <n v="72"/>
    <n v="2.8"/>
    <n v="44.5"/>
    <n v="3204"/>
    <n v="3183"/>
    <n v="8912.4"/>
    <n v="0.99344569288389517"/>
    <n v="1"/>
    <n v="-7.0000000000000001E-3"/>
    <s v="540"/>
    <m/>
    <n v="2"/>
    <n v="3181"/>
    <n v="0.9993716619541313"/>
    <m/>
    <m/>
    <m/>
    <m/>
    <x v="0"/>
    <x v="0"/>
    <m/>
    <m/>
    <m/>
    <x v="0"/>
    <x v="0"/>
  </r>
  <r>
    <x v="505"/>
    <x v="8"/>
    <x v="8"/>
    <n v="40"/>
    <n v="0.44"/>
    <n v="344"/>
    <n v="13760"/>
    <n v="13569"/>
    <n v="5970.36"/>
    <n v="0.98611918604651161"/>
    <n v="1"/>
    <n v="-1.4E-2"/>
    <s v="540"/>
    <m/>
    <n v="8"/>
    <n v="13561"/>
    <n v="0.99941042081214537"/>
    <m/>
    <m/>
    <s v="，(5-7mm)"/>
    <m/>
    <x v="0"/>
    <x v="0"/>
    <m/>
    <m/>
    <m/>
    <x v="0"/>
    <x v="0"/>
  </r>
  <r>
    <x v="505"/>
    <x v="9"/>
    <x v="9"/>
    <n v="20"/>
    <n v="6"/>
    <n v="25.7"/>
    <n v="514"/>
    <n v="504"/>
    <n v="3024"/>
    <n v="0.98054474708171202"/>
    <n v="1"/>
    <n v="-1.9E-2"/>
    <s v="270"/>
    <m/>
    <n v="2"/>
    <n v="502"/>
    <n v="0.99603174603174605"/>
    <m/>
    <m/>
    <s v="，(A12.B8)。"/>
    <m/>
    <x v="0"/>
    <x v="0"/>
    <m/>
    <m/>
    <m/>
    <x v="0"/>
    <x v="0"/>
  </r>
  <r>
    <x v="505"/>
    <x v="16"/>
    <x v="16"/>
    <n v="20"/>
    <n v="6"/>
    <n v="26.1"/>
    <n v="522"/>
    <n v="528"/>
    <n v="3168"/>
    <n v="1.0114942528735633"/>
    <n v="1"/>
    <n v="1.0999999999999999E-2"/>
    <s v="340"/>
    <m/>
    <n v="1"/>
    <n v="527"/>
    <n v="0.99810606060606055"/>
    <m/>
    <m/>
    <s v=""/>
    <m/>
    <x v="0"/>
    <x v="0"/>
    <m/>
    <m/>
    <m/>
    <x v="0"/>
    <x v="0"/>
  </r>
  <r>
    <x v="506"/>
    <x v="15"/>
    <x v="15"/>
    <n v="72"/>
    <n v="3.2"/>
    <n v="46.8"/>
    <n v="3369.6"/>
    <n v="3370"/>
    <n v="10784"/>
    <n v="1.0001187084520418"/>
    <n v="1"/>
    <n v="0"/>
    <s v="540"/>
    <m/>
    <n v="2"/>
    <n v="3368"/>
    <n v="0.99940652818991094"/>
    <m/>
    <m/>
    <s v=""/>
    <m/>
    <x v="0"/>
    <x v="0"/>
    <m/>
    <m/>
    <m/>
    <x v="0"/>
    <x v="0"/>
  </r>
  <r>
    <x v="506"/>
    <x v="45"/>
    <x v="10"/>
    <n v="8"/>
    <n v="6"/>
    <n v="26.4"/>
    <n v="211.2"/>
    <n v="200"/>
    <n v="1200"/>
    <n v="0.94696969696969702"/>
    <n v="1"/>
    <n v="-5.2999999999999999E-2"/>
    <s v="160"/>
    <m/>
    <n v="2"/>
    <n v="198"/>
    <n v="0.99"/>
    <m/>
    <m/>
    <s v=""/>
    <m/>
    <x v="0"/>
    <x v="0"/>
    <m/>
    <m/>
    <m/>
    <x v="0"/>
    <x v="0"/>
  </r>
  <r>
    <x v="506"/>
    <x v="58"/>
    <x v="51"/>
    <n v="8"/>
    <n v="6"/>
    <n v="25.7"/>
    <n v="205.6"/>
    <n v="209"/>
    <n v="1254"/>
    <n v="1.0165369649805447"/>
    <n v="1"/>
    <n v="1.7000000000000001E-2"/>
    <s v="142"/>
    <m/>
    <n v="1"/>
    <n v="208"/>
    <n v="0.99521531100478466"/>
    <m/>
    <m/>
    <s v=""/>
    <m/>
    <x v="0"/>
    <x v="0"/>
    <m/>
    <m/>
    <m/>
    <x v="0"/>
    <x v="0"/>
  </r>
  <r>
    <x v="506"/>
    <x v="9"/>
    <x v="9"/>
    <n v="24"/>
    <n v="6"/>
    <n v="25.7"/>
    <n v="616.79999999999995"/>
    <n v="612"/>
    <n v="3672"/>
    <n v="0.99221789883268485"/>
    <n v="1"/>
    <n v="-8.0000000000000002E-3"/>
    <s v="355"/>
    <m/>
    <n v="2"/>
    <n v="610"/>
    <n v="0.99673202614379086"/>
    <m/>
    <m/>
    <s v="，(A12.B12)。"/>
    <m/>
    <x v="0"/>
    <x v="0"/>
    <m/>
    <m/>
    <m/>
    <x v="0"/>
    <x v="0"/>
  </r>
  <r>
    <x v="506"/>
    <x v="11"/>
    <x v="11"/>
    <n v="72"/>
    <n v="2.8"/>
    <n v="44.5"/>
    <n v="3204"/>
    <n v="3215"/>
    <n v="9002"/>
    <n v="1.0034332084893882"/>
    <n v="1"/>
    <n v="3.0000000000000001E-3"/>
    <s v="550"/>
    <m/>
    <n v="2"/>
    <n v="3213"/>
    <n v="0.99937791601866255"/>
    <m/>
    <m/>
    <m/>
    <m/>
    <x v="0"/>
    <x v="0"/>
    <m/>
    <m/>
    <m/>
    <x v="0"/>
    <x v="0"/>
  </r>
  <r>
    <x v="507"/>
    <x v="117"/>
    <x v="106"/>
    <n v="4"/>
    <n v="0.26"/>
    <n v="612"/>
    <n v="2448"/>
    <n v="2225"/>
    <n v="578.5"/>
    <n v="0.90890522875816993"/>
    <n v="1"/>
    <n v="-9.0999999999999998E-2"/>
    <s v="120"/>
    <m/>
    <n v="6"/>
    <n v="2219"/>
    <n v="0.99730337078651687"/>
    <m/>
    <m/>
    <m/>
    <m/>
    <x v="0"/>
    <x v="0"/>
    <m/>
    <m/>
    <m/>
    <x v="0"/>
    <x v="0"/>
  </r>
  <r>
    <x v="507"/>
    <x v="75"/>
    <x v="65"/>
    <n v="3"/>
    <n v="0.19"/>
    <n v="759.3"/>
    <n v="2277.8999999999996"/>
    <n v="2187"/>
    <n v="415.53000000000003"/>
    <n v="0.96009482418016612"/>
    <n v="1"/>
    <n v="-0.04"/>
    <s v="235"/>
    <m/>
    <n v="4"/>
    <n v="2183"/>
    <n v="0.99817101051668955"/>
    <m/>
    <m/>
    <s v=""/>
    <m/>
    <x v="0"/>
    <x v="0"/>
    <m/>
    <m/>
    <m/>
    <x v="0"/>
    <x v="0"/>
  </r>
  <r>
    <x v="507"/>
    <x v="15"/>
    <x v="15"/>
    <n v="28"/>
    <n v="3.2"/>
    <n v="46.8"/>
    <n v="1310.3999999999999"/>
    <n v="1260"/>
    <n v="4032"/>
    <n v="0.96153846153846168"/>
    <n v="1"/>
    <n v="-3.7999999999999999E-2"/>
    <s v="300"/>
    <m/>
    <n v="2"/>
    <n v="1258"/>
    <n v="0.99841269841269842"/>
    <m/>
    <m/>
    <s v=""/>
    <m/>
    <x v="0"/>
    <x v="0"/>
    <m/>
    <m/>
    <m/>
    <x v="0"/>
    <x v="0"/>
  </r>
  <r>
    <x v="507"/>
    <x v="28"/>
    <x v="19"/>
    <n v="32"/>
    <n v="6"/>
    <n v="25.5"/>
    <n v="816"/>
    <n v="809"/>
    <n v="4854"/>
    <n v="0.99142156862745101"/>
    <n v="1"/>
    <n v="-8.9999999999999993E-3"/>
    <s v="415"/>
    <m/>
    <n v="1"/>
    <n v="808"/>
    <n v="0.99876390605686027"/>
    <m/>
    <m/>
    <m/>
    <m/>
    <x v="0"/>
    <x v="0"/>
    <m/>
    <m/>
    <m/>
    <x v="0"/>
    <x v="0"/>
  </r>
  <r>
    <x v="507"/>
    <x v="9"/>
    <x v="9"/>
    <n v="8"/>
    <n v="6"/>
    <n v="25.7"/>
    <n v="205.6"/>
    <n v="202"/>
    <n v="1212"/>
    <n v="0.98249027237354092"/>
    <n v="1"/>
    <n v="-1.7999999999999999E-2"/>
    <s v="126"/>
    <m/>
    <n v="1"/>
    <n v="201"/>
    <n v="0.99504950495049505"/>
    <m/>
    <m/>
    <m/>
    <m/>
    <x v="0"/>
    <x v="0"/>
    <m/>
    <m/>
    <m/>
    <x v="0"/>
    <x v="0"/>
  </r>
  <r>
    <x v="507"/>
    <x v="61"/>
    <x v="33"/>
    <n v="40"/>
    <n v="18"/>
    <n v="6.9"/>
    <n v="276"/>
    <n v="278"/>
    <n v="5004"/>
    <n v="1.0072463768115942"/>
    <n v="1"/>
    <n v="7.0000000000000001E-3"/>
    <s v="360"/>
    <m/>
    <n v="0"/>
    <n v="278"/>
    <n v="1"/>
    <m/>
    <m/>
    <s v=""/>
    <m/>
    <x v="0"/>
    <x v="0"/>
    <m/>
    <m/>
    <m/>
    <x v="0"/>
    <x v="0"/>
  </r>
  <r>
    <x v="507"/>
    <x v="12"/>
    <x v="12"/>
    <n v="16"/>
    <n v="0.8"/>
    <n v="157.69999999999999"/>
    <n v="2523.1999999999998"/>
    <n v="2519"/>
    <n v="2015.2"/>
    <n v="0.99833544705136346"/>
    <n v="1"/>
    <n v="-2E-3"/>
    <s v="240"/>
    <m/>
    <n v="2"/>
    <n v="2517"/>
    <n v="0.999206034140532"/>
    <m/>
    <m/>
    <m/>
    <m/>
    <x v="0"/>
    <x v="0"/>
    <m/>
    <m/>
    <m/>
    <x v="0"/>
    <x v="0"/>
  </r>
  <r>
    <x v="507"/>
    <x v="87"/>
    <x v="79"/>
    <n v="1"/>
    <n v="1"/>
    <n v="243"/>
    <n v="243"/>
    <n v="264"/>
    <n v="264"/>
    <n v="1.0864197530864197"/>
    <n v="1"/>
    <n v="8.5999999999999993E-2"/>
    <s v="0"/>
    <m/>
    <n v="-2"/>
    <n v="266"/>
    <n v="1.0075757575757576"/>
    <m/>
    <m/>
    <s v="(非有機)"/>
    <m/>
    <x v="0"/>
    <x v="0"/>
    <m/>
    <m/>
    <m/>
    <x v="0"/>
    <x v="0"/>
  </r>
  <r>
    <x v="507"/>
    <x v="94"/>
    <x v="85"/>
    <n v="0.5"/>
    <n v="1"/>
    <n v="591"/>
    <n v="295.5"/>
    <n v="280"/>
    <n v="280"/>
    <n v="0.94754653130287647"/>
    <n v="1"/>
    <n v="-5.1999999999999998E-2"/>
    <s v="0"/>
    <m/>
    <n v="0"/>
    <n v="280"/>
    <n v="1"/>
    <m/>
    <m/>
    <s v=""/>
    <m/>
    <x v="0"/>
    <x v="0"/>
    <m/>
    <m/>
    <m/>
    <x v="0"/>
    <x v="0"/>
  </r>
  <r>
    <x v="508"/>
    <x v="9"/>
    <x v="9"/>
    <n v="16"/>
    <n v="6"/>
    <n v="25.7"/>
    <n v="411.2"/>
    <n v="411"/>
    <n v="2466"/>
    <n v="0.9995136186770428"/>
    <n v="1"/>
    <n v="0"/>
    <s v="210"/>
    <m/>
    <n v="1"/>
    <n v="410"/>
    <n v="0.9975669099756691"/>
    <m/>
    <m/>
    <m/>
    <m/>
    <x v="0"/>
    <x v="0"/>
    <m/>
    <m/>
    <m/>
    <x v="0"/>
    <x v="0"/>
  </r>
  <r>
    <x v="508"/>
    <x v="10"/>
    <x v="10"/>
    <n v="24"/>
    <n v="6"/>
    <n v="25.4"/>
    <n v="609.59999999999991"/>
    <n v="608"/>
    <n v="3648"/>
    <n v="0.99737532808398965"/>
    <n v="1"/>
    <n v="-3.0000000000000001E-3"/>
    <s v="335"/>
    <m/>
    <n v="1"/>
    <n v="607"/>
    <n v="0.99835526315789469"/>
    <m/>
    <m/>
    <m/>
    <m/>
    <x v="0"/>
    <x v="0"/>
    <m/>
    <m/>
    <m/>
    <x v="0"/>
    <x v="0"/>
  </r>
  <r>
    <x v="508"/>
    <x v="48"/>
    <x v="17"/>
    <n v="21"/>
    <n v="3"/>
    <n v="30.8"/>
    <n v="646.80000000000007"/>
    <n v="648"/>
    <n v="1944"/>
    <n v="1.0018552875695732"/>
    <n v="1"/>
    <n v="2E-3"/>
    <s v="570"/>
    <m/>
    <n v="0"/>
    <n v="648"/>
    <n v="1"/>
    <m/>
    <m/>
    <s v=""/>
    <m/>
    <x v="0"/>
    <x v="0"/>
    <m/>
    <m/>
    <m/>
    <x v="0"/>
    <x v="0"/>
  </r>
  <r>
    <x v="508"/>
    <x v="34"/>
    <x v="32"/>
    <n v="20"/>
    <n v="0.34"/>
    <n v="358.3"/>
    <n v="7166"/>
    <n v="7195"/>
    <n v="2446.3000000000002"/>
    <n v="1.0040468880826123"/>
    <n v="1"/>
    <n v="4.0000000000000001E-3"/>
    <s v="390"/>
    <m/>
    <n v="5"/>
    <n v="7190"/>
    <n v="0.99930507296733839"/>
    <m/>
    <m/>
    <s v="(紅蓋)，E0120佳樂美400箱"/>
    <m/>
    <x v="0"/>
    <x v="0"/>
    <m/>
    <m/>
    <m/>
    <x v="0"/>
    <x v="0"/>
  </r>
  <r>
    <x v="508"/>
    <x v="24"/>
    <x v="23"/>
    <n v="16"/>
    <n v="0.34"/>
    <n v="366"/>
    <n v="5856"/>
    <n v="6060"/>
    <n v="2060.4"/>
    <n v="1.0348360655737705"/>
    <n v="1"/>
    <n v="3.5000000000000003E-2"/>
    <s v="370"/>
    <m/>
    <n v="5"/>
    <n v="6055"/>
    <n v="0.99917491749174914"/>
    <m/>
    <m/>
    <s v="(黃蓋)，E0121佳樂美300箱"/>
    <m/>
    <x v="0"/>
    <x v="0"/>
    <m/>
    <m/>
    <m/>
    <x v="0"/>
    <x v="0"/>
  </r>
  <r>
    <x v="509"/>
    <x v="15"/>
    <x v="15"/>
    <n v="64"/>
    <n v="3.2"/>
    <n v="46.8"/>
    <n v="2995.2"/>
    <n v="2951"/>
    <n v="9443.2000000000007"/>
    <n v="0.98524305555555558"/>
    <n v="1"/>
    <n v="-1.4999999999999999E-2"/>
    <s v="480"/>
    <m/>
    <n v="1"/>
    <n v="2950"/>
    <n v="0.99966113181972216"/>
    <m/>
    <m/>
    <s v=""/>
    <m/>
    <x v="0"/>
    <x v="0"/>
    <m/>
    <m/>
    <m/>
    <x v="0"/>
    <x v="0"/>
  </r>
  <r>
    <x v="509"/>
    <x v="70"/>
    <x v="60"/>
    <n v="8"/>
    <n v="3.4"/>
    <n v="43"/>
    <n v="344"/>
    <n v="348"/>
    <n v="1183.2"/>
    <n v="1.0116279069767442"/>
    <n v="1"/>
    <n v="1.2E-2"/>
    <s v="145"/>
    <m/>
    <n v="1"/>
    <n v="347"/>
    <n v="0.99712643678160917"/>
    <m/>
    <m/>
    <s v=""/>
    <m/>
    <x v="0"/>
    <x v="0"/>
    <m/>
    <m/>
    <m/>
    <x v="0"/>
    <x v="0"/>
  </r>
  <r>
    <x v="509"/>
    <x v="9"/>
    <x v="9"/>
    <n v="24"/>
    <n v="6"/>
    <n v="25.7"/>
    <n v="616.79999999999995"/>
    <n v="610"/>
    <n v="3660"/>
    <n v="0.98897535667963687"/>
    <n v="1"/>
    <n v="-1.0999999999999999E-2"/>
    <s v="360"/>
    <m/>
    <n v="1"/>
    <n v="609"/>
    <n v="0.99836065573770494"/>
    <m/>
    <m/>
    <m/>
    <m/>
    <x v="0"/>
    <x v="0"/>
    <m/>
    <m/>
    <m/>
    <x v="0"/>
    <x v="0"/>
  </r>
  <r>
    <x v="509"/>
    <x v="22"/>
    <x v="10"/>
    <n v="12"/>
    <n v="6"/>
    <n v="25.1"/>
    <n v="301.20000000000005"/>
    <n v="302"/>
    <n v="1812"/>
    <n v="1.0026560424966797"/>
    <n v="1"/>
    <n v="3.0000000000000001E-3"/>
    <s v="190"/>
    <m/>
    <n v="1"/>
    <n v="301"/>
    <n v="0.99668874172185429"/>
    <m/>
    <m/>
    <s v=""/>
    <m/>
    <x v="0"/>
    <x v="0"/>
    <m/>
    <m/>
    <m/>
    <x v="0"/>
    <x v="0"/>
  </r>
  <r>
    <x v="509"/>
    <x v="11"/>
    <x v="11"/>
    <n v="72"/>
    <n v="2.8"/>
    <n v="44.5"/>
    <n v="2818.2857142857142"/>
    <n v="2809"/>
    <n v="7865.2"/>
    <n v="0.99670519059205198"/>
    <n v="1"/>
    <n v="-3.0000000000000001E-3"/>
    <s v="580"/>
    <m/>
    <n v="1"/>
    <n v="2808"/>
    <n v="0.99964400142399434"/>
    <m/>
    <m/>
    <s v="，D2021美芝城50箱，D9920(18Kg)60桶(2027.03.18)"/>
    <m/>
    <x v="0"/>
    <x v="0"/>
    <m/>
    <m/>
    <m/>
    <x v="0"/>
    <x v="0"/>
  </r>
  <r>
    <x v="510"/>
    <x v="2"/>
    <x v="2"/>
    <n v="32"/>
    <n v="6"/>
    <n v="26.6"/>
    <n v="851.2"/>
    <n v="837"/>
    <n v="5022"/>
    <n v="0.98331766917293228"/>
    <n v="1"/>
    <n v="-1.7000000000000001E-2"/>
    <s v="450"/>
    <m/>
    <n v="1"/>
    <n v="836"/>
    <n v="0.99880525686977295"/>
    <m/>
    <m/>
    <s v=""/>
    <m/>
    <x v="0"/>
    <x v="0"/>
    <m/>
    <m/>
    <m/>
    <x v="0"/>
    <x v="0"/>
  </r>
  <r>
    <x v="510"/>
    <x v="1"/>
    <x v="1"/>
    <n v="12"/>
    <n v="6"/>
    <n v="25.7"/>
    <n v="308.39999999999998"/>
    <n v="308"/>
    <n v="1848"/>
    <n v="0.99870298313878092"/>
    <n v="1"/>
    <n v="-1E-3"/>
    <s v="220"/>
    <m/>
    <n v="2"/>
    <n v="306"/>
    <n v="0.99350649350649356"/>
    <m/>
    <m/>
    <m/>
    <m/>
    <x v="0"/>
    <x v="0"/>
    <m/>
    <m/>
    <m/>
    <x v="0"/>
    <x v="0"/>
  </r>
  <r>
    <x v="510"/>
    <x v="66"/>
    <x v="57"/>
    <n v="12"/>
    <n v="9.08"/>
    <n v="17.5"/>
    <n v="210"/>
    <n v="209"/>
    <n v="1897.72"/>
    <n v="0.99523809523809526"/>
    <n v="1"/>
    <n v="-5.0000000000000001E-3"/>
    <s v="210"/>
    <m/>
    <n v="0"/>
    <n v="209"/>
    <n v="1"/>
    <m/>
    <m/>
    <s v=""/>
    <m/>
    <x v="0"/>
    <x v="0"/>
    <m/>
    <m/>
    <m/>
    <x v="0"/>
    <x v="0"/>
  </r>
  <r>
    <x v="510"/>
    <x v="3"/>
    <x v="3"/>
    <n v="24"/>
    <n v="4.5"/>
    <n v="36.299999999999997"/>
    <n v="871.19999999999993"/>
    <n v="869"/>
    <n v="3910.5"/>
    <n v="0.99747474747474751"/>
    <n v="1"/>
    <n v="-3.0000000000000001E-3"/>
    <s v="345"/>
    <m/>
    <n v="0"/>
    <n v="869"/>
    <n v="1"/>
    <m/>
    <m/>
    <m/>
    <m/>
    <x v="0"/>
    <x v="0"/>
    <m/>
    <m/>
    <m/>
    <x v="0"/>
    <x v="0"/>
  </r>
  <r>
    <x v="510"/>
    <x v="41"/>
    <x v="39"/>
    <n v="68"/>
    <n v="2.8"/>
    <n v="44.2"/>
    <n v="3005.6000000000004"/>
    <n v="2988"/>
    <n v="8366.4"/>
    <n v="0.99414426404045764"/>
    <n v="1"/>
    <n v="-6.0000000000000001E-3"/>
    <s v="500"/>
    <m/>
    <n v="0"/>
    <n v="2988"/>
    <n v="1"/>
    <m/>
    <m/>
    <s v=""/>
    <m/>
    <x v="0"/>
    <x v="0"/>
    <m/>
    <m/>
    <m/>
    <x v="0"/>
    <x v="0"/>
  </r>
  <r>
    <x v="510"/>
    <x v="103"/>
    <x v="39"/>
    <n v="2"/>
    <n v="2.8"/>
    <n v="44.8"/>
    <n v="89.6"/>
    <n v="15"/>
    <n v="42"/>
    <n v="0.1674107142857143"/>
    <n v="1"/>
    <n v="-0.83299999999999996"/>
    <s v="60"/>
    <m/>
    <n v="0"/>
    <n v="15"/>
    <n v="1"/>
    <m/>
    <m/>
    <s v="，裝2箱#1顆花，其餘裝D9921(18kg)_x000a_(2027.03.19)"/>
    <m/>
    <x v="0"/>
    <x v="0"/>
    <m/>
    <m/>
    <m/>
    <x v="0"/>
    <x v="0"/>
  </r>
  <r>
    <x v="510"/>
    <x v="97"/>
    <x v="88"/>
    <n v="50"/>
    <n v="1"/>
    <n v="6"/>
    <n v="300"/>
    <n v="302"/>
    <n v="302"/>
    <n v="1.0066666666666666"/>
    <n v="1"/>
    <n v="7.0000000000000001E-3"/>
    <s v="0"/>
    <m/>
    <n v="0"/>
    <n v="302"/>
    <n v="1"/>
    <m/>
    <m/>
    <m/>
    <m/>
    <x v="0"/>
    <x v="0"/>
    <m/>
    <m/>
    <m/>
    <x v="0"/>
    <x v="0"/>
  </r>
  <r>
    <x v="511"/>
    <x v="18"/>
    <x v="18"/>
    <n v="12"/>
    <n v="6"/>
    <n v="26.4"/>
    <n v="316.79999999999995"/>
    <n v="308"/>
    <n v="1848"/>
    <n v="0.97222222222222232"/>
    <n v="1"/>
    <n v="-2.8000000000000001E-2"/>
    <s v="210"/>
    <m/>
    <n v="2"/>
    <n v="306"/>
    <n v="0.99350649350649356"/>
    <m/>
    <m/>
    <s v=""/>
    <m/>
    <x v="0"/>
    <x v="0"/>
    <m/>
    <m/>
    <m/>
    <x v="0"/>
    <x v="0"/>
  </r>
  <r>
    <x v="511"/>
    <x v="9"/>
    <x v="9"/>
    <n v="24"/>
    <n v="6"/>
    <n v="25.7"/>
    <n v="616.79999999999995"/>
    <n v="624"/>
    <n v="3744"/>
    <n v="1.0116731517509729"/>
    <n v="1"/>
    <n v="1.2E-2"/>
    <s v="343"/>
    <m/>
    <n v="223"/>
    <n v="401"/>
    <n v="0.64262820512820518"/>
    <m/>
    <m/>
    <m/>
    <m/>
    <x v="0"/>
    <x v="0"/>
    <m/>
    <m/>
    <m/>
    <x v="0"/>
    <x v="0"/>
  </r>
  <r>
    <x v="511"/>
    <x v="46"/>
    <x v="17"/>
    <n v="21"/>
    <n v="3"/>
    <n v="31.6"/>
    <n v="663.6"/>
    <n v="664"/>
    <n v="1992"/>
    <n v="1.0006027727546714"/>
    <n v="1"/>
    <n v="1E-3"/>
    <s v="540"/>
    <m/>
    <n v="0"/>
    <n v="664"/>
    <n v="1"/>
    <m/>
    <m/>
    <s v=""/>
    <m/>
    <x v="0"/>
    <x v="0"/>
    <m/>
    <m/>
    <m/>
    <x v="0"/>
    <x v="0"/>
  </r>
  <r>
    <x v="511"/>
    <x v="23"/>
    <x v="22"/>
    <n v="40"/>
    <n v="0.34"/>
    <n v="364.6"/>
    <n v="14584"/>
    <n v="14350"/>
    <n v="4879"/>
    <n v="0.98395501919912232"/>
    <n v="1"/>
    <n v="-1.6E-2"/>
    <s v="560"/>
    <m/>
    <n v="43"/>
    <n v="14307"/>
    <n v="0.99700348432055752"/>
    <m/>
    <m/>
    <m/>
    <m/>
    <x v="0"/>
    <x v="0"/>
    <m/>
    <m/>
    <m/>
    <x v="0"/>
    <x v="0"/>
  </r>
  <r>
    <x v="512"/>
    <x v="13"/>
    <x v="13"/>
    <n v="40"/>
    <n v="0.9"/>
    <n v="160.5"/>
    <n v="6420"/>
    <n v="6422"/>
    <n v="5779.8"/>
    <n v="1.0003115264797509"/>
    <n v="1"/>
    <n v="0"/>
    <s v="540"/>
    <m/>
    <n v="3"/>
    <n v="6419"/>
    <n v="0.99953285580815943"/>
    <m/>
    <m/>
    <s v=""/>
    <m/>
    <x v="0"/>
    <x v="0"/>
    <m/>
    <m/>
    <m/>
    <x v="0"/>
    <x v="0"/>
  </r>
  <r>
    <x v="512"/>
    <x v="10"/>
    <x v="10"/>
    <n v="16"/>
    <n v="6"/>
    <n v="25.4"/>
    <n v="406.4"/>
    <n v="403"/>
    <n v="2418"/>
    <n v="0.99163385826771655"/>
    <n v="1"/>
    <n v="-8.0000000000000002E-3"/>
    <s v="260"/>
    <m/>
    <n v="2"/>
    <n v="401"/>
    <n v="0.99503722084367241"/>
    <m/>
    <m/>
    <m/>
    <m/>
    <x v="0"/>
    <x v="0"/>
    <m/>
    <m/>
    <m/>
    <x v="0"/>
    <x v="0"/>
  </r>
  <r>
    <x v="512"/>
    <x v="9"/>
    <x v="9"/>
    <n v="24"/>
    <n v="6"/>
    <n v="25.7"/>
    <n v="616.79999999999995"/>
    <n v="612"/>
    <n v="3672"/>
    <n v="0.99221789883268485"/>
    <n v="1"/>
    <n v="-8.0000000000000002E-3"/>
    <s v="322"/>
    <m/>
    <n v="1"/>
    <n v="611"/>
    <n v="0.99836601307189543"/>
    <m/>
    <m/>
    <m/>
    <m/>
    <x v="0"/>
    <x v="0"/>
    <m/>
    <m/>
    <m/>
    <x v="0"/>
    <x v="0"/>
  </r>
  <r>
    <x v="512"/>
    <x v="11"/>
    <x v="11"/>
    <n v="52"/>
    <n v="2.8"/>
    <n v="44.5"/>
    <n v="2314"/>
    <n v="2363"/>
    <n v="6616.4"/>
    <n v="1.0211754537597235"/>
    <n v="1"/>
    <n v="2.1000000000000001E-2"/>
    <s v="415"/>
    <m/>
    <n v="1"/>
    <n v="2362"/>
    <n v="0.99957680914092251"/>
    <m/>
    <m/>
    <m/>
    <m/>
    <x v="0"/>
    <x v="0"/>
    <m/>
    <m/>
    <m/>
    <x v="0"/>
    <x v="0"/>
  </r>
  <r>
    <x v="512"/>
    <x v="35"/>
    <x v="33"/>
    <n v="8"/>
    <n v="18"/>
    <n v="6.6"/>
    <n v="52.8"/>
    <n v="50"/>
    <n v="900"/>
    <n v="0.94696969696969702"/>
    <n v="1"/>
    <n v="-5.2999999999999999E-2"/>
    <s v="110"/>
    <m/>
    <n v="0"/>
    <n v="50"/>
    <n v="1"/>
    <m/>
    <m/>
    <m/>
    <m/>
    <x v="0"/>
    <x v="0"/>
    <m/>
    <m/>
    <m/>
    <x v="0"/>
    <x v="0"/>
  </r>
  <r>
    <x v="512"/>
    <x v="87"/>
    <x v="79"/>
    <n v="1"/>
    <n v="1"/>
    <n v="243"/>
    <n v="243"/>
    <n v="272"/>
    <n v="272"/>
    <n v="1.1193415637860082"/>
    <n v="1"/>
    <n v="0.11899999999999999"/>
    <s v="0"/>
    <m/>
    <n v="-3"/>
    <n v="275"/>
    <n v="1.0110294117647058"/>
    <m/>
    <m/>
    <m/>
    <m/>
    <x v="0"/>
    <x v="0"/>
    <m/>
    <m/>
    <m/>
    <x v="0"/>
    <x v="0"/>
  </r>
  <r>
    <x v="513"/>
    <x v="75"/>
    <x v="65"/>
    <n v="3"/>
    <n v="0.19"/>
    <n v="759.3"/>
    <n v="2277.8999999999996"/>
    <n v="2235"/>
    <n v="424.65"/>
    <n v="0.98116686421704213"/>
    <n v="1"/>
    <n v="-1.9E-2"/>
    <s v="240"/>
    <m/>
    <n v="7"/>
    <n v="2228"/>
    <n v="0.99686800894854588"/>
    <m/>
    <m/>
    <m/>
    <m/>
    <x v="0"/>
    <x v="0"/>
    <m/>
    <m/>
    <m/>
    <x v="0"/>
    <x v="0"/>
  </r>
  <r>
    <x v="513"/>
    <x v="2"/>
    <x v="2"/>
    <n v="28"/>
    <n v="6"/>
    <n v="26.6"/>
    <n v="744.80000000000007"/>
    <n v="737"/>
    <n v="4422"/>
    <n v="0.98952738990332967"/>
    <n v="1"/>
    <n v="-0.01"/>
    <s v="330"/>
    <m/>
    <n v="2"/>
    <n v="735"/>
    <n v="0.99728629579375849"/>
    <m/>
    <m/>
    <m/>
    <m/>
    <x v="0"/>
    <x v="0"/>
    <m/>
    <m/>
    <m/>
    <x v="0"/>
    <x v="0"/>
  </r>
  <r>
    <x v="513"/>
    <x v="17"/>
    <x v="17"/>
    <n v="21"/>
    <n v="3"/>
    <n v="29.7"/>
    <n v="623.69999999999993"/>
    <n v="632"/>
    <n v="1896"/>
    <n v="1.0133076799743468"/>
    <n v="1"/>
    <n v="1.2999999999999999E-2"/>
    <s v="510"/>
    <m/>
    <n v="0"/>
    <n v="632"/>
    <n v="1"/>
    <m/>
    <m/>
    <m/>
    <m/>
    <x v="0"/>
    <x v="0"/>
    <m/>
    <m/>
    <m/>
    <x v="0"/>
    <x v="0"/>
  </r>
  <r>
    <x v="513"/>
    <x v="11"/>
    <x v="11"/>
    <n v="60"/>
    <n v="2.8"/>
    <n v="44.5"/>
    <n v="2670"/>
    <n v="2667"/>
    <n v="7467.5999999999995"/>
    <n v="0.99887640449438198"/>
    <n v="1"/>
    <n v="-1E-3"/>
    <s v="465"/>
    <m/>
    <n v="1"/>
    <n v="2666"/>
    <n v="0.99962504686914133"/>
    <m/>
    <m/>
    <m/>
    <m/>
    <x v="0"/>
    <x v="0"/>
    <m/>
    <m/>
    <m/>
    <x v="0"/>
    <x v="0"/>
  </r>
  <r>
    <x v="514"/>
    <x v="15"/>
    <x v="15"/>
    <n v="72"/>
    <n v="3.2"/>
    <n v="46.8"/>
    <n v="3369.6"/>
    <n v="3327"/>
    <n v="10646.400000000001"/>
    <n v="0.98735754985754987"/>
    <n v="1"/>
    <n v="-1.2999999999999999E-2"/>
    <s v="590"/>
    <m/>
    <n v="1"/>
    <n v="3326"/>
    <n v="0.99969942891493835"/>
    <m/>
    <m/>
    <m/>
    <m/>
    <x v="0"/>
    <x v="0"/>
    <m/>
    <m/>
    <m/>
    <x v="0"/>
    <x v="0"/>
  </r>
  <r>
    <x v="514"/>
    <x v="16"/>
    <x v="16"/>
    <n v="20"/>
    <n v="6"/>
    <n v="26.1"/>
    <n v="522"/>
    <n v="524"/>
    <n v="3144"/>
    <n v="1.0038314176245211"/>
    <n v="1"/>
    <n v="4.0000000000000001E-3"/>
    <s v="270"/>
    <m/>
    <n v="4"/>
    <n v="520"/>
    <n v="0.99236641221374045"/>
    <m/>
    <m/>
    <m/>
    <m/>
    <x v="0"/>
    <x v="0"/>
    <m/>
    <m/>
    <m/>
    <x v="0"/>
    <x v="0"/>
  </r>
  <r>
    <x v="514"/>
    <x v="9"/>
    <x v="9"/>
    <n v="20"/>
    <n v="6"/>
    <n v="25.7"/>
    <n v="514"/>
    <n v="511"/>
    <n v="3066"/>
    <n v="0.99416342412451364"/>
    <n v="1"/>
    <n v="-6.0000000000000001E-3"/>
    <s v="275"/>
    <m/>
    <n v="1"/>
    <n v="510"/>
    <n v="0.99804305283757333"/>
    <m/>
    <m/>
    <m/>
    <m/>
    <x v="0"/>
    <x v="0"/>
    <m/>
    <m/>
    <m/>
    <x v="0"/>
    <x v="0"/>
  </r>
  <r>
    <x v="514"/>
    <x v="11"/>
    <x v="11"/>
    <n v="60"/>
    <n v="2.8"/>
    <n v="44.5"/>
    <n v="2670"/>
    <n v="2671"/>
    <n v="7478.7999999999993"/>
    <n v="1.000374531835206"/>
    <n v="1"/>
    <n v="0"/>
    <s v="465"/>
    <m/>
    <n v="3"/>
    <n v="2668"/>
    <n v="0.99887682515911647"/>
    <m/>
    <m/>
    <m/>
    <m/>
    <x v="0"/>
    <x v="0"/>
    <m/>
    <m/>
    <m/>
    <x v="0"/>
    <x v="0"/>
  </r>
  <r>
    <x v="515"/>
    <x v="8"/>
    <x v="8"/>
    <n v="40"/>
    <n v="0.44"/>
    <n v="344"/>
    <n v="13760"/>
    <n v="13543"/>
    <n v="5958.92"/>
    <n v="0.98422965116279071"/>
    <n v="1"/>
    <n v="-1.6E-2"/>
    <s v="540"/>
    <m/>
    <n v="6"/>
    <n v="13537"/>
    <n v="0.99955696669866356"/>
    <m/>
    <m/>
    <m/>
    <m/>
    <x v="0"/>
    <x v="0"/>
    <m/>
    <m/>
    <m/>
    <x v="0"/>
    <x v="0"/>
  </r>
  <r>
    <x v="515"/>
    <x v="47"/>
    <x v="42"/>
    <n v="20"/>
    <n v="6"/>
    <n v="25.6"/>
    <n v="512"/>
    <n v="515"/>
    <n v="3090"/>
    <n v="1.005859375"/>
    <n v="1"/>
    <n v="6.0000000000000001E-3"/>
    <s v="480"/>
    <m/>
    <n v="2"/>
    <n v="513"/>
    <n v="0.99611650485436898"/>
    <m/>
    <m/>
    <m/>
    <m/>
    <x v="0"/>
    <x v="0"/>
    <m/>
    <m/>
    <m/>
    <x v="0"/>
    <x v="0"/>
  </r>
  <r>
    <x v="515"/>
    <x v="0"/>
    <x v="0"/>
    <n v="24"/>
    <n v="6"/>
    <n v="25.5"/>
    <n v="612"/>
    <n v="607"/>
    <n v="3642"/>
    <n v="0.99183006535947715"/>
    <n v="1"/>
    <n v="-8.0000000000000002E-3"/>
    <s v="540"/>
    <m/>
    <n v="1"/>
    <n v="606"/>
    <n v="0.99835255354200991"/>
    <m/>
    <m/>
    <m/>
    <m/>
    <x v="0"/>
    <x v="0"/>
    <m/>
    <m/>
    <m/>
    <x v="0"/>
    <x v="0"/>
  </r>
  <r>
    <x v="515"/>
    <x v="11"/>
    <x v="11"/>
    <n v="60"/>
    <n v="2.8"/>
    <n v="44.5"/>
    <n v="2670"/>
    <n v="2677"/>
    <n v="7495.5999999999995"/>
    <n v="1.002621722846442"/>
    <n v="1"/>
    <n v="3.0000000000000001E-3"/>
    <s v="440"/>
    <m/>
    <n v="1"/>
    <n v="2676"/>
    <n v="0.99962644751587593"/>
    <m/>
    <m/>
    <m/>
    <m/>
    <x v="0"/>
    <x v="0"/>
    <m/>
    <m/>
    <m/>
    <x v="0"/>
    <x v="0"/>
  </r>
  <r>
    <x v="516"/>
    <x v="15"/>
    <x v="15"/>
    <n v="72"/>
    <n v="3.2"/>
    <n v="46.8"/>
    <n v="3369.6"/>
    <n v="3326"/>
    <n v="10643.2"/>
    <n v="0.98706077872744546"/>
    <n v="1"/>
    <n v="-1.2999999999999999E-2"/>
    <s v="570"/>
    <m/>
    <n v="1"/>
    <n v="3325"/>
    <n v="0.99969933854479853"/>
    <m/>
    <m/>
    <m/>
    <m/>
    <x v="0"/>
    <x v="0"/>
    <m/>
    <m/>
    <m/>
    <x v="0"/>
    <x v="0"/>
  </r>
  <r>
    <x v="516"/>
    <x v="18"/>
    <x v="18"/>
    <n v="16"/>
    <n v="6"/>
    <n v="26.4"/>
    <n v="422.4"/>
    <n v="428"/>
    <n v="2568"/>
    <n v="1.0132575757575759"/>
    <n v="1"/>
    <n v="1.2999999999999999E-2"/>
    <s v="220"/>
    <m/>
    <n v="1"/>
    <n v="427"/>
    <n v="0.99766355140186913"/>
    <m/>
    <m/>
    <m/>
    <m/>
    <x v="0"/>
    <x v="0"/>
    <m/>
    <m/>
    <m/>
    <x v="0"/>
    <x v="0"/>
  </r>
  <r>
    <x v="516"/>
    <x v="9"/>
    <x v="9"/>
    <n v="24"/>
    <n v="6"/>
    <n v="25.7"/>
    <n v="616.79999999999995"/>
    <n v="610"/>
    <n v="3660"/>
    <n v="0.98897535667963687"/>
    <n v="1"/>
    <n v="-1.0999999999999999E-2"/>
    <s v="322"/>
    <m/>
    <n v="1"/>
    <n v="609"/>
    <n v="0.99836065573770494"/>
    <m/>
    <m/>
    <m/>
    <m/>
    <x v="0"/>
    <x v="0"/>
    <m/>
    <m/>
    <m/>
    <x v="0"/>
    <x v="0"/>
  </r>
  <r>
    <x v="516"/>
    <x v="41"/>
    <x v="39"/>
    <n v="60"/>
    <n v="2.8"/>
    <n v="44.2"/>
    <n v="2652"/>
    <n v="2621"/>
    <n v="7338.7999999999993"/>
    <n v="0.98831070889894423"/>
    <n v="1"/>
    <n v="-1.2E-2"/>
    <s v="515"/>
    <m/>
    <n v="1"/>
    <n v="2620"/>
    <n v="0.99961846623426176"/>
    <m/>
    <m/>
    <m/>
    <m/>
    <x v="0"/>
    <x v="0"/>
    <m/>
    <m/>
    <m/>
    <x v="0"/>
    <x v="0"/>
  </r>
  <r>
    <x v="517"/>
    <x v="26"/>
    <x v="25"/>
    <n v="20"/>
    <n v="0.9"/>
    <n v="163"/>
    <n v="3260"/>
    <n v="3223"/>
    <n v="2900.7000000000003"/>
    <n v="0.98865030674846621"/>
    <n v="1"/>
    <n v="-1.0999999999999999E-2"/>
    <s v="330"/>
    <m/>
    <n v="3"/>
    <n v="3220"/>
    <n v="0.99906919019547002"/>
    <m/>
    <m/>
    <m/>
    <m/>
    <x v="0"/>
    <x v="0"/>
    <m/>
    <m/>
    <m/>
    <x v="0"/>
    <x v="0"/>
  </r>
  <r>
    <x v="517"/>
    <x v="43"/>
    <x v="41"/>
    <n v="16"/>
    <n v="0.26"/>
    <n v="584.29999999999995"/>
    <n v="9348.7999999999993"/>
    <n v="9238"/>
    <n v="2401.88"/>
    <n v="0.98814821153517041"/>
    <n v="1"/>
    <n v="-1.2E-2"/>
    <s v="300"/>
    <m/>
    <n v="13"/>
    <n v="9225"/>
    <n v="0.99859276899761851"/>
    <m/>
    <m/>
    <s v=""/>
    <m/>
    <x v="0"/>
    <x v="0"/>
    <m/>
    <m/>
    <m/>
    <x v="0"/>
    <x v="0"/>
  </r>
  <r>
    <x v="517"/>
    <x v="122"/>
    <x v="111"/>
    <n v="12"/>
    <n v="6"/>
    <n v="0"/>
    <n v="0"/>
    <n v="300"/>
    <n v="1800"/>
    <s v="無法預估數據"/>
    <e v="#N/A"/>
    <s v="無法預估數據"/>
    <s v="180"/>
    <m/>
    <n v="1"/>
    <n v="299"/>
    <n v="0.9966666666666667"/>
    <m/>
    <m/>
    <s v="，瓶器225cc醬菜瓶。"/>
    <m/>
    <x v="0"/>
    <x v="0"/>
    <m/>
    <m/>
    <m/>
    <x v="0"/>
    <x v="0"/>
  </r>
  <r>
    <x v="517"/>
    <x v="9"/>
    <x v="9"/>
    <n v="20"/>
    <n v="6"/>
    <n v="25.7"/>
    <n v="514"/>
    <n v="514"/>
    <n v="3084"/>
    <n v="1"/>
    <n v="1"/>
    <n v="0"/>
    <s v="277"/>
    <m/>
    <n v="1"/>
    <n v="513"/>
    <n v="0.99805447470817121"/>
    <m/>
    <m/>
    <s v=""/>
    <m/>
    <x v="0"/>
    <x v="0"/>
    <m/>
    <m/>
    <m/>
    <x v="0"/>
    <x v="0"/>
  </r>
  <r>
    <x v="517"/>
    <x v="22"/>
    <x v="10"/>
    <n v="8"/>
    <n v="6"/>
    <n v="25.1"/>
    <n v="200.8"/>
    <n v="201"/>
    <n v="1206"/>
    <n v="1.000996015936255"/>
    <n v="1"/>
    <n v="1E-3"/>
    <s v="129"/>
    <m/>
    <n v="1"/>
    <n v="200"/>
    <n v="0.99502487562189057"/>
    <m/>
    <m/>
    <s v="，(A12.B8)。"/>
    <m/>
    <x v="0"/>
    <x v="0"/>
    <m/>
    <m/>
    <m/>
    <x v="0"/>
    <x v="0"/>
  </r>
  <r>
    <x v="517"/>
    <x v="48"/>
    <x v="17"/>
    <n v="21"/>
    <n v="3"/>
    <n v="30.8"/>
    <n v="646.80000000000007"/>
    <n v="648"/>
    <n v="1944"/>
    <n v="1.0018552875695732"/>
    <n v="1"/>
    <n v="2E-3"/>
    <s v="540"/>
    <m/>
    <n v="0"/>
    <n v="648"/>
    <n v="1"/>
    <m/>
    <m/>
    <s v=""/>
    <m/>
    <x v="0"/>
    <x v="0"/>
    <m/>
    <m/>
    <m/>
    <x v="0"/>
    <x v="0"/>
  </r>
  <r>
    <x v="517"/>
    <x v="87"/>
    <x v="79"/>
    <n v="1"/>
    <n v="1"/>
    <n v="243"/>
    <n v="243"/>
    <n v="270"/>
    <n v="270"/>
    <n v="1.1111111111111112"/>
    <n v="1"/>
    <n v="0.111"/>
    <s v="0"/>
    <m/>
    <n v="-8"/>
    <n v="278"/>
    <n v="1.0296296296296297"/>
    <m/>
    <m/>
    <s v=""/>
    <m/>
    <x v="0"/>
    <x v="0"/>
    <m/>
    <m/>
    <m/>
    <x v="0"/>
    <x v="0"/>
  </r>
  <r>
    <x v="518"/>
    <x v="15"/>
    <x v="15"/>
    <n v="36"/>
    <n v="3.2"/>
    <n v="46.8"/>
    <n v="1684.8"/>
    <n v="1657"/>
    <n v="5302.4000000000005"/>
    <n v="0.98349952516619188"/>
    <n v="1"/>
    <n v="-1.7000000000000001E-2"/>
    <s v="300"/>
    <m/>
    <n v="1"/>
    <n v="1656"/>
    <n v="0.99939649969824984"/>
    <m/>
    <m/>
    <s v=""/>
    <m/>
    <x v="0"/>
    <x v="0"/>
    <m/>
    <m/>
    <m/>
    <x v="0"/>
    <x v="0"/>
  </r>
  <r>
    <x v="518"/>
    <x v="27"/>
    <x v="26"/>
    <n v="36"/>
    <n v="3.2"/>
    <n v="47.5"/>
    <n v="1710"/>
    <n v="1662"/>
    <n v="5318.4000000000005"/>
    <n v="0.97192982456140353"/>
    <n v="1"/>
    <n v="-2.8000000000000001E-2"/>
    <s v="270"/>
    <m/>
    <n v="1"/>
    <n v="1661"/>
    <n v="0.99939831528279177"/>
    <m/>
    <m/>
    <s v=""/>
    <m/>
    <x v="0"/>
    <x v="0"/>
    <m/>
    <m/>
    <m/>
    <x v="0"/>
    <x v="0"/>
  </r>
  <r>
    <x v="518"/>
    <x v="3"/>
    <x v="3"/>
    <n v="40"/>
    <n v="4.5"/>
    <n v="36.299999999999997"/>
    <n v="1452"/>
    <n v="1452"/>
    <n v="6534"/>
    <n v="1"/>
    <n v="1"/>
    <n v="0"/>
    <s v="570"/>
    <m/>
    <n v="0"/>
    <n v="1452"/>
    <n v="1"/>
    <m/>
    <m/>
    <s v=""/>
    <m/>
    <x v="0"/>
    <x v="0"/>
    <m/>
    <m/>
    <m/>
    <x v="0"/>
    <x v="0"/>
  </r>
  <r>
    <x v="518"/>
    <x v="6"/>
    <x v="6"/>
    <n v="20"/>
    <n v="0.4"/>
    <n v="309.2"/>
    <n v="6184"/>
    <n v="6097"/>
    <n v="2438.8000000000002"/>
    <n v="0.98593143596377752"/>
    <n v="1"/>
    <n v="-1.4E-2"/>
    <s v="255"/>
    <m/>
    <n v="3"/>
    <n v="6094"/>
    <n v="0.99950795473183529"/>
    <m/>
    <m/>
    <s v="，(5-7mm)"/>
    <m/>
    <x v="0"/>
    <x v="0"/>
    <m/>
    <m/>
    <m/>
    <x v="0"/>
    <x v="0"/>
  </r>
  <r>
    <x v="518"/>
    <x v="12"/>
    <x v="12"/>
    <n v="20"/>
    <n v="0.8"/>
    <n v="157.69999999999999"/>
    <n v="3154"/>
    <n v="3109"/>
    <n v="2487.2000000000003"/>
    <n v="0.98573240329740008"/>
    <n v="1"/>
    <n v="-1.4E-2"/>
    <s v="345"/>
    <m/>
    <n v="2"/>
    <n v="3107"/>
    <n v="0.99935670633644258"/>
    <m/>
    <m/>
    <s v=""/>
    <m/>
    <x v="0"/>
    <x v="0"/>
    <m/>
    <m/>
    <m/>
    <x v="0"/>
    <x v="0"/>
  </r>
  <r>
    <x v="519"/>
    <x v="2"/>
    <x v="2"/>
    <n v="30"/>
    <n v="6"/>
    <n v="26.6"/>
    <n v="798"/>
    <n v="784"/>
    <n v="4704"/>
    <n v="0.98245614035087714"/>
    <n v="1"/>
    <n v="-1.7999999999999999E-2"/>
    <s v="358"/>
    <m/>
    <n v="12"/>
    <n v="772"/>
    <n v="0.98469387755102045"/>
    <m/>
    <m/>
    <s v=""/>
    <m/>
    <x v="0"/>
    <x v="0"/>
    <m/>
    <m/>
    <m/>
    <x v="0"/>
    <x v="0"/>
  </r>
  <r>
    <x v="519"/>
    <x v="36"/>
    <x v="34"/>
    <n v="6"/>
    <n v="6"/>
    <n v="24.3"/>
    <n v="145.80000000000001"/>
    <n v="171"/>
    <n v="1026"/>
    <n v="1.1728395061728394"/>
    <n v="1"/>
    <n v="0.17299999999999999"/>
    <s v="125"/>
    <m/>
    <n v="6"/>
    <n v="165"/>
    <n v="0.96491228070175439"/>
    <s v="1141208-01A "/>
    <n v="216"/>
    <s v=""/>
    <m/>
    <x v="0"/>
    <x v="0"/>
    <m/>
    <m/>
    <m/>
    <x v="0"/>
    <x v="0"/>
  </r>
  <r>
    <x v="519"/>
    <x v="82"/>
    <x v="74"/>
    <n v="6"/>
    <n v="6"/>
    <n v="24.5"/>
    <n v="147"/>
    <n v="143"/>
    <n v="858"/>
    <n v="0.97278911564625847"/>
    <n v="1"/>
    <n v="-2.7E-2"/>
    <s v="150"/>
    <m/>
    <n v="2"/>
    <n v="141"/>
    <n v="0.98601398601398604"/>
    <m/>
    <m/>
    <s v=""/>
    <m/>
    <x v="0"/>
    <x v="0"/>
    <m/>
    <m/>
    <m/>
    <x v="0"/>
    <x v="0"/>
  </r>
  <r>
    <x v="519"/>
    <x v="46"/>
    <x v="17"/>
    <n v="21"/>
    <n v="3"/>
    <n v="31.6"/>
    <n v="663.6"/>
    <n v="668"/>
    <n v="2004"/>
    <n v="1.0066305003013862"/>
    <n v="1"/>
    <n v="7.0000000000000001E-3"/>
    <s v="540"/>
    <m/>
    <n v="0"/>
    <n v="668"/>
    <n v="1"/>
    <m/>
    <m/>
    <s v=""/>
    <m/>
    <x v="0"/>
    <x v="0"/>
    <m/>
    <m/>
    <m/>
    <x v="0"/>
    <x v="0"/>
  </r>
  <r>
    <x v="519"/>
    <x v="41"/>
    <x v="39"/>
    <n v="72"/>
    <n v="2.8"/>
    <n v="44.2"/>
    <n v="3182.4"/>
    <n v="31399"/>
    <n v="87917.2"/>
    <n v="9.8664529914529915"/>
    <n v="1"/>
    <n v="8.8659999999999997"/>
    <s v="555"/>
    <m/>
    <n v="28261"/>
    <n v="3138"/>
    <n v="9.9939488518742639E-2"/>
    <m/>
    <m/>
    <s v=""/>
    <m/>
    <x v="0"/>
    <x v="0"/>
    <m/>
    <m/>
    <m/>
    <x v="0"/>
    <x v="0"/>
  </r>
  <r>
    <x v="520"/>
    <x v="49"/>
    <x v="43"/>
    <n v="18"/>
    <n v="0.43"/>
    <n v="364"/>
    <n v="6552"/>
    <n v="6659"/>
    <n v="2863.37"/>
    <n v="1.0163308913308913"/>
    <n v="1"/>
    <n v="1.6E-2"/>
    <s v="470"/>
    <m/>
    <n v="13"/>
    <n v="6646"/>
    <n v="0.99804775491815589"/>
    <m/>
    <m/>
    <s v=""/>
    <m/>
    <x v="0"/>
    <x v="0"/>
    <m/>
    <m/>
    <m/>
    <x v="0"/>
    <x v="0"/>
  </r>
  <r>
    <x v="520"/>
    <x v="146"/>
    <x v="124"/>
    <n v="3"/>
    <n v="0.19"/>
    <n v="0"/>
    <n v="0"/>
    <n v="2345"/>
    <n v="445.55"/>
    <s v="無法預估數據"/>
    <n v="0"/>
    <s v="無法預估數據"/>
    <s v="147"/>
    <m/>
    <n v="8"/>
    <n v="2337"/>
    <n v="0.99658848614072493"/>
    <m/>
    <m/>
    <s v="，(7-9mm)"/>
    <m/>
    <x v="0"/>
    <x v="0"/>
    <m/>
    <m/>
    <m/>
    <x v="0"/>
    <x v="0"/>
  </r>
  <r>
    <x v="520"/>
    <x v="50"/>
    <x v="44"/>
    <n v="12"/>
    <n v="4.5"/>
    <n v="36.799999999999997"/>
    <n v="441.59999999999997"/>
    <n v="447"/>
    <n v="2011.5"/>
    <n v="1.0122282608695652"/>
    <n v="1"/>
    <n v="1.2E-2"/>
    <s v="275"/>
    <m/>
    <n v="0"/>
    <n v="447"/>
    <n v="1"/>
    <m/>
    <m/>
    <s v=""/>
    <m/>
    <x v="0"/>
    <x v="0"/>
    <m/>
    <m/>
    <m/>
    <x v="0"/>
    <x v="0"/>
  </r>
  <r>
    <x v="520"/>
    <x v="59"/>
    <x v="52"/>
    <n v="12"/>
    <n v="4.5"/>
    <n v="34.9"/>
    <n v="418.79999999999995"/>
    <n v="425"/>
    <n v="1912.5"/>
    <n v="1.0148042024832857"/>
    <n v="1"/>
    <n v="1.4999999999999999E-2"/>
    <s v="220"/>
    <m/>
    <n v="0"/>
    <n v="425"/>
    <n v="1"/>
    <m/>
    <m/>
    <s v=""/>
    <m/>
    <x v="0"/>
    <x v="0"/>
    <m/>
    <m/>
    <m/>
    <x v="0"/>
    <x v="0"/>
  </r>
  <r>
    <x v="520"/>
    <x v="9"/>
    <x v="9"/>
    <n v="16"/>
    <n v="6"/>
    <n v="25.7"/>
    <n v="411.2"/>
    <n v="408"/>
    <n v="2448"/>
    <n v="0.99221789883268485"/>
    <n v="1"/>
    <n v="-8.0000000000000002E-3"/>
    <s v="266"/>
    <m/>
    <n v="1"/>
    <n v="407"/>
    <n v="0.99754901960784315"/>
    <m/>
    <m/>
    <s v=""/>
    <m/>
    <x v="0"/>
    <x v="0"/>
    <m/>
    <m/>
    <m/>
    <x v="0"/>
    <x v="0"/>
  </r>
  <r>
    <x v="520"/>
    <x v="11"/>
    <x v="11"/>
    <n v="72"/>
    <n v="2.8"/>
    <n v="44.5"/>
    <n v="3075.4285714285716"/>
    <n v="3087"/>
    <n v="8643.5999999999985"/>
    <n v="1.0037625418060201"/>
    <n v="1"/>
    <n v="4.0000000000000001E-3"/>
    <s v="560"/>
    <m/>
    <n v="307"/>
    <n v="2780"/>
    <n v="0.90055069646906383"/>
    <m/>
    <m/>
    <s v="，D2021美芝城50箱，D9920(18kg)20桶(2027.04.02)"/>
    <m/>
    <x v="0"/>
    <x v="0"/>
    <m/>
    <m/>
    <m/>
    <x v="0"/>
    <x v="0"/>
  </r>
  <r>
    <x v="521"/>
    <x v="87"/>
    <x v="79"/>
    <n v="1"/>
    <n v="1"/>
    <n v="243"/>
    <n v="243"/>
    <n v="268"/>
    <n v="268"/>
    <n v="1.1028806584362141"/>
    <n v="1"/>
    <n v="0.10299999999999999"/>
    <s v="0"/>
    <m/>
    <n v="0"/>
    <n v="268"/>
    <n v="1"/>
    <m/>
    <m/>
    <m/>
    <m/>
    <x v="0"/>
    <x v="0"/>
    <m/>
    <m/>
    <m/>
    <x v="0"/>
    <x v="0"/>
  </r>
  <r>
    <x v="522"/>
    <x v="15"/>
    <x v="15"/>
    <n v="72"/>
    <n v="3.2"/>
    <n v="46.8"/>
    <n v="3369.6"/>
    <n v="3446"/>
    <n v="11027.2"/>
    <n v="1.0226733143399811"/>
    <n v="1"/>
    <n v="2.3E-2"/>
    <s v="600"/>
    <m/>
    <n v="101"/>
    <n v="3345"/>
    <n v="0.97069065583284964"/>
    <m/>
    <m/>
    <s v=""/>
    <m/>
    <x v="0"/>
    <x v="0"/>
    <m/>
    <m/>
    <m/>
    <x v="0"/>
    <x v="0"/>
  </r>
  <r>
    <x v="522"/>
    <x v="10"/>
    <x v="10"/>
    <n v="24"/>
    <n v="6"/>
    <n v="25.4"/>
    <n v="609.59999999999991"/>
    <n v="610"/>
    <n v="3660"/>
    <n v="1.0006561679790027"/>
    <n v="1"/>
    <n v="1E-3"/>
    <s v="340"/>
    <m/>
    <n v="3"/>
    <n v="607"/>
    <n v="0.9950819672131147"/>
    <m/>
    <m/>
    <m/>
    <m/>
    <x v="0"/>
    <x v="0"/>
    <m/>
    <m/>
    <m/>
    <x v="0"/>
    <x v="0"/>
  </r>
  <r>
    <x v="522"/>
    <x v="28"/>
    <x v="19"/>
    <n v="16"/>
    <n v="6"/>
    <n v="25.5"/>
    <n v="408"/>
    <n v="408"/>
    <n v="2448"/>
    <n v="1"/>
    <n v="1"/>
    <n v="0"/>
    <s v="210"/>
    <m/>
    <n v="1"/>
    <n v="407"/>
    <n v="0.99754901960784315"/>
    <m/>
    <m/>
    <m/>
    <m/>
    <x v="0"/>
    <x v="0"/>
    <m/>
    <m/>
    <m/>
    <x v="0"/>
    <x v="0"/>
  </r>
  <r>
    <x v="522"/>
    <x v="78"/>
    <x v="70"/>
    <n v="8"/>
    <n v="0.28999999999999998"/>
    <n v="388"/>
    <n v="3104"/>
    <n v="3231"/>
    <n v="936.9899999999999"/>
    <n v="1.0409149484536082"/>
    <n v="1"/>
    <n v="4.1000000000000002E-2"/>
    <s v="250"/>
    <m/>
    <n v="4"/>
    <n v="3227"/>
    <n v="0.99876199319096259"/>
    <m/>
    <m/>
    <s v="，充填281g~285g"/>
    <m/>
    <x v="0"/>
    <x v="0"/>
    <m/>
    <m/>
    <m/>
    <x v="0"/>
    <x v="0"/>
  </r>
  <r>
    <x v="522"/>
    <x v="55"/>
    <x v="48"/>
    <n v="36"/>
    <n v="18"/>
    <n v="6.9"/>
    <n v="248.4"/>
    <n v="255"/>
    <n v="4590"/>
    <n v="1.0265700483091786"/>
    <n v="1"/>
    <n v="2.7E-2"/>
    <s v="450"/>
    <m/>
    <n v="0"/>
    <n v="255"/>
    <n v="1"/>
    <m/>
    <m/>
    <s v=""/>
    <m/>
    <x v="0"/>
    <x v="0"/>
    <m/>
    <m/>
    <m/>
    <x v="0"/>
    <x v="0"/>
  </r>
  <r>
    <x v="523"/>
    <x v="8"/>
    <x v="8"/>
    <n v="28"/>
    <n v="0.44"/>
    <n v="344"/>
    <n v="9632"/>
    <n v="99334"/>
    <n v="43706.96"/>
    <n v="10.312915282392026"/>
    <n v="1"/>
    <n v="9.3130000000000006"/>
    <s v="410"/>
    <m/>
    <n v="90005"/>
    <n v="9329"/>
    <n v="9.3915477077335052E-2"/>
    <m/>
    <m/>
    <m/>
    <m/>
    <x v="0"/>
    <x v="0"/>
    <m/>
    <m/>
    <m/>
    <x v="0"/>
    <x v="0"/>
  </r>
  <r>
    <x v="523"/>
    <x v="107"/>
    <x v="95"/>
    <n v="3"/>
    <n v="0.21"/>
    <n v="738"/>
    <n v="2214"/>
    <n v="2237"/>
    <n v="469.77"/>
    <n v="1.0103884372177054"/>
    <n v="1"/>
    <n v="0.01"/>
    <s v="210"/>
    <m/>
    <n v="9"/>
    <n v="2228"/>
    <n v="0.9959767545820295"/>
    <m/>
    <m/>
    <s v=""/>
    <m/>
    <x v="0"/>
    <x v="0"/>
    <m/>
    <m/>
    <m/>
    <x v="0"/>
    <x v="0"/>
  </r>
  <r>
    <x v="523"/>
    <x v="9"/>
    <x v="9"/>
    <n v="16"/>
    <n v="6"/>
    <n v="25.7"/>
    <n v="411.2"/>
    <n v="412"/>
    <n v="2472"/>
    <n v="1.0019455252918288"/>
    <n v="1"/>
    <n v="2E-3"/>
    <s v="210"/>
    <m/>
    <n v="1"/>
    <n v="411"/>
    <n v="0.99757281553398058"/>
    <m/>
    <m/>
    <m/>
    <m/>
    <x v="0"/>
    <x v="0"/>
    <m/>
    <m/>
    <m/>
    <x v="0"/>
    <x v="0"/>
  </r>
  <r>
    <x v="523"/>
    <x v="16"/>
    <x v="16"/>
    <n v="12"/>
    <n v="6"/>
    <n v="26.1"/>
    <n v="313.20000000000005"/>
    <n v="314"/>
    <n v="1884"/>
    <n v="1.0025542784163473"/>
    <n v="1"/>
    <n v="3.0000000000000001E-3"/>
    <s v="175"/>
    <m/>
    <n v="1"/>
    <n v="313"/>
    <n v="0.99681528662420382"/>
    <m/>
    <m/>
    <s v=""/>
    <m/>
    <x v="0"/>
    <x v="0"/>
    <m/>
    <m/>
    <m/>
    <x v="0"/>
    <x v="0"/>
  </r>
  <r>
    <x v="523"/>
    <x v="19"/>
    <x v="19"/>
    <n v="12"/>
    <n v="6"/>
    <n v="25.5"/>
    <n v="306"/>
    <n v="335"/>
    <n v="2010"/>
    <n v="1.0947712418300655"/>
    <n v="1"/>
    <n v="9.5000000000000001E-2"/>
    <s v="198"/>
    <m/>
    <n v="1"/>
    <n v="334"/>
    <n v="0.9970149253731343"/>
    <m/>
    <m/>
    <s v=""/>
    <m/>
    <x v="0"/>
    <x v="0"/>
    <m/>
    <m/>
    <m/>
    <x v="0"/>
    <x v="0"/>
  </r>
  <r>
    <x v="523"/>
    <x v="11"/>
    <x v="11"/>
    <n v="72"/>
    <n v="2.8"/>
    <n v="44.5"/>
    <n v="3043.2857142857142"/>
    <n v="3057"/>
    <n v="8559.6"/>
    <n v="1.0045064075482326"/>
    <n v="1"/>
    <n v="5.0000000000000001E-3"/>
    <s v="560"/>
    <m/>
    <n v="1"/>
    <n v="3056"/>
    <n v="0.99967288191036963"/>
    <m/>
    <m/>
    <s v="，D9920(18kg)25桶(2027.04.08)"/>
    <m/>
    <x v="0"/>
    <x v="0"/>
    <m/>
    <m/>
    <m/>
    <x v="0"/>
    <x v="0"/>
  </r>
  <r>
    <x v="524"/>
    <x v="27"/>
    <x v="26"/>
    <n v="60"/>
    <n v="3.2"/>
    <n v="47.5"/>
    <n v="2850"/>
    <n v="2817"/>
    <n v="9014.4"/>
    <n v="0.98842105263157898"/>
    <n v="1"/>
    <n v="-1.2E-2"/>
    <s v="540"/>
    <m/>
    <n v="1"/>
    <n v="2816"/>
    <n v="0.99964501242456516"/>
    <m/>
    <m/>
    <s v=""/>
    <m/>
    <x v="0"/>
    <x v="0"/>
    <m/>
    <m/>
    <m/>
    <x v="0"/>
    <x v="0"/>
  </r>
  <r>
    <x v="524"/>
    <x v="39"/>
    <x v="37"/>
    <n v="9"/>
    <n v="4.5"/>
    <n v="36"/>
    <n v="324"/>
    <n v="322"/>
    <n v="1449"/>
    <n v="0.99382716049382713"/>
    <n v="1"/>
    <n v="-6.0000000000000001E-3"/>
    <s v="178"/>
    <m/>
    <n v="0"/>
    <n v="322"/>
    <n v="1"/>
    <m/>
    <m/>
    <s v=""/>
    <m/>
    <x v="0"/>
    <x v="0"/>
    <m/>
    <m/>
    <m/>
    <x v="0"/>
    <x v="0"/>
  </r>
  <r>
    <x v="524"/>
    <x v="0"/>
    <x v="0"/>
    <n v="16"/>
    <n v="6"/>
    <n v="25.5"/>
    <n v="408"/>
    <n v="400"/>
    <n v="2400"/>
    <n v="0.98039215686274506"/>
    <n v="1"/>
    <n v="-0.02"/>
    <s v="225"/>
    <m/>
    <n v="3"/>
    <n v="397"/>
    <n v="0.99250000000000005"/>
    <m/>
    <m/>
    <s v=""/>
    <m/>
    <x v="0"/>
    <x v="0"/>
    <m/>
    <m/>
    <m/>
    <x v="0"/>
    <x v="0"/>
  </r>
  <r>
    <x v="524"/>
    <x v="9"/>
    <x v="9"/>
    <n v="16"/>
    <n v="6"/>
    <n v="25.7"/>
    <n v="411.2"/>
    <n v="403"/>
    <n v="2418"/>
    <n v="0.98005836575875493"/>
    <n v="1"/>
    <n v="-0.02"/>
    <s v="259"/>
    <m/>
    <n v="2"/>
    <n v="401"/>
    <n v="0.99503722084367241"/>
    <m/>
    <m/>
    <s v="，(A8.B8)。"/>
    <m/>
    <x v="0"/>
    <x v="0"/>
    <m/>
    <m/>
    <m/>
    <x v="0"/>
    <x v="0"/>
  </r>
  <r>
    <x v="524"/>
    <x v="17"/>
    <x v="17"/>
    <n v="21"/>
    <n v="3"/>
    <n v="29.7"/>
    <n v="623.69999999999993"/>
    <n v="624"/>
    <n v="1872"/>
    <n v="1.0004810004810005"/>
    <n v="1"/>
    <n v="0"/>
    <s v="510"/>
    <m/>
    <n v="0"/>
    <n v="624"/>
    <n v="1"/>
    <m/>
    <m/>
    <s v=""/>
    <m/>
    <x v="0"/>
    <x v="0"/>
    <m/>
    <m/>
    <m/>
    <x v="0"/>
    <x v="0"/>
  </r>
  <r>
    <x v="525"/>
    <x v="2"/>
    <x v="2"/>
    <n v="20"/>
    <n v="6"/>
    <n v="26.6"/>
    <n v="532"/>
    <n v="517"/>
    <n v="3102"/>
    <n v="0.97180451127819545"/>
    <n v="1"/>
    <n v="-2.8000000000000001E-2"/>
    <s v="300"/>
    <m/>
    <n v="2"/>
    <n v="515"/>
    <n v="0.99613152804642169"/>
    <m/>
    <m/>
    <s v=""/>
    <m/>
    <x v="0"/>
    <x v="0"/>
    <m/>
    <m/>
    <m/>
    <x v="0"/>
    <x v="0"/>
  </r>
  <r>
    <x v="525"/>
    <x v="47"/>
    <x v="42"/>
    <n v="24"/>
    <n v="6"/>
    <n v="25.6"/>
    <n v="614.40000000000009"/>
    <n v="617"/>
    <n v="3702"/>
    <n v="1.0042317708333333"/>
    <n v="1"/>
    <n v="4.0000000000000001E-3"/>
    <s v="270"/>
    <m/>
    <n v="1"/>
    <n v="616"/>
    <n v="0.99837925445705022"/>
    <m/>
    <m/>
    <s v=""/>
    <m/>
    <x v="0"/>
    <x v="0"/>
    <m/>
    <m/>
    <m/>
    <x v="0"/>
    <x v="0"/>
  </r>
  <r>
    <x v="525"/>
    <x v="51"/>
    <x v="45"/>
    <n v="16"/>
    <n v="9.08"/>
    <n v="17.8"/>
    <n v="284.8"/>
    <n v="283"/>
    <n v="2569.64"/>
    <n v="0.99367977528089879"/>
    <n v="1"/>
    <n v="-6.0000000000000001E-3"/>
    <s v="226"/>
    <m/>
    <n v="0"/>
    <n v="283"/>
    <n v="1"/>
    <m/>
    <m/>
    <s v=""/>
    <m/>
    <x v="0"/>
    <x v="0"/>
    <m/>
    <m/>
    <m/>
    <x v="0"/>
    <x v="0"/>
  </r>
  <r>
    <x v="525"/>
    <x v="65"/>
    <x v="56"/>
    <n v="12"/>
    <n v="9.5"/>
    <n v="16.600000000000001"/>
    <n v="199.20000000000002"/>
    <n v="140"/>
    <n v="1330"/>
    <n v="0.70281124497991965"/>
    <n v="1"/>
    <n v="-0.29699999999999999"/>
    <s v="250"/>
    <m/>
    <n v="0"/>
    <n v="140"/>
    <n v="1"/>
    <m/>
    <m/>
    <s v=""/>
    <m/>
    <x v="0"/>
    <x v="0"/>
    <m/>
    <m/>
    <m/>
    <x v="0"/>
    <x v="0"/>
  </r>
  <r>
    <x v="525"/>
    <x v="5"/>
    <x v="5"/>
    <n v="12"/>
    <n v="9.08"/>
    <n v="17.3"/>
    <n v="207.60000000000002"/>
    <n v="204"/>
    <n v="1852.32"/>
    <n v="0.9826589595375721"/>
    <n v="1"/>
    <n v="-1.7000000000000001E-2"/>
    <s v="183"/>
    <m/>
    <n v="0"/>
    <n v="204"/>
    <n v="1"/>
    <m/>
    <m/>
    <s v=""/>
    <m/>
    <x v="0"/>
    <x v="0"/>
    <m/>
    <m/>
    <m/>
    <x v="0"/>
    <x v="0"/>
  </r>
  <r>
    <x v="525"/>
    <x v="114"/>
    <x v="103"/>
    <n v="20"/>
    <n v="0.8"/>
    <n v="155.5"/>
    <n v="3110"/>
    <n v="3068"/>
    <n v="2454.4"/>
    <n v="0.98649517684887456"/>
    <n v="1"/>
    <n v="-1.4E-2"/>
    <s v="300"/>
    <m/>
    <n v="2762"/>
    <n v="306"/>
    <n v="9.9739243807040412E-2"/>
    <m/>
    <m/>
    <m/>
    <m/>
    <x v="0"/>
    <x v="0"/>
    <m/>
    <m/>
    <m/>
    <x v="0"/>
    <x v="0"/>
  </r>
  <r>
    <x v="525"/>
    <x v="11"/>
    <x v="11"/>
    <n v="36"/>
    <n v="2.8"/>
    <n v="44.5"/>
    <n v="1409.1428571428571"/>
    <n v="1374"/>
    <n v="3847.2"/>
    <n v="0.97506082725060828"/>
    <n v="1"/>
    <n v="-2.5000000000000001E-2"/>
    <s v="310"/>
    <m/>
    <n v="1"/>
    <n v="1373"/>
    <n v="0.99927219796215427"/>
    <m/>
    <m/>
    <s v="，D9921(18kg)30桶(2027.04.10)"/>
    <m/>
    <x v="0"/>
    <x v="0"/>
    <m/>
    <m/>
    <m/>
    <x v="0"/>
    <x v="0"/>
  </r>
  <r>
    <x v="525"/>
    <x v="95"/>
    <x v="86"/>
    <n v="1"/>
    <n v="1"/>
    <n v="942"/>
    <n v="942"/>
    <n v="720"/>
    <n v="720"/>
    <n v="0.76433121019108285"/>
    <n v="1"/>
    <n v="-0.23599999999999999"/>
    <s v="0"/>
    <m/>
    <n v="0"/>
    <n v="720"/>
    <n v="1"/>
    <m/>
    <m/>
    <s v=""/>
    <m/>
    <x v="0"/>
    <x v="0"/>
    <m/>
    <m/>
    <m/>
    <x v="0"/>
    <x v="0"/>
  </r>
  <r>
    <x v="526"/>
    <x v="15"/>
    <x v="15"/>
    <n v="60"/>
    <n v="3.2"/>
    <n v="46.8"/>
    <n v="2808"/>
    <n v="2768"/>
    <n v="8857.6"/>
    <n v="0.98575498575498577"/>
    <n v="1"/>
    <n v="-1.4E-2"/>
    <s v="540"/>
    <m/>
    <n v="5"/>
    <n v="2763"/>
    <n v="0.99819364161849711"/>
    <m/>
    <m/>
    <s v=""/>
    <m/>
    <x v="0"/>
    <x v="0"/>
    <m/>
    <m/>
    <m/>
    <x v="0"/>
    <x v="0"/>
  </r>
  <r>
    <x v="526"/>
    <x v="130"/>
    <x v="114"/>
    <n v="18"/>
    <n v="6"/>
    <n v="0"/>
    <n v="0"/>
    <n v="489"/>
    <n v="2934"/>
    <s v="無法預估數據"/>
    <e v="#N/A"/>
    <s v="無法預估數據"/>
    <s v="210"/>
    <m/>
    <n v="4"/>
    <n v="485"/>
    <n v="0.99182004089979547"/>
    <m/>
    <m/>
    <s v=""/>
    <m/>
    <x v="0"/>
    <x v="0"/>
    <m/>
    <m/>
    <m/>
    <x v="0"/>
    <x v="0"/>
  </r>
  <r>
    <x v="526"/>
    <x v="0"/>
    <x v="0"/>
    <n v="24"/>
    <n v="6"/>
    <n v="25.5"/>
    <n v="612"/>
    <n v="606"/>
    <n v="3636"/>
    <n v="0.99019607843137258"/>
    <n v="1"/>
    <n v="-0.01"/>
    <s v="335"/>
    <m/>
    <n v="4"/>
    <n v="602"/>
    <n v="0.99339933993399343"/>
    <m/>
    <m/>
    <s v=""/>
    <m/>
    <x v="0"/>
    <x v="0"/>
    <m/>
    <m/>
    <m/>
    <x v="0"/>
    <x v="0"/>
  </r>
  <r>
    <x v="526"/>
    <x v="11"/>
    <x v="11"/>
    <n v="64"/>
    <n v="2.8"/>
    <n v="44.5"/>
    <n v="2848"/>
    <n v="2847"/>
    <n v="7971.5999999999995"/>
    <n v="0.9996488764044944"/>
    <n v="1"/>
    <n v="0"/>
    <s v="500"/>
    <m/>
    <n v="1"/>
    <n v="2846"/>
    <n v="0.99964875307341061"/>
    <m/>
    <m/>
    <s v=""/>
    <m/>
    <x v="0"/>
    <x v="0"/>
    <m/>
    <m/>
    <m/>
    <x v="0"/>
    <x v="0"/>
  </r>
  <r>
    <x v="527"/>
    <x v="8"/>
    <x v="8"/>
    <n v="32"/>
    <n v="0.44"/>
    <n v="344"/>
    <n v="11008"/>
    <n v="10707"/>
    <n v="4711.08"/>
    <n v="0.97265625"/>
    <n v="1"/>
    <n v="-2.7E-2"/>
    <s v="420"/>
    <m/>
    <n v="5"/>
    <n v="10702"/>
    <n v="0.9995330157840665"/>
    <m/>
    <m/>
    <m/>
    <m/>
    <x v="0"/>
    <x v="0"/>
    <m/>
    <m/>
    <m/>
    <x v="0"/>
    <x v="0"/>
  </r>
  <r>
    <x v="527"/>
    <x v="71"/>
    <x v="61"/>
    <n v="4"/>
    <n v="0.17"/>
    <n v="912.6"/>
    <n v="3650.4"/>
    <n v="3478"/>
    <n v="591.26"/>
    <n v="0.95277229892614501"/>
    <n v="1"/>
    <n v="-4.7E-2"/>
    <s v="240"/>
    <m/>
    <n v="5"/>
    <n v="3473"/>
    <n v="0.99856239217941345"/>
    <m/>
    <m/>
    <m/>
    <m/>
    <x v="0"/>
    <x v="0"/>
    <m/>
    <m/>
    <m/>
    <x v="0"/>
    <x v="0"/>
  </r>
  <r>
    <x v="527"/>
    <x v="147"/>
    <x v="125"/>
    <n v="1"/>
    <n v="6"/>
    <n v="0"/>
    <n v="0"/>
    <n v="21"/>
    <n v="126"/>
    <s v="無法預估數據"/>
    <n v="0"/>
    <s v="無法預估數據"/>
    <s v="91"/>
    <m/>
    <n v="1"/>
    <n v="20"/>
    <n v="0.95238095238095233"/>
    <m/>
    <m/>
    <m/>
    <m/>
    <x v="0"/>
    <x v="0"/>
    <m/>
    <m/>
    <m/>
    <x v="0"/>
    <x v="0"/>
  </r>
  <r>
    <x v="527"/>
    <x v="22"/>
    <x v="10"/>
    <n v="12"/>
    <n v="6"/>
    <n v="25.1"/>
    <n v="301.20000000000005"/>
    <n v="309"/>
    <n v="1854"/>
    <n v="1.0258964143426292"/>
    <n v="1"/>
    <n v="2.5999999999999999E-2"/>
    <s v="171"/>
    <m/>
    <n v="1"/>
    <n v="308"/>
    <n v="0.99676375404530748"/>
    <m/>
    <m/>
    <s v=""/>
    <m/>
    <x v="0"/>
    <x v="0"/>
    <m/>
    <m/>
    <m/>
    <x v="0"/>
    <x v="0"/>
  </r>
  <r>
    <x v="527"/>
    <x v="131"/>
    <x v="105"/>
    <n v="6"/>
    <n v="6"/>
    <n v="25.2"/>
    <n v="151.19999999999999"/>
    <n v="154"/>
    <n v="924"/>
    <n v="1.0185185185185186"/>
    <e v="#N/A"/>
    <e v="#N/A"/>
    <s v="155"/>
    <m/>
    <n v="2"/>
    <n v="152"/>
    <n v="0.98701298701298701"/>
    <m/>
    <m/>
    <s v=""/>
    <m/>
    <x v="0"/>
    <x v="0"/>
    <m/>
    <m/>
    <m/>
    <x v="0"/>
    <x v="0"/>
  </r>
  <r>
    <x v="527"/>
    <x v="9"/>
    <x v="9"/>
    <n v="20"/>
    <n v="6"/>
    <n v="25.7"/>
    <n v="514"/>
    <n v="511"/>
    <n v="3066"/>
    <n v="0.99416342412451364"/>
    <n v="1"/>
    <n v="-6.0000000000000001E-3"/>
    <s v="210"/>
    <m/>
    <n v="1"/>
    <n v="510"/>
    <n v="0.99804305283757333"/>
    <m/>
    <m/>
    <m/>
    <m/>
    <x v="0"/>
    <x v="0"/>
    <m/>
    <m/>
    <m/>
    <x v="0"/>
    <x v="0"/>
  </r>
  <r>
    <x v="527"/>
    <x v="11"/>
    <x v="11"/>
    <n v="72"/>
    <n v="2.8"/>
    <n v="44.5"/>
    <n v="3204"/>
    <n v="3203"/>
    <n v="8968.4"/>
    <n v="0.99968789013732839"/>
    <n v="1"/>
    <n v="0"/>
    <s v="540"/>
    <m/>
    <n v="1"/>
    <n v="3202"/>
    <n v="0.99968779269434904"/>
    <m/>
    <m/>
    <s v=""/>
    <m/>
    <x v="0"/>
    <x v="0"/>
    <m/>
    <m/>
    <m/>
    <x v="0"/>
    <x v="0"/>
  </r>
  <r>
    <x v="528"/>
    <x v="2"/>
    <x v="2"/>
    <n v="40"/>
    <n v="6"/>
    <n v="26.6"/>
    <n v="1064"/>
    <n v="1049"/>
    <n v="6294"/>
    <n v="0.98590225563909772"/>
    <n v="1"/>
    <n v="-1.4E-2"/>
    <s v="510"/>
    <m/>
    <n v="1"/>
    <n v="1048"/>
    <n v="0.99904671115347954"/>
    <m/>
    <m/>
    <s v=""/>
    <m/>
    <x v="0"/>
    <x v="0"/>
    <m/>
    <m/>
    <m/>
    <x v="0"/>
    <x v="0"/>
  </r>
  <r>
    <x v="528"/>
    <x v="17"/>
    <x v="17"/>
    <n v="21"/>
    <n v="3"/>
    <n v="29.7"/>
    <n v="623.69999999999993"/>
    <n v="628"/>
    <n v="1884"/>
    <n v="1.0068943402276738"/>
    <n v="1"/>
    <n v="7.0000000000000001E-3"/>
    <s v="470"/>
    <m/>
    <n v="0"/>
    <n v="628"/>
    <n v="1"/>
    <m/>
    <m/>
    <s v=""/>
    <m/>
    <x v="0"/>
    <x v="0"/>
    <m/>
    <m/>
    <m/>
    <x v="0"/>
    <x v="0"/>
  </r>
  <r>
    <x v="528"/>
    <x v="11"/>
    <x v="11"/>
    <n v="72"/>
    <n v="2.8"/>
    <n v="44.5"/>
    <n v="3204"/>
    <n v="3205"/>
    <n v="8974"/>
    <n v="1.0003121098626717"/>
    <n v="1"/>
    <n v="0"/>
    <s v="483"/>
    <m/>
    <n v="601"/>
    <n v="2604"/>
    <n v="0.81248049921996879"/>
    <m/>
    <m/>
    <s v="，D2021美芝城100箱。"/>
    <m/>
    <x v="0"/>
    <x v="0"/>
    <m/>
    <m/>
    <m/>
    <x v="0"/>
    <x v="0"/>
  </r>
  <r>
    <x v="529"/>
    <x v="15"/>
    <x v="15"/>
    <n v="60"/>
    <n v="3.2"/>
    <n v="46.8"/>
    <n v="2808"/>
    <n v="2775"/>
    <n v="8880"/>
    <n v="0.98824786324786329"/>
    <n v="1"/>
    <n v="-1.2E-2"/>
    <s v="540"/>
    <m/>
    <n v="2"/>
    <n v="2773"/>
    <n v="0.99927927927927929"/>
    <m/>
    <m/>
    <s v=""/>
    <m/>
    <x v="0"/>
    <x v="0"/>
    <m/>
    <m/>
    <m/>
    <x v="0"/>
    <x v="0"/>
  </r>
  <r>
    <x v="529"/>
    <x v="147"/>
    <x v="125"/>
    <n v="12"/>
    <n v="6"/>
    <n v="0"/>
    <n v="0"/>
    <n v="307"/>
    <n v="1842"/>
    <s v="無法預估數據"/>
    <n v="0"/>
    <s v="無法預估數據"/>
    <s v="210"/>
    <m/>
    <n v="1"/>
    <n v="306"/>
    <n v="0.99674267100977199"/>
    <m/>
    <m/>
    <m/>
    <m/>
    <x v="0"/>
    <x v="0"/>
    <m/>
    <m/>
    <m/>
    <x v="0"/>
    <x v="0"/>
  </r>
  <r>
    <x v="529"/>
    <x v="122"/>
    <x v="111"/>
    <n v="12"/>
    <n v="6"/>
    <n v="0"/>
    <n v="0"/>
    <n v="300"/>
    <n v="1800"/>
    <s v="無法預估數據"/>
    <e v="#N/A"/>
    <s v="無法預估數據"/>
    <s v="170"/>
    <m/>
    <n v="3"/>
    <n v="297"/>
    <n v="0.99"/>
    <m/>
    <m/>
    <s v=""/>
    <m/>
    <x v="0"/>
    <x v="0"/>
    <m/>
    <m/>
    <m/>
    <x v="0"/>
    <x v="0"/>
  </r>
  <r>
    <x v="529"/>
    <x v="16"/>
    <x v="16"/>
    <n v="16"/>
    <n v="6"/>
    <n v="26.1"/>
    <n v="417.6"/>
    <n v="434"/>
    <n v="2604"/>
    <n v="1.039272030651341"/>
    <n v="1"/>
    <n v="3.9E-2"/>
    <s v="210"/>
    <m/>
    <n v="3"/>
    <n v="431"/>
    <n v="0.99308755760368661"/>
    <m/>
    <m/>
    <s v=""/>
    <m/>
    <x v="0"/>
    <x v="0"/>
    <m/>
    <m/>
    <m/>
    <x v="0"/>
    <x v="0"/>
  </r>
  <r>
    <x v="529"/>
    <x v="34"/>
    <x v="32"/>
    <n v="20"/>
    <n v="0.34"/>
    <n v="358.3"/>
    <n v="7166"/>
    <n v="7238"/>
    <n v="2460.92"/>
    <n v="1.0100474462740721"/>
    <n v="1"/>
    <n v="0.01"/>
    <s v="285"/>
    <m/>
    <n v="3"/>
    <n v="7235"/>
    <n v="0.99958552086211661"/>
    <m/>
    <m/>
    <m/>
    <m/>
    <x v="0"/>
    <x v="0"/>
    <m/>
    <m/>
    <m/>
    <x v="0"/>
    <x v="0"/>
  </r>
  <r>
    <x v="529"/>
    <x v="24"/>
    <x v="23"/>
    <n v="16"/>
    <n v="0.34"/>
    <n v="366"/>
    <n v="5856"/>
    <n v="6125"/>
    <n v="2082.5"/>
    <n v="1.0459357923497268"/>
    <n v="1"/>
    <n v="4.5999999999999999E-2"/>
    <s v="330"/>
    <m/>
    <n v="203"/>
    <n v="5922"/>
    <n v="0.96685714285714286"/>
    <m/>
    <m/>
    <m/>
    <m/>
    <x v="0"/>
    <x v="0"/>
    <m/>
    <m/>
    <m/>
    <x v="0"/>
    <x v="0"/>
  </r>
  <r>
    <x v="529"/>
    <x v="97"/>
    <x v="88"/>
    <n v="30"/>
    <n v="1"/>
    <n v="6"/>
    <n v="180"/>
    <n v="183"/>
    <n v="183"/>
    <n v="1.0166666666666666"/>
    <n v="1"/>
    <n v="1.7000000000000001E-2"/>
    <s v="0"/>
    <m/>
    <n v="0"/>
    <n v="183"/>
    <n v="1"/>
    <m/>
    <m/>
    <m/>
    <m/>
    <x v="0"/>
    <x v="0"/>
    <m/>
    <m/>
    <m/>
    <x v="0"/>
    <x v="0"/>
  </r>
  <r>
    <x v="529"/>
    <x v="96"/>
    <x v="87"/>
    <n v="25"/>
    <n v="1"/>
    <n v="5.7"/>
    <n v="142.5"/>
    <n v="146"/>
    <n v="146"/>
    <n v="1.024561403508772"/>
    <n v="1"/>
    <n v="2.5000000000000001E-2"/>
    <s v="0"/>
    <m/>
    <n v="0"/>
    <n v="146"/>
    <n v="1"/>
    <m/>
    <m/>
    <m/>
    <m/>
    <x v="0"/>
    <x v="0"/>
    <m/>
    <m/>
    <m/>
    <x v="0"/>
    <x v="0"/>
  </r>
  <r>
    <x v="530"/>
    <x v="30"/>
    <x v="28"/>
    <n v="16"/>
    <n v="0.43"/>
    <n v="340.4"/>
    <n v="5446.4"/>
    <n v="5438"/>
    <n v="2338.34"/>
    <n v="0.99845769682726215"/>
    <n v="1"/>
    <n v="-2E-3"/>
    <s v="270"/>
    <m/>
    <n v="12"/>
    <n v="5426"/>
    <n v="0.9977933063626333"/>
    <m/>
    <m/>
    <s v="麥味登180箱(2160瓶)。"/>
    <m/>
    <x v="0"/>
    <x v="0"/>
    <m/>
    <m/>
    <m/>
    <x v="0"/>
    <x v="0"/>
  </r>
  <r>
    <x v="530"/>
    <x v="8"/>
    <x v="8"/>
    <n v="20"/>
    <n v="0.44"/>
    <n v="344"/>
    <n v="6880"/>
    <n v="6709"/>
    <n v="2951.96"/>
    <n v="0.97514534883720927"/>
    <n v="1"/>
    <n v="-2.5000000000000001E-2"/>
    <s v="300"/>
    <m/>
    <n v="5"/>
    <n v="6704"/>
    <n v="0.99925473244894913"/>
    <m/>
    <m/>
    <m/>
    <m/>
    <x v="0"/>
    <x v="0"/>
    <m/>
    <m/>
    <m/>
    <x v="0"/>
    <x v="0"/>
  </r>
  <r>
    <x v="530"/>
    <x v="9"/>
    <x v="9"/>
    <n v="20"/>
    <n v="6"/>
    <n v="25.7"/>
    <n v="514"/>
    <n v="508"/>
    <n v="3048"/>
    <n v="0.98832684824902728"/>
    <n v="1"/>
    <n v="-1.2E-2"/>
    <s v="210"/>
    <m/>
    <n v="1"/>
    <n v="507"/>
    <n v="0.99803149606299213"/>
    <m/>
    <m/>
    <m/>
    <m/>
    <x v="0"/>
    <x v="0"/>
    <m/>
    <m/>
    <m/>
    <x v="0"/>
    <x v="0"/>
  </r>
  <r>
    <x v="530"/>
    <x v="3"/>
    <x v="3"/>
    <n v="20"/>
    <n v="4.5"/>
    <n v="36.299999999999997"/>
    <n v="726"/>
    <n v="720"/>
    <n v="3240"/>
    <n v="0.99173553719008267"/>
    <n v="1"/>
    <n v="-8.0000000000000002E-3"/>
    <s v="300"/>
    <m/>
    <n v="0"/>
    <n v="720"/>
    <n v="1"/>
    <m/>
    <m/>
    <m/>
    <m/>
    <x v="0"/>
    <x v="0"/>
    <m/>
    <m/>
    <m/>
    <x v="0"/>
    <x v="0"/>
  </r>
  <r>
    <x v="530"/>
    <x v="41"/>
    <x v="39"/>
    <n v="60"/>
    <n v="2.8"/>
    <n v="44.2"/>
    <n v="2587.7142857142858"/>
    <n v="2578"/>
    <n v="7218.4"/>
    <n v="0.99624599757093957"/>
    <n v="1"/>
    <n v="-4.0000000000000001E-3"/>
    <s v="490"/>
    <m/>
    <n v="2"/>
    <n v="2576"/>
    <n v="0.99922420480993013"/>
    <m/>
    <m/>
    <s v="，D9921(18kg)10桶(2027.04.17)"/>
    <m/>
    <x v="0"/>
    <x v="0"/>
    <m/>
    <m/>
    <m/>
    <x v="0"/>
    <x v="0"/>
  </r>
  <r>
    <x v="530"/>
    <x v="103"/>
    <x v="39"/>
    <n v="4"/>
    <n v="2.8"/>
    <n v="44.8"/>
    <n v="179.2"/>
    <n v="163"/>
    <n v="456.4"/>
    <n v="0.9095982142857143"/>
    <n v="1"/>
    <n v="-0.09"/>
    <s v="145"/>
    <m/>
    <n v="2"/>
    <n v="161"/>
    <n v="0.98773006134969321"/>
    <m/>
    <m/>
    <s v="(研發測試)"/>
    <m/>
    <x v="0"/>
    <x v="0"/>
    <m/>
    <m/>
    <m/>
    <x v="0"/>
    <x v="0"/>
  </r>
  <r>
    <x v="531"/>
    <x v="15"/>
    <x v="15"/>
    <n v="72"/>
    <n v="3.2"/>
    <n v="46.8"/>
    <n v="3369.6"/>
    <n v="3376"/>
    <n v="10803.2"/>
    <n v="1.0018993352326686"/>
    <n v="1"/>
    <n v="2E-3"/>
    <s v="540"/>
    <m/>
    <n v="4"/>
    <n v="3372"/>
    <n v="0.99881516587677721"/>
    <m/>
    <m/>
    <s v=""/>
    <m/>
    <x v="0"/>
    <x v="0"/>
    <m/>
    <m/>
    <m/>
    <x v="0"/>
    <x v="0"/>
  </r>
  <r>
    <x v="531"/>
    <x v="28"/>
    <x v="19"/>
    <n v="16"/>
    <n v="6"/>
    <n v="25.5"/>
    <n v="408"/>
    <n v="403"/>
    <n v="2418"/>
    <n v="0.98774509803921573"/>
    <n v="1"/>
    <n v="-1.2E-2"/>
    <s v="510"/>
    <m/>
    <n v="1"/>
    <n v="402"/>
    <n v="0.9975186104218362"/>
    <m/>
    <m/>
    <m/>
    <m/>
    <x v="0"/>
    <x v="0"/>
    <m/>
    <m/>
    <m/>
    <x v="0"/>
    <x v="0"/>
  </r>
  <r>
    <x v="531"/>
    <x v="9"/>
    <x v="9"/>
    <n v="24"/>
    <n v="6"/>
    <n v="25.7"/>
    <n v="616.79999999999995"/>
    <n v="611"/>
    <n v="3666"/>
    <n v="0.99059662775616086"/>
    <n v="1"/>
    <n v="-8.9999999999999993E-3"/>
    <s v="450"/>
    <m/>
    <n v="1"/>
    <n v="610"/>
    <n v="0.99836333878887074"/>
    <m/>
    <m/>
    <m/>
    <m/>
    <x v="0"/>
    <x v="0"/>
    <m/>
    <m/>
    <m/>
    <x v="0"/>
    <x v="0"/>
  </r>
  <r>
    <x v="531"/>
    <x v="6"/>
    <x v="6"/>
    <n v="20"/>
    <n v="0.4"/>
    <n v="309.2"/>
    <n v="6184"/>
    <n v="6000"/>
    <n v="2400"/>
    <n v="0.97024579560155244"/>
    <n v="1"/>
    <n v="-0.03"/>
    <s v="250"/>
    <m/>
    <n v="3"/>
    <n v="5997"/>
    <n v="0.99950000000000006"/>
    <m/>
    <m/>
    <m/>
    <m/>
    <x v="0"/>
    <x v="0"/>
    <m/>
    <m/>
    <m/>
    <x v="0"/>
    <x v="0"/>
  </r>
  <r>
    <x v="531"/>
    <x v="11"/>
    <x v="11"/>
    <n v="32"/>
    <n v="2.8"/>
    <n v="44.5"/>
    <n v="1424"/>
    <n v="1434"/>
    <n v="4015.2"/>
    <n v="1.0070224719101124"/>
    <n v="1"/>
    <n v="7.0000000000000001E-3"/>
    <s v="330"/>
    <m/>
    <n v="1"/>
    <n v="1433"/>
    <n v="0.99930264993026496"/>
    <m/>
    <m/>
    <m/>
    <m/>
    <x v="0"/>
    <x v="0"/>
    <m/>
    <m/>
    <m/>
    <x v="0"/>
    <x v="0"/>
  </r>
  <r>
    <x v="532"/>
    <x v="18"/>
    <x v="18"/>
    <n v="12"/>
    <n v="6"/>
    <n v="26.4"/>
    <n v="316.79999999999995"/>
    <n v="313"/>
    <n v="1878"/>
    <n v="0.98800505050505061"/>
    <n v="1"/>
    <n v="-1.2E-2"/>
    <s v="160"/>
    <m/>
    <n v="1"/>
    <n v="312"/>
    <n v="0.99680511182108622"/>
    <m/>
    <m/>
    <m/>
    <m/>
    <x v="0"/>
    <x v="0"/>
    <m/>
    <m/>
    <m/>
    <x v="0"/>
    <x v="0"/>
  </r>
  <r>
    <x v="532"/>
    <x v="129"/>
    <x v="113"/>
    <n v="12"/>
    <n v="6"/>
    <n v="0"/>
    <n v="0"/>
    <n v="292"/>
    <n v="1752"/>
    <s v="無法預估數據"/>
    <e v="#N/A"/>
    <s v="無法預估數據"/>
    <s v="205"/>
    <m/>
    <n v="2"/>
    <n v="290"/>
    <n v="0.99315068493150682"/>
    <m/>
    <m/>
    <m/>
    <m/>
    <x v="0"/>
    <x v="0"/>
    <m/>
    <m/>
    <m/>
    <x v="0"/>
    <x v="0"/>
  </r>
  <r>
    <x v="532"/>
    <x v="9"/>
    <x v="9"/>
    <n v="16"/>
    <n v="6"/>
    <n v="25.7"/>
    <n v="411.2"/>
    <n v="408"/>
    <n v="2448"/>
    <n v="0.99221789883268485"/>
    <n v="1"/>
    <n v="-8.0000000000000002E-3"/>
    <s v="210"/>
    <m/>
    <n v="1"/>
    <n v="407"/>
    <n v="0.99754901960784315"/>
    <m/>
    <m/>
    <m/>
    <m/>
    <x v="0"/>
    <x v="0"/>
    <m/>
    <m/>
    <m/>
    <x v="0"/>
    <x v="0"/>
  </r>
  <r>
    <x v="532"/>
    <x v="48"/>
    <x v="17"/>
    <n v="21"/>
    <n v="3"/>
    <n v="30.8"/>
    <n v="646.80000000000007"/>
    <n v="660"/>
    <n v="1980"/>
    <n v="1.0204081632653059"/>
    <n v="1"/>
    <n v="0.02"/>
    <s v="540"/>
    <m/>
    <n v="0"/>
    <n v="660"/>
    <n v="1"/>
    <s v="1150421-01A"/>
    <m/>
    <s v="D0122福比花生醬砂糖重量投料錯誤(應投入19kg、誤投21kg)"/>
    <m/>
    <x v="0"/>
    <x v="0"/>
    <m/>
    <m/>
    <m/>
    <x v="0"/>
    <x v="0"/>
  </r>
  <r>
    <x v="532"/>
    <x v="11"/>
    <x v="11"/>
    <n v="68"/>
    <n v="2.8"/>
    <n v="44.5"/>
    <n v="2865.2857142857142"/>
    <n v="2873"/>
    <n v="8044.4"/>
    <n v="1.0026923268684249"/>
    <n v="1"/>
    <n v="3.0000000000000001E-3"/>
    <s v="520"/>
    <m/>
    <n v="1"/>
    <n v="2872"/>
    <n v="0.99965193177862866"/>
    <m/>
    <m/>
    <s v="D9920(18kg)25桶"/>
    <m/>
    <x v="0"/>
    <x v="0"/>
    <m/>
    <m/>
    <m/>
    <x v="0"/>
    <x v="0"/>
  </r>
  <r>
    <x v="533"/>
    <x v="13"/>
    <x v="13"/>
    <n v="40"/>
    <n v="0.9"/>
    <n v="160.5"/>
    <n v="6420"/>
    <n v="6506"/>
    <n v="5855.4000000000005"/>
    <n v="1.0133956386292835"/>
    <n v="1"/>
    <n v="1.2999999999999999E-2"/>
    <s v="540"/>
    <m/>
    <n v="2"/>
    <n v="6504"/>
    <n v="0.99969259145404243"/>
    <m/>
    <m/>
    <s v="D2010美芝城*50箱。"/>
    <m/>
    <x v="0"/>
    <x v="0"/>
    <m/>
    <m/>
    <m/>
    <x v="0"/>
    <x v="0"/>
  </r>
  <r>
    <x v="533"/>
    <x v="50"/>
    <x v="44"/>
    <n v="16"/>
    <n v="4.5"/>
    <n v="36.799999999999997"/>
    <n v="588.79999999999995"/>
    <n v="590"/>
    <n v="2655"/>
    <n v="1.002038043478261"/>
    <n v="1"/>
    <n v="2E-3"/>
    <s v="270"/>
    <m/>
    <n v="0"/>
    <n v="590"/>
    <n v="1"/>
    <m/>
    <m/>
    <s v=""/>
    <m/>
    <x v="0"/>
    <x v="0"/>
    <m/>
    <m/>
    <m/>
    <x v="0"/>
    <x v="0"/>
  </r>
  <r>
    <x v="533"/>
    <x v="59"/>
    <x v="52"/>
    <n v="12"/>
    <n v="4.5"/>
    <n v="34.9"/>
    <n v="418.79999999999995"/>
    <n v="421"/>
    <n v="1894.5"/>
    <n v="1.0052531041069723"/>
    <n v="1"/>
    <n v="5.0000000000000001E-3"/>
    <s v="213"/>
    <m/>
    <n v="0"/>
    <n v="421"/>
    <n v="1"/>
    <m/>
    <m/>
    <s v=""/>
    <m/>
    <x v="0"/>
    <x v="0"/>
    <m/>
    <m/>
    <m/>
    <x v="0"/>
    <x v="0"/>
  </r>
  <r>
    <x v="533"/>
    <x v="52"/>
    <x v="46"/>
    <n v="8"/>
    <n v="4.5"/>
    <n v="35.6"/>
    <n v="284.8"/>
    <n v="274"/>
    <n v="1233"/>
    <n v="0.96207865168539319"/>
    <n v="1"/>
    <n v="-3.7999999999999999E-2"/>
    <s v="190"/>
    <m/>
    <n v="0"/>
    <n v="274"/>
    <n v="1"/>
    <m/>
    <m/>
    <s v=""/>
    <m/>
    <x v="0"/>
    <x v="0"/>
    <m/>
    <m/>
    <m/>
    <x v="0"/>
    <x v="0"/>
  </r>
  <r>
    <x v="533"/>
    <x v="11"/>
    <x v="11"/>
    <n v="68"/>
    <n v="2.8"/>
    <n v="44.5"/>
    <n v="3026"/>
    <n v="3032"/>
    <n v="8489.6"/>
    <n v="1.0019828155981494"/>
    <n v="1"/>
    <n v="2E-3"/>
    <s v="500"/>
    <m/>
    <n v="1"/>
    <n v="3031"/>
    <n v="0.99967018469656987"/>
    <m/>
    <m/>
    <s v=""/>
    <m/>
    <x v="0"/>
    <x v="0"/>
    <m/>
    <m/>
    <m/>
    <x v="0"/>
    <x v="0"/>
  </r>
  <r>
    <x v="534"/>
    <x v="47"/>
    <x v="42"/>
    <n v="12"/>
    <n v="6"/>
    <n v="25.6"/>
    <n v="307.20000000000005"/>
    <n v="307"/>
    <n v="1842"/>
    <n v="0.99934895833333315"/>
    <n v="1"/>
    <n v="-1E-3"/>
    <s v="125"/>
    <m/>
    <n v="1"/>
    <n v="306"/>
    <n v="0.99674267100977199"/>
    <m/>
    <m/>
    <s v=""/>
    <m/>
    <x v="0"/>
    <x v="0"/>
    <m/>
    <m/>
    <m/>
    <x v="0"/>
    <x v="0"/>
  </r>
  <r>
    <x v="534"/>
    <x v="2"/>
    <x v="2"/>
    <n v="28"/>
    <n v="6"/>
    <n v="26.6"/>
    <n v="744.80000000000007"/>
    <n v="722"/>
    <n v="4332"/>
    <n v="0.96938775510204078"/>
    <n v="1"/>
    <n v="-3.1E-2"/>
    <s v="400"/>
    <m/>
    <n v="1"/>
    <n v="721"/>
    <n v="0.99861495844875348"/>
    <m/>
    <m/>
    <s v=""/>
    <m/>
    <x v="0"/>
    <x v="0"/>
    <m/>
    <m/>
    <m/>
    <x v="0"/>
    <x v="0"/>
  </r>
  <r>
    <x v="534"/>
    <x v="38"/>
    <x v="36"/>
    <n v="3"/>
    <n v="4.5"/>
    <n v="32.799999999999997"/>
    <n v="98.399999999999991"/>
    <n v="96"/>
    <n v="432"/>
    <n v="0.97560975609756106"/>
    <n v="1"/>
    <n v="-2.4E-2"/>
    <s v="165"/>
    <m/>
    <n v="0"/>
    <n v="96"/>
    <n v="1"/>
    <m/>
    <m/>
    <s v=""/>
    <m/>
    <x v="0"/>
    <x v="0"/>
    <m/>
    <m/>
    <m/>
    <x v="0"/>
    <x v="0"/>
  </r>
  <r>
    <x v="534"/>
    <x v="3"/>
    <x v="3"/>
    <n v="32"/>
    <n v="4.5"/>
    <n v="36.299999999999997"/>
    <n v="1161.5999999999999"/>
    <n v="1157"/>
    <n v="5206.5"/>
    <n v="0.99603994490358139"/>
    <n v="1"/>
    <n v="-4.0000000000000001E-3"/>
    <s v="460"/>
    <m/>
    <n v="0"/>
    <n v="1157"/>
    <n v="1"/>
    <m/>
    <m/>
    <m/>
    <m/>
    <x v="0"/>
    <x v="0"/>
    <m/>
    <m/>
    <m/>
    <x v="0"/>
    <x v="0"/>
  </r>
  <r>
    <x v="534"/>
    <x v="11"/>
    <x v="11"/>
    <n v="68"/>
    <n v="2.8"/>
    <n v="44.5"/>
    <n v="3026"/>
    <n v="3030"/>
    <n v="8484"/>
    <n v="1.0013218770654329"/>
    <n v="1"/>
    <n v="1E-3"/>
    <s v="490"/>
    <m/>
    <n v="1"/>
    <n v="3029"/>
    <n v="0.99966996699669963"/>
    <m/>
    <m/>
    <s v=""/>
    <m/>
    <x v="0"/>
    <x v="0"/>
    <m/>
    <m/>
    <m/>
    <x v="0"/>
    <x v="0"/>
  </r>
  <r>
    <x v="535"/>
    <x v="15"/>
    <x v="15"/>
    <n v="72"/>
    <n v="3.2"/>
    <n v="46.8"/>
    <n v="3369.6"/>
    <n v="3390"/>
    <n v="10848"/>
    <n v="1.0060541310541311"/>
    <n v="1"/>
    <n v="6.0000000000000001E-3"/>
    <s v="540"/>
    <m/>
    <n v="2"/>
    <n v="3388"/>
    <n v="0.99941002949852509"/>
    <m/>
    <m/>
    <s v=""/>
    <m/>
    <x v="0"/>
    <x v="0"/>
    <m/>
    <m/>
    <m/>
    <x v="0"/>
    <x v="0"/>
  </r>
  <r>
    <x v="535"/>
    <x v="9"/>
    <x v="9"/>
    <n v="20"/>
    <n v="6"/>
    <n v="25.7"/>
    <n v="514"/>
    <n v="512"/>
    <n v="3072"/>
    <n v="0.99610894941634243"/>
    <n v="1"/>
    <n v="-4.0000000000000001E-3"/>
    <s v="275"/>
    <m/>
    <n v="1"/>
    <n v="511"/>
    <n v="0.998046875"/>
    <m/>
    <m/>
    <m/>
    <m/>
    <x v="0"/>
    <x v="0"/>
    <m/>
    <m/>
    <m/>
    <x v="0"/>
    <x v="0"/>
  </r>
  <r>
    <x v="535"/>
    <x v="10"/>
    <x v="10"/>
    <n v="18"/>
    <n v="6"/>
    <n v="25.4"/>
    <n v="457.2"/>
    <n v="455"/>
    <n v="2730"/>
    <n v="0.99518810148731407"/>
    <n v="1"/>
    <n v="-5.0000000000000001E-3"/>
    <s v="265"/>
    <m/>
    <n v="1"/>
    <n v="454"/>
    <n v="0.99780219780219781"/>
    <m/>
    <m/>
    <m/>
    <m/>
    <x v="0"/>
    <x v="0"/>
    <m/>
    <m/>
    <m/>
    <x v="0"/>
    <x v="0"/>
  </r>
  <r>
    <x v="535"/>
    <x v="12"/>
    <x v="12"/>
    <n v="20"/>
    <n v="0.8"/>
    <n v="157.69999999999999"/>
    <n v="3154"/>
    <n v="3126"/>
    <n v="2500.8000000000002"/>
    <n v="0.99112238427393784"/>
    <n v="1"/>
    <n v="-8.9999999999999993E-3"/>
    <s v="285"/>
    <m/>
    <n v="2"/>
    <n v="3124"/>
    <n v="0.99936020473448495"/>
    <m/>
    <m/>
    <s v=""/>
    <m/>
    <x v="0"/>
    <x v="0"/>
    <m/>
    <m/>
    <m/>
    <x v="0"/>
    <x v="0"/>
  </r>
  <r>
    <x v="535"/>
    <x v="42"/>
    <x v="40"/>
    <n v="3"/>
    <n v="3.5"/>
    <n v="25.4"/>
    <n v="76.199999999999989"/>
    <n v="99"/>
    <n v="346.5"/>
    <n v="1.299212598425197"/>
    <n v="1"/>
    <n v="0.29899999999999999"/>
    <s v="300"/>
    <m/>
    <n v="0"/>
    <n v="99"/>
    <n v="1"/>
    <m/>
    <m/>
    <s v=""/>
    <m/>
    <x v="0"/>
    <x v="0"/>
    <m/>
    <m/>
    <m/>
    <x v="0"/>
    <x v="0"/>
  </r>
  <r>
    <x v="535"/>
    <x v="148"/>
    <x v="40"/>
    <n v="3"/>
    <n v="3.5"/>
    <n v="25.4"/>
    <n v="76.199999999999989"/>
    <n v="51"/>
    <n v="178.5"/>
    <n v="0.66929133858267731"/>
    <e v="#N/A"/>
    <e v="#N/A"/>
    <s v="240"/>
    <m/>
    <n v="0"/>
    <n v="51"/>
    <n v="1"/>
    <m/>
    <m/>
    <s v="(油脂測試)"/>
    <m/>
    <x v="0"/>
    <x v="0"/>
    <m/>
    <m/>
    <m/>
    <x v="0"/>
    <x v="0"/>
  </r>
  <r>
    <x v="536"/>
    <x v="43"/>
    <x v="41"/>
    <n v="8"/>
    <n v="0.26"/>
    <n v="584.29999999999995"/>
    <n v="4674.3999999999996"/>
    <n v="4535"/>
    <n v="1179.1000000000001"/>
    <n v="0.97017799075817224"/>
    <n v="1"/>
    <n v="-0.03"/>
    <s v="540"/>
    <m/>
    <n v="4"/>
    <n v="4531"/>
    <n v="0.99911797133406832"/>
    <s v="1150427-01A"/>
    <m/>
    <s v="A3010小藍莓醬於生產調理過中，原預定投料比例為完整顆粒藍莓48公斤及切碎藍莓92公斤。惟作業人員於投料時誤投，實際投料比例誤為完整顆粒藍莓96公斤及切碎藍莓46公斤，與標準配方不符，致使產品配比異常。"/>
    <m/>
    <x v="0"/>
    <x v="0"/>
    <m/>
    <m/>
    <m/>
    <x v="0"/>
    <x v="0"/>
  </r>
  <r>
    <x v="536"/>
    <x v="1"/>
    <x v="1"/>
    <n v="6"/>
    <n v="6"/>
    <n v="25.7"/>
    <n v="154.19999999999999"/>
    <n v="152"/>
    <n v="912"/>
    <n v="0.9857328145265889"/>
    <n v="1"/>
    <n v="-1.4E-2"/>
    <s v="90"/>
    <m/>
    <n v="2"/>
    <n v="150"/>
    <n v="0.98684210526315785"/>
    <m/>
    <m/>
    <m/>
    <m/>
    <x v="0"/>
    <x v="0"/>
    <m/>
    <m/>
    <m/>
    <x v="0"/>
    <x v="0"/>
  </r>
  <r>
    <x v="536"/>
    <x v="82"/>
    <x v="74"/>
    <n v="6"/>
    <n v="6"/>
    <n v="24.5"/>
    <n v="147"/>
    <n v="142"/>
    <n v="852"/>
    <n v="0.96598639455782309"/>
    <n v="1"/>
    <n v="-3.4000000000000002E-2"/>
    <s v="260"/>
    <m/>
    <n v="1"/>
    <n v="141"/>
    <n v="0.99295774647887325"/>
    <m/>
    <m/>
    <m/>
    <m/>
    <x v="0"/>
    <x v="0"/>
    <m/>
    <m/>
    <m/>
    <x v="0"/>
    <x v="0"/>
  </r>
  <r>
    <x v="536"/>
    <x v="133"/>
    <x v="115"/>
    <n v="24"/>
    <n v="4.5"/>
    <n v="33.200000000000003"/>
    <n v="796.80000000000007"/>
    <n v="834"/>
    <n v="3753"/>
    <n v="1.0466867469879517"/>
    <e v="#N/A"/>
    <e v="#N/A"/>
    <s v="345"/>
    <m/>
    <n v="0"/>
    <n v="834"/>
    <n v="1"/>
    <m/>
    <m/>
    <m/>
    <m/>
    <x v="0"/>
    <x v="0"/>
    <m/>
    <m/>
    <m/>
    <x v="0"/>
    <x v="0"/>
  </r>
  <r>
    <x v="536"/>
    <x v="16"/>
    <x v="16"/>
    <n v="16"/>
    <n v="6"/>
    <n v="26.1"/>
    <n v="417.6"/>
    <n v="422"/>
    <n v="2532"/>
    <n v="1.0105363984674329"/>
    <n v="1"/>
    <n v="1.0999999999999999E-2"/>
    <s v="230"/>
    <m/>
    <n v="6"/>
    <n v="416"/>
    <n v="0.98578199052132698"/>
    <m/>
    <m/>
    <m/>
    <m/>
    <x v="0"/>
    <x v="0"/>
    <m/>
    <m/>
    <m/>
    <x v="0"/>
    <x v="0"/>
  </r>
  <r>
    <x v="536"/>
    <x v="48"/>
    <x v="17"/>
    <n v="21"/>
    <n v="3"/>
    <n v="30.8"/>
    <n v="646.80000000000007"/>
    <n v="648"/>
    <n v="1944"/>
    <n v="1.0018552875695732"/>
    <n v="1"/>
    <n v="2E-3"/>
    <s v="540"/>
    <m/>
    <n v="0"/>
    <n v="648"/>
    <n v="1"/>
    <m/>
    <m/>
    <m/>
    <m/>
    <x v="0"/>
    <x v="0"/>
    <m/>
    <m/>
    <m/>
    <x v="0"/>
    <x v="0"/>
  </r>
  <r>
    <x v="537"/>
    <x v="10"/>
    <x v="10"/>
    <n v="30"/>
    <n v="6"/>
    <n v="25.4"/>
    <n v="762"/>
    <n v="764"/>
    <n v="4584"/>
    <n v="1.0026246719160106"/>
    <n v="1"/>
    <n v="3.0000000000000001E-3"/>
    <s v="380"/>
    <m/>
    <n v="2"/>
    <n v="762"/>
    <n v="0.99738219895287961"/>
    <m/>
    <m/>
    <m/>
    <m/>
    <x v="0"/>
    <x v="0"/>
    <m/>
    <m/>
    <m/>
    <x v="0"/>
    <x v="0"/>
  </r>
  <r>
    <x v="537"/>
    <x v="18"/>
    <x v="18"/>
    <n v="12"/>
    <n v="6"/>
    <n v="26.4"/>
    <n v="316.79999999999995"/>
    <n v="320"/>
    <n v="1920"/>
    <n v="1.0101010101010102"/>
    <n v="1"/>
    <n v="0.01"/>
    <s v="205"/>
    <m/>
    <n v="4"/>
    <n v="316"/>
    <n v="0.98750000000000004"/>
    <m/>
    <m/>
    <m/>
    <m/>
    <x v="0"/>
    <x v="0"/>
    <m/>
    <m/>
    <m/>
    <x v="0"/>
    <x v="0"/>
  </r>
  <r>
    <x v="537"/>
    <x v="46"/>
    <x v="17"/>
    <n v="21"/>
    <n v="3"/>
    <n v="31.6"/>
    <n v="663.6"/>
    <n v="668"/>
    <n v="2004"/>
    <n v="1.0066305003013862"/>
    <n v="1"/>
    <n v="7.0000000000000001E-3"/>
    <s v="540"/>
    <m/>
    <n v="0"/>
    <n v="668"/>
    <n v="1"/>
    <m/>
    <m/>
    <m/>
    <m/>
    <x v="0"/>
    <x v="0"/>
    <m/>
    <m/>
    <m/>
    <x v="0"/>
    <x v="0"/>
  </r>
  <r>
    <x v="537"/>
    <x v="11"/>
    <x v="11"/>
    <n v="68"/>
    <n v="2.8"/>
    <n v="44.5"/>
    <n v="2511.7142857142858"/>
    <n v="2658"/>
    <n v="7442.4"/>
    <n v="1.0582413832328517"/>
    <n v="1"/>
    <n v="5.8000000000000003E-2"/>
    <s v="540"/>
    <m/>
    <n v="1"/>
    <n v="2657"/>
    <n v="0.99962377727614748"/>
    <m/>
    <m/>
    <m/>
    <m/>
    <x v="0"/>
    <x v="0"/>
    <m/>
    <m/>
    <m/>
    <x v="0"/>
    <x v="0"/>
  </r>
  <r>
    <x v="537"/>
    <x v="102"/>
    <x v="92"/>
    <n v="1"/>
    <n v="1"/>
    <n v="142"/>
    <n v="142"/>
    <n v="160"/>
    <n v="160"/>
    <n v="1.1267605633802817"/>
    <n v="1"/>
    <n v="0.127"/>
    <s v="0"/>
    <m/>
    <n v="0"/>
    <n v="160"/>
    <n v="1"/>
    <m/>
    <m/>
    <m/>
    <m/>
    <x v="0"/>
    <x v="0"/>
    <m/>
    <m/>
    <m/>
    <x v="0"/>
    <x v="0"/>
  </r>
  <r>
    <x v="537"/>
    <x v="97"/>
    <x v="88"/>
    <n v="30"/>
    <n v="1"/>
    <n v="6"/>
    <n v="180"/>
    <n v="183"/>
    <n v="183"/>
    <n v="1.0166666666666666"/>
    <n v="1"/>
    <n v="1.7000000000000001E-2"/>
    <s v="0"/>
    <m/>
    <n v="0"/>
    <n v="183"/>
    <n v="1"/>
    <m/>
    <m/>
    <m/>
    <m/>
    <x v="0"/>
    <x v="0"/>
    <m/>
    <m/>
    <m/>
    <x v="0"/>
    <x v="0"/>
  </r>
  <r>
    <x v="537"/>
    <x v="96"/>
    <x v="87"/>
    <n v="25"/>
    <n v="1"/>
    <n v="5.7"/>
    <n v="142.5"/>
    <n v="143"/>
    <n v="143"/>
    <n v="1.0035087719298246"/>
    <n v="1"/>
    <n v="4.0000000000000001E-3"/>
    <s v="0"/>
    <m/>
    <n v="0"/>
    <n v="143"/>
    <n v="1"/>
    <m/>
    <m/>
    <m/>
    <m/>
    <x v="0"/>
    <x v="0"/>
    <m/>
    <m/>
    <m/>
    <x v="0"/>
    <x v="0"/>
  </r>
  <r>
    <x v="538"/>
    <x v="21"/>
    <x v="21"/>
    <n v="36"/>
    <n v="3.2"/>
    <n v="46.4"/>
    <n v="1670.3999999999999"/>
    <n v="1643"/>
    <n v="5257.6"/>
    <n v="0.98359674329501923"/>
    <n v="1"/>
    <n v="-1.6E-2"/>
    <s v="300"/>
    <m/>
    <n v="3"/>
    <n v="1640"/>
    <n v="0.99817407181984175"/>
    <m/>
    <m/>
    <m/>
    <m/>
    <x v="0"/>
    <x v="0"/>
    <m/>
    <m/>
    <m/>
    <x v="0"/>
    <x v="0"/>
  </r>
  <r>
    <x v="538"/>
    <x v="26"/>
    <x v="25"/>
    <n v="20"/>
    <n v="0.9"/>
    <n v="163"/>
    <n v="3260"/>
    <n v="3237"/>
    <n v="2913.3"/>
    <n v="0.99294478527607366"/>
    <n v="1"/>
    <n v="-7.0000000000000001E-3"/>
    <s v="240"/>
    <m/>
    <n v="2"/>
    <n v="3235"/>
    <n v="0.99938214396045721"/>
    <m/>
    <m/>
    <m/>
    <m/>
    <x v="0"/>
    <x v="0"/>
    <m/>
    <m/>
    <m/>
    <x v="0"/>
    <x v="0"/>
  </r>
  <r>
    <x v="538"/>
    <x v="9"/>
    <x v="9"/>
    <n v="24"/>
    <n v="6"/>
    <n v="25.7"/>
    <n v="616.79999999999995"/>
    <n v="604"/>
    <n v="3624"/>
    <n v="0.97924773022049294"/>
    <n v="1"/>
    <n v="-2.1000000000000001E-2"/>
    <s v="325"/>
    <m/>
    <n v="1"/>
    <n v="603"/>
    <n v="0.9983443708609272"/>
    <m/>
    <m/>
    <m/>
    <m/>
    <x v="0"/>
    <x v="0"/>
    <m/>
    <m/>
    <m/>
    <x v="0"/>
    <x v="0"/>
  </r>
  <r>
    <x v="538"/>
    <x v="22"/>
    <x v="10"/>
    <n v="12"/>
    <n v="6"/>
    <n v="25.1"/>
    <n v="301.20000000000005"/>
    <n v="298"/>
    <n v="1788"/>
    <n v="0.98937583001328011"/>
    <n v="1"/>
    <n v="-1.0999999999999999E-2"/>
    <s v="180"/>
    <m/>
    <n v="1"/>
    <n v="297"/>
    <n v="0.99664429530201337"/>
    <m/>
    <m/>
    <m/>
    <m/>
    <x v="0"/>
    <x v="0"/>
    <m/>
    <m/>
    <m/>
    <x v="0"/>
    <x v="0"/>
  </r>
  <r>
    <x v="538"/>
    <x v="149"/>
    <x v="10"/>
    <n v="4"/>
    <n v="6"/>
    <n v="0"/>
    <n v="0"/>
    <n v="108"/>
    <n v="648"/>
    <s v="無法預估數據"/>
    <e v="#N/A"/>
    <s v="無法預估數據"/>
    <s v="115"/>
    <m/>
    <n v="1"/>
    <n v="107"/>
    <n v="0.9907407407407407"/>
    <m/>
    <m/>
    <m/>
    <m/>
    <x v="0"/>
    <x v="0"/>
    <m/>
    <m/>
    <m/>
    <x v="0"/>
    <x v="0"/>
  </r>
  <r>
    <x v="538"/>
    <x v="35"/>
    <x v="33"/>
    <n v="8"/>
    <n v="18"/>
    <n v="6.6"/>
    <n v="52.8"/>
    <n v="51"/>
    <n v="918"/>
    <n v="0.96590909090909094"/>
    <n v="1"/>
    <n v="-3.4000000000000002E-2"/>
    <s v="110"/>
    <m/>
    <n v="0"/>
    <n v="51"/>
    <n v="1"/>
    <m/>
    <m/>
    <m/>
    <m/>
    <x v="0"/>
    <x v="0"/>
    <m/>
    <m/>
    <m/>
    <x v="0"/>
    <x v="0"/>
  </r>
  <r>
    <x v="538"/>
    <x v="61"/>
    <x v="33"/>
    <n v="24"/>
    <n v="18"/>
    <n v="6.9"/>
    <n v="165.60000000000002"/>
    <n v="171"/>
    <n v="3078"/>
    <n v="1.0326086956521738"/>
    <n v="1"/>
    <n v="3.3000000000000002E-2"/>
    <s v="215"/>
    <m/>
    <n v="0"/>
    <n v="171"/>
    <n v="1"/>
    <m/>
    <m/>
    <m/>
    <m/>
    <x v="0"/>
    <x v="0"/>
    <m/>
    <m/>
    <m/>
    <x v="0"/>
    <x v="0"/>
  </r>
  <r>
    <x v="538"/>
    <x v="55"/>
    <x v="48"/>
    <n v="32"/>
    <n v="18"/>
    <n v="6.9"/>
    <n v="220.8"/>
    <n v="229"/>
    <n v="4122"/>
    <n v="1.0371376811594202"/>
    <n v="1"/>
    <n v="3.6999999999999998E-2"/>
    <s v="280"/>
    <m/>
    <n v="0"/>
    <n v="229"/>
    <n v="1"/>
    <m/>
    <m/>
    <m/>
    <m/>
    <x v="0"/>
    <x v="0"/>
    <m/>
    <m/>
    <m/>
    <x v="0"/>
    <x v="0"/>
  </r>
  <r>
    <x v="539"/>
    <x v="122"/>
    <x v="111"/>
    <n v="16"/>
    <n v="6"/>
    <n v="0"/>
    <n v="0"/>
    <n v="403"/>
    <n v="2418"/>
    <s v="無法預估數據"/>
    <e v="#N/A"/>
    <s v="無法預估數據"/>
    <s v="210"/>
    <m/>
    <n v="6"/>
    <n v="397"/>
    <n v="0.98511166253101734"/>
    <m/>
    <m/>
    <m/>
    <m/>
    <x v="0"/>
    <x v="0"/>
    <m/>
    <m/>
    <m/>
    <x v="0"/>
    <x v="0"/>
  </r>
  <r>
    <x v="539"/>
    <x v="9"/>
    <x v="9"/>
    <n v="24"/>
    <n v="6"/>
    <n v="25.7"/>
    <n v="616.79999999999995"/>
    <n v="625"/>
    <n v="3750"/>
    <n v="1.0132944228274969"/>
    <n v="1"/>
    <n v="1.2999999999999999E-2"/>
    <s v="340"/>
    <m/>
    <n v="2"/>
    <n v="623"/>
    <n v="0.99680000000000002"/>
    <m/>
    <m/>
    <m/>
    <m/>
    <x v="0"/>
    <x v="0"/>
    <m/>
    <m/>
    <m/>
    <x v="0"/>
    <x v="0"/>
  </r>
  <r>
    <x v="539"/>
    <x v="17"/>
    <x v="17"/>
    <n v="21"/>
    <n v="3"/>
    <n v="29.7"/>
    <n v="623.69999999999993"/>
    <n v="624"/>
    <n v="1872"/>
    <n v="1.0004810004810005"/>
    <n v="1"/>
    <n v="0"/>
    <s v="540"/>
    <m/>
    <n v="0"/>
    <n v="624"/>
    <n v="1"/>
    <m/>
    <m/>
    <m/>
    <m/>
    <x v="0"/>
    <x v="0"/>
    <m/>
    <m/>
    <m/>
    <x v="0"/>
    <x v="0"/>
  </r>
  <r>
    <x v="539"/>
    <x v="23"/>
    <x v="22"/>
    <n v="16"/>
    <n v="0.34"/>
    <n v="364.6"/>
    <n v="5833.6"/>
    <n v="5829"/>
    <n v="1981.8600000000001"/>
    <n v="0.9992114646187602"/>
    <n v="1"/>
    <n v="-1E-3"/>
    <s v="260"/>
    <m/>
    <n v="3"/>
    <n v="5826"/>
    <n v="0.99948533196088518"/>
    <m/>
    <m/>
    <m/>
    <m/>
    <x v="0"/>
    <x v="0"/>
    <m/>
    <m/>
    <m/>
    <x v="0"/>
    <x v="0"/>
  </r>
  <r>
    <x v="539"/>
    <x v="41"/>
    <x v="39"/>
    <n v="28"/>
    <n v="2.8"/>
    <n v="44.2"/>
    <n v="1173.3142857142859"/>
    <n v="1229"/>
    <n v="3441.2"/>
    <n v="1.047460186041981"/>
    <n v="1"/>
    <n v="4.7E-2"/>
    <s v="350"/>
    <m/>
    <n v="1"/>
    <n v="1228"/>
    <n v="0.99918633034987792"/>
    <m/>
    <m/>
    <m/>
    <m/>
    <x v="0"/>
    <x v="0"/>
    <m/>
    <m/>
    <m/>
    <x v="0"/>
    <x v="0"/>
  </r>
  <r>
    <x v="539"/>
    <x v="103"/>
    <x v="39"/>
    <n v="4"/>
    <n v="2.8"/>
    <n v="44.8"/>
    <n v="179.2"/>
    <n v="0"/>
    <n v="0"/>
    <n v="0"/>
    <n v="1"/>
    <n v="-1"/>
    <s v="125"/>
    <m/>
    <n v="0"/>
    <n v="0"/>
    <e v="#DIV/0!"/>
    <s v="1150430-01A"/>
    <m/>
    <s v="2026/04/30(10:00)測試製程性狀太稀，製造課長已與研發討論，不進行充填。(4鍋/半成品60罐/鐵桶裝16桶共244kg)"/>
    <m/>
    <x v="0"/>
    <x v="0"/>
    <m/>
    <m/>
    <m/>
    <x v="0"/>
    <x v="0"/>
  </r>
  <r>
    <x v="539"/>
    <x v="95"/>
    <x v="86"/>
    <n v="1"/>
    <n v="1"/>
    <n v="942"/>
    <n v="942"/>
    <n v="800"/>
    <n v="800"/>
    <n v="0.84925690021231426"/>
    <n v="1"/>
    <n v="-0.151"/>
    <s v="0"/>
    <m/>
    <n v="0"/>
    <n v="800"/>
    <n v="1"/>
    <m/>
    <m/>
    <m/>
    <m/>
    <x v="0"/>
    <x v="0"/>
    <m/>
    <m/>
    <m/>
    <x v="0"/>
    <x v="0"/>
  </r>
  <r>
    <x v="540"/>
    <x v="15"/>
    <x v="15"/>
    <n v="68"/>
    <n v="3.2"/>
    <n v="46.8"/>
    <n v="3182.3999999999996"/>
    <n v="3156"/>
    <n v="10099.200000000001"/>
    <n v="0.99170437405731537"/>
    <n v="1"/>
    <n v="-8.0000000000000002E-3"/>
    <s v="540"/>
    <m/>
    <n v="2"/>
    <n v="3154"/>
    <n v="0.99936628643852976"/>
    <m/>
    <m/>
    <s v=""/>
    <m/>
    <x v="0"/>
    <x v="0"/>
    <m/>
    <m/>
    <m/>
    <x v="0"/>
    <x v="0"/>
  </r>
  <r>
    <x v="540"/>
    <x v="20"/>
    <x v="20"/>
    <n v="8"/>
    <n v="6"/>
    <n v="25"/>
    <n v="200"/>
    <n v="199"/>
    <n v="1194"/>
    <n v="0.995"/>
    <n v="1"/>
    <n v="-5.0000000000000001E-3"/>
    <s v="170"/>
    <m/>
    <n v="1"/>
    <n v="198"/>
    <n v="0.99497487437185927"/>
    <m/>
    <m/>
    <s v=""/>
    <m/>
    <x v="0"/>
    <x v="0"/>
    <m/>
    <m/>
    <m/>
    <x v="0"/>
    <x v="0"/>
  </r>
  <r>
    <x v="540"/>
    <x v="9"/>
    <x v="9"/>
    <n v="24"/>
    <n v="6"/>
    <n v="25.7"/>
    <n v="616.79999999999995"/>
    <n v="616"/>
    <n v="3696"/>
    <n v="0.99870298313878092"/>
    <n v="1"/>
    <n v="-1E-3"/>
    <s v="320"/>
    <m/>
    <n v="1"/>
    <n v="615"/>
    <n v="0.99837662337662336"/>
    <m/>
    <m/>
    <m/>
    <m/>
    <x v="0"/>
    <x v="0"/>
    <m/>
    <m/>
    <m/>
    <x v="0"/>
    <x v="0"/>
  </r>
  <r>
    <x v="540"/>
    <x v="58"/>
    <x v="51"/>
    <n v="8"/>
    <n v="6"/>
    <n v="25.7"/>
    <n v="205.6"/>
    <n v="208"/>
    <n v="1248"/>
    <n v="1.0116731517509727"/>
    <n v="1"/>
    <n v="1.2E-2"/>
    <s v="170"/>
    <m/>
    <n v="4"/>
    <n v="204"/>
    <n v="0.98076923076923073"/>
    <m/>
    <m/>
    <m/>
    <m/>
    <x v="0"/>
    <x v="0"/>
    <m/>
    <m/>
    <m/>
    <x v="0"/>
    <x v="0"/>
  </r>
  <r>
    <x v="540"/>
    <x v="11"/>
    <x v="11"/>
    <n v="60"/>
    <n v="2.8"/>
    <n v="44.5"/>
    <n v="2670"/>
    <n v="2763"/>
    <n v="7736.4"/>
    <n v="1.0348314606741573"/>
    <n v="1"/>
    <n v="3.5000000000000003E-2"/>
    <s v="490"/>
    <m/>
    <n v="1"/>
    <n v="2762"/>
    <n v="0.99963807455664133"/>
    <m/>
    <m/>
    <m/>
    <m/>
    <x v="0"/>
    <x v="0"/>
    <m/>
    <m/>
    <m/>
    <x v="0"/>
    <x v="0"/>
  </r>
  <r>
    <x v="540"/>
    <x v="94"/>
    <x v="85"/>
    <n v="0.5"/>
    <n v="1"/>
    <n v="591"/>
    <n v="295.5"/>
    <n v="288"/>
    <n v="288"/>
    <n v="0.97461928934010156"/>
    <n v="1"/>
    <n v="-2.5000000000000001E-2"/>
    <s v="0"/>
    <m/>
    <n v="0"/>
    <n v="288"/>
    <n v="1"/>
    <m/>
    <m/>
    <m/>
    <m/>
    <x v="0"/>
    <x v="0"/>
    <m/>
    <m/>
    <m/>
    <x v="0"/>
    <x v="0"/>
  </r>
  <r>
    <x v="541"/>
    <x v="8"/>
    <x v="8"/>
    <n v="40"/>
    <n v="0.44"/>
    <n v="344"/>
    <n v="13760"/>
    <n v="13386"/>
    <n v="5889.84"/>
    <n v="0.97281976744186049"/>
    <n v="1"/>
    <n v="-2.7E-2"/>
    <s v="510"/>
    <m/>
    <n v="18"/>
    <n v="13368"/>
    <n v="0.99865531151949793"/>
    <m/>
    <m/>
    <m/>
    <m/>
    <x v="0"/>
    <x v="0"/>
    <m/>
    <m/>
    <m/>
    <x v="0"/>
    <x v="0"/>
  </r>
  <r>
    <x v="541"/>
    <x v="10"/>
    <x v="10"/>
    <n v="28"/>
    <n v="6"/>
    <n v="25.4"/>
    <n v="711.19999999999993"/>
    <n v="722"/>
    <n v="4332"/>
    <n v="1.0151856017997751"/>
    <n v="1"/>
    <n v="1.4999999999999999E-2"/>
    <s v="357"/>
    <m/>
    <n v="1"/>
    <n v="721"/>
    <n v="0.99861495844875348"/>
    <m/>
    <m/>
    <m/>
    <m/>
    <x v="0"/>
    <x v="0"/>
    <m/>
    <m/>
    <m/>
    <x v="0"/>
    <x v="0"/>
  </r>
  <r>
    <x v="541"/>
    <x v="62"/>
    <x v="10"/>
    <n v="6"/>
    <n v="6"/>
    <n v="25.5"/>
    <n v="153"/>
    <n v="152"/>
    <n v="912"/>
    <n v="0.99346405228758172"/>
    <n v="1"/>
    <n v="-7.0000000000000001E-3"/>
    <s v="114"/>
    <m/>
    <n v="1"/>
    <n v="151"/>
    <n v="0.99342105263157898"/>
    <m/>
    <m/>
    <s v=""/>
    <m/>
    <x v="0"/>
    <x v="0"/>
    <m/>
    <m/>
    <m/>
    <x v="0"/>
    <x v="0"/>
  </r>
  <r>
    <x v="541"/>
    <x v="131"/>
    <x v="105"/>
    <n v="4"/>
    <n v="6"/>
    <n v="25.2"/>
    <n v="100.8"/>
    <n v="101"/>
    <n v="606"/>
    <n v="1.001984126984127"/>
    <e v="#N/A"/>
    <e v="#N/A"/>
    <s v="120"/>
    <m/>
    <n v="3"/>
    <n v="98"/>
    <n v="0.97029702970297027"/>
    <m/>
    <m/>
    <s v=""/>
    <m/>
    <x v="0"/>
    <x v="0"/>
    <m/>
    <m/>
    <m/>
    <x v="0"/>
    <x v="0"/>
  </r>
  <r>
    <x v="541"/>
    <x v="11"/>
    <x v="11"/>
    <n v="60"/>
    <n v="2.8"/>
    <n v="44.5"/>
    <n v="2670"/>
    <n v="2784"/>
    <n v="7795.2"/>
    <n v="1.0426966292134832"/>
    <n v="1"/>
    <n v="4.2999999999999997E-2"/>
    <s v="470"/>
    <m/>
    <n v="2"/>
    <n v="2782"/>
    <n v="0.99928160919540232"/>
    <m/>
    <m/>
    <s v=""/>
    <m/>
    <x v="0"/>
    <x v="0"/>
    <m/>
    <m/>
    <m/>
    <x v="0"/>
    <x v="0"/>
  </r>
  <r>
    <x v="541"/>
    <x v="100"/>
    <x v="90"/>
    <n v="1"/>
    <n v="1"/>
    <n v="139"/>
    <n v="139"/>
    <n v="156"/>
    <n v="156"/>
    <n v="1.1223021582733812"/>
    <n v="1"/>
    <n v="0.122"/>
    <s v="0"/>
    <m/>
    <n v="0"/>
    <n v="156"/>
    <n v="1"/>
    <m/>
    <m/>
    <s v=""/>
    <m/>
    <x v="0"/>
    <x v="0"/>
    <m/>
    <m/>
    <m/>
    <x v="0"/>
    <x v="0"/>
  </r>
  <r>
    <x v="542"/>
    <x v="27"/>
    <x v="26"/>
    <n v="32"/>
    <n v="3.2"/>
    <n v="47.5"/>
    <n v="1520"/>
    <n v="1470"/>
    <n v="4704"/>
    <n v="0.96710526315789469"/>
    <n v="1"/>
    <n v="-3.3000000000000002E-2"/>
    <s v="270"/>
    <m/>
    <n v="2"/>
    <n v="1468"/>
    <n v="0.99863945578231295"/>
    <m/>
    <m/>
    <s v=""/>
    <m/>
    <x v="0"/>
    <x v="0"/>
    <m/>
    <m/>
    <m/>
    <x v="0"/>
    <x v="0"/>
  </r>
  <r>
    <x v="542"/>
    <x v="13"/>
    <x v="13"/>
    <n v="20"/>
    <n v="0.9"/>
    <n v="160.5"/>
    <n v="3210"/>
    <n v="3173"/>
    <n v="2855.7000000000003"/>
    <n v="0.98847352024922119"/>
    <n v="1"/>
    <n v="-1.2E-2"/>
    <s v="300"/>
    <m/>
    <n v="2"/>
    <n v="3171"/>
    <n v="0.99936968168925311"/>
    <m/>
    <m/>
    <s v=""/>
    <m/>
    <x v="0"/>
    <x v="0"/>
    <m/>
    <m/>
    <m/>
    <x v="0"/>
    <x v="0"/>
  </r>
  <r>
    <x v="542"/>
    <x v="2"/>
    <x v="2"/>
    <n v="30"/>
    <n v="6"/>
    <n v="26.6"/>
    <n v="798"/>
    <n v="789"/>
    <n v="4734"/>
    <n v="0.98872180451127822"/>
    <n v="1"/>
    <n v="-1.0999999999999999E-2"/>
    <s v="325"/>
    <m/>
    <n v="1"/>
    <n v="788"/>
    <n v="0.99873257287705952"/>
    <m/>
    <m/>
    <s v=""/>
    <m/>
    <x v="0"/>
    <x v="0"/>
    <m/>
    <m/>
    <m/>
    <x v="0"/>
    <x v="0"/>
  </r>
  <r>
    <x v="542"/>
    <x v="9"/>
    <x v="9"/>
    <n v="16"/>
    <n v="6"/>
    <n v="25.7"/>
    <n v="411.2"/>
    <n v="405"/>
    <n v="2430"/>
    <n v="0.9849221789883269"/>
    <n v="1"/>
    <n v="-1.4999999999999999E-2"/>
    <s v="210"/>
    <m/>
    <n v="2"/>
    <n v="403"/>
    <n v="0.99506172839506168"/>
    <m/>
    <m/>
    <m/>
    <m/>
    <x v="0"/>
    <x v="0"/>
    <m/>
    <m/>
    <m/>
    <x v="0"/>
    <x v="0"/>
  </r>
  <r>
    <x v="542"/>
    <x v="6"/>
    <x v="6"/>
    <n v="24"/>
    <n v="0.4"/>
    <n v="309.2"/>
    <n v="7420.7999999999993"/>
    <n v="7580"/>
    <n v="3032"/>
    <n v="1.0214532125916345"/>
    <n v="1"/>
    <n v="2.1000000000000001E-2"/>
    <s v="345"/>
    <m/>
    <n v="3"/>
    <n v="7577"/>
    <n v="0.99960422163588392"/>
    <m/>
    <m/>
    <s v=""/>
    <m/>
    <x v="0"/>
    <x v="0"/>
    <m/>
    <m/>
    <m/>
    <x v="0"/>
    <x v="0"/>
  </r>
  <r>
    <x v="542"/>
    <x v="34"/>
    <x v="32"/>
    <n v="12"/>
    <n v="0.34"/>
    <n v="358.3"/>
    <n v="4299.6000000000004"/>
    <n v="4220"/>
    <n v="1434.8000000000002"/>
    <n v="0.98148664992092283"/>
    <n v="1"/>
    <n v="-1.9E-2"/>
    <s v="170"/>
    <m/>
    <n v="3"/>
    <n v="4217"/>
    <n v="0.99928909952606637"/>
    <m/>
    <m/>
    <s v="E0120佳樂美*200箱。"/>
    <m/>
    <x v="0"/>
    <x v="0"/>
    <m/>
    <m/>
    <m/>
    <x v="0"/>
    <x v="0"/>
  </r>
  <r>
    <x v="543"/>
    <x v="49"/>
    <x v="43"/>
    <n v="15"/>
    <n v="0.43"/>
    <n v="364"/>
    <n v="5460"/>
    <n v="5471"/>
    <n v="2352.5299999999997"/>
    <n v="1.002014652014652"/>
    <n v="1"/>
    <n v="2E-3"/>
    <s v="300"/>
    <m/>
    <n v="11"/>
    <n v="5460"/>
    <n v="0.99798939864741365"/>
    <m/>
    <m/>
    <m/>
    <m/>
    <x v="0"/>
    <x v="0"/>
    <m/>
    <m/>
    <m/>
    <x v="0"/>
    <x v="0"/>
  </r>
  <r>
    <x v="543"/>
    <x v="43"/>
    <x v="41"/>
    <n v="16"/>
    <n v="0.26"/>
    <n v="584.29999999999995"/>
    <n v="9348.7999999999993"/>
    <n v="9360"/>
    <n v="2433.6"/>
    <n v="1.0011980147184667"/>
    <n v="1"/>
    <n v="1E-3"/>
    <s v="330"/>
    <m/>
    <n v="11"/>
    <n v="9349"/>
    <n v="0.99882478632478633"/>
    <m/>
    <m/>
    <s v="，瓶器225cc醬菜瓶。(含測試4p)"/>
    <m/>
    <x v="0"/>
    <x v="0"/>
    <m/>
    <m/>
    <m/>
    <x v="0"/>
    <x v="0"/>
  </r>
  <r>
    <x v="543"/>
    <x v="147"/>
    <x v="125"/>
    <n v="12"/>
    <n v="6"/>
    <n v="0"/>
    <n v="0"/>
    <n v="309"/>
    <n v="1854"/>
    <s v="無法預估數據"/>
    <n v="0"/>
    <s v="無法預估數據"/>
    <s v="365"/>
    <m/>
    <n v="1"/>
    <n v="308"/>
    <n v="0.99676375404530748"/>
    <m/>
    <m/>
    <s v=""/>
    <m/>
    <x v="0"/>
    <x v="0"/>
    <m/>
    <m/>
    <m/>
    <x v="0"/>
    <x v="0"/>
  </r>
  <r>
    <x v="543"/>
    <x v="9"/>
    <x v="9"/>
    <n v="16"/>
    <n v="6"/>
    <n v="25.7"/>
    <n v="411.2"/>
    <n v="407"/>
    <n v="2442"/>
    <n v="0.98978599221789887"/>
    <n v="1"/>
    <n v="-0.01"/>
    <s v="399"/>
    <m/>
    <n v="2"/>
    <n v="405"/>
    <n v="0.99508599508599505"/>
    <m/>
    <m/>
    <m/>
    <m/>
    <x v="0"/>
    <x v="0"/>
    <m/>
    <m/>
    <m/>
    <x v="0"/>
    <x v="0"/>
  </r>
  <r>
    <x v="543"/>
    <x v="16"/>
    <x v="16"/>
    <n v="12"/>
    <n v="6"/>
    <n v="26.1"/>
    <n v="313.20000000000005"/>
    <n v="319"/>
    <n v="1914"/>
    <n v="1.0185185185185184"/>
    <n v="1"/>
    <n v="1.9E-2"/>
    <s v="175"/>
    <m/>
    <n v="7"/>
    <n v="312"/>
    <n v="0.9780564263322884"/>
    <m/>
    <m/>
    <s v=""/>
    <m/>
    <x v="0"/>
    <x v="0"/>
    <m/>
    <m/>
    <m/>
    <x v="0"/>
    <x v="0"/>
  </r>
  <r>
    <x v="543"/>
    <x v="11"/>
    <x v="11"/>
    <n v="56"/>
    <n v="2.8"/>
    <n v="44.5"/>
    <n v="2492"/>
    <n v="2592"/>
    <n v="7257.5999999999995"/>
    <n v="1.0401284109149278"/>
    <n v="1"/>
    <n v="0.04"/>
    <s v="455"/>
    <m/>
    <n v="1"/>
    <n v="2591"/>
    <n v="0.99961419753086422"/>
    <m/>
    <m/>
    <s v=""/>
    <m/>
    <x v="0"/>
    <x v="0"/>
    <m/>
    <m/>
    <m/>
    <x v="0"/>
    <x v="0"/>
  </r>
  <r>
    <x v="543"/>
    <x v="103"/>
    <x v="39"/>
    <n v="4"/>
    <n v="2.8"/>
    <n v="44.8"/>
    <n v="179.2"/>
    <n v="173"/>
    <n v="484.4"/>
    <n v="0.96540178571428581"/>
    <n v="1"/>
    <n v="-3.5000000000000003E-2"/>
    <s v="125"/>
    <m/>
    <n v="1"/>
    <n v="172"/>
    <n v="0.9942196531791907"/>
    <m/>
    <m/>
    <s v=""/>
    <m/>
    <x v="0"/>
    <x v="0"/>
    <m/>
    <m/>
    <m/>
    <x v="0"/>
    <x v="0"/>
  </r>
  <r>
    <x v="544"/>
    <x v="15"/>
    <x v="15"/>
    <n v="68"/>
    <n v="3.2"/>
    <n v="46.8"/>
    <n v="3182.3999999999996"/>
    <n v="3143"/>
    <n v="10057.6"/>
    <n v="0.98761940673705395"/>
    <n v="1"/>
    <n v="-1.2E-2"/>
    <s v="540"/>
    <m/>
    <n v="5"/>
    <n v="3138"/>
    <n v="0.99840916321985362"/>
    <m/>
    <m/>
    <s v=""/>
    <m/>
    <x v="0"/>
    <x v="0"/>
    <m/>
    <m/>
    <m/>
    <x v="0"/>
    <x v="0"/>
  </r>
  <r>
    <x v="544"/>
    <x v="0"/>
    <x v="0"/>
    <n v="30"/>
    <n v="6"/>
    <n v="25.5"/>
    <n v="765"/>
    <n v="761"/>
    <n v="4566"/>
    <n v="0.99477124183006538"/>
    <n v="1"/>
    <n v="-5.0000000000000001E-3"/>
    <s v="375"/>
    <m/>
    <n v="14"/>
    <n v="747"/>
    <n v="0.98160315374507223"/>
    <m/>
    <m/>
    <s v=""/>
    <m/>
    <x v="0"/>
    <x v="0"/>
    <m/>
    <m/>
    <m/>
    <x v="0"/>
    <x v="0"/>
  </r>
  <r>
    <x v="544"/>
    <x v="82"/>
    <x v="74"/>
    <n v="6"/>
    <n v="6"/>
    <n v="24.5"/>
    <n v="147"/>
    <n v="151"/>
    <n v="906"/>
    <n v="1.0272108843537415"/>
    <n v="1"/>
    <n v="2.7E-2"/>
    <s v="103"/>
    <m/>
    <n v="1"/>
    <n v="150"/>
    <n v="0.99337748344370858"/>
    <m/>
    <m/>
    <s v=""/>
    <m/>
    <x v="0"/>
    <x v="0"/>
    <m/>
    <m/>
    <m/>
    <x v="0"/>
    <x v="0"/>
  </r>
  <r>
    <x v="544"/>
    <x v="36"/>
    <x v="34"/>
    <n v="6"/>
    <n v="6"/>
    <n v="24.3"/>
    <n v="145.80000000000001"/>
    <n v="182"/>
    <n v="1092"/>
    <n v="1.2482853223593964"/>
    <n v="1"/>
    <n v="0.248"/>
    <s v="93"/>
    <m/>
    <n v="6"/>
    <n v="176"/>
    <n v="0.96703296703296704"/>
    <s v="1141208-01A "/>
    <n v="216"/>
    <s v=""/>
    <m/>
    <x v="0"/>
    <x v="0"/>
    <m/>
    <m/>
    <m/>
    <x v="0"/>
    <x v="0"/>
  </r>
  <r>
    <x v="544"/>
    <x v="78"/>
    <x v="70"/>
    <n v="3"/>
    <n v="0.28999999999999998"/>
    <n v="388"/>
    <n v="1164"/>
    <n v="1146"/>
    <n v="332.34"/>
    <n v="0.98453608247422686"/>
    <n v="1"/>
    <n v="-1.4999999999999999E-2"/>
    <s v="210"/>
    <m/>
    <n v="11"/>
    <n v="1135"/>
    <n v="0.99040139616055844"/>
    <m/>
    <m/>
    <s v="，充填281g~285g。"/>
    <m/>
    <x v="0"/>
    <x v="0"/>
    <m/>
    <m/>
    <m/>
    <x v="0"/>
    <x v="0"/>
  </r>
  <r>
    <x v="544"/>
    <x v="11"/>
    <x v="11"/>
    <n v="40"/>
    <n v="2.8"/>
    <n v="44.5"/>
    <n v="1780"/>
    <n v="1883"/>
    <n v="5272.4"/>
    <n v="1.0578651685393259"/>
    <n v="1"/>
    <n v="5.8000000000000003E-2"/>
    <s v="465"/>
    <m/>
    <n v="1"/>
    <n v="1882"/>
    <n v="0.99946893255443436"/>
    <m/>
    <m/>
    <s v=""/>
    <m/>
    <x v="0"/>
    <x v="0"/>
    <m/>
    <m/>
    <m/>
    <x v="0"/>
    <x v="0"/>
  </r>
  <r>
    <x v="545"/>
    <x v="10"/>
    <x v="10"/>
    <n v="20"/>
    <n v="6"/>
    <n v="25.4"/>
    <n v="508"/>
    <n v="503"/>
    <n v="3018"/>
    <n v="0.99015748031496065"/>
    <n v="1"/>
    <n v="-0.01"/>
    <s v="275"/>
    <m/>
    <n v="1"/>
    <n v="502"/>
    <n v="0.99801192842942343"/>
    <m/>
    <m/>
    <m/>
    <m/>
    <x v="0"/>
    <x v="0"/>
    <m/>
    <m/>
    <m/>
    <x v="0"/>
    <x v="0"/>
  </r>
  <r>
    <x v="545"/>
    <x v="9"/>
    <x v="9"/>
    <n v="20"/>
    <n v="6"/>
    <n v="25.7"/>
    <n v="514"/>
    <n v="514"/>
    <n v="3084"/>
    <n v="1"/>
    <n v="1"/>
    <n v="0"/>
    <s v="285"/>
    <m/>
    <n v="1"/>
    <n v="513"/>
    <n v="0.99805447470817121"/>
    <m/>
    <m/>
    <m/>
    <m/>
    <x v="0"/>
    <x v="0"/>
    <m/>
    <m/>
    <m/>
    <x v="0"/>
    <x v="0"/>
  </r>
  <r>
    <x v="545"/>
    <x v="48"/>
    <x v="17"/>
    <n v="21"/>
    <n v="3"/>
    <n v="30.8"/>
    <n v="646.80000000000007"/>
    <n v="648"/>
    <n v="1944"/>
    <n v="1.0018552875695732"/>
    <n v="1"/>
    <n v="2E-3"/>
    <s v="540"/>
    <m/>
    <n v="0"/>
    <n v="648"/>
    <n v="1"/>
    <m/>
    <m/>
    <m/>
    <m/>
    <x v="0"/>
    <x v="0"/>
    <m/>
    <m/>
    <m/>
    <x v="0"/>
    <x v="0"/>
  </r>
  <r>
    <x v="545"/>
    <x v="61"/>
    <x v="33"/>
    <n v="24"/>
    <n v="18"/>
    <n v="6.9"/>
    <n v="165.60000000000002"/>
    <n v="167"/>
    <n v="3006"/>
    <n v="1.0084541062801931"/>
    <n v="1"/>
    <n v="8.0000000000000002E-3"/>
    <s v="230"/>
    <m/>
    <n v="0"/>
    <n v="167"/>
    <n v="1"/>
    <m/>
    <m/>
    <m/>
    <m/>
    <x v="0"/>
    <x v="0"/>
    <m/>
    <m/>
    <m/>
    <x v="0"/>
    <x v="0"/>
  </r>
  <r>
    <x v="545"/>
    <x v="55"/>
    <x v="48"/>
    <n v="32"/>
    <n v="18"/>
    <n v="6.9"/>
    <n v="220.8"/>
    <n v="227"/>
    <n v="4086"/>
    <n v="1.0280797101449275"/>
    <n v="1"/>
    <n v="2.8000000000000001E-2"/>
    <s v="310"/>
    <m/>
    <n v="0"/>
    <n v="227"/>
    <n v="1"/>
    <m/>
    <m/>
    <m/>
    <m/>
    <x v="0"/>
    <x v="0"/>
    <m/>
    <m/>
    <m/>
    <x v="0"/>
    <x v="0"/>
  </r>
  <r>
    <x v="545"/>
    <x v="97"/>
    <x v="88"/>
    <n v="30"/>
    <n v="1"/>
    <n v="6"/>
    <n v="180"/>
    <n v="185"/>
    <n v="185"/>
    <n v="1.0277777777777777"/>
    <n v="1"/>
    <n v="2.8000000000000001E-2"/>
    <s v="0"/>
    <m/>
    <n v="0"/>
    <n v="185"/>
    <n v="1"/>
    <m/>
    <m/>
    <m/>
    <m/>
    <x v="0"/>
    <x v="0"/>
    <m/>
    <m/>
    <m/>
    <x v="0"/>
    <x v="0"/>
  </r>
  <r>
    <x v="545"/>
    <x v="96"/>
    <x v="87"/>
    <n v="25"/>
    <n v="1"/>
    <n v="5.7"/>
    <n v="142.5"/>
    <n v="143"/>
    <n v="143"/>
    <n v="1.0035087719298246"/>
    <n v="1"/>
    <n v="4.0000000000000001E-3"/>
    <s v="0"/>
    <m/>
    <n v="0"/>
    <n v="143"/>
    <n v="1"/>
    <m/>
    <m/>
    <m/>
    <m/>
    <x v="0"/>
    <x v="0"/>
    <m/>
    <m/>
    <m/>
    <x v="0"/>
    <x v="0"/>
  </r>
  <r>
    <x v="546"/>
    <x v="0"/>
    <x v="0"/>
    <n v="20"/>
    <n v="6"/>
    <n v="25.5"/>
    <n v="510"/>
    <n v="496"/>
    <n v="2976"/>
    <n v="0.97254901960784312"/>
    <n v="1"/>
    <n v="-2.7E-2"/>
    <s v="315"/>
    <m/>
    <n v="1"/>
    <n v="495"/>
    <n v="0.99798387096774188"/>
    <m/>
    <m/>
    <m/>
    <m/>
    <x v="0"/>
    <x v="0"/>
    <m/>
    <m/>
    <m/>
    <x v="0"/>
    <x v="0"/>
  </r>
  <r>
    <x v="546"/>
    <x v="47"/>
    <x v="42"/>
    <n v="12"/>
    <n v="6"/>
    <n v="25.6"/>
    <n v="307.20000000000005"/>
    <n v="301"/>
    <n v="1806"/>
    <n v="0.97981770833333315"/>
    <n v="1"/>
    <n v="-0.02"/>
    <s v="174"/>
    <m/>
    <n v="1"/>
    <n v="300"/>
    <n v="0.99667774086378735"/>
    <m/>
    <m/>
    <m/>
    <m/>
    <x v="0"/>
    <x v="0"/>
    <m/>
    <m/>
    <m/>
    <x v="0"/>
    <x v="0"/>
  </r>
  <r>
    <x v="546"/>
    <x v="1"/>
    <x v="1"/>
    <n v="6"/>
    <n v="6"/>
    <n v="25.7"/>
    <n v="154.19999999999999"/>
    <n v="152"/>
    <n v="912"/>
    <n v="0.9857328145265889"/>
    <n v="1"/>
    <n v="-1.4E-2"/>
    <s v="150"/>
    <m/>
    <n v="1"/>
    <n v="151"/>
    <n v="0.99342105263157898"/>
    <m/>
    <m/>
    <m/>
    <m/>
    <x v="0"/>
    <x v="0"/>
    <m/>
    <m/>
    <m/>
    <x v="0"/>
    <x v="0"/>
  </r>
  <r>
    <x v="546"/>
    <x v="53"/>
    <x v="46"/>
    <n v="8"/>
    <n v="4.5"/>
    <n v="34.5"/>
    <n v="276"/>
    <n v="280"/>
    <n v="1260"/>
    <n v="1.0144927536231885"/>
    <n v="1"/>
    <n v="1.4E-2"/>
    <s v="190"/>
    <m/>
    <n v="0"/>
    <n v="280"/>
    <n v="1"/>
    <m/>
    <m/>
    <s v=""/>
    <m/>
    <x v="0"/>
    <x v="0"/>
    <m/>
    <m/>
    <m/>
    <x v="0"/>
    <x v="0"/>
  </r>
  <r>
    <x v="546"/>
    <x v="67"/>
    <x v="58"/>
    <n v="12"/>
    <n v="4.5"/>
    <n v="33.200000000000003"/>
    <n v="398.40000000000003"/>
    <n v="427"/>
    <n v="1921.5"/>
    <n v="1.0717871485943775"/>
    <n v="1"/>
    <n v="7.1999999999999995E-2"/>
    <s v="210"/>
    <m/>
    <n v="0"/>
    <n v="427"/>
    <n v="1"/>
    <m/>
    <m/>
    <m/>
    <m/>
    <x v="0"/>
    <x v="0"/>
    <m/>
    <m/>
    <m/>
    <x v="0"/>
    <x v="0"/>
  </r>
  <r>
    <x v="546"/>
    <x v="4"/>
    <x v="4"/>
    <n v="12"/>
    <n v="4.5"/>
    <n v="34.5"/>
    <n v="414"/>
    <n v="430"/>
    <n v="1935"/>
    <n v="1.038647342995169"/>
    <n v="1"/>
    <n v="3.9E-2"/>
    <s v="212"/>
    <m/>
    <n v="0"/>
    <n v="430"/>
    <n v="1"/>
    <m/>
    <m/>
    <s v=""/>
    <m/>
    <x v="0"/>
    <x v="0"/>
    <m/>
    <m/>
    <m/>
    <x v="0"/>
    <x v="0"/>
  </r>
  <r>
    <x v="546"/>
    <x v="34"/>
    <x v="32"/>
    <n v="12"/>
    <n v="0.34"/>
    <n v="358.3"/>
    <n v="4299.6000000000004"/>
    <n v="4189"/>
    <n v="1424.26"/>
    <n v="0.97427667690017672"/>
    <n v="1"/>
    <n v="-2.5999999999999999E-2"/>
    <s v="205"/>
    <m/>
    <n v="3"/>
    <n v="4186"/>
    <n v="0.99928383862497017"/>
    <m/>
    <m/>
    <s v="E0120佳樂美*100箱。"/>
    <m/>
    <x v="0"/>
    <x v="0"/>
    <m/>
    <m/>
    <m/>
    <x v="0"/>
    <x v="0"/>
  </r>
  <r>
    <x v="546"/>
    <x v="23"/>
    <x v="22"/>
    <n v="12"/>
    <n v="0.34"/>
    <n v="364.6"/>
    <n v="4375.2000000000007"/>
    <n v="4320"/>
    <n v="1468.8000000000002"/>
    <n v="0.98738343390016436"/>
    <n v="1"/>
    <n v="-1.2999999999999999E-2"/>
    <s v="235"/>
    <m/>
    <n v="3"/>
    <n v="4317"/>
    <n v="0.99930555555555556"/>
    <m/>
    <m/>
    <m/>
    <m/>
    <x v="0"/>
    <x v="0"/>
    <m/>
    <m/>
    <m/>
    <x v="0"/>
    <x v="0"/>
  </r>
  <r>
    <x v="546"/>
    <x v="24"/>
    <x v="23"/>
    <n v="12"/>
    <n v="0.34"/>
    <n v="366"/>
    <n v="4392"/>
    <n v="4435"/>
    <n v="1507.9"/>
    <n v="1.0097905282331512"/>
    <n v="1"/>
    <n v="0.01"/>
    <s v="295"/>
    <m/>
    <n v="3"/>
    <n v="4432"/>
    <n v="0.99932356257046229"/>
    <m/>
    <m/>
    <s v="E0121佳樂美*300箱"/>
    <m/>
    <x v="0"/>
    <x v="0"/>
    <m/>
    <m/>
    <m/>
    <x v="0"/>
    <x v="0"/>
  </r>
  <r>
    <x v="547"/>
    <x v="71"/>
    <x v="61"/>
    <n v="4"/>
    <n v="0.17"/>
    <n v="912.6"/>
    <n v="3650.4"/>
    <n v="3552"/>
    <n v="603.84"/>
    <n v="0.9730440499671269"/>
    <n v="1"/>
    <n v="-2.7E-2"/>
    <s v="180"/>
    <m/>
    <n v="3"/>
    <n v="3549"/>
    <n v="0.99915540540540537"/>
    <m/>
    <m/>
    <m/>
    <m/>
    <x v="0"/>
    <x v="0"/>
    <m/>
    <m/>
    <m/>
    <x v="0"/>
    <x v="0"/>
  </r>
  <r>
    <x v="547"/>
    <x v="30"/>
    <x v="28"/>
    <n v="8"/>
    <n v="0.43"/>
    <n v="340.4"/>
    <n v="2723.2"/>
    <n v="2670"/>
    <n v="1148.0999999999999"/>
    <n v="0.98046415981198598"/>
    <n v="1"/>
    <n v="-0.02"/>
    <s v="205"/>
    <m/>
    <n v="7"/>
    <n v="2663"/>
    <n v="0.99737827715355809"/>
    <m/>
    <m/>
    <m/>
    <m/>
    <x v="0"/>
    <x v="0"/>
    <m/>
    <m/>
    <m/>
    <x v="0"/>
    <x v="0"/>
  </r>
  <r>
    <x v="547"/>
    <x v="26"/>
    <x v="25"/>
    <n v="20"/>
    <n v="0.9"/>
    <n v="163"/>
    <n v="3260"/>
    <n v="3182"/>
    <n v="2863.8"/>
    <n v="0.97607361963190187"/>
    <n v="1"/>
    <n v="-2.4E-2"/>
    <s v="330"/>
    <m/>
    <n v="2"/>
    <n v="3180"/>
    <n v="0.99937146448774361"/>
    <m/>
    <m/>
    <s v=""/>
    <m/>
    <x v="0"/>
    <x v="0"/>
    <m/>
    <m/>
    <m/>
    <x v="0"/>
    <x v="0"/>
  </r>
  <r>
    <x v="547"/>
    <x v="18"/>
    <x v="18"/>
    <n v="16"/>
    <n v="6"/>
    <n v="26.4"/>
    <n v="422.4"/>
    <n v="434"/>
    <n v="2604"/>
    <n v="1.0274621212121213"/>
    <n v="1"/>
    <n v="2.7E-2"/>
    <s v="230"/>
    <m/>
    <n v="3"/>
    <n v="431"/>
    <n v="0.99308755760368661"/>
    <m/>
    <m/>
    <s v=""/>
    <m/>
    <x v="0"/>
    <x v="0"/>
    <m/>
    <m/>
    <m/>
    <x v="0"/>
    <x v="0"/>
  </r>
  <r>
    <x v="547"/>
    <x v="9"/>
    <x v="9"/>
    <n v="24"/>
    <n v="6"/>
    <n v="25.7"/>
    <n v="616.79999999999995"/>
    <n v="615"/>
    <n v="3690"/>
    <n v="0.99708171206225693"/>
    <n v="1"/>
    <n v="-3.0000000000000001E-3"/>
    <s v="321"/>
    <m/>
    <n v="1"/>
    <n v="614"/>
    <n v="0.99837398373983743"/>
    <m/>
    <m/>
    <m/>
    <m/>
    <x v="0"/>
    <x v="0"/>
    <m/>
    <m/>
    <m/>
    <x v="0"/>
    <x v="0"/>
  </r>
  <r>
    <x v="547"/>
    <x v="103"/>
    <x v="39"/>
    <n v="60"/>
    <n v="2.8"/>
    <n v="44.8"/>
    <n v="2688"/>
    <n v="2644"/>
    <n v="7403.2"/>
    <n v="0.98363095238095233"/>
    <n v="1"/>
    <n v="-1.6E-2"/>
    <s v="500"/>
    <m/>
    <n v="1"/>
    <n v="2643"/>
    <n v="0.99962178517397882"/>
    <m/>
    <m/>
    <s v=""/>
    <m/>
    <x v="0"/>
    <x v="0"/>
    <m/>
    <m/>
    <m/>
    <x v="0"/>
    <x v="0"/>
  </r>
  <r>
    <x v="548"/>
    <x v="15"/>
    <x v="15"/>
    <n v="68"/>
    <n v="3.2"/>
    <n v="46.8"/>
    <n v="3182.3999999999996"/>
    <n v="3128"/>
    <n v="10009.6"/>
    <n v="0.98290598290598297"/>
    <n v="1"/>
    <n v="-1.7000000000000001E-2"/>
    <s v="540"/>
    <m/>
    <n v="4"/>
    <n v="3124"/>
    <n v="0.99872122762148341"/>
    <m/>
    <m/>
    <s v=""/>
    <m/>
    <x v="0"/>
    <x v="0"/>
    <m/>
    <m/>
    <m/>
    <x v="0"/>
    <x v="0"/>
  </r>
  <r>
    <x v="548"/>
    <x v="19"/>
    <x v="19"/>
    <n v="12"/>
    <n v="6"/>
    <n v="25.5"/>
    <n v="306"/>
    <n v="332"/>
    <n v="1992"/>
    <n v="1.0849673202614378"/>
    <n v="1"/>
    <n v="8.5000000000000006E-2"/>
    <s v="185"/>
    <m/>
    <n v="2"/>
    <n v="330"/>
    <n v="0.99397590361445787"/>
    <m/>
    <m/>
    <s v=""/>
    <m/>
    <x v="0"/>
    <x v="0"/>
    <m/>
    <m/>
    <m/>
    <x v="0"/>
    <x v="0"/>
  </r>
  <r>
    <x v="548"/>
    <x v="16"/>
    <x v="16"/>
    <n v="12"/>
    <n v="6"/>
    <n v="26.1"/>
    <n v="313.20000000000005"/>
    <n v="326"/>
    <n v="1956"/>
    <n v="1.0408684546615579"/>
    <n v="1"/>
    <n v="4.1000000000000002E-2"/>
    <s v="188"/>
    <m/>
    <n v="6"/>
    <n v="320"/>
    <n v="0.98159509202453987"/>
    <m/>
    <m/>
    <s v=""/>
    <m/>
    <x v="0"/>
    <x v="0"/>
    <m/>
    <m/>
    <m/>
    <x v="0"/>
    <x v="0"/>
  </r>
  <r>
    <x v="548"/>
    <x v="9"/>
    <x v="9"/>
    <n v="16"/>
    <n v="6"/>
    <n v="25.7"/>
    <n v="411.2"/>
    <n v="410"/>
    <n v="2460"/>
    <n v="0.99708171206225682"/>
    <n v="1"/>
    <n v="-3.0000000000000001E-3"/>
    <s v="180"/>
    <m/>
    <n v="1"/>
    <n v="409"/>
    <n v="0.9975609756097561"/>
    <m/>
    <m/>
    <m/>
    <m/>
    <x v="0"/>
    <x v="0"/>
    <m/>
    <m/>
    <m/>
    <x v="0"/>
    <x v="0"/>
  </r>
  <r>
    <x v="548"/>
    <x v="11"/>
    <x v="11"/>
    <n v="60"/>
    <n v="2.8"/>
    <n v="44.5"/>
    <n v="2316.4285714285716"/>
    <n v="2360"/>
    <n v="6608"/>
    <n v="1.0188097440641382"/>
    <n v="1"/>
    <n v="1.9E-2"/>
    <s v="500"/>
    <m/>
    <n v="1"/>
    <n v="2359"/>
    <n v="0.99957627118644066"/>
    <m/>
    <m/>
    <s v="D9920(18kg)55桶"/>
    <m/>
    <x v="0"/>
    <x v="0"/>
    <m/>
    <m/>
    <m/>
    <x v="0"/>
    <x v="0"/>
  </r>
  <r>
    <x v="549"/>
    <x v="2"/>
    <x v="2"/>
    <n v="36"/>
    <n v="6"/>
    <n v="26.6"/>
    <n v="957.6"/>
    <n v="930"/>
    <n v="5580"/>
    <n v="0.97117794486215536"/>
    <n v="1"/>
    <n v="-2.9000000000000001E-2"/>
    <s v="510"/>
    <m/>
    <n v="2"/>
    <n v="928"/>
    <n v="0.99784946236559136"/>
    <m/>
    <m/>
    <s v=""/>
    <m/>
    <x v="0"/>
    <x v="0"/>
    <m/>
    <m/>
    <m/>
    <x v="0"/>
    <x v="0"/>
  </r>
  <r>
    <x v="549"/>
    <x v="77"/>
    <x v="69"/>
    <n v="3"/>
    <n v="4.5"/>
    <n v="32.9"/>
    <n v="98.699999999999989"/>
    <n v="101"/>
    <n v="454.5"/>
    <n v="1.0233029381965553"/>
    <n v="1"/>
    <n v="2.3E-2"/>
    <s v="125"/>
    <m/>
    <n v="0"/>
    <n v="101"/>
    <n v="1"/>
    <m/>
    <m/>
    <s v=""/>
    <m/>
    <x v="0"/>
    <x v="0"/>
    <m/>
    <m/>
    <m/>
    <x v="0"/>
    <x v="0"/>
  </r>
  <r>
    <x v="549"/>
    <x v="65"/>
    <x v="56"/>
    <n v="12"/>
    <n v="9.5"/>
    <n v="16.600000000000001"/>
    <n v="199.20000000000002"/>
    <n v="195"/>
    <n v="1852.5"/>
    <n v="0.97891566265060237"/>
    <n v="1"/>
    <n v="-2.1000000000000001E-2"/>
    <s v="209"/>
    <m/>
    <n v="0"/>
    <n v="195"/>
    <n v="1"/>
    <m/>
    <m/>
    <s v=""/>
    <m/>
    <x v="0"/>
    <x v="0"/>
    <m/>
    <m/>
    <m/>
    <x v="0"/>
    <x v="0"/>
  </r>
  <r>
    <x v="549"/>
    <x v="9"/>
    <x v="9"/>
    <n v="20"/>
    <n v="6"/>
    <n v="25.7"/>
    <n v="514"/>
    <n v="509"/>
    <n v="3054"/>
    <n v="0.99027237354085607"/>
    <n v="1"/>
    <n v="-0.01"/>
    <s v="291"/>
    <m/>
    <n v="1"/>
    <n v="508"/>
    <n v="0.99803536345776034"/>
    <m/>
    <m/>
    <m/>
    <m/>
    <x v="0"/>
    <x v="0"/>
    <m/>
    <m/>
    <m/>
    <x v="0"/>
    <x v="0"/>
  </r>
  <r>
    <x v="549"/>
    <x v="17"/>
    <x v="17"/>
    <n v="21"/>
    <n v="3"/>
    <n v="29.7"/>
    <n v="623.69999999999993"/>
    <n v="628"/>
    <n v="1884"/>
    <n v="1.0068943402276738"/>
    <n v="1"/>
    <n v="7.0000000000000001E-3"/>
    <s v="510"/>
    <m/>
    <n v="0"/>
    <n v="628"/>
    <n v="1"/>
    <m/>
    <m/>
    <s v=""/>
    <m/>
    <x v="0"/>
    <x v="0"/>
    <m/>
    <m/>
    <m/>
    <x v="0"/>
    <x v="0"/>
  </r>
  <r>
    <x v="550"/>
    <x v="15"/>
    <x v="15"/>
    <n v="68"/>
    <n v="3.2"/>
    <n v="46.8"/>
    <n v="3182.3999999999996"/>
    <n v="3150"/>
    <n v="10080"/>
    <n v="0.98981900452488703"/>
    <n v="1"/>
    <n v="-0.01"/>
    <s v="540"/>
    <m/>
    <n v="2"/>
    <n v="3148"/>
    <n v="0.99936507936507935"/>
    <m/>
    <m/>
    <s v=""/>
    <m/>
    <x v="0"/>
    <x v="0"/>
    <m/>
    <m/>
    <m/>
    <x v="0"/>
    <x v="0"/>
  </r>
  <r>
    <x v="550"/>
    <x v="50"/>
    <x v="44"/>
    <n v="12"/>
    <n v="4.5"/>
    <n v="36.799999999999997"/>
    <n v="441.59999999999997"/>
    <n v="451"/>
    <n v="2029.5"/>
    <n v="1.0212862318840581"/>
    <n v="1"/>
    <n v="2.1000000000000001E-2"/>
    <s v="258"/>
    <m/>
    <n v="0"/>
    <n v="451"/>
    <n v="1"/>
    <m/>
    <m/>
    <s v=""/>
    <m/>
    <x v="0"/>
    <x v="0"/>
    <m/>
    <m/>
    <m/>
    <x v="0"/>
    <x v="0"/>
  </r>
  <r>
    <x v="550"/>
    <x v="51"/>
    <x v="45"/>
    <n v="12"/>
    <n v="9.08"/>
    <n v="17.8"/>
    <n v="213.60000000000002"/>
    <n v="212"/>
    <n v="1924.96"/>
    <n v="0.99250936329588002"/>
    <n v="1"/>
    <n v="-7.0000000000000001E-3"/>
    <s v="204"/>
    <m/>
    <n v="0"/>
    <n v="212"/>
    <n v="1"/>
    <m/>
    <m/>
    <s v=""/>
    <m/>
    <x v="0"/>
    <x v="0"/>
    <m/>
    <m/>
    <m/>
    <x v="0"/>
    <x v="0"/>
  </r>
  <r>
    <x v="550"/>
    <x v="22"/>
    <x v="10"/>
    <n v="12"/>
    <n v="6"/>
    <n v="25.1"/>
    <n v="301.20000000000005"/>
    <n v="304"/>
    <n v="1824"/>
    <n v="1.0092961487383796"/>
    <n v="1"/>
    <n v="8.9999999999999993E-3"/>
    <s v="190"/>
    <m/>
    <n v="3"/>
    <n v="301"/>
    <n v="0.99013157894736847"/>
    <m/>
    <m/>
    <s v=""/>
    <m/>
    <x v="0"/>
    <x v="0"/>
    <m/>
    <m/>
    <m/>
    <x v="0"/>
    <x v="0"/>
  </r>
  <r>
    <x v="550"/>
    <x v="11"/>
    <x v="11"/>
    <n v="60"/>
    <n v="2.8"/>
    <n v="44.5"/>
    <n v="1962.8571428571427"/>
    <n v="1067"/>
    <n v="2987.6"/>
    <n v="0.54359534206695781"/>
    <n v="1"/>
    <n v="-0.45600000000000002"/>
    <s v="470"/>
    <m/>
    <n v="1"/>
    <n v="1066"/>
    <n v="0.99906279287722588"/>
    <m/>
    <m/>
    <s v="D9920(18kg)*110桶；D2021美芝城150箱"/>
    <m/>
    <x v="0"/>
    <x v="0"/>
    <m/>
    <m/>
    <m/>
    <x v="0"/>
    <x v="0"/>
  </r>
  <r>
    <x v="551"/>
    <x v="43"/>
    <x v="41"/>
    <n v="20"/>
    <n v="0.26"/>
    <n v="584.29999999999995"/>
    <n v="11686"/>
    <n v="11545"/>
    <n v="3001.7000000000003"/>
    <n v="0.98793428033544417"/>
    <n v="1"/>
    <n v="-1.2E-2"/>
    <s v="402"/>
    <m/>
    <n v="4"/>
    <n v="11541"/>
    <n v="0.99965352966652232"/>
    <m/>
    <m/>
    <m/>
    <m/>
    <x v="0"/>
    <x v="0"/>
    <m/>
    <m/>
    <m/>
    <x v="0"/>
    <x v="0"/>
  </r>
  <r>
    <x v="551"/>
    <x v="30"/>
    <x v="28"/>
    <n v="8"/>
    <n v="0.43"/>
    <n v="340.4"/>
    <n v="2723.2"/>
    <n v="2611"/>
    <n v="1122.73"/>
    <n v="0.95879847238542892"/>
    <n v="1"/>
    <n v="-4.1000000000000002E-2"/>
    <s v="180"/>
    <m/>
    <n v="6"/>
    <n v="2605"/>
    <n v="0.99770202987361167"/>
    <m/>
    <m/>
    <s v="麥味登*180箱(2160瓶)"/>
    <m/>
    <x v="0"/>
    <x v="0"/>
    <m/>
    <m/>
    <m/>
    <x v="0"/>
    <x v="0"/>
  </r>
  <r>
    <x v="551"/>
    <x v="9"/>
    <x v="9"/>
    <n v="20"/>
    <n v="6"/>
    <n v="25.7"/>
    <n v="514"/>
    <n v="515"/>
    <n v="3090"/>
    <n v="1.0019455252918288"/>
    <n v="1"/>
    <n v="2E-3"/>
    <s v="334"/>
    <m/>
    <n v="1"/>
    <n v="514"/>
    <n v="0.99805825242718449"/>
    <m/>
    <m/>
    <m/>
    <m/>
    <x v="0"/>
    <x v="0"/>
    <m/>
    <m/>
    <m/>
    <x v="0"/>
    <x v="0"/>
  </r>
  <r>
    <x v="551"/>
    <x v="122"/>
    <x v="111"/>
    <n v="16"/>
    <n v="6"/>
    <n v="0"/>
    <n v="0"/>
    <n v="409"/>
    <n v="2454"/>
    <s v="無法預估數據"/>
    <e v="#N/A"/>
    <s v="無法預估數據"/>
    <s v="215"/>
    <m/>
    <n v="2"/>
    <n v="407"/>
    <n v="0.99511002444987773"/>
    <m/>
    <m/>
    <s v=""/>
    <m/>
    <x v="0"/>
    <x v="0"/>
    <m/>
    <m/>
    <m/>
    <x v="0"/>
    <x v="0"/>
  </r>
  <r>
    <x v="551"/>
    <x v="46"/>
    <x v="17"/>
    <n v="21"/>
    <n v="3"/>
    <n v="31.6"/>
    <n v="663.6"/>
    <n v="668"/>
    <n v="2004"/>
    <n v="1.0066305003013862"/>
    <n v="1"/>
    <n v="7.0000000000000001E-3"/>
    <s v="570"/>
    <m/>
    <n v="0"/>
    <n v="668"/>
    <n v="1"/>
    <m/>
    <m/>
    <s v=""/>
    <m/>
    <x v="0"/>
    <x v="0"/>
    <m/>
    <m/>
    <m/>
    <x v="0"/>
    <x v="0"/>
  </r>
  <r>
    <x v="552"/>
    <x v="27"/>
    <x v="26"/>
    <n v="68"/>
    <n v="3.2"/>
    <n v="47.5"/>
    <n v="3230"/>
    <n v="3137"/>
    <n v="10038.400000000001"/>
    <n v="0.97120743034055723"/>
    <n v="1"/>
    <n v="-2.9000000000000001E-2"/>
    <s v="540"/>
    <m/>
    <n v="2"/>
    <n v="3135"/>
    <n v="0.99936244819891618"/>
    <m/>
    <m/>
    <s v=""/>
    <m/>
    <x v="0"/>
    <x v="0"/>
    <m/>
    <m/>
    <m/>
    <x v="0"/>
    <x v="0"/>
  </r>
  <r>
    <x v="552"/>
    <x v="45"/>
    <x v="10"/>
    <n v="8"/>
    <n v="6"/>
    <n v="26.4"/>
    <n v="211.2"/>
    <n v="203"/>
    <n v="1218"/>
    <n v="0.96117424242424243"/>
    <n v="1"/>
    <n v="-3.9E-2"/>
    <s v="182"/>
    <m/>
    <n v="1"/>
    <n v="202"/>
    <n v="0.99507389162561577"/>
    <m/>
    <m/>
    <s v=""/>
    <m/>
    <x v="0"/>
    <x v="0"/>
    <m/>
    <m/>
    <m/>
    <x v="0"/>
    <x v="0"/>
  </r>
  <r>
    <x v="552"/>
    <x v="9"/>
    <x v="9"/>
    <n v="16"/>
    <n v="6"/>
    <n v="25.7"/>
    <n v="411.2"/>
    <n v="407"/>
    <n v="2442"/>
    <n v="0.98978599221789887"/>
    <n v="1"/>
    <n v="-0.01"/>
    <s v="210"/>
    <m/>
    <n v="1"/>
    <n v="406"/>
    <n v="0.99754299754299758"/>
    <m/>
    <m/>
    <m/>
    <m/>
    <x v="0"/>
    <x v="0"/>
    <m/>
    <m/>
    <m/>
    <x v="0"/>
    <x v="0"/>
  </r>
  <r>
    <x v="552"/>
    <x v="10"/>
    <x v="10"/>
    <n v="12"/>
    <n v="6"/>
    <n v="25.4"/>
    <n v="304.79999999999995"/>
    <n v="303"/>
    <n v="1818"/>
    <n v="0.9940944881889765"/>
    <n v="1"/>
    <n v="-6.0000000000000001E-3"/>
    <s v="185"/>
    <m/>
    <n v="1"/>
    <n v="302"/>
    <n v="0.99669966996699666"/>
    <m/>
    <m/>
    <m/>
    <m/>
    <x v="0"/>
    <x v="0"/>
    <m/>
    <m/>
    <m/>
    <x v="0"/>
    <x v="0"/>
  </r>
  <r>
    <x v="552"/>
    <x v="11"/>
    <x v="11"/>
    <n v="28"/>
    <n v="2.8"/>
    <n v="44.5"/>
    <n v="1246"/>
    <n v="1281"/>
    <n v="3586.7999999999997"/>
    <n v="1.0280898876404494"/>
    <n v="1"/>
    <n v="2.8000000000000001E-2"/>
    <s v="250"/>
    <m/>
    <n v="1"/>
    <n v="1280"/>
    <n v="0.99921935987509758"/>
    <m/>
    <m/>
    <s v=""/>
    <m/>
    <x v="0"/>
    <x v="0"/>
    <m/>
    <m/>
    <m/>
    <x v="0"/>
    <x v="0"/>
  </r>
  <r>
    <x v="552"/>
    <x v="103"/>
    <x v="39"/>
    <n v="28"/>
    <n v="2.8"/>
    <n v="44.8"/>
    <n v="1254.3999999999999"/>
    <n v="1281"/>
    <n v="3586.7999999999997"/>
    <n v="1.0212053571428572"/>
    <n v="1"/>
    <n v="2.1000000000000001E-2"/>
    <s v="280"/>
    <m/>
    <n v="1"/>
    <n v="1280"/>
    <n v="0.99921935987509758"/>
    <m/>
    <m/>
    <s v=""/>
    <m/>
    <x v="0"/>
    <x v="0"/>
    <m/>
    <m/>
    <m/>
    <x v="0"/>
    <x v="0"/>
  </r>
  <r>
    <x v="553"/>
    <x v="16"/>
    <x v="16"/>
    <n v="16"/>
    <n v="6"/>
    <n v="26.1"/>
    <n v="417.6"/>
    <n v="432"/>
    <n v="2592"/>
    <n v="1.0344827586206895"/>
    <n v="1"/>
    <n v="3.4000000000000002E-2"/>
    <s v="220"/>
    <m/>
    <n v="8"/>
    <n v="424"/>
    <n v="0.98148148148148151"/>
    <m/>
    <m/>
    <s v=""/>
    <m/>
    <x v="0"/>
    <x v="0"/>
    <m/>
    <m/>
    <m/>
    <x v="0"/>
    <x v="0"/>
  </r>
  <r>
    <x v="553"/>
    <x v="9"/>
    <x v="9"/>
    <n v="20"/>
    <n v="6"/>
    <n v="25.7"/>
    <n v="514"/>
    <n v="522"/>
    <n v="3132"/>
    <n v="1.0155642023346303"/>
    <n v="1"/>
    <n v="1.6E-2"/>
    <s v="325"/>
    <m/>
    <n v="1"/>
    <n v="521"/>
    <n v="0.99808429118773945"/>
    <m/>
    <m/>
    <m/>
    <m/>
    <x v="0"/>
    <x v="0"/>
    <m/>
    <m/>
    <m/>
    <x v="0"/>
    <x v="0"/>
  </r>
  <r>
    <x v="553"/>
    <x v="17"/>
    <x v="17"/>
    <n v="21"/>
    <n v="3"/>
    <n v="29.7"/>
    <n v="623.69999999999993"/>
    <n v="628"/>
    <n v="1884"/>
    <n v="1.0068943402276738"/>
    <n v="1"/>
    <n v="7.0000000000000001E-3"/>
    <s v="510"/>
    <m/>
    <n v="0"/>
    <n v="628"/>
    <n v="1"/>
    <m/>
    <m/>
    <s v=""/>
    <m/>
    <x v="0"/>
    <x v="0"/>
    <m/>
    <m/>
    <m/>
    <x v="0"/>
    <x v="0"/>
  </r>
  <r>
    <x v="553"/>
    <x v="103"/>
    <x v="39"/>
    <n v="60"/>
    <n v="2.8"/>
    <n v="44.8"/>
    <n v="2688"/>
    <n v="2708"/>
    <n v="7582.4"/>
    <n v="1.0074404761904763"/>
    <n v="1"/>
    <n v="7.0000000000000001E-3"/>
    <s v="535"/>
    <m/>
    <n v="1"/>
    <n v="2707"/>
    <n v="0.99963072378138851"/>
    <m/>
    <m/>
    <s v=""/>
    <m/>
    <x v="0"/>
    <x v="0"/>
    <m/>
    <m/>
    <m/>
    <x v="0"/>
    <x v="0"/>
  </r>
  <r>
    <x v="553"/>
    <x v="97"/>
    <x v="88"/>
    <n v="50"/>
    <n v="1"/>
    <n v="6"/>
    <n v="300"/>
    <n v="302"/>
    <n v="302"/>
    <n v="1.0066666666666666"/>
    <n v="1"/>
    <n v="7.0000000000000001E-3"/>
    <s v="0"/>
    <m/>
    <n v="0"/>
    <n v="302"/>
    <n v="1"/>
    <m/>
    <m/>
    <m/>
    <m/>
    <x v="0"/>
    <x v="0"/>
    <m/>
    <m/>
    <m/>
    <x v="0"/>
    <x v="0"/>
  </r>
  <r>
    <x v="554"/>
    <x v="21"/>
    <x v="21"/>
    <n v="28"/>
    <n v="3.2"/>
    <n v="46.4"/>
    <n v="1299.2"/>
    <n v="1263"/>
    <n v="4041.6000000000004"/>
    <n v="0.97213669950738912"/>
    <n v="1"/>
    <n v="-2.8000000000000001E-2"/>
    <s v="300"/>
    <m/>
    <n v="1"/>
    <n v="1262"/>
    <n v="0.99920823436262862"/>
    <m/>
    <m/>
    <s v=""/>
    <m/>
    <x v="0"/>
    <x v="0"/>
    <m/>
    <m/>
    <m/>
    <x v="0"/>
    <x v="0"/>
  </r>
  <r>
    <x v="554"/>
    <x v="2"/>
    <x v="2"/>
    <n v="20"/>
    <n v="6"/>
    <n v="26.6"/>
    <n v="532"/>
    <n v="520"/>
    <n v="3120"/>
    <n v="0.97744360902255634"/>
    <n v="1"/>
    <n v="-2.3E-2"/>
    <s v="300"/>
    <m/>
    <n v="4"/>
    <n v="516"/>
    <n v="0.99230769230769234"/>
    <m/>
    <m/>
    <s v=""/>
    <m/>
    <x v="0"/>
    <x v="0"/>
    <m/>
    <m/>
    <m/>
    <x v="0"/>
    <x v="0"/>
  </r>
  <r>
    <x v="554"/>
    <x v="11"/>
    <x v="11"/>
    <n v="24"/>
    <n v="2.8"/>
    <n v="44.5"/>
    <n v="1068"/>
    <n v="1036"/>
    <n v="2900.7999999999997"/>
    <n v="0.97003745318352064"/>
    <n v="1"/>
    <n v="-0.03"/>
    <s v="235"/>
    <m/>
    <n v="1"/>
    <n v="1035"/>
    <n v="0.99903474903474898"/>
    <m/>
    <m/>
    <s v=""/>
    <m/>
    <x v="0"/>
    <x v="0"/>
    <m/>
    <m/>
    <m/>
    <x v="0"/>
    <x v="0"/>
  </r>
  <r>
    <x v="555"/>
    <x v="15"/>
    <x v="15"/>
    <n v="68"/>
    <n v="3.2"/>
    <n v="46.8"/>
    <n v="3182.3999999999996"/>
    <n v="3151"/>
    <n v="10083.200000000001"/>
    <n v="0.99013323278029175"/>
    <n v="1"/>
    <n v="-0.01"/>
    <s v="540"/>
    <m/>
    <n v="2"/>
    <n v="3149"/>
    <n v="0.99936528086321808"/>
    <m/>
    <m/>
    <s v=""/>
    <m/>
    <x v="0"/>
    <x v="0"/>
    <m/>
    <m/>
    <m/>
    <x v="0"/>
    <x v="0"/>
  </r>
  <r>
    <x v="555"/>
    <x v="9"/>
    <x v="9"/>
    <n v="20"/>
    <n v="6"/>
    <n v="25.7"/>
    <n v="514"/>
    <n v="509"/>
    <n v="3054"/>
    <n v="0.99027237354085607"/>
    <n v="1"/>
    <n v="-0.01"/>
    <s v="275"/>
    <m/>
    <n v="1"/>
    <n v="508"/>
    <n v="0.99803536345776034"/>
    <m/>
    <m/>
    <m/>
    <m/>
    <x v="0"/>
    <x v="0"/>
    <m/>
    <m/>
    <m/>
    <x v="0"/>
    <x v="0"/>
  </r>
  <r>
    <x v="555"/>
    <x v="2"/>
    <x v="2"/>
    <n v="12"/>
    <n v="6"/>
    <n v="26.6"/>
    <n v="319.20000000000005"/>
    <n v="313"/>
    <n v="1878"/>
    <n v="0.98057644110275677"/>
    <n v="1"/>
    <n v="-1.9E-2"/>
    <s v="160"/>
    <m/>
    <n v="2"/>
    <n v="311"/>
    <n v="0.99361022364217255"/>
    <m/>
    <m/>
    <m/>
    <m/>
    <x v="0"/>
    <x v="0"/>
    <m/>
    <m/>
    <m/>
    <x v="0"/>
    <x v="0"/>
  </r>
  <r>
    <x v="555"/>
    <x v="130"/>
    <x v="114"/>
    <n v="6"/>
    <n v="6"/>
    <n v="0"/>
    <n v="0"/>
    <n v="157"/>
    <n v="942"/>
    <s v="無法預估數據"/>
    <e v="#N/A"/>
    <s v="無法預估數據"/>
    <s v="150"/>
    <m/>
    <n v="2"/>
    <n v="155"/>
    <n v="0.98726114649681529"/>
    <m/>
    <m/>
    <m/>
    <m/>
    <x v="0"/>
    <x v="0"/>
    <m/>
    <m/>
    <m/>
    <x v="0"/>
    <x v="0"/>
  </r>
  <r>
    <x v="555"/>
    <x v="6"/>
    <x v="6"/>
    <n v="36"/>
    <n v="0.4"/>
    <n v="309.2"/>
    <n v="11131.199999999999"/>
    <n v="11031"/>
    <n v="4412.4000000000005"/>
    <n v="0.99099827511858574"/>
    <n v="1"/>
    <n v="-8.9999999999999993E-3"/>
    <s v="500"/>
    <m/>
    <n v="3"/>
    <n v="11028"/>
    <n v="0.99972803916236064"/>
    <m/>
    <m/>
    <m/>
    <m/>
    <x v="0"/>
    <x v="0"/>
    <m/>
    <m/>
    <m/>
    <x v="0"/>
    <x v="0"/>
  </r>
  <r>
    <x v="555"/>
    <x v="94"/>
    <x v="85"/>
    <n v="1"/>
    <n v="1"/>
    <n v="591"/>
    <n v="591"/>
    <n v="607"/>
    <n v="607"/>
    <n v="1.027072758037225"/>
    <n v="1"/>
    <n v="2.7E-2"/>
    <s v="0"/>
    <m/>
    <n v="0"/>
    <n v="607"/>
    <n v="1"/>
    <m/>
    <m/>
    <m/>
    <m/>
    <x v="0"/>
    <x v="0"/>
    <m/>
    <m/>
    <m/>
    <x v="0"/>
    <x v="0"/>
  </r>
  <r>
    <x v="556"/>
    <x v="8"/>
    <x v="8"/>
    <n v="28"/>
    <n v="0.44"/>
    <n v="344"/>
    <n v="9632"/>
    <n v="9425"/>
    <n v="4147"/>
    <n v="0.97850913621262459"/>
    <n v="1"/>
    <n v="-2.1000000000000001E-2"/>
    <s v="420"/>
    <m/>
    <n v="7"/>
    <n v="9418"/>
    <n v="0.99925729442970823"/>
    <m/>
    <m/>
    <m/>
    <m/>
    <x v="0"/>
    <x v="0"/>
    <m/>
    <m/>
    <m/>
    <x v="0"/>
    <x v="0"/>
  </r>
  <r>
    <x v="556"/>
    <x v="81"/>
    <x v="73"/>
    <n v="6"/>
    <n v="0.4"/>
    <n v="366.4"/>
    <n v="2198.3999999999996"/>
    <n v="2200"/>
    <n v="880"/>
    <n v="1.0007278020378458"/>
    <n v="1"/>
    <n v="1E-3"/>
    <s v="220"/>
    <m/>
    <n v="5"/>
    <n v="2195"/>
    <n v="0.99772727272727268"/>
    <m/>
    <m/>
    <m/>
    <m/>
    <x v="0"/>
    <x v="0"/>
    <m/>
    <m/>
    <m/>
    <x v="0"/>
    <x v="0"/>
  </r>
  <r>
    <x v="556"/>
    <x v="5"/>
    <x v="5"/>
    <n v="12"/>
    <n v="9.08"/>
    <n v="17.3"/>
    <n v="207.60000000000002"/>
    <n v="205"/>
    <n v="1861.4"/>
    <n v="0.98747591522157985"/>
    <n v="1"/>
    <n v="-1.2999999999999999E-2"/>
    <s v="210"/>
    <m/>
    <n v="0"/>
    <n v="205"/>
    <n v="1"/>
    <m/>
    <m/>
    <m/>
    <m/>
    <x v="0"/>
    <x v="0"/>
    <m/>
    <m/>
    <m/>
    <x v="0"/>
    <x v="0"/>
  </r>
  <r>
    <x v="556"/>
    <x v="9"/>
    <x v="9"/>
    <n v="12"/>
    <n v="6"/>
    <n v="25.7"/>
    <n v="308.39999999999998"/>
    <n v="306"/>
    <n v="1836"/>
    <n v="0.99221789883268485"/>
    <n v="1"/>
    <n v="-8.0000000000000002E-3"/>
    <s v="196"/>
    <m/>
    <n v="1"/>
    <n v="305"/>
    <n v="0.99673202614379086"/>
    <m/>
    <m/>
    <m/>
    <m/>
    <x v="0"/>
    <x v="0"/>
    <m/>
    <m/>
    <m/>
    <x v="0"/>
    <x v="0"/>
  </r>
  <r>
    <x v="556"/>
    <x v="19"/>
    <x v="19"/>
    <n v="12"/>
    <n v="6"/>
    <n v="25.5"/>
    <n v="306"/>
    <n v="333"/>
    <n v="1998"/>
    <n v="1.088235294117647"/>
    <n v="1"/>
    <n v="8.7999999999999995E-2"/>
    <s v="175"/>
    <m/>
    <n v="1"/>
    <n v="332"/>
    <n v="0.99699699699699695"/>
    <m/>
    <m/>
    <m/>
    <m/>
    <x v="0"/>
    <x v="0"/>
    <m/>
    <m/>
    <m/>
    <x v="0"/>
    <x v="0"/>
  </r>
  <r>
    <x v="556"/>
    <x v="12"/>
    <x v="12"/>
    <n v="20"/>
    <n v="0.8"/>
    <n v="157.69999999999999"/>
    <n v="3154"/>
    <n v="3163"/>
    <n v="2530.4"/>
    <n v="1.0028535193405199"/>
    <n v="1"/>
    <n v="3.0000000000000001E-3"/>
    <s v="300"/>
    <m/>
    <n v="2"/>
    <n v="3161"/>
    <n v="0.99936768890294025"/>
    <m/>
    <m/>
    <s v=""/>
    <m/>
    <x v="0"/>
    <x v="0"/>
    <m/>
    <m/>
    <m/>
    <x v="0"/>
    <x v="0"/>
  </r>
  <r>
    <x v="556"/>
    <x v="61"/>
    <x v="33"/>
    <n v="28"/>
    <n v="18"/>
    <n v="6.9"/>
    <n v="193.20000000000002"/>
    <n v="197"/>
    <n v="3546"/>
    <n v="1.0196687370600412"/>
    <n v="1"/>
    <n v="0.02"/>
    <s v="250"/>
    <m/>
    <n v="0"/>
    <n v="197"/>
    <n v="1"/>
    <m/>
    <m/>
    <s v=""/>
    <m/>
    <x v="0"/>
    <x v="0"/>
    <m/>
    <m/>
    <m/>
    <x v="0"/>
    <x v="0"/>
  </r>
  <r>
    <x v="557"/>
    <x v="13"/>
    <x v="13"/>
    <n v="36"/>
    <n v="0.9"/>
    <n v="160.5"/>
    <n v="5778"/>
    <n v="5789"/>
    <n v="5210.1000000000004"/>
    <n v="1.0019037729318103"/>
    <n v="1"/>
    <n v="2E-3"/>
    <s v="540"/>
    <m/>
    <n v="2"/>
    <n v="5787"/>
    <n v="0.99965451718776988"/>
    <m/>
    <m/>
    <s v="，D2010美芝城*50箱。"/>
    <m/>
    <x v="0"/>
    <x v="0"/>
    <m/>
    <m/>
    <m/>
    <x v="0"/>
    <x v="0"/>
  </r>
  <r>
    <x v="557"/>
    <x v="18"/>
    <x v="18"/>
    <n v="16"/>
    <n v="6"/>
    <n v="26.4"/>
    <n v="422.4"/>
    <n v="431"/>
    <n v="2586"/>
    <n v="1.0203598484848486"/>
    <n v="1"/>
    <n v="0.02"/>
    <s v="303"/>
    <m/>
    <n v="1"/>
    <n v="430"/>
    <n v="0.99767981438515085"/>
    <m/>
    <m/>
    <s v=""/>
    <m/>
    <x v="0"/>
    <x v="0"/>
    <m/>
    <m/>
    <m/>
    <x v="0"/>
    <x v="0"/>
  </r>
  <r>
    <x v="557"/>
    <x v="16"/>
    <x v="16"/>
    <n v="16"/>
    <n v="6"/>
    <n v="26.1"/>
    <n v="417.6"/>
    <n v="424"/>
    <n v="2544"/>
    <n v="1.0153256704980842"/>
    <n v="1"/>
    <n v="1.4999999999999999E-2"/>
    <s v="255"/>
    <m/>
    <n v="3"/>
    <n v="421"/>
    <n v="0.99292452830188682"/>
    <m/>
    <m/>
    <s v=""/>
    <m/>
    <x v="0"/>
    <x v="0"/>
    <m/>
    <m/>
    <m/>
    <x v="0"/>
    <x v="0"/>
  </r>
  <r>
    <x v="557"/>
    <x v="23"/>
    <x v="22"/>
    <n v="32"/>
    <n v="0.34"/>
    <n v="364.6"/>
    <n v="11667.2"/>
    <n v="11342"/>
    <n v="3856.28"/>
    <n v="0.97212698848052659"/>
    <n v="1"/>
    <n v="-2.8000000000000001E-2"/>
    <s v="460"/>
    <m/>
    <n v="3"/>
    <n v="11339"/>
    <n v="0.99973549638511727"/>
    <m/>
    <m/>
    <m/>
    <m/>
    <x v="0"/>
    <x v="0"/>
    <m/>
    <m/>
    <m/>
    <x v="0"/>
    <x v="0"/>
  </r>
  <r>
    <x v="558"/>
    <x v="75"/>
    <x v="65"/>
    <n v="3"/>
    <n v="0.19"/>
    <n v="759.3"/>
    <n v="2277.8999999999996"/>
    <n v="2248"/>
    <n v="427.12"/>
    <n v="0.98687387506036273"/>
    <n v="1"/>
    <n v="-1.2999999999999999E-2"/>
    <s v="210"/>
    <m/>
    <n v="7"/>
    <n v="2241"/>
    <n v="0.99688612099644125"/>
    <m/>
    <m/>
    <s v=""/>
    <m/>
    <x v="0"/>
    <x v="0"/>
    <m/>
    <m/>
    <m/>
    <x v="0"/>
    <x v="0"/>
  </r>
  <r>
    <x v="558"/>
    <x v="30"/>
    <x v="28"/>
    <n v="16"/>
    <n v="0.43"/>
    <n v="340.4"/>
    <n v="5446.4"/>
    <n v="5257"/>
    <n v="2260.5099999999998"/>
    <n v="0.96522473560517041"/>
    <n v="1"/>
    <n v="-3.5000000000000003E-2"/>
    <s v="300"/>
    <m/>
    <n v="10"/>
    <n v="5247"/>
    <n v="0.99809777439604341"/>
    <m/>
    <m/>
    <s v="，麥味登360箱(4320瓶)"/>
    <m/>
    <x v="0"/>
    <x v="0"/>
    <m/>
    <m/>
    <m/>
    <x v="0"/>
    <x v="0"/>
  </r>
  <r>
    <x v="558"/>
    <x v="55"/>
    <x v="48"/>
    <n v="56"/>
    <n v="18"/>
    <n v="6.9"/>
    <n v="386.40000000000003"/>
    <n v="389"/>
    <n v="7002"/>
    <n v="1.0067287784679089"/>
    <n v="1"/>
    <n v="7.0000000000000001E-3"/>
    <s v="475"/>
    <m/>
    <n v="2"/>
    <n v="387"/>
    <n v="0.99485861182519275"/>
    <m/>
    <m/>
    <s v=""/>
    <m/>
    <x v="0"/>
    <x v="0"/>
    <m/>
    <m/>
    <m/>
    <x v="0"/>
    <x v="0"/>
  </r>
  <r>
    <x v="559"/>
    <x v="15"/>
    <x v="15"/>
    <n v="68"/>
    <n v="3.2"/>
    <n v="46.8"/>
    <n v="3182.3999999999996"/>
    <n v="3146"/>
    <n v="10067.200000000001"/>
    <n v="0.98856209150326813"/>
    <n v="1"/>
    <n v="-1.0999999999999999E-2"/>
    <s v="540"/>
    <m/>
    <n v="2"/>
    <n v="3144"/>
    <n v="0.99936427209154477"/>
    <m/>
    <m/>
    <s v=""/>
    <m/>
    <x v="0"/>
    <x v="0"/>
    <m/>
    <m/>
    <m/>
    <x v="0"/>
    <x v="0"/>
  </r>
  <r>
    <x v="559"/>
    <x v="2"/>
    <x v="2"/>
    <n v="20"/>
    <n v="6"/>
    <n v="26.6"/>
    <n v="532"/>
    <n v="524"/>
    <n v="3144"/>
    <n v="0.98496240601503759"/>
    <n v="1"/>
    <n v="-1.4999999999999999E-2"/>
    <s v="250"/>
    <m/>
    <n v="4"/>
    <n v="520"/>
    <n v="0.99236641221374045"/>
    <m/>
    <m/>
    <s v=""/>
    <m/>
    <x v="0"/>
    <x v="0"/>
    <m/>
    <m/>
    <m/>
    <x v="0"/>
    <x v="0"/>
  </r>
  <r>
    <x v="559"/>
    <x v="0"/>
    <x v="0"/>
    <n v="16"/>
    <n v="6"/>
    <n v="25.5"/>
    <n v="408"/>
    <n v="413"/>
    <n v="2478"/>
    <n v="1.0122549019607843"/>
    <n v="1"/>
    <n v="1.2E-2"/>
    <s v="340"/>
    <m/>
    <n v="3"/>
    <n v="410"/>
    <n v="0.99273607748184023"/>
    <m/>
    <m/>
    <s v=""/>
    <m/>
    <x v="0"/>
    <x v="0"/>
    <m/>
    <m/>
    <m/>
    <x v="0"/>
    <x v="0"/>
  </r>
  <r>
    <x v="559"/>
    <x v="78"/>
    <x v="70"/>
    <n v="8"/>
    <n v="0.28999999999999998"/>
    <n v="388"/>
    <n v="3104"/>
    <n v="3345"/>
    <n v="970.05"/>
    <n v="1.0776417525773196"/>
    <n v="1"/>
    <n v="7.8E-2"/>
    <s v="235"/>
    <m/>
    <n v="4"/>
    <n v="3341"/>
    <n v="0.99880418535127058"/>
    <m/>
    <m/>
    <m/>
    <m/>
    <x v="0"/>
    <x v="0"/>
    <m/>
    <m/>
    <m/>
    <x v="0"/>
    <x v="0"/>
  </r>
  <r>
    <x v="559"/>
    <x v="64"/>
    <x v="55"/>
    <n v="8"/>
    <n v="0.28999999999999998"/>
    <n v="412.6"/>
    <n v="3300.8"/>
    <n v="3462"/>
    <n v="1003.9799999999999"/>
    <n v="1.0488366456616578"/>
    <n v="1"/>
    <n v="4.9000000000000002E-2"/>
    <s v="385"/>
    <m/>
    <n v="11"/>
    <n v="3451"/>
    <n v="0.99682264586943958"/>
    <m/>
    <m/>
    <m/>
    <m/>
    <x v="0"/>
    <x v="0"/>
    <m/>
    <m/>
    <m/>
    <x v="0"/>
    <x v="0"/>
  </r>
  <r>
    <x v="560"/>
    <x v="87"/>
    <x v="79"/>
    <n v="2"/>
    <n v="1"/>
    <n v="243"/>
    <n v="486"/>
    <n v="403"/>
    <n v="403"/>
    <n v="0.82921810699588472"/>
    <n v="1"/>
    <n v="-0.17100000000000001"/>
    <s v="0"/>
    <m/>
    <n v="33"/>
    <n v="370"/>
    <n v="0.91811414392059554"/>
    <m/>
    <m/>
    <s v=""/>
    <m/>
    <x v="0"/>
    <x v="0"/>
    <m/>
    <m/>
    <m/>
    <x v="0"/>
    <x v="0"/>
  </r>
  <r>
    <x v="561"/>
    <x v="133"/>
    <x v="115"/>
    <n v="24"/>
    <n v="4.5"/>
    <n v="33.200000000000003"/>
    <n v="796.80000000000007"/>
    <n v="846"/>
    <n v="3807"/>
    <n v="1.0617469879518071"/>
    <e v="#N/A"/>
    <e v="#N/A"/>
    <s v="435"/>
    <m/>
    <n v="0"/>
    <n v="846"/>
    <n v="1"/>
    <m/>
    <m/>
    <s v=""/>
    <m/>
    <x v="0"/>
    <x v="0"/>
    <m/>
    <m/>
    <m/>
    <x v="0"/>
    <x v="0"/>
  </r>
  <r>
    <x v="561"/>
    <x v="1"/>
    <x v="1"/>
    <n v="6"/>
    <n v="6"/>
    <n v="25.7"/>
    <n v="154.19999999999999"/>
    <n v="153"/>
    <n v="918"/>
    <n v="0.99221789883268485"/>
    <n v="1"/>
    <n v="-8.0000000000000002E-3"/>
    <s v="176"/>
    <m/>
    <n v="3"/>
    <n v="150"/>
    <n v="0.98039215686274506"/>
    <m/>
    <m/>
    <s v=""/>
    <m/>
    <x v="0"/>
    <x v="0"/>
    <m/>
    <m/>
    <m/>
    <x v="0"/>
    <x v="0"/>
  </r>
  <r>
    <x v="561"/>
    <x v="36"/>
    <x v="34"/>
    <n v="6"/>
    <n v="6"/>
    <n v="24.3"/>
    <n v="145.80000000000001"/>
    <n v="150"/>
    <n v="900"/>
    <n v="1.0288065843621399"/>
    <n v="1"/>
    <n v="2.9000000000000001E-2"/>
    <s v="85"/>
    <m/>
    <n v="2"/>
    <n v="148"/>
    <n v="0.98666666666666669"/>
    <m/>
    <m/>
    <s v=""/>
    <m/>
    <x v="0"/>
    <x v="0"/>
    <m/>
    <m/>
    <m/>
    <x v="0"/>
    <x v="0"/>
  </r>
  <r>
    <x v="561"/>
    <x v="48"/>
    <x v="17"/>
    <n v="21"/>
    <n v="3"/>
    <n v="30.8"/>
    <n v="646.80000000000007"/>
    <n v="648"/>
    <n v="1944"/>
    <n v="1.0018552875695732"/>
    <n v="1"/>
    <n v="2E-3"/>
    <s v="540"/>
    <m/>
    <n v="0"/>
    <n v="648"/>
    <n v="1"/>
    <m/>
    <m/>
    <s v=""/>
    <m/>
    <x v="0"/>
    <x v="0"/>
    <m/>
    <m/>
    <m/>
    <x v="0"/>
    <x v="0"/>
  </r>
  <r>
    <x v="561"/>
    <x v="35"/>
    <x v="33"/>
    <n v="12"/>
    <n v="18"/>
    <n v="6.6"/>
    <n v="79.199999999999989"/>
    <n v="78"/>
    <n v="1404"/>
    <n v="0.98484848484848497"/>
    <n v="1"/>
    <n v="-1.4999999999999999E-2"/>
    <s v="150"/>
    <m/>
    <n v="0"/>
    <n v="78"/>
    <n v="1"/>
    <m/>
    <m/>
    <s v=""/>
    <m/>
    <x v="0"/>
    <x v="0"/>
    <m/>
    <m/>
    <m/>
    <x v="0"/>
    <x v="0"/>
  </r>
  <r>
    <x v="561"/>
    <x v="11"/>
    <x v="11"/>
    <n v="48"/>
    <n v="2.8"/>
    <n v="44.5"/>
    <n v="1718.1428571428571"/>
    <n v="1772"/>
    <n v="4961.5999999999995"/>
    <n v="1.0313461378564897"/>
    <n v="1"/>
    <n v="3.1E-2"/>
    <s v="395"/>
    <m/>
    <n v="1"/>
    <n v="1771"/>
    <n v="0.99943566591422117"/>
    <m/>
    <m/>
    <s v="，D9920(18kg)65桶"/>
    <m/>
    <x v="0"/>
    <x v="0"/>
    <m/>
    <m/>
    <m/>
    <x v="0"/>
    <x v="0"/>
  </r>
  <r>
    <x v="562"/>
    <x v="150"/>
    <x v="126"/>
    <n v="1"/>
    <n v="6"/>
    <n v="0"/>
    <n v="0"/>
    <n v="24"/>
    <n v="144"/>
    <s v="無法預估數據"/>
    <n v="0"/>
    <s v="無法預估數據"/>
    <s v="100"/>
    <m/>
    <n v="1"/>
    <n v="23"/>
    <n v="0.95833333333333337"/>
    <m/>
    <m/>
    <s v="(新品)"/>
    <m/>
    <x v="0"/>
    <x v="0"/>
    <m/>
    <m/>
    <m/>
    <x v="0"/>
    <x v="0"/>
  </r>
  <r>
    <x v="562"/>
    <x v="9"/>
    <x v="9"/>
    <n v="16"/>
    <n v="6"/>
    <n v="25.7"/>
    <n v="411.2"/>
    <n v="413"/>
    <n v="2478"/>
    <n v="1.0043774319066148"/>
    <n v="1"/>
    <n v="4.0000000000000001E-3"/>
    <s v="255"/>
    <m/>
    <n v="2"/>
    <n v="411"/>
    <n v="0.99515738498789341"/>
    <m/>
    <m/>
    <m/>
    <m/>
    <x v="0"/>
    <x v="0"/>
    <m/>
    <m/>
    <m/>
    <x v="0"/>
    <x v="0"/>
  </r>
  <r>
    <x v="562"/>
    <x v="16"/>
    <x v="16"/>
    <n v="16"/>
    <n v="6"/>
    <n v="26.1"/>
    <n v="417.6"/>
    <n v="424"/>
    <n v="2544"/>
    <n v="1.0153256704980842"/>
    <n v="1"/>
    <n v="1.4999999999999999E-2"/>
    <s v="215"/>
    <m/>
    <n v="2"/>
    <n v="422"/>
    <n v="0.99528301886792447"/>
    <m/>
    <m/>
    <s v=""/>
    <m/>
    <x v="0"/>
    <x v="0"/>
    <m/>
    <m/>
    <m/>
    <x v="0"/>
    <x v="0"/>
  </r>
  <r>
    <x v="562"/>
    <x v="140"/>
    <x v="10"/>
    <n v="1"/>
    <n v="6"/>
    <n v="25.4"/>
    <n v="25.4"/>
    <n v="22"/>
    <n v="132"/>
    <n v="0.86614173228346458"/>
    <e v="#N/A"/>
    <e v="#N/A"/>
    <s v="125"/>
    <m/>
    <n v="1"/>
    <n v="21"/>
    <n v="0.95454545454545459"/>
    <m/>
    <m/>
    <m/>
    <m/>
    <x v="0"/>
    <x v="0"/>
    <m/>
    <m/>
    <m/>
    <x v="0"/>
    <x v="0"/>
  </r>
  <r>
    <x v="562"/>
    <x v="46"/>
    <x v="17"/>
    <n v="15"/>
    <n v="3"/>
    <n v="31.6"/>
    <n v="474"/>
    <n v="472"/>
    <n v="1416"/>
    <n v="0.99578059071729963"/>
    <n v="1"/>
    <n v="-4.0000000000000001E-3"/>
    <s v="540"/>
    <m/>
    <n v="0"/>
    <n v="472"/>
    <n v="1"/>
    <m/>
    <m/>
    <s v=""/>
    <m/>
    <x v="0"/>
    <x v="0"/>
    <m/>
    <m/>
    <m/>
    <x v="0"/>
    <x v="0"/>
  </r>
  <r>
    <x v="562"/>
    <x v="11"/>
    <x v="11"/>
    <n v="48"/>
    <n v="2.8"/>
    <n v="44.5"/>
    <n v="2136"/>
    <n v="2162"/>
    <n v="6053.5999999999995"/>
    <n v="1.0121722846441947"/>
    <n v="1"/>
    <n v="1.2E-2"/>
    <s v="660"/>
    <m/>
    <n v="2"/>
    <n v="2160"/>
    <n v="0.99907493061979646"/>
    <m/>
    <m/>
    <s v=""/>
    <m/>
    <x v="0"/>
    <x v="0"/>
    <m/>
    <m/>
    <m/>
    <x v="0"/>
    <x v="0"/>
  </r>
  <r>
    <x v="563"/>
    <x v="81"/>
    <x v="73"/>
    <n v="6"/>
    <n v="0.4"/>
    <n v="366.4"/>
    <n v="2198.3999999999996"/>
    <n v="2213"/>
    <n v="885.2"/>
    <n v="1.0066411935953423"/>
    <n v="1"/>
    <n v="7.0000000000000001E-3"/>
    <s v="240"/>
    <m/>
    <n v="10"/>
    <n v="2203"/>
    <n v="0.99548124717577946"/>
    <m/>
    <m/>
    <s v=""/>
    <m/>
    <x v="0"/>
    <x v="0"/>
    <m/>
    <m/>
    <m/>
    <x v="0"/>
    <x v="0"/>
  </r>
  <r>
    <x v="563"/>
    <x v="8"/>
    <x v="8"/>
    <n v="20"/>
    <n v="0.44"/>
    <n v="344"/>
    <n v="6880"/>
    <n v="6765"/>
    <n v="2976.6"/>
    <n v="0.98328488372093026"/>
    <n v="1"/>
    <n v="-1.7000000000000001E-2"/>
    <s v="300"/>
    <m/>
    <n v="7"/>
    <n v="6758"/>
    <n v="0.99896526237989658"/>
    <m/>
    <m/>
    <m/>
    <m/>
    <x v="0"/>
    <x v="0"/>
    <m/>
    <m/>
    <m/>
    <x v="0"/>
    <x v="0"/>
  </r>
  <r>
    <x v="563"/>
    <x v="140"/>
    <x v="10"/>
    <n v="24"/>
    <n v="6"/>
    <n v="25.4"/>
    <n v="609.59999999999991"/>
    <n v="626"/>
    <n v="3756"/>
    <n v="1.0269028871391077"/>
    <e v="#N/A"/>
    <e v="#N/A"/>
    <s v="390"/>
    <m/>
    <n v="4"/>
    <n v="622"/>
    <n v="0.99361022364217255"/>
    <m/>
    <m/>
    <m/>
    <m/>
    <x v="0"/>
    <x v="0"/>
    <m/>
    <m/>
    <m/>
    <x v="0"/>
    <x v="0"/>
  </r>
  <r>
    <x v="563"/>
    <x v="150"/>
    <x v="126"/>
    <n v="12"/>
    <n v="6"/>
    <n v="0"/>
    <n v="0"/>
    <n v="318"/>
    <n v="1908"/>
    <s v="無法預估數據"/>
    <n v="0"/>
    <s v="無法預估數據"/>
    <s v="205"/>
    <m/>
    <n v="2"/>
    <n v="316"/>
    <n v="0.99371069182389937"/>
    <m/>
    <m/>
    <s v="(新品)"/>
    <m/>
    <x v="0"/>
    <x v="0"/>
    <m/>
    <m/>
    <m/>
    <x v="0"/>
    <x v="0"/>
  </r>
  <r>
    <x v="563"/>
    <x v="46"/>
    <x v="17"/>
    <n v="6"/>
    <n v="3"/>
    <n v="31.6"/>
    <n v="189.60000000000002"/>
    <n v="184"/>
    <n v="552"/>
    <n v="0.97046413502109696"/>
    <n v="1"/>
    <n v="-0.03"/>
    <s v="240"/>
    <m/>
    <n v="0"/>
    <n v="184"/>
    <n v="1"/>
    <m/>
    <m/>
    <s v=""/>
    <m/>
    <x v="0"/>
    <x v="0"/>
    <m/>
    <m/>
    <m/>
    <x v="0"/>
    <x v="0"/>
  </r>
  <r>
    <x v="564"/>
    <x v="15"/>
    <x v="15"/>
    <n v="68"/>
    <n v="3.2"/>
    <n v="46.8"/>
    <n v="3182.3999999999996"/>
    <n v="1834"/>
    <n v="5868.8"/>
    <n v="0.57629462041226753"/>
    <n v="1"/>
    <n v="-0.42399999999999999"/>
    <s v="600"/>
    <m/>
    <n v="3"/>
    <n v="1831"/>
    <n v="0.99836423118865869"/>
    <m/>
    <m/>
    <s v=""/>
    <m/>
    <x v="0"/>
    <x v="0"/>
    <m/>
    <m/>
    <m/>
    <x v="0"/>
    <x v="0"/>
  </r>
  <r>
    <x v="564"/>
    <x v="9"/>
    <x v="9"/>
    <n v="20"/>
    <n v="6"/>
    <n v="25.7"/>
    <n v="514"/>
    <n v="512"/>
    <n v="3072"/>
    <n v="0.99610894941634243"/>
    <n v="1"/>
    <n v="-4.0000000000000001E-3"/>
    <s v="305"/>
    <m/>
    <n v="2"/>
    <n v="510"/>
    <n v="0.99609375"/>
    <m/>
    <m/>
    <m/>
    <m/>
    <x v="0"/>
    <x v="0"/>
    <m/>
    <m/>
    <m/>
    <x v="0"/>
    <x v="0"/>
  </r>
  <r>
    <x v="564"/>
    <x v="10"/>
    <x v="10"/>
    <n v="16"/>
    <n v="6"/>
    <n v="25.4"/>
    <n v="406.4"/>
    <n v="405"/>
    <n v="2430"/>
    <n v="0.99655511811023623"/>
    <n v="1"/>
    <n v="-3.0000000000000001E-3"/>
    <s v="255"/>
    <m/>
    <n v="188"/>
    <n v="217"/>
    <n v="0.53580246913580243"/>
    <m/>
    <m/>
    <m/>
    <m/>
    <x v="0"/>
    <x v="0"/>
    <m/>
    <m/>
    <m/>
    <x v="0"/>
    <x v="0"/>
  </r>
  <r>
    <x v="564"/>
    <x v="11"/>
    <x v="11"/>
    <n v="60"/>
    <n v="2.8"/>
    <n v="44.5"/>
    <n v="2670"/>
    <n v="2743"/>
    <n v="7680.4"/>
    <n v="1.0273408239700375"/>
    <n v="1"/>
    <n v="2.7E-2"/>
    <s v="470"/>
    <m/>
    <n v="1"/>
    <n v="2742"/>
    <n v="0.99963543565439295"/>
    <m/>
    <m/>
    <s v=""/>
    <m/>
    <x v="0"/>
    <x v="0"/>
    <m/>
    <m/>
    <m/>
    <x v="0"/>
    <x v="0"/>
  </r>
  <r>
    <x v="565"/>
    <x v="26"/>
    <x v="25"/>
    <n v="20"/>
    <n v="0.9"/>
    <n v="163"/>
    <n v="3260"/>
    <n v="3336"/>
    <n v="3002.4"/>
    <n v="1.0233128834355829"/>
    <n v="1"/>
    <n v="2.3E-2"/>
    <s v="320"/>
    <m/>
    <n v="2"/>
    <n v="3334"/>
    <n v="0.99940047961630696"/>
    <m/>
    <m/>
    <s v=""/>
    <m/>
    <x v="0"/>
    <x v="0"/>
    <m/>
    <m/>
    <m/>
    <x v="0"/>
    <x v="0"/>
  </r>
  <r>
    <x v="565"/>
    <x v="27"/>
    <x v="26"/>
    <n v="32"/>
    <n v="3.2"/>
    <n v="47.5"/>
    <n v="1520"/>
    <n v="1467"/>
    <n v="4694.4000000000005"/>
    <n v="0.96513157894736845"/>
    <n v="1"/>
    <n v="-3.5000000000000003E-2"/>
    <s v="300"/>
    <m/>
    <n v="1"/>
    <n v="1466"/>
    <n v="0.9993183367416496"/>
    <m/>
    <m/>
    <s v=""/>
    <m/>
    <x v="0"/>
    <x v="0"/>
    <m/>
    <m/>
    <m/>
    <x v="0"/>
    <x v="0"/>
  </r>
  <r>
    <x v="565"/>
    <x v="9"/>
    <x v="9"/>
    <n v="24"/>
    <n v="6"/>
    <n v="25.7"/>
    <n v="616.79999999999995"/>
    <n v="618"/>
    <n v="3708"/>
    <n v="1.0019455252918288"/>
    <n v="1"/>
    <n v="2E-3"/>
    <s v="346"/>
    <m/>
    <n v="1"/>
    <n v="617"/>
    <n v="0.99838187702265369"/>
    <m/>
    <m/>
    <m/>
    <m/>
    <x v="0"/>
    <x v="0"/>
    <m/>
    <m/>
    <m/>
    <x v="0"/>
    <x v="0"/>
  </r>
  <r>
    <x v="565"/>
    <x v="130"/>
    <x v="114"/>
    <n v="12"/>
    <n v="6"/>
    <n v="0"/>
    <n v="0"/>
    <n v="309"/>
    <n v="1854"/>
    <s v="無法預估數據"/>
    <e v="#N/A"/>
    <s v="無法預估數據"/>
    <s v="200"/>
    <m/>
    <n v="2"/>
    <n v="307"/>
    <n v="0.99352750809061485"/>
    <m/>
    <m/>
    <s v=""/>
    <m/>
    <x v="0"/>
    <x v="0"/>
    <m/>
    <m/>
    <m/>
    <x v="0"/>
    <x v="0"/>
  </r>
  <r>
    <x v="565"/>
    <x v="11"/>
    <x v="11"/>
    <n v="24"/>
    <n v="2.8"/>
    <n v="44.5"/>
    <n v="1068"/>
    <n v="65"/>
    <n v="182"/>
    <n v="6.0861423220973786E-2"/>
    <n v="1"/>
    <n v="-0.93899999999999995"/>
    <s v="220"/>
    <m/>
    <n v="0"/>
    <n v="65"/>
    <n v="1"/>
    <m/>
    <m/>
    <s v="，D9920(18kg)*65桶"/>
    <m/>
    <x v="0"/>
    <x v="0"/>
    <m/>
    <m/>
    <m/>
    <x v="0"/>
    <x v="0"/>
  </r>
  <r>
    <x v="565"/>
    <x v="34"/>
    <x v="32"/>
    <n v="12"/>
    <n v="0.34"/>
    <n v="358.3"/>
    <n v="4299.6000000000004"/>
    <n v="4352"/>
    <n v="1479.68"/>
    <n v="1.0121871802028095"/>
    <n v="1"/>
    <n v="1.2E-2"/>
    <s v="245"/>
    <m/>
    <n v="3"/>
    <n v="4349"/>
    <n v="0.99931066176470584"/>
    <m/>
    <m/>
    <m/>
    <m/>
    <x v="0"/>
    <x v="0"/>
    <m/>
    <m/>
    <m/>
    <x v="0"/>
    <x v="0"/>
  </r>
  <r>
    <x v="565"/>
    <x v="87"/>
    <x v="79"/>
    <n v="2"/>
    <n v="1"/>
    <n v="243"/>
    <n v="486"/>
    <n v="488"/>
    <n v="488"/>
    <n v="1.0041152263374487"/>
    <n v="1"/>
    <n v="4.0000000000000001E-3"/>
    <s v="0"/>
    <m/>
    <n v="1"/>
    <n v="487"/>
    <n v="0.99795081967213117"/>
    <m/>
    <m/>
    <s v=""/>
    <m/>
    <x v="0"/>
    <x v="0"/>
    <m/>
    <m/>
    <m/>
    <x v="0"/>
    <x v="0"/>
  </r>
  <r>
    <x v="566"/>
    <x v="2"/>
    <x v="2"/>
    <n v="28"/>
    <n v="6"/>
    <n v="26.6"/>
    <n v="744.80000000000007"/>
    <n v="738"/>
    <n v="4428"/>
    <n v="0.99087003222341563"/>
    <n v="1"/>
    <n v="-8.9999999999999993E-3"/>
    <s v="390"/>
    <m/>
    <n v="4"/>
    <n v="734"/>
    <n v="0.99457994579945797"/>
    <m/>
    <m/>
    <s v=""/>
    <m/>
    <x v="0"/>
    <x v="0"/>
    <d v="2026-06-12T00:00:00"/>
    <m/>
    <m/>
    <x v="0"/>
    <x v="0"/>
  </r>
  <r>
    <x v="566"/>
    <x v="10"/>
    <x v="10"/>
    <n v="8"/>
    <n v="6"/>
    <n v="25.4"/>
    <n v="203.2"/>
    <n v="197"/>
    <n v="1182"/>
    <n v="0.96948818897637801"/>
    <n v="1"/>
    <n v="-3.1E-2"/>
    <s v="162"/>
    <m/>
    <n v="1"/>
    <n v="196"/>
    <n v="0.99492385786802029"/>
    <m/>
    <m/>
    <m/>
    <m/>
    <x v="0"/>
    <x v="0"/>
    <d v="2026-06-12T00:00:00"/>
    <m/>
    <m/>
    <x v="0"/>
    <x v="0"/>
  </r>
  <r>
    <x v="566"/>
    <x v="17"/>
    <x v="17"/>
    <n v="21"/>
    <n v="3"/>
    <n v="29.7"/>
    <n v="623.69999999999993"/>
    <n v="628"/>
    <n v="1884"/>
    <n v="1.0068943402276738"/>
    <n v="1"/>
    <n v="7.0000000000000001E-3"/>
    <s v="510"/>
    <m/>
    <n v="0"/>
    <n v="628"/>
    <n v="1"/>
    <m/>
    <m/>
    <s v=""/>
    <m/>
    <x v="0"/>
    <x v="0"/>
    <m/>
    <m/>
    <m/>
    <x v="0"/>
    <x v="0"/>
  </r>
  <r>
    <x v="566"/>
    <x v="151"/>
    <x v="127"/>
    <n v="300"/>
    <n v="2.5"/>
    <n v="0"/>
    <n v="0"/>
    <n v="118"/>
    <n v="295"/>
    <s v="無法預估數據"/>
    <n v="0"/>
    <s v="無法預估數據"/>
    <s v="0"/>
    <m/>
    <n v="0"/>
    <n v="118"/>
    <n v="1"/>
    <m/>
    <m/>
    <s v=""/>
    <m/>
    <x v="0"/>
    <x v="0"/>
    <m/>
    <m/>
    <m/>
    <x v="0"/>
    <x v="0"/>
  </r>
  <r>
    <x v="566"/>
    <x v="96"/>
    <x v="87"/>
    <n v="30"/>
    <n v="1"/>
    <n v="5.7"/>
    <n v="171"/>
    <n v="142"/>
    <n v="142"/>
    <n v="0.83040935672514615"/>
    <n v="1"/>
    <n v="-0.17"/>
    <s v="0"/>
    <m/>
    <n v="0"/>
    <n v="142"/>
    <n v="1"/>
    <m/>
    <m/>
    <m/>
    <m/>
    <x v="0"/>
    <x v="0"/>
    <m/>
    <m/>
    <m/>
    <x v="0"/>
    <x v="0"/>
  </r>
  <r>
    <x v="566"/>
    <x v="97"/>
    <x v="88"/>
    <n v="20"/>
    <n v="1"/>
    <n v="6"/>
    <n v="120"/>
    <n v="121"/>
    <n v="121"/>
    <n v="1.0083333333333333"/>
    <n v="1"/>
    <n v="8.0000000000000002E-3"/>
    <s v="0"/>
    <m/>
    <n v="0"/>
    <n v="121"/>
    <n v="1"/>
    <m/>
    <m/>
    <m/>
    <m/>
    <x v="0"/>
    <x v="0"/>
    <m/>
    <m/>
    <m/>
    <x v="0"/>
    <x v="0"/>
  </r>
  <r>
    <x v="567"/>
    <x v="22"/>
    <x v="10"/>
    <n v="12"/>
    <n v="6"/>
    <n v="25.1"/>
    <n v="301.20000000000005"/>
    <n v="303"/>
    <n v="1818"/>
    <n v="1.0059760956175297"/>
    <n v="1"/>
    <n v="6.0000000000000001E-3"/>
    <s v="185"/>
    <m/>
    <n v="1"/>
    <n v="302"/>
    <n v="0.99669966996699666"/>
    <m/>
    <m/>
    <s v=""/>
    <m/>
    <x v="1"/>
    <x v="1"/>
    <d v="2026-06-12T00:00:00"/>
    <d v="2026-06-09T00:00:00"/>
    <d v="2026-06-11T00:00:00"/>
    <x v="1"/>
    <x v="1"/>
  </r>
  <r>
    <x v="567"/>
    <x v="152"/>
    <x v="128"/>
    <n v="20"/>
    <n v="4.5"/>
    <n v="36.299999999999997"/>
    <n v="726"/>
    <n v="703"/>
    <n v="3163.5"/>
    <n v="0.9683195592286501"/>
    <n v="1"/>
    <n v="-3.2000000000000001E-2"/>
    <s v="300"/>
    <m/>
    <n v="0"/>
    <n v="703"/>
    <n v="1"/>
    <m/>
    <m/>
    <s v="，(5-7mm)"/>
    <m/>
    <x v="1"/>
    <x v="1"/>
    <d v="2026-06-12T00:00:00"/>
    <d v="2026-06-09T00:00:00"/>
    <d v="2026-06-10T00:00:00"/>
    <x v="1"/>
    <x v="1"/>
  </r>
  <r>
    <x v="567"/>
    <x v="153"/>
    <x v="115"/>
    <n v="8"/>
    <n v="4.5"/>
    <n v="33.200000000000003"/>
    <n v="265.60000000000002"/>
    <n v="264"/>
    <n v="1188"/>
    <n v="0.99397590361445776"/>
    <e v="#N/A"/>
    <e v="#N/A"/>
    <s v="115"/>
    <m/>
    <n v="0"/>
    <n v="264"/>
    <n v="1"/>
    <m/>
    <m/>
    <s v=""/>
    <m/>
    <x v="1"/>
    <x v="1"/>
    <d v="2026-06-12T00:00:00"/>
    <d v="2026-06-09T00:00:00"/>
    <d v="2026-06-11T00:00:00"/>
    <x v="1"/>
    <x v="1"/>
  </r>
  <r>
    <x v="567"/>
    <x v="11"/>
    <x v="11"/>
    <n v="56"/>
    <n v="2.8"/>
    <n v="44.5"/>
    <n v="2492"/>
    <n v="2596"/>
    <n v="7268.7999999999993"/>
    <n v="1.0417335473515248"/>
    <n v="1"/>
    <n v="4.2000000000000003E-2"/>
    <s v="460"/>
    <m/>
    <n v="1"/>
    <n v="2595"/>
    <n v="0.99961479198767333"/>
    <m/>
    <m/>
    <m/>
    <m/>
    <x v="2"/>
    <x v="2"/>
    <d v="2026-06-10T00:00:00"/>
    <d v="2026-06-09T00:00:00"/>
    <s v="-"/>
    <x v="2"/>
    <x v="2"/>
  </r>
  <r>
    <x v="568"/>
    <x v="43"/>
    <x v="41"/>
    <n v="16"/>
    <n v="0.26"/>
    <n v="584.29999999999995"/>
    <n v="9348.7999999999993"/>
    <n v="9429"/>
    <n v="2451.54"/>
    <n v="1.0085786411090194"/>
    <n v="1"/>
    <n v="8.9999999999999993E-3"/>
    <s v="360"/>
    <m/>
    <n v="20"/>
    <n v="9409"/>
    <n v="0.9978788842931382"/>
    <m/>
    <m/>
    <m/>
    <m/>
    <x v="3"/>
    <x v="1"/>
    <d v="2026-06-15T00:00:00"/>
    <d v="2026-06-09T00:00:00"/>
    <d v="2026-06-10T00:00:00"/>
    <x v="3"/>
    <x v="3"/>
  </r>
  <r>
    <x v="568"/>
    <x v="21"/>
    <x v="21"/>
    <n v="28"/>
    <n v="3.2"/>
    <n v="46.4"/>
    <n v="1299.2"/>
    <n v="1318"/>
    <n v="4217.6000000000004"/>
    <n v="1.0144704433497536"/>
    <n v="1"/>
    <n v="1.4E-2"/>
    <s v="300"/>
    <m/>
    <n v="2"/>
    <n v="1316"/>
    <n v="0.99848254931714719"/>
    <m/>
    <m/>
    <m/>
    <m/>
    <x v="3"/>
    <x v="1"/>
    <d v="2026-06-15T00:00:00"/>
    <d v="2026-06-09T00:00:00"/>
    <d v="2026-06-10T00:00:00"/>
    <x v="3"/>
    <x v="3"/>
  </r>
  <r>
    <x v="568"/>
    <x v="9"/>
    <x v="9"/>
    <n v="16"/>
    <n v="6"/>
    <n v="25.7"/>
    <n v="411.2"/>
    <n v="404"/>
    <n v="2424"/>
    <n v="0.98249027237354092"/>
    <n v="1"/>
    <n v="-1.7999999999999999E-2"/>
    <s v="240"/>
    <m/>
    <n v="1"/>
    <n v="403"/>
    <n v="0.99752475247524752"/>
    <m/>
    <m/>
    <m/>
    <m/>
    <x v="1"/>
    <x v="1"/>
    <d v="2026-06-12T00:00:00"/>
    <d v="2026-06-10T00:00:00"/>
    <s v="-"/>
    <x v="3"/>
    <x v="4"/>
  </r>
  <r>
    <x v="568"/>
    <x v="140"/>
    <x v="10"/>
    <n v="20"/>
    <n v="6"/>
    <n v="25.4"/>
    <n v="508"/>
    <n v="522"/>
    <n v="3132"/>
    <n v="1.0275590551181102"/>
    <e v="#N/A"/>
    <e v="#N/A"/>
    <s v="325"/>
    <m/>
    <n v="2"/>
    <n v="520"/>
    <n v="0.99616858237547889"/>
    <m/>
    <m/>
    <m/>
    <m/>
    <x v="1"/>
    <x v="1"/>
    <d v="2026-06-12T00:00:00"/>
    <d v="2026-06-10T00:00:00"/>
    <d v="2026-06-11T00:00:00"/>
    <x v="3"/>
    <x v="4"/>
  </r>
  <r>
    <x v="569"/>
    <x v="15"/>
    <x v="15"/>
    <n v="68"/>
    <n v="3.2"/>
    <n v="46.8"/>
    <n v="3182.3999999999996"/>
    <n v="3235"/>
    <n v="10352"/>
    <n v="1.0165284062342888"/>
    <n v="1"/>
    <n v="1.7000000000000001E-2"/>
    <s v="540"/>
    <m/>
    <n v="2"/>
    <n v="3233"/>
    <n v="0.9993817619783617"/>
    <m/>
    <m/>
    <m/>
    <m/>
    <x v="3"/>
    <x v="1"/>
    <d v="2026-06-15T00:00:00"/>
    <d v="2026-06-11T00:00:00"/>
    <d v="2026-06-12T00:00:00"/>
    <x v="2"/>
    <x v="5"/>
  </r>
  <r>
    <x v="569"/>
    <x v="9"/>
    <x v="9"/>
    <n v="20"/>
    <n v="6"/>
    <n v="25.7"/>
    <n v="514"/>
    <n v="512"/>
    <n v="3072"/>
    <n v="0.99610894941634243"/>
    <n v="1"/>
    <n v="-4.0000000000000001E-3"/>
    <s v="340"/>
    <m/>
    <n v="2"/>
    <n v="510"/>
    <n v="0.99609375"/>
    <m/>
    <m/>
    <m/>
    <m/>
    <x v="1"/>
    <x v="3"/>
    <d v="2026-06-15T00:00:00"/>
    <s v="-"/>
    <s v="-"/>
    <x v="4"/>
    <x v="5"/>
  </r>
  <r>
    <x v="569"/>
    <x v="47"/>
    <x v="42"/>
    <n v="16"/>
    <n v="6"/>
    <n v="25.6"/>
    <n v="409.6"/>
    <n v="410"/>
    <n v="2460"/>
    <n v="1.0009765625"/>
    <n v="1"/>
    <n v="1E-3"/>
    <s v="220"/>
    <m/>
    <n v="1"/>
    <n v="409"/>
    <n v="0.9975609756097561"/>
    <m/>
    <m/>
    <m/>
    <m/>
    <x v="1"/>
    <x v="3"/>
    <d v="2026-06-15T00:00:00"/>
    <d v="2026-06-11T00:00:00"/>
    <d v="2026-06-12T00:00:00"/>
    <x v="4"/>
    <x v="5"/>
  </r>
  <r>
    <x v="569"/>
    <x v="11"/>
    <x v="11"/>
    <n v="56"/>
    <n v="2.8"/>
    <n v="44.5"/>
    <n v="2492"/>
    <n v="2290"/>
    <n v="6412"/>
    <n v="0.9189406099518459"/>
    <n v="1"/>
    <n v="-8.1000000000000003E-2"/>
    <s v="440"/>
    <m/>
    <n v="1"/>
    <n v="2289"/>
    <n v="0.99956331877729254"/>
    <m/>
    <m/>
    <s v="，(D2021美芝城*50箱)"/>
    <m/>
    <x v="2"/>
    <x v="1"/>
    <d v="2026-06-12T00:00:00"/>
    <d v="2026-06-11T00:00:00"/>
    <d v="2026-06-12T00:00:00"/>
    <x v="2"/>
    <x v="2"/>
  </r>
  <r>
    <x v="570"/>
    <x v="8"/>
    <x v="8"/>
    <n v="36"/>
    <n v="0.44"/>
    <n v="344"/>
    <n v="12384"/>
    <n v="12103"/>
    <n v="5325.32"/>
    <n v="0.97730943152454786"/>
    <n v="1"/>
    <n v="-2.3E-2"/>
    <s v="600"/>
    <m/>
    <n v="9"/>
    <n v="12094"/>
    <n v="0.99925638271502937"/>
    <m/>
    <m/>
    <m/>
    <m/>
    <x v="3"/>
    <x v="3"/>
    <d v="2026-06-17T00:00:00"/>
    <d v="2026-06-12T00:00:00"/>
    <d v="2026-06-15T00:00:00"/>
    <x v="2"/>
    <x v="1"/>
  </r>
  <r>
    <x v="570"/>
    <x v="9"/>
    <x v="9"/>
    <n v="20"/>
    <n v="6"/>
    <n v="25.7"/>
    <n v="514"/>
    <n v="515"/>
    <n v="3090"/>
    <n v="1.0019455252918288"/>
    <n v="1"/>
    <n v="2E-3"/>
    <s v="328"/>
    <m/>
    <n v="1"/>
    <n v="514"/>
    <n v="0.99805825242718449"/>
    <m/>
    <m/>
    <m/>
    <m/>
    <x v="1"/>
    <x v="4"/>
    <d v="2026-06-17T00:00:00"/>
    <s v="-"/>
    <s v="-"/>
    <x v="3"/>
    <x v="1"/>
  </r>
  <r>
    <x v="570"/>
    <x v="16"/>
    <x v="16"/>
    <n v="16"/>
    <n v="6"/>
    <n v="26.1"/>
    <n v="417.6"/>
    <n v="427"/>
    <n v="2562"/>
    <n v="1.0225095785440612"/>
    <n v="1"/>
    <n v="2.3E-2"/>
    <s v="225"/>
    <m/>
    <n v="4"/>
    <n v="423"/>
    <n v="0.99063231850117095"/>
    <m/>
    <m/>
    <m/>
    <m/>
    <x v="1"/>
    <x v="4"/>
    <d v="2026-06-17T00:00:00"/>
    <d v="2026-06-12T00:00:00"/>
    <d v="2026-06-15T00:00:00"/>
    <x v="3"/>
    <x v="1"/>
  </r>
  <r>
    <x v="570"/>
    <x v="48"/>
    <x v="17"/>
    <n v="21"/>
    <n v="3"/>
    <n v="30.8"/>
    <n v="646.80000000000007"/>
    <n v="648"/>
    <n v="1944"/>
    <n v="1.0018552875695732"/>
    <n v="1"/>
    <n v="2E-3"/>
    <s v="540"/>
    <m/>
    <n v="0"/>
    <n v="648"/>
    <n v="1"/>
    <m/>
    <m/>
    <m/>
    <m/>
    <x v="2"/>
    <x v="3"/>
    <d v="2026-06-15T00:00:00"/>
    <d v="2026-06-12T00:00:00"/>
    <d v="2026-06-15T00:00:00"/>
    <x v="2"/>
    <x v="2"/>
  </r>
  <r>
    <x v="570"/>
    <x v="87"/>
    <x v="79"/>
    <n v="2"/>
    <n v="1"/>
    <n v="243"/>
    <n v="486"/>
    <n v="492"/>
    <n v="492"/>
    <n v="1.0123456790123457"/>
    <n v="1"/>
    <n v="1.2E-2"/>
    <s v="0"/>
    <m/>
    <n v="-30"/>
    <n v="522"/>
    <n v="1.0609756097560976"/>
    <m/>
    <m/>
    <s v="7/1包裝180kg(211)+6/1生產31KG、7/9包裝312KG"/>
    <m/>
    <x v="4"/>
    <x v="5"/>
    <s v="-"/>
    <s v="-"/>
    <d v="2026-07-03T00:00:00"/>
    <x v="2"/>
    <x v="2"/>
  </r>
  <r>
    <x v="571"/>
    <x v="0"/>
    <x v="0"/>
    <n v="16"/>
    <n v="6"/>
    <n v="25.5"/>
    <n v="408"/>
    <n v="404"/>
    <n v="2424"/>
    <n v="0.99019607843137258"/>
    <n v="1"/>
    <n v="-0.01"/>
    <s v="240"/>
    <m/>
    <n v="4"/>
    <n v="400"/>
    <n v="0.99009900990099009"/>
    <m/>
    <m/>
    <m/>
    <m/>
    <x v="3"/>
    <x v="4"/>
    <d v="2026-06-17T00:00:00"/>
    <d v="2026-06-15T00:00:00"/>
    <d v="2026-06-16T00:00:00"/>
    <x v="2"/>
    <x v="4"/>
  </r>
  <r>
    <x v="571"/>
    <x v="2"/>
    <x v="2"/>
    <n v="20"/>
    <n v="6"/>
    <n v="26.6"/>
    <n v="532"/>
    <n v="520"/>
    <n v="3120"/>
    <n v="0.97744360902255634"/>
    <n v="1"/>
    <n v="-2.3E-2"/>
    <s v="300"/>
    <m/>
    <n v="1"/>
    <n v="519"/>
    <n v="0.99807692307692308"/>
    <m/>
    <m/>
    <m/>
    <m/>
    <x v="3"/>
    <x v="4"/>
    <d v="2026-06-17T00:00:00"/>
    <d v="2026-06-15T00:00:00"/>
    <d v="2026-06-16T00:00:00"/>
    <x v="2"/>
    <x v="4"/>
  </r>
  <r>
    <x v="571"/>
    <x v="133"/>
    <x v="115"/>
    <n v="16"/>
    <n v="4.5"/>
    <n v="33.200000000000003"/>
    <n v="531.20000000000005"/>
    <n v="530"/>
    <n v="2385"/>
    <n v="0.99774096385542155"/>
    <e v="#N/A"/>
    <e v="#N/A"/>
    <s v="300"/>
    <m/>
    <n v="0"/>
    <n v="530"/>
    <n v="1"/>
    <m/>
    <m/>
    <m/>
    <m/>
    <x v="1"/>
    <x v="6"/>
    <d v="2026-06-17T00:00:00"/>
    <d v="2026-06-15T00:00:00"/>
    <d v="2026-06-16T00:00:00"/>
    <x v="3"/>
    <x v="4"/>
  </r>
  <r>
    <x v="571"/>
    <x v="52"/>
    <x v="46"/>
    <n v="8"/>
    <n v="4.5"/>
    <n v="35.6"/>
    <n v="284.8"/>
    <n v="280"/>
    <n v="1260"/>
    <n v="0.9831460674157303"/>
    <n v="1"/>
    <n v="-1.7000000000000001E-2"/>
    <s v="220"/>
    <m/>
    <n v="0"/>
    <n v="280"/>
    <n v="1"/>
    <m/>
    <m/>
    <m/>
    <m/>
    <x v="1"/>
    <x v="6"/>
    <d v="2026-06-17T00:00:00"/>
    <d v="2026-06-15T00:00:00"/>
    <d v="2026-06-16T00:00:00"/>
    <x v="3"/>
    <x v="4"/>
  </r>
  <r>
    <x v="571"/>
    <x v="154"/>
    <x v="84"/>
    <n v="4"/>
    <n v="6"/>
    <n v="0"/>
    <n v="0"/>
    <n v="96"/>
    <n v="576"/>
    <s v="無法預估數據"/>
    <n v="0"/>
    <s v="無法預估數據"/>
    <s v="175"/>
    <m/>
    <n v="1"/>
    <n v="95"/>
    <n v="0.98958333333333337"/>
    <m/>
    <m/>
    <m/>
    <m/>
    <x v="1"/>
    <x v="6"/>
    <d v="2026-06-17T00:00:00"/>
    <d v="2026-06-15T00:00:00"/>
    <d v="2026-06-17T00:00:00"/>
    <x v="3"/>
    <x v="4"/>
  </r>
  <r>
    <x v="571"/>
    <x v="6"/>
    <x v="6"/>
    <n v="24"/>
    <n v="0.4"/>
    <n v="309.2"/>
    <n v="7420.7999999999993"/>
    <n v="7692"/>
    <n v="3076.8"/>
    <n v="1.0365459249676585"/>
    <n v="1"/>
    <n v="3.6999999999999998E-2"/>
    <s v="365"/>
    <m/>
    <n v="3"/>
    <n v="7689"/>
    <n v="0.99960998439937598"/>
    <m/>
    <m/>
    <m/>
    <m/>
    <x v="2"/>
    <x v="4"/>
    <d v="2026-06-16T00:00:00"/>
    <d v="2026-06-15T00:00:00"/>
    <d v="2026-06-16T00:00:00"/>
    <x v="2"/>
    <x v="2"/>
  </r>
  <r>
    <x v="571"/>
    <x v="34"/>
    <x v="32"/>
    <n v="12"/>
    <n v="0.34"/>
    <n v="358.3"/>
    <n v="4299.6000000000004"/>
    <n v="4102"/>
    <n v="1394.68"/>
    <n v="0.95404223648711495"/>
    <n v="1"/>
    <n v="-4.5999999999999999E-2"/>
    <s v="190"/>
    <m/>
    <n v="5"/>
    <n v="4097"/>
    <n v="0.99878108239882979"/>
    <m/>
    <m/>
    <s v="(紅蓋)E0120佳樂美300箱"/>
    <m/>
    <x v="2"/>
    <x v="4"/>
    <d v="2026-06-16T00:00:00"/>
    <d v="2026-06-15T00:00:00"/>
    <d v="2026-06-16T00:00:00"/>
    <x v="2"/>
    <x v="2"/>
  </r>
  <r>
    <x v="572"/>
    <x v="49"/>
    <x v="43"/>
    <n v="15"/>
    <n v="0.43"/>
    <n v="364"/>
    <n v="5460"/>
    <n v="5567"/>
    <n v="2393.81"/>
    <n v="1.0195970695970695"/>
    <n v="1"/>
    <n v="0.02"/>
    <s v="300"/>
    <m/>
    <n v="4"/>
    <n v="5563"/>
    <n v="0.99928148015088913"/>
    <m/>
    <m/>
    <m/>
    <m/>
    <x v="3"/>
    <x v="6"/>
    <d v="2026-06-22T00:00:00"/>
    <d v="2026-06-16T00:00:00"/>
    <d v="2026-06-17T00:00:00"/>
    <x v="2"/>
    <x v="6"/>
  </r>
  <r>
    <x v="572"/>
    <x v="71"/>
    <x v="61"/>
    <n v="4"/>
    <n v="0.17"/>
    <n v="912.6"/>
    <n v="3650.4"/>
    <n v="3542"/>
    <n v="602.1400000000001"/>
    <n v="0.97030462415077801"/>
    <n v="1"/>
    <n v="-0.03"/>
    <s v="160"/>
    <m/>
    <n v="7"/>
    <n v="3535"/>
    <n v="0.99802371541501977"/>
    <m/>
    <m/>
    <m/>
    <m/>
    <x v="3"/>
    <x v="7"/>
    <d v="2026-06-22T00:00:00"/>
    <d v="2026-06-16T00:00:00"/>
    <d v="2026-06-17T00:00:00"/>
    <x v="5"/>
    <x v="6"/>
  </r>
  <r>
    <x v="572"/>
    <x v="117"/>
    <x v="106"/>
    <n v="3"/>
    <n v="0.26"/>
    <n v="612"/>
    <n v="1836"/>
    <n v="1611"/>
    <n v="418.86"/>
    <n v="0.87745098039215685"/>
    <n v="1"/>
    <n v="-0.123"/>
    <s v="135"/>
    <m/>
    <n v="4"/>
    <n v="1607"/>
    <n v="0.99751707014276847"/>
    <m/>
    <m/>
    <m/>
    <m/>
    <x v="3"/>
    <x v="6"/>
    <d v="2026-06-22T00:00:00"/>
    <d v="2026-06-16T00:00:00"/>
    <d v="2026-06-17T00:00:00"/>
    <x v="2"/>
    <x v="6"/>
  </r>
  <r>
    <x v="572"/>
    <x v="1"/>
    <x v="1"/>
    <n v="6"/>
    <n v="6"/>
    <n v="25.7"/>
    <n v="154.19999999999999"/>
    <n v="155"/>
    <n v="930"/>
    <n v="1.0051880674448768"/>
    <n v="1"/>
    <n v="5.0000000000000001E-3"/>
    <s v="140"/>
    <m/>
    <n v="1"/>
    <n v="154"/>
    <n v="0.99354838709677418"/>
    <m/>
    <m/>
    <m/>
    <m/>
    <x v="1"/>
    <x v="5"/>
    <d v="2026-06-18T00:00:00"/>
    <d v="2026-06-16T00:00:00"/>
    <d v="2026-06-17T00:00:00"/>
    <x v="3"/>
    <x v="4"/>
  </r>
  <r>
    <x v="572"/>
    <x v="9"/>
    <x v="9"/>
    <n v="24"/>
    <n v="6"/>
    <n v="25.7"/>
    <n v="616.79999999999995"/>
    <n v="615"/>
    <n v="3690"/>
    <n v="0.99708171206225693"/>
    <n v="1"/>
    <n v="-3.0000000000000001E-3"/>
    <s v="321"/>
    <m/>
    <n v="1"/>
    <n v="614"/>
    <n v="0.99837398373983743"/>
    <m/>
    <m/>
    <m/>
    <m/>
    <x v="1"/>
    <x v="5"/>
    <d v="2026-06-18T00:00:00"/>
    <s v="-"/>
    <s v="-"/>
    <x v="3"/>
    <x v="4"/>
  </r>
  <r>
    <x v="572"/>
    <x v="45"/>
    <x v="10"/>
    <n v="8"/>
    <n v="6"/>
    <n v="26.4"/>
    <n v="211.2"/>
    <n v="199"/>
    <n v="1194"/>
    <n v="0.94223484848484851"/>
    <n v="1"/>
    <n v="-5.8000000000000003E-2"/>
    <s v="130"/>
    <m/>
    <n v="1"/>
    <n v="198"/>
    <n v="0.99497487437185927"/>
    <m/>
    <m/>
    <m/>
    <m/>
    <x v="1"/>
    <x v="5"/>
    <d v="2026-06-18T00:00:00"/>
    <d v="2026-06-16T14:34:46"/>
    <d v="2026-06-17T00:00:00"/>
    <x v="3"/>
    <x v="4"/>
  </r>
  <r>
    <x v="573"/>
    <x v="140"/>
    <x v="10"/>
    <n v="16"/>
    <n v="6"/>
    <n v="25.4"/>
    <n v="406.4"/>
    <n v="402"/>
    <n v="2412"/>
    <n v="0.98917322834645671"/>
    <e v="#N/A"/>
    <e v="#N/A"/>
    <s v="250"/>
    <m/>
    <n v="2"/>
    <n v="400"/>
    <n v="0.99502487562189057"/>
    <m/>
    <m/>
    <m/>
    <m/>
    <x v="1"/>
    <x v="5"/>
    <d v="2026-06-18T00:00:00"/>
    <d v="2026-06-17T00:00:00"/>
    <d v="2026-06-18T00:00:00"/>
    <x v="2"/>
    <x v="2"/>
  </r>
  <r>
    <x v="573"/>
    <x v="9"/>
    <x v="9"/>
    <n v="20"/>
    <n v="6"/>
    <n v="25.7"/>
    <n v="514"/>
    <n v="510"/>
    <n v="3060"/>
    <n v="0.99221789883268485"/>
    <n v="1"/>
    <n v="-8.0000000000000002E-3"/>
    <s v="335"/>
    <m/>
    <n v="2"/>
    <n v="508"/>
    <n v="0.99607843137254903"/>
    <m/>
    <m/>
    <m/>
    <m/>
    <x v="1"/>
    <x v="5"/>
    <d v="2026-06-18T00:00:00"/>
    <s v="-"/>
    <s v="-"/>
    <x v="2"/>
    <x v="2"/>
  </r>
  <r>
    <x v="573"/>
    <x v="17"/>
    <x v="17"/>
    <n v="21"/>
    <n v="3"/>
    <n v="29.7"/>
    <n v="623.69999999999993"/>
    <n v="628"/>
    <n v="1884"/>
    <n v="1.0068943402276738"/>
    <n v="1"/>
    <n v="7.0000000000000001E-3"/>
    <s v="510"/>
    <m/>
    <n v="0"/>
    <n v="628"/>
    <n v="1"/>
    <m/>
    <m/>
    <m/>
    <m/>
    <x v="2"/>
    <x v="5"/>
    <d v="2026-06-18T00:00:00"/>
    <d v="2026-06-17T00:00:00"/>
    <s v="-"/>
    <x v="2"/>
    <x v="2"/>
  </r>
  <r>
    <x v="573"/>
    <x v="151"/>
    <x v="127"/>
    <n v="468"/>
    <n v="2.5"/>
    <n v="0"/>
    <n v="0"/>
    <n v="185"/>
    <n v="462.5"/>
    <s v="無法預估數據"/>
    <n v="0"/>
    <s v="無法預估數據"/>
    <s v="0"/>
    <m/>
    <n v="0"/>
    <n v="185"/>
    <n v="1"/>
    <m/>
    <m/>
    <m/>
    <m/>
    <x v="4"/>
    <x v="8"/>
    <s v="-"/>
    <s v="-"/>
    <s v="-"/>
    <x v="2"/>
    <x v="2"/>
  </r>
  <r>
    <x v="574"/>
    <x v="9"/>
    <x v="9"/>
    <n v="24"/>
    <n v="6"/>
    <n v="25.7"/>
    <n v="616.79999999999995"/>
    <n v="620"/>
    <n v="3720"/>
    <n v="1.0051880674448768"/>
    <n v="1"/>
    <n v="5.0000000000000001E-3"/>
    <s v="370"/>
    <m/>
    <n v="1"/>
    <n v="619"/>
    <n v="0.99838709677419357"/>
    <m/>
    <m/>
    <m/>
    <m/>
    <x v="3"/>
    <x v="9"/>
    <d v="2026-06-24T00:00:00"/>
    <s v="-"/>
    <d v="2026-06-22T00:00:00"/>
    <x v="2"/>
    <x v="1"/>
  </r>
  <r>
    <x v="574"/>
    <x v="30"/>
    <x v="28"/>
    <n v="6"/>
    <n v="0.43"/>
    <n v="340.4"/>
    <n v="2042.3999999999999"/>
    <n v="1946"/>
    <n v="836.78"/>
    <n v="0.95280062671367027"/>
    <n v="1"/>
    <n v="-4.7E-2"/>
    <s v="240"/>
    <m/>
    <n v="6"/>
    <n v="1940"/>
    <n v="0.99691675231243582"/>
    <m/>
    <m/>
    <s v="，麥味登90箱(1080瓶)"/>
    <m/>
    <x v="3"/>
    <x v="9"/>
    <d v="2026-06-24T00:00:00"/>
    <d v="2026-06-18T00:00:00"/>
    <d v="2026-06-22T00:00:00"/>
    <x v="2"/>
    <x v="1"/>
  </r>
  <r>
    <x v="574"/>
    <x v="17"/>
    <x v="17"/>
    <n v="21"/>
    <n v="3"/>
    <n v="29.7"/>
    <n v="623.69999999999993"/>
    <n v="628"/>
    <n v="1884"/>
    <n v="1.0068943402276738"/>
    <n v="1"/>
    <n v="7.0000000000000001E-3"/>
    <s v="510"/>
    <m/>
    <n v="0"/>
    <n v="628"/>
    <n v="1"/>
    <m/>
    <m/>
    <s v=""/>
    <m/>
    <x v="1"/>
    <x v="9"/>
    <d v="2026-06-22T00:00:00"/>
    <s v="-"/>
    <d v="2026-06-22T00:00:00"/>
    <x v="2"/>
    <x v="2"/>
  </r>
  <r>
    <x v="574"/>
    <x v="24"/>
    <x v="23"/>
    <n v="8"/>
    <n v="0.34"/>
    <n v="366"/>
    <n v="2928"/>
    <n v="2764"/>
    <n v="939.7600000000001"/>
    <n v="0.94398907103825136"/>
    <n v="1"/>
    <n v="-5.6000000000000001E-2"/>
    <s v="160"/>
    <m/>
    <n v="5"/>
    <n v="2759"/>
    <n v="0.998191027496382"/>
    <m/>
    <m/>
    <s v="(黃蓋)E0121佳樂美*200箱"/>
    <m/>
    <x v="2"/>
    <x v="10"/>
    <d v="2026-06-23T00:00:00"/>
    <d v="2026-06-18T00:00:00"/>
    <d v="2026-06-22T00:00:00"/>
    <x v="3"/>
    <x v="4"/>
  </r>
  <r>
    <x v="574"/>
    <x v="23"/>
    <x v="22"/>
    <n v="28"/>
    <n v="0.34"/>
    <n v="364.6"/>
    <n v="10208.800000000001"/>
    <n v="10388"/>
    <n v="3531.92"/>
    <n v="1.0175534832693363"/>
    <n v="1"/>
    <n v="1.7999999999999999E-2"/>
    <s v="440"/>
    <m/>
    <n v="3"/>
    <n v="10385"/>
    <n v="0.99971120523681167"/>
    <m/>
    <m/>
    <m/>
    <m/>
    <x v="2"/>
    <x v="10"/>
    <d v="2026-06-23T00:00:00"/>
    <d v="2026-06-18T00:00:00"/>
    <d v="2026-06-22T00:00:00"/>
    <x v="3"/>
    <x v="4"/>
  </r>
  <r>
    <x v="574"/>
    <x v="105"/>
    <x v="93"/>
    <n v="1"/>
    <n v="0.1"/>
    <n v="1732"/>
    <n v="1732"/>
    <n v="1790"/>
    <n v="179"/>
    <n v="1.033487297921478"/>
    <n v="1"/>
    <n v="3.3000000000000002E-2"/>
    <s v="0"/>
    <m/>
    <n v="45"/>
    <n v="1745"/>
    <n v="0.97486033519553073"/>
    <m/>
    <m/>
    <s v="7/1收到半成品入庫單，6/30已進行包裝"/>
    <m/>
    <x v="4"/>
    <x v="11"/>
    <s v="-"/>
    <d v="2026-06-18T00:00:00"/>
    <d v="2026-07-03T00:00:00"/>
    <x v="4"/>
    <x v="2"/>
  </r>
  <r>
    <x v="575"/>
    <x v="2"/>
    <x v="2"/>
    <n v="24"/>
    <n v="6"/>
    <n v="26.6"/>
    <n v="638.40000000000009"/>
    <n v="619"/>
    <n v="3714"/>
    <n v="0.96961152882205504"/>
    <n v="1"/>
    <n v="-0.03"/>
    <s v="300"/>
    <m/>
    <n v="3"/>
    <n v="616"/>
    <n v="0.99515347334410342"/>
    <m/>
    <m/>
    <s v=""/>
    <m/>
    <x v="3"/>
    <x v="10"/>
    <d v="2026-07-01T00:00:00"/>
    <d v="2026-06-22T00:00:00"/>
    <d v="2026-06-23T00:00:00"/>
    <x v="2"/>
    <x v="7"/>
  </r>
  <r>
    <x v="575"/>
    <x v="0"/>
    <x v="0"/>
    <n v="12"/>
    <n v="6"/>
    <n v="25.5"/>
    <n v="306"/>
    <n v="300"/>
    <n v="1800"/>
    <n v="0.98039215686274506"/>
    <n v="1"/>
    <n v="-0.02"/>
    <s v="210"/>
    <m/>
    <n v="1"/>
    <n v="299"/>
    <n v="0.9966666666666667"/>
    <m/>
    <m/>
    <s v=""/>
    <m/>
    <x v="3"/>
    <x v="10"/>
    <d v="2026-07-01T00:00:00"/>
    <d v="2026-06-22T00:00:00"/>
    <d v="2026-06-23T00:00:00"/>
    <x v="2"/>
    <x v="7"/>
  </r>
  <r>
    <x v="575"/>
    <x v="155"/>
    <x v="129"/>
    <n v="12"/>
    <n v="4.5"/>
    <n v="34.9"/>
    <n v="418.79999999999995"/>
    <n v="415"/>
    <n v="1867.5"/>
    <n v="0.99092645654250244"/>
    <n v="0"/>
    <n v="0.99099999999999999"/>
    <s v="280"/>
    <m/>
    <n v="0"/>
    <n v="415"/>
    <n v="1"/>
    <m/>
    <m/>
    <m/>
    <m/>
    <x v="1"/>
    <x v="12"/>
    <d v="2026-06-25T00:00:00"/>
    <d v="2026-06-18T00:00:00"/>
    <d v="2026-06-24T00:00:00"/>
    <x v="3"/>
    <x v="1"/>
  </r>
  <r>
    <x v="575"/>
    <x v="152"/>
    <x v="128"/>
    <n v="20"/>
    <n v="4.5"/>
    <n v="36.299999999999997"/>
    <n v="726"/>
    <n v="710"/>
    <n v="3195"/>
    <n v="0.97796143250688705"/>
    <n v="1"/>
    <n v="-2.1999999999999999E-2"/>
    <s v="380"/>
    <m/>
    <n v="0"/>
    <n v="710"/>
    <n v="1"/>
    <m/>
    <m/>
    <m/>
    <m/>
    <x v="1"/>
    <x v="12"/>
    <d v="2026-06-25T00:00:00"/>
    <d v="2026-06-18T00:00:00"/>
    <d v="2026-06-23T00:00:00"/>
    <x v="3"/>
    <x v="1"/>
  </r>
  <r>
    <x v="575"/>
    <x v="42"/>
    <x v="40"/>
    <n v="6"/>
    <n v="3.5"/>
    <n v="25.4"/>
    <n v="152.39999999999998"/>
    <n v="150"/>
    <n v="525"/>
    <n v="0.98425196850393715"/>
    <n v="1"/>
    <n v="-1.6E-2"/>
    <s v="360"/>
    <m/>
    <n v="0"/>
    <n v="150"/>
    <n v="1"/>
    <m/>
    <m/>
    <s v=""/>
    <m/>
    <x v="2"/>
    <x v="12"/>
    <d v="2026-06-24T00:00:00"/>
    <d v="2026-06-22T00:00:00"/>
    <d v="2026-06-23T00:00:00"/>
    <x v="3"/>
    <x v="4"/>
  </r>
  <r>
    <x v="575"/>
    <x v="78"/>
    <x v="70"/>
    <n v="8"/>
    <n v="0.28999999999999998"/>
    <n v="388"/>
    <n v="3104"/>
    <n v="3285"/>
    <n v="952.65"/>
    <n v="1.058311855670103"/>
    <n v="1"/>
    <n v="5.8000000000000003E-2"/>
    <s v="260"/>
    <m/>
    <n v="5"/>
    <n v="3280"/>
    <n v="0.99847792998477924"/>
    <m/>
    <m/>
    <s v="，充填281g~285g(瓶器285cc輕十二角瓶)"/>
    <m/>
    <x v="2"/>
    <x v="10"/>
    <d v="2026-06-23T00:00:00"/>
    <d v="2026-06-22T00:00:00"/>
    <d v="2026-06-23T00:00:00"/>
    <x v="2"/>
    <x v="2"/>
  </r>
  <r>
    <x v="576"/>
    <x v="27"/>
    <x v="26"/>
    <n v="28"/>
    <n v="3.2"/>
    <n v="47.5"/>
    <n v="1330"/>
    <n v="1279"/>
    <n v="4092.8"/>
    <n v="0.96165413533834587"/>
    <n v="1"/>
    <n v="-3.7999999999999999E-2"/>
    <s v="240"/>
    <m/>
    <n v="1"/>
    <n v="1278"/>
    <n v="0.99921813917122748"/>
    <m/>
    <m/>
    <s v=""/>
    <m/>
    <x v="3"/>
    <x v="12"/>
    <d v="2026-07-01T00:00:00"/>
    <d v="2026-06-23T00:00:00"/>
    <d v="2026-06-24T00:00:00"/>
    <x v="2"/>
    <x v="8"/>
  </r>
  <r>
    <x v="576"/>
    <x v="13"/>
    <x v="13"/>
    <n v="16"/>
    <n v="0.9"/>
    <n v="160.5"/>
    <n v="2568"/>
    <n v="2595"/>
    <n v="2335.5"/>
    <n v="1.0105140186915889"/>
    <n v="1"/>
    <n v="1.0999999999999999E-2"/>
    <s v="270"/>
    <m/>
    <n v="2"/>
    <n v="2593"/>
    <n v="0.9992292870905588"/>
    <m/>
    <m/>
    <s v=""/>
    <m/>
    <x v="3"/>
    <x v="12"/>
    <d v="2026-07-01T00:00:00"/>
    <d v="2026-06-23T00:00:00"/>
    <d v="2026-06-24T00:00:00"/>
    <x v="2"/>
    <x v="8"/>
  </r>
  <r>
    <x v="576"/>
    <x v="9"/>
    <x v="9"/>
    <n v="20"/>
    <n v="6"/>
    <n v="25.7"/>
    <n v="514"/>
    <n v="515"/>
    <n v="3090"/>
    <n v="1.0019455252918288"/>
    <n v="1"/>
    <n v="2E-3"/>
    <s v="308"/>
    <m/>
    <n v="2"/>
    <n v="513"/>
    <n v="0.99611650485436898"/>
    <m/>
    <m/>
    <m/>
    <m/>
    <x v="1"/>
    <x v="11"/>
    <d v="2026-07-01T00:00:00"/>
    <s v="-"/>
    <s v="-"/>
    <x v="3"/>
    <x v="8"/>
  </r>
  <r>
    <x v="576"/>
    <x v="16"/>
    <x v="16"/>
    <n v="16"/>
    <n v="6"/>
    <n v="26.1"/>
    <n v="417.6"/>
    <n v="423"/>
    <n v="2538"/>
    <n v="1.0129310344827587"/>
    <n v="1"/>
    <n v="1.2999999999999999E-2"/>
    <s v="240"/>
    <m/>
    <n v="2"/>
    <n v="421"/>
    <n v="0.99527186761229314"/>
    <m/>
    <m/>
    <s v=""/>
    <m/>
    <x v="1"/>
    <x v="12"/>
    <d v="2026-07-01T00:00:00"/>
    <d v="2026-06-23T00:00:00"/>
    <d v="2026-06-24T00:00:00"/>
    <x v="2"/>
    <x v="8"/>
  </r>
  <r>
    <x v="576"/>
    <x v="41"/>
    <x v="39"/>
    <n v="28"/>
    <n v="2.8"/>
    <n v="44.2"/>
    <n v="594.74285714285725"/>
    <n v="616"/>
    <n v="1724.8"/>
    <n v="1.0357417371252882"/>
    <n v="1"/>
    <n v="3.5999999999999997E-2"/>
    <s v="295"/>
    <m/>
    <n v="1"/>
    <n v="615"/>
    <n v="0.99837662337662336"/>
    <m/>
    <m/>
    <s v="，D9921(18kg)*100桶"/>
    <m/>
    <x v="2"/>
    <x v="12"/>
    <d v="2026-06-24T00:00:00"/>
    <d v="2026-06-23T00:00:00"/>
    <d v="2026-06-24T00:00:00"/>
    <x v="2"/>
    <x v="2"/>
  </r>
  <r>
    <x v="576"/>
    <x v="11"/>
    <x v="11"/>
    <n v="28"/>
    <n v="2.8"/>
    <n v="44.5"/>
    <n v="860.28571428571422"/>
    <n v="859"/>
    <n v="2405.1999999999998"/>
    <n v="0.99850547990700766"/>
    <n v="1"/>
    <n v="-1E-3"/>
    <s v="430"/>
    <m/>
    <n v="1"/>
    <n v="858"/>
    <n v="0.99883585564610011"/>
    <m/>
    <m/>
    <s v="，D2021美芝城100箱，D9920(18KG)60桶"/>
    <m/>
    <x v="2"/>
    <x v="12"/>
    <d v="2026-06-24T00:00:00"/>
    <d v="2026-06-23T00:00:00"/>
    <d v="2026-06-24T00:00:00"/>
    <x v="2"/>
    <x v="2"/>
  </r>
  <r>
    <x v="577"/>
    <x v="140"/>
    <x v="10"/>
    <n v="20"/>
    <n v="6"/>
    <n v="25.4"/>
    <n v="508"/>
    <n v="523"/>
    <n v="3138"/>
    <n v="1.0295275590551181"/>
    <e v="#N/A"/>
    <e v="#N/A"/>
    <s v="300"/>
    <m/>
    <n v="1"/>
    <n v="522"/>
    <n v="0.99808795411089868"/>
    <m/>
    <m/>
    <m/>
    <m/>
    <x v="1"/>
    <x v="11"/>
    <d v="2026-07-03T00:00:00"/>
    <d v="2026-06-24T00:00:00"/>
    <d v="2026-06-25T00:00:00"/>
    <x v="2"/>
    <x v="7"/>
  </r>
  <r>
    <x v="577"/>
    <x v="9"/>
    <x v="9"/>
    <n v="12"/>
    <n v="6"/>
    <n v="25.7"/>
    <n v="308.39999999999998"/>
    <n v="302"/>
    <n v="1812"/>
    <n v="0.97924773022049294"/>
    <n v="1"/>
    <n v="-2.1000000000000001E-2"/>
    <s v="240"/>
    <m/>
    <n v="1"/>
    <n v="301"/>
    <n v="0.99668874172185429"/>
    <m/>
    <m/>
    <m/>
    <m/>
    <x v="1"/>
    <x v="11"/>
    <d v="2026-07-03T00:00:00"/>
    <s v="-"/>
    <s v="-"/>
    <x v="2"/>
    <x v="7"/>
  </r>
  <r>
    <x v="577"/>
    <x v="46"/>
    <x v="17"/>
    <n v="18"/>
    <n v="3"/>
    <n v="31.6"/>
    <n v="568.80000000000007"/>
    <n v="572"/>
    <n v="1716"/>
    <n v="1.0056258790436003"/>
    <n v="1"/>
    <n v="6.0000000000000001E-3"/>
    <s v="510"/>
    <m/>
    <n v="0"/>
    <n v="572"/>
    <n v="1"/>
    <m/>
    <m/>
    <s v=""/>
    <m/>
    <x v="2"/>
    <x v="11"/>
    <d v="2026-06-25T00:00:00"/>
    <d v="2026-06-22T00:00:00"/>
    <d v="2026-06-25T00:00:00"/>
    <x v="2"/>
    <x v="2"/>
  </r>
  <r>
    <x v="578"/>
    <x v="90"/>
    <x v="81"/>
    <n v="1"/>
    <n v="1"/>
    <n v="670"/>
    <n v="670"/>
    <n v="383"/>
    <n v="383"/>
    <n v="0.57164179104477608"/>
    <n v="1"/>
    <n v="-0.42799999999999999"/>
    <s v="0"/>
    <m/>
    <n v="0"/>
    <n v="383"/>
    <n v="1"/>
    <m/>
    <m/>
    <s v=""/>
    <m/>
    <x v="4"/>
    <x v="13"/>
    <d v="2026-06-29T00:00:00"/>
    <d v="2026-06-29T00:00:00"/>
    <d v="2026-07-03T00:00:00"/>
    <x v="2"/>
    <x v="2"/>
  </r>
  <r>
    <x v="579"/>
    <x v="15"/>
    <x v="15"/>
    <n v="32"/>
    <n v="3.2"/>
    <n v="46.8"/>
    <n v="1497.6"/>
    <n v="1517"/>
    <n v="4854.4000000000005"/>
    <n v="1.0129540598290598"/>
    <n v="1"/>
    <n v="1.2999999999999999E-2"/>
    <s v="300"/>
    <m/>
    <n v="3"/>
    <n v="1514"/>
    <n v="0.998022412656559"/>
    <m/>
    <m/>
    <s v=""/>
    <m/>
    <x v="3"/>
    <x v="14"/>
    <d v="2026-07-01T00:00:00"/>
    <d v="2026-06-29T00:00:00"/>
    <s v="-"/>
    <x v="3"/>
    <x v="4"/>
  </r>
  <r>
    <x v="579"/>
    <x v="47"/>
    <x v="42"/>
    <n v="8"/>
    <n v="6"/>
    <n v="25.6"/>
    <n v="204.8"/>
    <n v="207"/>
    <n v="1242"/>
    <n v="1.0107421875"/>
    <n v="1"/>
    <n v="1.0999999999999999E-2"/>
    <s v="120"/>
    <m/>
    <n v="5"/>
    <n v="202"/>
    <n v="0.97584541062801933"/>
    <m/>
    <m/>
    <s v=""/>
    <m/>
    <x v="3"/>
    <x v="14"/>
    <d v="2026-07-01T00:00:00"/>
    <d v="2026-06-29T00:00:00"/>
    <d v="2026-07-03T00:00:00"/>
    <x v="3"/>
    <x v="4"/>
  </r>
  <r>
    <x v="579"/>
    <x v="130"/>
    <x v="114"/>
    <n v="6"/>
    <n v="6"/>
    <n v="0"/>
    <n v="0"/>
    <n v="158"/>
    <n v="948"/>
    <s v="無法預估數據"/>
    <e v="#N/A"/>
    <s v="無法預估數據"/>
    <s v="150"/>
    <m/>
    <n v="1"/>
    <n v="157"/>
    <n v="0.99367088607594933"/>
    <m/>
    <m/>
    <s v=""/>
    <m/>
    <x v="3"/>
    <x v="14"/>
    <d v="2026-07-01T00:00:00"/>
    <d v="2026-06-29T00:00:00"/>
    <d v="2026-07-03T00:00:00"/>
    <x v="3"/>
    <x v="4"/>
  </r>
  <r>
    <x v="579"/>
    <x v="35"/>
    <x v="33"/>
    <n v="8"/>
    <n v="18"/>
    <n v="6.6"/>
    <n v="52.8"/>
    <n v="49"/>
    <n v="882"/>
    <n v="0.92803030303030309"/>
    <n v="1"/>
    <n v="-7.1999999999999995E-2"/>
    <s v="115"/>
    <m/>
    <n v="0"/>
    <n v="49"/>
    <n v="1"/>
    <m/>
    <m/>
    <m/>
    <m/>
    <x v="2"/>
    <x v="15"/>
    <s v="-"/>
    <d v="2026-06-24T00:00:00"/>
    <d v="2026-06-30T00:00:00"/>
    <x v="2"/>
    <x v="2"/>
  </r>
  <r>
    <x v="579"/>
    <x v="11"/>
    <x v="11"/>
    <n v="48"/>
    <n v="2.8"/>
    <n v="44.5"/>
    <n v="2136"/>
    <n v="2269"/>
    <n v="6353.2"/>
    <n v="1.0622659176029963"/>
    <n v="1"/>
    <n v="6.2E-2"/>
    <s v="400"/>
    <m/>
    <n v="1"/>
    <n v="2268"/>
    <n v="0.999559277214632"/>
    <m/>
    <m/>
    <s v="，D9920(18KG)*60桶"/>
    <m/>
    <x v="2"/>
    <x v="15"/>
    <d v="2026-06-30T00:00:00"/>
    <d v="2026-06-24T00:00:00"/>
    <s v="-"/>
    <x v="2"/>
    <x v="2"/>
  </r>
  <r>
    <x v="580"/>
    <x v="49"/>
    <x v="43"/>
    <n v="12"/>
    <n v="0.43"/>
    <n v="364"/>
    <n v="4368"/>
    <n v="4394"/>
    <n v="1889.42"/>
    <n v="1.0059523809523809"/>
    <n v="1"/>
    <n v="6.0000000000000001E-3"/>
    <s v="300"/>
    <m/>
    <n v="6"/>
    <n v="4388"/>
    <n v="0.99863450159308143"/>
    <m/>
    <m/>
    <m/>
    <m/>
    <x v="3"/>
    <x v="16"/>
    <d v="2026-07-03T00:00:00"/>
    <d v="2026-06-30T00:00:00"/>
    <d v="2026-07-03T00:00:00"/>
    <x v="3"/>
    <x v="1"/>
  </r>
  <r>
    <x v="580"/>
    <x v="1"/>
    <x v="1"/>
    <n v="6"/>
    <n v="6"/>
    <n v="25.7"/>
    <n v="154.19999999999999"/>
    <n v="151"/>
    <n v="906"/>
    <n v="0.97924773022049294"/>
    <n v="1"/>
    <n v="-2.1000000000000001E-2"/>
    <s v="105"/>
    <m/>
    <n v="2"/>
    <n v="149"/>
    <n v="0.98675496688741726"/>
    <m/>
    <m/>
    <m/>
    <m/>
    <x v="1"/>
    <x v="16"/>
    <d v="2026-07-03T00:00:00"/>
    <d v="2026-06-30T00:00:00"/>
    <d v="2026-07-02T00:00:00"/>
    <x v="3"/>
    <x v="1"/>
  </r>
  <r>
    <x v="580"/>
    <x v="153"/>
    <x v="115"/>
    <n v="8"/>
    <n v="4.5"/>
    <n v="33.200000000000003"/>
    <n v="265.60000000000002"/>
    <n v="268"/>
    <n v="1206"/>
    <n v="1.0090361445783131"/>
    <e v="#N/A"/>
    <e v="#N/A"/>
    <s v="225"/>
    <m/>
    <n v="0"/>
    <n v="268"/>
    <n v="1"/>
    <m/>
    <m/>
    <m/>
    <m/>
    <x v="1"/>
    <x v="16"/>
    <d v="2026-07-03T00:00:00"/>
    <d v="2026-06-30T00:00:00"/>
    <d v="2026-07-02T00:00:00"/>
    <x v="3"/>
    <x v="1"/>
  </r>
  <r>
    <x v="580"/>
    <x v="9"/>
    <x v="9"/>
    <n v="20"/>
    <n v="6"/>
    <n v="25.7"/>
    <n v="514"/>
    <n v="515"/>
    <n v="3090"/>
    <n v="1.0019455252918288"/>
    <n v="1"/>
    <n v="2E-3"/>
    <s v="220"/>
    <m/>
    <n v="1"/>
    <n v="514"/>
    <n v="0.99805825242718449"/>
    <m/>
    <m/>
    <m/>
    <m/>
    <x v="1"/>
    <x v="16"/>
    <d v="2026-07-03T00:00:00"/>
    <d v="2026-06-30T00:00:00"/>
    <s v="-"/>
    <x v="3"/>
    <x v="1"/>
  </r>
  <r>
    <x v="580"/>
    <x v="156"/>
    <x v="130"/>
    <n v="1"/>
    <n v="6"/>
    <n v="0"/>
    <n v="0"/>
    <n v="22"/>
    <n v="132"/>
    <s v="無法預估數據"/>
    <e v="#N/A"/>
    <s v="無法預估數據"/>
    <s v="80"/>
    <m/>
    <n v="2"/>
    <n v="20"/>
    <n v="0.90909090909090906"/>
    <m/>
    <m/>
    <m/>
    <m/>
    <x v="1"/>
    <x v="16"/>
    <d v="2026-07-03T00:00:00"/>
    <d v="2026-06-30T00:00:00"/>
    <d v="2026-07-03T00:00:00"/>
    <x v="3"/>
    <x v="1"/>
  </r>
  <r>
    <x v="581"/>
    <x v="15"/>
    <x v="15"/>
    <n v="68"/>
    <n v="3.2"/>
    <n v="46.8"/>
    <n v="3182.3999999999996"/>
    <n v="3249"/>
    <n v="10396.800000000001"/>
    <n v="1.0209276018099549"/>
    <n v="1"/>
    <n v="2.1000000000000001E-2"/>
    <s v="540"/>
    <m/>
    <n v="3"/>
    <n v="3246"/>
    <n v="0.99907663896583565"/>
    <m/>
    <m/>
    <m/>
    <m/>
    <x v="3"/>
    <x v="17"/>
    <d v="2026-07-03T00:00:00"/>
    <d v="2026-07-01T00:00:00"/>
    <s v="-"/>
    <x v="3"/>
    <x v="4"/>
  </r>
  <r>
    <x v="581"/>
    <x v="65"/>
    <x v="56"/>
    <n v="8"/>
    <n v="9.5"/>
    <n v="16.600000000000001"/>
    <n v="132.80000000000001"/>
    <n v="128"/>
    <n v="1216"/>
    <n v="0.96385542168674687"/>
    <n v="1"/>
    <n v="-3.5999999999999997E-2"/>
    <s v="135"/>
    <m/>
    <n v="0"/>
    <n v="128"/>
    <n v="1"/>
    <m/>
    <m/>
    <m/>
    <m/>
    <x v="1"/>
    <x v="16"/>
    <d v="2026-07-03T00:00:00"/>
    <d v="2026-07-01T00:00:00"/>
    <d v="2026-07-02T00:00:00"/>
    <x v="2"/>
    <x v="4"/>
  </r>
  <r>
    <x v="581"/>
    <x v="18"/>
    <x v="18"/>
    <n v="8"/>
    <n v="6"/>
    <n v="26.4"/>
    <n v="211.2"/>
    <n v="208"/>
    <n v="1248"/>
    <n v="0.98484848484848486"/>
    <n v="1"/>
    <n v="-1.4999999999999999E-2"/>
    <s v="135"/>
    <m/>
    <n v="1"/>
    <n v="207"/>
    <n v="0.99519230769230771"/>
    <m/>
    <m/>
    <m/>
    <m/>
    <x v="1"/>
    <x v="16"/>
    <d v="2026-07-07T00:00:00"/>
    <d v="2026-07-01T00:00:00"/>
    <d v="2026-07-02T00:00:00"/>
    <x v="2"/>
    <x v="6"/>
  </r>
  <r>
    <x v="581"/>
    <x v="140"/>
    <x v="10"/>
    <n v="16"/>
    <n v="6"/>
    <n v="25.4"/>
    <n v="406.4"/>
    <n v="414"/>
    <n v="2484"/>
    <n v="1.0187007874015748"/>
    <e v="#N/A"/>
    <e v="#N/A"/>
    <s v="210"/>
    <m/>
    <n v="1"/>
    <n v="413"/>
    <n v="0.99758454106280192"/>
    <m/>
    <m/>
    <m/>
    <m/>
    <x v="1"/>
    <x v="17"/>
    <d v="2026-07-07T00:00:00"/>
    <d v="2026-07-01T00:00:00"/>
    <d v="2026-07-03T00:00:00"/>
    <x v="3"/>
    <x v="6"/>
  </r>
  <r>
    <x v="581"/>
    <x v="11"/>
    <x v="11"/>
    <n v="56"/>
    <n v="2.8"/>
    <n v="44.5"/>
    <n v="2492"/>
    <n v="2578"/>
    <n v="7218.4"/>
    <n v="1.0345104333868378"/>
    <n v="1"/>
    <n v="3.5000000000000003E-2"/>
    <s v="450"/>
    <m/>
    <n v="1"/>
    <n v="2577"/>
    <n v="0.99961210240496512"/>
    <m/>
    <m/>
    <m/>
    <m/>
    <x v="2"/>
    <x v="17"/>
    <d v="2026-07-03T00:00:00"/>
    <d v="2026-07-01T00:00:00"/>
    <s v="-"/>
    <x v="3"/>
    <x v="4"/>
  </r>
  <r>
    <x v="582"/>
    <x v="8"/>
    <x v="8"/>
    <n v="36"/>
    <n v="0.44"/>
    <n v="344"/>
    <n v="12384"/>
    <n v="12230"/>
    <n v="5381.2"/>
    <n v="0.98756459948320419"/>
    <n v="1"/>
    <n v="-1.2E-2"/>
    <s v="540"/>
    <m/>
    <n v="14"/>
    <n v="12216"/>
    <n v="0.99885527391659856"/>
    <m/>
    <m/>
    <m/>
    <m/>
    <x v="3"/>
    <x v="17"/>
    <d v="2026-07-07T00:00:00"/>
    <d v="2026-07-02T00:00:00"/>
    <d v="2026-07-03T00:00:00"/>
    <x v="2"/>
    <x v="3"/>
  </r>
  <r>
    <x v="582"/>
    <x v="157"/>
    <x v="10"/>
    <n v="12"/>
    <n v="6"/>
    <n v="0"/>
    <n v="0"/>
    <n v="310"/>
    <n v="1860"/>
    <s v="無法預估數據"/>
    <n v="0"/>
    <s v="無法預估數據"/>
    <s v="190"/>
    <m/>
    <n v="1"/>
    <n v="309"/>
    <n v="0.99677419354838714"/>
    <m/>
    <m/>
    <m/>
    <m/>
    <x v="1"/>
    <x v="17"/>
    <d v="2026-07-07T00:00:00"/>
    <d v="2026-07-02T00:00:00"/>
    <d v="2026-07-03T00:00:00"/>
    <x v="2"/>
    <x v="3"/>
  </r>
  <r>
    <x v="582"/>
    <x v="9"/>
    <x v="9"/>
    <n v="24"/>
    <n v="6"/>
    <n v="25.7"/>
    <n v="616.79999999999995"/>
    <n v="621"/>
    <n v="3726"/>
    <n v="1.0068093385214008"/>
    <n v="1"/>
    <n v="7.0000000000000001E-3"/>
    <s v="323"/>
    <m/>
    <n v="2"/>
    <n v="619"/>
    <n v="0.9967793880837359"/>
    <m/>
    <m/>
    <m/>
    <m/>
    <x v="1"/>
    <x v="18"/>
    <d v="2026-07-07T00:00:00"/>
    <s v="-"/>
    <s v="-"/>
    <x v="4"/>
    <x v="3"/>
  </r>
  <r>
    <x v="582"/>
    <x v="11"/>
    <x v="11"/>
    <n v="56"/>
    <n v="2.8"/>
    <n v="44.5"/>
    <n v="2395.5714285714284"/>
    <n v="2484"/>
    <n v="6955.2"/>
    <n v="1.0369133520186058"/>
    <n v="1"/>
    <n v="3.6999999999999998E-2"/>
    <s v="65"/>
    <m/>
    <n v="1"/>
    <n v="2483"/>
    <n v="0.99959742351046699"/>
    <m/>
    <m/>
    <s v="D9920*15桶"/>
    <m/>
    <x v="1"/>
    <x v="17"/>
    <d v="2026-07-03T00:00:00"/>
    <s v="-"/>
    <d v="2026-07-03T00:00:00"/>
    <x v="2"/>
    <x v="2"/>
  </r>
  <r>
    <x v="582"/>
    <x v="156"/>
    <x v="130"/>
    <n v="1"/>
    <n v="6"/>
    <n v="0"/>
    <n v="0"/>
    <n v="23"/>
    <n v="138"/>
    <s v="無法預估數據"/>
    <e v="#N/A"/>
    <s v="無法預估數據"/>
    <s v="440"/>
    <m/>
    <n v="1"/>
    <n v="22"/>
    <n v="0.95652173913043481"/>
    <m/>
    <m/>
    <m/>
    <m/>
    <x v="2"/>
    <x v="17"/>
    <d v="2026-07-07T00:00:00"/>
    <d v="2026-07-02T00:00:00"/>
    <d v="2026-07-03T00:00:00"/>
    <x v="2"/>
    <x v="3"/>
  </r>
  <r>
    <x v="583"/>
    <x v="15"/>
    <x v="15"/>
    <n v="68"/>
    <n v="3.2"/>
    <n v="46.8"/>
    <n v="3182.3999999999996"/>
    <n v="3169"/>
    <n v="10140.800000000001"/>
    <n v="0.9957893413775768"/>
    <n v="1"/>
    <n v="-4.0000000000000001E-3"/>
    <s v="570"/>
    <m/>
    <n v="3"/>
    <n v="3166"/>
    <n v="0.99905332912590727"/>
    <m/>
    <m/>
    <m/>
    <m/>
    <x v="3"/>
    <x v="19"/>
    <d v="2026-07-07T00:00:00"/>
    <s v="-"/>
    <d v="2026-07-07T00:00:00"/>
    <x v="3"/>
    <x v="4"/>
  </r>
  <r>
    <x v="583"/>
    <x v="20"/>
    <x v="20"/>
    <n v="8"/>
    <n v="6"/>
    <n v="25"/>
    <n v="200"/>
    <n v="198"/>
    <n v="1188"/>
    <n v="0.99"/>
    <n v="1"/>
    <n v="-0.01"/>
    <s v="140"/>
    <m/>
    <n v="1"/>
    <n v="197"/>
    <n v="0.99494949494949492"/>
    <m/>
    <m/>
    <m/>
    <m/>
    <x v="1"/>
    <x v="18"/>
    <d v="2026-07-07T00:00:00"/>
    <d v="2026-07-03T00:00:00"/>
    <d v="2026-07-06T00:00:00"/>
    <x v="2"/>
    <x v="4"/>
  </r>
  <r>
    <x v="583"/>
    <x v="19"/>
    <x v="19"/>
    <n v="16"/>
    <n v="6"/>
    <n v="25.5"/>
    <n v="408"/>
    <n v="448"/>
    <n v="2688"/>
    <n v="1.0980392156862746"/>
    <n v="1"/>
    <n v="9.8000000000000004E-2"/>
    <s v="409"/>
    <m/>
    <n v="1"/>
    <n v="447"/>
    <n v="0.9977678571428571"/>
    <m/>
    <m/>
    <m/>
    <m/>
    <x v="1"/>
    <x v="18"/>
    <d v="2026-07-07T00:00:00"/>
    <d v="2026-07-03T00:00:00"/>
    <d v="2026-07-06T00:00:00"/>
    <x v="2"/>
    <x v="4"/>
  </r>
  <r>
    <x v="583"/>
    <x v="10"/>
    <x v="10"/>
    <n v="12"/>
    <n v="6"/>
    <n v="25.4"/>
    <n v="304.79999999999995"/>
    <n v="299"/>
    <n v="1794"/>
    <n v="0.98097112860892399"/>
    <n v="1"/>
    <n v="-1.9E-2"/>
    <s v="340"/>
    <m/>
    <n v="1"/>
    <n v="298"/>
    <n v="0.99665551839464883"/>
    <m/>
    <m/>
    <m/>
    <m/>
    <x v="1"/>
    <x v="19"/>
    <d v="2026-07-07T00:00:00"/>
    <d v="2026-07-03T00:00:00"/>
    <d v="2026-07-07T00:00:00"/>
    <x v="3"/>
    <x v="4"/>
  </r>
  <r>
    <x v="583"/>
    <x v="34"/>
    <x v="32"/>
    <n v="12"/>
    <n v="0.34"/>
    <n v="358.3"/>
    <n v="4299.6000000000004"/>
    <n v="4223"/>
    <n v="1435.8200000000002"/>
    <n v="0.9821843892455111"/>
    <n v="1"/>
    <n v="-1.7999999999999999E-2"/>
    <s v="195"/>
    <m/>
    <n v="3"/>
    <n v="4220"/>
    <n v="0.99928960454653093"/>
    <m/>
    <m/>
    <m/>
    <m/>
    <x v="2"/>
    <x v="18"/>
    <d v="2026-07-06T00:00:00"/>
    <d v="2026-07-03T00:00:00"/>
    <d v="2026-07-06T00:00:00"/>
    <x v="2"/>
    <x v="2"/>
  </r>
  <r>
    <x v="583"/>
    <x v="6"/>
    <x v="6"/>
    <n v="24"/>
    <n v="0.4"/>
    <n v="309.2"/>
    <n v="7420.7999999999993"/>
    <n v="7569"/>
    <n v="3027.6000000000004"/>
    <n v="1.0199708926261322"/>
    <n v="1"/>
    <n v="0.02"/>
    <s v="445"/>
    <m/>
    <n v="3"/>
    <n v="7566"/>
    <n v="0.99960364645263577"/>
    <m/>
    <m/>
    <m/>
    <m/>
    <x v="2"/>
    <x v="18"/>
    <d v="2026-07-06T00:00:00"/>
    <d v="2026-07-03T00:00:00"/>
    <d v="2026-07-06T00:00:00"/>
    <x v="2"/>
    <x v="2"/>
  </r>
  <r>
    <x v="583"/>
    <x v="118"/>
    <x v="107"/>
    <n v="1"/>
    <n v="1"/>
    <n v="0"/>
    <n v="0"/>
    <n v="530"/>
    <n v="530"/>
    <s v="無法預估數據"/>
    <e v="#N/A"/>
    <s v="無法預估數據"/>
    <s v="0"/>
    <m/>
    <n v="0"/>
    <n v="530"/>
    <n v="1"/>
    <m/>
    <m/>
    <m/>
    <m/>
    <x v="4"/>
    <x v="18"/>
    <s v="-"/>
    <d v="2026-07-03T00:00:00"/>
    <d v="2026-07-23T00:00:00"/>
    <x v="2"/>
    <x v="2"/>
  </r>
  <r>
    <x v="584"/>
    <x v="134"/>
    <x v="116"/>
    <n v="3"/>
    <n v="0.35"/>
    <n v="341.7"/>
    <n v="1025.0999999999999"/>
    <n v="1102"/>
    <n v="385.7"/>
    <n v="1.0750170715052192"/>
    <n v="1"/>
    <n v="7.4999999999999997E-2"/>
    <s v="207"/>
    <m/>
    <n v="5"/>
    <n v="1097"/>
    <n v="0.99546279491833034"/>
    <m/>
    <m/>
    <m/>
    <m/>
    <x v="3"/>
    <x v="8"/>
    <d v="2026-07-13T00:00:00"/>
    <d v="2026-07-06T00:00:00"/>
    <d v="2026-07-07T00:00:00"/>
    <x v="2"/>
    <x v="9"/>
  </r>
  <r>
    <x v="584"/>
    <x v="43"/>
    <x v="41"/>
    <n v="20"/>
    <n v="0.26"/>
    <n v="584.29999999999995"/>
    <n v="11686"/>
    <n v="11382"/>
    <n v="2959.32"/>
    <n v="0.97398596611329802"/>
    <n v="1"/>
    <n v="-2.5999999999999999E-2"/>
    <s v="390"/>
    <m/>
    <n v="8"/>
    <n v="11374"/>
    <n v="0.9992971358285011"/>
    <m/>
    <m/>
    <m/>
    <m/>
    <x v="3"/>
    <x v="19"/>
    <d v="2026-07-13T00:00:00"/>
    <d v="2026-07-06T00:00:00"/>
    <d v="2026-07-07T00:00:00"/>
    <x v="2"/>
    <x v="9"/>
  </r>
  <r>
    <x v="584"/>
    <x v="154"/>
    <x v="84"/>
    <n v="8"/>
    <n v="6"/>
    <n v="0"/>
    <n v="0"/>
    <n v="205"/>
    <n v="1230"/>
    <s v="無法預估數據"/>
    <n v="0"/>
    <s v="無法預估數據"/>
    <s v="139"/>
    <m/>
    <n v="1"/>
    <n v="204"/>
    <n v="0.99512195121951219"/>
    <m/>
    <m/>
    <m/>
    <m/>
    <x v="1"/>
    <x v="19"/>
    <d v="2026-07-13T00:00:00"/>
    <d v="2026-07-06T00:00:00"/>
    <d v="2026-07-07T00:00:00"/>
    <x v="2"/>
    <x v="9"/>
  </r>
  <r>
    <x v="584"/>
    <x v="150"/>
    <x v="126"/>
    <n v="6"/>
    <n v="6"/>
    <n v="0"/>
    <n v="0"/>
    <n v="158"/>
    <n v="948"/>
    <s v="無法預估數據"/>
    <n v="0"/>
    <s v="無法預估數據"/>
    <s v="155"/>
    <m/>
    <n v="1"/>
    <n v="157"/>
    <n v="0.99367088607594933"/>
    <m/>
    <m/>
    <m/>
    <m/>
    <x v="1"/>
    <x v="19"/>
    <d v="2026-07-13T00:00:00"/>
    <d v="2026-07-06T00:00:00"/>
    <d v="2026-07-07T00:00:00"/>
    <x v="2"/>
    <x v="9"/>
  </r>
  <r>
    <x v="584"/>
    <x v="9"/>
    <x v="9"/>
    <n v="24"/>
    <n v="6"/>
    <n v="25.7"/>
    <n v="616.79999999999995"/>
    <n v="616"/>
    <n v="3696"/>
    <n v="0.99870298313878092"/>
    <n v="1"/>
    <n v="-1E-3"/>
    <s v="299"/>
    <m/>
    <n v="2"/>
    <n v="614"/>
    <n v="0.99675324675324672"/>
    <m/>
    <m/>
    <m/>
    <m/>
    <x v="1"/>
    <x v="20"/>
    <d v="2026-07-13T00:00:00"/>
    <s v="-"/>
    <d v="2026-07-08T00:00:00"/>
    <x v="3"/>
    <x v="9"/>
  </r>
  <r>
    <x v="584"/>
    <x v="41"/>
    <x v="39"/>
    <n v="60"/>
    <n v="2.8"/>
    <n v="44.2"/>
    <n v="2652"/>
    <n v="2623"/>
    <n v="7344.4"/>
    <n v="0.98906485671191557"/>
    <n v="1"/>
    <n v="-1.0999999999999999E-2"/>
    <s v="500"/>
    <m/>
    <n v="301"/>
    <n v="2322"/>
    <n v="0.88524590163934425"/>
    <m/>
    <m/>
    <m/>
    <m/>
    <x v="2"/>
    <x v="19"/>
    <d v="2026-07-07T00:00:00"/>
    <d v="2026-07-06T00:00:00"/>
    <d v="2026-07-07T00:00:00"/>
    <x v="2"/>
    <x v="2"/>
  </r>
  <r>
    <x v="585"/>
    <x v="0"/>
    <x v="0"/>
    <n v="16"/>
    <n v="6"/>
    <n v="25.5"/>
    <n v="408"/>
    <n v="402"/>
    <n v="2412"/>
    <n v="0.98529411764705888"/>
    <n v="1"/>
    <n v="-1.4999999999999999E-2"/>
    <s v="240"/>
    <m/>
    <n v="1"/>
    <n v="401"/>
    <n v="0.99751243781094523"/>
    <m/>
    <m/>
    <m/>
    <m/>
    <x v="3"/>
    <x v="21"/>
    <d v="2026-07-13T00:00:00"/>
    <d v="2026-07-07T00:00:00"/>
    <d v="2026-07-08T00:00:00"/>
    <x v="3"/>
    <x v="6"/>
  </r>
  <r>
    <x v="585"/>
    <x v="2"/>
    <x v="2"/>
    <n v="24"/>
    <n v="6"/>
    <n v="26.6"/>
    <n v="638.40000000000009"/>
    <n v="620"/>
    <n v="3720"/>
    <n v="0.97117794486215525"/>
    <n v="1"/>
    <n v="-2.9000000000000001E-2"/>
    <s v="300"/>
    <m/>
    <n v="3"/>
    <n v="617"/>
    <n v="0.99516129032258061"/>
    <m/>
    <m/>
    <m/>
    <m/>
    <x v="3"/>
    <x v="21"/>
    <d v="2026-07-13T00:00:00"/>
    <d v="2026-07-07T00:00:00"/>
    <d v="2026-07-08T00:00:00"/>
    <x v="3"/>
    <x v="6"/>
  </r>
  <r>
    <x v="585"/>
    <x v="51"/>
    <x v="45"/>
    <n v="8"/>
    <n v="9.08"/>
    <n v="17.8"/>
    <n v="142.4"/>
    <n v="141"/>
    <n v="1280.28"/>
    <n v="0.9901685393258427"/>
    <n v="1"/>
    <n v="-0.01"/>
    <s v="179"/>
    <m/>
    <n v="0"/>
    <n v="141"/>
    <n v="1"/>
    <m/>
    <m/>
    <m/>
    <m/>
    <x v="1"/>
    <x v="21"/>
    <d v="2026-07-13T00:00:00"/>
    <d v="2026-07-07T00:00:00"/>
    <d v="2026-07-09T00:00:00"/>
    <x v="3"/>
    <x v="6"/>
  </r>
  <r>
    <x v="585"/>
    <x v="152"/>
    <x v="128"/>
    <n v="16"/>
    <n v="4.5"/>
    <n v="36.299999999999997"/>
    <n v="580.79999999999995"/>
    <n v="573"/>
    <n v="2578.5"/>
    <n v="0.98657024793388437"/>
    <n v="1"/>
    <n v="-1.2999999999999999E-2"/>
    <s v="310"/>
    <m/>
    <n v="0"/>
    <n v="573"/>
    <n v="1"/>
    <m/>
    <m/>
    <m/>
    <m/>
    <x v="1"/>
    <x v="20"/>
    <d v="2026-07-13T00:00:00"/>
    <d v="2026-07-07T00:00:00"/>
    <d v="2026-07-08T00:00:00"/>
    <x v="2"/>
    <x v="6"/>
  </r>
  <r>
    <x v="585"/>
    <x v="158"/>
    <x v="104"/>
    <n v="8"/>
    <n v="4.5"/>
    <n v="37"/>
    <n v="296"/>
    <n v="293"/>
    <n v="1318.5"/>
    <n v="0.98986486486486491"/>
    <e v="#N/A"/>
    <e v="#N/A"/>
    <s v="160"/>
    <m/>
    <n v="0"/>
    <n v="293"/>
    <n v="1"/>
    <m/>
    <m/>
    <m/>
    <m/>
    <x v="1"/>
    <x v="21"/>
    <d v="2026-07-13T00:00:00"/>
    <d v="2026-07-07T00:00:00"/>
    <d v="2026-07-09T00:00:00"/>
    <x v="3"/>
    <x v="6"/>
  </r>
  <r>
    <x v="585"/>
    <x v="12"/>
    <x v="12"/>
    <n v="20"/>
    <n v="0.8"/>
    <n v="157.69999999999999"/>
    <n v="3154"/>
    <n v="3119"/>
    <n v="2495.2000000000003"/>
    <n v="0.9889029803424223"/>
    <n v="1"/>
    <n v="-1.0999999999999999E-2"/>
    <s v="285"/>
    <m/>
    <n v="3"/>
    <n v="3116"/>
    <n v="0.99903815325424816"/>
    <m/>
    <m/>
    <m/>
    <m/>
    <x v="2"/>
    <x v="21"/>
    <d v="2026-07-09T00:00:00"/>
    <d v="2026-07-07T00:00:00"/>
    <d v="2026-07-08T00:00:00"/>
    <x v="3"/>
    <x v="4"/>
  </r>
  <r>
    <x v="585"/>
    <x v="11"/>
    <x v="11"/>
    <n v="32"/>
    <n v="2.8"/>
    <n v="44.5"/>
    <n v="1424"/>
    <n v="1413"/>
    <n v="3956.3999999999996"/>
    <n v="0.9922752808988764"/>
    <n v="1"/>
    <n v="-8.0000000000000002E-3"/>
    <s v="265"/>
    <m/>
    <n v="3"/>
    <n v="1410"/>
    <n v="0.99787685774946921"/>
    <m/>
    <m/>
    <m/>
    <m/>
    <x v="2"/>
    <x v="21"/>
    <d v="2026-07-09T00:00:00"/>
    <d v="2026-07-07T00:00:00"/>
    <d v="2026-07-08T00:00:00"/>
    <x v="3"/>
    <x v="4"/>
  </r>
  <r>
    <x v="586"/>
    <x v="122"/>
    <x v="111"/>
    <n v="12"/>
    <n v="6"/>
    <n v="0"/>
    <n v="0"/>
    <n v="300"/>
    <n v="1800"/>
    <s v="無法預估數據"/>
    <e v="#N/A"/>
    <s v="無法預估數據"/>
    <s v="225"/>
    <m/>
    <n v="3"/>
    <n v="297"/>
    <n v="0.99"/>
    <m/>
    <m/>
    <m/>
    <m/>
    <x v="1"/>
    <x v="21"/>
    <d v="2026-07-13T00:00:00"/>
    <d v="2026-07-08T00:00:00"/>
    <d v="2026-07-09T00:00:00"/>
    <x v="2"/>
    <x v="3"/>
  </r>
  <r>
    <x v="586"/>
    <x v="156"/>
    <x v="130"/>
    <n v="12"/>
    <n v="6"/>
    <n v="0"/>
    <n v="0"/>
    <n v="46"/>
    <n v="276"/>
    <s v="無法預估數據"/>
    <e v="#N/A"/>
    <s v="無法預估數據"/>
    <s v="294"/>
    <m/>
    <n v="46"/>
    <n v="0"/>
    <n v="0"/>
    <m/>
    <m/>
    <m/>
    <m/>
    <x v="1"/>
    <x v="22"/>
    <d v="2026-07-16T00:00:00"/>
    <d v="2026-07-08T00:00:00"/>
    <d v="2026-07-09T00:00:00"/>
    <x v="6"/>
    <x v="8"/>
  </r>
  <r>
    <x v="586"/>
    <x v="16"/>
    <x v="16"/>
    <n v="16"/>
    <n v="6"/>
    <n v="26.1"/>
    <n v="417.6"/>
    <n v="420"/>
    <n v="2520"/>
    <n v="1.0057471264367817"/>
    <n v="1"/>
    <n v="6.0000000000000001E-3"/>
    <s v="180"/>
    <m/>
    <n v="2"/>
    <n v="418"/>
    <n v="0.99523809523809526"/>
    <m/>
    <m/>
    <m/>
    <m/>
    <x v="1"/>
    <x v="21"/>
    <d v="2026-07-14T00:00:00"/>
    <d v="2026-07-08T00:00:00"/>
    <d v="2026-07-13T00:00:00"/>
    <x v="2"/>
    <x v="6"/>
  </r>
  <r>
    <x v="586"/>
    <x v="24"/>
    <x v="23"/>
    <n v="12"/>
    <n v="0.34"/>
    <n v="366"/>
    <n v="4392"/>
    <n v="4380"/>
    <n v="1489.2"/>
    <n v="0.99726775956284153"/>
    <n v="1"/>
    <n v="-3.0000000000000001E-3"/>
    <s v="440"/>
    <m/>
    <n v="3"/>
    <n v="4377"/>
    <n v="0.99931506849315066"/>
    <m/>
    <m/>
    <m/>
    <m/>
    <x v="2"/>
    <x v="21"/>
    <d v="2026-07-09T00:00:00"/>
    <d v="2026-07-08T00:00:00"/>
    <d v="2026-07-09T00:00:00"/>
    <x v="2"/>
    <x v="2"/>
  </r>
  <r>
    <x v="586"/>
    <x v="23"/>
    <x v="22"/>
    <n v="24"/>
    <n v="0.34"/>
    <n v="364.6"/>
    <n v="8750.4000000000015"/>
    <n v="8631"/>
    <n v="2934.5400000000004"/>
    <n v="0.98635490948985172"/>
    <n v="1"/>
    <n v="-1.4E-2"/>
    <s v="370"/>
    <m/>
    <n v="3"/>
    <n v="8628"/>
    <n v="0.99965241571080987"/>
    <m/>
    <m/>
    <m/>
    <m/>
    <x v="2"/>
    <x v="21"/>
    <d v="2026-07-09T00:00:00"/>
    <d v="2026-07-08T00:00:00"/>
    <d v="2026-07-09T00:00:00"/>
    <x v="2"/>
    <x v="2"/>
  </r>
  <r>
    <x v="587"/>
    <x v="27"/>
    <x v="26"/>
    <n v="36"/>
    <n v="3.2"/>
    <n v="47.5"/>
    <n v="1710"/>
    <n v="1654"/>
    <n v="5292.8"/>
    <n v="0.96725146198830414"/>
    <n v="1"/>
    <n v="-3.3000000000000002E-2"/>
    <s v="300"/>
    <m/>
    <n v="2"/>
    <n v="1652"/>
    <n v="0.99879081015719473"/>
    <m/>
    <m/>
    <s v=""/>
    <m/>
    <x v="3"/>
    <x v="23"/>
    <d v="2026-07-17T00:00:00"/>
    <d v="2026-07-08T00:00:00"/>
    <d v="2026-07-13T00:00:00"/>
    <x v="2"/>
    <x v="3"/>
  </r>
  <r>
    <x v="587"/>
    <x v="21"/>
    <x v="21"/>
    <n v="32"/>
    <n v="3.2"/>
    <n v="46.4"/>
    <n v="1484.8"/>
    <n v="1530"/>
    <n v="4896"/>
    <n v="1.0304418103448276"/>
    <n v="1"/>
    <n v="0.03"/>
    <s v="300"/>
    <m/>
    <n v="2"/>
    <n v="1528"/>
    <n v="0.99869281045751634"/>
    <m/>
    <m/>
    <m/>
    <m/>
    <x v="1"/>
    <x v="23"/>
    <d v="2026-07-17T00:00:00"/>
    <d v="2026-07-08T00:00:00"/>
    <d v="2026-07-13T00:00:00"/>
    <x v="2"/>
    <x v="3"/>
  </r>
  <r>
    <x v="587"/>
    <x v="130"/>
    <x v="114"/>
    <n v="12"/>
    <n v="6"/>
    <n v="0"/>
    <n v="0"/>
    <n v="319"/>
    <n v="1914"/>
    <s v="無法預估數據"/>
    <e v="#N/A"/>
    <s v="無法預估數據"/>
    <s v="185"/>
    <m/>
    <n v="1"/>
    <n v="318"/>
    <n v="0.99686520376175547"/>
    <m/>
    <m/>
    <m/>
    <m/>
    <x v="1"/>
    <x v="22"/>
    <d v="2026-07-17T00:00:00"/>
    <d v="2026-07-09T00:00:00"/>
    <d v="2026-07-15T00:00:00"/>
    <x v="1"/>
    <x v="3"/>
  </r>
  <r>
    <x v="587"/>
    <x v="9"/>
    <x v="9"/>
    <n v="20"/>
    <n v="6"/>
    <n v="25.7"/>
    <n v="514"/>
    <n v="409"/>
    <n v="2454"/>
    <n v="0.7957198443579766"/>
    <n v="1"/>
    <n v="-0.20399999999999999"/>
    <s v="210"/>
    <m/>
    <n v="1"/>
    <n v="408"/>
    <n v="0.99755501222493892"/>
    <m/>
    <m/>
    <m/>
    <m/>
    <x v="1"/>
    <x v="22"/>
    <d v="2026-07-17T00:00:00"/>
    <d v="2026-07-09T00:00:00"/>
    <s v="-"/>
    <x v="1"/>
    <x v="3"/>
  </r>
  <r>
    <x v="587"/>
    <x v="18"/>
    <x v="18"/>
    <n v="6"/>
    <n v="6"/>
    <n v="26.4"/>
    <n v="158.39999999999998"/>
    <n v="326"/>
    <n v="1956"/>
    <n v="2.0580808080808084"/>
    <n v="1"/>
    <n v="1.0580000000000001"/>
    <s v="190"/>
    <m/>
    <n v="1"/>
    <n v="325"/>
    <n v="0.99693251533742333"/>
    <m/>
    <m/>
    <m/>
    <m/>
    <x v="1"/>
    <x v="22"/>
    <d v="2026-07-17T00:00:00"/>
    <d v="2026-07-09T00:00:00"/>
    <d v="2026-07-13T00:00:00"/>
    <x v="1"/>
    <x v="3"/>
  </r>
  <r>
    <x v="587"/>
    <x v="11"/>
    <x v="11"/>
    <n v="60"/>
    <n v="2.8"/>
    <n v="44.5"/>
    <n v="2670"/>
    <n v="2657"/>
    <n v="7439.5999999999995"/>
    <n v="0.99513108614232215"/>
    <n v="1"/>
    <n v="-5.0000000000000001E-3"/>
    <s v="480"/>
    <m/>
    <n v="1"/>
    <n v="2656"/>
    <n v="0.99962363567933765"/>
    <m/>
    <m/>
    <s v=""/>
    <m/>
    <x v="2"/>
    <x v="23"/>
    <d v="2026-07-13T00:00:00"/>
    <d v="2026-07-12T00:00:00"/>
    <s v="-"/>
    <x v="2"/>
    <x v="2"/>
  </r>
  <r>
    <x v="588"/>
    <x v="13"/>
    <x v="13"/>
    <n v="28"/>
    <n v="0.9"/>
    <n v="160.5"/>
    <n v="4494"/>
    <n v="4498"/>
    <n v="4048.2000000000003"/>
    <n v="1.0008900756564307"/>
    <n v="1"/>
    <n v="1E-3"/>
    <s v="410"/>
    <m/>
    <n v="3"/>
    <n v="4495"/>
    <n v="0.99933303690529129"/>
    <m/>
    <m/>
    <m/>
    <m/>
    <x v="3"/>
    <x v="22"/>
    <d v="2026-07-17T00:00:00"/>
    <d v="2026-07-13T00:00:00"/>
    <s v="-"/>
    <x v="3"/>
    <x v="5"/>
  </r>
  <r>
    <x v="588"/>
    <x v="156"/>
    <x v="130"/>
    <n v="10"/>
    <n v="6"/>
    <n v="0"/>
    <n v="0"/>
    <n v="555"/>
    <n v="3330"/>
    <s v="無法預估數據"/>
    <e v="#N/A"/>
    <s v="無法預估數據"/>
    <s v="210"/>
    <m/>
    <n v="2"/>
    <n v="553"/>
    <n v="0.99639639639639643"/>
    <m/>
    <m/>
    <m/>
    <m/>
    <x v="3"/>
    <x v="22"/>
    <d v="2026-07-17T00:00:00"/>
    <d v="2026-07-13T00:00:00"/>
    <d v="2026-07-15T00:00:00"/>
    <x v="3"/>
    <x v="5"/>
  </r>
  <r>
    <x v="588"/>
    <x v="48"/>
    <x v="17"/>
    <n v="21"/>
    <n v="3"/>
    <n v="30.8"/>
    <n v="646.80000000000007"/>
    <n v="692"/>
    <n v="2076"/>
    <n v="1.069882498453927"/>
    <n v="1"/>
    <n v="7.0000000000000007E-2"/>
    <s v="540"/>
    <m/>
    <n v="44"/>
    <n v="648"/>
    <n v="0.93641618497109824"/>
    <m/>
    <m/>
    <s v=""/>
    <m/>
    <x v="1"/>
    <x v="24"/>
    <d v="2026-07-14T00:00:00"/>
    <d v="2026-07-13T00:00:00"/>
    <d v="2026-07-14T00:00:00"/>
    <x v="2"/>
    <x v="2"/>
  </r>
  <r>
    <x v="588"/>
    <x v="79"/>
    <x v="71"/>
    <n v="8"/>
    <n v="8"/>
    <n v="19.600000000000001"/>
    <n v="156.80000000000001"/>
    <n v="156"/>
    <n v="1248"/>
    <n v="0.99489795918367341"/>
    <n v="1"/>
    <n v="-5.0000000000000001E-3"/>
    <s v="255"/>
    <m/>
    <n v="0"/>
    <n v="156"/>
    <n v="1"/>
    <m/>
    <m/>
    <s v=""/>
    <m/>
    <x v="2"/>
    <x v="22"/>
    <s v="-"/>
    <d v="2026-07-13T00:00:00"/>
    <d v="2026-07-14T00:00:00"/>
    <x v="3"/>
    <x v="2"/>
  </r>
  <r>
    <x v="588"/>
    <x v="11"/>
    <x v="11"/>
    <n v="32"/>
    <n v="2.8"/>
    <n v="44.5"/>
    <n v="1295.4285714285713"/>
    <n v="1292"/>
    <n v="3617.6"/>
    <n v="0.99735333039258944"/>
    <n v="1"/>
    <n v="-3.0000000000000001E-3"/>
    <s v="290"/>
    <m/>
    <n v="1"/>
    <n v="1291"/>
    <n v="0.99922600619195046"/>
    <m/>
    <m/>
    <s v="，D9920(18KG)*20桶(2027.07.14)、D2021*100箱(2028.07.14)"/>
    <m/>
    <x v="2"/>
    <x v="22"/>
    <d v="2026-07-15T00:00:00"/>
    <s v="-"/>
    <s v="-"/>
    <x v="3"/>
    <x v="4"/>
  </r>
  <r>
    <x v="589"/>
    <x v="8"/>
    <x v="8"/>
    <n v="36"/>
    <n v="0.44"/>
    <n v="344"/>
    <n v="12384"/>
    <n v="12075"/>
    <n v="5313"/>
    <n v="0.97504844961240311"/>
    <n v="1"/>
    <n v="-2.5000000000000001E-2"/>
    <s v="540"/>
    <m/>
    <n v="7"/>
    <n v="12068"/>
    <n v="0.99942028985507247"/>
    <m/>
    <m/>
    <m/>
    <m/>
    <x v="3"/>
    <x v="22"/>
    <d v="2026-07-17T00:00:00"/>
    <d v="2026-07-14T00:00:00"/>
    <d v="2026-07-15T00:00:00"/>
    <x v="2"/>
    <x v="1"/>
  </r>
  <r>
    <x v="589"/>
    <x v="150"/>
    <x v="126"/>
    <n v="10"/>
    <n v="6"/>
    <n v="0"/>
    <n v="0"/>
    <n v="266"/>
    <n v="1596"/>
    <s v="無法預估數據"/>
    <n v="0"/>
    <s v="無法預估數據"/>
    <s v="200"/>
    <m/>
    <n v="2"/>
    <n v="264"/>
    <n v="0.99248120300751874"/>
    <m/>
    <m/>
    <m/>
    <m/>
    <x v="1"/>
    <x v="22"/>
    <d v="2026-07-17T00:00:00"/>
    <d v="2026-07-14T00:00:00"/>
    <d v="2026-07-15T00:00:00"/>
    <x v="2"/>
    <x v="1"/>
  </r>
  <r>
    <x v="589"/>
    <x v="47"/>
    <x v="42"/>
    <n v="12"/>
    <n v="6"/>
    <n v="25.6"/>
    <n v="307.20000000000005"/>
    <n v="310"/>
    <n v="1860"/>
    <n v="1.0091145833333333"/>
    <n v="1"/>
    <n v="8.9999999999999993E-3"/>
    <s v="172"/>
    <m/>
    <n v="1"/>
    <n v="309"/>
    <n v="0.99677419354838714"/>
    <m/>
    <m/>
    <m/>
    <m/>
    <x v="1"/>
    <x v="22"/>
    <d v="2026-07-17T00:00:00"/>
    <d v="2026-07-14T00:00:00"/>
    <d v="2026-07-15T00:00:00"/>
    <x v="2"/>
    <x v="1"/>
  </r>
  <r>
    <x v="589"/>
    <x v="9"/>
    <x v="9"/>
    <n v="16"/>
    <n v="6"/>
    <n v="25.7"/>
    <n v="411.2"/>
    <n v="408"/>
    <n v="2448"/>
    <n v="0.99221789883268485"/>
    <n v="1"/>
    <n v="-8.0000000000000002E-3"/>
    <s v="189"/>
    <m/>
    <n v="1"/>
    <n v="407"/>
    <n v="0.99754901960784315"/>
    <m/>
    <m/>
    <m/>
    <m/>
    <x v="1"/>
    <x v="25"/>
    <d v="2026-07-17T00:00:00"/>
    <s v="-"/>
    <s v="-"/>
    <x v="3"/>
    <x v="1"/>
  </r>
  <r>
    <x v="589"/>
    <x v="11"/>
    <x v="11"/>
    <n v="60"/>
    <n v="2.8"/>
    <n v="44.5"/>
    <n v="2670"/>
    <n v="2668"/>
    <n v="7470.4"/>
    <n v="0.99925093632958806"/>
    <n v="1"/>
    <n v="-1E-3"/>
    <s v="460"/>
    <m/>
    <n v="1"/>
    <n v="2667"/>
    <n v="0.9996251874062968"/>
    <m/>
    <m/>
    <m/>
    <m/>
    <x v="2"/>
    <x v="22"/>
    <d v="2026-07-15T00:00:00"/>
    <s v="-"/>
    <d v="2026-07-15T00:00:00"/>
    <x v="2"/>
    <x v="2"/>
  </r>
  <r>
    <x v="590"/>
    <x v="15"/>
    <x v="15"/>
    <n v="44"/>
    <n v="3.2"/>
    <n v="46.8"/>
    <n v="2059.1999999999998"/>
    <n v="2031"/>
    <n v="6499.2000000000007"/>
    <n v="0.98630536130536139"/>
    <n v="1"/>
    <n v="-1.4E-2"/>
    <s v="420"/>
    <m/>
    <n v="1"/>
    <n v="2030"/>
    <n v="0.99950763170851797"/>
    <m/>
    <m/>
    <m/>
    <m/>
    <x v="3"/>
    <x v="25"/>
    <d v="2026-07-17T00:00:00"/>
    <s v="-"/>
    <s v="-"/>
    <x v="2"/>
    <x v="4"/>
  </r>
  <r>
    <x v="590"/>
    <x v="159"/>
    <x v="131"/>
    <n v="3.8"/>
    <n v="0.21"/>
    <n v="0"/>
    <n v="0"/>
    <n v="2739"/>
    <n v="575.18999999999994"/>
    <s v="無法預估數據"/>
    <n v="0"/>
    <s v="無法預估數據"/>
    <s v="130"/>
    <m/>
    <n v="11"/>
    <n v="2728"/>
    <n v="0.99598393574297184"/>
    <m/>
    <m/>
    <s v=""/>
    <m/>
    <x v="3"/>
    <x v="25"/>
    <d v="2026-07-20T00:00:00"/>
    <d v="2026-07-15T00:00:00"/>
    <d v="2026-07-16T00:00:00"/>
    <x v="2"/>
    <x v="3"/>
  </r>
  <r>
    <x v="590"/>
    <x v="2"/>
    <x v="2"/>
    <n v="32"/>
    <n v="6"/>
    <n v="26.6"/>
    <n v="851.2"/>
    <n v="841"/>
    <n v="5046"/>
    <n v="0.98801691729323304"/>
    <n v="1"/>
    <n v="-1.2E-2"/>
    <s v="415"/>
    <m/>
    <n v="1"/>
    <n v="840"/>
    <n v="0.99881093935790721"/>
    <m/>
    <m/>
    <s v=""/>
    <m/>
    <x v="1"/>
    <x v="25"/>
    <d v="2026-07-17T00:00:00"/>
    <d v="2026-07-15T00:00:00"/>
    <d v="2026-07-16T00:00:00"/>
    <x v="2"/>
    <x v="4"/>
  </r>
  <r>
    <x v="590"/>
    <x v="1"/>
    <x v="1"/>
    <n v="6"/>
    <n v="6"/>
    <n v="25.7"/>
    <n v="154.19999999999999"/>
    <n v="155"/>
    <n v="930"/>
    <n v="1.0051880674448768"/>
    <n v="1"/>
    <n v="5.0000000000000001E-3"/>
    <s v="130"/>
    <m/>
    <n v="1"/>
    <n v="154"/>
    <n v="0.99354838709677418"/>
    <m/>
    <m/>
    <m/>
    <m/>
    <x v="1"/>
    <x v="25"/>
    <d v="2026-07-17T00:00:00"/>
    <d v="2026-07-15T00:00:00"/>
    <d v="2026-07-16T00:00:00"/>
    <x v="2"/>
    <x v="4"/>
  </r>
  <r>
    <x v="590"/>
    <x v="41"/>
    <x v="39"/>
    <n v="60"/>
    <n v="2.8"/>
    <n v="44.2"/>
    <n v="2652"/>
    <n v="2622"/>
    <n v="7341.5999999999995"/>
    <n v="0.9886877828054299"/>
    <n v="1"/>
    <n v="-1.0999999999999999E-2"/>
    <s v="470"/>
    <m/>
    <n v="1"/>
    <n v="2621"/>
    <n v="0.99961861174675815"/>
    <m/>
    <m/>
    <s v=""/>
    <m/>
    <x v="2"/>
    <x v="25"/>
    <d v="2026-07-16T00:00:00"/>
    <d v="2026-07-15T00:00:00"/>
    <d v="2026-07-16T00:00:00"/>
    <x v="2"/>
    <x v="2"/>
  </r>
  <r>
    <x v="591"/>
    <x v="140"/>
    <x v="10"/>
    <n v="16"/>
    <n v="6"/>
    <n v="25.4"/>
    <n v="406.4"/>
    <n v="411"/>
    <n v="2466"/>
    <n v="1.0113188976377954"/>
    <e v="#N/A"/>
    <e v="#N/A"/>
    <s v="290"/>
    <m/>
    <n v="2"/>
    <n v="409"/>
    <n v="0.99513381995133821"/>
    <m/>
    <m/>
    <m/>
    <m/>
    <x v="3"/>
    <x v="26"/>
    <d v="2026-07-22T00:00:00"/>
    <d v="2026-07-16T00:00:00"/>
    <d v="2026-07-17T00:00:00"/>
    <x v="2"/>
    <x v="6"/>
  </r>
  <r>
    <x v="591"/>
    <x v="16"/>
    <x v="16"/>
    <n v="12"/>
    <n v="6"/>
    <n v="26.1"/>
    <n v="313.20000000000005"/>
    <n v="323"/>
    <n v="1938"/>
    <n v="1.0312899106002553"/>
    <n v="1"/>
    <n v="3.1E-2"/>
    <s v="240"/>
    <m/>
    <n v="3"/>
    <n v="320"/>
    <n v="0.99071207430340558"/>
    <m/>
    <m/>
    <s v=""/>
    <m/>
    <x v="3"/>
    <x v="26"/>
    <d v="2026-07-22T00:00:00"/>
    <d v="2026-07-16T00:00:00"/>
    <d v="2026-07-17T00:00:00"/>
    <x v="2"/>
    <x v="6"/>
  </r>
  <r>
    <x v="591"/>
    <x v="22"/>
    <x v="10"/>
    <n v="8"/>
    <n v="6"/>
    <n v="25.1"/>
    <n v="200.8"/>
    <n v="198"/>
    <n v="1188"/>
    <n v="0.98605577689243018"/>
    <n v="1"/>
    <n v="-1.4E-2"/>
    <s v="120"/>
    <m/>
    <n v="1"/>
    <n v="197"/>
    <n v="0.99494949494949492"/>
    <m/>
    <m/>
    <s v=""/>
    <m/>
    <x v="1"/>
    <x v="26"/>
    <d v="2026-07-22T00:00:00"/>
    <d v="2026-07-16T00:00:00"/>
    <d v="2026-07-17T00:00:00"/>
    <x v="2"/>
    <x v="6"/>
  </r>
  <r>
    <x v="591"/>
    <x v="17"/>
    <x v="17"/>
    <n v="21"/>
    <n v="3"/>
    <n v="29.7"/>
    <n v="623.69999999999993"/>
    <n v="628"/>
    <n v="1884"/>
    <n v="1.0068943402276738"/>
    <n v="1"/>
    <n v="7.0000000000000001E-3"/>
    <s v="510"/>
    <m/>
    <n v="0"/>
    <n v="628"/>
    <n v="1"/>
    <m/>
    <m/>
    <m/>
    <m/>
    <x v="1"/>
    <x v="26"/>
    <d v="2026-07-17T00:00:00"/>
    <d v="2026-07-14T00:00:00"/>
    <d v="2026-07-17T00:00:00"/>
    <x v="2"/>
    <x v="2"/>
  </r>
  <r>
    <x v="591"/>
    <x v="34"/>
    <x v="32"/>
    <n v="16"/>
    <n v="0.34"/>
    <n v="358.3"/>
    <n v="5732.8"/>
    <n v="5747"/>
    <n v="1953.9800000000002"/>
    <n v="1.0024769746022886"/>
    <n v="1"/>
    <n v="2E-3"/>
    <s v="280"/>
    <m/>
    <n v="5"/>
    <n v="5742"/>
    <n v="0.99912998085957894"/>
    <m/>
    <m/>
    <s v="(紅蓋)_x000a_E0120佳樂美300箱(2027.07.17)"/>
    <m/>
    <x v="2"/>
    <x v="26"/>
    <d v="2026-07-17T00:00:00"/>
    <d v="2026-07-16T00:00:00"/>
    <d v="2026-07-17T00:00:00"/>
    <x v="2"/>
    <x v="2"/>
  </r>
  <r>
    <x v="591"/>
    <x v="24"/>
    <x v="23"/>
    <n v="16"/>
    <n v="0.34"/>
    <n v="366"/>
    <n v="5856"/>
    <n v="5700"/>
    <n v="1938.0000000000002"/>
    <n v="0.97336065573770492"/>
    <n v="1"/>
    <n v="-2.7E-2"/>
    <s v="280"/>
    <m/>
    <n v="5"/>
    <n v="5695"/>
    <n v="0.99912280701754386"/>
    <m/>
    <m/>
    <s v="，A2050(黃蓋)不足使用(紅蓋)_x000a_E0121佳樂美(紅蓋)300箱(2027.07.17) "/>
    <m/>
    <x v="2"/>
    <x v="26"/>
    <d v="2026-07-17T00:00:00"/>
    <d v="2026-07-16T00:00:00"/>
    <d v="2026-07-17T00:00:00"/>
    <x v="2"/>
    <x v="2"/>
  </r>
  <r>
    <x v="592"/>
    <x v="15"/>
    <x v="15"/>
    <n v="68"/>
    <n v="3.2"/>
    <n v="46.8"/>
    <n v="3182.3999999999996"/>
    <n v="3183"/>
    <n v="10185.6"/>
    <n v="1.0001885369532431"/>
    <n v="1"/>
    <n v="0"/>
    <s v="570"/>
    <m/>
    <n v="2"/>
    <n v="3181"/>
    <n v="0.9993716619541313"/>
    <m/>
    <m/>
    <s v=""/>
    <m/>
    <x v="3"/>
    <x v="27"/>
    <d v="2026-07-22T00:00:00"/>
    <s v="-"/>
    <s v="-"/>
    <x v="2"/>
    <x v="1"/>
  </r>
  <r>
    <x v="592"/>
    <x v="133"/>
    <x v="115"/>
    <n v="8"/>
    <n v="4.5"/>
    <n v="33.200000000000003"/>
    <n v="265.60000000000002"/>
    <n v="271"/>
    <n v="1219.5"/>
    <n v="1.0203313253012047"/>
    <e v="#N/A"/>
    <e v="#N/A"/>
    <s v="210"/>
    <m/>
    <n v="0"/>
    <n v="271"/>
    <n v="1"/>
    <m/>
    <m/>
    <m/>
    <m/>
    <x v="1"/>
    <x v="27"/>
    <d v="2026-07-22T00:00:00"/>
    <d v="2026-07-17T00:00:00"/>
    <d v="2026-07-20T00:00:00"/>
    <x v="2"/>
    <x v="1"/>
  </r>
  <r>
    <x v="592"/>
    <x v="18"/>
    <x v="18"/>
    <n v="16"/>
    <n v="6"/>
    <n v="26.4"/>
    <n v="422.4"/>
    <n v="428"/>
    <n v="2568"/>
    <n v="1.0132575757575759"/>
    <n v="1"/>
    <n v="1.2999999999999999E-2"/>
    <s v="282"/>
    <m/>
    <n v="0"/>
    <n v="428"/>
    <n v="1"/>
    <m/>
    <m/>
    <m/>
    <m/>
    <x v="1"/>
    <x v="27"/>
    <d v="2026-07-21T00:00:00"/>
    <d v="2026-07-17T00:00:00"/>
    <d v="2026-07-20T00:00:00"/>
    <x v="2"/>
    <x v="4"/>
  </r>
  <r>
    <x v="592"/>
    <x v="9"/>
    <x v="9"/>
    <n v="16"/>
    <n v="6"/>
    <n v="25.7"/>
    <n v="411.2"/>
    <n v="411"/>
    <n v="2466"/>
    <n v="0.9995136186770428"/>
    <n v="1"/>
    <n v="0"/>
    <s v="202"/>
    <m/>
    <n v="1"/>
    <n v="410"/>
    <n v="0.9975669099756691"/>
    <m/>
    <m/>
    <m/>
    <m/>
    <x v="1"/>
    <x v="28"/>
    <d v="2026-07-21T00:00:00"/>
    <s v="-"/>
    <s v="-"/>
    <x v="1"/>
    <x v="4"/>
  </r>
  <r>
    <x v="592"/>
    <x v="11"/>
    <x v="11"/>
    <n v="68"/>
    <n v="2.8"/>
    <n v="44.5"/>
    <n v="2576"/>
    <n v="2593"/>
    <n v="7260.4"/>
    <n v="1.0065993788819876"/>
    <n v="1"/>
    <n v="7.0000000000000001E-3"/>
    <s v="500"/>
    <m/>
    <n v="1"/>
    <n v="2592"/>
    <n v="0.9996143463170073"/>
    <m/>
    <m/>
    <s v="，D9920(18kg)*70桶(2027.07.20)"/>
    <m/>
    <x v="2"/>
    <x v="27"/>
    <d v="2026-07-20T00:00:00"/>
    <d v="2026-07-17T00:00:00"/>
    <d v="2026-07-20T00:00:00"/>
    <x v="2"/>
    <x v="2"/>
  </r>
  <r>
    <x v="592"/>
    <x v="94"/>
    <x v="85"/>
    <n v="1"/>
    <n v="1"/>
    <n v="591"/>
    <n v="591"/>
    <n v="512"/>
    <n v="512"/>
    <n v="0.86632825719120132"/>
    <n v="1"/>
    <n v="-0.13400000000000001"/>
    <s v="0"/>
    <m/>
    <n v="0"/>
    <n v="512"/>
    <n v="1"/>
    <m/>
    <m/>
    <s v=""/>
    <m/>
    <x v="4"/>
    <x v="29"/>
    <s v="-"/>
    <d v="2026-07-17T00:00:00"/>
    <s v="-"/>
    <x v="3"/>
    <x v="10"/>
  </r>
  <r>
    <x v="593"/>
    <x v="10"/>
    <x v="10"/>
    <n v="8"/>
    <n v="6"/>
    <n v="25.4"/>
    <n v="203.2"/>
    <n v="198"/>
    <n v="1188"/>
    <n v="0.97440944881889768"/>
    <n v="1"/>
    <n v="-2.5999999999999999E-2"/>
    <s v="150"/>
    <m/>
    <n v="1"/>
    <n v="197"/>
    <n v="0.99494949494949492"/>
    <m/>
    <m/>
    <m/>
    <m/>
    <x v="3"/>
    <x v="28"/>
    <d v="2026-07-22T00:00:00"/>
    <d v="2026-07-20T00:00:00"/>
    <d v="2026-07-22T00:00:00"/>
    <x v="3"/>
    <x v="4"/>
  </r>
  <r>
    <x v="593"/>
    <x v="45"/>
    <x v="10"/>
    <n v="24"/>
    <n v="6"/>
    <n v="26.4"/>
    <n v="633.59999999999991"/>
    <n v="614"/>
    <n v="3684"/>
    <n v="0.96906565656565669"/>
    <n v="1"/>
    <n v="-3.1E-2"/>
    <s v="335"/>
    <m/>
    <n v="1"/>
    <n v="613"/>
    <n v="0.99837133550488599"/>
    <m/>
    <m/>
    <s v=""/>
    <m/>
    <x v="3"/>
    <x v="28"/>
    <d v="2026-07-22T00:00:00"/>
    <d v="2026-07-20T00:00:00"/>
    <d v="2026-07-22T00:00:00"/>
    <x v="3"/>
    <x v="4"/>
  </r>
  <r>
    <x v="593"/>
    <x v="1"/>
    <x v="1"/>
    <n v="6"/>
    <n v="6"/>
    <n v="25.7"/>
    <n v="154.19999999999999"/>
    <n v="150"/>
    <n v="900"/>
    <n v="0.97276264591439698"/>
    <n v="1"/>
    <n v="-2.7E-2"/>
    <s v="170"/>
    <m/>
    <n v="1"/>
    <n v="149"/>
    <n v="0.99333333333333329"/>
    <m/>
    <m/>
    <s v=""/>
    <m/>
    <x v="3"/>
    <x v="28"/>
    <d v="2026-07-22T00:00:00"/>
    <d v="2026-07-20T00:00:00"/>
    <d v="2026-07-22T00:00:00"/>
    <x v="3"/>
    <x v="4"/>
  </r>
  <r>
    <x v="593"/>
    <x v="46"/>
    <x v="17"/>
    <n v="21"/>
    <n v="3"/>
    <n v="31.6"/>
    <n v="663.6"/>
    <n v="668"/>
    <n v="2004"/>
    <n v="1.0066305003013862"/>
    <n v="1"/>
    <n v="7.0000000000000001E-3"/>
    <s v="540"/>
    <m/>
    <n v="0"/>
    <n v="668"/>
    <n v="1"/>
    <m/>
    <m/>
    <s v=""/>
    <m/>
    <x v="1"/>
    <x v="29"/>
    <d v="2026-07-21T00:00:00"/>
    <d v="2026-07-17T00:00:00"/>
    <d v="2026-07-21T00:00:00"/>
    <x v="2"/>
    <x v="2"/>
  </r>
  <r>
    <x v="593"/>
    <x v="6"/>
    <x v="6"/>
    <n v="24"/>
    <n v="0.4"/>
    <n v="309.2"/>
    <n v="7420.7999999999993"/>
    <n v="7389"/>
    <n v="2955.6000000000004"/>
    <n v="0.99571474773609325"/>
    <n v="1"/>
    <n v="-4.0000000000000001E-3"/>
    <s v="295"/>
    <m/>
    <n v="3"/>
    <n v="7386"/>
    <n v="0.99959399106780344"/>
    <m/>
    <m/>
    <s v=""/>
    <m/>
    <x v="2"/>
    <x v="29"/>
    <d v="2026-07-21T00:00:00"/>
    <d v="2026-07-20T00:00:00"/>
    <d v="2026-07-21T00:00:00"/>
    <x v="2"/>
    <x v="2"/>
  </r>
  <r>
    <x v="593"/>
    <x v="61"/>
    <x v="33"/>
    <n v="32"/>
    <n v="18"/>
    <n v="6.9"/>
    <n v="220.8"/>
    <n v="225"/>
    <n v="4050"/>
    <n v="1.0190217391304348"/>
    <n v="1"/>
    <n v="1.9E-2"/>
    <s v="315"/>
    <m/>
    <n v="0"/>
    <n v="225"/>
    <n v="1"/>
    <m/>
    <m/>
    <s v=""/>
    <m/>
    <x v="2"/>
    <x v="29"/>
    <s v="-"/>
    <d v="2026-07-20T00:00:00"/>
    <d v="2026-07-21T00:00:00"/>
    <x v="2"/>
    <x v="2"/>
  </r>
  <r>
    <x v="594"/>
    <x v="8"/>
    <x v="8"/>
    <n v="40"/>
    <n v="0.44"/>
    <n v="344"/>
    <n v="13760"/>
    <n v="13357"/>
    <n v="5877.08"/>
    <n v="0.9707122093023256"/>
    <n v="1"/>
    <n v="-2.9000000000000001E-2"/>
    <s v="570"/>
    <m/>
    <n v="15"/>
    <n v="13342"/>
    <n v="0.99887699333682711"/>
    <m/>
    <m/>
    <m/>
    <m/>
    <x v="3"/>
    <x v="28"/>
    <d v="2026-07-24T00:00:00"/>
    <d v="2026-07-20T00:00:00"/>
    <d v="2026-07-23T00:00:00"/>
    <x v="2"/>
    <x v="1"/>
  </r>
  <r>
    <x v="594"/>
    <x v="22"/>
    <x v="10"/>
    <n v="16"/>
    <n v="6"/>
    <n v="25.1"/>
    <n v="401.6"/>
    <n v="404"/>
    <n v="2424"/>
    <n v="1.0059760956175299"/>
    <n v="1"/>
    <n v="6.0000000000000001E-3"/>
    <s v="230"/>
    <m/>
    <n v="2"/>
    <n v="402"/>
    <n v="0.99504950495049505"/>
    <m/>
    <m/>
    <s v=""/>
    <m/>
    <x v="1"/>
    <x v="28"/>
    <d v="2026-07-23T00:00:00"/>
    <d v="2026-07-20T00:00:00"/>
    <d v="2026-07-22T00:00:00"/>
    <x v="2"/>
    <x v="4"/>
  </r>
  <r>
    <x v="594"/>
    <x v="9"/>
    <x v="9"/>
    <n v="24"/>
    <n v="6"/>
    <n v="25.7"/>
    <n v="616.79999999999995"/>
    <n v="610"/>
    <n v="3660"/>
    <n v="0.98897535667963687"/>
    <n v="1"/>
    <n v="-1.0999999999999999E-2"/>
    <s v="320"/>
    <m/>
    <n v="2"/>
    <n v="608"/>
    <n v="0.99672131147540988"/>
    <m/>
    <m/>
    <m/>
    <m/>
    <x v="1"/>
    <x v="30"/>
    <d v="2026-07-23T00:00:00"/>
    <s v="-"/>
    <s v="-"/>
    <x v="3"/>
    <x v="4"/>
  </r>
  <r>
    <x v="594"/>
    <x v="11"/>
    <x v="11"/>
    <n v="68"/>
    <n v="2.8"/>
    <n v="44.5"/>
    <n v="3026"/>
    <n v="3038"/>
    <n v="8506.4"/>
    <n v="1.0039656311962988"/>
    <n v="1"/>
    <n v="4.0000000000000001E-3"/>
    <s v="500"/>
    <m/>
    <n v="1"/>
    <n v="3037"/>
    <n v="0.99967083607636598"/>
    <m/>
    <m/>
    <s v=""/>
    <m/>
    <x v="2"/>
    <x v="28"/>
    <d v="2026-07-22T00:00:00"/>
    <d v="2026-07-21T00:00:00"/>
    <d v="2026-07-22T00:00:00"/>
    <x v="2"/>
    <x v="2"/>
  </r>
  <r>
    <x v="595"/>
    <x v="0"/>
    <x v="0"/>
    <n v="12"/>
    <n v="6"/>
    <n v="25.5"/>
    <n v="306"/>
    <n v="299"/>
    <n v="1794"/>
    <n v="0.97712418300653592"/>
    <n v="1"/>
    <n v="-2.3E-2"/>
    <s v="198"/>
    <m/>
    <n v="1"/>
    <n v="298"/>
    <n v="0.99665551839464883"/>
    <m/>
    <m/>
    <s v=""/>
    <m/>
    <x v="3"/>
    <x v="30"/>
    <d v="2026-07-24T00:00:00"/>
    <d v="2026-07-22T00:00:00"/>
    <d v="2026-07-23T00:00:00"/>
    <x v="2"/>
    <x v="4"/>
  </r>
  <r>
    <x v="595"/>
    <x v="2"/>
    <x v="2"/>
    <n v="16"/>
    <n v="6"/>
    <n v="26.6"/>
    <n v="425.6"/>
    <n v="417"/>
    <n v="2502"/>
    <n v="0.97979323308270672"/>
    <n v="1"/>
    <n v="-0.02"/>
    <s v="240"/>
    <m/>
    <n v="2"/>
    <n v="415"/>
    <n v="0.99520383693045567"/>
    <m/>
    <m/>
    <s v=""/>
    <m/>
    <x v="3"/>
    <x v="30"/>
    <d v="2026-07-24T00:00:00"/>
    <d v="2026-07-22T00:00:00"/>
    <d v="2026-07-23T00:00:00"/>
    <x v="2"/>
    <x v="4"/>
  </r>
  <r>
    <x v="595"/>
    <x v="47"/>
    <x v="42"/>
    <n v="12"/>
    <n v="6"/>
    <n v="25.6"/>
    <n v="307.20000000000005"/>
    <n v="307"/>
    <n v="1842"/>
    <n v="0.99934895833333315"/>
    <n v="1"/>
    <n v="-1E-3"/>
    <s v="225"/>
    <m/>
    <n v="2"/>
    <n v="305"/>
    <n v="0.99348534201954397"/>
    <m/>
    <m/>
    <s v=""/>
    <m/>
    <x v="3"/>
    <x v="30"/>
    <d v="2026-07-24T00:00:00"/>
    <d v="2026-07-22T00:00:00"/>
    <d v="2026-07-23T00:00:00"/>
    <x v="2"/>
    <x v="4"/>
  </r>
  <r>
    <x v="595"/>
    <x v="53"/>
    <x v="46"/>
    <n v="4"/>
    <n v="4.5"/>
    <n v="34.5"/>
    <n v="138"/>
    <n v="136"/>
    <n v="612"/>
    <n v="0.98550724637681164"/>
    <n v="1"/>
    <n v="-1.4E-2"/>
    <s v="130"/>
    <m/>
    <n v="0"/>
    <n v="136"/>
    <n v="1"/>
    <m/>
    <m/>
    <s v=""/>
    <m/>
    <x v="1"/>
    <x v="30"/>
    <d v="2026-07-24T00:00:00"/>
    <d v="2026-07-22T00:00:00"/>
    <d v="2026-07-23T00:00:00"/>
    <x v="2"/>
    <x v="4"/>
  </r>
  <r>
    <x v="595"/>
    <x v="152"/>
    <x v="128"/>
    <n v="20"/>
    <n v="4.5"/>
    <n v="36.299999999999997"/>
    <n v="726"/>
    <n v="730"/>
    <n v="3285"/>
    <n v="1.0055096418732783"/>
    <n v="1"/>
    <n v="6.0000000000000001E-3"/>
    <s v="380"/>
    <m/>
    <n v="0"/>
    <n v="730"/>
    <n v="1"/>
    <m/>
    <m/>
    <m/>
    <m/>
    <x v="1"/>
    <x v="31"/>
    <d v="2026-07-24T00:00:00"/>
    <d v="2026-07-22T00:00:00"/>
    <d v="2026-07-27T00:00:00"/>
    <x v="6"/>
    <x v="4"/>
  </r>
  <r>
    <x v="595"/>
    <x v="5"/>
    <x v="5"/>
    <n v="12"/>
    <n v="9.08"/>
    <n v="17.3"/>
    <n v="207.60000000000002"/>
    <n v="206"/>
    <n v="1870.48"/>
    <n v="0.9922928709055876"/>
    <n v="1"/>
    <n v="-8.0000000000000002E-3"/>
    <s v="500"/>
    <m/>
    <n v="0"/>
    <n v="206"/>
    <n v="1"/>
    <m/>
    <m/>
    <m/>
    <m/>
    <x v="1"/>
    <x v="31"/>
    <d v="2026-07-24T00:00:00"/>
    <d v="2026-07-22T00:00:00"/>
    <d v="2026-07-27T00:00:00"/>
    <x v="6"/>
    <x v="4"/>
  </r>
  <r>
    <x v="595"/>
    <x v="64"/>
    <x v="55"/>
    <n v="8"/>
    <n v="0.28999999999999998"/>
    <n v="412.6"/>
    <n v="3300.8"/>
    <n v="3418"/>
    <n v="991.21999999999991"/>
    <n v="1.0355065438681532"/>
    <n v="1"/>
    <n v="3.5999999999999997E-2"/>
    <s v="250"/>
    <m/>
    <n v="5"/>
    <n v="3413"/>
    <n v="0.99853715623171446"/>
    <m/>
    <m/>
    <s v="，充填281g~285g(瓶器285cc輕十二角瓶)"/>
    <m/>
    <x v="2"/>
    <x v="30"/>
    <d v="2026-07-23T00:00:00"/>
    <d v="2026-07-22T00:00:00"/>
    <d v="2026-07-23T00:00:00"/>
    <x v="2"/>
    <x v="2"/>
  </r>
  <r>
    <x v="595"/>
    <x v="11"/>
    <x v="11"/>
    <n v="32"/>
    <n v="2.8"/>
    <n v="44.5"/>
    <n v="1424"/>
    <n v="1773"/>
    <n v="4964.3999999999996"/>
    <n v="1.2450842696629214"/>
    <n v="1"/>
    <n v="0.245"/>
    <s v="415"/>
    <m/>
    <n v="1"/>
    <n v="1772"/>
    <n v="0.99943598420755786"/>
    <m/>
    <m/>
    <s v=""/>
    <m/>
    <x v="2"/>
    <x v="30"/>
    <d v="2026-07-23T00:00:00"/>
    <s v="-"/>
    <s v="-"/>
    <x v="2"/>
    <x v="2"/>
  </r>
  <r>
    <x v="596"/>
    <x v="26"/>
    <x v="25"/>
    <n v="20"/>
    <n v="0.9"/>
    <n v="163"/>
    <n v="3260"/>
    <n v="3206"/>
    <n v="2885.4"/>
    <n v="0.98343558282208587"/>
    <n v="1"/>
    <n v="-1.7000000000000001E-2"/>
    <s v="285"/>
    <m/>
    <n v="2"/>
    <n v="3204"/>
    <n v="0.9993761696818465"/>
    <m/>
    <m/>
    <s v=""/>
    <m/>
    <x v="3"/>
    <x v="32"/>
    <d v="2026-07-28T00:00:00"/>
    <d v="2026-07-23T00:00:00"/>
    <d v="2026-07-24T00:00:00"/>
    <x v="2"/>
    <x v="3"/>
  </r>
  <r>
    <x v="596"/>
    <x v="49"/>
    <x v="43"/>
    <n v="15"/>
    <n v="0.43"/>
    <n v="364"/>
    <n v="5460"/>
    <n v="5610"/>
    <n v="2412.3000000000002"/>
    <n v="1.0274725274725274"/>
    <n v="1"/>
    <n v="2.7E-2"/>
    <s v="360"/>
    <m/>
    <n v="5"/>
    <n v="5605"/>
    <n v="0.99910873440285208"/>
    <m/>
    <m/>
    <m/>
    <m/>
    <x v="3"/>
    <x v="32"/>
    <d v="2026-07-28T00:00:00"/>
    <d v="2026-07-23T00:00:00"/>
    <d v="2026-07-24T00:00:00"/>
    <x v="2"/>
    <x v="3"/>
  </r>
  <r>
    <x v="596"/>
    <x v="16"/>
    <x v="16"/>
    <n v="16"/>
    <n v="6"/>
    <n v="26.1"/>
    <n v="417.6"/>
    <n v="428"/>
    <n v="2568"/>
    <n v="1.024904214559387"/>
    <n v="1"/>
    <n v="2.5000000000000001E-2"/>
    <s v="217"/>
    <m/>
    <n v="1"/>
    <n v="427"/>
    <n v="0.99766355140186913"/>
    <m/>
    <m/>
    <m/>
    <m/>
    <x v="1"/>
    <x v="31"/>
    <d v="2026-07-24T00:00:00"/>
    <d v="2026-07-23T00:00:00"/>
    <d v="2026-07-27T00:00:00"/>
    <x v="7"/>
    <x v="2"/>
  </r>
  <r>
    <x v="596"/>
    <x v="157"/>
    <x v="10"/>
    <n v="16"/>
    <n v="6"/>
    <n v="0"/>
    <n v="0"/>
    <n v="416"/>
    <n v="2496"/>
    <s v="無法預估數據"/>
    <n v="0"/>
    <s v="無法預估數據"/>
    <s v="240"/>
    <m/>
    <n v="1"/>
    <n v="415"/>
    <n v="0.99759615384615385"/>
    <m/>
    <m/>
    <s v=""/>
    <m/>
    <x v="1"/>
    <x v="31"/>
    <d v="2026-07-28T00:00:00"/>
    <d v="2026-07-23T00:00:00"/>
    <d v="2026-07-27T00:00:00"/>
    <x v="7"/>
    <x v="3"/>
  </r>
  <r>
    <x v="596"/>
    <x v="36"/>
    <x v="34"/>
    <n v="6"/>
    <n v="6"/>
    <n v="24.3"/>
    <n v="145.80000000000001"/>
    <n v="146"/>
    <n v="876"/>
    <n v="1.0013717421124828"/>
    <n v="1"/>
    <n v="1E-3"/>
    <s v="140"/>
    <m/>
    <n v="1"/>
    <n v="145"/>
    <n v="0.99315068493150682"/>
    <m/>
    <m/>
    <s v=""/>
    <m/>
    <x v="1"/>
    <x v="31"/>
    <d v="2026-07-24T00:00:00"/>
    <d v="2026-07-23T00:00:00"/>
    <d v="2026-07-27T00:00:00"/>
    <x v="7"/>
    <x v="2"/>
  </r>
  <r>
    <x v="596"/>
    <x v="55"/>
    <x v="48"/>
    <n v="60"/>
    <n v="18"/>
    <n v="6.9"/>
    <n v="414"/>
    <n v="420"/>
    <n v="7560"/>
    <n v="1.0144927536231885"/>
    <n v="1"/>
    <n v="1.4E-2"/>
    <s v="460"/>
    <m/>
    <n v="0"/>
    <n v="420"/>
    <n v="1"/>
    <m/>
    <m/>
    <s v=""/>
    <m/>
    <x v="2"/>
    <x v="32"/>
    <s v="-"/>
    <d v="2026-07-23T00:00:00"/>
    <d v="2026-07-27T00:00:00"/>
    <x v="2"/>
    <x v="2"/>
  </r>
  <r>
    <x v="596"/>
    <x v="151"/>
    <x v="127"/>
    <n v="1206"/>
    <n v="2.5"/>
    <n v="0"/>
    <n v="0"/>
    <n v="153"/>
    <n v="382.5"/>
    <s v="無法預估數據"/>
    <n v="0"/>
    <s v="無法預估數據"/>
    <s v="0"/>
    <m/>
    <n v="0"/>
    <n v="153"/>
    <n v="1"/>
    <m/>
    <m/>
    <s v="(待出貨通知後裝箱)"/>
    <m/>
    <x v="4"/>
    <x v="8"/>
    <s v="-"/>
    <s v="-"/>
    <s v="-"/>
    <x v="2"/>
    <x v="2"/>
  </r>
  <r>
    <x v="597"/>
    <x v="15"/>
    <x v="15"/>
    <n v="68"/>
    <n v="3.2"/>
    <n v="46.8"/>
    <n v="3182.3999999999996"/>
    <n v="3170"/>
    <n v="10144"/>
    <n v="0.99610356963298152"/>
    <n v="1"/>
    <n v="-4.0000000000000001E-3"/>
    <s v="540"/>
    <m/>
    <n v="1"/>
    <n v="3169"/>
    <n v="0.99968454258675077"/>
    <m/>
    <m/>
    <s v="*"/>
    <m/>
    <x v="3"/>
    <x v="33"/>
    <d v="2026-07-28T00:00:00"/>
    <d v="2026-07-23T00:00:00"/>
    <s v="-"/>
    <x v="2"/>
    <x v="4"/>
  </r>
  <r>
    <x v="597"/>
    <x v="9"/>
    <x v="9"/>
    <n v="16"/>
    <n v="6"/>
    <n v="25.7"/>
    <n v="411.2"/>
    <n v="409"/>
    <n v="2454"/>
    <n v="0.99464980544747084"/>
    <n v="1"/>
    <n v="-5.0000000000000001E-3"/>
    <s v="220"/>
    <m/>
    <n v="2"/>
    <n v="407"/>
    <n v="0.99511002444987773"/>
    <m/>
    <m/>
    <s v="，(A8.B8)。"/>
    <m/>
    <x v="1"/>
    <x v="33"/>
    <d v="2026-07-28T00:00:00"/>
    <s v="-"/>
    <s v="-"/>
    <x v="2"/>
    <x v="4"/>
  </r>
  <r>
    <x v="597"/>
    <x v="10"/>
    <x v="10"/>
    <n v="24"/>
    <n v="6"/>
    <n v="25.4"/>
    <n v="609.59999999999991"/>
    <n v="611"/>
    <n v="3666"/>
    <n v="1.0022965879265093"/>
    <n v="1"/>
    <n v="2E-3"/>
    <s v="330"/>
    <m/>
    <n v="3"/>
    <n v="608"/>
    <n v="0.9950900163666121"/>
    <m/>
    <m/>
    <s v="，(A12.B12)。"/>
    <m/>
    <x v="1"/>
    <x v="33"/>
    <d v="2026-07-28T00:00:00"/>
    <d v="2026-07-23T00:00:00"/>
    <d v="2026-07-27T00:00:00"/>
    <x v="2"/>
    <x v="4"/>
  </r>
  <r>
    <x v="597"/>
    <x v="78"/>
    <x v="70"/>
    <n v="8"/>
    <n v="0.28999999999999998"/>
    <n v="388"/>
    <n v="3104"/>
    <n v="3276"/>
    <n v="950.04"/>
    <n v="1.0554123711340206"/>
    <n v="1"/>
    <n v="5.5E-2"/>
    <s v="230"/>
    <m/>
    <n v="38"/>
    <n v="3238"/>
    <n v="0.98840048840048844"/>
    <m/>
    <m/>
    <s v="，充填281g~285g(瓶器285cc輕十二角瓶)"/>
    <m/>
    <x v="2"/>
    <x v="33"/>
    <d v="2026-07-27T00:00:00"/>
    <d v="2026-07-23T00:00:00"/>
    <d v="2026-07-27T00:00:00"/>
    <x v="2"/>
    <x v="2"/>
  </r>
  <r>
    <x v="597"/>
    <x v="11"/>
    <x v="11"/>
    <n v="40"/>
    <n v="2.8"/>
    <n v="44.5"/>
    <n v="1780"/>
    <n v="1796"/>
    <n v="5028.7999999999993"/>
    <n v="1.0089887640449438"/>
    <n v="1"/>
    <n v="8.9999999999999993E-3"/>
    <s v="410"/>
    <m/>
    <n v="1"/>
    <n v="1795"/>
    <n v="0.99944320712694878"/>
    <m/>
    <m/>
    <s v=""/>
    <m/>
    <x v="2"/>
    <x v="33"/>
    <d v="2026-07-27T00:00:00"/>
    <s v="-"/>
    <s v="-"/>
    <x v="2"/>
    <x v="2"/>
  </r>
  <r>
    <x v="597"/>
    <x v="94"/>
    <x v="85"/>
    <n v="1"/>
    <n v="1"/>
    <n v="591"/>
    <n v="591"/>
    <n v="528"/>
    <n v="528"/>
    <n v="0.89340101522842641"/>
    <n v="1"/>
    <n v="-0.107"/>
    <s v="0"/>
    <m/>
    <n v="0"/>
    <n v="528"/>
    <n v="1"/>
    <m/>
    <m/>
    <s v=""/>
    <m/>
    <x v="4"/>
    <x v="33"/>
    <s v="-"/>
    <s v="-"/>
    <d v="2026-08-07T00:00:00"/>
    <x v="2"/>
    <x v="2"/>
  </r>
  <r>
    <x v="598"/>
    <x v="9"/>
    <x v="9"/>
    <n v="20"/>
    <n v="6"/>
    <n v="25.7"/>
    <n v="514"/>
    <n v="519"/>
    <n v="3114"/>
    <n v="1.0097276264591439"/>
    <n v="1"/>
    <n v="0.01"/>
    <s v="240"/>
    <m/>
    <n v="0"/>
    <n v="519"/>
    <n v="1"/>
    <m/>
    <m/>
    <s v="，(A12.B8)。"/>
    <m/>
    <x v="3"/>
    <x v="31"/>
    <d v="2026-07-30T00:00:00"/>
    <s v="-"/>
    <s v="-"/>
    <x v="3"/>
    <x v="1"/>
  </r>
  <r>
    <x v="598"/>
    <x v="122"/>
    <x v="111"/>
    <n v="12"/>
    <n v="6"/>
    <n v="0"/>
    <n v="0"/>
    <n v="306"/>
    <n v="1836"/>
    <s v="無法預估數據"/>
    <e v="#N/A"/>
    <s v="無法預估數據"/>
    <s v="170"/>
    <m/>
    <n v="2"/>
    <n v="304"/>
    <n v="0.99346405228758172"/>
    <m/>
    <m/>
    <s v=""/>
    <m/>
    <x v="3"/>
    <x v="31"/>
    <d v="2026-07-30T00:00:00"/>
    <d v="2026-07-27T00:00:00"/>
    <d v="2026-07-29T00:00:00"/>
    <x v="3"/>
    <x v="1"/>
  </r>
  <r>
    <x v="598"/>
    <x v="150"/>
    <x v="126"/>
    <n v="8"/>
    <n v="6"/>
    <n v="0"/>
    <n v="0"/>
    <n v="212"/>
    <n v="1272"/>
    <s v="無法預估數據"/>
    <n v="0"/>
    <s v="無法預估數據"/>
    <s v="150"/>
    <m/>
    <n v="1"/>
    <n v="211"/>
    <n v="0.99528301886792447"/>
    <m/>
    <m/>
    <s v=""/>
    <m/>
    <x v="3"/>
    <x v="31"/>
    <d v="2026-07-30T00:00:00"/>
    <d v="2026-07-27T00:00:00"/>
    <d v="2026-07-29T00:00:00"/>
    <x v="3"/>
    <x v="1"/>
  </r>
  <r>
    <x v="598"/>
    <x v="17"/>
    <x v="17"/>
    <n v="21"/>
    <n v="3"/>
    <n v="29.7"/>
    <n v="623.69999999999993"/>
    <n v="628"/>
    <n v="1884"/>
    <n v="1.0068943402276738"/>
    <n v="1"/>
    <n v="7.0000000000000001E-3"/>
    <s v="510"/>
    <m/>
    <n v="0"/>
    <n v="628"/>
    <n v="1"/>
    <m/>
    <m/>
    <s v=""/>
    <m/>
    <x v="1"/>
    <x v="34"/>
    <s v="-"/>
    <d v="2026-07-27T00:00:00"/>
    <d v="2026-07-28T00:00:00"/>
    <x v="2"/>
    <x v="2"/>
  </r>
  <r>
    <x v="598"/>
    <x v="11"/>
    <x v="11"/>
    <n v="72"/>
    <n v="2.8"/>
    <n v="44.5"/>
    <n v="3204"/>
    <n v="3216"/>
    <n v="9004.7999999999993"/>
    <n v="1.0037453183520599"/>
    <n v="1"/>
    <n v="4.0000000000000001E-3"/>
    <s v="455"/>
    <m/>
    <n v="1"/>
    <n v="3215"/>
    <n v="0.99968905472636815"/>
    <m/>
    <m/>
    <s v=""/>
    <m/>
    <x v="2"/>
    <x v="34"/>
    <d v="2026-07-28T00:00:00"/>
    <s v="-"/>
    <s v="-"/>
    <x v="2"/>
    <x v="2"/>
  </r>
  <r>
    <x v="599"/>
    <x v="8"/>
    <x v="8"/>
    <n v="20"/>
    <n v="0.44"/>
    <n v="344"/>
    <n v="6880"/>
    <n v="6706"/>
    <n v="2950.64"/>
    <n v="0.97470930232558139"/>
    <n v="1"/>
    <n v="-2.5000000000000001E-2"/>
    <s v="300"/>
    <m/>
    <n v="10"/>
    <n v="6696"/>
    <n v="0.99850879809126158"/>
    <m/>
    <m/>
    <s v="，(5-7mm)"/>
    <m/>
    <x v="3"/>
    <x v="35"/>
    <d v="2026-07-31T00:00:00"/>
    <d v="2026-07-27T00:00:00"/>
    <d v="2026-07-30T00:00:00"/>
    <x v="3"/>
    <x v="1"/>
  </r>
  <r>
    <x v="599"/>
    <x v="43"/>
    <x v="41"/>
    <n v="16"/>
    <n v="0.26"/>
    <n v="584.29999999999995"/>
    <n v="9348.7999999999993"/>
    <n v="9493"/>
    <n v="2468.1800000000003"/>
    <n v="1.0154244395002567"/>
    <n v="1"/>
    <n v="1.4999999999999999E-2"/>
    <s v="330"/>
    <m/>
    <n v="21"/>
    <n v="9472"/>
    <n v="0.9977878436742863"/>
    <m/>
    <m/>
    <s v="*"/>
    <m/>
    <x v="3"/>
    <x v="35"/>
    <d v="2026-07-31T00:00:00"/>
    <d v="2026-07-27T00:00:00"/>
    <d v="2026-07-30T00:00:00"/>
    <x v="3"/>
    <x v="1"/>
  </r>
  <r>
    <x v="599"/>
    <x v="9"/>
    <x v="9"/>
    <n v="16"/>
    <n v="6"/>
    <n v="25.7"/>
    <n v="411.2"/>
    <n v="414"/>
    <n v="2484"/>
    <n v="1.0068093385214008"/>
    <n v="1"/>
    <n v="7.0000000000000001E-3"/>
    <s v="207"/>
    <m/>
    <n v="2"/>
    <n v="412"/>
    <n v="0.99516908212560384"/>
    <m/>
    <m/>
    <s v="，(A8.B8)。"/>
    <m/>
    <x v="1"/>
    <x v="31"/>
    <d v="2026-07-30T00:00:00"/>
    <s v="-"/>
    <s v="-"/>
    <x v="2"/>
    <x v="4"/>
  </r>
  <r>
    <x v="599"/>
    <x v="19"/>
    <x v="19"/>
    <n v="12"/>
    <n v="6"/>
    <n v="25.5"/>
    <n v="306"/>
    <n v="311"/>
    <n v="1866"/>
    <n v="1.0163398692810457"/>
    <n v="1"/>
    <n v="1.6E-2"/>
    <s v="170"/>
    <m/>
    <n v="2"/>
    <n v="309"/>
    <n v="0.99356913183279738"/>
    <m/>
    <m/>
    <s v=""/>
    <m/>
    <x v="1"/>
    <x v="31"/>
    <d v="2026-07-30T00:00:00"/>
    <d v="2026-07-27T00:00:00"/>
    <d v="2026-07-29T00:00:00"/>
    <x v="2"/>
    <x v="4"/>
  </r>
  <r>
    <x v="599"/>
    <x v="130"/>
    <x v="114"/>
    <n v="12"/>
    <n v="6"/>
    <n v="0"/>
    <n v="0"/>
    <n v="317"/>
    <n v="1902"/>
    <s v="無法預估數據"/>
    <e v="#N/A"/>
    <s v="無法預估數據"/>
    <s v="210"/>
    <m/>
    <n v="2"/>
    <n v="315"/>
    <n v="0.99369085173501581"/>
    <m/>
    <m/>
    <s v=""/>
    <m/>
    <x v="1"/>
    <x v="35"/>
    <d v="2026-07-30T00:00:00"/>
    <d v="2026-07-27T00:00:00"/>
    <d v="2026-07-30T00:00:00"/>
    <x v="3"/>
    <x v="4"/>
  </r>
  <r>
    <x v="599"/>
    <x v="11"/>
    <x v="11"/>
    <n v="72"/>
    <n v="2.8"/>
    <n v="44.5"/>
    <n v="3204"/>
    <n v="3072"/>
    <n v="8601.5999999999985"/>
    <n v="0.95880149812734083"/>
    <n v="1"/>
    <n v="-4.1000000000000002E-2"/>
    <s v="510"/>
    <m/>
    <n v="1"/>
    <n v="3071"/>
    <n v="0.99967447916666663"/>
    <m/>
    <m/>
    <s v="，D2021*50箱(2028.07.29)；D9920*20桶(2027.07.29)"/>
    <m/>
    <x v="2"/>
    <x v="31"/>
    <d v="2026-07-29T00:00:00"/>
    <s v="-"/>
    <d v="2026-07-29T00:00:00"/>
    <x v="2"/>
    <x v="2"/>
  </r>
  <r>
    <x v="600"/>
    <x v="15"/>
    <x v="15"/>
    <n v="36"/>
    <n v="3.2"/>
    <n v="46.8"/>
    <n v="1684.8"/>
    <n v="1663"/>
    <n v="5321.6"/>
    <n v="0.98706077872744546"/>
    <n v="1"/>
    <n v="-1.2999999999999999E-2"/>
    <s v="300"/>
    <m/>
    <n v="1"/>
    <n v="1662"/>
    <n v="0.99939867708959707"/>
    <m/>
    <m/>
    <s v="*"/>
    <m/>
    <x v="3"/>
    <x v="35"/>
    <d v="2026-07-31T00:00:00"/>
    <s v="-"/>
    <s v="-"/>
    <x v="2"/>
    <x v="4"/>
  </r>
  <r>
    <x v="600"/>
    <x v="13"/>
    <x v="13"/>
    <n v="20"/>
    <n v="0.9"/>
    <n v="160.5"/>
    <n v="3210"/>
    <n v="3231"/>
    <n v="2907.9"/>
    <n v="1.0065420560747664"/>
    <n v="1"/>
    <n v="7.0000000000000001E-3"/>
    <s v="245"/>
    <m/>
    <n v="5"/>
    <n v="3226"/>
    <n v="0.99845249148870319"/>
    <m/>
    <m/>
    <s v=""/>
    <m/>
    <x v="3"/>
    <x v="35"/>
    <d v="2026-07-31T00:00:00"/>
    <s v="-"/>
    <s v="-"/>
    <x v="2"/>
    <x v="4"/>
  </r>
  <r>
    <x v="600"/>
    <x v="9"/>
    <x v="9"/>
    <n v="20"/>
    <n v="6"/>
    <n v="25.7"/>
    <n v="514"/>
    <n v="513"/>
    <n v="3078"/>
    <n v="0.99805447470817121"/>
    <n v="1"/>
    <n v="-2E-3"/>
    <s v="268"/>
    <m/>
    <n v="1"/>
    <n v="512"/>
    <n v="0.99805068226120852"/>
    <m/>
    <m/>
    <s v="，(A12.B8)。"/>
    <m/>
    <x v="1"/>
    <x v="35"/>
    <d v="2026-07-31T00:00:00"/>
    <s v="-"/>
    <s v="-"/>
    <x v="2"/>
    <x v="4"/>
  </r>
  <r>
    <x v="600"/>
    <x v="16"/>
    <x v="16"/>
    <n v="20"/>
    <n v="6"/>
    <n v="26.1"/>
    <n v="522"/>
    <n v="533"/>
    <n v="3198"/>
    <n v="1.0210727969348659"/>
    <n v="1"/>
    <n v="2.1000000000000001E-2"/>
    <s v="275"/>
    <m/>
    <n v="1"/>
    <n v="532"/>
    <n v="0.99812382739212002"/>
    <m/>
    <m/>
    <s v=""/>
    <m/>
    <x v="1"/>
    <x v="35"/>
    <d v="2026-07-31T00:00:00"/>
    <d v="2026-07-29T00:00:00"/>
    <d v="2026-07-30T00:00:00"/>
    <x v="2"/>
    <x v="4"/>
  </r>
  <r>
    <x v="600"/>
    <x v="34"/>
    <x v="32"/>
    <n v="4"/>
    <n v="0.34"/>
    <n v="358.3"/>
    <n v="1433.2"/>
    <n v="1203"/>
    <n v="409.02000000000004"/>
    <n v="0.8393804074797655"/>
    <n v="1"/>
    <n v="-0.161"/>
    <s v="150"/>
    <m/>
    <n v="2"/>
    <n v="1201"/>
    <n v="0.99833748960931001"/>
    <m/>
    <m/>
    <s v="(紅蓋)分裝味榮(D1520)(細)(充填281g~285g)出貨足量1201瓶(製造日期:S30G26)剩餘充A2040。"/>
    <m/>
    <x v="2"/>
    <x v="35"/>
    <d v="2026-07-30T00:00:00"/>
    <d v="2026-07-29T00:00:00"/>
    <d v="2026-07-30T00:00:00"/>
    <x v="2"/>
    <x v="2"/>
  </r>
  <r>
    <x v="600"/>
    <x v="23"/>
    <x v="22"/>
    <n v="24"/>
    <n v="0.34"/>
    <n v="364.6"/>
    <n v="8750.4000000000015"/>
    <n v="7895"/>
    <n v="2684.3"/>
    <n v="0.90224446882428222"/>
    <n v="1"/>
    <n v="-9.8000000000000004E-2"/>
    <s v="450"/>
    <m/>
    <n v="3"/>
    <n v="7892"/>
    <n v="0.99962001266624445"/>
    <m/>
    <m/>
    <s v="(紅蓋)分裝味榮(D1521)(顆)(充填281g~285g)出貨足量1201瓶(製造日期:S30G26)剩餘充A2060。"/>
    <m/>
    <x v="2"/>
    <x v="35"/>
    <d v="2026-07-30T00:00:00"/>
    <d v="2026-07-29T00:00:00"/>
    <d v="2026-07-30T00:00:00"/>
    <x v="2"/>
    <x v="2"/>
  </r>
  <r>
    <x v="601"/>
    <x v="30"/>
    <x v="28"/>
    <n v="12"/>
    <n v="0.43"/>
    <n v="340.4"/>
    <n v="4084.7999999999997"/>
    <n v="4042"/>
    <n v="1738.06"/>
    <n v="0.98952213082647877"/>
    <n v="1"/>
    <n v="-0.01"/>
    <s v="205"/>
    <m/>
    <n v="10"/>
    <n v="4032"/>
    <n v="0.99752597723899061"/>
    <m/>
    <m/>
    <s v="分裝麥味登180箱(2160瓶)(RP99空白箱)"/>
    <m/>
    <x v="3"/>
    <x v="36"/>
    <d v="2026-08-06T00:00:00"/>
    <d v="2026-07-30T00:00:00"/>
    <d v="2026-08-03T00:00:00"/>
    <x v="4"/>
    <x v="9"/>
  </r>
  <r>
    <x v="601"/>
    <x v="75"/>
    <x v="65"/>
    <n v="3"/>
    <n v="0.19"/>
    <n v="759.3"/>
    <n v="2277.8999999999996"/>
    <n v="2325"/>
    <n v="441.75"/>
    <n v="1.0206769392861847"/>
    <n v="1"/>
    <n v="2.1000000000000001E-2"/>
    <s v="205"/>
    <m/>
    <n v="7"/>
    <n v="2318"/>
    <n v="0.99698924731182792"/>
    <m/>
    <m/>
    <s v=""/>
    <m/>
    <x v="3"/>
    <x v="37"/>
    <d v="2026-08-06T00:00:00"/>
    <d v="2026-07-30T00:00:00"/>
    <d v="2026-08-03T00:00:00"/>
    <x v="2"/>
    <x v="9"/>
  </r>
  <r>
    <x v="601"/>
    <x v="63"/>
    <x v="54"/>
    <n v="8"/>
    <n v="0.21"/>
    <n v="698.4"/>
    <n v="5587.2"/>
    <n v="5976"/>
    <n v="1254.96"/>
    <n v="1.0695876288659794"/>
    <n v="1"/>
    <n v="7.0000000000000007E-2"/>
    <s v="260"/>
    <m/>
    <n v="9"/>
    <n v="5967"/>
    <n v="0.99849397590361444"/>
    <m/>
    <m/>
    <s v=""/>
    <m/>
    <x v="3"/>
    <x v="36"/>
    <d v="2026-08-06T00:00:00"/>
    <d v="2026-07-30T00:00:00"/>
    <d v="2026-08-03T00:00:00"/>
    <x v="4"/>
    <x v="9"/>
  </r>
  <r>
    <x v="601"/>
    <x v="2"/>
    <x v="2"/>
    <n v="20"/>
    <n v="6"/>
    <n v="26.6"/>
    <n v="532"/>
    <n v="527"/>
    <n v="3162"/>
    <n v="0.99060150375939848"/>
    <n v="1"/>
    <n v="-8.9999999999999993E-3"/>
    <s v="310"/>
    <m/>
    <n v="1"/>
    <n v="526"/>
    <n v="0.99810246679316883"/>
    <m/>
    <m/>
    <s v=""/>
    <m/>
    <x v="1"/>
    <x v="37"/>
    <d v="2026-08-03T00:00:00"/>
    <d v="2026-07-30T00:00:00"/>
    <d v="2026-07-31T00:00:00"/>
    <x v="2"/>
    <x v="5"/>
  </r>
  <r>
    <x v="601"/>
    <x v="140"/>
    <x v="10"/>
    <n v="24"/>
    <n v="6"/>
    <n v="25.4"/>
    <n v="609.59999999999991"/>
    <n v="629"/>
    <n v="3774"/>
    <n v="1.0318241469816274"/>
    <e v="#N/A"/>
    <e v="#N/A"/>
    <s v="140"/>
    <m/>
    <n v="4"/>
    <n v="625"/>
    <n v="0.99364069952305245"/>
    <m/>
    <m/>
    <s v="，(A12.B12)。"/>
    <m/>
    <x v="1"/>
    <x v="36"/>
    <d v="2026-08-03T00:00:00"/>
    <d v="2026-07-30T00:00:00"/>
    <s v="-"/>
    <x v="4"/>
    <x v="5"/>
  </r>
  <r>
    <x v="601"/>
    <x v="35"/>
    <x v="33"/>
    <n v="8"/>
    <n v="18"/>
    <n v="6.6"/>
    <n v="52.8"/>
    <n v="51"/>
    <n v="918"/>
    <n v="0.96590909090909094"/>
    <n v="1"/>
    <n v="-3.4000000000000002E-2"/>
    <s v="515"/>
    <m/>
    <n v="0"/>
    <n v="51"/>
    <n v="1"/>
    <m/>
    <m/>
    <m/>
    <m/>
    <x v="2"/>
    <x v="37"/>
    <s v="-"/>
    <d v="2026-07-30T00:00:00"/>
    <d v="2026-07-31T00:00:00"/>
    <x v="2"/>
    <x v="2"/>
  </r>
  <r>
    <x v="601"/>
    <x v="41"/>
    <x v="39"/>
    <n v="60"/>
    <n v="2.8"/>
    <n v="44.2"/>
    <n v="2652"/>
    <n v="2628"/>
    <n v="7358.4"/>
    <n v="0.99095022624434392"/>
    <n v="1"/>
    <n v="-8.9999999999999993E-3"/>
    <s v="270"/>
    <m/>
    <n v="1"/>
    <n v="2627"/>
    <n v="0.99961948249619481"/>
    <m/>
    <m/>
    <s v=""/>
    <m/>
    <x v="2"/>
    <x v="37"/>
    <d v="2026-07-31T00:00:00"/>
    <d v="2026-07-30T00:00:00"/>
    <d v="2026-07-31T00:00:00"/>
    <x v="2"/>
    <x v="2"/>
  </r>
  <r>
    <x v="602"/>
    <x v="21"/>
    <x v="21"/>
    <n v="36"/>
    <n v="3.2"/>
    <n v="46.4"/>
    <n v="1670.3999999999999"/>
    <n v="1763"/>
    <n v="5641.6"/>
    <n v="1.0554358237547894"/>
    <n v="1"/>
    <n v="5.5E-2"/>
    <s v="270"/>
    <m/>
    <n v="2"/>
    <n v="1761"/>
    <n v="0.99886557005104937"/>
    <m/>
    <m/>
    <m/>
    <m/>
    <x v="3"/>
    <x v="38"/>
    <d v="2026-08-06T00:00:00"/>
    <d v="2026-08-03T00:00:00"/>
    <d v="2026-08-10T00:00:00"/>
    <x v="3"/>
    <x v="5"/>
  </r>
  <r>
    <x v="602"/>
    <x v="160"/>
    <x v="21"/>
    <n v="1"/>
    <n v="3.2"/>
    <n v="0"/>
    <n v="0"/>
    <n v="12"/>
    <n v="38.400000000000006"/>
    <s v="無法預估數據"/>
    <n v="1"/>
    <s v="無法預估數據"/>
    <s v="0"/>
    <m/>
    <n v="0"/>
    <n v="12"/>
    <n v="1"/>
    <m/>
    <m/>
    <s v="(研發測試)"/>
    <m/>
    <x v="3"/>
    <x v="38"/>
    <d v="2026-08-06T00:00:00"/>
    <d v="2026-08-03T00:00:00"/>
    <s v="-"/>
    <x v="3"/>
    <x v="5"/>
  </r>
  <r>
    <x v="602"/>
    <x v="27"/>
    <x v="26"/>
    <n v="36"/>
    <n v="3.2"/>
    <n v="47.5"/>
    <n v="1710"/>
    <n v="1652"/>
    <n v="5286.4000000000005"/>
    <n v="0.96608187134502921"/>
    <n v="1"/>
    <n v="-3.4000000000000002E-2"/>
    <s v="270"/>
    <m/>
    <n v="1"/>
    <n v="1651"/>
    <n v="0.99939467312348673"/>
    <m/>
    <m/>
    <s v=""/>
    <m/>
    <x v="3"/>
    <x v="38"/>
    <d v="2026-08-06T00:00:00"/>
    <d v="2026-07-31T00:00:00"/>
    <d v="2026-08-04T00:00:00"/>
    <x v="3"/>
    <x v="5"/>
  </r>
  <r>
    <x v="602"/>
    <x v="47"/>
    <x v="42"/>
    <n v="30"/>
    <n v="6"/>
    <n v="25.6"/>
    <n v="768"/>
    <n v="782"/>
    <n v="4692"/>
    <n v="1.0182291666666667"/>
    <n v="1"/>
    <n v="1.7999999999999999E-2"/>
    <s v="360"/>
    <m/>
    <n v="1"/>
    <n v="781"/>
    <n v="0.99872122762148341"/>
    <m/>
    <m/>
    <s v=""/>
    <m/>
    <x v="1"/>
    <x v="38"/>
    <d v="2026-08-06T00:00:00"/>
    <d v="2026-07-31T00:00:00"/>
    <d v="2026-08-04T00:00:00"/>
    <x v="3"/>
    <x v="5"/>
  </r>
  <r>
    <x v="602"/>
    <x v="0"/>
    <x v="0"/>
    <n v="12"/>
    <n v="6"/>
    <n v="25.5"/>
    <n v="306"/>
    <n v="306"/>
    <n v="1836"/>
    <n v="1"/>
    <n v="1"/>
    <n v="0"/>
    <s v="185"/>
    <m/>
    <n v="1"/>
    <n v="305"/>
    <n v="0.99673202614379086"/>
    <m/>
    <m/>
    <s v=""/>
    <m/>
    <x v="1"/>
    <x v="38"/>
    <d v="2026-08-06T00:00:00"/>
    <d v="2026-07-31T00:00:00"/>
    <d v="2026-08-04T00:00:00"/>
    <x v="3"/>
    <x v="5"/>
  </r>
  <r>
    <x v="602"/>
    <x v="6"/>
    <x v="6"/>
    <n v="24"/>
    <n v="0.4"/>
    <n v="309.2"/>
    <n v="7420.7999999999993"/>
    <n v="7522"/>
    <n v="3008.8"/>
    <n v="1.0136373436826218"/>
    <n v="1"/>
    <n v="1.4E-2"/>
    <s v="300"/>
    <m/>
    <n v="3"/>
    <n v="7519"/>
    <n v="0.99960116990162196"/>
    <m/>
    <m/>
    <s v=""/>
    <m/>
    <x v="2"/>
    <x v="36"/>
    <d v="2026-08-03T00:00:00"/>
    <d v="2026-07-31T00:00:00"/>
    <d v="2026-08-03T00:00:00"/>
    <x v="2"/>
    <x v="2"/>
  </r>
  <r>
    <x v="602"/>
    <x v="11"/>
    <x v="11"/>
    <n v="32"/>
    <n v="2.8"/>
    <n v="44.5"/>
    <n v="1424"/>
    <n v="1451"/>
    <n v="4062.7999999999997"/>
    <n v="1.0189606741573034"/>
    <n v="1"/>
    <n v="1.9E-2"/>
    <s v="295"/>
    <m/>
    <n v="1"/>
    <n v="1450"/>
    <n v="0.99931082012405237"/>
    <m/>
    <m/>
    <s v=""/>
    <m/>
    <x v="2"/>
    <x v="36"/>
    <d v="2026-08-03T00:00:00"/>
    <s v="-"/>
    <s v="-"/>
    <x v="2"/>
    <x v="2"/>
  </r>
  <r>
    <x v="603"/>
    <x v="9"/>
    <x v="9"/>
    <n v="16"/>
    <n v="6"/>
    <n v="25.7"/>
    <n v="411.2"/>
    <n v="405"/>
    <n v="2430"/>
    <n v="0.9849221789883269"/>
    <n v="1"/>
    <n v="-1.4999999999999999E-2"/>
    <s v="210"/>
    <m/>
    <n v="2"/>
    <n v="403"/>
    <n v="0.99506172839506168"/>
    <m/>
    <m/>
    <m/>
    <m/>
    <x v="3"/>
    <x v="39"/>
    <d v="2026-08-10T00:00:00"/>
    <s v="-"/>
    <s v="-"/>
    <x v="3"/>
    <x v="9"/>
  </r>
  <r>
    <x v="603"/>
    <x v="140"/>
    <x v="10"/>
    <n v="24"/>
    <n v="6"/>
    <n v="25.4"/>
    <n v="609.59999999999991"/>
    <n v="628"/>
    <n v="3768"/>
    <n v="1.030183727034121"/>
    <e v="#N/A"/>
    <e v="#N/A"/>
    <s v="330"/>
    <m/>
    <n v="3"/>
    <n v="625"/>
    <n v="0.99522292993630568"/>
    <m/>
    <m/>
    <m/>
    <m/>
    <x v="3"/>
    <x v="38"/>
    <d v="2026-08-10T00:00:00"/>
    <d v="2026-07-31T00:00:00"/>
    <d v="2026-08-04T00:00:00"/>
    <x v="2"/>
    <x v="9"/>
  </r>
  <r>
    <x v="603"/>
    <x v="48"/>
    <x v="17"/>
    <n v="21"/>
    <n v="3"/>
    <n v="30.8"/>
    <n v="646.80000000000007"/>
    <n v="648"/>
    <n v="1944"/>
    <n v="1.0018552875695732"/>
    <n v="1"/>
    <n v="2E-3"/>
    <s v="510"/>
    <m/>
    <n v="0"/>
    <n v="648"/>
    <n v="1"/>
    <m/>
    <m/>
    <m/>
    <m/>
    <x v="1"/>
    <x v="38"/>
    <s v="-"/>
    <d v="2026-08-03T00:00:00"/>
    <d v="2026-08-04T00:00:00"/>
    <x v="2"/>
    <x v="2"/>
  </r>
  <r>
    <x v="603"/>
    <x v="11"/>
    <x v="11"/>
    <n v="72"/>
    <n v="2.8"/>
    <n v="44.5"/>
    <n v="3204"/>
    <n v="3201"/>
    <n v="8962.7999999999993"/>
    <n v="0.99906367041198507"/>
    <n v="1"/>
    <n v="-1E-3"/>
    <s v="530"/>
    <m/>
    <n v="1"/>
    <n v="3200"/>
    <n v="0.999687597625742"/>
    <m/>
    <m/>
    <m/>
    <m/>
    <x v="2"/>
    <x v="38"/>
    <d v="2026-08-04T00:00:00"/>
    <s v="-"/>
    <s v="-"/>
    <x v="2"/>
    <x v="2"/>
  </r>
  <r>
    <x v="603"/>
    <x v="95"/>
    <x v="86"/>
    <n v="1"/>
    <n v="1"/>
    <n v="942"/>
    <n v="942"/>
    <n v="885"/>
    <n v="885"/>
    <n v="0.93949044585987262"/>
    <n v="1"/>
    <n v="-6.0999999999999999E-2"/>
    <s v="0"/>
    <m/>
    <n v="0"/>
    <n v="885"/>
    <n v="1"/>
    <m/>
    <m/>
    <m/>
    <m/>
    <x v="4"/>
    <x v="8"/>
    <s v="-"/>
    <s v="-"/>
    <s v="-"/>
    <x v="2"/>
    <x v="2"/>
  </r>
  <r>
    <x v="604"/>
    <x v="15"/>
    <x v="15"/>
    <n v="88"/>
    <n v="3.2"/>
    <n v="46.8"/>
    <n v="4118.3999999999996"/>
    <n v="3025"/>
    <n v="9680"/>
    <n v="0.73450854700854706"/>
    <n v="1"/>
    <n v="-0.26500000000000001"/>
    <s v="600"/>
    <m/>
    <n v="1"/>
    <n v="3024"/>
    <n v="0.99966942148760329"/>
    <m/>
    <m/>
    <m/>
    <m/>
    <x v="3"/>
    <x v="40"/>
    <d v="2026-08-10T00:00:00"/>
    <s v="-"/>
    <s v="-"/>
    <x v="3"/>
    <x v="6"/>
  </r>
  <r>
    <x v="604"/>
    <x v="132"/>
    <x v="15"/>
    <n v="1"/>
    <n v="3.2"/>
    <n v="46.8"/>
    <n v="46.8"/>
    <n v="12"/>
    <n v="38.400000000000006"/>
    <n v="0.25641025641025644"/>
    <e v="#N/A"/>
    <e v="#N/A"/>
    <s v="0"/>
    <m/>
    <n v="1"/>
    <n v="11"/>
    <n v="0.91666666666666663"/>
    <m/>
    <m/>
    <s v=""/>
    <m/>
    <x v="3"/>
    <x v="40"/>
    <d v="2026-08-10T00:00:00"/>
    <s v="-"/>
    <s v="-"/>
    <x v="3"/>
    <x v="6"/>
  </r>
  <r>
    <x v="604"/>
    <x v="122"/>
    <x v="111"/>
    <n v="16"/>
    <n v="6"/>
    <n v="0"/>
    <n v="0"/>
    <n v="401"/>
    <n v="2406"/>
    <s v="無法預估數據"/>
    <e v="#N/A"/>
    <s v="無法預估數據"/>
    <s v="225"/>
    <m/>
    <n v="4"/>
    <n v="397"/>
    <n v="0.9900249376558603"/>
    <m/>
    <m/>
    <s v=""/>
    <m/>
    <x v="1"/>
    <x v="39"/>
    <d v="2026-08-10T00:00:00"/>
    <d v="2026-08-03T00:00:00"/>
    <d v="2026-08-05T00:00:00"/>
    <x v="2"/>
    <x v="6"/>
  </r>
  <r>
    <x v="604"/>
    <x v="9"/>
    <x v="9"/>
    <n v="24"/>
    <n v="6"/>
    <n v="25.7"/>
    <n v="616.79999999999995"/>
    <n v="623"/>
    <n v="3738"/>
    <n v="1.0100518806744487"/>
    <n v="1"/>
    <n v="0.01"/>
    <s v="325"/>
    <m/>
    <n v="2"/>
    <n v="621"/>
    <n v="0.9967897271268058"/>
    <m/>
    <m/>
    <m/>
    <m/>
    <x v="1"/>
    <x v="39"/>
    <d v="2026-08-10T00:00:00"/>
    <s v="-"/>
    <s v="-"/>
    <x v="2"/>
    <x v="6"/>
  </r>
  <r>
    <x v="604"/>
    <x v="17"/>
    <x v="17"/>
    <n v="21"/>
    <n v="3"/>
    <n v="29.7"/>
    <n v="623.69999999999993"/>
    <n v="628"/>
    <n v="1884"/>
    <n v="1.0068943402276738"/>
    <n v="1"/>
    <n v="7.0000000000000001E-3"/>
    <s v="510"/>
    <m/>
    <n v="0"/>
    <n v="628"/>
    <n v="1"/>
    <m/>
    <m/>
    <s v=""/>
    <m/>
    <x v="2"/>
    <x v="39"/>
    <s v="-"/>
    <d v="2026-08-03T00:00:00"/>
    <d v="2026-08-05T00:00:00"/>
    <x v="2"/>
    <x v="2"/>
  </r>
  <r>
    <x v="605"/>
    <x v="153"/>
    <x v="115"/>
    <n v="8"/>
    <n v="4.5"/>
    <n v="33.200000000000003"/>
    <n v="265.60000000000002"/>
    <n v="258"/>
    <n v="1161"/>
    <n v="0.97138554216867457"/>
    <e v="#N/A"/>
    <e v="#N/A"/>
    <s v="150"/>
    <m/>
    <n v="0"/>
    <n v="258"/>
    <n v="1"/>
    <m/>
    <m/>
    <s v=""/>
    <m/>
    <x v="3"/>
    <x v="41"/>
    <d v="2026-08-10T00:00:00"/>
    <d v="2026-08-04T00:00:00"/>
    <d v="2026-08-07T00:00:00"/>
    <x v="3"/>
    <x v="3"/>
  </r>
  <r>
    <x v="605"/>
    <x v="133"/>
    <x v="115"/>
    <n v="8"/>
    <n v="4.5"/>
    <n v="33.200000000000003"/>
    <n v="265.60000000000002"/>
    <n v="275"/>
    <n v="1237.5"/>
    <n v="1.0353915662650601"/>
    <e v="#N/A"/>
    <e v="#N/A"/>
    <s v="140"/>
    <m/>
    <n v="0"/>
    <n v="275"/>
    <n v="1"/>
    <m/>
    <m/>
    <m/>
    <m/>
    <x v="3"/>
    <x v="41"/>
    <d v="2026-08-10T00:00:00"/>
    <d v="2026-08-04T00:00:00"/>
    <d v="2026-08-07T00:00:00"/>
    <x v="3"/>
    <x v="3"/>
  </r>
  <r>
    <x v="605"/>
    <x v="52"/>
    <x v="46"/>
    <n v="8"/>
    <n v="4.5"/>
    <n v="35.6"/>
    <n v="284.8"/>
    <n v="283"/>
    <n v="1273.5"/>
    <n v="0.99367977528089879"/>
    <n v="1"/>
    <n v="-6.0000000000000001E-3"/>
    <s v="160"/>
    <m/>
    <n v="0"/>
    <n v="283"/>
    <n v="1"/>
    <m/>
    <m/>
    <s v=""/>
    <m/>
    <x v="3"/>
    <x v="41"/>
    <d v="2026-08-10T00:00:00"/>
    <d v="2026-08-04T00:00:00"/>
    <d v="2026-08-07T00:00:00"/>
    <x v="3"/>
    <x v="3"/>
  </r>
  <r>
    <x v="605"/>
    <x v="155"/>
    <x v="129"/>
    <n v="12"/>
    <n v="4.5"/>
    <n v="34.9"/>
    <n v="418.79999999999995"/>
    <n v="432"/>
    <n v="1944"/>
    <n v="1.031518624641834"/>
    <n v="0"/>
    <n v="1.032"/>
    <s v="212"/>
    <m/>
    <n v="0"/>
    <n v="432"/>
    <n v="1"/>
    <m/>
    <m/>
    <m/>
    <m/>
    <x v="3"/>
    <x v="41"/>
    <d v="2026-08-10T00:00:00"/>
    <d v="2026-08-04T00:00:00"/>
    <d v="2026-08-07T00:00:00"/>
    <x v="3"/>
    <x v="3"/>
  </r>
  <r>
    <x v="605"/>
    <x v="46"/>
    <x v="17"/>
    <n v="21"/>
    <n v="3"/>
    <n v="31.6"/>
    <n v="663.6"/>
    <n v="668"/>
    <n v="2004"/>
    <n v="1.0066305003013862"/>
    <n v="1"/>
    <n v="7.0000000000000001E-3"/>
    <s v="540"/>
    <m/>
    <n v="0"/>
    <n v="668"/>
    <n v="1"/>
    <m/>
    <m/>
    <s v=""/>
    <m/>
    <x v="1"/>
    <x v="40"/>
    <s v="-"/>
    <d v="2026-08-03T00:00:00"/>
    <d v="2026-08-06T00:00:00"/>
    <x v="2"/>
    <x v="2"/>
  </r>
  <r>
    <x v="605"/>
    <x v="11"/>
    <x v="11"/>
    <n v="60"/>
    <n v="2.8"/>
    <n v="44.5"/>
    <n v="2670"/>
    <n v="2677"/>
    <n v="7495.5999999999995"/>
    <n v="1.002621722846442"/>
    <n v="1"/>
    <n v="3.0000000000000001E-3"/>
    <s v="445"/>
    <m/>
    <n v="1"/>
    <n v="2676"/>
    <n v="0.99962644751587593"/>
    <m/>
    <m/>
    <s v=""/>
    <m/>
    <x v="2"/>
    <x v="40"/>
    <d v="2026-08-06T00:00:00"/>
    <d v="2026-08-05T00:00:00"/>
    <s v="-"/>
    <x v="2"/>
    <x v="2"/>
  </r>
  <r>
    <x v="606"/>
    <x v="15"/>
    <x v="15"/>
    <n v="52"/>
    <n v="3.2"/>
    <n v="46.8"/>
    <n v="2433.6"/>
    <n v="2415"/>
    <n v="7728"/>
    <n v="0.99235700197238663"/>
    <n v="1"/>
    <n v="-8.0000000000000002E-3"/>
    <s v="410"/>
    <m/>
    <n v="2"/>
    <n v="2413"/>
    <n v="0.9991718426501035"/>
    <m/>
    <m/>
    <m/>
    <m/>
    <x v="3"/>
    <x v="42"/>
    <d v="2026-08-10T00:00:00"/>
    <s v="-"/>
    <s v="-"/>
    <x v="4"/>
    <x v="5"/>
  </r>
  <r>
    <x v="606"/>
    <x v="71"/>
    <x v="61"/>
    <n v="6"/>
    <n v="0.17"/>
    <n v="912.6"/>
    <n v="5475.6"/>
    <n v="5406"/>
    <n v="919.0200000000001"/>
    <n v="0.98728906421214102"/>
    <n v="1"/>
    <n v="-1.2999999999999999E-2"/>
    <s v="225"/>
    <m/>
    <n v="7"/>
    <n v="5399"/>
    <n v="0.99870514243433217"/>
    <m/>
    <m/>
    <m/>
    <m/>
    <x v="3"/>
    <x v="42"/>
    <d v="2026-08-10T00:00:00"/>
    <d v="2026-08-07T00:00:00"/>
    <d v="2026-08-07T00:00:00"/>
    <x v="4"/>
    <x v="5"/>
  </r>
  <r>
    <x v="606"/>
    <x v="1"/>
    <x v="1"/>
    <n v="6"/>
    <n v="6"/>
    <n v="25.7"/>
    <n v="154.19999999999999"/>
    <n v="151"/>
    <n v="906"/>
    <n v="0.97924773022049294"/>
    <n v="1"/>
    <n v="-2.1000000000000001E-2"/>
    <s v="160"/>
    <m/>
    <n v="1"/>
    <n v="150"/>
    <n v="0.99337748344370858"/>
    <m/>
    <m/>
    <s v=""/>
    <m/>
    <x v="1"/>
    <x v="41"/>
    <d v="2026-08-10T00:00:00"/>
    <d v="2026-08-05T00:00:00"/>
    <d v="2026-08-10T00:00:00"/>
    <x v="2"/>
    <x v="5"/>
  </r>
  <r>
    <x v="606"/>
    <x v="58"/>
    <x v="51"/>
    <n v="8"/>
    <n v="6"/>
    <n v="25.7"/>
    <n v="205.6"/>
    <n v="208"/>
    <n v="1248"/>
    <n v="1.0116731517509727"/>
    <n v="1"/>
    <n v="1.2E-2"/>
    <s v="132"/>
    <m/>
    <n v="1"/>
    <n v="207"/>
    <n v="0.99519230769230771"/>
    <m/>
    <m/>
    <s v=""/>
    <m/>
    <x v="1"/>
    <x v="41"/>
    <d v="2026-08-10T00:00:00"/>
    <d v="2026-08-05T00:00:00"/>
    <d v="2026-08-10T00:00:00"/>
    <x v="2"/>
    <x v="5"/>
  </r>
  <r>
    <x v="606"/>
    <x v="9"/>
    <x v="9"/>
    <n v="28"/>
    <n v="6"/>
    <n v="25.7"/>
    <n v="719.6"/>
    <n v="720"/>
    <n v="4320"/>
    <n v="1.0005558643690939"/>
    <n v="1"/>
    <n v="1E-3"/>
    <s v="310"/>
    <m/>
    <n v="1"/>
    <n v="719"/>
    <n v="0.99861111111111112"/>
    <m/>
    <m/>
    <m/>
    <m/>
    <x v="1"/>
    <x v="42"/>
    <d v="2026-08-10T00:00:00"/>
    <s v="-"/>
    <s v="-"/>
    <x v="4"/>
    <x v="5"/>
  </r>
  <r>
    <x v="606"/>
    <x v="11"/>
    <x v="11"/>
    <n v="72"/>
    <n v="2.8"/>
    <n v="44.5"/>
    <n v="3204"/>
    <n v="2676"/>
    <n v="7492.7999999999993"/>
    <n v="0.83520599250936334"/>
    <n v="1"/>
    <n v="-0.16500000000000001"/>
    <s v="450"/>
    <m/>
    <n v="7"/>
    <n v="2669"/>
    <n v="0.99738415545590431"/>
    <m/>
    <m/>
    <s v=""/>
    <m/>
    <x v="2"/>
    <x v="42"/>
    <d v="2026-08-10T00:00:00"/>
    <s v="-"/>
    <s v="-"/>
    <x v="4"/>
    <x v="5"/>
  </r>
  <r>
    <x v="607"/>
    <x v="43"/>
    <x v="41"/>
    <n v="16"/>
    <n v="0.26"/>
    <n v="584.29999999999995"/>
    <n v="9348.7999999999993"/>
    <n v="9687"/>
    <n v="2518.62"/>
    <n v="1.0361757658736952"/>
    <n v="1"/>
    <n v="3.5999999999999997E-2"/>
    <s v="0"/>
    <m/>
    <n v="17"/>
    <n v="9670"/>
    <n v="0.99824507071332713"/>
    <m/>
    <m/>
    <s v="*"/>
    <m/>
    <x v="3"/>
    <x v="43"/>
    <d v="2026-08-13T00:00:00"/>
    <d v="2026-08-07T00:00:00"/>
    <d v="2026-08-10T00:00:00"/>
    <x v="3"/>
    <x v="5"/>
  </r>
  <r>
    <x v="607"/>
    <x v="26"/>
    <x v="25"/>
    <n v="20"/>
    <n v="0.9"/>
    <n v="163"/>
    <n v="3260"/>
    <n v="3214"/>
    <n v="2892.6"/>
    <n v="0.98588957055214721"/>
    <n v="1"/>
    <n v="-1.4E-2"/>
    <s v="0"/>
    <m/>
    <n v="2"/>
    <n v="3212"/>
    <n v="0.99937772246421908"/>
    <m/>
    <m/>
    <s v=""/>
    <m/>
    <x v="3"/>
    <x v="43"/>
    <d v="2026-08-13T00:00:00"/>
    <d v="2026-08-07T00:00:00"/>
    <d v="2026-08-12T00:00:00"/>
    <x v="3"/>
    <x v="5"/>
  </r>
  <r>
    <x v="607"/>
    <x v="18"/>
    <x v="18"/>
    <n v="16"/>
    <n v="6"/>
    <n v="26.4"/>
    <n v="422.4"/>
    <n v="431"/>
    <n v="2586"/>
    <n v="1.0203598484848486"/>
    <n v="1"/>
    <n v="0.02"/>
    <s v="0"/>
    <m/>
    <n v="1"/>
    <n v="430"/>
    <n v="0.99767981438515085"/>
    <m/>
    <m/>
    <s v=""/>
    <m/>
    <x v="1"/>
    <x v="42"/>
    <d v="2026-08-13T00:00:00"/>
    <d v="2026-08-07T00:00:00"/>
    <d v="2026-08-10T00:00:00"/>
    <x v="2"/>
    <x v="5"/>
  </r>
  <r>
    <x v="607"/>
    <x v="9"/>
    <x v="9"/>
    <n v="28"/>
    <n v="6"/>
    <n v="25.7"/>
    <n v="719.6"/>
    <n v="722"/>
    <n v="4332"/>
    <n v="1.0033351862145636"/>
    <n v="1"/>
    <n v="3.0000000000000001E-3"/>
    <s v="0"/>
    <m/>
    <n v="1"/>
    <n v="721"/>
    <n v="0.99861495844875348"/>
    <m/>
    <m/>
    <s v="，(A16.B12)。"/>
    <m/>
    <x v="1"/>
    <x v="43"/>
    <d v="2026-08-13T00:00:00"/>
    <d v="2026-08-07T00:00:00"/>
    <s v="-"/>
    <x v="3"/>
    <x v="5"/>
  </r>
  <r>
    <x v="607"/>
    <x v="11"/>
    <x v="11"/>
    <n v="60"/>
    <n v="2.8"/>
    <n v="44.5"/>
    <n v="2670"/>
    <n v="2663"/>
    <n v="7456.4"/>
    <n v="0.99737827715355809"/>
    <n v="1"/>
    <n v="-3.0000000000000001E-3"/>
    <s v="0"/>
    <m/>
    <n v="1"/>
    <n v="2662"/>
    <n v="0.99962448366503942"/>
    <m/>
    <m/>
    <s v=""/>
    <m/>
    <x v="2"/>
    <x v="43"/>
    <d v="2026-08-11T00:00:00"/>
    <d v="2026-08-07T00:00:00"/>
    <s v="-"/>
    <x v="3"/>
    <x v="4"/>
  </r>
  <r>
    <x v="607"/>
    <x v="87"/>
    <x v="79"/>
    <n v="1"/>
    <n v="1"/>
    <n v="243"/>
    <n v="243"/>
    <n v="264"/>
    <n v="264"/>
    <n v="1.0864197530864197"/>
    <n v="1"/>
    <n v="8.5999999999999993E-2"/>
    <s v="0"/>
    <m/>
    <n v="5"/>
    <n v="259"/>
    <n v="0.98106060606060608"/>
    <m/>
    <m/>
    <s v=""/>
    <m/>
    <x v="4"/>
    <x v="44"/>
    <d v="2026-08-12T00:00:00"/>
    <d v="2026-08-07T00:00:00"/>
    <s v="-"/>
    <x v="1"/>
    <x v="1"/>
  </r>
  <r>
    <x v="608"/>
    <x v="47"/>
    <x v="42"/>
    <n v="24"/>
    <n v="6"/>
    <n v="25.6"/>
    <n v="614.40000000000009"/>
    <n v="622"/>
    <n v="3732"/>
    <n v="1.0123697916666665"/>
    <n v="1"/>
    <n v="1.2E-2"/>
    <s v="300"/>
    <m/>
    <n v="2"/>
    <n v="620"/>
    <n v="0.99678456591639875"/>
    <m/>
    <m/>
    <s v=""/>
    <m/>
    <x v="3"/>
    <x v="44"/>
    <d v="2026-08-13T00:00:00"/>
    <d v="2026-08-10T00:00:00"/>
    <d v="2026-08-12T00:00:00"/>
    <x v="3"/>
    <x v="1"/>
  </r>
  <r>
    <x v="608"/>
    <x v="0"/>
    <x v="0"/>
    <n v="16"/>
    <n v="6"/>
    <n v="25.5"/>
    <n v="408"/>
    <n v="402"/>
    <n v="2412"/>
    <n v="0.98529411764705888"/>
    <n v="1"/>
    <n v="-1.4999999999999999E-2"/>
    <s v="200"/>
    <m/>
    <n v="0"/>
    <n v="402"/>
    <n v="1"/>
    <m/>
    <m/>
    <s v=""/>
    <m/>
    <x v="3"/>
    <x v="44"/>
    <d v="2026-08-13T00:00:00"/>
    <d v="2026-08-10T00:00:00"/>
    <d v="2026-08-12T00:00:00"/>
    <x v="3"/>
    <x v="1"/>
  </r>
  <r>
    <x v="608"/>
    <x v="130"/>
    <x v="114"/>
    <n v="8"/>
    <n v="6"/>
    <n v="0"/>
    <n v="0"/>
    <n v="215"/>
    <n v="1290"/>
    <s v="無法預估數據"/>
    <e v="#N/A"/>
    <s v="無法預估數據"/>
    <s v="158"/>
    <m/>
    <n v="2"/>
    <n v="213"/>
    <n v="0.99069767441860468"/>
    <m/>
    <m/>
    <s v=""/>
    <m/>
    <x v="3"/>
    <x v="44"/>
    <d v="2026-08-13T00:00:00"/>
    <d v="2026-08-10T00:00:00"/>
    <d v="2026-08-12T00:00:00"/>
    <x v="3"/>
    <x v="1"/>
  </r>
  <r>
    <x v="608"/>
    <x v="48"/>
    <x v="17"/>
    <n v="21"/>
    <n v="3"/>
    <n v="30.8"/>
    <n v="646.80000000000007"/>
    <m/>
    <n v="0"/>
    <n v="0"/>
    <n v="1"/>
    <n v="-1"/>
    <s v="540"/>
    <m/>
    <n v="-648"/>
    <n v="648"/>
    <e v="#DIV/0!"/>
    <m/>
    <m/>
    <s v=""/>
    <m/>
    <x v="1"/>
    <x v="43"/>
    <d v="2026-08-11T00:00:00"/>
    <d v="2026-08-06T00:00:00"/>
    <d v="2026-08-12T00:00:00"/>
    <x v="2"/>
    <x v="2"/>
  </r>
  <r>
    <x v="608"/>
    <x v="11"/>
    <x v="11"/>
    <n v="60"/>
    <n v="2.8"/>
    <n v="44.5"/>
    <n v="2670"/>
    <n v="2675"/>
    <n v="7489.9999999999991"/>
    <n v="1.0018726591760299"/>
    <n v="1"/>
    <n v="2E-3"/>
    <s v="450"/>
    <m/>
    <n v="1"/>
    <n v="2674"/>
    <n v="0.99962616822429906"/>
    <m/>
    <m/>
    <s v=""/>
    <m/>
    <x v="2"/>
    <x v="43"/>
    <d v="2026-08-11T00:00:00"/>
    <s v="-"/>
    <s v="-"/>
    <x v="2"/>
    <x v="2"/>
  </r>
  <r>
    <x v="609"/>
    <x v="15"/>
    <x v="15"/>
    <n v="88"/>
    <n v="3.2"/>
    <n v="46.8"/>
    <n v="4118.3999999999996"/>
    <n v="4102"/>
    <n v="13126.400000000001"/>
    <n v="0.99601787101787109"/>
    <n v="1"/>
    <n v="-4.0000000000000001E-3"/>
    <s v="570"/>
    <m/>
    <n v="290"/>
    <n v="3812"/>
    <n v="0.92930277913213066"/>
    <m/>
    <m/>
    <s v=""/>
    <m/>
    <x v="3"/>
    <x v="45"/>
    <d v="2026-08-13T00:00:00"/>
    <s v="-"/>
    <s v="-"/>
    <x v="3"/>
    <x v="4"/>
  </r>
  <r>
    <x v="609"/>
    <x v="39"/>
    <x v="37"/>
    <n v="9"/>
    <n v="4.5"/>
    <n v="36"/>
    <n v="324"/>
    <n v="329"/>
    <n v="1480.5"/>
    <n v="1.0154320987654322"/>
    <n v="1"/>
    <n v="1.4999999999999999E-2"/>
    <s v="209"/>
    <m/>
    <n v="0"/>
    <n v="329"/>
    <n v="1"/>
    <m/>
    <m/>
    <s v=""/>
    <m/>
    <x v="1"/>
    <x v="45"/>
    <d v="2026-08-13T00:00:00"/>
    <d v="2026-08-10T00:00:00"/>
    <d v="2026-08-13T00:00:00"/>
    <x v="3"/>
    <x v="4"/>
  </r>
  <r>
    <x v="609"/>
    <x v="152"/>
    <x v="128"/>
    <n v="20"/>
    <n v="4.5"/>
    <n v="36.299999999999997"/>
    <n v="726"/>
    <n v="728"/>
    <n v="3276"/>
    <n v="1.002754820936639"/>
    <n v="1"/>
    <n v="3.0000000000000001E-3"/>
    <s v="285"/>
    <m/>
    <n v="0"/>
    <n v="728"/>
    <n v="1"/>
    <m/>
    <m/>
    <s v="，(5-7mm)"/>
    <m/>
    <x v="1"/>
    <x v="44"/>
    <d v="2026-08-13T00:00:00"/>
    <d v="2026-08-10T00:00:00"/>
    <d v="2026-08-13T00:00:00"/>
    <x v="2"/>
    <x v="4"/>
  </r>
  <r>
    <x v="609"/>
    <x v="158"/>
    <x v="104"/>
    <n v="12"/>
    <n v="4.5"/>
    <n v="37"/>
    <n v="444"/>
    <n v="438"/>
    <n v="1971"/>
    <n v="0.98648648648648651"/>
    <e v="#N/A"/>
    <e v="#N/A"/>
    <s v="254"/>
    <m/>
    <n v="0"/>
    <n v="438"/>
    <n v="1"/>
    <m/>
    <m/>
    <s v=""/>
    <m/>
    <x v="1"/>
    <x v="45"/>
    <d v="2026-08-13T00:00:00"/>
    <d v="2026-08-10T00:00:00"/>
    <d v="2026-08-13T00:00:00"/>
    <x v="3"/>
    <x v="4"/>
  </r>
  <r>
    <x v="609"/>
    <x v="34"/>
    <x v="32"/>
    <n v="24"/>
    <n v="0.34"/>
    <n v="358.3"/>
    <n v="8599.2000000000007"/>
    <n v="8704"/>
    <n v="2959.36"/>
    <n v="1.0121871802028095"/>
    <n v="1"/>
    <n v="1.2E-2"/>
    <s v="320"/>
    <m/>
    <n v="5"/>
    <n v="8699"/>
    <n v="0.9994255514705882"/>
    <m/>
    <m/>
    <s v="(紅蓋)E0120佳樂美300箱"/>
    <m/>
    <x v="2"/>
    <x v="44"/>
    <d v="2026-08-12T00:00:00"/>
    <d v="2026-08-11T00:00:00"/>
    <d v="2026-08-12T00:00:00"/>
    <x v="2"/>
    <x v="2"/>
  </r>
  <r>
    <x v="609"/>
    <x v="24"/>
    <x v="23"/>
    <n v="12"/>
    <n v="0.34"/>
    <n v="366"/>
    <n v="4392"/>
    <n v="4398"/>
    <n v="1495.3200000000002"/>
    <n v="1.0013661202185793"/>
    <n v="1"/>
    <n v="1E-3"/>
    <s v="270"/>
    <m/>
    <n v="5"/>
    <n v="4393"/>
    <n v="0.99886311959981811"/>
    <m/>
    <m/>
    <s v="(紅蓋)E0121佳樂美200箱"/>
    <m/>
    <x v="2"/>
    <x v="44"/>
    <d v="2026-08-12T00:00:00"/>
    <d v="2026-08-11T00:00:00"/>
    <d v="2026-08-12T00:00:00"/>
    <x v="2"/>
    <x v="2"/>
  </r>
  <r>
    <x v="610"/>
    <x v="8"/>
    <x v="8"/>
    <n v="40"/>
    <n v="0.44"/>
    <n v="344"/>
    <n v="13760"/>
    <n v="13478"/>
    <n v="5930.32"/>
    <n v="0.97950581395348835"/>
    <n v="1"/>
    <n v="-0.02"/>
    <s v="500"/>
    <m/>
    <n v="147"/>
    <n v="13331"/>
    <n v="0.98909333729039917"/>
    <m/>
    <m/>
    <s v=""/>
    <m/>
    <x v="3"/>
    <x v="45"/>
    <d v="2026-08-18T00:00:00"/>
    <d v="2026-08-11T00:00:00"/>
    <d v="2026-08-13T00:00:00"/>
    <x v="2"/>
    <x v="6"/>
  </r>
  <r>
    <x v="610"/>
    <x v="16"/>
    <x v="16"/>
    <n v="20"/>
    <n v="6"/>
    <n v="26.1"/>
    <n v="522"/>
    <n v="522"/>
    <n v="3132"/>
    <n v="1"/>
    <n v="1"/>
    <n v="0"/>
    <s v="265"/>
    <m/>
    <n v="1"/>
    <n v="521"/>
    <n v="0.99808429118773945"/>
    <m/>
    <m/>
    <s v=""/>
    <m/>
    <x v="1"/>
    <x v="45"/>
    <d v="2026-08-13T00:00:00"/>
    <d v="2026-08-11T00:00:00"/>
    <d v="2026-08-13T00:00:00"/>
    <x v="2"/>
    <x v="2"/>
  </r>
  <r>
    <x v="610"/>
    <x v="9"/>
    <x v="9"/>
    <n v="24"/>
    <n v="6"/>
    <n v="25.7"/>
    <n v="616.79999999999995"/>
    <n v="622"/>
    <n v="3732"/>
    <n v="1.0084306095979247"/>
    <n v="1"/>
    <n v="8.0000000000000002E-3"/>
    <s v="280"/>
    <m/>
    <n v="1"/>
    <n v="621"/>
    <n v="0.99839228295819937"/>
    <m/>
    <m/>
    <s v="，(A12.B12)。"/>
    <m/>
    <x v="1"/>
    <x v="45"/>
    <d v="2026-08-18T00:00:00"/>
    <s v="-"/>
    <s v="-"/>
    <x v="2"/>
    <x v="6"/>
  </r>
  <r>
    <x v="610"/>
    <x v="12"/>
    <x v="12"/>
    <n v="20"/>
    <n v="0.8"/>
    <n v="157.69999999999999"/>
    <n v="3154"/>
    <n v="3130"/>
    <n v="2504"/>
    <n v="0.9923906150919467"/>
    <n v="1"/>
    <n v="-8.0000000000000002E-3"/>
    <s v="375"/>
    <m/>
    <n v="3"/>
    <n v="3127"/>
    <n v="0.99904153354632586"/>
    <m/>
    <m/>
    <s v=""/>
    <m/>
    <x v="2"/>
    <x v="45"/>
    <d v="2026-08-13T00:00:00"/>
    <d v="2026-08-11T00:00:00"/>
    <d v="2026-08-13T00:00:00"/>
    <x v="2"/>
    <x v="2"/>
  </r>
  <r>
    <x v="610"/>
    <x v="11"/>
    <x v="11"/>
    <n v="28"/>
    <n v="2.8"/>
    <n v="44.5"/>
    <n v="1246"/>
    <n v="1225"/>
    <n v="3430"/>
    <n v="0.9831460674157303"/>
    <n v="1"/>
    <n v="-1.7000000000000001E-2"/>
    <s v="95"/>
    <m/>
    <n v="1"/>
    <n v="1224"/>
    <n v="0.99918367346938775"/>
    <m/>
    <m/>
    <s v=""/>
    <m/>
    <x v="2"/>
    <x v="45"/>
    <d v="2026-08-13T00:00:00"/>
    <s v="-"/>
    <d v="2026-08-13T00:00:00"/>
    <x v="2"/>
    <x v="2"/>
  </r>
  <r>
    <x v="611"/>
    <x v="9"/>
    <x v="9"/>
    <n v="16"/>
    <n v="6"/>
    <n v="25.7"/>
    <n v="411.2"/>
    <n v="416"/>
    <n v="2496"/>
    <n v="1.0116731517509727"/>
    <n v="1"/>
    <n v="1.2E-2"/>
    <s v="170"/>
    <m/>
    <n v="1"/>
    <n v="415"/>
    <n v="0.99759615384615385"/>
    <m/>
    <m/>
    <s v="，(A8.B8)。"/>
    <m/>
    <x v="3"/>
    <x v="46"/>
    <d v="2026-08-17T00:00:00"/>
    <s v="-"/>
    <s v="-"/>
    <x v="4"/>
    <x v="5"/>
  </r>
  <r>
    <x v="611"/>
    <x v="140"/>
    <x v="10"/>
    <n v="20"/>
    <n v="6"/>
    <n v="25.4"/>
    <n v="508"/>
    <n v="516"/>
    <n v="3096"/>
    <n v="1.015748031496063"/>
    <e v="#N/A"/>
    <e v="#N/A"/>
    <s v="240"/>
    <m/>
    <n v="3"/>
    <n v="513"/>
    <n v="0.9941860465116279"/>
    <m/>
    <m/>
    <s v="，(A12.B8)。"/>
    <m/>
    <x v="3"/>
    <x v="46"/>
    <d v="2026-08-17T00:00:00"/>
    <d v="2026-08-13T00:00:00"/>
    <s v="V"/>
    <x v="4"/>
    <x v="5"/>
  </r>
  <r>
    <x v="611"/>
    <x v="45"/>
    <x v="10"/>
    <n v="8"/>
    <n v="6"/>
    <n v="26.4"/>
    <n v="211.2"/>
    <n v="205"/>
    <n v="1230"/>
    <n v="0.97064393939393945"/>
    <n v="1"/>
    <n v="-2.9000000000000001E-2"/>
    <s v="100"/>
    <m/>
    <n v="1"/>
    <n v="204"/>
    <n v="0.99512195121951219"/>
    <m/>
    <m/>
    <s v=""/>
    <m/>
    <x v="3"/>
    <x v="47"/>
    <d v="2026-08-17T00:00:00"/>
    <d v="2026-08-13T00:00:00"/>
    <s v="V"/>
    <x v="8"/>
    <x v="5"/>
  </r>
  <r>
    <x v="611"/>
    <x v="46"/>
    <x v="17"/>
    <n v="21"/>
    <n v="3"/>
    <n v="31.6"/>
    <n v="663.6"/>
    <n v="672"/>
    <n v="2016"/>
    <n v="1.0126582278481013"/>
    <n v="1"/>
    <n v="1.2999999999999999E-2"/>
    <s v="540"/>
    <m/>
    <n v="0"/>
    <n v="672"/>
    <n v="1"/>
    <m/>
    <m/>
    <s v=""/>
    <m/>
    <x v="1"/>
    <x v="46"/>
    <s v="-"/>
    <d v="2026-08-11T00:00:00"/>
    <s v="-"/>
    <x v="4"/>
    <x v="2"/>
  </r>
  <r>
    <x v="611"/>
    <x v="41"/>
    <x v="39"/>
    <n v="68"/>
    <n v="2.8"/>
    <n v="44.2"/>
    <n v="3005.6000000000004"/>
    <n v="2978"/>
    <n v="8338.4"/>
    <n v="0.99081714133617238"/>
    <n v="1"/>
    <n v="-8.9999999999999993E-3"/>
    <s v="575"/>
    <m/>
    <n v="1"/>
    <n v="2977"/>
    <n v="0.99966420416386836"/>
    <m/>
    <m/>
    <s v=""/>
    <m/>
    <x v="2"/>
    <x v="48"/>
    <d v="2026-08-14T00:00:00"/>
    <d v="2026-08-13T00:00:00"/>
    <d v="2026-08-14T00:00:00"/>
    <x v="2"/>
    <x v="2"/>
  </r>
  <r>
    <x v="612"/>
    <x v="27"/>
    <x v="26"/>
    <n v="72"/>
    <n v="3.2"/>
    <n v="47.5"/>
    <n v="3420"/>
    <n v="3328"/>
    <n v="10649.6"/>
    <n v="0.97309941520467835"/>
    <n v="1"/>
    <n v="-2.7E-2"/>
    <s v="570"/>
    <m/>
    <n v="3"/>
    <n v="3325"/>
    <n v="0.99909855769230771"/>
    <m/>
    <m/>
    <s v=""/>
    <m/>
    <x v="3"/>
    <x v="47"/>
    <d v="2026-08-18T00:00:00"/>
    <d v="2026-08-14T00:00:00"/>
    <s v="V"/>
    <x v="3"/>
    <x v="4"/>
  </r>
  <r>
    <x v="612"/>
    <x v="9"/>
    <x v="9"/>
    <n v="20"/>
    <n v="6"/>
    <n v="25.7"/>
    <n v="514"/>
    <n v="516"/>
    <n v="3096"/>
    <n v="1.0038910505836576"/>
    <n v="1"/>
    <n v="4.0000000000000001E-3"/>
    <s v="240"/>
    <m/>
    <n v="1"/>
    <n v="515"/>
    <n v="0.99806201550387597"/>
    <m/>
    <m/>
    <m/>
    <m/>
    <x v="1"/>
    <x v="47"/>
    <d v="2026-08-18T00:00:00"/>
    <s v="-"/>
    <s v="-"/>
    <x v="3"/>
    <x v="4"/>
  </r>
  <r>
    <x v="612"/>
    <x v="157"/>
    <x v="10"/>
    <n v="16"/>
    <n v="6"/>
    <n v="0"/>
    <n v="0"/>
    <n v="414"/>
    <n v="2484"/>
    <s v="無法預估數據"/>
    <n v="0"/>
    <s v="無法預估數據"/>
    <s v="211"/>
    <m/>
    <n v="1"/>
    <n v="413"/>
    <n v="0.99758454106280192"/>
    <m/>
    <m/>
    <s v=""/>
    <m/>
    <x v="1"/>
    <x v="46"/>
    <d v="2026-08-18T00:00:00"/>
    <d v="2026-08-14T00:00:00"/>
    <s v="V"/>
    <x v="2"/>
    <x v="4"/>
  </r>
  <r>
    <x v="612"/>
    <x v="36"/>
    <x v="34"/>
    <n v="6"/>
    <n v="6"/>
    <n v="24.3"/>
    <n v="145.80000000000001"/>
    <n v="146"/>
    <n v="876"/>
    <n v="1.0013717421124828"/>
    <n v="1"/>
    <n v="1E-3"/>
    <s v="130"/>
    <m/>
    <n v="1"/>
    <n v="145"/>
    <n v="0.99315068493150682"/>
    <m/>
    <m/>
    <s v=""/>
    <m/>
    <x v="1"/>
    <x v="46"/>
    <d v="2026-08-18T00:00:00"/>
    <d v="2026-08-14T00:00:00"/>
    <s v="V"/>
    <x v="2"/>
    <x v="4"/>
  </r>
  <r>
    <x v="612"/>
    <x v="11"/>
    <x v="11"/>
    <n v="60"/>
    <n v="2.8"/>
    <n v="44.5"/>
    <n v="2207.1428571428569"/>
    <n v="2204"/>
    <n v="6171.2"/>
    <n v="0.99857605177993536"/>
    <n v="1"/>
    <n v="-1E-3"/>
    <s v="470"/>
    <m/>
    <n v="1"/>
    <n v="2203"/>
    <n v="0.99954627949183306"/>
    <m/>
    <m/>
    <s v="，D2021*100箱(2028.08.17)；D9920*72桶(2027.08.17)"/>
    <m/>
    <x v="2"/>
    <x v="46"/>
    <d v="2026-08-17T00:00:00"/>
    <s v="-"/>
    <s v="-"/>
    <x v="2"/>
    <x v="2"/>
  </r>
  <r>
    <x v="612"/>
    <x v="87"/>
    <x v="79"/>
    <n v="2"/>
    <n v="1"/>
    <n v="243"/>
    <n v="486"/>
    <m/>
    <n v="0"/>
    <n v="0"/>
    <n v="1"/>
    <n v="-1"/>
    <s v="0"/>
    <m/>
    <n v="0"/>
    <m/>
    <e v="#DIV/0!"/>
    <m/>
    <m/>
    <s v=""/>
    <m/>
    <x v="4"/>
    <x v="45"/>
    <s v="-"/>
    <s v="-"/>
    <s v="-"/>
    <x v="2"/>
    <x v="2"/>
  </r>
  <r>
    <x v="613"/>
    <x v="13"/>
    <x v="13"/>
    <n v="36"/>
    <n v="0.9"/>
    <n v="160.5"/>
    <n v="5778"/>
    <n v="5796"/>
    <n v="5216.4000000000005"/>
    <n v="1.0031152647975077"/>
    <n v="1"/>
    <n v="3.0000000000000001E-3"/>
    <s v="540"/>
    <m/>
    <n v="3"/>
    <n v="5793"/>
    <n v="0.99948240165631475"/>
    <m/>
    <m/>
    <s v="，D2010美芝城*50箱"/>
    <m/>
    <x v="3"/>
    <x v="47"/>
    <d v="2026-08-20T00:00:00"/>
    <s v="-"/>
    <s v="-"/>
    <x v="2"/>
    <x v="1"/>
  </r>
  <r>
    <x v="613"/>
    <x v="9"/>
    <x v="9"/>
    <n v="24"/>
    <n v="6"/>
    <n v="25.7"/>
    <n v="616.79999999999995"/>
    <n v="618"/>
    <n v="3708"/>
    <n v="1.0019455252918288"/>
    <n v="1"/>
    <n v="2E-3"/>
    <s v="307"/>
    <m/>
    <n v="1"/>
    <n v="617"/>
    <n v="0.99838187702265369"/>
    <m/>
    <m/>
    <m/>
    <m/>
    <x v="1"/>
    <x v="49"/>
    <d v="2026-08-20T00:00:00"/>
    <s v="-"/>
    <s v="-"/>
    <x v="1"/>
    <x v="1"/>
  </r>
  <r>
    <x v="613"/>
    <x v="122"/>
    <x v="111"/>
    <n v="8"/>
    <n v="6"/>
    <n v="0"/>
    <n v="0"/>
    <n v="201"/>
    <n v="1206"/>
    <s v="無法預估數據"/>
    <e v="#N/A"/>
    <s v="無法預估數據"/>
    <s v="123"/>
    <m/>
    <n v="2"/>
    <n v="199"/>
    <n v="0.99004975124378114"/>
    <m/>
    <m/>
    <s v=""/>
    <m/>
    <x v="1"/>
    <x v="47"/>
    <d v="2026-08-20T00:00:00"/>
    <d v="2026-08-17T00:00:00"/>
    <d v="2026-08-18T00:00:00"/>
    <x v="2"/>
    <x v="1"/>
  </r>
  <r>
    <x v="613"/>
    <x v="22"/>
    <x v="10"/>
    <n v="11"/>
    <n v="6"/>
    <n v="25.1"/>
    <n v="276.10000000000002"/>
    <n v="274"/>
    <n v="1644"/>
    <n v="0.99239406012314368"/>
    <n v="1"/>
    <n v="-8.0000000000000002E-3"/>
    <s v="190"/>
    <m/>
    <n v="1"/>
    <n v="273"/>
    <n v="0.9963503649635036"/>
    <m/>
    <m/>
    <s v=""/>
    <m/>
    <x v="1"/>
    <x v="47"/>
    <d v="2026-08-20T00:00:00"/>
    <d v="2026-08-17T00:00:00"/>
    <d v="2026-08-18T00:00:00"/>
    <x v="2"/>
    <x v="1"/>
  </r>
  <r>
    <x v="613"/>
    <x v="17"/>
    <x v="17"/>
    <n v="21"/>
    <n v="3"/>
    <n v="29.7"/>
    <n v="623.69999999999993"/>
    <n v="628"/>
    <n v="1884"/>
    <n v="1.0068943402276738"/>
    <n v="1"/>
    <n v="7.0000000000000001E-3"/>
    <s v="535"/>
    <m/>
    <n v="0"/>
    <n v="628"/>
    <n v="1"/>
    <m/>
    <m/>
    <s v=""/>
    <m/>
    <x v="2"/>
    <x v="47"/>
    <d v="2026-08-18T00:00:00"/>
    <d v="2026-08-14T00:00:00"/>
    <s v="V"/>
    <x v="2"/>
    <x v="2"/>
  </r>
  <r>
    <x v="614"/>
    <x v="15"/>
    <x v="15"/>
    <n v="88"/>
    <n v="3.2"/>
    <n v="46.8"/>
    <n v="4118.3999999999996"/>
    <n v="4099"/>
    <n v="13116.800000000001"/>
    <n v="0.99528943278943283"/>
    <n v="1"/>
    <n v="-5.0000000000000001E-3"/>
    <s v="600"/>
    <m/>
    <n v="3"/>
    <n v="4096"/>
    <n v="0.99926811417418882"/>
    <m/>
    <m/>
    <s v=""/>
    <m/>
    <x v="3"/>
    <x v="49"/>
    <d v="2026-08-21T00:00:00"/>
    <s v="-"/>
    <d v="2026-08-18T00:00:00"/>
    <x v="3"/>
    <x v="1"/>
  </r>
  <r>
    <x v="614"/>
    <x v="152"/>
    <x v="128"/>
    <n v="20"/>
    <n v="4.5"/>
    <n v="36.299999999999997"/>
    <n v="726"/>
    <n v="726"/>
    <n v="3267"/>
    <n v="1"/>
    <n v="1"/>
    <n v="0"/>
    <s v="310"/>
    <m/>
    <n v="0"/>
    <n v="726"/>
    <n v="1"/>
    <m/>
    <m/>
    <s v=""/>
    <m/>
    <x v="1"/>
    <x v="49"/>
    <d v="2026-08-21T00:00:00"/>
    <d v="2026-08-18T00:00:00"/>
    <s v="V"/>
    <x v="3"/>
    <x v="1"/>
  </r>
  <r>
    <x v="614"/>
    <x v="51"/>
    <x v="45"/>
    <n v="20"/>
    <n v="9.08"/>
    <n v="17.8"/>
    <n v="356"/>
    <n v="348"/>
    <n v="3159.84"/>
    <n v="0.97752808988764039"/>
    <n v="1"/>
    <n v="-2.1999999999999999E-2"/>
    <s v="240"/>
    <m/>
    <n v="0"/>
    <n v="348"/>
    <n v="1"/>
    <m/>
    <m/>
    <s v=""/>
    <m/>
    <x v="1"/>
    <x v="49"/>
    <d v="2026-08-21T00:00:00"/>
    <d v="2026-08-18T00:00:00"/>
    <s v="V"/>
    <x v="3"/>
    <x v="1"/>
  </r>
  <r>
    <x v="614"/>
    <x v="6"/>
    <x v="6"/>
    <n v="40"/>
    <n v="0.4"/>
    <n v="309.2"/>
    <n v="12368"/>
    <n v="12412"/>
    <n v="4964.8"/>
    <n v="1.0035575679172057"/>
    <n v="1"/>
    <n v="4.0000000000000001E-3"/>
    <s v="460"/>
    <m/>
    <n v="3"/>
    <n v="12409"/>
    <n v="0.99975829842088304"/>
    <m/>
    <m/>
    <m/>
    <m/>
    <x v="2"/>
    <x v="49"/>
    <d v="2026-08-20T00:00:00"/>
    <d v="2026-08-18T00:00:00"/>
    <s v="V"/>
    <x v="3"/>
    <x v="4"/>
  </r>
  <r>
    <x v="615"/>
    <x v="49"/>
    <x v="43"/>
    <n v="15"/>
    <n v="0.43"/>
    <n v="364"/>
    <n v="5460"/>
    <n v="5506"/>
    <n v="2367.58"/>
    <n v="1.0084249084249084"/>
    <n v="1"/>
    <n v="8.0000000000000002E-3"/>
    <s v="360"/>
    <m/>
    <n v="5506"/>
    <m/>
    <n v="0"/>
    <m/>
    <m/>
    <m/>
    <m/>
    <x v="3"/>
    <x v="49"/>
    <d v="2026-08-24T00:00:00"/>
    <d v="2026-08-19T00:00:00"/>
    <s v="V"/>
    <x v="2"/>
    <x v="3"/>
  </r>
  <r>
    <x v="615"/>
    <x v="30"/>
    <x v="28"/>
    <n v="12"/>
    <n v="0.43"/>
    <n v="340.4"/>
    <n v="4084.7999999999997"/>
    <n v="4091"/>
    <n v="1759.1299999999999"/>
    <n v="1.0015178221699961"/>
    <n v="1"/>
    <n v="2E-3"/>
    <s v="270"/>
    <m/>
    <n v="4091"/>
    <m/>
    <n v="0"/>
    <m/>
    <m/>
    <s v="分裝麥味登180箱(2160瓶)(RP99空白箱)"/>
    <m/>
    <x v="3"/>
    <x v="49"/>
    <d v="2026-08-24T00:00:00"/>
    <d v="2026-08-19T00:00:00"/>
    <s v="V"/>
    <x v="2"/>
    <x v="3"/>
  </r>
  <r>
    <x v="615"/>
    <x v="9"/>
    <x v="9"/>
    <n v="24"/>
    <n v="6"/>
    <n v="25.7"/>
    <n v="616.79999999999995"/>
    <n v="619"/>
    <n v="3714"/>
    <n v="1.0035667963683528"/>
    <n v="1"/>
    <n v="4.0000000000000001E-3"/>
    <s v="285"/>
    <m/>
    <n v="2"/>
    <n v="617"/>
    <n v="0.99676898222940225"/>
    <m/>
    <m/>
    <m/>
    <m/>
    <x v="1"/>
    <x v="50"/>
    <d v="2026-08-24T00:00:00"/>
    <s v="-"/>
    <s v="-"/>
    <x v="7"/>
    <x v="3"/>
  </r>
  <r>
    <x v="615"/>
    <x v="140"/>
    <x v="10"/>
    <n v="20"/>
    <n v="6"/>
    <n v="25.4"/>
    <n v="508"/>
    <n v="525"/>
    <n v="3150"/>
    <n v="1.0334645669291338"/>
    <e v="#N/A"/>
    <e v="#N/A"/>
    <s v="260"/>
    <m/>
    <n v="525"/>
    <m/>
    <n v="0"/>
    <m/>
    <m/>
    <m/>
    <m/>
    <x v="1"/>
    <x v="49"/>
    <d v="2026-08-24T00:00:00"/>
    <d v="2026-08-19T00:00:00"/>
    <s v="V"/>
    <x v="2"/>
    <x v="3"/>
  </r>
  <r>
    <x v="615"/>
    <x v="11"/>
    <x v="11"/>
    <n v="60"/>
    <n v="2.8"/>
    <n v="44.5"/>
    <n v="2670"/>
    <n v="2688"/>
    <n v="7526.4"/>
    <n v="1.0067415730337079"/>
    <n v="1"/>
    <n v="7.0000000000000001E-3"/>
    <s v="460"/>
    <m/>
    <n v="1"/>
    <n v="2687"/>
    <n v="0.99962797619047616"/>
    <m/>
    <m/>
    <s v=""/>
    <m/>
    <x v="2"/>
    <x v="49"/>
    <d v="2026-08-20T00:00:00"/>
    <d v="2026-08-19T00:00:00"/>
    <s v="-"/>
    <x v="2"/>
    <x v="2"/>
  </r>
  <r>
    <x v="616"/>
    <x v="15"/>
    <x v="15"/>
    <n v="88"/>
    <n v="3.2"/>
    <n v="46.8"/>
    <n v="4118.3999999999996"/>
    <n v="4071"/>
    <n v="13027.2"/>
    <n v="0.98849067599067608"/>
    <n v="1"/>
    <n v="-1.2E-2"/>
    <s v="720"/>
    <m/>
    <n v="3"/>
    <n v="4068"/>
    <n v="0.99926308032424471"/>
    <m/>
    <m/>
    <s v=""/>
    <m/>
    <x v="3"/>
    <x v="51"/>
    <d v="2026-08-24T00:00:00"/>
    <d v="2026-08-20T00:00:00"/>
    <m/>
    <x v="4"/>
    <x v="5"/>
  </r>
  <r>
    <x v="616"/>
    <x v="17"/>
    <x v="17"/>
    <n v="21"/>
    <n v="3"/>
    <n v="29.7"/>
    <n v="623.69999999999993"/>
    <n v="632"/>
    <n v="1896"/>
    <n v="1.0133076799743468"/>
    <n v="1"/>
    <n v="1.2999999999999999E-2"/>
    <s v="540"/>
    <m/>
    <n v="0"/>
    <n v="632"/>
    <n v="1"/>
    <m/>
    <m/>
    <s v=""/>
    <m/>
    <x v="1"/>
    <x v="51"/>
    <d v="2026-08-24T00:00:00"/>
    <s v="-"/>
    <d v="2026-08-21T00:00:00"/>
    <x v="4"/>
    <x v="5"/>
  </r>
  <r>
    <x v="616"/>
    <x v="23"/>
    <x v="22"/>
    <n v="36"/>
    <n v="0.34"/>
    <n v="364.6"/>
    <n v="13125.6"/>
    <n v="12996"/>
    <n v="4418.6400000000003"/>
    <n v="0.99012616566099831"/>
    <n v="1"/>
    <n v="-0.01"/>
    <s v="500"/>
    <m/>
    <n v="12996"/>
    <m/>
    <n v="0"/>
    <m/>
    <m/>
    <s v="(紅蓋)"/>
    <m/>
    <x v="2"/>
    <x v="52"/>
    <d v="2026-08-21T00:00:00"/>
    <d v="2026-08-20T00:00:00"/>
    <m/>
    <x v="2"/>
    <x v="2"/>
  </r>
  <r>
    <x v="617"/>
    <x v="122"/>
    <x v="111"/>
    <n v="12"/>
    <n v="6"/>
    <n v="0"/>
    <n v="0"/>
    <n v="300"/>
    <n v="1800"/>
    <s v="無法預估數據"/>
    <e v="#N/A"/>
    <s v="無法預估數據"/>
    <s v="175"/>
    <m/>
    <n v="300"/>
    <m/>
    <n v="0"/>
    <m/>
    <m/>
    <s v=""/>
    <m/>
    <x v="3"/>
    <x v="50"/>
    <d v="2026-08-25T00:00:00"/>
    <d v="2026-08-21T00:00:00"/>
    <m/>
    <x v="3"/>
    <x v="4"/>
  </r>
  <r>
    <x v="617"/>
    <x v="10"/>
    <x v="10"/>
    <n v="8"/>
    <n v="6"/>
    <n v="25.4"/>
    <n v="203.2"/>
    <n v="203"/>
    <n v="1218"/>
    <n v="0.99901574803149606"/>
    <n v="1"/>
    <n v="-1E-3"/>
    <s v="175"/>
    <m/>
    <n v="2"/>
    <n v="201"/>
    <n v="0.99014778325123154"/>
    <m/>
    <m/>
    <m/>
    <m/>
    <x v="3"/>
    <x v="50"/>
    <d v="2026-08-25T00:00:00"/>
    <d v="2026-08-21T00:00:00"/>
    <m/>
    <x v="3"/>
    <x v="4"/>
  </r>
  <r>
    <x v="617"/>
    <x v="9"/>
    <x v="9"/>
    <n v="24"/>
    <n v="6"/>
    <n v="25.7"/>
    <n v="616.79999999999995"/>
    <n v="629"/>
    <n v="3774"/>
    <n v="1.0197795071335929"/>
    <n v="1"/>
    <n v="0.02"/>
    <s v="270"/>
    <m/>
    <n v="3"/>
    <n v="626"/>
    <n v="0.99523052464228934"/>
    <m/>
    <m/>
    <m/>
    <m/>
    <x v="3"/>
    <x v="50"/>
    <d v="2026-08-25T00:00:00"/>
    <d v="2026-08-21T00:00:00"/>
    <m/>
    <x v="3"/>
    <x v="4"/>
  </r>
  <r>
    <x v="617"/>
    <x v="48"/>
    <x v="17"/>
    <n v="21"/>
    <n v="3"/>
    <n v="30.8"/>
    <n v="646.80000000000007"/>
    <n v="648"/>
    <n v="1944"/>
    <n v="1.0018552875695732"/>
    <n v="1"/>
    <n v="2E-3"/>
    <s v="540"/>
    <m/>
    <n v="0"/>
    <n v="648"/>
    <n v="1"/>
    <m/>
    <m/>
    <s v=""/>
    <m/>
    <x v="1"/>
    <x v="51"/>
    <d v="2026-08-24T00:00:00"/>
    <d v="2026-08-18T00:00:00"/>
    <d v="2026-08-24T00:00:00"/>
    <x v="2"/>
    <x v="2"/>
  </r>
  <r>
    <x v="617"/>
    <x v="11"/>
    <x v="11"/>
    <n v="68"/>
    <n v="2.8"/>
    <n v="44.5"/>
    <n v="2704.5714285714284"/>
    <m/>
    <n v="0"/>
    <n v="0"/>
    <n v="1"/>
    <n v="-1"/>
    <s v="515"/>
    <m/>
    <n v="0"/>
    <m/>
    <e v="#DIV/0!"/>
    <m/>
    <m/>
    <s v="，D9920(18KG)*50桶(2027.08.24)"/>
    <m/>
    <x v="2"/>
    <x v="51"/>
    <d v="2026-08-24T00:00:00"/>
    <s v="-"/>
    <d v="2026-08-24T00:00:00"/>
    <x v="2"/>
    <x v="2"/>
  </r>
  <r>
    <x v="617"/>
    <x v="102"/>
    <x v="92"/>
    <n v="1"/>
    <n v="1"/>
    <n v="142"/>
    <n v="142"/>
    <m/>
    <n v="0"/>
    <n v="0"/>
    <n v="1"/>
    <n v="-1"/>
    <s v="0"/>
    <m/>
    <n v="0"/>
    <m/>
    <e v="#DIV/0!"/>
    <m/>
    <m/>
    <s v=""/>
    <m/>
    <x v="4"/>
    <x v="0"/>
    <m/>
    <d v="2026-08-24T00:00:00"/>
    <m/>
    <x v="9"/>
    <x v="11"/>
  </r>
  <r>
    <x v="617"/>
    <x v="87"/>
    <x v="79"/>
    <n v="2"/>
    <n v="1"/>
    <n v="243"/>
    <n v="486"/>
    <m/>
    <n v="0"/>
    <n v="0"/>
    <n v="1"/>
    <n v="-1"/>
    <s v="0"/>
    <m/>
    <n v="0"/>
    <m/>
    <e v="#DIV/0!"/>
    <m/>
    <m/>
    <s v=""/>
    <m/>
    <x v="4"/>
    <x v="0"/>
    <m/>
    <s v="-"/>
    <m/>
    <x v="9"/>
    <x v="11"/>
  </r>
  <r>
    <x v="617"/>
    <x v="97"/>
    <x v="88"/>
    <n v="50"/>
    <n v="1"/>
    <n v="6"/>
    <n v="300"/>
    <n v="301"/>
    <n v="301"/>
    <n v="1.0033333333333334"/>
    <n v="1"/>
    <n v="3.0000000000000001E-3"/>
    <s v="0"/>
    <m/>
    <n v="0"/>
    <n v="301"/>
    <n v="1"/>
    <m/>
    <m/>
    <m/>
    <m/>
    <x v="5"/>
    <x v="8"/>
    <s v="-"/>
    <s v="-"/>
    <s v="-"/>
    <x v="10"/>
    <x v="10"/>
  </r>
  <r>
    <x v="618"/>
    <x v="8"/>
    <x v="8"/>
    <n v="36"/>
    <n v="0.44"/>
    <n v="344"/>
    <n v="12384"/>
    <m/>
    <n v="0"/>
    <n v="0"/>
    <n v="1"/>
    <n v="-1"/>
    <s v="540"/>
    <m/>
    <n v="0"/>
    <m/>
    <e v="#DIV/0!"/>
    <m/>
    <m/>
    <s v=""/>
    <m/>
    <x v="3"/>
    <x v="53"/>
    <m/>
    <d v="2026-08-24T00:00:00"/>
    <m/>
    <x v="3"/>
    <x v="11"/>
  </r>
  <r>
    <x v="618"/>
    <x v="9"/>
    <x v="9"/>
    <n v="24"/>
    <n v="6"/>
    <n v="25.7"/>
    <n v="616.79999999999995"/>
    <m/>
    <n v="0"/>
    <n v="0"/>
    <n v="1"/>
    <n v="-1"/>
    <s v="0"/>
    <m/>
    <n v="0"/>
    <m/>
    <e v="#DIV/0!"/>
    <m/>
    <m/>
    <m/>
    <m/>
    <x v="1"/>
    <x v="53"/>
    <m/>
    <d v="2026-08-24T00:00:00"/>
    <m/>
    <x v="3"/>
    <x v="11"/>
  </r>
  <r>
    <x v="618"/>
    <x v="16"/>
    <x v="16"/>
    <n v="20"/>
    <n v="6"/>
    <n v="26.1"/>
    <n v="522"/>
    <m/>
    <n v="0"/>
    <n v="0"/>
    <n v="1"/>
    <n v="-1"/>
    <s v="0"/>
    <m/>
    <n v="0"/>
    <m/>
    <e v="#DIV/0!"/>
    <m/>
    <m/>
    <m/>
    <m/>
    <x v="1"/>
    <x v="50"/>
    <m/>
    <d v="2026-08-24T00:00:00"/>
    <m/>
    <x v="2"/>
    <x v="11"/>
  </r>
  <r>
    <x v="618"/>
    <x v="61"/>
    <x v="33"/>
    <n v="24"/>
    <n v="18"/>
    <n v="6.9"/>
    <n v="165.60000000000002"/>
    <m/>
    <n v="0"/>
    <n v="0"/>
    <n v="1"/>
    <n v="-1"/>
    <s v="205"/>
    <m/>
    <n v="0"/>
    <m/>
    <e v="#DIV/0!"/>
    <m/>
    <m/>
    <s v=""/>
    <m/>
    <x v="2"/>
    <x v="50"/>
    <s v="-"/>
    <d v="2026-08-24T00:00:00"/>
    <d v="2026-08-25T00:00:00"/>
    <x v="2"/>
    <x v="10"/>
  </r>
  <r>
    <x v="618"/>
    <x v="55"/>
    <x v="48"/>
    <n v="36"/>
    <n v="18"/>
    <n v="6.9"/>
    <n v="248.4"/>
    <m/>
    <n v="0"/>
    <n v="0"/>
    <n v="1"/>
    <n v="-1"/>
    <s v="320"/>
    <m/>
    <n v="0"/>
    <m/>
    <e v="#DIV/0!"/>
    <m/>
    <m/>
    <s v=""/>
    <m/>
    <x v="2"/>
    <x v="50"/>
    <s v="-"/>
    <d v="2026-08-24T00:00:00"/>
    <d v="2026-08-25T00:00:00"/>
    <x v="2"/>
    <x v="10"/>
  </r>
  <r>
    <x v="619"/>
    <x v="161"/>
    <x v="132"/>
    <n v="6"/>
    <n v="6"/>
    <n v="0"/>
    <n v="0"/>
    <m/>
    <n v="0"/>
    <s v="無法預估數據"/>
    <n v="0"/>
    <s v="無法預估數據"/>
    <m/>
    <m/>
    <n v="0"/>
    <m/>
    <e v="#DIV/0!"/>
    <m/>
    <m/>
    <s v=""/>
    <m/>
    <x v="3"/>
    <x v="54"/>
    <m/>
    <d v="2026-08-25T00:00:00"/>
    <m/>
    <x v="3"/>
    <x v="11"/>
  </r>
  <r>
    <x v="619"/>
    <x v="47"/>
    <x v="42"/>
    <n v="20"/>
    <n v="6"/>
    <n v="25.6"/>
    <n v="512"/>
    <m/>
    <n v="0"/>
    <n v="0"/>
    <n v="1"/>
    <n v="-1"/>
    <m/>
    <m/>
    <n v="0"/>
    <m/>
    <e v="#DIV/0!"/>
    <m/>
    <m/>
    <s v=""/>
    <m/>
    <x v="3"/>
    <x v="54"/>
    <m/>
    <d v="2026-08-25T00:00:00"/>
    <m/>
    <x v="3"/>
    <x v="11"/>
  </r>
  <r>
    <x v="619"/>
    <x v="0"/>
    <x v="0"/>
    <n v="20"/>
    <n v="6"/>
    <n v="25.5"/>
    <n v="510"/>
    <m/>
    <n v="0"/>
    <n v="0"/>
    <n v="1"/>
    <n v="-1"/>
    <m/>
    <m/>
    <n v="0"/>
    <m/>
    <e v="#DIV/0!"/>
    <m/>
    <m/>
    <s v=""/>
    <m/>
    <x v="3"/>
    <x v="54"/>
    <m/>
    <d v="2026-08-25T00:00:00"/>
    <m/>
    <x v="3"/>
    <x v="11"/>
  </r>
  <r>
    <x v="619"/>
    <x v="65"/>
    <x v="56"/>
    <n v="12"/>
    <n v="9.5"/>
    <n v="16.600000000000001"/>
    <n v="199.20000000000002"/>
    <m/>
    <n v="0"/>
    <n v="0"/>
    <n v="1"/>
    <n v="-1"/>
    <m/>
    <m/>
    <n v="0"/>
    <m/>
    <e v="#DIV/0!"/>
    <m/>
    <m/>
    <s v=""/>
    <m/>
    <x v="1"/>
    <x v="54"/>
    <m/>
    <d v="2026-08-25T00:00:00"/>
    <m/>
    <x v="3"/>
    <x v="11"/>
  </r>
  <r>
    <x v="619"/>
    <x v="152"/>
    <x v="128"/>
    <n v="12"/>
    <n v="4.5"/>
    <n v="36.299999999999997"/>
    <n v="435.59999999999997"/>
    <m/>
    <n v="0"/>
    <n v="0"/>
    <n v="1"/>
    <n v="-1"/>
    <m/>
    <m/>
    <n v="0"/>
    <m/>
    <e v="#DIV/0!"/>
    <m/>
    <m/>
    <s v=""/>
    <m/>
    <x v="1"/>
    <x v="54"/>
    <m/>
    <d v="2026-08-25T00:00:00"/>
    <m/>
    <x v="3"/>
    <x v="11"/>
  </r>
  <r>
    <x v="619"/>
    <x v="153"/>
    <x v="115"/>
    <n v="12"/>
    <n v="4.5"/>
    <n v="33.200000000000003"/>
    <n v="398.40000000000003"/>
    <m/>
    <n v="0"/>
    <n v="0"/>
    <e v="#N/A"/>
    <e v="#N/A"/>
    <m/>
    <m/>
    <n v="0"/>
    <m/>
    <e v="#DIV/0!"/>
    <m/>
    <m/>
    <s v=""/>
    <m/>
    <x v="1"/>
    <x v="0"/>
    <m/>
    <d v="2026-08-25T00:00:00"/>
    <m/>
    <x v="9"/>
    <x v="11"/>
  </r>
  <r>
    <x v="619"/>
    <x v="41"/>
    <x v="39"/>
    <n v="68"/>
    <n v="2.8"/>
    <n v="44.2"/>
    <n v="3005.6000000000004"/>
    <m/>
    <n v="0"/>
    <n v="0"/>
    <n v="1"/>
    <n v="-1"/>
    <m/>
    <m/>
    <n v="0"/>
    <m/>
    <e v="#DIV/0!"/>
    <m/>
    <m/>
    <s v="，D9921(18KG)*100桶(2027.08.26)"/>
    <m/>
    <x v="2"/>
    <x v="53"/>
    <d v="2026-08-26T00:00:00"/>
    <d v="2026-08-25T00:00:00"/>
    <d v="2026-08-26T00:00:00"/>
    <x v="2"/>
    <x v="2"/>
  </r>
  <r>
    <x v="620"/>
    <x v="75"/>
    <x v="65"/>
    <n v="3"/>
    <n v="0.19"/>
    <n v="759.3"/>
    <n v="2277.8999999999996"/>
    <m/>
    <n v="0"/>
    <n v="0"/>
    <n v="1"/>
    <n v="-1"/>
    <m/>
    <m/>
    <n v="0"/>
    <m/>
    <e v="#DIV/0!"/>
    <m/>
    <m/>
    <s v=""/>
    <m/>
    <x v="3"/>
    <x v="54"/>
    <m/>
    <d v="2026-08-26T00:00:00"/>
    <m/>
    <x v="2"/>
    <x v="11"/>
  </r>
  <r>
    <x v="620"/>
    <x v="43"/>
    <x v="41"/>
    <n v="16"/>
    <n v="0.26"/>
    <n v="584.29999999999995"/>
    <n v="9348.7999999999993"/>
    <m/>
    <n v="0"/>
    <n v="0"/>
    <n v="1"/>
    <n v="-1"/>
    <m/>
    <m/>
    <n v="0"/>
    <m/>
    <e v="#DIV/0!"/>
    <m/>
    <m/>
    <m/>
    <m/>
    <x v="3"/>
    <x v="54"/>
    <m/>
    <d v="2026-08-26T00:00:00"/>
    <m/>
    <x v="2"/>
    <x v="11"/>
  </r>
  <r>
    <x v="620"/>
    <x v="117"/>
    <x v="106"/>
    <n v="3"/>
    <n v="0.26"/>
    <n v="612"/>
    <n v="1836"/>
    <m/>
    <n v="0"/>
    <n v="0"/>
    <n v="1"/>
    <n v="-1"/>
    <m/>
    <m/>
    <n v="0"/>
    <m/>
    <e v="#DIV/0!"/>
    <m/>
    <m/>
    <m/>
    <m/>
    <x v="3"/>
    <x v="54"/>
    <m/>
    <d v="2026-08-26T00:00:00"/>
    <m/>
    <x v="2"/>
    <x v="11"/>
  </r>
  <r>
    <x v="620"/>
    <x v="2"/>
    <x v="2"/>
    <n v="24"/>
    <n v="6"/>
    <n v="26.6"/>
    <n v="638.40000000000009"/>
    <m/>
    <n v="0"/>
    <n v="0"/>
    <n v="1"/>
    <n v="-1"/>
    <m/>
    <m/>
    <n v="0"/>
    <m/>
    <e v="#DIV/0!"/>
    <m/>
    <m/>
    <s v=""/>
    <m/>
    <x v="1"/>
    <x v="0"/>
    <m/>
    <d v="2026-08-26T00:00:00"/>
    <m/>
    <x v="9"/>
    <x v="11"/>
  </r>
  <r>
    <x v="620"/>
    <x v="18"/>
    <x v="18"/>
    <n v="12"/>
    <n v="6"/>
    <n v="26.4"/>
    <n v="316.79999999999995"/>
    <m/>
    <n v="0"/>
    <n v="0"/>
    <n v="1"/>
    <n v="-1"/>
    <m/>
    <m/>
    <n v="0"/>
    <m/>
    <e v="#DIV/0!"/>
    <m/>
    <m/>
    <s v=""/>
    <m/>
    <x v="1"/>
    <x v="0"/>
    <m/>
    <d v="2026-08-26T00:00:00"/>
    <m/>
    <x v="9"/>
    <x v="11"/>
  </r>
  <r>
    <x v="620"/>
    <x v="1"/>
    <x v="1"/>
    <n v="6"/>
    <n v="6"/>
    <n v="25.7"/>
    <n v="154.19999999999999"/>
    <m/>
    <n v="0"/>
    <n v="0"/>
    <n v="1"/>
    <n v="-1"/>
    <m/>
    <m/>
    <n v="0"/>
    <m/>
    <e v="#DIV/0!"/>
    <m/>
    <m/>
    <s v=""/>
    <m/>
    <x v="1"/>
    <x v="54"/>
    <m/>
    <d v="2026-08-26T00:00:00"/>
    <m/>
    <x v="2"/>
    <x v="11"/>
  </r>
  <r>
    <x v="620"/>
    <x v="35"/>
    <x v="33"/>
    <n v="8"/>
    <n v="18"/>
    <n v="6.6"/>
    <n v="52.8"/>
    <m/>
    <n v="0"/>
    <n v="0"/>
    <n v="1"/>
    <n v="-1"/>
    <m/>
    <m/>
    <n v="0"/>
    <m/>
    <e v="#DIV/0!"/>
    <m/>
    <m/>
    <m/>
    <m/>
    <x v="2"/>
    <x v="54"/>
    <s v="-"/>
    <d v="2026-08-26T00:00:00"/>
    <m/>
    <x v="2"/>
    <x v="10"/>
  </r>
  <r>
    <x v="620"/>
    <x v="11"/>
    <x v="11"/>
    <n v="60"/>
    <n v="2.8"/>
    <n v="44.5"/>
    <n v="2670"/>
    <m/>
    <n v="0"/>
    <n v="0"/>
    <n v="1"/>
    <n v="-1"/>
    <m/>
    <m/>
    <n v="0"/>
    <m/>
    <e v="#DIV/0!"/>
    <m/>
    <m/>
    <s v=""/>
    <m/>
    <x v="2"/>
    <x v="54"/>
    <d v="2026-08-27T00:00:00"/>
    <d v="2026-08-26T00:00:00"/>
    <d v="2026-08-27T00:00:00"/>
    <x v="2"/>
    <x v="2"/>
  </r>
  <r>
    <x v="621"/>
    <x v="15"/>
    <x v="15"/>
    <n v="72"/>
    <n v="3.2"/>
    <n v="46.8"/>
    <n v="3369.6"/>
    <m/>
    <n v="0"/>
    <n v="0"/>
    <n v="1"/>
    <n v="-1"/>
    <m/>
    <m/>
    <n v="0"/>
    <m/>
    <e v="#DIV/0!"/>
    <m/>
    <m/>
    <s v=""/>
    <m/>
    <x v="3"/>
    <x v="0"/>
    <m/>
    <s v="-"/>
    <m/>
    <x v="9"/>
    <x v="11"/>
  </r>
  <r>
    <x v="621"/>
    <x v="9"/>
    <x v="9"/>
    <n v="20"/>
    <n v="6"/>
    <n v="25.7"/>
    <n v="514"/>
    <m/>
    <n v="0"/>
    <n v="0"/>
    <n v="1"/>
    <n v="-1"/>
    <m/>
    <m/>
    <n v="0"/>
    <m/>
    <e v="#DIV/0!"/>
    <m/>
    <m/>
    <m/>
    <m/>
    <x v="1"/>
    <x v="0"/>
    <m/>
    <d v="2026-08-27T00:00:00"/>
    <m/>
    <x v="9"/>
    <x v="11"/>
  </r>
  <r>
    <x v="621"/>
    <x v="140"/>
    <x v="10"/>
    <n v="24"/>
    <n v="6"/>
    <n v="25.4"/>
    <n v="609.59999999999991"/>
    <m/>
    <n v="0"/>
    <n v="0"/>
    <e v="#N/A"/>
    <e v="#N/A"/>
    <m/>
    <m/>
    <n v="0"/>
    <m/>
    <e v="#DIV/0!"/>
    <m/>
    <m/>
    <m/>
    <m/>
    <x v="1"/>
    <x v="0"/>
    <m/>
    <d v="2026-08-27T00:00:00"/>
    <m/>
    <x v="9"/>
    <x v="11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s v=""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s v=""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s v=""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s v=""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19"/>
    <m/>
    <e v="#N/A"/>
    <e v="#N/A"/>
    <e v="#N/A"/>
    <m/>
    <e v="#N/A"/>
    <e v="#N/A"/>
    <e v="#N/A"/>
    <e v="#N/A"/>
    <m/>
    <m/>
    <n v="0"/>
    <m/>
    <e v="#DIV/0!"/>
    <m/>
    <m/>
    <m/>
    <m/>
    <x v="0"/>
    <x v="0"/>
    <m/>
    <m/>
    <m/>
    <x v="2"/>
    <x v="2"/>
  </r>
  <r>
    <x v="622"/>
    <x v="162"/>
    <x v="133"/>
    <m/>
    <m/>
    <m/>
    <m/>
    <m/>
    <m/>
    <m/>
    <m/>
    <m/>
    <m/>
    <m/>
    <m/>
    <m/>
    <m/>
    <m/>
    <m/>
    <m/>
    <m/>
    <x v="0"/>
    <x v="0"/>
    <m/>
    <m/>
    <m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0" applyNumberFormats="0" applyBorderFormats="0" applyFontFormats="0" applyPatternFormats="0" applyAlignmentFormats="0" applyWidthHeightFormats="1" dataCaption="數值" updatedVersion="5" minRefreshableVersion="3" useAutoFormatting="1" itemPrintTitles="1" createdVersion="5" indent="0" compact="0" compactData="0" gridDropZones="1" multipleFieldFilters="0">
  <location ref="B3:M5" firstHeaderRow="2" firstDataRow="2" firstDataCol="6"/>
  <pivotFields count="28">
    <pivotField axis="axisRow" compact="0" outline="0" showAll="0" defaultSubtotal="0">
      <items count="6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24"/>
        <item x="218"/>
        <item x="219"/>
        <item x="220"/>
        <item x="221"/>
        <item x="222"/>
        <item x="223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</items>
    </pivotField>
    <pivotField axis="axisRow" compact="0" outline="0" showAll="0" defaultSubtotal="0">
      <items count="163">
        <item x="95"/>
        <item x="92"/>
        <item x="141"/>
        <item x="102"/>
        <item x="100"/>
        <item x="94"/>
        <item x="139"/>
        <item x="68"/>
        <item x="8"/>
        <item x="71"/>
        <item x="49"/>
        <item x="121"/>
        <item x="30"/>
        <item x="6"/>
        <item x="142"/>
        <item x="34"/>
        <item x="143"/>
        <item x="24"/>
        <item x="23"/>
        <item x="43"/>
        <item x="44"/>
        <item x="117"/>
        <item x="15"/>
        <item x="132"/>
        <item x="70"/>
        <item x="13"/>
        <item x="84"/>
        <item x="11"/>
        <item x="41"/>
        <item x="103"/>
        <item x="12"/>
        <item x="7"/>
        <item x="114"/>
        <item x="27"/>
        <item x="124"/>
        <item x="26"/>
        <item x="126"/>
        <item x="21"/>
        <item x="160"/>
        <item x="65"/>
        <item x="3"/>
        <item x="152"/>
        <item x="73"/>
        <item x="51"/>
        <item x="108"/>
        <item x="128"/>
        <item x="50"/>
        <item x="115"/>
        <item x="158"/>
        <item x="59"/>
        <item x="155"/>
        <item x="67"/>
        <item x="133"/>
        <item x="153"/>
        <item x="4"/>
        <item x="38"/>
        <item x="19"/>
        <item x="16"/>
        <item x="18"/>
        <item x="116"/>
        <item x="131"/>
        <item x="46"/>
        <item x="17"/>
        <item x="48"/>
        <item x="22"/>
        <item x="86"/>
        <item x="104"/>
        <item x="149"/>
        <item x="157"/>
        <item x="83"/>
        <item x="127"/>
        <item x="147"/>
        <item x="137"/>
        <item x="150"/>
        <item x="80"/>
        <item x="98"/>
        <item x="125"/>
        <item x="154"/>
        <item x="85"/>
        <item x="93"/>
        <item x="2"/>
        <item x="0"/>
        <item x="130"/>
        <item x="82"/>
        <item x="37"/>
        <item x="129"/>
        <item x="36"/>
        <item x="1"/>
        <item x="47"/>
        <item x="88"/>
        <item x="74"/>
        <item x="9"/>
        <item x="54"/>
        <item x="10"/>
        <item x="140"/>
        <item x="135"/>
        <item x="151"/>
        <item x="61"/>
        <item x="55"/>
        <item x="64"/>
        <item x="78"/>
        <item x="63"/>
        <item x="75"/>
        <item x="81"/>
        <item x="76"/>
        <item x="105"/>
        <item x="20"/>
        <item x="62"/>
        <item x="31"/>
        <item x="134"/>
        <item x="109"/>
        <item x="101"/>
        <item x="52"/>
        <item x="42"/>
        <item x="148"/>
        <item x="39"/>
        <item x="77"/>
        <item x="87"/>
        <item x="90"/>
        <item x="58"/>
        <item x="45"/>
        <item x="56"/>
        <item x="53"/>
        <item x="72"/>
        <item x="57"/>
        <item x="32"/>
        <item x="122"/>
        <item x="112"/>
        <item x="113"/>
        <item x="79"/>
        <item x="99"/>
        <item x="91"/>
        <item x="14"/>
        <item x="33"/>
        <item x="28"/>
        <item x="119"/>
        <item x="5"/>
        <item x="66"/>
        <item x="89"/>
        <item x="156"/>
        <item x="69"/>
        <item x="136"/>
        <item x="29"/>
        <item x="40"/>
        <item x="35"/>
        <item x="123"/>
        <item x="107"/>
        <item x="106"/>
        <item x="110"/>
        <item x="60"/>
        <item x="25"/>
        <item x="97"/>
        <item x="118"/>
        <item x="96"/>
        <item x="144"/>
        <item x="145"/>
        <item x="146"/>
        <item x="161"/>
        <item x="159"/>
        <item x="120"/>
        <item x="111"/>
        <item x="138"/>
        <item x="162"/>
      </items>
    </pivotField>
    <pivotField axis="axisRow" compact="0" outline="0" showAll="0" defaultSubtotal="0">
      <items count="134">
        <item x="11"/>
        <item x="39"/>
        <item x="21"/>
        <item x="15"/>
        <item x="60"/>
        <item x="26"/>
        <item x="97"/>
        <item x="12"/>
        <item x="103"/>
        <item x="7"/>
        <item x="13"/>
        <item x="25"/>
        <item x="6"/>
        <item x="32"/>
        <item x="23"/>
        <item x="115"/>
        <item x="129"/>
        <item x="76"/>
        <item x="128"/>
        <item x="36"/>
        <item x="104"/>
        <item x="8"/>
        <item x="98"/>
        <item x="61"/>
        <item x="99"/>
        <item x="41"/>
        <item x="127"/>
        <item x="58"/>
        <item x="52"/>
        <item x="3"/>
        <item x="44"/>
        <item x="4"/>
        <item x="79"/>
        <item x="66"/>
        <item x="81"/>
        <item x="50"/>
        <item x="74"/>
        <item x="121"/>
        <item x="125"/>
        <item x="118"/>
        <item x="35"/>
        <item x="113"/>
        <item x="24"/>
        <item x="53"/>
        <item x="91"/>
        <item x="69"/>
        <item x="33"/>
        <item x="27"/>
        <item x="55"/>
        <item x="40"/>
        <item x="102"/>
        <item x="77"/>
        <item x="112"/>
        <item x="122"/>
        <item x="123"/>
        <item x="68"/>
        <item x="89"/>
        <item x="82"/>
        <item x="93"/>
        <item x="95"/>
        <item x="31"/>
        <item x="14"/>
        <item x="37"/>
        <item x="73"/>
        <item x="65"/>
        <item x="124"/>
        <item x="57"/>
        <item x="109"/>
        <item x="110"/>
        <item x="130"/>
        <item x="56"/>
        <item x="51"/>
        <item x="18"/>
        <item x="9"/>
        <item x="105"/>
        <item x="46"/>
        <item x="19"/>
        <item x="111"/>
        <item x="30"/>
        <item x="16"/>
        <item x="20"/>
        <item x="2"/>
        <item x="67"/>
        <item x="28"/>
        <item x="48"/>
        <item x="70"/>
        <item x="43"/>
        <item x="49"/>
        <item x="59"/>
        <item x="126"/>
        <item x="34"/>
        <item x="80"/>
        <item x="47"/>
        <item x="64"/>
        <item x="78"/>
        <item x="92"/>
        <item x="75"/>
        <item x="88"/>
        <item x="107"/>
        <item x="85"/>
        <item x="90"/>
        <item x="87"/>
        <item x="1"/>
        <item x="131"/>
        <item x="42"/>
        <item x="86"/>
        <item x="83"/>
        <item x="120"/>
        <item x="117"/>
        <item x="100"/>
        <item x="101"/>
        <item x="17"/>
        <item x="38"/>
        <item x="71"/>
        <item x="22"/>
        <item x="84"/>
        <item x="106"/>
        <item x="29"/>
        <item x="116"/>
        <item x="132"/>
        <item x="54"/>
        <item x="96"/>
        <item x="10"/>
        <item x="45"/>
        <item x="63"/>
        <item x="114"/>
        <item x="0"/>
        <item x="108"/>
        <item x="94"/>
        <item x="62"/>
        <item x="72"/>
        <item x="5"/>
        <item x="119"/>
        <item x="13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6">
        <item x="5"/>
        <item x="1"/>
        <item x="3"/>
        <item x="2"/>
        <item x="4"/>
        <item x="0"/>
      </items>
    </pivotField>
    <pivotField name="領料單(調)" axis="axisRow" compact="0" outline="0" showAll="0" defaultSubtotal="0">
      <items count="55">
        <item x="8"/>
        <item x="2"/>
        <item x="1"/>
        <item x="3"/>
        <item x="4"/>
        <item x="6"/>
        <item x="5"/>
        <item x="9"/>
        <item x="7"/>
        <item x="10"/>
        <item x="12"/>
        <item x="11"/>
        <item x="13"/>
        <item x="15"/>
        <item x="14"/>
        <item x="16"/>
        <item x="17"/>
        <item x="18"/>
        <item x="19"/>
        <item x="20"/>
        <item x="21"/>
        <item x="23"/>
        <item x="24"/>
        <item x="22"/>
        <item x="25"/>
        <item x="26"/>
        <item x="27"/>
        <item x="29"/>
        <item x="28"/>
        <item x="30"/>
        <item x="32"/>
        <item x="33"/>
        <item x="34"/>
        <item x="31"/>
        <item x="35"/>
        <item x="37"/>
        <item x="36"/>
        <item x="38"/>
        <item x="39"/>
        <item x="40"/>
        <item x="41"/>
        <item x="42"/>
        <item x="43"/>
        <item x="44"/>
        <item x="45"/>
        <item x="48"/>
        <item x="46"/>
        <item x="47"/>
        <item x="49"/>
        <item x="52"/>
        <item x="51"/>
        <item x="50"/>
        <item x="53"/>
        <item x="54"/>
        <item x="0"/>
      </items>
    </pivotField>
    <pivotField compact="0" outline="0" showAll="0"/>
    <pivotField compact="0" outline="0" showAll="0"/>
    <pivotField compact="0" outline="0" showAll="0"/>
    <pivotField name="調理繳回超過7天" axis="axisRow" compact="0" outline="0" multipleItemSelectionAllowed="1" showAll="0">
      <items count="13">
        <item h="1" x="2"/>
        <item h="1" x="3"/>
        <item h="1" x="1"/>
        <item h="1" x="4"/>
        <item h="1" x="8"/>
        <item h="1" x="7"/>
        <item h="1" x="5"/>
        <item h="1" x="6"/>
        <item m="1" x="11"/>
        <item h="1" x="9"/>
        <item h="1" x="10"/>
        <item h="1" x="0"/>
        <item t="default"/>
      </items>
    </pivotField>
    <pivotField compact="0" outline="0" showAll="0"/>
  </pivotFields>
  <rowFields count="6">
    <field x="0"/>
    <field x="21"/>
    <field x="1"/>
    <field x="2"/>
    <field x="22"/>
    <field x="26"/>
  </rowFields>
  <rowItems count="1"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樞紐分析表2" cacheId="0" applyNumberFormats="0" applyBorderFormats="0" applyFontFormats="0" applyPatternFormats="0" applyAlignmentFormats="0" applyWidthHeightFormats="1" dataCaption="數值" updatedVersion="5" minRefreshableVersion="3" useAutoFormatting="1" itemPrintTitles="1" createdVersion="5" indent="0" compact="0" compactData="0" gridDropZones="1" multipleFieldFilters="0">
  <location ref="B14:M25" firstHeaderRow="2" firstDataRow="2" firstDataCol="6"/>
  <pivotFields count="28">
    <pivotField axis="axisRow" compact="0" outline="0" showAll="0" defaultSubtotal="0">
      <items count="6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24"/>
        <item x="218"/>
        <item x="219"/>
        <item x="220"/>
        <item x="221"/>
        <item x="222"/>
        <item x="223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</items>
    </pivotField>
    <pivotField axis="axisRow" compact="0" outline="0" showAll="0" defaultSubtotal="0">
      <items count="163">
        <item x="95"/>
        <item x="92"/>
        <item x="141"/>
        <item x="102"/>
        <item x="100"/>
        <item x="94"/>
        <item x="139"/>
        <item x="68"/>
        <item x="8"/>
        <item x="71"/>
        <item x="49"/>
        <item x="121"/>
        <item x="30"/>
        <item x="6"/>
        <item x="142"/>
        <item x="34"/>
        <item x="143"/>
        <item x="24"/>
        <item x="23"/>
        <item x="43"/>
        <item x="44"/>
        <item x="117"/>
        <item x="15"/>
        <item x="132"/>
        <item x="70"/>
        <item x="13"/>
        <item x="84"/>
        <item x="11"/>
        <item x="41"/>
        <item x="103"/>
        <item x="12"/>
        <item x="7"/>
        <item x="114"/>
        <item x="27"/>
        <item x="124"/>
        <item x="26"/>
        <item x="126"/>
        <item x="21"/>
        <item x="160"/>
        <item x="65"/>
        <item x="3"/>
        <item x="152"/>
        <item x="73"/>
        <item x="51"/>
        <item x="108"/>
        <item x="128"/>
        <item x="50"/>
        <item x="115"/>
        <item x="158"/>
        <item x="59"/>
        <item x="155"/>
        <item x="67"/>
        <item x="133"/>
        <item x="153"/>
        <item x="4"/>
        <item x="38"/>
        <item x="19"/>
        <item x="16"/>
        <item x="18"/>
        <item x="116"/>
        <item x="131"/>
        <item x="46"/>
        <item x="17"/>
        <item x="48"/>
        <item x="22"/>
        <item x="86"/>
        <item x="104"/>
        <item x="149"/>
        <item x="157"/>
        <item x="83"/>
        <item x="127"/>
        <item x="147"/>
        <item x="137"/>
        <item x="150"/>
        <item x="80"/>
        <item x="98"/>
        <item x="125"/>
        <item x="154"/>
        <item x="85"/>
        <item x="93"/>
        <item x="2"/>
        <item x="0"/>
        <item x="130"/>
        <item x="82"/>
        <item x="37"/>
        <item x="129"/>
        <item x="36"/>
        <item x="1"/>
        <item x="47"/>
        <item x="88"/>
        <item x="74"/>
        <item x="9"/>
        <item x="54"/>
        <item x="10"/>
        <item x="140"/>
        <item x="135"/>
        <item x="151"/>
        <item x="61"/>
        <item x="55"/>
        <item x="64"/>
        <item x="78"/>
        <item x="63"/>
        <item x="75"/>
        <item x="81"/>
        <item x="76"/>
        <item x="105"/>
        <item x="20"/>
        <item x="62"/>
        <item x="31"/>
        <item x="134"/>
        <item x="109"/>
        <item x="101"/>
        <item x="52"/>
        <item x="42"/>
        <item x="148"/>
        <item x="39"/>
        <item x="77"/>
        <item x="87"/>
        <item x="90"/>
        <item x="58"/>
        <item x="45"/>
        <item x="56"/>
        <item x="53"/>
        <item x="72"/>
        <item x="57"/>
        <item x="32"/>
        <item x="122"/>
        <item x="112"/>
        <item x="113"/>
        <item x="79"/>
        <item x="99"/>
        <item x="91"/>
        <item x="14"/>
        <item x="33"/>
        <item x="28"/>
        <item x="119"/>
        <item x="5"/>
        <item x="66"/>
        <item x="89"/>
        <item x="156"/>
        <item x="69"/>
        <item x="136"/>
        <item x="29"/>
        <item x="40"/>
        <item x="35"/>
        <item x="123"/>
        <item x="107"/>
        <item x="106"/>
        <item x="110"/>
        <item x="60"/>
        <item x="25"/>
        <item x="97"/>
        <item x="118"/>
        <item x="96"/>
        <item x="144"/>
        <item x="145"/>
        <item x="146"/>
        <item x="161"/>
        <item x="159"/>
        <item x="120"/>
        <item x="111"/>
        <item x="138"/>
        <item x="162"/>
      </items>
    </pivotField>
    <pivotField axis="axisRow" compact="0" outline="0" showAll="0" defaultSubtotal="0">
      <items count="134">
        <item x="11"/>
        <item x="39"/>
        <item x="21"/>
        <item x="15"/>
        <item x="60"/>
        <item x="26"/>
        <item x="97"/>
        <item x="12"/>
        <item x="103"/>
        <item x="7"/>
        <item x="13"/>
        <item x="25"/>
        <item x="6"/>
        <item x="32"/>
        <item x="23"/>
        <item x="115"/>
        <item x="129"/>
        <item x="76"/>
        <item x="128"/>
        <item x="36"/>
        <item x="104"/>
        <item x="8"/>
        <item x="98"/>
        <item x="61"/>
        <item x="99"/>
        <item x="41"/>
        <item x="127"/>
        <item x="58"/>
        <item x="52"/>
        <item x="3"/>
        <item x="44"/>
        <item x="4"/>
        <item x="79"/>
        <item x="66"/>
        <item x="81"/>
        <item x="50"/>
        <item x="74"/>
        <item x="121"/>
        <item x="125"/>
        <item x="118"/>
        <item x="35"/>
        <item x="113"/>
        <item x="24"/>
        <item x="53"/>
        <item x="91"/>
        <item x="69"/>
        <item x="33"/>
        <item x="27"/>
        <item x="55"/>
        <item x="40"/>
        <item x="102"/>
        <item x="77"/>
        <item x="112"/>
        <item x="122"/>
        <item x="123"/>
        <item x="68"/>
        <item x="89"/>
        <item x="82"/>
        <item x="93"/>
        <item x="95"/>
        <item x="31"/>
        <item x="14"/>
        <item x="37"/>
        <item x="73"/>
        <item x="65"/>
        <item x="124"/>
        <item x="57"/>
        <item x="109"/>
        <item x="110"/>
        <item x="130"/>
        <item x="56"/>
        <item x="51"/>
        <item x="18"/>
        <item x="9"/>
        <item x="105"/>
        <item x="46"/>
        <item x="19"/>
        <item x="111"/>
        <item x="30"/>
        <item x="16"/>
        <item x="20"/>
        <item x="2"/>
        <item x="67"/>
        <item x="28"/>
        <item x="48"/>
        <item x="70"/>
        <item x="43"/>
        <item x="49"/>
        <item x="59"/>
        <item x="126"/>
        <item x="34"/>
        <item x="80"/>
        <item x="47"/>
        <item x="64"/>
        <item x="78"/>
        <item x="92"/>
        <item x="75"/>
        <item x="88"/>
        <item x="107"/>
        <item x="85"/>
        <item x="90"/>
        <item x="87"/>
        <item x="1"/>
        <item x="131"/>
        <item x="42"/>
        <item x="86"/>
        <item x="83"/>
        <item x="120"/>
        <item x="117"/>
        <item x="100"/>
        <item x="101"/>
        <item x="17"/>
        <item x="38"/>
        <item x="71"/>
        <item x="22"/>
        <item x="84"/>
        <item x="106"/>
        <item x="29"/>
        <item x="116"/>
        <item x="132"/>
        <item x="54"/>
        <item x="96"/>
        <item x="10"/>
        <item x="45"/>
        <item x="63"/>
        <item x="114"/>
        <item x="0"/>
        <item x="108"/>
        <item x="94"/>
        <item x="62"/>
        <item x="72"/>
        <item x="5"/>
        <item x="119"/>
        <item x="13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6">
        <item x="5"/>
        <item x="1"/>
        <item x="3"/>
        <item x="2"/>
        <item x="4"/>
        <item h="1" x="0"/>
      </items>
    </pivotField>
    <pivotField name="領料單(調)" axis="axisRow" compact="0" outline="0" showAll="0" defaultSubtotal="0">
      <items count="55">
        <item x="8"/>
        <item x="2"/>
        <item x="1"/>
        <item x="3"/>
        <item x="4"/>
        <item x="6"/>
        <item x="5"/>
        <item x="9"/>
        <item x="7"/>
        <item x="10"/>
        <item x="12"/>
        <item x="11"/>
        <item x="13"/>
        <item x="15"/>
        <item x="14"/>
        <item x="16"/>
        <item x="17"/>
        <item x="18"/>
        <item x="19"/>
        <item x="20"/>
        <item x="21"/>
        <item x="23"/>
        <item x="24"/>
        <item x="22"/>
        <item x="25"/>
        <item x="26"/>
        <item x="27"/>
        <item x="29"/>
        <item x="28"/>
        <item x="30"/>
        <item x="32"/>
        <item x="33"/>
        <item x="34"/>
        <item x="31"/>
        <item x="35"/>
        <item x="37"/>
        <item x="36"/>
        <item x="38"/>
        <item x="39"/>
        <item x="40"/>
        <item x="41"/>
        <item x="42"/>
        <item x="43"/>
        <item x="44"/>
        <item x="45"/>
        <item x="48"/>
        <item x="46"/>
        <item x="47"/>
        <item x="49"/>
        <item x="52"/>
        <item x="51"/>
        <item x="50"/>
        <item x="53"/>
        <item x="54"/>
        <item x="0"/>
      </items>
    </pivotField>
    <pivotField compact="0" outline="0" showAll="0"/>
    <pivotField compact="0" outline="0" showAll="0"/>
    <pivotField compact="0" outline="0" showAll="0"/>
    <pivotField name="調理超過_x000a_7天數" compact="0" outline="0" multipleItemSelectionAllowed="1" showAll="0"/>
    <pivotField name="充填繳回超過7天" axis="axisRow" compact="0" outline="0" showAll="0" defaultSubtotal="0">
      <items count="12">
        <item h="1" x="2"/>
        <item h="1" x="4"/>
        <item h="1" x="1"/>
        <item h="1" x="5"/>
        <item h="1" x="3"/>
        <item h="1" x="6"/>
        <item h="1" x="9"/>
        <item x="8"/>
        <item x="7"/>
        <item h="1" x="11"/>
        <item h="1" x="10"/>
        <item h="1" x="0"/>
      </items>
    </pivotField>
  </pivotFields>
  <rowFields count="6">
    <field x="0"/>
    <field x="21"/>
    <field x="1"/>
    <field x="2"/>
    <field x="22"/>
    <field x="27"/>
  </rowFields>
  <rowItems count="10">
    <i>
      <x v="575"/>
      <x v="2"/>
      <x v="80"/>
      <x v="81"/>
      <x v="9"/>
      <x v="8"/>
    </i>
    <i r="2">
      <x v="81"/>
      <x v="126"/>
      <x v="9"/>
      <x v="8"/>
    </i>
    <i>
      <x v="576"/>
      <x v="1"/>
      <x v="57"/>
      <x v="79"/>
      <x v="10"/>
      <x v="7"/>
    </i>
    <i r="2">
      <x v="91"/>
      <x v="73"/>
      <x v="11"/>
      <x v="7"/>
    </i>
    <i r="1">
      <x v="2"/>
      <x v="25"/>
      <x v="10"/>
      <x v="10"/>
      <x v="7"/>
    </i>
    <i r="2">
      <x v="33"/>
      <x v="5"/>
      <x v="10"/>
      <x v="7"/>
    </i>
    <i>
      <x v="577"/>
      <x v="1"/>
      <x v="91"/>
      <x v="73"/>
      <x v="11"/>
      <x v="8"/>
    </i>
    <i r="2">
      <x v="94"/>
      <x v="122"/>
      <x v="11"/>
      <x v="8"/>
    </i>
    <i>
      <x v="586"/>
      <x v="1"/>
      <x v="139"/>
      <x v="69"/>
      <x v="23"/>
      <x v="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4"/>
  <sheetViews>
    <sheetView zoomScaleNormal="100" workbookViewId="0">
      <pane ySplit="1" topLeftCell="A149" activePane="bottomLeft" state="frozen"/>
      <selection activeCell="E343" sqref="E342:E343"/>
      <selection pane="bottomLeft" activeCell="C161" sqref="C161"/>
    </sheetView>
  </sheetViews>
  <sheetFormatPr defaultColWidth="8" defaultRowHeight="18" x14ac:dyDescent="0.4"/>
  <cols>
    <col min="1" max="1" width="17.90625" style="124" customWidth="1"/>
    <col min="2" max="2" width="31.6328125" style="132" bestFit="1" customWidth="1"/>
    <col min="3" max="3" width="26.26953125" style="12" customWidth="1"/>
    <col min="4" max="4" width="24" style="2" customWidth="1"/>
    <col min="5" max="16384" width="8" style="2"/>
  </cols>
  <sheetData>
    <row r="1" spans="1:3" s="4" customFormat="1" x14ac:dyDescent="0.4">
      <c r="A1" s="130" t="s">
        <v>0</v>
      </c>
      <c r="B1" s="130" t="s">
        <v>153</v>
      </c>
      <c r="C1" s="116" t="s">
        <v>402</v>
      </c>
    </row>
    <row r="2" spans="1:3" x14ac:dyDescent="0.4">
      <c r="A2" s="131" t="s">
        <v>61</v>
      </c>
      <c r="B2" s="120" t="s">
        <v>411</v>
      </c>
      <c r="C2" s="117">
        <v>1</v>
      </c>
    </row>
    <row r="3" spans="1:3" x14ac:dyDescent="0.4">
      <c r="A3" s="131" t="s">
        <v>158</v>
      </c>
      <c r="B3" s="120" t="s">
        <v>159</v>
      </c>
      <c r="C3" s="117">
        <v>1</v>
      </c>
    </row>
    <row r="4" spans="1:3" x14ac:dyDescent="0.4">
      <c r="A4" s="119" t="s">
        <v>160</v>
      </c>
      <c r="B4" s="120" t="s">
        <v>409</v>
      </c>
      <c r="C4" s="117">
        <v>1</v>
      </c>
    </row>
    <row r="5" spans="1:3" x14ac:dyDescent="0.4">
      <c r="A5" s="119" t="s">
        <v>162</v>
      </c>
      <c r="B5" s="120" t="s">
        <v>163</v>
      </c>
      <c r="C5" s="117">
        <v>1</v>
      </c>
    </row>
    <row r="6" spans="1:3" x14ac:dyDescent="0.4">
      <c r="A6" s="119" t="s">
        <v>164</v>
      </c>
      <c r="B6" s="120" t="s">
        <v>410</v>
      </c>
      <c r="C6" s="117">
        <v>1</v>
      </c>
    </row>
    <row r="7" spans="1:3" x14ac:dyDescent="0.4">
      <c r="A7" s="119" t="s">
        <v>166</v>
      </c>
      <c r="B7" s="121" t="s">
        <v>404</v>
      </c>
      <c r="C7" s="117">
        <v>1</v>
      </c>
    </row>
    <row r="8" spans="1:3" x14ac:dyDescent="0.4">
      <c r="A8" s="119" t="s">
        <v>168</v>
      </c>
      <c r="B8" s="120" t="s">
        <v>405</v>
      </c>
      <c r="C8" s="117">
        <v>1</v>
      </c>
    </row>
    <row r="9" spans="1:3" x14ac:dyDescent="0.4">
      <c r="A9" s="119" t="s">
        <v>170</v>
      </c>
      <c r="B9" s="120" t="s">
        <v>406</v>
      </c>
      <c r="C9" s="117">
        <v>1</v>
      </c>
    </row>
    <row r="10" spans="1:3" x14ac:dyDescent="0.4">
      <c r="A10" s="119" t="s">
        <v>172</v>
      </c>
      <c r="B10" s="120" t="s">
        <v>173</v>
      </c>
      <c r="C10" s="117">
        <v>1</v>
      </c>
    </row>
    <row r="11" spans="1:3" x14ac:dyDescent="0.4">
      <c r="A11" s="119" t="s">
        <v>174</v>
      </c>
      <c r="B11" s="120" t="s">
        <v>173</v>
      </c>
      <c r="C11" s="117">
        <v>1</v>
      </c>
    </row>
    <row r="12" spans="1:3" x14ac:dyDescent="0.4">
      <c r="A12" s="119" t="s">
        <v>175</v>
      </c>
      <c r="B12" s="120" t="s">
        <v>176</v>
      </c>
      <c r="C12" s="117">
        <v>1</v>
      </c>
    </row>
    <row r="13" spans="1:3" x14ac:dyDescent="0.4">
      <c r="A13" s="119" t="s">
        <v>178</v>
      </c>
      <c r="B13" s="120" t="s">
        <v>179</v>
      </c>
      <c r="C13" s="117">
        <v>1</v>
      </c>
    </row>
    <row r="14" spans="1:3" x14ac:dyDescent="0.4">
      <c r="A14" s="119" t="s">
        <v>180</v>
      </c>
      <c r="B14" s="120" t="s">
        <v>181</v>
      </c>
      <c r="C14" s="117">
        <v>1</v>
      </c>
    </row>
    <row r="15" spans="1:3" x14ac:dyDescent="0.4">
      <c r="A15" s="119" t="s">
        <v>182</v>
      </c>
      <c r="B15" s="120" t="s">
        <v>421</v>
      </c>
      <c r="C15" s="117">
        <v>1</v>
      </c>
    </row>
    <row r="16" spans="1:3" x14ac:dyDescent="0.4">
      <c r="A16" s="119" t="s">
        <v>184</v>
      </c>
      <c r="B16" s="120" t="s">
        <v>185</v>
      </c>
      <c r="C16" s="117">
        <v>1</v>
      </c>
    </row>
    <row r="17" spans="1:3" x14ac:dyDescent="0.4">
      <c r="A17" s="119" t="s">
        <v>186</v>
      </c>
      <c r="B17" s="120" t="s">
        <v>422</v>
      </c>
      <c r="C17" s="117">
        <v>1</v>
      </c>
    </row>
    <row r="18" spans="1:3" x14ac:dyDescent="0.4">
      <c r="A18" s="119" t="s">
        <v>188</v>
      </c>
      <c r="B18" s="120" t="s">
        <v>189</v>
      </c>
      <c r="C18" s="117">
        <v>1</v>
      </c>
    </row>
    <row r="19" spans="1:3" x14ac:dyDescent="0.4">
      <c r="A19" s="119" t="s">
        <v>190</v>
      </c>
      <c r="B19" s="120" t="s">
        <v>191</v>
      </c>
      <c r="C19" s="117">
        <v>1</v>
      </c>
    </row>
    <row r="20" spans="1:3" x14ac:dyDescent="0.4">
      <c r="A20" s="119" t="s">
        <v>192</v>
      </c>
      <c r="B20" s="120" t="s">
        <v>193</v>
      </c>
      <c r="C20" s="117">
        <v>1</v>
      </c>
    </row>
    <row r="21" spans="1:3" x14ac:dyDescent="0.4">
      <c r="A21" s="119" t="s">
        <v>194</v>
      </c>
      <c r="B21" s="120" t="s">
        <v>195</v>
      </c>
      <c r="C21" s="117">
        <v>1</v>
      </c>
    </row>
    <row r="22" spans="1:3" x14ac:dyDescent="0.4">
      <c r="A22" s="119" t="s">
        <v>196</v>
      </c>
      <c r="B22" s="120" t="s">
        <v>197</v>
      </c>
      <c r="C22" s="117">
        <v>1</v>
      </c>
    </row>
    <row r="23" spans="1:3" x14ac:dyDescent="0.4">
      <c r="A23" s="119" t="s">
        <v>198</v>
      </c>
      <c r="B23" s="121" t="s">
        <v>199</v>
      </c>
      <c r="C23" s="117">
        <v>1</v>
      </c>
    </row>
    <row r="24" spans="1:3" x14ac:dyDescent="0.4">
      <c r="A24" s="119" t="s">
        <v>200</v>
      </c>
      <c r="B24" s="120" t="s">
        <v>408</v>
      </c>
      <c r="C24" s="117">
        <v>1</v>
      </c>
    </row>
    <row r="25" spans="1:3" x14ac:dyDescent="0.4">
      <c r="A25" s="119" t="s">
        <v>202</v>
      </c>
      <c r="B25" s="120" t="s">
        <v>412</v>
      </c>
      <c r="C25" s="117">
        <v>1</v>
      </c>
    </row>
    <row r="26" spans="1:3" x14ac:dyDescent="0.4">
      <c r="A26" s="119" t="s">
        <v>204</v>
      </c>
      <c r="B26" s="120" t="s">
        <v>205</v>
      </c>
      <c r="C26" s="117">
        <v>1</v>
      </c>
    </row>
    <row r="27" spans="1:3" x14ac:dyDescent="0.4">
      <c r="A27" s="119" t="s">
        <v>207</v>
      </c>
      <c r="B27" s="120" t="s">
        <v>208</v>
      </c>
      <c r="C27" s="117">
        <v>1</v>
      </c>
    </row>
    <row r="28" spans="1:3" x14ac:dyDescent="0.4">
      <c r="A28" s="119" t="s">
        <v>1811</v>
      </c>
      <c r="B28" s="120" t="s">
        <v>1810</v>
      </c>
      <c r="C28" s="117">
        <v>1</v>
      </c>
    </row>
    <row r="29" spans="1:3" x14ac:dyDescent="0.4">
      <c r="A29" s="119" t="s">
        <v>209</v>
      </c>
      <c r="B29" s="120" t="s">
        <v>210</v>
      </c>
      <c r="C29" s="117">
        <v>1</v>
      </c>
    </row>
    <row r="30" spans="1:3" x14ac:dyDescent="0.4">
      <c r="A30" s="119" t="s">
        <v>211</v>
      </c>
      <c r="B30" s="121" t="s">
        <v>212</v>
      </c>
      <c r="C30" s="117">
        <v>1</v>
      </c>
    </row>
    <row r="31" spans="1:3" ht="18" customHeight="1" x14ac:dyDescent="0.4">
      <c r="A31" s="119" t="s">
        <v>213</v>
      </c>
      <c r="B31" s="120" t="s">
        <v>214</v>
      </c>
      <c r="C31" s="117">
        <v>1</v>
      </c>
    </row>
    <row r="32" spans="1:3" x14ac:dyDescent="0.4">
      <c r="A32" s="119" t="s">
        <v>215</v>
      </c>
      <c r="B32" s="120" t="s">
        <v>216</v>
      </c>
      <c r="C32" s="117">
        <v>1</v>
      </c>
    </row>
    <row r="33" spans="1:3" x14ac:dyDescent="0.4">
      <c r="A33" s="119" t="s">
        <v>217</v>
      </c>
      <c r="B33" s="121" t="s">
        <v>218</v>
      </c>
      <c r="C33" s="117">
        <v>1</v>
      </c>
    </row>
    <row r="34" spans="1:3" x14ac:dyDescent="0.4">
      <c r="A34" s="119" t="s">
        <v>219</v>
      </c>
      <c r="B34" s="120" t="s">
        <v>220</v>
      </c>
      <c r="C34" s="117">
        <v>1</v>
      </c>
    </row>
    <row r="35" spans="1:3" x14ac:dyDescent="0.4">
      <c r="A35" s="119" t="s">
        <v>221</v>
      </c>
      <c r="B35" s="120" t="s">
        <v>1809</v>
      </c>
      <c r="C35" s="117">
        <v>1</v>
      </c>
    </row>
    <row r="36" spans="1:3" x14ac:dyDescent="0.4">
      <c r="A36" s="119" t="s">
        <v>223</v>
      </c>
      <c r="B36" s="120" t="s">
        <v>224</v>
      </c>
      <c r="C36" s="117">
        <v>1</v>
      </c>
    </row>
    <row r="37" spans="1:3" x14ac:dyDescent="0.4">
      <c r="A37" s="119" t="s">
        <v>226</v>
      </c>
      <c r="B37" s="120" t="s">
        <v>227</v>
      </c>
      <c r="C37" s="117">
        <v>1</v>
      </c>
    </row>
    <row r="38" spans="1:3" x14ac:dyDescent="0.4">
      <c r="A38" s="119" t="s">
        <v>228</v>
      </c>
      <c r="B38" s="120" t="s">
        <v>229</v>
      </c>
      <c r="C38" s="117">
        <v>1</v>
      </c>
    </row>
    <row r="39" spans="1:3" x14ac:dyDescent="0.4">
      <c r="A39" s="119" t="s">
        <v>230</v>
      </c>
      <c r="B39" s="120" t="s">
        <v>413</v>
      </c>
      <c r="C39" s="117">
        <v>1</v>
      </c>
    </row>
    <row r="40" spans="1:3" x14ac:dyDescent="0.4">
      <c r="A40" s="119" t="s">
        <v>232</v>
      </c>
      <c r="B40" s="120" t="s">
        <v>413</v>
      </c>
      <c r="C40" s="117">
        <v>1</v>
      </c>
    </row>
    <row r="41" spans="1:3" x14ac:dyDescent="0.4">
      <c r="A41" s="119" t="s">
        <v>233</v>
      </c>
      <c r="B41" s="120" t="s">
        <v>390</v>
      </c>
      <c r="C41" s="117">
        <v>1</v>
      </c>
    </row>
    <row r="42" spans="1:3" x14ac:dyDescent="0.4">
      <c r="A42" s="119" t="s">
        <v>234</v>
      </c>
      <c r="B42" s="120" t="s">
        <v>235</v>
      </c>
      <c r="C42" s="117">
        <v>1</v>
      </c>
    </row>
    <row r="43" spans="1:3" x14ac:dyDescent="0.4">
      <c r="A43" s="119" t="s">
        <v>236</v>
      </c>
      <c r="B43" s="120" t="s">
        <v>237</v>
      </c>
      <c r="C43" s="117">
        <v>1</v>
      </c>
    </row>
    <row r="44" spans="1:3" x14ac:dyDescent="0.4">
      <c r="A44" s="119" t="s">
        <v>238</v>
      </c>
      <c r="B44" s="120" t="s">
        <v>239</v>
      </c>
      <c r="C44" s="117">
        <v>1</v>
      </c>
    </row>
    <row r="45" spans="1:3" x14ac:dyDescent="0.4">
      <c r="A45" s="119" t="s">
        <v>240</v>
      </c>
      <c r="B45" s="120" t="s">
        <v>241</v>
      </c>
      <c r="C45" s="117">
        <v>1</v>
      </c>
    </row>
    <row r="46" spans="1:3" x14ac:dyDescent="0.4">
      <c r="A46" s="119" t="s">
        <v>242</v>
      </c>
      <c r="B46" s="120" t="s">
        <v>243</v>
      </c>
      <c r="C46" s="117">
        <v>1</v>
      </c>
    </row>
    <row r="47" spans="1:3" x14ac:dyDescent="0.4">
      <c r="A47" s="119" t="s">
        <v>244</v>
      </c>
      <c r="B47" s="120" t="s">
        <v>245</v>
      </c>
      <c r="C47" s="117">
        <v>1</v>
      </c>
    </row>
    <row r="48" spans="1:3" x14ac:dyDescent="0.4">
      <c r="A48" s="119" t="s">
        <v>246</v>
      </c>
      <c r="B48" s="120" t="s">
        <v>247</v>
      </c>
      <c r="C48" s="117">
        <v>1</v>
      </c>
    </row>
    <row r="49" spans="1:3" x14ac:dyDescent="0.4">
      <c r="A49" s="119" t="s">
        <v>248</v>
      </c>
      <c r="B49" s="120" t="s">
        <v>912</v>
      </c>
      <c r="C49" s="117">
        <v>1</v>
      </c>
    </row>
    <row r="50" spans="1:3" x14ac:dyDescent="0.4">
      <c r="A50" s="119" t="s">
        <v>911</v>
      </c>
      <c r="B50" s="120" t="s">
        <v>913</v>
      </c>
      <c r="C50" s="117">
        <v>1</v>
      </c>
    </row>
    <row r="51" spans="1:3" x14ac:dyDescent="0.4">
      <c r="A51" s="119" t="s">
        <v>250</v>
      </c>
      <c r="B51" s="120" t="s">
        <v>251</v>
      </c>
      <c r="C51" s="117">
        <v>1</v>
      </c>
    </row>
    <row r="52" spans="1:3" x14ac:dyDescent="0.4">
      <c r="A52" s="119" t="s">
        <v>252</v>
      </c>
      <c r="B52" s="120" t="s">
        <v>253</v>
      </c>
      <c r="C52" s="117">
        <v>1</v>
      </c>
    </row>
    <row r="53" spans="1:3" x14ac:dyDescent="0.4">
      <c r="A53" s="119" t="s">
        <v>254</v>
      </c>
      <c r="B53" s="120" t="s">
        <v>255</v>
      </c>
      <c r="C53" s="117">
        <v>1</v>
      </c>
    </row>
    <row r="54" spans="1:3" x14ac:dyDescent="0.4">
      <c r="A54" s="119" t="s">
        <v>256</v>
      </c>
      <c r="B54" s="120" t="s">
        <v>257</v>
      </c>
      <c r="C54" s="117">
        <v>1</v>
      </c>
    </row>
    <row r="55" spans="1:3" x14ac:dyDescent="0.4">
      <c r="A55" s="119" t="s">
        <v>258</v>
      </c>
      <c r="B55" s="120" t="s">
        <v>259</v>
      </c>
      <c r="C55" s="117">
        <v>1</v>
      </c>
    </row>
    <row r="56" spans="1:3" x14ac:dyDescent="0.4">
      <c r="A56" s="119" t="s">
        <v>260</v>
      </c>
      <c r="B56" s="120" t="s">
        <v>414</v>
      </c>
      <c r="C56" s="117">
        <v>1</v>
      </c>
    </row>
    <row r="57" spans="1:3" x14ac:dyDescent="0.4">
      <c r="A57" s="119" t="s">
        <v>262</v>
      </c>
      <c r="B57" s="120" t="s">
        <v>263</v>
      </c>
      <c r="C57" s="117">
        <v>1</v>
      </c>
    </row>
    <row r="58" spans="1:3" x14ac:dyDescent="0.4">
      <c r="A58" s="119" t="s">
        <v>264</v>
      </c>
      <c r="B58" s="121" t="s">
        <v>265</v>
      </c>
      <c r="C58" s="117">
        <v>1</v>
      </c>
    </row>
    <row r="59" spans="1:3" x14ac:dyDescent="0.4">
      <c r="A59" s="119" t="s">
        <v>266</v>
      </c>
      <c r="B59" s="120" t="s">
        <v>267</v>
      </c>
      <c r="C59" s="117">
        <v>1</v>
      </c>
    </row>
    <row r="60" spans="1:3" x14ac:dyDescent="0.4">
      <c r="A60" s="119" t="s">
        <v>268</v>
      </c>
      <c r="B60" s="120" t="s">
        <v>269</v>
      </c>
      <c r="C60" s="117">
        <v>1</v>
      </c>
    </row>
    <row r="61" spans="1:3" x14ac:dyDescent="0.4">
      <c r="A61" s="119" t="s">
        <v>270</v>
      </c>
      <c r="B61" s="120" t="s">
        <v>271</v>
      </c>
      <c r="C61" s="117">
        <v>1</v>
      </c>
    </row>
    <row r="62" spans="1:3" x14ac:dyDescent="0.4">
      <c r="A62" s="119" t="s">
        <v>272</v>
      </c>
      <c r="B62" s="120" t="s">
        <v>224</v>
      </c>
      <c r="C62" s="117">
        <v>1</v>
      </c>
    </row>
    <row r="63" spans="1:3" x14ac:dyDescent="0.4">
      <c r="A63" s="119" t="s">
        <v>273</v>
      </c>
      <c r="B63" s="120" t="s">
        <v>274</v>
      </c>
      <c r="C63" s="117">
        <v>1</v>
      </c>
    </row>
    <row r="64" spans="1:3" x14ac:dyDescent="0.4">
      <c r="A64" s="119" t="s">
        <v>276</v>
      </c>
      <c r="B64" s="120" t="s">
        <v>277</v>
      </c>
      <c r="C64" s="117">
        <v>1</v>
      </c>
    </row>
    <row r="65" spans="1:3" x14ac:dyDescent="0.4">
      <c r="A65" s="119" t="s">
        <v>278</v>
      </c>
      <c r="B65" s="120" t="s">
        <v>235</v>
      </c>
      <c r="C65" s="117">
        <v>1</v>
      </c>
    </row>
    <row r="66" spans="1:3" x14ac:dyDescent="0.4">
      <c r="A66" s="119" t="s">
        <v>279</v>
      </c>
      <c r="B66" s="120" t="s">
        <v>280</v>
      </c>
      <c r="C66" s="117">
        <v>1</v>
      </c>
    </row>
    <row r="67" spans="1:3" x14ac:dyDescent="0.4">
      <c r="A67" s="119" t="s">
        <v>282</v>
      </c>
      <c r="B67" s="120" t="s">
        <v>283</v>
      </c>
      <c r="C67" s="117">
        <v>1</v>
      </c>
    </row>
    <row r="68" spans="1:3" x14ac:dyDescent="0.4">
      <c r="A68" s="119" t="s">
        <v>284</v>
      </c>
      <c r="B68" s="120" t="s">
        <v>285</v>
      </c>
      <c r="C68" s="117">
        <v>1</v>
      </c>
    </row>
    <row r="69" spans="1:3" x14ac:dyDescent="0.4">
      <c r="A69" s="119" t="s">
        <v>286</v>
      </c>
      <c r="B69" s="120" t="s">
        <v>287</v>
      </c>
      <c r="C69" s="117">
        <v>1</v>
      </c>
    </row>
    <row r="70" spans="1:3" x14ac:dyDescent="0.4">
      <c r="A70" s="119" t="s">
        <v>288</v>
      </c>
      <c r="B70" s="120" t="s">
        <v>289</v>
      </c>
      <c r="C70" s="117">
        <v>1</v>
      </c>
    </row>
    <row r="71" spans="1:3" x14ac:dyDescent="0.4">
      <c r="A71" s="119" t="s">
        <v>290</v>
      </c>
      <c r="B71" s="120" t="s">
        <v>291</v>
      </c>
      <c r="C71" s="117">
        <v>1</v>
      </c>
    </row>
    <row r="72" spans="1:3" x14ac:dyDescent="0.4">
      <c r="A72" s="119" t="s">
        <v>292</v>
      </c>
      <c r="B72" s="120" t="s">
        <v>415</v>
      </c>
      <c r="C72" s="117">
        <v>1</v>
      </c>
    </row>
    <row r="73" spans="1:3" x14ac:dyDescent="0.4">
      <c r="A73" s="119" t="s">
        <v>294</v>
      </c>
      <c r="B73" s="120" t="s">
        <v>271</v>
      </c>
      <c r="C73" s="117">
        <v>1</v>
      </c>
    </row>
    <row r="74" spans="1:3" x14ac:dyDescent="0.4">
      <c r="A74" s="119" t="s">
        <v>295</v>
      </c>
      <c r="B74" s="120" t="s">
        <v>296</v>
      </c>
      <c r="C74" s="117">
        <v>1</v>
      </c>
    </row>
    <row r="75" spans="1:3" x14ac:dyDescent="0.4">
      <c r="A75" s="119" t="s">
        <v>297</v>
      </c>
      <c r="B75" s="120" t="s">
        <v>298</v>
      </c>
      <c r="C75" s="117">
        <v>1</v>
      </c>
    </row>
    <row r="76" spans="1:3" x14ac:dyDescent="0.4">
      <c r="A76" s="119" t="s">
        <v>299</v>
      </c>
      <c r="B76" s="120" t="s">
        <v>300</v>
      </c>
      <c r="C76" s="117">
        <v>1</v>
      </c>
    </row>
    <row r="77" spans="1:3" x14ac:dyDescent="0.4">
      <c r="A77" s="119" t="s">
        <v>301</v>
      </c>
      <c r="B77" s="120" t="s">
        <v>302</v>
      </c>
      <c r="C77" s="117">
        <v>1</v>
      </c>
    </row>
    <row r="78" spans="1:3" x14ac:dyDescent="0.4">
      <c r="A78" s="119" t="s">
        <v>303</v>
      </c>
      <c r="B78" s="120" t="s">
        <v>304</v>
      </c>
      <c r="C78" s="117">
        <v>1</v>
      </c>
    </row>
    <row r="79" spans="1:3" x14ac:dyDescent="0.4">
      <c r="A79" s="119" t="s">
        <v>305</v>
      </c>
      <c r="B79" s="120" t="s">
        <v>306</v>
      </c>
      <c r="C79" s="117">
        <v>1</v>
      </c>
    </row>
    <row r="80" spans="1:3" x14ac:dyDescent="0.4">
      <c r="A80" s="119" t="s">
        <v>307</v>
      </c>
      <c r="B80" s="120" t="s">
        <v>308</v>
      </c>
      <c r="C80" s="117">
        <v>1</v>
      </c>
    </row>
    <row r="81" spans="1:3" x14ac:dyDescent="0.4">
      <c r="A81" s="119" t="s">
        <v>309</v>
      </c>
      <c r="B81" s="120" t="s">
        <v>310</v>
      </c>
      <c r="C81" s="117">
        <v>1</v>
      </c>
    </row>
    <row r="82" spans="1:3" x14ac:dyDescent="0.4">
      <c r="A82" s="119" t="s">
        <v>311</v>
      </c>
      <c r="B82" s="120" t="s">
        <v>312</v>
      </c>
      <c r="C82" s="117">
        <v>1</v>
      </c>
    </row>
    <row r="83" spans="1:3" x14ac:dyDescent="0.4">
      <c r="A83" s="119" t="s">
        <v>313</v>
      </c>
      <c r="B83" s="120" t="s">
        <v>314</v>
      </c>
      <c r="C83" s="117">
        <v>1</v>
      </c>
    </row>
    <row r="84" spans="1:3" x14ac:dyDescent="0.4">
      <c r="A84" s="119" t="s">
        <v>315</v>
      </c>
      <c r="B84" s="120" t="s">
        <v>316</v>
      </c>
      <c r="C84" s="117">
        <v>1</v>
      </c>
    </row>
    <row r="85" spans="1:3" x14ac:dyDescent="0.4">
      <c r="A85" s="119" t="s">
        <v>317</v>
      </c>
      <c r="B85" s="120" t="s">
        <v>318</v>
      </c>
      <c r="C85" s="117">
        <v>1</v>
      </c>
    </row>
    <row r="86" spans="1:3" x14ac:dyDescent="0.4">
      <c r="A86" s="119" t="s">
        <v>367</v>
      </c>
      <c r="B86" s="120" t="s">
        <v>368</v>
      </c>
      <c r="C86" s="117">
        <v>1</v>
      </c>
    </row>
    <row r="87" spans="1:3" x14ac:dyDescent="0.4">
      <c r="A87" s="119" t="s">
        <v>319</v>
      </c>
      <c r="B87" s="120" t="s">
        <v>320</v>
      </c>
      <c r="C87" s="117">
        <v>1</v>
      </c>
    </row>
    <row r="88" spans="1:3" x14ac:dyDescent="0.4">
      <c r="A88" s="119" t="s">
        <v>321</v>
      </c>
      <c r="B88" s="120" t="s">
        <v>407</v>
      </c>
      <c r="C88" s="117">
        <v>1</v>
      </c>
    </row>
    <row r="89" spans="1:3" x14ac:dyDescent="0.4">
      <c r="A89" s="119" t="s">
        <v>323</v>
      </c>
      <c r="B89" s="120" t="s">
        <v>324</v>
      </c>
      <c r="C89" s="117">
        <v>1</v>
      </c>
    </row>
    <row r="90" spans="1:3" x14ac:dyDescent="0.4">
      <c r="A90" s="119" t="s">
        <v>416</v>
      </c>
      <c r="B90" s="120" t="s">
        <v>417</v>
      </c>
      <c r="C90" s="117">
        <v>1</v>
      </c>
    </row>
    <row r="91" spans="1:3" x14ac:dyDescent="0.4">
      <c r="A91" s="119" t="s">
        <v>418</v>
      </c>
      <c r="B91" s="120" t="s">
        <v>419</v>
      </c>
      <c r="C91" s="117">
        <v>1</v>
      </c>
    </row>
    <row r="92" spans="1:3" x14ac:dyDescent="0.4">
      <c r="A92" s="119" t="s">
        <v>325</v>
      </c>
      <c r="B92" s="120" t="s">
        <v>326</v>
      </c>
      <c r="C92" s="117">
        <v>1</v>
      </c>
    </row>
    <row r="93" spans="1:3" x14ac:dyDescent="0.4">
      <c r="A93" s="119" t="s">
        <v>327</v>
      </c>
      <c r="B93" s="120" t="s">
        <v>328</v>
      </c>
      <c r="C93" s="117">
        <v>1</v>
      </c>
    </row>
    <row r="94" spans="1:3" x14ac:dyDescent="0.4">
      <c r="A94" s="119" t="s">
        <v>329</v>
      </c>
      <c r="B94" s="120" t="s">
        <v>330</v>
      </c>
      <c r="C94" s="117">
        <v>1</v>
      </c>
    </row>
    <row r="95" spans="1:3" x14ac:dyDescent="0.4">
      <c r="A95" s="119" t="s">
        <v>331</v>
      </c>
      <c r="B95" s="120" t="s">
        <v>332</v>
      </c>
      <c r="C95" s="117">
        <v>1</v>
      </c>
    </row>
    <row r="96" spans="1:3" x14ac:dyDescent="0.4">
      <c r="A96" s="119" t="s">
        <v>333</v>
      </c>
      <c r="B96" s="120" t="s">
        <v>334</v>
      </c>
      <c r="C96" s="117">
        <v>1</v>
      </c>
    </row>
    <row r="97" spans="1:3" x14ac:dyDescent="0.4">
      <c r="A97" s="119" t="s">
        <v>335</v>
      </c>
      <c r="B97" s="120" t="s">
        <v>336</v>
      </c>
      <c r="C97" s="117">
        <v>1</v>
      </c>
    </row>
    <row r="98" spans="1:3" x14ac:dyDescent="0.4">
      <c r="A98" s="119" t="s">
        <v>337</v>
      </c>
      <c r="B98" s="120" t="s">
        <v>338</v>
      </c>
      <c r="C98" s="117">
        <v>1</v>
      </c>
    </row>
    <row r="99" spans="1:3" x14ac:dyDescent="0.4">
      <c r="A99" s="119" t="s">
        <v>339</v>
      </c>
      <c r="B99" s="120" t="s">
        <v>340</v>
      </c>
      <c r="C99" s="117">
        <v>1</v>
      </c>
    </row>
    <row r="100" spans="1:3" x14ac:dyDescent="0.4">
      <c r="A100" s="119" t="s">
        <v>341</v>
      </c>
      <c r="B100" s="120" t="s">
        <v>338</v>
      </c>
      <c r="C100" s="117">
        <v>1</v>
      </c>
    </row>
    <row r="101" spans="1:3" x14ac:dyDescent="0.4">
      <c r="A101" s="119" t="s">
        <v>357</v>
      </c>
      <c r="B101" s="120" t="s">
        <v>338</v>
      </c>
      <c r="C101" s="117">
        <v>1</v>
      </c>
    </row>
    <row r="102" spans="1:3" x14ac:dyDescent="0.4">
      <c r="A102" s="119" t="s">
        <v>351</v>
      </c>
      <c r="B102" s="120" t="s">
        <v>358</v>
      </c>
      <c r="C102" s="117">
        <v>1</v>
      </c>
    </row>
    <row r="103" spans="1:3" x14ac:dyDescent="0.4">
      <c r="A103" s="119" t="s">
        <v>45</v>
      </c>
      <c r="B103" s="120" t="s">
        <v>420</v>
      </c>
      <c r="C103" s="117">
        <v>1</v>
      </c>
    </row>
    <row r="104" spans="1:3" x14ac:dyDescent="0.4">
      <c r="A104" s="119" t="s">
        <v>342</v>
      </c>
      <c r="B104" s="120" t="s">
        <v>274</v>
      </c>
      <c r="C104" s="117">
        <v>1</v>
      </c>
    </row>
    <row r="105" spans="1:3" x14ac:dyDescent="0.4">
      <c r="A105" s="119" t="s">
        <v>343</v>
      </c>
      <c r="B105" s="120" t="s">
        <v>274</v>
      </c>
      <c r="C105" s="117">
        <v>1</v>
      </c>
    </row>
    <row r="106" spans="1:3" x14ac:dyDescent="0.4">
      <c r="A106" s="119" t="s">
        <v>344</v>
      </c>
      <c r="B106" s="120" t="s">
        <v>345</v>
      </c>
      <c r="C106" s="117">
        <v>1</v>
      </c>
    </row>
    <row r="107" spans="1:3" x14ac:dyDescent="0.4">
      <c r="A107" s="119" t="s">
        <v>346</v>
      </c>
      <c r="B107" s="120" t="s">
        <v>347</v>
      </c>
      <c r="C107" s="117">
        <v>1</v>
      </c>
    </row>
    <row r="108" spans="1:3" x14ac:dyDescent="0.4">
      <c r="A108" s="119" t="s">
        <v>348</v>
      </c>
      <c r="B108" s="121" t="s">
        <v>349</v>
      </c>
      <c r="C108" s="117">
        <v>1</v>
      </c>
    </row>
    <row r="109" spans="1:3" x14ac:dyDescent="0.4">
      <c r="A109" s="119" t="s">
        <v>350</v>
      </c>
      <c r="B109" s="120" t="s">
        <v>350</v>
      </c>
      <c r="C109" s="117">
        <v>1</v>
      </c>
    </row>
    <row r="110" spans="1:3" x14ac:dyDescent="0.4">
      <c r="A110" s="119" t="s">
        <v>445</v>
      </c>
      <c r="B110" s="120" t="s">
        <v>446</v>
      </c>
      <c r="C110" s="117">
        <v>1</v>
      </c>
    </row>
    <row r="111" spans="1:3" x14ac:dyDescent="0.4">
      <c r="A111" s="119" t="s">
        <v>447</v>
      </c>
      <c r="B111" s="120" t="s">
        <v>448</v>
      </c>
      <c r="C111" s="117">
        <v>1</v>
      </c>
    </row>
    <row r="112" spans="1:3" x14ac:dyDescent="0.4">
      <c r="A112" s="119" t="s">
        <v>444</v>
      </c>
      <c r="B112" s="121" t="s">
        <v>449</v>
      </c>
      <c r="C112" s="117">
        <v>1</v>
      </c>
    </row>
    <row r="113" spans="1:3" x14ac:dyDescent="0.4">
      <c r="A113" s="119" t="s">
        <v>442</v>
      </c>
      <c r="B113" s="120" t="s">
        <v>443</v>
      </c>
      <c r="C113" s="117">
        <v>1</v>
      </c>
    </row>
    <row r="114" spans="1:3" x14ac:dyDescent="0.4">
      <c r="A114" s="129" t="s">
        <v>474</v>
      </c>
      <c r="B114" s="121" t="s">
        <v>475</v>
      </c>
      <c r="C114" s="117">
        <v>1</v>
      </c>
    </row>
    <row r="115" spans="1:3" x14ac:dyDescent="0.4">
      <c r="A115" s="129" t="s">
        <v>476</v>
      </c>
      <c r="B115" s="121" t="s">
        <v>249</v>
      </c>
      <c r="C115" s="117">
        <v>1</v>
      </c>
    </row>
    <row r="116" spans="1:3" x14ac:dyDescent="0.4">
      <c r="A116" s="129" t="s">
        <v>477</v>
      </c>
      <c r="B116" s="121" t="s">
        <v>478</v>
      </c>
      <c r="C116" s="117">
        <v>1</v>
      </c>
    </row>
    <row r="117" spans="1:3" x14ac:dyDescent="0.4">
      <c r="A117" s="129">
        <v>111033</v>
      </c>
      <c r="B117" s="121" t="s">
        <v>479</v>
      </c>
      <c r="C117" s="117">
        <v>1</v>
      </c>
    </row>
    <row r="118" spans="1:3" x14ac:dyDescent="0.4">
      <c r="A118" s="129">
        <v>111010</v>
      </c>
      <c r="B118" s="121" t="s">
        <v>480</v>
      </c>
      <c r="C118" s="117">
        <v>1</v>
      </c>
    </row>
    <row r="119" spans="1:3" x14ac:dyDescent="0.4">
      <c r="A119" s="129">
        <v>111050</v>
      </c>
      <c r="B119" s="121" t="s">
        <v>481</v>
      </c>
      <c r="C119" s="117">
        <v>1</v>
      </c>
    </row>
    <row r="120" spans="1:3" x14ac:dyDescent="0.4">
      <c r="A120" s="129">
        <v>151010</v>
      </c>
      <c r="B120" s="121" t="s">
        <v>482</v>
      </c>
      <c r="C120" s="117">
        <v>1</v>
      </c>
    </row>
    <row r="121" spans="1:3" x14ac:dyDescent="0.4">
      <c r="A121" s="129">
        <v>152010</v>
      </c>
      <c r="B121" s="121" t="s">
        <v>483</v>
      </c>
      <c r="C121" s="117">
        <v>1</v>
      </c>
    </row>
    <row r="122" spans="1:3" x14ac:dyDescent="0.4">
      <c r="A122" s="129">
        <v>153010</v>
      </c>
      <c r="B122" s="121" t="s">
        <v>484</v>
      </c>
      <c r="C122" s="117">
        <v>1</v>
      </c>
    </row>
    <row r="123" spans="1:3" x14ac:dyDescent="0.4">
      <c r="A123" s="129">
        <v>153081</v>
      </c>
      <c r="B123" s="121" t="s">
        <v>485</v>
      </c>
      <c r="C123" s="117">
        <v>1</v>
      </c>
    </row>
    <row r="124" spans="1:3" x14ac:dyDescent="0.4">
      <c r="A124" s="129">
        <v>159040</v>
      </c>
      <c r="B124" s="121" t="s">
        <v>486</v>
      </c>
      <c r="C124" s="117">
        <v>1</v>
      </c>
    </row>
    <row r="125" spans="1:3" x14ac:dyDescent="0.4">
      <c r="A125" s="129" t="s">
        <v>500</v>
      </c>
      <c r="B125" s="121" t="s">
        <v>506</v>
      </c>
      <c r="C125" s="117">
        <v>1</v>
      </c>
    </row>
    <row r="126" spans="1:3" x14ac:dyDescent="0.4">
      <c r="A126" s="129" t="s">
        <v>504</v>
      </c>
      <c r="B126" s="121" t="s">
        <v>245</v>
      </c>
      <c r="C126" s="117">
        <v>1</v>
      </c>
    </row>
    <row r="127" spans="1:3" x14ac:dyDescent="0.4">
      <c r="A127" s="129" t="s">
        <v>509</v>
      </c>
      <c r="B127" s="121" t="s">
        <v>516</v>
      </c>
      <c r="C127" s="117">
        <v>1</v>
      </c>
    </row>
    <row r="128" spans="1:3" x14ac:dyDescent="0.4">
      <c r="A128" s="129" t="s">
        <v>554</v>
      </c>
      <c r="B128" s="120" t="s">
        <v>191</v>
      </c>
      <c r="C128" s="117">
        <v>1</v>
      </c>
    </row>
    <row r="129" spans="1:3" x14ac:dyDescent="0.4">
      <c r="A129" s="129" t="s">
        <v>572</v>
      </c>
      <c r="B129" s="121" t="s">
        <v>237</v>
      </c>
      <c r="C129" s="117">
        <v>1</v>
      </c>
    </row>
    <row r="130" spans="1:3" x14ac:dyDescent="0.4">
      <c r="A130" s="129" t="s">
        <v>617</v>
      </c>
      <c r="B130" s="121" t="s">
        <v>595</v>
      </c>
      <c r="C130" s="117">
        <v>1</v>
      </c>
    </row>
    <row r="131" spans="1:3" x14ac:dyDescent="0.4">
      <c r="A131" s="129" t="s">
        <v>608</v>
      </c>
      <c r="B131" s="121" t="s">
        <v>615</v>
      </c>
      <c r="C131" s="117">
        <v>1</v>
      </c>
    </row>
    <row r="132" spans="1:3" x14ac:dyDescent="0.4">
      <c r="A132" s="129" t="s">
        <v>611</v>
      </c>
      <c r="B132" s="121" t="s">
        <v>212</v>
      </c>
      <c r="C132" s="117">
        <v>1</v>
      </c>
    </row>
    <row r="133" spans="1:3" x14ac:dyDescent="0.4">
      <c r="A133" s="129" t="s">
        <v>640</v>
      </c>
      <c r="B133" s="121" t="s">
        <v>1039</v>
      </c>
      <c r="C133" s="117">
        <v>1</v>
      </c>
    </row>
    <row r="134" spans="1:3" x14ac:dyDescent="0.4">
      <c r="A134" s="129" t="s">
        <v>641</v>
      </c>
      <c r="B134" s="121" t="s">
        <v>1040</v>
      </c>
      <c r="C134" s="117">
        <v>1</v>
      </c>
    </row>
    <row r="135" spans="1:3" x14ac:dyDescent="0.4">
      <c r="A135" s="129" t="s">
        <v>642</v>
      </c>
      <c r="B135" s="121" t="s">
        <v>643</v>
      </c>
      <c r="C135" s="117">
        <v>1</v>
      </c>
    </row>
    <row r="136" spans="1:3" x14ac:dyDescent="0.4">
      <c r="A136" s="129" t="s">
        <v>644</v>
      </c>
      <c r="B136" s="121" t="s">
        <v>645</v>
      </c>
      <c r="C136" s="117">
        <v>1</v>
      </c>
    </row>
    <row r="137" spans="1:3" x14ac:dyDescent="0.4">
      <c r="A137" s="129" t="s">
        <v>885</v>
      </c>
      <c r="B137" s="121" t="s">
        <v>886</v>
      </c>
      <c r="C137" s="117">
        <v>1</v>
      </c>
    </row>
    <row r="138" spans="1:3" x14ac:dyDescent="0.4">
      <c r="A138" s="129" t="s">
        <v>887</v>
      </c>
      <c r="B138" s="121" t="s">
        <v>888</v>
      </c>
      <c r="C138" s="117">
        <v>1</v>
      </c>
    </row>
    <row r="139" spans="1:3" x14ac:dyDescent="0.4">
      <c r="A139" s="129" t="s">
        <v>44</v>
      </c>
      <c r="B139" s="121" t="s">
        <v>915</v>
      </c>
      <c r="C139" s="117">
        <v>1</v>
      </c>
    </row>
    <row r="140" spans="1:3" x14ac:dyDescent="0.4">
      <c r="A140" s="119">
        <v>155121</v>
      </c>
      <c r="B140" s="6" t="s">
        <v>1145</v>
      </c>
      <c r="C140" s="117">
        <v>1</v>
      </c>
    </row>
    <row r="141" spans="1:3" ht="18.5" x14ac:dyDescent="0.45">
      <c r="A141" s="119" t="s">
        <v>1282</v>
      </c>
      <c r="B141" s="121" t="s">
        <v>1283</v>
      </c>
      <c r="C141" s="469">
        <v>1</v>
      </c>
    </row>
    <row r="142" spans="1:3" ht="18.5" x14ac:dyDescent="0.45">
      <c r="A142" s="303" t="s">
        <v>1287</v>
      </c>
      <c r="B142" s="6" t="s">
        <v>1291</v>
      </c>
      <c r="C142" s="469">
        <v>1</v>
      </c>
    </row>
    <row r="143" spans="1:3" ht="18.5" x14ac:dyDescent="0.45">
      <c r="A143" s="303" t="s">
        <v>1667</v>
      </c>
      <c r="B143" s="6" t="s">
        <v>1668</v>
      </c>
      <c r="C143" s="469">
        <v>1</v>
      </c>
    </row>
    <row r="144" spans="1:3" ht="18.5" x14ac:dyDescent="0.45">
      <c r="A144" s="303" t="s">
        <v>1697</v>
      </c>
      <c r="B144" s="6" t="s">
        <v>1717</v>
      </c>
      <c r="C144" s="469">
        <v>1</v>
      </c>
    </row>
    <row r="145" spans="1:3" ht="18.5" x14ac:dyDescent="0.45">
      <c r="A145" s="6" t="s">
        <v>1696</v>
      </c>
      <c r="B145" s="6" t="s">
        <v>249</v>
      </c>
      <c r="C145" s="469">
        <v>1</v>
      </c>
    </row>
    <row r="146" spans="1:3" ht="18.5" x14ac:dyDescent="0.45">
      <c r="A146" s="119" t="s">
        <v>1722</v>
      </c>
      <c r="B146" s="121" t="s">
        <v>1728</v>
      </c>
      <c r="C146" s="469">
        <v>1</v>
      </c>
    </row>
    <row r="147" spans="1:3" ht="18.5" x14ac:dyDescent="0.45">
      <c r="A147" s="119" t="s">
        <v>1737</v>
      </c>
      <c r="B147" s="121" t="s">
        <v>235</v>
      </c>
      <c r="C147" s="469">
        <v>1</v>
      </c>
    </row>
    <row r="148" spans="1:3" ht="18.5" x14ac:dyDescent="0.45">
      <c r="A148" s="119" t="s">
        <v>1754</v>
      </c>
      <c r="B148" s="121" t="s">
        <v>1755</v>
      </c>
      <c r="C148" s="469">
        <v>1</v>
      </c>
    </row>
    <row r="149" spans="1:3" ht="18.5" x14ac:dyDescent="0.45">
      <c r="A149" s="119" t="s">
        <v>1760</v>
      </c>
      <c r="B149" s="121" t="s">
        <v>1767</v>
      </c>
      <c r="C149" s="469">
        <v>1</v>
      </c>
    </row>
    <row r="150" spans="1:3" ht="18.5" x14ac:dyDescent="0.45">
      <c r="A150" s="119" t="s">
        <v>1801</v>
      </c>
      <c r="B150" s="120" t="s">
        <v>412</v>
      </c>
      <c r="C150" s="469">
        <v>1</v>
      </c>
    </row>
    <row r="151" spans="1:3" ht="18.5" x14ac:dyDescent="0.45">
      <c r="A151" s="119" t="s">
        <v>943</v>
      </c>
      <c r="B151" s="121" t="s">
        <v>1095</v>
      </c>
      <c r="C151" s="469">
        <v>1</v>
      </c>
    </row>
    <row r="152" spans="1:3" ht="18.5" x14ac:dyDescent="0.45">
      <c r="A152" s="119" t="s">
        <v>965</v>
      </c>
      <c r="B152" s="121" t="s">
        <v>966</v>
      </c>
      <c r="C152" s="469">
        <v>1</v>
      </c>
    </row>
    <row r="153" spans="1:3" ht="18.5" x14ac:dyDescent="0.45">
      <c r="A153" s="119" t="s">
        <v>970</v>
      </c>
      <c r="B153" s="121" t="s">
        <v>975</v>
      </c>
      <c r="C153" s="469">
        <v>1</v>
      </c>
    </row>
    <row r="154" spans="1:3" ht="18.5" x14ac:dyDescent="0.45">
      <c r="A154" s="119" t="s">
        <v>1045</v>
      </c>
      <c r="B154" s="121" t="s">
        <v>1056</v>
      </c>
      <c r="C154" s="469">
        <v>1</v>
      </c>
    </row>
    <row r="155" spans="1:3" ht="18.5" x14ac:dyDescent="0.45">
      <c r="A155" s="119" t="s">
        <v>1046</v>
      </c>
      <c r="B155" s="121" t="s">
        <v>1057</v>
      </c>
      <c r="C155" s="469">
        <v>1</v>
      </c>
    </row>
    <row r="156" spans="1:3" ht="18.5" x14ac:dyDescent="0.45">
      <c r="A156" s="119" t="s">
        <v>1088</v>
      </c>
      <c r="B156" s="121" t="s">
        <v>1097</v>
      </c>
      <c r="C156" s="469">
        <v>1</v>
      </c>
    </row>
    <row r="157" spans="1:3" ht="18.5" x14ac:dyDescent="0.45">
      <c r="A157" s="119" t="s">
        <v>1089</v>
      </c>
      <c r="B157" s="121" t="s">
        <v>231</v>
      </c>
      <c r="C157" s="469">
        <v>1</v>
      </c>
    </row>
    <row r="158" spans="1:3" ht="18.5" x14ac:dyDescent="0.45">
      <c r="A158" s="119" t="s">
        <v>1099</v>
      </c>
      <c r="B158" s="121" t="s">
        <v>1102</v>
      </c>
      <c r="C158" s="469">
        <v>1</v>
      </c>
    </row>
    <row r="159" spans="1:3" ht="18.5" x14ac:dyDescent="0.45">
      <c r="A159" s="119">
        <v>111060</v>
      </c>
      <c r="B159" s="121" t="s">
        <v>1187</v>
      </c>
      <c r="C159" s="469">
        <v>1</v>
      </c>
    </row>
    <row r="160" spans="1:3" ht="18.5" x14ac:dyDescent="0.45">
      <c r="A160" s="119" t="s">
        <v>1260</v>
      </c>
      <c r="B160" s="121" t="s">
        <v>1269</v>
      </c>
      <c r="C160" s="469">
        <v>1</v>
      </c>
    </row>
    <row r="161" spans="1:3" ht="18.5" x14ac:dyDescent="0.45">
      <c r="A161" s="119" t="s">
        <v>1261</v>
      </c>
      <c r="B161" s="121" t="s">
        <v>1270</v>
      </c>
      <c r="C161" s="469">
        <v>1</v>
      </c>
    </row>
    <row r="162" spans="1:3" ht="18.5" x14ac:dyDescent="0.45">
      <c r="A162" s="119" t="s">
        <v>1673</v>
      </c>
      <c r="B162" s="121" t="s">
        <v>235</v>
      </c>
      <c r="C162" s="469">
        <v>1</v>
      </c>
    </row>
    <row r="163" spans="1:3" ht="18.5" x14ac:dyDescent="0.45">
      <c r="A163" s="119" t="s">
        <v>1745</v>
      </c>
      <c r="B163" s="121" t="s">
        <v>1747</v>
      </c>
      <c r="C163" s="469">
        <v>1</v>
      </c>
    </row>
    <row r="164" spans="1:3" ht="18.5" x14ac:dyDescent="0.45">
      <c r="A164" s="119" t="s">
        <v>1875</v>
      </c>
      <c r="B164" s="121" t="s">
        <v>1881</v>
      </c>
      <c r="C164" s="469">
        <v>1</v>
      </c>
    </row>
  </sheetData>
  <autoFilter ref="A1:C150"/>
  <phoneticPr fontId="2" type="noConversion"/>
  <conditionalFormatting sqref="A114:A124">
    <cfRule type="duplicateValues" dxfId="248" priority="11"/>
  </conditionalFormatting>
  <conditionalFormatting sqref="A125:A126">
    <cfRule type="duplicateValues" dxfId="247" priority="10"/>
  </conditionalFormatting>
  <conditionalFormatting sqref="A127">
    <cfRule type="duplicateValues" dxfId="246" priority="9"/>
  </conditionalFormatting>
  <conditionalFormatting sqref="A128">
    <cfRule type="duplicateValues" dxfId="245" priority="8"/>
  </conditionalFormatting>
  <conditionalFormatting sqref="A129:A130">
    <cfRule type="duplicateValues" dxfId="244" priority="7"/>
  </conditionalFormatting>
  <conditionalFormatting sqref="A131:A132">
    <cfRule type="duplicateValues" dxfId="243" priority="5"/>
  </conditionalFormatting>
  <conditionalFormatting sqref="A133:A136">
    <cfRule type="duplicateValues" dxfId="242" priority="3"/>
  </conditionalFormatting>
  <conditionalFormatting sqref="A137:A139">
    <cfRule type="duplicateValues" dxfId="241" priority="2"/>
  </conditionalFormatting>
  <conditionalFormatting sqref="A1:A1048576">
    <cfRule type="duplicateValues" dxfId="240" priority="1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1"/>
  <sheetViews>
    <sheetView zoomScale="85" zoomScaleNormal="85" workbookViewId="0">
      <pane ySplit="2" topLeftCell="A80" activePane="bottomLeft" state="frozen"/>
      <selection activeCell="E343" sqref="E342:E343"/>
      <selection pane="bottomLeft" activeCell="A181" sqref="A181:B181"/>
    </sheetView>
  </sheetViews>
  <sheetFormatPr defaultColWidth="8" defaultRowHeight="18" x14ac:dyDescent="0.4"/>
  <cols>
    <col min="1" max="1" width="17.90625" style="305" customWidth="1"/>
    <col min="2" max="2" width="28" style="7" customWidth="1"/>
    <col min="3" max="3" width="23.26953125" style="7" customWidth="1"/>
    <col min="4" max="7" width="23.26953125" style="18" customWidth="1"/>
    <col min="8" max="8" width="7.08984375" style="12" customWidth="1"/>
    <col min="9" max="9" width="11.26953125" style="12" customWidth="1"/>
    <col min="10" max="10" width="10.453125" style="2" customWidth="1"/>
    <col min="11" max="11" width="48.6328125" style="2" bestFit="1" customWidth="1"/>
    <col min="12" max="16384" width="8" style="2"/>
  </cols>
  <sheetData>
    <row r="1" spans="1:11" x14ac:dyDescent="0.4">
      <c r="A1" s="474" t="s">
        <v>360</v>
      </c>
      <c r="B1" s="474"/>
      <c r="C1" s="474"/>
      <c r="D1" s="474"/>
      <c r="E1" s="474"/>
      <c r="F1" s="474"/>
      <c r="G1" s="474"/>
      <c r="H1" s="474"/>
    </row>
    <row r="2" spans="1:11" s="4" customFormat="1" x14ac:dyDescent="0.4">
      <c r="A2" s="3" t="s">
        <v>403</v>
      </c>
      <c r="B2" s="3" t="s">
        <v>153</v>
      </c>
      <c r="C2" s="3" t="s">
        <v>430</v>
      </c>
      <c r="D2" s="13" t="s">
        <v>154</v>
      </c>
      <c r="E2" s="13" t="s">
        <v>366</v>
      </c>
      <c r="F2" s="13" t="s">
        <v>365</v>
      </c>
      <c r="G2" s="114" t="s">
        <v>907</v>
      </c>
      <c r="H2" s="14" t="s">
        <v>155</v>
      </c>
      <c r="J2" s="4" t="s">
        <v>427</v>
      </c>
      <c r="K2" s="19" t="s">
        <v>428</v>
      </c>
    </row>
    <row r="3" spans="1:11" x14ac:dyDescent="0.4">
      <c r="A3" s="302" t="s">
        <v>61</v>
      </c>
      <c r="B3" s="5" t="s">
        <v>156</v>
      </c>
      <c r="C3" s="6">
        <v>0.44</v>
      </c>
      <c r="D3" s="15">
        <v>332.4</v>
      </c>
      <c r="E3" s="15">
        <v>336.5</v>
      </c>
      <c r="F3" s="15">
        <v>336.5</v>
      </c>
      <c r="G3" s="115">
        <v>344</v>
      </c>
      <c r="H3" s="16" t="s">
        <v>157</v>
      </c>
      <c r="I3" s="2"/>
      <c r="J3" s="18"/>
    </row>
    <row r="4" spans="1:11" x14ac:dyDescent="0.4">
      <c r="A4" s="302" t="s">
        <v>158</v>
      </c>
      <c r="B4" s="5" t="s">
        <v>159</v>
      </c>
      <c r="C4" s="6">
        <v>0.17</v>
      </c>
      <c r="D4" s="15">
        <v>883.4</v>
      </c>
      <c r="E4" s="15">
        <v>883.4</v>
      </c>
      <c r="F4" s="15">
        <v>883.4</v>
      </c>
      <c r="G4" s="115">
        <v>912.6</v>
      </c>
      <c r="H4" s="16" t="s">
        <v>157</v>
      </c>
      <c r="I4" s="2"/>
      <c r="J4" s="18"/>
    </row>
    <row r="5" spans="1:11" x14ac:dyDescent="0.4">
      <c r="A5" s="303" t="s">
        <v>160</v>
      </c>
      <c r="B5" s="5" t="s">
        <v>161</v>
      </c>
      <c r="C5" s="6">
        <v>0.43</v>
      </c>
      <c r="D5" s="15">
        <v>353.3</v>
      </c>
      <c r="E5" s="15">
        <v>353.3</v>
      </c>
      <c r="F5" s="15">
        <v>353.3</v>
      </c>
      <c r="G5" s="115">
        <v>364</v>
      </c>
      <c r="H5" s="16" t="s">
        <v>157</v>
      </c>
      <c r="I5" s="2"/>
      <c r="J5" s="18"/>
    </row>
    <row r="6" spans="1:11" x14ac:dyDescent="0.4">
      <c r="A6" s="304" t="s">
        <v>958</v>
      </c>
      <c r="B6" s="195" t="s">
        <v>161</v>
      </c>
      <c r="C6" s="196">
        <v>0.43</v>
      </c>
      <c r="D6" s="197"/>
      <c r="E6" s="197"/>
      <c r="F6" s="197"/>
      <c r="G6" s="197">
        <v>364</v>
      </c>
      <c r="H6" s="198" t="s">
        <v>157</v>
      </c>
      <c r="I6" s="2"/>
      <c r="J6" s="18"/>
    </row>
    <row r="7" spans="1:11" x14ac:dyDescent="0.4">
      <c r="A7" s="303" t="s">
        <v>162</v>
      </c>
      <c r="B7" s="17" t="s">
        <v>163</v>
      </c>
      <c r="C7" s="6">
        <v>0.43</v>
      </c>
      <c r="D7" s="15">
        <v>331.3</v>
      </c>
      <c r="E7" s="15">
        <v>331.3</v>
      </c>
      <c r="F7" s="15">
        <v>331.3</v>
      </c>
      <c r="G7" s="115">
        <v>340.4</v>
      </c>
      <c r="H7" s="16" t="s">
        <v>157</v>
      </c>
      <c r="I7" s="2"/>
      <c r="J7" s="18"/>
    </row>
    <row r="8" spans="1:11" x14ac:dyDescent="0.4">
      <c r="A8" s="303" t="s">
        <v>164</v>
      </c>
      <c r="B8" s="5" t="s">
        <v>165</v>
      </c>
      <c r="C8" s="6">
        <v>0.4</v>
      </c>
      <c r="D8" s="15">
        <v>310.5</v>
      </c>
      <c r="E8" s="15">
        <v>310.5</v>
      </c>
      <c r="F8" s="15">
        <v>310.5</v>
      </c>
      <c r="G8" s="115">
        <v>309.2</v>
      </c>
      <c r="H8" s="16" t="s">
        <v>157</v>
      </c>
      <c r="I8" s="12" t="s">
        <v>908</v>
      </c>
      <c r="J8" s="18"/>
    </row>
    <row r="9" spans="1:11" x14ac:dyDescent="0.4">
      <c r="A9" s="303" t="s">
        <v>166</v>
      </c>
      <c r="B9" s="6" t="s">
        <v>167</v>
      </c>
      <c r="C9" s="6">
        <v>0.34</v>
      </c>
      <c r="D9" s="15">
        <v>368.3</v>
      </c>
      <c r="E9" s="15">
        <v>368.3</v>
      </c>
      <c r="F9" s="15">
        <v>357</v>
      </c>
      <c r="G9" s="115">
        <v>358.3</v>
      </c>
      <c r="H9" s="16" t="s">
        <v>157</v>
      </c>
      <c r="I9" s="2"/>
      <c r="J9" s="18"/>
    </row>
    <row r="10" spans="1:11" x14ac:dyDescent="0.4">
      <c r="A10" s="303" t="s">
        <v>1216</v>
      </c>
      <c r="B10" s="6" t="s">
        <v>167</v>
      </c>
      <c r="C10" s="6">
        <v>0.34</v>
      </c>
      <c r="D10" s="15">
        <v>368.3</v>
      </c>
      <c r="E10" s="15">
        <v>368.3</v>
      </c>
      <c r="F10" s="15">
        <v>357</v>
      </c>
      <c r="G10" s="115">
        <v>358.3</v>
      </c>
      <c r="H10" s="16" t="s">
        <v>157</v>
      </c>
      <c r="I10" s="2"/>
      <c r="J10" s="18"/>
    </row>
    <row r="11" spans="1:11" x14ac:dyDescent="0.4">
      <c r="A11" s="303" t="s">
        <v>168</v>
      </c>
      <c r="B11" s="5" t="s">
        <v>169</v>
      </c>
      <c r="C11" s="6">
        <v>0.34</v>
      </c>
      <c r="D11" s="15">
        <v>372.3</v>
      </c>
      <c r="E11" s="15">
        <v>360</v>
      </c>
      <c r="F11" s="15">
        <v>360</v>
      </c>
      <c r="G11" s="115">
        <v>366</v>
      </c>
      <c r="H11" s="16" t="s">
        <v>157</v>
      </c>
      <c r="I11" s="2"/>
      <c r="J11" s="18"/>
    </row>
    <row r="12" spans="1:11" x14ac:dyDescent="0.4">
      <c r="A12" s="303" t="s">
        <v>170</v>
      </c>
      <c r="B12" s="5" t="s">
        <v>171</v>
      </c>
      <c r="C12" s="6">
        <v>0.34</v>
      </c>
      <c r="D12" s="15">
        <v>360.5</v>
      </c>
      <c r="E12" s="15">
        <v>360.5</v>
      </c>
      <c r="F12" s="15">
        <v>360</v>
      </c>
      <c r="G12" s="115">
        <v>364.6</v>
      </c>
      <c r="H12" s="16" t="s">
        <v>157</v>
      </c>
      <c r="I12" s="2"/>
      <c r="J12" s="18"/>
    </row>
    <row r="13" spans="1:11" x14ac:dyDescent="0.4">
      <c r="A13" s="303" t="s">
        <v>172</v>
      </c>
      <c r="B13" s="5" t="s">
        <v>173</v>
      </c>
      <c r="C13" s="6">
        <v>0.26</v>
      </c>
      <c r="D13" s="15">
        <v>570.4</v>
      </c>
      <c r="E13" s="15">
        <v>570.4</v>
      </c>
      <c r="F13" s="15">
        <v>570.4</v>
      </c>
      <c r="G13" s="115">
        <v>584.29999999999995</v>
      </c>
      <c r="H13" s="16" t="s">
        <v>157</v>
      </c>
      <c r="I13" s="2"/>
      <c r="J13" s="18"/>
    </row>
    <row r="14" spans="1:11" s="124" customFormat="1" x14ac:dyDescent="0.4">
      <c r="A14" s="129" t="s">
        <v>174</v>
      </c>
      <c r="B14" s="120" t="s">
        <v>173</v>
      </c>
      <c r="C14" s="121">
        <v>0.26</v>
      </c>
      <c r="D14" s="122">
        <v>551.9</v>
      </c>
      <c r="E14" s="122">
        <v>570.4</v>
      </c>
      <c r="F14" s="122">
        <v>570.4</v>
      </c>
      <c r="G14" s="115">
        <v>592</v>
      </c>
      <c r="H14" s="123" t="s">
        <v>157</v>
      </c>
      <c r="J14" s="125"/>
    </row>
    <row r="15" spans="1:11" s="124" customFormat="1" x14ac:dyDescent="0.4">
      <c r="A15" s="129" t="s">
        <v>175</v>
      </c>
      <c r="B15" s="120" t="s">
        <v>176</v>
      </c>
      <c r="C15" s="121">
        <v>3.2</v>
      </c>
      <c r="D15" s="122">
        <v>46.2</v>
      </c>
      <c r="E15" s="122">
        <v>46.2</v>
      </c>
      <c r="F15" s="122">
        <v>46.2</v>
      </c>
      <c r="G15" s="115">
        <v>46.8</v>
      </c>
      <c r="H15" s="126" t="s">
        <v>177</v>
      </c>
      <c r="J15" s="125"/>
    </row>
    <row r="16" spans="1:11" s="124" customFormat="1" x14ac:dyDescent="0.4">
      <c r="A16" s="129" t="s">
        <v>178</v>
      </c>
      <c r="B16" s="120" t="s">
        <v>179</v>
      </c>
      <c r="C16" s="121">
        <v>3.5</v>
      </c>
      <c r="D16" s="122">
        <v>39.6</v>
      </c>
      <c r="E16" s="122"/>
      <c r="F16" s="122">
        <v>39.6</v>
      </c>
      <c r="G16" s="115">
        <v>39.6</v>
      </c>
      <c r="H16" s="126" t="s">
        <v>177</v>
      </c>
      <c r="J16" s="125"/>
    </row>
    <row r="17" spans="1:10" s="124" customFormat="1" x14ac:dyDescent="0.4">
      <c r="A17" s="129" t="s">
        <v>180</v>
      </c>
      <c r="B17" s="120" t="s">
        <v>181</v>
      </c>
      <c r="C17" s="121">
        <v>3.5</v>
      </c>
      <c r="D17" s="122">
        <v>40.700000000000003</v>
      </c>
      <c r="E17" s="122"/>
      <c r="F17" s="122">
        <v>40.700000000000003</v>
      </c>
      <c r="G17" s="115">
        <v>40.700000000000003</v>
      </c>
      <c r="H17" s="126" t="s">
        <v>177</v>
      </c>
      <c r="J17" s="125"/>
    </row>
    <row r="18" spans="1:10" s="124" customFormat="1" x14ac:dyDescent="0.4">
      <c r="A18" s="129" t="s">
        <v>182</v>
      </c>
      <c r="B18" s="120" t="s">
        <v>183</v>
      </c>
      <c r="C18" s="121">
        <v>3.4</v>
      </c>
      <c r="D18" s="122">
        <v>42.2</v>
      </c>
      <c r="E18" s="122">
        <v>42.2</v>
      </c>
      <c r="F18" s="122">
        <v>42.2</v>
      </c>
      <c r="G18" s="115">
        <v>43</v>
      </c>
      <c r="H18" s="126" t="s">
        <v>177</v>
      </c>
      <c r="J18" s="125"/>
    </row>
    <row r="19" spans="1:10" s="124" customFormat="1" x14ac:dyDescent="0.4">
      <c r="A19" s="129" t="s">
        <v>184</v>
      </c>
      <c r="B19" s="120" t="s">
        <v>185</v>
      </c>
      <c r="C19" s="121">
        <v>0.9</v>
      </c>
      <c r="D19" s="122">
        <v>159.1</v>
      </c>
      <c r="E19" s="122">
        <v>159.1</v>
      </c>
      <c r="F19" s="122">
        <v>159.1</v>
      </c>
      <c r="G19" s="115">
        <v>160.5</v>
      </c>
      <c r="H19" s="126" t="s">
        <v>177</v>
      </c>
      <c r="J19" s="125"/>
    </row>
    <row r="20" spans="1:10" s="124" customFormat="1" x14ac:dyDescent="0.4">
      <c r="A20" s="129" t="s">
        <v>186</v>
      </c>
      <c r="B20" s="120" t="s">
        <v>187</v>
      </c>
      <c r="C20" s="121">
        <v>0.9</v>
      </c>
      <c r="D20" s="122">
        <v>168</v>
      </c>
      <c r="E20" s="122"/>
      <c r="F20" s="122">
        <v>168</v>
      </c>
      <c r="G20" s="115">
        <v>173</v>
      </c>
      <c r="H20" s="126" t="s">
        <v>177</v>
      </c>
      <c r="J20" s="125"/>
    </row>
    <row r="21" spans="1:10" s="124" customFormat="1" x14ac:dyDescent="0.4">
      <c r="A21" s="129" t="s">
        <v>188</v>
      </c>
      <c r="B21" s="120" t="s">
        <v>189</v>
      </c>
      <c r="C21" s="121">
        <v>2.8</v>
      </c>
      <c r="D21" s="122">
        <v>44.9</v>
      </c>
      <c r="E21" s="122">
        <v>46</v>
      </c>
      <c r="F21" s="122">
        <v>44.7</v>
      </c>
      <c r="G21" s="115">
        <v>44.5</v>
      </c>
      <c r="H21" s="126" t="s">
        <v>177</v>
      </c>
      <c r="I21" s="127" t="s">
        <v>908</v>
      </c>
      <c r="J21" s="125"/>
    </row>
    <row r="22" spans="1:10" s="124" customFormat="1" x14ac:dyDescent="0.4">
      <c r="A22" s="129" t="s">
        <v>190</v>
      </c>
      <c r="B22" s="120" t="s">
        <v>191</v>
      </c>
      <c r="C22" s="121">
        <v>2.8</v>
      </c>
      <c r="D22" s="122">
        <v>44.9</v>
      </c>
      <c r="E22" s="122">
        <v>44.9</v>
      </c>
      <c r="F22" s="122">
        <v>44.9</v>
      </c>
      <c r="G22" s="115">
        <v>44.2</v>
      </c>
      <c r="H22" s="126" t="s">
        <v>177</v>
      </c>
      <c r="I22" s="127" t="s">
        <v>908</v>
      </c>
      <c r="J22" s="125"/>
    </row>
    <row r="23" spans="1:10" s="124" customFormat="1" x14ac:dyDescent="0.4">
      <c r="A23" s="129" t="s">
        <v>192</v>
      </c>
      <c r="B23" s="120" t="s">
        <v>193</v>
      </c>
      <c r="C23" s="121">
        <v>0.9</v>
      </c>
      <c r="D23" s="122">
        <v>139.19999999999999</v>
      </c>
      <c r="E23" s="122"/>
      <c r="F23" s="122">
        <v>139.19999999999999</v>
      </c>
      <c r="G23" s="115">
        <v>139.19999999999999</v>
      </c>
      <c r="H23" s="126" t="s">
        <v>177</v>
      </c>
      <c r="J23" s="125"/>
    </row>
    <row r="24" spans="1:10" s="124" customFormat="1" x14ac:dyDescent="0.4">
      <c r="A24" s="129" t="s">
        <v>194</v>
      </c>
      <c r="B24" s="120" t="s">
        <v>195</v>
      </c>
      <c r="C24" s="121">
        <v>0.8</v>
      </c>
      <c r="D24" s="122">
        <v>154.19999999999999</v>
      </c>
      <c r="E24" s="122">
        <v>154.19999999999999</v>
      </c>
      <c r="F24" s="122">
        <v>154.19999999999999</v>
      </c>
      <c r="G24" s="115">
        <v>157.69999999999999</v>
      </c>
      <c r="H24" s="126" t="s">
        <v>177</v>
      </c>
      <c r="J24" s="125"/>
    </row>
    <row r="25" spans="1:10" s="124" customFormat="1" x14ac:dyDescent="0.4">
      <c r="A25" s="129" t="s">
        <v>196</v>
      </c>
      <c r="B25" s="120" t="s">
        <v>197</v>
      </c>
      <c r="C25" s="121">
        <v>0.9</v>
      </c>
      <c r="D25" s="122">
        <v>140.6</v>
      </c>
      <c r="E25" s="122">
        <v>140.6</v>
      </c>
      <c r="F25" s="122">
        <v>139</v>
      </c>
      <c r="G25" s="115">
        <v>139.30000000000001</v>
      </c>
      <c r="H25" s="126" t="s">
        <v>177</v>
      </c>
      <c r="J25" s="125"/>
    </row>
    <row r="26" spans="1:10" s="124" customFormat="1" x14ac:dyDescent="0.4">
      <c r="A26" s="129" t="s">
        <v>198</v>
      </c>
      <c r="B26" s="121" t="s">
        <v>199</v>
      </c>
      <c r="C26" s="121">
        <v>3.2</v>
      </c>
      <c r="D26" s="122">
        <v>45.8</v>
      </c>
      <c r="E26" s="122">
        <v>46.2</v>
      </c>
      <c r="F26" s="122">
        <v>46.2</v>
      </c>
      <c r="G26" s="115">
        <v>47.5</v>
      </c>
      <c r="H26" s="126" t="s">
        <v>177</v>
      </c>
      <c r="J26" s="125"/>
    </row>
    <row r="27" spans="1:10" s="124" customFormat="1" x14ac:dyDescent="0.4">
      <c r="A27" s="129" t="s">
        <v>200</v>
      </c>
      <c r="B27" s="120" t="s">
        <v>201</v>
      </c>
      <c r="C27" s="121">
        <v>0.9</v>
      </c>
      <c r="D27" s="122">
        <v>162.5</v>
      </c>
      <c r="E27" s="122">
        <v>165</v>
      </c>
      <c r="F27" s="122">
        <v>165</v>
      </c>
      <c r="G27" s="115">
        <v>163</v>
      </c>
      <c r="H27" s="126" t="s">
        <v>177</v>
      </c>
      <c r="I27" s="127" t="s">
        <v>908</v>
      </c>
      <c r="J27" s="125"/>
    </row>
    <row r="28" spans="1:10" s="124" customFormat="1" x14ac:dyDescent="0.4">
      <c r="A28" s="129" t="s">
        <v>202</v>
      </c>
      <c r="B28" s="120" t="s">
        <v>203</v>
      </c>
      <c r="C28" s="121">
        <v>3.2</v>
      </c>
      <c r="D28" s="122">
        <v>46.8</v>
      </c>
      <c r="E28" s="122">
        <v>46.8</v>
      </c>
      <c r="F28" s="122">
        <v>46.8</v>
      </c>
      <c r="G28" s="115">
        <v>46.4</v>
      </c>
      <c r="H28" s="126" t="s">
        <v>177</v>
      </c>
      <c r="I28" s="127" t="s">
        <v>908</v>
      </c>
      <c r="J28" s="125"/>
    </row>
    <row r="29" spans="1:10" s="124" customFormat="1" x14ac:dyDescent="0.4">
      <c r="A29" s="204" t="s">
        <v>204</v>
      </c>
      <c r="B29" s="211" t="s">
        <v>205</v>
      </c>
      <c r="C29" s="206">
        <v>9.5</v>
      </c>
      <c r="D29" s="207">
        <v>15.6</v>
      </c>
      <c r="E29" s="207">
        <v>15.6</v>
      </c>
      <c r="F29" s="207">
        <v>15.6</v>
      </c>
      <c r="G29" s="208">
        <v>16.600000000000001</v>
      </c>
      <c r="H29" s="209" t="s">
        <v>206</v>
      </c>
      <c r="J29" s="125"/>
    </row>
    <row r="30" spans="1:10" s="124" customFormat="1" x14ac:dyDescent="0.4">
      <c r="A30" s="129" t="s">
        <v>207</v>
      </c>
      <c r="B30" s="120" t="s">
        <v>208</v>
      </c>
      <c r="C30" s="121">
        <v>4.5</v>
      </c>
      <c r="D30" s="122">
        <v>34.799999999999997</v>
      </c>
      <c r="E30" s="122">
        <v>34.799999999999997</v>
      </c>
      <c r="F30" s="122">
        <v>34.799999999999997</v>
      </c>
      <c r="G30" s="115">
        <v>36.299999999999997</v>
      </c>
      <c r="H30" s="126" t="s">
        <v>206</v>
      </c>
      <c r="J30" s="125"/>
    </row>
    <row r="31" spans="1:10" s="124" customFormat="1" x14ac:dyDescent="0.4">
      <c r="A31" s="129" t="s">
        <v>1705</v>
      </c>
      <c r="B31" s="120" t="s">
        <v>1707</v>
      </c>
      <c r="C31" s="121">
        <v>4.5</v>
      </c>
      <c r="D31" s="122">
        <v>34.799999999999997</v>
      </c>
      <c r="E31" s="122">
        <v>34.799999999999997</v>
      </c>
      <c r="F31" s="122">
        <v>34.799999999999997</v>
      </c>
      <c r="G31" s="115">
        <v>36.299999999999997</v>
      </c>
      <c r="H31" s="126" t="s">
        <v>206</v>
      </c>
      <c r="J31" s="125"/>
    </row>
    <row r="32" spans="1:10" s="124" customFormat="1" x14ac:dyDescent="0.4">
      <c r="A32" s="129" t="s">
        <v>209</v>
      </c>
      <c r="B32" s="120" t="s">
        <v>210</v>
      </c>
      <c r="C32" s="121">
        <v>4.5</v>
      </c>
      <c r="D32" s="122">
        <v>34.5</v>
      </c>
      <c r="E32" s="122">
        <v>34</v>
      </c>
      <c r="F32" s="122">
        <v>34</v>
      </c>
      <c r="G32" s="115">
        <v>35</v>
      </c>
      <c r="H32" s="126" t="s">
        <v>206</v>
      </c>
      <c r="J32" s="125"/>
    </row>
    <row r="33" spans="1:10" s="124" customFormat="1" x14ac:dyDescent="0.4">
      <c r="A33" s="129" t="s">
        <v>211</v>
      </c>
      <c r="B33" s="121" t="s">
        <v>212</v>
      </c>
      <c r="C33" s="121">
        <v>9.08</v>
      </c>
      <c r="D33" s="122">
        <v>16.600000000000001</v>
      </c>
      <c r="E33" s="122">
        <v>16.600000000000001</v>
      </c>
      <c r="F33" s="122">
        <v>16.600000000000001</v>
      </c>
      <c r="G33" s="115">
        <v>17.8</v>
      </c>
      <c r="H33" s="126" t="s">
        <v>206</v>
      </c>
      <c r="J33" s="125"/>
    </row>
    <row r="34" spans="1:10" s="124" customFormat="1" ht="18" customHeight="1" x14ac:dyDescent="0.4">
      <c r="A34" s="129" t="s">
        <v>213</v>
      </c>
      <c r="B34" s="120" t="s">
        <v>214</v>
      </c>
      <c r="C34" s="121">
        <v>4.5</v>
      </c>
      <c r="D34" s="122">
        <v>36.1</v>
      </c>
      <c r="E34" s="122">
        <v>36.1</v>
      </c>
      <c r="F34" s="122">
        <v>36.1</v>
      </c>
      <c r="G34" s="115">
        <v>36.799999999999997</v>
      </c>
      <c r="H34" s="126" t="s">
        <v>206</v>
      </c>
      <c r="J34" s="125"/>
    </row>
    <row r="35" spans="1:10" s="124" customFormat="1" x14ac:dyDescent="0.4">
      <c r="A35" s="129" t="s">
        <v>215</v>
      </c>
      <c r="B35" s="120" t="s">
        <v>216</v>
      </c>
      <c r="C35" s="121">
        <v>4.5</v>
      </c>
      <c r="D35" s="122">
        <v>34</v>
      </c>
      <c r="E35" s="122">
        <v>34</v>
      </c>
      <c r="F35" s="122">
        <v>34</v>
      </c>
      <c r="G35" s="115">
        <v>34.9</v>
      </c>
      <c r="H35" s="126" t="s">
        <v>206</v>
      </c>
      <c r="J35" s="125"/>
    </row>
    <row r="36" spans="1:10" s="124" customFormat="1" x14ac:dyDescent="0.4">
      <c r="A36" s="129" t="s">
        <v>1726</v>
      </c>
      <c r="B36" s="120" t="s">
        <v>1729</v>
      </c>
      <c r="C36" s="121">
        <v>4.5</v>
      </c>
      <c r="D36" s="122">
        <v>34</v>
      </c>
      <c r="E36" s="122">
        <v>34</v>
      </c>
      <c r="F36" s="122">
        <v>34</v>
      </c>
      <c r="G36" s="115">
        <v>34.9</v>
      </c>
      <c r="H36" s="126" t="s">
        <v>206</v>
      </c>
      <c r="J36" s="125"/>
    </row>
    <row r="37" spans="1:10" s="124" customFormat="1" x14ac:dyDescent="0.4">
      <c r="A37" s="129" t="s">
        <v>217</v>
      </c>
      <c r="B37" s="121" t="s">
        <v>218</v>
      </c>
      <c r="C37" s="121">
        <v>4.5</v>
      </c>
      <c r="D37" s="122">
        <v>31.4</v>
      </c>
      <c r="E37" s="122">
        <v>31.4</v>
      </c>
      <c r="F37" s="122">
        <v>33.130000000000003</v>
      </c>
      <c r="G37" s="115">
        <v>33.200000000000003</v>
      </c>
      <c r="H37" s="126" t="s">
        <v>206</v>
      </c>
      <c r="J37" s="125"/>
    </row>
    <row r="38" spans="1:10" x14ac:dyDescent="0.4">
      <c r="A38" s="303" t="s">
        <v>1062</v>
      </c>
      <c r="B38" s="6" t="s">
        <v>1727</v>
      </c>
      <c r="C38" s="121">
        <v>4.5</v>
      </c>
      <c r="D38" s="15"/>
      <c r="E38" s="15"/>
      <c r="F38" s="15"/>
      <c r="G38" s="115">
        <v>33.200000000000003</v>
      </c>
      <c r="H38" s="126" t="s">
        <v>206</v>
      </c>
    </row>
    <row r="39" spans="1:10" s="124" customFormat="1" x14ac:dyDescent="0.4">
      <c r="A39" s="129" t="s">
        <v>1708</v>
      </c>
      <c r="B39" s="121" t="s">
        <v>1064</v>
      </c>
      <c r="C39" s="121">
        <v>4.5</v>
      </c>
      <c r="D39" s="122"/>
      <c r="E39" s="122"/>
      <c r="F39" s="122"/>
      <c r="G39" s="115">
        <v>33.200000000000003</v>
      </c>
      <c r="H39" s="126" t="s">
        <v>616</v>
      </c>
      <c r="J39" s="125"/>
    </row>
    <row r="40" spans="1:10" s="124" customFormat="1" x14ac:dyDescent="0.4">
      <c r="A40" s="129" t="s">
        <v>219</v>
      </c>
      <c r="B40" s="120" t="s">
        <v>220</v>
      </c>
      <c r="C40" s="121">
        <v>4.5</v>
      </c>
      <c r="D40" s="122">
        <v>33.299999999999997</v>
      </c>
      <c r="E40" s="122">
        <v>33.299999999999997</v>
      </c>
      <c r="F40" s="122">
        <v>33.299999999999997</v>
      </c>
      <c r="G40" s="115">
        <v>34.5</v>
      </c>
      <c r="H40" s="126" t="s">
        <v>206</v>
      </c>
      <c r="J40" s="125"/>
    </row>
    <row r="41" spans="1:10" s="124" customFormat="1" x14ac:dyDescent="0.4">
      <c r="A41" s="129" t="s">
        <v>221</v>
      </c>
      <c r="B41" s="120" t="s">
        <v>1706</v>
      </c>
      <c r="C41" s="121">
        <v>4.5</v>
      </c>
      <c r="D41" s="122">
        <v>32.6</v>
      </c>
      <c r="E41" s="122">
        <v>32.6</v>
      </c>
      <c r="F41" s="122">
        <v>33</v>
      </c>
      <c r="G41" s="115">
        <v>32.799999999999997</v>
      </c>
      <c r="H41" s="126" t="s">
        <v>206</v>
      </c>
      <c r="I41" s="127" t="s">
        <v>908</v>
      </c>
      <c r="J41" s="125"/>
    </row>
    <row r="42" spans="1:10" s="124" customFormat="1" x14ac:dyDescent="0.4">
      <c r="A42" s="129" t="s">
        <v>223</v>
      </c>
      <c r="B42" s="120" t="s">
        <v>224</v>
      </c>
      <c r="C42" s="121">
        <v>6</v>
      </c>
      <c r="D42" s="122">
        <v>24.5</v>
      </c>
      <c r="E42" s="122">
        <v>24.5</v>
      </c>
      <c r="F42" s="122">
        <v>25</v>
      </c>
      <c r="G42" s="115">
        <v>25.5</v>
      </c>
      <c r="H42" s="126" t="s">
        <v>225</v>
      </c>
      <c r="J42" s="125"/>
    </row>
    <row r="43" spans="1:10" s="124" customFormat="1" x14ac:dyDescent="0.4">
      <c r="A43" s="129" t="s">
        <v>226</v>
      </c>
      <c r="B43" s="120" t="s">
        <v>227</v>
      </c>
      <c r="C43" s="121">
        <v>6</v>
      </c>
      <c r="D43" s="122">
        <v>25.6</v>
      </c>
      <c r="E43" s="122">
        <v>25.6</v>
      </c>
      <c r="F43" s="122">
        <v>25.6</v>
      </c>
      <c r="G43" s="115">
        <v>26.1</v>
      </c>
      <c r="H43" s="126" t="s">
        <v>225</v>
      </c>
      <c r="J43" s="125"/>
    </row>
    <row r="44" spans="1:10" s="124" customFormat="1" x14ac:dyDescent="0.4">
      <c r="A44" s="129" t="s">
        <v>228</v>
      </c>
      <c r="B44" s="120" t="s">
        <v>229</v>
      </c>
      <c r="C44" s="121">
        <v>6</v>
      </c>
      <c r="D44" s="122">
        <v>25.5</v>
      </c>
      <c r="E44" s="122">
        <v>25.5</v>
      </c>
      <c r="F44" s="122">
        <v>25.5</v>
      </c>
      <c r="G44" s="115">
        <v>26.4</v>
      </c>
      <c r="H44" s="126" t="s">
        <v>225</v>
      </c>
      <c r="J44" s="125"/>
    </row>
    <row r="45" spans="1:10" s="124" customFormat="1" x14ac:dyDescent="0.4">
      <c r="A45" s="129" t="s">
        <v>230</v>
      </c>
      <c r="B45" s="120" t="s">
        <v>231</v>
      </c>
      <c r="C45" s="121">
        <v>3</v>
      </c>
      <c r="D45" s="122">
        <v>30</v>
      </c>
      <c r="E45" s="122">
        <v>32</v>
      </c>
      <c r="F45" s="122">
        <v>32</v>
      </c>
      <c r="G45" s="115">
        <v>31.6</v>
      </c>
      <c r="H45" s="126" t="s">
        <v>437</v>
      </c>
      <c r="I45" s="127" t="s">
        <v>910</v>
      </c>
      <c r="J45" s="125"/>
    </row>
    <row r="46" spans="1:10" s="124" customFormat="1" x14ac:dyDescent="0.4">
      <c r="A46" s="129" t="s">
        <v>232</v>
      </c>
      <c r="B46" s="120" t="s">
        <v>231</v>
      </c>
      <c r="C46" s="121">
        <v>3</v>
      </c>
      <c r="D46" s="122">
        <v>30</v>
      </c>
      <c r="E46" s="122">
        <v>30.1</v>
      </c>
      <c r="F46" s="122">
        <v>30.1</v>
      </c>
      <c r="G46" s="115">
        <v>29.7</v>
      </c>
      <c r="H46" s="126" t="s">
        <v>437</v>
      </c>
      <c r="I46" s="127" t="s">
        <v>910</v>
      </c>
      <c r="J46" s="125"/>
    </row>
    <row r="47" spans="1:10" s="124" customFormat="1" x14ac:dyDescent="0.4">
      <c r="A47" s="129" t="s">
        <v>233</v>
      </c>
      <c r="B47" s="120" t="s">
        <v>390</v>
      </c>
      <c r="C47" s="121">
        <v>3</v>
      </c>
      <c r="D47" s="122">
        <v>30</v>
      </c>
      <c r="E47" s="122">
        <v>31.2</v>
      </c>
      <c r="F47" s="122">
        <v>30.67</v>
      </c>
      <c r="G47" s="115">
        <v>30.8</v>
      </c>
      <c r="H47" s="126" t="s">
        <v>437</v>
      </c>
      <c r="J47" s="125"/>
    </row>
    <row r="48" spans="1:10" s="124" customFormat="1" x14ac:dyDescent="0.4">
      <c r="A48" s="129" t="s">
        <v>234</v>
      </c>
      <c r="B48" s="120" t="s">
        <v>235</v>
      </c>
      <c r="C48" s="121">
        <v>6</v>
      </c>
      <c r="D48" s="122">
        <v>24.2</v>
      </c>
      <c r="E48" s="122">
        <v>24.2</v>
      </c>
      <c r="F48" s="122">
        <v>24.9</v>
      </c>
      <c r="G48" s="115">
        <v>25.1</v>
      </c>
      <c r="H48" s="126" t="s">
        <v>225</v>
      </c>
      <c r="J48" s="125"/>
    </row>
    <row r="49" spans="1:10" s="124" customFormat="1" x14ac:dyDescent="0.4">
      <c r="A49" s="129" t="s">
        <v>236</v>
      </c>
      <c r="B49" s="120" t="s">
        <v>237</v>
      </c>
      <c r="C49" s="121">
        <v>6</v>
      </c>
      <c r="D49" s="122">
        <v>24.1</v>
      </c>
      <c r="E49" s="122"/>
      <c r="F49" s="122">
        <v>24.1</v>
      </c>
      <c r="G49" s="115">
        <v>25.1</v>
      </c>
      <c r="H49" s="126" t="s">
        <v>225</v>
      </c>
      <c r="J49" s="125"/>
    </row>
    <row r="50" spans="1:10" s="124" customFormat="1" x14ac:dyDescent="0.4">
      <c r="A50" s="129" t="s">
        <v>238</v>
      </c>
      <c r="B50" s="120" t="s">
        <v>239</v>
      </c>
      <c r="C50" s="121">
        <v>6</v>
      </c>
      <c r="D50" s="122">
        <v>24</v>
      </c>
      <c r="E50" s="122"/>
      <c r="F50" s="122">
        <v>24</v>
      </c>
      <c r="G50" s="115">
        <v>25.8</v>
      </c>
      <c r="H50" s="126" t="s">
        <v>225</v>
      </c>
      <c r="J50" s="125"/>
    </row>
    <row r="51" spans="1:10" s="124" customFormat="1" x14ac:dyDescent="0.4">
      <c r="A51" s="204" t="s">
        <v>240</v>
      </c>
      <c r="B51" s="211" t="s">
        <v>241</v>
      </c>
      <c r="C51" s="206">
        <v>6</v>
      </c>
      <c r="D51" s="207">
        <v>24.2</v>
      </c>
      <c r="E51" s="207"/>
      <c r="F51" s="207">
        <v>24.2</v>
      </c>
      <c r="G51" s="208">
        <v>24.2</v>
      </c>
      <c r="H51" s="209" t="s">
        <v>225</v>
      </c>
      <c r="J51" s="125"/>
    </row>
    <row r="52" spans="1:10" s="124" customFormat="1" x14ac:dyDescent="0.4">
      <c r="A52" s="129" t="s">
        <v>242</v>
      </c>
      <c r="B52" s="120" t="s">
        <v>243</v>
      </c>
      <c r="C52" s="121">
        <v>6</v>
      </c>
      <c r="D52" s="122">
        <v>24.4</v>
      </c>
      <c r="E52" s="122"/>
      <c r="F52" s="122">
        <v>24.4</v>
      </c>
      <c r="G52" s="115">
        <v>24.4</v>
      </c>
      <c r="H52" s="126" t="s">
        <v>225</v>
      </c>
      <c r="J52" s="125"/>
    </row>
    <row r="53" spans="1:10" s="124" customFormat="1" x14ac:dyDescent="0.4">
      <c r="A53" s="129" t="s">
        <v>244</v>
      </c>
      <c r="B53" s="120" t="s">
        <v>245</v>
      </c>
      <c r="C53" s="121">
        <v>6</v>
      </c>
      <c r="D53" s="122">
        <v>23.9</v>
      </c>
      <c r="E53" s="122">
        <v>23.9</v>
      </c>
      <c r="F53" s="122">
        <v>23.9</v>
      </c>
      <c r="G53" s="115">
        <v>25.3</v>
      </c>
      <c r="H53" s="126" t="s">
        <v>225</v>
      </c>
      <c r="J53" s="125"/>
    </row>
    <row r="54" spans="1:10" s="124" customFormat="1" x14ac:dyDescent="0.4">
      <c r="A54" s="129" t="s">
        <v>246</v>
      </c>
      <c r="B54" s="120" t="s">
        <v>247</v>
      </c>
      <c r="C54" s="121">
        <v>6</v>
      </c>
      <c r="D54" s="122">
        <v>25.2</v>
      </c>
      <c r="E54" s="122"/>
      <c r="F54" s="122">
        <v>25.2</v>
      </c>
      <c r="G54" s="115">
        <v>25.2</v>
      </c>
      <c r="H54" s="126" t="s">
        <v>225</v>
      </c>
      <c r="J54" s="125"/>
    </row>
    <row r="55" spans="1:10" s="124" customFormat="1" x14ac:dyDescent="0.4">
      <c r="A55" s="129" t="s">
        <v>248</v>
      </c>
      <c r="B55" s="120" t="s">
        <v>249</v>
      </c>
      <c r="C55" s="121">
        <v>6</v>
      </c>
      <c r="D55" s="122">
        <v>23.9</v>
      </c>
      <c r="E55" s="122"/>
      <c r="F55" s="122">
        <v>23.9</v>
      </c>
      <c r="G55" s="115">
        <v>23.9</v>
      </c>
      <c r="H55" s="126" t="s">
        <v>225</v>
      </c>
      <c r="J55" s="125"/>
    </row>
    <row r="56" spans="1:10" s="124" customFormat="1" x14ac:dyDescent="0.4">
      <c r="A56" s="129" t="s">
        <v>911</v>
      </c>
      <c r="B56" s="120" t="s">
        <v>913</v>
      </c>
      <c r="C56" s="121">
        <v>6</v>
      </c>
      <c r="D56" s="122"/>
      <c r="E56" s="122"/>
      <c r="F56" s="122"/>
      <c r="G56" s="115">
        <v>26</v>
      </c>
      <c r="H56" s="126" t="s">
        <v>225</v>
      </c>
      <c r="J56" s="125"/>
    </row>
    <row r="57" spans="1:10" s="124" customFormat="1" x14ac:dyDescent="0.4">
      <c r="A57" s="129" t="s">
        <v>250</v>
      </c>
      <c r="B57" s="120" t="s">
        <v>251</v>
      </c>
      <c r="C57" s="121">
        <v>6</v>
      </c>
      <c r="D57" s="122">
        <v>25.8</v>
      </c>
      <c r="E57" s="122">
        <v>25.8</v>
      </c>
      <c r="F57" s="122">
        <v>25.8</v>
      </c>
      <c r="G57" s="115">
        <v>26.6</v>
      </c>
      <c r="H57" s="126" t="s">
        <v>225</v>
      </c>
      <c r="J57" s="125"/>
    </row>
    <row r="58" spans="1:10" s="124" customFormat="1" x14ac:dyDescent="0.4">
      <c r="A58" s="129" t="s">
        <v>252</v>
      </c>
      <c r="B58" s="120" t="s">
        <v>253</v>
      </c>
      <c r="C58" s="121">
        <v>6</v>
      </c>
      <c r="D58" s="122">
        <v>24.8</v>
      </c>
      <c r="E58" s="122">
        <v>24.8</v>
      </c>
      <c r="F58" s="122">
        <v>24.8</v>
      </c>
      <c r="G58" s="115">
        <v>25.5</v>
      </c>
      <c r="H58" s="126" t="s">
        <v>225</v>
      </c>
      <c r="J58" s="125"/>
    </row>
    <row r="59" spans="1:10" s="124" customFormat="1" x14ac:dyDescent="0.4">
      <c r="A59" s="129" t="s">
        <v>254</v>
      </c>
      <c r="B59" s="120" t="s">
        <v>255</v>
      </c>
      <c r="C59" s="121">
        <v>6</v>
      </c>
      <c r="D59" s="122">
        <v>24.3</v>
      </c>
      <c r="E59" s="122"/>
      <c r="F59" s="122">
        <v>24.3</v>
      </c>
      <c r="G59" s="115">
        <v>24.5</v>
      </c>
      <c r="H59" s="126" t="s">
        <v>225</v>
      </c>
      <c r="J59" s="125"/>
    </row>
    <row r="60" spans="1:10" s="124" customFormat="1" x14ac:dyDescent="0.4">
      <c r="A60" s="129" t="s">
        <v>256</v>
      </c>
      <c r="B60" s="120" t="s">
        <v>257</v>
      </c>
      <c r="C60" s="121">
        <v>6</v>
      </c>
      <c r="D60" s="122">
        <v>24.5</v>
      </c>
      <c r="E60" s="122">
        <v>24.5</v>
      </c>
      <c r="F60" s="122">
        <v>24.5</v>
      </c>
      <c r="G60" s="115">
        <v>25.6</v>
      </c>
      <c r="H60" s="126" t="s">
        <v>225</v>
      </c>
      <c r="J60" s="125"/>
    </row>
    <row r="61" spans="1:10" s="124" customFormat="1" x14ac:dyDescent="0.4">
      <c r="A61" s="129" t="s">
        <v>258</v>
      </c>
      <c r="B61" s="120" t="s">
        <v>259</v>
      </c>
      <c r="C61" s="121">
        <v>6</v>
      </c>
      <c r="D61" s="122">
        <v>23.7</v>
      </c>
      <c r="E61" s="122">
        <v>23.7</v>
      </c>
      <c r="F61" s="122">
        <v>23.7</v>
      </c>
      <c r="G61" s="115">
        <v>24.3</v>
      </c>
      <c r="H61" s="126" t="s">
        <v>225</v>
      </c>
      <c r="J61" s="125"/>
    </row>
    <row r="62" spans="1:10" s="124" customFormat="1" x14ac:dyDescent="0.4">
      <c r="A62" s="129" t="s">
        <v>260</v>
      </c>
      <c r="B62" s="120" t="s">
        <v>261</v>
      </c>
      <c r="C62" s="121">
        <v>6</v>
      </c>
      <c r="D62" s="122">
        <v>24.7</v>
      </c>
      <c r="E62" s="122">
        <v>24.7</v>
      </c>
      <c r="F62" s="122">
        <v>24.7</v>
      </c>
      <c r="G62" s="115">
        <v>25.7</v>
      </c>
      <c r="H62" s="126" t="s">
        <v>225</v>
      </c>
      <c r="J62" s="125"/>
    </row>
    <row r="63" spans="1:10" s="124" customFormat="1" x14ac:dyDescent="0.4">
      <c r="A63" s="129" t="s">
        <v>262</v>
      </c>
      <c r="B63" s="120" t="s">
        <v>263</v>
      </c>
      <c r="C63" s="121">
        <v>6</v>
      </c>
      <c r="D63" s="122">
        <v>25.4</v>
      </c>
      <c r="E63" s="122">
        <v>25.4</v>
      </c>
      <c r="F63" s="122">
        <v>25.4</v>
      </c>
      <c r="G63" s="115">
        <v>25.6</v>
      </c>
      <c r="H63" s="126" t="s">
        <v>225</v>
      </c>
      <c r="J63" s="125"/>
    </row>
    <row r="64" spans="1:10" s="124" customFormat="1" x14ac:dyDescent="0.4">
      <c r="A64" s="129" t="s">
        <v>264</v>
      </c>
      <c r="B64" s="121" t="s">
        <v>265</v>
      </c>
      <c r="C64" s="121">
        <v>6</v>
      </c>
      <c r="D64" s="122">
        <v>25.7</v>
      </c>
      <c r="E64" s="122">
        <v>25.5</v>
      </c>
      <c r="F64" s="122">
        <v>25.5</v>
      </c>
      <c r="G64" s="115">
        <v>25.2</v>
      </c>
      <c r="H64" s="126" t="s">
        <v>225</v>
      </c>
      <c r="I64" s="127" t="s">
        <v>908</v>
      </c>
      <c r="J64" s="125"/>
    </row>
    <row r="65" spans="1:10" s="124" customFormat="1" x14ac:dyDescent="0.4">
      <c r="A65" s="129" t="s">
        <v>266</v>
      </c>
      <c r="B65" s="120" t="s">
        <v>267</v>
      </c>
      <c r="C65" s="121">
        <v>6</v>
      </c>
      <c r="D65" s="122">
        <v>25</v>
      </c>
      <c r="E65" s="122">
        <v>25.29</v>
      </c>
      <c r="F65" s="122">
        <v>25.29</v>
      </c>
      <c r="G65" s="115">
        <v>25.7</v>
      </c>
      <c r="H65" s="126" t="s">
        <v>225</v>
      </c>
      <c r="J65" s="125"/>
    </row>
    <row r="66" spans="1:10" s="124" customFormat="1" x14ac:dyDescent="0.4">
      <c r="A66" s="129" t="s">
        <v>268</v>
      </c>
      <c r="B66" s="120" t="s">
        <v>269</v>
      </c>
      <c r="C66" s="121">
        <v>6</v>
      </c>
      <c r="D66" s="122">
        <v>24.7</v>
      </c>
      <c r="E66" s="122">
        <v>27.4</v>
      </c>
      <c r="F66" s="122">
        <v>27.4</v>
      </c>
      <c r="G66" s="115">
        <v>27.4</v>
      </c>
      <c r="H66" s="126" t="s">
        <v>225</v>
      </c>
      <c r="J66" s="125"/>
    </row>
    <row r="67" spans="1:10" s="124" customFormat="1" x14ac:dyDescent="0.4">
      <c r="A67" s="129" t="s">
        <v>270</v>
      </c>
      <c r="B67" s="120" t="s">
        <v>271</v>
      </c>
      <c r="C67" s="121">
        <v>6</v>
      </c>
      <c r="D67" s="122">
        <v>25.4</v>
      </c>
      <c r="E67" s="122">
        <v>25.4</v>
      </c>
      <c r="F67" s="122">
        <v>25.4</v>
      </c>
      <c r="G67" s="115">
        <v>25.4</v>
      </c>
      <c r="H67" s="126" t="s">
        <v>225</v>
      </c>
      <c r="J67" s="125"/>
    </row>
    <row r="68" spans="1:10" s="124" customFormat="1" x14ac:dyDescent="0.4">
      <c r="A68" s="129" t="s">
        <v>1165</v>
      </c>
      <c r="B68" s="120" t="s">
        <v>271</v>
      </c>
      <c r="C68" s="121">
        <v>6</v>
      </c>
      <c r="D68" s="122">
        <v>25.4</v>
      </c>
      <c r="E68" s="122">
        <v>25.4</v>
      </c>
      <c r="F68" s="122">
        <v>25.4</v>
      </c>
      <c r="G68" s="115">
        <v>25.4</v>
      </c>
      <c r="H68" s="126" t="s">
        <v>225</v>
      </c>
      <c r="J68" s="125"/>
    </row>
    <row r="69" spans="1:10" s="124" customFormat="1" x14ac:dyDescent="0.4">
      <c r="A69" s="129" t="s">
        <v>272</v>
      </c>
      <c r="B69" s="120" t="s">
        <v>224</v>
      </c>
      <c r="C69" s="121">
        <v>6</v>
      </c>
      <c r="D69" s="122">
        <v>24.3</v>
      </c>
      <c r="E69" s="122"/>
      <c r="F69" s="122">
        <v>24.3</v>
      </c>
      <c r="G69" s="115">
        <v>24.3</v>
      </c>
      <c r="H69" s="126" t="s">
        <v>225</v>
      </c>
      <c r="J69" s="125"/>
    </row>
    <row r="70" spans="1:10" s="124" customFormat="1" x14ac:dyDescent="0.4">
      <c r="A70" s="129" t="s">
        <v>273</v>
      </c>
      <c r="B70" s="120" t="s">
        <v>274</v>
      </c>
      <c r="C70" s="121">
        <v>18</v>
      </c>
      <c r="D70" s="122">
        <v>7</v>
      </c>
      <c r="E70" s="122">
        <v>6.7</v>
      </c>
      <c r="F70" s="122">
        <v>6.7</v>
      </c>
      <c r="G70" s="115">
        <v>6.9</v>
      </c>
      <c r="H70" s="126" t="s">
        <v>275</v>
      </c>
      <c r="J70" s="125"/>
    </row>
    <row r="71" spans="1:10" s="124" customFormat="1" x14ac:dyDescent="0.4">
      <c r="A71" s="129" t="s">
        <v>276</v>
      </c>
      <c r="B71" s="120" t="s">
        <v>277</v>
      </c>
      <c r="C71" s="121">
        <v>18</v>
      </c>
      <c r="D71" s="122">
        <v>6.9</v>
      </c>
      <c r="E71" s="122">
        <v>6.7</v>
      </c>
      <c r="F71" s="122">
        <v>7</v>
      </c>
      <c r="G71" s="115">
        <v>6.9</v>
      </c>
      <c r="H71" s="126" t="s">
        <v>275</v>
      </c>
      <c r="I71" s="127" t="s">
        <v>910</v>
      </c>
      <c r="J71" s="125"/>
    </row>
    <row r="72" spans="1:10" s="124" customFormat="1" x14ac:dyDescent="0.4">
      <c r="A72" s="129" t="s">
        <v>278</v>
      </c>
      <c r="B72" s="120" t="s">
        <v>235</v>
      </c>
      <c r="C72" s="121">
        <v>6</v>
      </c>
      <c r="D72" s="122">
        <v>23.8</v>
      </c>
      <c r="E72" s="122"/>
      <c r="F72" s="122">
        <v>23.8</v>
      </c>
      <c r="G72" s="115">
        <v>23.8</v>
      </c>
      <c r="H72" s="126" t="s">
        <v>225</v>
      </c>
      <c r="J72" s="125"/>
    </row>
    <row r="73" spans="1:10" s="124" customFormat="1" x14ac:dyDescent="0.4">
      <c r="A73" s="129" t="s">
        <v>279</v>
      </c>
      <c r="B73" s="120" t="s">
        <v>280</v>
      </c>
      <c r="C73" s="121">
        <v>0.28999999999999998</v>
      </c>
      <c r="D73" s="122">
        <v>416.3</v>
      </c>
      <c r="E73" s="122">
        <v>416.3</v>
      </c>
      <c r="F73" s="122">
        <v>416.3</v>
      </c>
      <c r="G73" s="115">
        <v>412.6</v>
      </c>
      <c r="H73" s="126" t="s">
        <v>281</v>
      </c>
      <c r="I73" s="127" t="s">
        <v>908</v>
      </c>
      <c r="J73" s="125"/>
    </row>
    <row r="74" spans="1:10" s="124" customFormat="1" x14ac:dyDescent="0.4">
      <c r="A74" s="129" t="s">
        <v>282</v>
      </c>
      <c r="B74" s="120" t="s">
        <v>283</v>
      </c>
      <c r="C74" s="121">
        <v>0.28999999999999998</v>
      </c>
      <c r="D74" s="122">
        <v>391.4</v>
      </c>
      <c r="E74" s="122">
        <v>391.4</v>
      </c>
      <c r="F74" s="122">
        <v>391.4</v>
      </c>
      <c r="G74" s="115">
        <v>388</v>
      </c>
      <c r="H74" s="126" t="s">
        <v>281</v>
      </c>
      <c r="I74" s="127" t="s">
        <v>908</v>
      </c>
      <c r="J74" s="125"/>
    </row>
    <row r="75" spans="1:10" s="124" customFormat="1" x14ac:dyDescent="0.4">
      <c r="A75" s="129" t="s">
        <v>284</v>
      </c>
      <c r="B75" s="120" t="s">
        <v>285</v>
      </c>
      <c r="C75" s="121">
        <v>0.21</v>
      </c>
      <c r="D75" s="122">
        <v>698.4</v>
      </c>
      <c r="E75" s="122">
        <v>698.4</v>
      </c>
      <c r="F75" s="122">
        <v>698.4</v>
      </c>
      <c r="G75" s="115">
        <v>698.4</v>
      </c>
      <c r="H75" s="126" t="s">
        <v>281</v>
      </c>
      <c r="J75" s="125"/>
    </row>
    <row r="76" spans="1:10" s="124" customFormat="1" x14ac:dyDescent="0.4">
      <c r="A76" s="129" t="s">
        <v>286</v>
      </c>
      <c r="B76" s="120" t="s">
        <v>287</v>
      </c>
      <c r="C76" s="121">
        <v>0.19</v>
      </c>
      <c r="D76" s="122">
        <v>732</v>
      </c>
      <c r="E76" s="122">
        <v>732</v>
      </c>
      <c r="F76" s="122">
        <v>732</v>
      </c>
      <c r="G76" s="115">
        <v>759.3</v>
      </c>
      <c r="H76" s="126" t="s">
        <v>281</v>
      </c>
      <c r="J76" s="125"/>
    </row>
    <row r="77" spans="1:10" s="124" customFormat="1" x14ac:dyDescent="0.4">
      <c r="A77" s="129" t="s">
        <v>288</v>
      </c>
      <c r="B77" s="120" t="s">
        <v>289</v>
      </c>
      <c r="C77" s="121">
        <v>0.4</v>
      </c>
      <c r="D77" s="122">
        <v>359.7</v>
      </c>
      <c r="E77" s="122">
        <v>359.7</v>
      </c>
      <c r="F77" s="122">
        <v>359.7</v>
      </c>
      <c r="G77" s="115">
        <v>366.4</v>
      </c>
      <c r="H77" s="126" t="s">
        <v>281</v>
      </c>
      <c r="J77" s="125"/>
    </row>
    <row r="78" spans="1:10" s="124" customFormat="1" x14ac:dyDescent="0.4">
      <c r="A78" s="129" t="s">
        <v>290</v>
      </c>
      <c r="B78" s="120" t="s">
        <v>291</v>
      </c>
      <c r="C78" s="121">
        <v>0.42</v>
      </c>
      <c r="D78" s="122">
        <v>372.6</v>
      </c>
      <c r="E78" s="122">
        <v>372.6</v>
      </c>
      <c r="F78" s="122">
        <v>372.6</v>
      </c>
      <c r="G78" s="115">
        <v>365.1</v>
      </c>
      <c r="H78" s="126" t="s">
        <v>281</v>
      </c>
      <c r="I78" s="127" t="s">
        <v>908</v>
      </c>
      <c r="J78" s="125"/>
    </row>
    <row r="79" spans="1:10" s="124" customFormat="1" x14ac:dyDescent="0.4">
      <c r="A79" s="129" t="s">
        <v>292</v>
      </c>
      <c r="B79" s="120" t="s">
        <v>293</v>
      </c>
      <c r="C79" s="121">
        <v>6</v>
      </c>
      <c r="D79" s="122">
        <v>24.4</v>
      </c>
      <c r="E79" s="122">
        <v>24.4</v>
      </c>
      <c r="F79" s="122">
        <v>25</v>
      </c>
      <c r="G79" s="115">
        <v>25</v>
      </c>
      <c r="H79" s="126" t="s">
        <v>225</v>
      </c>
      <c r="J79" s="125"/>
    </row>
    <row r="80" spans="1:10" s="124" customFormat="1" x14ac:dyDescent="0.4">
      <c r="A80" s="129" t="s">
        <v>294</v>
      </c>
      <c r="B80" s="120" t="s">
        <v>271</v>
      </c>
      <c r="C80" s="121">
        <v>6</v>
      </c>
      <c r="D80" s="122">
        <v>25.1</v>
      </c>
      <c r="E80" s="122">
        <v>25.1</v>
      </c>
      <c r="F80" s="122">
        <v>25.1</v>
      </c>
      <c r="G80" s="115">
        <v>25.5</v>
      </c>
      <c r="H80" s="126" t="s">
        <v>225</v>
      </c>
      <c r="J80" s="125"/>
    </row>
    <row r="81" spans="1:10" s="124" customFormat="1" x14ac:dyDescent="0.4">
      <c r="A81" s="129" t="s">
        <v>295</v>
      </c>
      <c r="B81" s="120" t="s">
        <v>296</v>
      </c>
      <c r="C81" s="121">
        <v>0.42</v>
      </c>
      <c r="D81" s="122">
        <v>369.3</v>
      </c>
      <c r="E81" s="122">
        <v>369.3</v>
      </c>
      <c r="F81" s="122">
        <v>369.3</v>
      </c>
      <c r="G81" s="115">
        <v>364</v>
      </c>
      <c r="H81" s="126" t="s">
        <v>281</v>
      </c>
      <c r="I81" s="127" t="s">
        <v>910</v>
      </c>
      <c r="J81" s="125"/>
    </row>
    <row r="82" spans="1:10" s="124" customFormat="1" x14ac:dyDescent="0.4">
      <c r="A82" s="129" t="s">
        <v>297</v>
      </c>
      <c r="B82" s="120" t="s">
        <v>298</v>
      </c>
      <c r="C82" s="121">
        <v>0.35</v>
      </c>
      <c r="D82" s="122">
        <v>341.7</v>
      </c>
      <c r="E82" s="122"/>
      <c r="F82" s="122">
        <v>341.7</v>
      </c>
      <c r="G82" s="115">
        <v>341.7</v>
      </c>
      <c r="H82" s="126" t="s">
        <v>281</v>
      </c>
      <c r="J82" s="125"/>
    </row>
    <row r="83" spans="1:10" s="124" customFormat="1" x14ac:dyDescent="0.4">
      <c r="A83" s="129" t="s">
        <v>299</v>
      </c>
      <c r="B83" s="120" t="s">
        <v>300</v>
      </c>
      <c r="C83" s="121">
        <v>0.2</v>
      </c>
      <c r="D83" s="122">
        <v>753.8</v>
      </c>
      <c r="E83" s="122"/>
      <c r="F83" s="122">
        <v>753.8</v>
      </c>
      <c r="G83" s="115">
        <v>763</v>
      </c>
      <c r="H83" s="126" t="s">
        <v>281</v>
      </c>
      <c r="J83" s="125"/>
    </row>
    <row r="84" spans="1:10" s="124" customFormat="1" x14ac:dyDescent="0.4">
      <c r="A84" s="129" t="s">
        <v>301</v>
      </c>
      <c r="B84" s="120" t="s">
        <v>302</v>
      </c>
      <c r="C84" s="121">
        <v>0.42</v>
      </c>
      <c r="D84" s="122">
        <v>369.7</v>
      </c>
      <c r="E84" s="122"/>
      <c r="F84" s="122">
        <v>369.7</v>
      </c>
      <c r="G84" s="115">
        <v>370.5</v>
      </c>
      <c r="H84" s="126" t="s">
        <v>281</v>
      </c>
      <c r="J84" s="125"/>
    </row>
    <row r="85" spans="1:10" s="124" customFormat="1" x14ac:dyDescent="0.4">
      <c r="A85" s="129" t="s">
        <v>303</v>
      </c>
      <c r="B85" s="120" t="s">
        <v>304</v>
      </c>
      <c r="C85" s="121">
        <v>4.5</v>
      </c>
      <c r="D85" s="122">
        <v>33.799999999999997</v>
      </c>
      <c r="E85" s="122">
        <v>33.799999999999997</v>
      </c>
      <c r="F85" s="122">
        <v>33.799999999999997</v>
      </c>
      <c r="G85" s="115">
        <v>35.6</v>
      </c>
      <c r="H85" s="126" t="s">
        <v>206</v>
      </c>
      <c r="J85" s="125"/>
    </row>
    <row r="86" spans="1:10" s="124" customFormat="1" x14ac:dyDescent="0.4">
      <c r="A86" s="129" t="s">
        <v>305</v>
      </c>
      <c r="B86" s="120" t="s">
        <v>306</v>
      </c>
      <c r="C86" s="121">
        <v>3.5</v>
      </c>
      <c r="D86" s="122">
        <v>25.3</v>
      </c>
      <c r="E86" s="122">
        <v>25.3</v>
      </c>
      <c r="F86" s="122">
        <v>25.3</v>
      </c>
      <c r="G86" s="115">
        <v>25.4</v>
      </c>
      <c r="H86" s="126" t="s">
        <v>206</v>
      </c>
      <c r="J86" s="125"/>
    </row>
    <row r="87" spans="1:10" s="124" customFormat="1" x14ac:dyDescent="0.4">
      <c r="A87" s="129" t="s">
        <v>1672</v>
      </c>
      <c r="B87" s="120" t="s">
        <v>306</v>
      </c>
      <c r="C87" s="121">
        <v>3.5</v>
      </c>
      <c r="D87" s="122">
        <v>25.3</v>
      </c>
      <c r="E87" s="122">
        <v>25.3</v>
      </c>
      <c r="F87" s="122">
        <v>25.3</v>
      </c>
      <c r="G87" s="115">
        <v>25.4</v>
      </c>
      <c r="H87" s="126" t="s">
        <v>206</v>
      </c>
      <c r="J87" s="125"/>
    </row>
    <row r="88" spans="1:10" s="124" customFormat="1" x14ac:dyDescent="0.4">
      <c r="A88" s="129" t="s">
        <v>307</v>
      </c>
      <c r="B88" s="120" t="s">
        <v>308</v>
      </c>
      <c r="C88" s="121">
        <v>4.5</v>
      </c>
      <c r="D88" s="122">
        <v>34.4</v>
      </c>
      <c r="E88" s="122">
        <v>34.4</v>
      </c>
      <c r="F88" s="122">
        <v>34.4</v>
      </c>
      <c r="G88" s="115">
        <v>36</v>
      </c>
      <c r="H88" s="126" t="s">
        <v>206</v>
      </c>
      <c r="J88" s="125"/>
    </row>
    <row r="89" spans="1:10" s="124" customFormat="1" x14ac:dyDescent="0.4">
      <c r="A89" s="129" t="s">
        <v>309</v>
      </c>
      <c r="B89" s="120" t="s">
        <v>310</v>
      </c>
      <c r="C89" s="121">
        <v>4.5</v>
      </c>
      <c r="D89" s="122">
        <v>32.4</v>
      </c>
      <c r="E89" s="122">
        <v>32.4</v>
      </c>
      <c r="F89" s="122">
        <v>32.4</v>
      </c>
      <c r="G89" s="115">
        <v>32.9</v>
      </c>
      <c r="H89" s="126" t="s">
        <v>206</v>
      </c>
      <c r="J89" s="125"/>
    </row>
    <row r="90" spans="1:10" s="124" customFormat="1" x14ac:dyDescent="0.4">
      <c r="A90" s="129" t="s">
        <v>311</v>
      </c>
      <c r="B90" s="120" t="s">
        <v>312</v>
      </c>
      <c r="C90" s="121">
        <v>6</v>
      </c>
      <c r="D90" s="122">
        <v>25.2</v>
      </c>
      <c r="E90" s="122">
        <v>25.2</v>
      </c>
      <c r="F90" s="122">
        <v>25.2</v>
      </c>
      <c r="G90" s="115">
        <v>25.7</v>
      </c>
      <c r="H90" s="126" t="s">
        <v>225</v>
      </c>
      <c r="J90" s="125"/>
    </row>
    <row r="91" spans="1:10" s="124" customFormat="1" x14ac:dyDescent="0.4">
      <c r="A91" s="129" t="s">
        <v>313</v>
      </c>
      <c r="B91" s="120" t="s">
        <v>314</v>
      </c>
      <c r="C91" s="121">
        <v>6</v>
      </c>
      <c r="D91" s="122">
        <v>25.4</v>
      </c>
      <c r="E91" s="122">
        <v>25.6</v>
      </c>
      <c r="F91" s="122">
        <v>25.6</v>
      </c>
      <c r="G91" s="115">
        <v>26.4</v>
      </c>
      <c r="H91" s="126" t="s">
        <v>225</v>
      </c>
      <c r="J91" s="125"/>
    </row>
    <row r="92" spans="1:10" s="124" customFormat="1" x14ac:dyDescent="0.4">
      <c r="A92" s="129" t="s">
        <v>315</v>
      </c>
      <c r="B92" s="120" t="s">
        <v>316</v>
      </c>
      <c r="C92" s="121">
        <v>6</v>
      </c>
      <c r="D92" s="122">
        <v>25.3</v>
      </c>
      <c r="E92" s="122">
        <v>25.3</v>
      </c>
      <c r="F92" s="122">
        <v>25.3</v>
      </c>
      <c r="G92" s="115">
        <v>25.3</v>
      </c>
      <c r="H92" s="126" t="s">
        <v>225</v>
      </c>
      <c r="J92" s="125"/>
    </row>
    <row r="93" spans="1:10" s="124" customFormat="1" x14ac:dyDescent="0.4">
      <c r="A93" s="129" t="s">
        <v>317</v>
      </c>
      <c r="B93" s="120" t="s">
        <v>318</v>
      </c>
      <c r="C93" s="121">
        <v>4.5</v>
      </c>
      <c r="D93" s="122">
        <v>33.6</v>
      </c>
      <c r="E93" s="122">
        <v>33.6</v>
      </c>
      <c r="F93" s="122">
        <v>33.6</v>
      </c>
      <c r="G93" s="115">
        <v>34.5</v>
      </c>
      <c r="H93" s="126" t="s">
        <v>206</v>
      </c>
      <c r="J93" s="125"/>
    </row>
    <row r="94" spans="1:10" s="124" customFormat="1" x14ac:dyDescent="0.4">
      <c r="A94" s="129" t="s">
        <v>367</v>
      </c>
      <c r="B94" s="120" t="s">
        <v>368</v>
      </c>
      <c r="C94" s="121">
        <v>0.26</v>
      </c>
      <c r="D94" s="122"/>
      <c r="E94" s="122">
        <v>581.29999999999995</v>
      </c>
      <c r="F94" s="122">
        <v>581.29999999999995</v>
      </c>
      <c r="G94" s="115">
        <v>580</v>
      </c>
      <c r="H94" s="126" t="s">
        <v>369</v>
      </c>
      <c r="I94" s="127" t="s">
        <v>908</v>
      </c>
      <c r="J94" s="125"/>
    </row>
    <row r="95" spans="1:10" s="124" customFormat="1" x14ac:dyDescent="0.4">
      <c r="A95" s="129" t="s">
        <v>319</v>
      </c>
      <c r="B95" s="120" t="s">
        <v>320</v>
      </c>
      <c r="C95" s="121">
        <v>0.26</v>
      </c>
      <c r="D95" s="122">
        <v>579.29999999999995</v>
      </c>
      <c r="E95" s="122">
        <v>579.29999999999995</v>
      </c>
      <c r="F95" s="122">
        <v>579.29999999999995</v>
      </c>
      <c r="G95" s="115">
        <v>595</v>
      </c>
      <c r="H95" s="126" t="s">
        <v>281</v>
      </c>
      <c r="J95" s="125"/>
    </row>
    <row r="96" spans="1:10" s="124" customFormat="1" x14ac:dyDescent="0.4">
      <c r="A96" s="129" t="s">
        <v>321</v>
      </c>
      <c r="B96" s="120" t="s">
        <v>322</v>
      </c>
      <c r="C96" s="121">
        <v>6</v>
      </c>
      <c r="D96" s="122">
        <v>24.2</v>
      </c>
      <c r="E96" s="122">
        <v>24.2</v>
      </c>
      <c r="F96" s="122">
        <v>25</v>
      </c>
      <c r="G96" s="115">
        <v>25.2</v>
      </c>
      <c r="H96" s="126" t="s">
        <v>225</v>
      </c>
      <c r="J96" s="125"/>
    </row>
    <row r="97" spans="1:10" s="124" customFormat="1" x14ac:dyDescent="0.4">
      <c r="A97" s="129" t="s">
        <v>323</v>
      </c>
      <c r="B97" s="120" t="s">
        <v>324</v>
      </c>
      <c r="C97" s="121">
        <v>8</v>
      </c>
      <c r="D97" s="122">
        <v>19.399999999999999</v>
      </c>
      <c r="E97" s="122">
        <v>19.399999999999999</v>
      </c>
      <c r="F97" s="122">
        <v>19.399999999999999</v>
      </c>
      <c r="G97" s="115">
        <v>19.600000000000001</v>
      </c>
      <c r="H97" s="126" t="s">
        <v>225</v>
      </c>
      <c r="J97" s="125"/>
    </row>
    <row r="98" spans="1:10" s="124" customFormat="1" x14ac:dyDescent="0.4">
      <c r="A98" s="129" t="s">
        <v>416</v>
      </c>
      <c r="B98" s="120" t="s">
        <v>417</v>
      </c>
      <c r="C98" s="121">
        <v>0.9</v>
      </c>
      <c r="D98" s="10"/>
      <c r="E98" s="122"/>
      <c r="F98" s="122">
        <v>159.1</v>
      </c>
      <c r="G98" s="115">
        <v>158.69999999999999</v>
      </c>
      <c r="H98" s="126" t="s">
        <v>206</v>
      </c>
      <c r="I98" s="127" t="s">
        <v>908</v>
      </c>
      <c r="J98" s="125"/>
    </row>
    <row r="99" spans="1:10" s="124" customFormat="1" x14ac:dyDescent="0.4">
      <c r="A99" s="129" t="s">
        <v>418</v>
      </c>
      <c r="B99" s="120" t="s">
        <v>419</v>
      </c>
      <c r="C99" s="121">
        <v>2.8</v>
      </c>
      <c r="D99" s="10"/>
      <c r="E99" s="122"/>
      <c r="F99" s="122">
        <v>46</v>
      </c>
      <c r="G99" s="115">
        <v>46</v>
      </c>
      <c r="H99" s="126" t="s">
        <v>206</v>
      </c>
      <c r="J99" s="125"/>
    </row>
    <row r="100" spans="1:10" s="124" customFormat="1" x14ac:dyDescent="0.4">
      <c r="A100" s="129" t="s">
        <v>325</v>
      </c>
      <c r="B100" s="120" t="s">
        <v>326</v>
      </c>
      <c r="C100" s="121">
        <v>9.08</v>
      </c>
      <c r="D100" s="122">
        <v>16.7</v>
      </c>
      <c r="E100" s="122"/>
      <c r="F100" s="122">
        <v>16.7</v>
      </c>
      <c r="G100" s="115">
        <v>16.7</v>
      </c>
      <c r="H100" s="126" t="s">
        <v>206</v>
      </c>
      <c r="J100" s="125"/>
    </row>
    <row r="101" spans="1:10" s="124" customFormat="1" x14ac:dyDescent="0.4">
      <c r="A101" s="129" t="s">
        <v>327</v>
      </c>
      <c r="B101" s="120" t="s">
        <v>328</v>
      </c>
      <c r="C101" s="121">
        <v>6</v>
      </c>
      <c r="D101" s="122">
        <v>24.9</v>
      </c>
      <c r="E101" s="122">
        <v>25.2</v>
      </c>
      <c r="F101" s="122">
        <v>25.2</v>
      </c>
      <c r="G101" s="115">
        <v>25.5</v>
      </c>
      <c r="H101" s="126" t="s">
        <v>225</v>
      </c>
      <c r="J101" s="125"/>
    </row>
    <row r="102" spans="1:10" s="124" customFormat="1" x14ac:dyDescent="0.4">
      <c r="A102" s="129" t="s">
        <v>329</v>
      </c>
      <c r="B102" s="120" t="s">
        <v>330</v>
      </c>
      <c r="C102" s="121">
        <v>6</v>
      </c>
      <c r="D102" s="122">
        <v>24.8</v>
      </c>
      <c r="E102" s="122"/>
      <c r="F102" s="122">
        <v>24.8</v>
      </c>
      <c r="G102" s="115">
        <v>24.8</v>
      </c>
      <c r="H102" s="126" t="s">
        <v>225</v>
      </c>
      <c r="J102" s="125"/>
    </row>
    <row r="103" spans="1:10" s="124" customFormat="1" x14ac:dyDescent="0.4">
      <c r="A103" s="129" t="s">
        <v>331</v>
      </c>
      <c r="B103" s="120" t="s">
        <v>332</v>
      </c>
      <c r="C103" s="121">
        <v>9.08</v>
      </c>
      <c r="D103" s="122">
        <v>17.600000000000001</v>
      </c>
      <c r="E103" s="122"/>
      <c r="F103" s="122">
        <v>17.600000000000001</v>
      </c>
      <c r="G103" s="115">
        <v>17.600000000000001</v>
      </c>
      <c r="H103" s="126" t="s">
        <v>206</v>
      </c>
      <c r="J103" s="125"/>
    </row>
    <row r="104" spans="1:10" s="124" customFormat="1" x14ac:dyDescent="0.4">
      <c r="A104" s="129" t="s">
        <v>333</v>
      </c>
      <c r="B104" s="120" t="s">
        <v>334</v>
      </c>
      <c r="C104" s="121">
        <v>9.08</v>
      </c>
      <c r="D104" s="122">
        <v>16.7</v>
      </c>
      <c r="E104" s="122">
        <v>16.7</v>
      </c>
      <c r="F104" s="122">
        <v>16.7</v>
      </c>
      <c r="G104" s="115">
        <v>17.3</v>
      </c>
      <c r="H104" s="126" t="s">
        <v>206</v>
      </c>
      <c r="J104" s="125"/>
    </row>
    <row r="105" spans="1:10" s="124" customFormat="1" x14ac:dyDescent="0.4">
      <c r="A105" s="129" t="s">
        <v>335</v>
      </c>
      <c r="B105" s="120" t="s">
        <v>336</v>
      </c>
      <c r="C105" s="121">
        <v>9.08</v>
      </c>
      <c r="D105" s="122">
        <v>17.3</v>
      </c>
      <c r="E105" s="122">
        <v>17.3</v>
      </c>
      <c r="F105" s="122">
        <v>17.3</v>
      </c>
      <c r="G105" s="115">
        <v>17.5</v>
      </c>
      <c r="H105" s="126" t="s">
        <v>206</v>
      </c>
      <c r="J105" s="125"/>
    </row>
    <row r="106" spans="1:10" s="124" customFormat="1" x14ac:dyDescent="0.4">
      <c r="A106" s="129" t="s">
        <v>337</v>
      </c>
      <c r="B106" s="120" t="s">
        <v>338</v>
      </c>
      <c r="C106" s="121">
        <v>6</v>
      </c>
      <c r="D106" s="122">
        <v>24.8</v>
      </c>
      <c r="E106" s="122"/>
      <c r="F106" s="122">
        <v>24.8</v>
      </c>
      <c r="G106" s="115">
        <v>24.9</v>
      </c>
      <c r="H106" s="126" t="s">
        <v>225</v>
      </c>
      <c r="J106" s="125"/>
    </row>
    <row r="107" spans="1:10" s="124" customFormat="1" x14ac:dyDescent="0.4">
      <c r="A107" s="129" t="s">
        <v>339</v>
      </c>
      <c r="B107" s="120" t="s">
        <v>340</v>
      </c>
      <c r="C107" s="121">
        <v>3</v>
      </c>
      <c r="D107" s="122">
        <v>78.3</v>
      </c>
      <c r="E107" s="122"/>
      <c r="F107" s="122">
        <v>78.3</v>
      </c>
      <c r="G107" s="115">
        <v>78.3</v>
      </c>
      <c r="H107" s="126" t="s">
        <v>225</v>
      </c>
      <c r="J107" s="125"/>
    </row>
    <row r="108" spans="1:10" s="124" customFormat="1" x14ac:dyDescent="0.4">
      <c r="A108" s="129" t="s">
        <v>341</v>
      </c>
      <c r="B108" s="120" t="s">
        <v>338</v>
      </c>
      <c r="C108" s="121">
        <v>6</v>
      </c>
      <c r="D108" s="122">
        <v>24.2</v>
      </c>
      <c r="E108" s="122"/>
      <c r="F108" s="122">
        <v>24.2</v>
      </c>
      <c r="G108" s="115">
        <v>24.2</v>
      </c>
      <c r="H108" s="126" t="s">
        <v>225</v>
      </c>
      <c r="J108" s="125"/>
    </row>
    <row r="109" spans="1:10" s="124" customFormat="1" x14ac:dyDescent="0.4">
      <c r="A109" s="129" t="s">
        <v>357</v>
      </c>
      <c r="B109" s="120" t="s">
        <v>338</v>
      </c>
      <c r="C109" s="121">
        <v>6</v>
      </c>
      <c r="D109" s="122"/>
      <c r="E109" s="122">
        <v>25.4</v>
      </c>
      <c r="F109" s="122">
        <v>25.4</v>
      </c>
      <c r="G109" s="115">
        <v>25.5</v>
      </c>
      <c r="H109" s="126" t="s">
        <v>225</v>
      </c>
      <c r="J109" s="125"/>
    </row>
    <row r="110" spans="1:10" s="124" customFormat="1" x14ac:dyDescent="0.4">
      <c r="A110" s="129" t="s">
        <v>354</v>
      </c>
      <c r="B110" s="120" t="s">
        <v>358</v>
      </c>
      <c r="C110" s="121">
        <v>18</v>
      </c>
      <c r="D110" s="122">
        <v>6.7</v>
      </c>
      <c r="E110" s="122">
        <v>6.7</v>
      </c>
      <c r="F110" s="122">
        <v>6.7</v>
      </c>
      <c r="G110" s="115">
        <v>6.7</v>
      </c>
      <c r="H110" s="126" t="s">
        <v>359</v>
      </c>
      <c r="J110" s="125"/>
    </row>
    <row r="111" spans="1:10" s="124" customFormat="1" x14ac:dyDescent="0.4">
      <c r="A111" s="129" t="s">
        <v>370</v>
      </c>
      <c r="B111" s="120" t="s">
        <v>420</v>
      </c>
      <c r="C111" s="121">
        <v>18</v>
      </c>
      <c r="D111" s="122"/>
      <c r="E111" s="122"/>
      <c r="F111" s="122">
        <v>6.7</v>
      </c>
      <c r="G111" s="115">
        <v>7</v>
      </c>
      <c r="H111" s="126"/>
      <c r="J111" s="125"/>
    </row>
    <row r="112" spans="1:10" s="124" customFormat="1" x14ac:dyDescent="0.4">
      <c r="A112" s="129" t="s">
        <v>342</v>
      </c>
      <c r="B112" s="120" t="s">
        <v>274</v>
      </c>
      <c r="C112" s="121">
        <v>18</v>
      </c>
      <c r="D112" s="122">
        <v>6.7</v>
      </c>
      <c r="E112" s="122">
        <v>6.7</v>
      </c>
      <c r="F112" s="122">
        <v>6.7</v>
      </c>
      <c r="G112" s="115">
        <v>6.6</v>
      </c>
      <c r="H112" s="126" t="s">
        <v>206</v>
      </c>
      <c r="I112" s="127" t="s">
        <v>914</v>
      </c>
      <c r="J112" s="125"/>
    </row>
    <row r="113" spans="1:10" s="124" customFormat="1" x14ac:dyDescent="0.4">
      <c r="A113" s="129" t="s">
        <v>343</v>
      </c>
      <c r="B113" s="120" t="s">
        <v>274</v>
      </c>
      <c r="C113" s="121">
        <v>18</v>
      </c>
      <c r="D113" s="122">
        <v>6.7</v>
      </c>
      <c r="E113" s="122"/>
      <c r="F113" s="122">
        <v>6.7</v>
      </c>
      <c r="G113" s="115">
        <v>6.7</v>
      </c>
      <c r="H113" s="126" t="s">
        <v>206</v>
      </c>
      <c r="J113" s="125"/>
    </row>
    <row r="114" spans="1:10" s="124" customFormat="1" x14ac:dyDescent="0.4">
      <c r="A114" s="129" t="s">
        <v>344</v>
      </c>
      <c r="B114" s="120" t="s">
        <v>345</v>
      </c>
      <c r="C114" s="121">
        <v>0.26</v>
      </c>
      <c r="D114" s="122">
        <v>687</v>
      </c>
      <c r="E114" s="122"/>
      <c r="F114" s="128">
        <v>577</v>
      </c>
      <c r="G114" s="115">
        <v>590.29999999999995</v>
      </c>
      <c r="H114" s="126" t="s">
        <v>281</v>
      </c>
      <c r="J114" s="125"/>
    </row>
    <row r="115" spans="1:10" s="124" customFormat="1" x14ac:dyDescent="0.4">
      <c r="A115" s="129" t="s">
        <v>346</v>
      </c>
      <c r="B115" s="120" t="s">
        <v>347</v>
      </c>
      <c r="C115" s="121">
        <v>3.3</v>
      </c>
      <c r="D115" s="122">
        <v>47.1</v>
      </c>
      <c r="E115" s="122"/>
      <c r="F115" s="122">
        <v>47.1</v>
      </c>
      <c r="G115" s="115">
        <v>47.3</v>
      </c>
      <c r="H115" s="126" t="s">
        <v>177</v>
      </c>
      <c r="J115" s="125"/>
    </row>
    <row r="116" spans="1:10" s="124" customFormat="1" x14ac:dyDescent="0.4">
      <c r="A116" s="129" t="s">
        <v>348</v>
      </c>
      <c r="B116" s="121" t="s">
        <v>349</v>
      </c>
      <c r="C116" s="121"/>
      <c r="D116" s="122">
        <v>718.3</v>
      </c>
      <c r="E116" s="122"/>
      <c r="F116" s="122">
        <v>718.3</v>
      </c>
      <c r="G116" s="115">
        <v>718.3</v>
      </c>
      <c r="H116" s="126" t="s">
        <v>281</v>
      </c>
      <c r="J116" s="125"/>
    </row>
    <row r="117" spans="1:10" s="124" customFormat="1" x14ac:dyDescent="0.4">
      <c r="A117" s="129" t="s">
        <v>350</v>
      </c>
      <c r="B117" s="120" t="s">
        <v>350</v>
      </c>
      <c r="C117" s="121"/>
      <c r="D117" s="122">
        <v>682.8</v>
      </c>
      <c r="E117" s="122"/>
      <c r="F117" s="122">
        <v>682.8</v>
      </c>
      <c r="G117" s="115">
        <v>682.8</v>
      </c>
      <c r="H117" s="126" t="s">
        <v>225</v>
      </c>
      <c r="J117" s="125"/>
    </row>
    <row r="118" spans="1:10" s="124" customFormat="1" x14ac:dyDescent="0.4">
      <c r="A118" s="129" t="s">
        <v>431</v>
      </c>
      <c r="B118" s="121" t="s">
        <v>436</v>
      </c>
      <c r="C118" s="121">
        <v>1</v>
      </c>
      <c r="D118" s="122"/>
      <c r="E118" s="122"/>
      <c r="F118" s="122"/>
      <c r="G118" s="115">
        <v>243</v>
      </c>
      <c r="H118" s="126"/>
      <c r="J118" s="125"/>
    </row>
    <row r="119" spans="1:10" s="124" customFormat="1" x14ac:dyDescent="0.4">
      <c r="A119" s="129" t="s">
        <v>434</v>
      </c>
      <c r="B119" s="121" t="s">
        <v>545</v>
      </c>
      <c r="C119" s="121">
        <v>1</v>
      </c>
      <c r="D119" s="122"/>
      <c r="E119" s="122"/>
      <c r="F119" s="122"/>
      <c r="G119" s="115">
        <v>6</v>
      </c>
      <c r="H119" s="126"/>
      <c r="J119" s="125"/>
    </row>
    <row r="120" spans="1:10" s="124" customFormat="1" x14ac:dyDescent="0.4">
      <c r="A120" s="129" t="s">
        <v>435</v>
      </c>
      <c r="B120" s="121" t="s">
        <v>449</v>
      </c>
      <c r="C120" s="121">
        <v>6</v>
      </c>
      <c r="D120" s="122"/>
      <c r="E120" s="122"/>
      <c r="F120" s="122"/>
      <c r="G120" s="115">
        <v>25.8</v>
      </c>
      <c r="H120" s="126" t="s">
        <v>437</v>
      </c>
      <c r="J120" s="125"/>
    </row>
    <row r="121" spans="1:10" s="124" customFormat="1" x14ac:dyDescent="0.4">
      <c r="A121" s="129" t="s">
        <v>440</v>
      </c>
      <c r="B121" s="121" t="s">
        <v>441</v>
      </c>
      <c r="C121" s="121">
        <v>0.34</v>
      </c>
      <c r="D121" s="122"/>
      <c r="E121" s="122"/>
      <c r="F121" s="122"/>
      <c r="G121" s="115">
        <v>366</v>
      </c>
      <c r="H121" s="126"/>
      <c r="J121" s="125"/>
    </row>
    <row r="122" spans="1:10" s="124" customFormat="1" x14ac:dyDescent="0.4">
      <c r="A122" s="129" t="s">
        <v>474</v>
      </c>
      <c r="B122" s="121" t="s">
        <v>475</v>
      </c>
      <c r="C122" s="121">
        <v>1</v>
      </c>
      <c r="D122" s="122"/>
      <c r="E122" s="122"/>
      <c r="F122" s="122"/>
      <c r="G122" s="115">
        <v>670</v>
      </c>
      <c r="H122" s="126" t="s">
        <v>437</v>
      </c>
      <c r="J122" s="125"/>
    </row>
    <row r="123" spans="1:10" s="124" customFormat="1" x14ac:dyDescent="0.4">
      <c r="A123" s="129" t="s">
        <v>476</v>
      </c>
      <c r="B123" s="121" t="s">
        <v>249</v>
      </c>
      <c r="C123" s="121">
        <v>6</v>
      </c>
      <c r="D123" s="122"/>
      <c r="E123" s="122"/>
      <c r="F123" s="122"/>
      <c r="G123" s="115">
        <v>26.2</v>
      </c>
      <c r="H123" s="126"/>
      <c r="J123" s="125"/>
    </row>
    <row r="124" spans="1:10" s="124" customFormat="1" x14ac:dyDescent="0.4">
      <c r="A124" s="129" t="s">
        <v>477</v>
      </c>
      <c r="B124" s="121" t="s">
        <v>478</v>
      </c>
      <c r="C124" s="121">
        <v>1</v>
      </c>
      <c r="D124" s="122"/>
      <c r="E124" s="122"/>
      <c r="F124" s="122"/>
      <c r="G124" s="115">
        <v>162</v>
      </c>
      <c r="H124" s="126"/>
      <c r="J124" s="125"/>
    </row>
    <row r="125" spans="1:10" s="124" customFormat="1" x14ac:dyDescent="0.4">
      <c r="A125" s="129">
        <v>111033</v>
      </c>
      <c r="B125" s="121" t="s">
        <v>479</v>
      </c>
      <c r="C125" s="121">
        <v>1</v>
      </c>
      <c r="D125" s="122"/>
      <c r="E125" s="122"/>
      <c r="F125" s="122"/>
      <c r="G125" s="115"/>
      <c r="H125" s="126"/>
      <c r="J125" s="125"/>
    </row>
    <row r="126" spans="1:10" s="124" customFormat="1" x14ac:dyDescent="0.4">
      <c r="A126" s="129">
        <v>111010</v>
      </c>
      <c r="B126" s="121" t="s">
        <v>480</v>
      </c>
      <c r="C126" s="121">
        <v>1</v>
      </c>
      <c r="D126" s="122"/>
      <c r="E126" s="122"/>
      <c r="F126" s="122"/>
      <c r="G126" s="115">
        <v>942</v>
      </c>
      <c r="H126" s="126"/>
      <c r="J126" s="125"/>
    </row>
    <row r="127" spans="1:10" s="124" customFormat="1" x14ac:dyDescent="0.4">
      <c r="A127" s="129">
        <v>111050</v>
      </c>
      <c r="B127" s="121" t="s">
        <v>481</v>
      </c>
      <c r="C127" s="121">
        <v>1</v>
      </c>
      <c r="D127" s="122"/>
      <c r="E127" s="122"/>
      <c r="F127" s="122"/>
      <c r="G127" s="115">
        <v>1224</v>
      </c>
      <c r="H127" s="126"/>
      <c r="J127" s="125"/>
    </row>
    <row r="128" spans="1:10" s="124" customFormat="1" x14ac:dyDescent="0.4">
      <c r="A128" s="129">
        <v>151010</v>
      </c>
      <c r="B128" s="121" t="s">
        <v>482</v>
      </c>
      <c r="C128" s="121">
        <v>1</v>
      </c>
      <c r="D128" s="122"/>
      <c r="E128" s="122"/>
      <c r="F128" s="122"/>
      <c r="G128" s="115">
        <v>142</v>
      </c>
      <c r="H128" s="126"/>
      <c r="J128" s="125"/>
    </row>
    <row r="129" spans="1:10" s="124" customFormat="1" x14ac:dyDescent="0.4">
      <c r="A129" s="129">
        <v>152010</v>
      </c>
      <c r="B129" s="121" t="s">
        <v>483</v>
      </c>
      <c r="C129" s="121">
        <v>1</v>
      </c>
      <c r="D129" s="122"/>
      <c r="E129" s="122"/>
      <c r="F129" s="122"/>
      <c r="G129" s="115">
        <v>139</v>
      </c>
      <c r="H129" s="126"/>
      <c r="J129" s="125"/>
    </row>
    <row r="130" spans="1:10" s="124" customFormat="1" x14ac:dyDescent="0.4">
      <c r="A130" s="129">
        <v>153010</v>
      </c>
      <c r="B130" s="121" t="s">
        <v>484</v>
      </c>
      <c r="C130" s="121">
        <v>1</v>
      </c>
      <c r="D130" s="122"/>
      <c r="E130" s="122"/>
      <c r="F130" s="122"/>
      <c r="G130" s="115">
        <v>591</v>
      </c>
      <c r="H130" s="126"/>
      <c r="J130" s="125"/>
    </row>
    <row r="131" spans="1:10" s="124" customFormat="1" x14ac:dyDescent="0.4">
      <c r="A131" s="129">
        <v>153081</v>
      </c>
      <c r="B131" s="121" t="s">
        <v>485</v>
      </c>
      <c r="C131" s="121">
        <v>1</v>
      </c>
      <c r="D131" s="122"/>
      <c r="E131" s="122"/>
      <c r="F131" s="122"/>
      <c r="G131" s="115"/>
      <c r="H131" s="126"/>
      <c r="J131" s="125"/>
    </row>
    <row r="132" spans="1:10" s="124" customFormat="1" x14ac:dyDescent="0.4">
      <c r="A132" s="129">
        <v>159040</v>
      </c>
      <c r="B132" s="121" t="s">
        <v>486</v>
      </c>
      <c r="C132" s="121">
        <v>1</v>
      </c>
      <c r="D132" s="122"/>
      <c r="E132" s="122"/>
      <c r="F132" s="122"/>
      <c r="G132" s="115"/>
      <c r="H132" s="126"/>
      <c r="J132" s="125"/>
    </row>
    <row r="133" spans="1:10" s="124" customFormat="1" x14ac:dyDescent="0.4">
      <c r="A133" s="129" t="s">
        <v>500</v>
      </c>
      <c r="B133" s="121" t="s">
        <v>506</v>
      </c>
      <c r="C133" s="121">
        <v>1</v>
      </c>
      <c r="D133" s="122"/>
      <c r="E133" s="122"/>
      <c r="F133" s="122"/>
      <c r="G133" s="115">
        <v>5.7</v>
      </c>
      <c r="H133" s="126"/>
      <c r="J133" s="125"/>
    </row>
    <row r="134" spans="1:10" s="124" customFormat="1" x14ac:dyDescent="0.4">
      <c r="A134" s="129" t="s">
        <v>504</v>
      </c>
      <c r="B134" s="121" t="s">
        <v>245</v>
      </c>
      <c r="C134" s="121">
        <v>6</v>
      </c>
      <c r="D134" s="122"/>
      <c r="E134" s="122"/>
      <c r="F134" s="122"/>
      <c r="G134" s="115">
        <v>25.6</v>
      </c>
      <c r="H134" s="126" t="s">
        <v>437</v>
      </c>
      <c r="J134" s="125"/>
    </row>
    <row r="135" spans="1:10" s="124" customFormat="1" x14ac:dyDescent="0.4">
      <c r="A135" s="204" t="s">
        <v>509</v>
      </c>
      <c r="B135" s="205" t="s">
        <v>516</v>
      </c>
      <c r="C135" s="206"/>
      <c r="D135" s="207"/>
      <c r="E135" s="207"/>
      <c r="F135" s="207"/>
      <c r="G135" s="208"/>
      <c r="H135" s="209"/>
      <c r="J135" s="125"/>
    </row>
    <row r="136" spans="1:10" s="124" customFormat="1" x14ac:dyDescent="0.4">
      <c r="A136" s="129" t="s">
        <v>554</v>
      </c>
      <c r="B136" s="120" t="s">
        <v>191</v>
      </c>
      <c r="C136" s="121">
        <v>2.8</v>
      </c>
      <c r="D136" s="122">
        <v>44.9</v>
      </c>
      <c r="E136" s="122">
        <v>44.9</v>
      </c>
      <c r="F136" s="122">
        <v>44.9</v>
      </c>
      <c r="G136" s="115">
        <v>44.8</v>
      </c>
      <c r="H136" s="126" t="s">
        <v>593</v>
      </c>
      <c r="I136" s="127" t="s">
        <v>908</v>
      </c>
      <c r="J136" s="125"/>
    </row>
    <row r="137" spans="1:10" s="124" customFormat="1" x14ac:dyDescent="0.4">
      <c r="A137" s="129" t="s">
        <v>571</v>
      </c>
      <c r="B137" s="121" t="s">
        <v>237</v>
      </c>
      <c r="C137" s="121">
        <v>6</v>
      </c>
      <c r="D137" s="122"/>
      <c r="E137" s="122"/>
      <c r="F137" s="122"/>
      <c r="G137" s="115">
        <v>26</v>
      </c>
      <c r="H137" s="126" t="s">
        <v>437</v>
      </c>
      <c r="J137" s="125"/>
    </row>
    <row r="138" spans="1:10" s="124" customFormat="1" x14ac:dyDescent="0.4">
      <c r="A138" s="129" t="s">
        <v>594</v>
      </c>
      <c r="B138" s="121" t="s">
        <v>595</v>
      </c>
      <c r="C138" s="121">
        <v>0.1</v>
      </c>
      <c r="D138" s="122"/>
      <c r="E138" s="122"/>
      <c r="F138" s="122"/>
      <c r="G138" s="115">
        <v>1732</v>
      </c>
      <c r="H138" s="126"/>
      <c r="J138" s="125"/>
    </row>
    <row r="139" spans="1:10" s="124" customFormat="1" x14ac:dyDescent="0.4">
      <c r="A139" s="129" t="s">
        <v>608</v>
      </c>
      <c r="B139" s="121" t="s">
        <v>615</v>
      </c>
      <c r="C139" s="121">
        <v>0.21</v>
      </c>
      <c r="D139" s="122"/>
      <c r="E139" s="122"/>
      <c r="F139" s="122"/>
      <c r="G139" s="115">
        <v>738</v>
      </c>
      <c r="H139" s="126" t="s">
        <v>157</v>
      </c>
      <c r="J139" s="125"/>
    </row>
    <row r="140" spans="1:10" s="124" customFormat="1" x14ac:dyDescent="0.4">
      <c r="A140" s="129" t="s">
        <v>611</v>
      </c>
      <c r="B140" s="121" t="s">
        <v>909</v>
      </c>
      <c r="C140" s="121">
        <v>9.08</v>
      </c>
      <c r="D140" s="122">
        <v>16.600000000000001</v>
      </c>
      <c r="E140" s="122">
        <v>16.600000000000001</v>
      </c>
      <c r="F140" s="122">
        <v>16.600000000000001</v>
      </c>
      <c r="G140" s="115">
        <v>17.399999999999999</v>
      </c>
      <c r="H140" s="126" t="s">
        <v>616</v>
      </c>
      <c r="J140" s="125"/>
    </row>
    <row r="141" spans="1:10" s="124" customFormat="1" x14ac:dyDescent="0.4">
      <c r="A141" s="129" t="s">
        <v>640</v>
      </c>
      <c r="B141" s="121" t="s">
        <v>1006</v>
      </c>
      <c r="C141" s="121">
        <v>0.28999999999999998</v>
      </c>
      <c r="D141" s="122"/>
      <c r="E141" s="122"/>
      <c r="F141" s="122"/>
      <c r="G141" s="115"/>
      <c r="H141" s="126" t="s">
        <v>157</v>
      </c>
      <c r="J141" s="125"/>
    </row>
    <row r="142" spans="1:10" s="124" customFormat="1" x14ac:dyDescent="0.4">
      <c r="A142" s="129" t="s">
        <v>641</v>
      </c>
      <c r="B142" s="121" t="s">
        <v>1161</v>
      </c>
      <c r="C142" s="121">
        <v>0.28999999999999998</v>
      </c>
      <c r="D142" s="122"/>
      <c r="E142" s="122"/>
      <c r="F142" s="122"/>
      <c r="G142" s="115"/>
      <c r="H142" s="126" t="s">
        <v>157</v>
      </c>
      <c r="J142" s="125"/>
    </row>
    <row r="143" spans="1:10" s="124" customFormat="1" x14ac:dyDescent="0.4">
      <c r="A143" s="129" t="s">
        <v>642</v>
      </c>
      <c r="B143" s="121" t="s">
        <v>643</v>
      </c>
      <c r="C143" s="121">
        <v>0.8</v>
      </c>
      <c r="D143" s="122"/>
      <c r="E143" s="122"/>
      <c r="F143" s="122"/>
      <c r="G143" s="115">
        <v>155.5</v>
      </c>
      <c r="H143" s="126" t="s">
        <v>593</v>
      </c>
      <c r="J143" s="125"/>
    </row>
    <row r="144" spans="1:10" s="124" customFormat="1" x14ac:dyDescent="0.4">
      <c r="A144" s="129" t="s">
        <v>644</v>
      </c>
      <c r="B144" s="121" t="s">
        <v>645</v>
      </c>
      <c r="C144" s="121">
        <v>4.5</v>
      </c>
      <c r="D144" s="122"/>
      <c r="E144" s="122"/>
      <c r="F144" s="122">
        <v>36.1</v>
      </c>
      <c r="G144" s="115">
        <v>37</v>
      </c>
      <c r="H144" s="126" t="s">
        <v>616</v>
      </c>
      <c r="J144" s="125"/>
    </row>
    <row r="145" spans="1:10" s="124" customFormat="1" x14ac:dyDescent="0.4">
      <c r="A145" s="129" t="s">
        <v>1709</v>
      </c>
      <c r="B145" s="121" t="s">
        <v>645</v>
      </c>
      <c r="C145" s="121">
        <v>4.5</v>
      </c>
      <c r="D145" s="122"/>
      <c r="E145" s="122"/>
      <c r="F145" s="122">
        <v>36.1</v>
      </c>
      <c r="G145" s="115">
        <v>37</v>
      </c>
      <c r="H145" s="126" t="s">
        <v>616</v>
      </c>
      <c r="J145" s="125"/>
    </row>
    <row r="146" spans="1:10" s="124" customFormat="1" x14ac:dyDescent="0.4">
      <c r="A146" s="129" t="s">
        <v>885</v>
      </c>
      <c r="B146" s="121" t="s">
        <v>886</v>
      </c>
      <c r="C146" s="121">
        <v>6</v>
      </c>
      <c r="D146" s="122"/>
      <c r="E146" s="122"/>
      <c r="F146" s="122"/>
      <c r="G146" s="115">
        <v>25.2</v>
      </c>
      <c r="H146" s="126" t="s">
        <v>437</v>
      </c>
      <c r="J146" s="125"/>
    </row>
    <row r="147" spans="1:10" s="124" customFormat="1" x14ac:dyDescent="0.4">
      <c r="A147" s="129" t="s">
        <v>887</v>
      </c>
      <c r="B147" s="121" t="s">
        <v>888</v>
      </c>
      <c r="C147" s="121">
        <v>0.26</v>
      </c>
      <c r="D147" s="122"/>
      <c r="E147" s="122"/>
      <c r="F147" s="122"/>
      <c r="G147" s="115">
        <v>612</v>
      </c>
      <c r="H147" s="126" t="s">
        <v>157</v>
      </c>
      <c r="J147" s="125"/>
    </row>
    <row r="148" spans="1:10" s="124" customFormat="1" x14ac:dyDescent="0.4">
      <c r="A148" s="129" t="s">
        <v>44</v>
      </c>
      <c r="B148" s="121" t="s">
        <v>915</v>
      </c>
      <c r="C148" s="121">
        <v>0.34</v>
      </c>
      <c r="D148" s="122"/>
      <c r="E148" s="122"/>
      <c r="F148" s="122"/>
      <c r="G148" s="115">
        <v>366</v>
      </c>
      <c r="H148" s="126" t="s">
        <v>593</v>
      </c>
    </row>
    <row r="149" spans="1:10" x14ac:dyDescent="0.4">
      <c r="A149" s="303" t="s">
        <v>943</v>
      </c>
      <c r="B149" s="6" t="s">
        <v>952</v>
      </c>
      <c r="C149" s="6">
        <v>1</v>
      </c>
      <c r="D149" s="15"/>
      <c r="E149" s="15"/>
      <c r="F149" s="15"/>
      <c r="G149" s="15"/>
      <c r="H149" s="185" t="s">
        <v>949</v>
      </c>
    </row>
    <row r="150" spans="1:10" x14ac:dyDescent="0.4">
      <c r="A150" s="303" t="s">
        <v>965</v>
      </c>
      <c r="B150" s="6" t="s">
        <v>966</v>
      </c>
      <c r="C150" s="6">
        <v>6</v>
      </c>
      <c r="D150" s="15"/>
      <c r="E150" s="15"/>
      <c r="F150" s="15"/>
      <c r="G150" s="15"/>
      <c r="H150" s="126" t="s">
        <v>437</v>
      </c>
    </row>
    <row r="151" spans="1:10" x14ac:dyDescent="0.4">
      <c r="A151" s="303" t="s">
        <v>974</v>
      </c>
      <c r="B151" s="6" t="s">
        <v>975</v>
      </c>
      <c r="C151" s="6">
        <v>0.45</v>
      </c>
      <c r="D151" s="15"/>
      <c r="E151" s="15"/>
      <c r="F151" s="15"/>
      <c r="G151" s="15"/>
      <c r="H151" s="126" t="s">
        <v>157</v>
      </c>
      <c r="I151" s="202"/>
    </row>
    <row r="152" spans="1:10" x14ac:dyDescent="0.4">
      <c r="A152" s="303" t="s">
        <v>979</v>
      </c>
      <c r="B152" s="6" t="s">
        <v>199</v>
      </c>
      <c r="C152" s="6">
        <v>3.2</v>
      </c>
      <c r="D152" s="15">
        <v>45.8</v>
      </c>
      <c r="E152" s="15">
        <v>46.2</v>
      </c>
      <c r="F152" s="15">
        <v>46.2</v>
      </c>
      <c r="G152" s="15">
        <v>47.5</v>
      </c>
      <c r="H152" s="185" t="s">
        <v>593</v>
      </c>
    </row>
    <row r="153" spans="1:10" x14ac:dyDescent="0.4">
      <c r="A153" s="303" t="s">
        <v>984</v>
      </c>
      <c r="B153" s="6" t="s">
        <v>245</v>
      </c>
      <c r="C153" s="6">
        <v>6</v>
      </c>
      <c r="D153" s="15"/>
      <c r="E153" s="15"/>
      <c r="F153" s="15"/>
      <c r="G153" s="15">
        <v>25.6</v>
      </c>
      <c r="H153" s="185" t="s">
        <v>437</v>
      </c>
    </row>
    <row r="154" spans="1:10" x14ac:dyDescent="0.4">
      <c r="A154" s="303" t="s">
        <v>995</v>
      </c>
      <c r="B154" s="120" t="s">
        <v>201</v>
      </c>
      <c r="C154" s="121">
        <v>0.9</v>
      </c>
      <c r="D154" s="122">
        <v>162.5</v>
      </c>
      <c r="E154" s="122">
        <v>165</v>
      </c>
      <c r="F154" s="122">
        <v>165</v>
      </c>
      <c r="G154" s="115">
        <v>163</v>
      </c>
      <c r="H154" s="126" t="s">
        <v>177</v>
      </c>
    </row>
    <row r="155" spans="1:10" ht="18" customHeight="1" x14ac:dyDescent="0.4">
      <c r="A155" s="303" t="s">
        <v>997</v>
      </c>
      <c r="B155" s="6" t="s">
        <v>239</v>
      </c>
      <c r="C155" s="6">
        <v>6</v>
      </c>
      <c r="D155" s="15">
        <v>24</v>
      </c>
      <c r="E155" s="15"/>
      <c r="F155" s="15">
        <v>24</v>
      </c>
      <c r="G155" s="15">
        <v>25.8</v>
      </c>
      <c r="H155" s="185" t="s">
        <v>437</v>
      </c>
    </row>
    <row r="156" spans="1:10" x14ac:dyDescent="0.4">
      <c r="A156" s="303" t="s">
        <v>1007</v>
      </c>
      <c r="B156" s="121" t="s">
        <v>909</v>
      </c>
      <c r="C156" s="6">
        <v>9.08</v>
      </c>
      <c r="D156" s="15"/>
      <c r="E156" s="15"/>
      <c r="F156" s="15"/>
      <c r="G156" s="115">
        <v>17.399999999999999</v>
      </c>
      <c r="H156" s="126" t="s">
        <v>616</v>
      </c>
    </row>
    <row r="157" spans="1:10" x14ac:dyDescent="0.4">
      <c r="A157" s="303" t="s">
        <v>1045</v>
      </c>
      <c r="B157" s="6" t="s">
        <v>1056</v>
      </c>
      <c r="C157" s="6">
        <v>6</v>
      </c>
      <c r="D157" s="15"/>
      <c r="E157" s="15"/>
      <c r="F157" s="15"/>
      <c r="G157" s="15"/>
      <c r="H157" s="185" t="s">
        <v>437</v>
      </c>
    </row>
    <row r="158" spans="1:10" x14ac:dyDescent="0.4">
      <c r="A158" s="303" t="s">
        <v>1046</v>
      </c>
      <c r="B158" s="6" t="s">
        <v>1057</v>
      </c>
      <c r="C158" s="6">
        <v>6</v>
      </c>
      <c r="D158" s="15"/>
      <c r="E158" s="15"/>
      <c r="F158" s="15"/>
      <c r="G158" s="15"/>
      <c r="H158" s="185" t="s">
        <v>437</v>
      </c>
    </row>
    <row r="159" spans="1:10" x14ac:dyDescent="0.4">
      <c r="A159" s="303" t="s">
        <v>1061</v>
      </c>
      <c r="B159" s="120" t="s">
        <v>176</v>
      </c>
      <c r="C159" s="121">
        <v>3.2</v>
      </c>
      <c r="D159" s="15"/>
      <c r="E159" s="15"/>
      <c r="F159" s="15"/>
      <c r="G159" s="115">
        <v>46.8</v>
      </c>
      <c r="H159" s="126" t="s">
        <v>177</v>
      </c>
    </row>
    <row r="160" spans="1:10" x14ac:dyDescent="0.4">
      <c r="A160" s="303" t="s">
        <v>1060</v>
      </c>
      <c r="B160" s="121" t="s">
        <v>886</v>
      </c>
      <c r="C160" s="121">
        <v>6</v>
      </c>
      <c r="D160" s="15"/>
      <c r="E160" s="15"/>
      <c r="F160" s="15"/>
      <c r="G160" s="115">
        <v>25.2</v>
      </c>
      <c r="H160" s="126" t="s">
        <v>437</v>
      </c>
    </row>
    <row r="161" spans="1:10" x14ac:dyDescent="0.4">
      <c r="A161" s="303" t="s">
        <v>1096</v>
      </c>
      <c r="B161" s="6" t="s">
        <v>1097</v>
      </c>
      <c r="C161" s="6">
        <v>3</v>
      </c>
      <c r="D161" s="15">
        <v>35</v>
      </c>
      <c r="E161" s="15"/>
      <c r="F161" s="15"/>
      <c r="G161" s="15"/>
      <c r="H161" s="126" t="s">
        <v>437</v>
      </c>
    </row>
    <row r="162" spans="1:10" x14ac:dyDescent="0.4">
      <c r="A162" s="303" t="s">
        <v>1098</v>
      </c>
      <c r="B162" s="6" t="s">
        <v>231</v>
      </c>
      <c r="C162" s="6">
        <v>3</v>
      </c>
      <c r="D162" s="15">
        <f>10.2*4</f>
        <v>40.799999999999997</v>
      </c>
      <c r="E162" s="15"/>
      <c r="F162" s="15"/>
      <c r="G162" s="15"/>
      <c r="H162" s="126" t="s">
        <v>437</v>
      </c>
    </row>
    <row r="163" spans="1:10" x14ac:dyDescent="0.4">
      <c r="A163" s="303" t="s">
        <v>1099</v>
      </c>
      <c r="B163" s="6" t="s">
        <v>1102</v>
      </c>
      <c r="C163" s="6">
        <v>6</v>
      </c>
      <c r="D163" s="15"/>
      <c r="E163" s="15"/>
      <c r="F163" s="15"/>
      <c r="G163" s="15"/>
      <c r="H163" s="126" t="s">
        <v>437</v>
      </c>
    </row>
    <row r="164" spans="1:10" x14ac:dyDescent="0.4">
      <c r="A164" s="303">
        <v>155121</v>
      </c>
      <c r="B164" s="6" t="s">
        <v>1145</v>
      </c>
      <c r="C164" s="6">
        <v>15</v>
      </c>
      <c r="D164" s="15"/>
      <c r="E164" s="15"/>
      <c r="F164" s="15"/>
      <c r="G164" s="15"/>
      <c r="H164" s="185" t="s">
        <v>1146</v>
      </c>
    </row>
    <row r="165" spans="1:10" x14ac:dyDescent="0.4">
      <c r="A165" s="303" t="s">
        <v>1046</v>
      </c>
      <c r="B165" s="6" t="s">
        <v>1057</v>
      </c>
      <c r="C165" s="6">
        <v>6</v>
      </c>
      <c r="D165" s="15"/>
      <c r="E165" s="15"/>
      <c r="F165" s="15"/>
      <c r="G165" s="15"/>
      <c r="H165" s="185" t="s">
        <v>1146</v>
      </c>
    </row>
    <row r="166" spans="1:10" x14ac:dyDescent="0.4">
      <c r="A166" s="303">
        <v>111060</v>
      </c>
      <c r="B166" s="6" t="s">
        <v>1186</v>
      </c>
      <c r="C166" s="6">
        <v>1</v>
      </c>
      <c r="D166" s="15"/>
      <c r="E166" s="15"/>
      <c r="F166" s="15"/>
      <c r="G166" s="15"/>
      <c r="H166" s="185" t="s">
        <v>1146</v>
      </c>
    </row>
    <row r="167" spans="1:10" x14ac:dyDescent="0.4">
      <c r="A167" s="303" t="s">
        <v>1196</v>
      </c>
      <c r="B167" s="5" t="s">
        <v>165</v>
      </c>
      <c r="C167" s="6">
        <v>0.4</v>
      </c>
      <c r="D167" s="15">
        <v>310.5</v>
      </c>
      <c r="E167" s="15">
        <v>310.5</v>
      </c>
      <c r="F167" s="15">
        <v>310.5</v>
      </c>
      <c r="G167" s="115">
        <v>309.2</v>
      </c>
      <c r="H167" s="16" t="s">
        <v>157</v>
      </c>
    </row>
    <row r="168" spans="1:10" x14ac:dyDescent="0.4">
      <c r="A168" s="303" t="s">
        <v>1260</v>
      </c>
      <c r="B168" s="6" t="s">
        <v>1269</v>
      </c>
      <c r="C168" s="6">
        <v>0.22</v>
      </c>
      <c r="D168" s="15"/>
      <c r="E168" s="15"/>
      <c r="F168" s="15"/>
      <c r="G168" s="15"/>
      <c r="H168" s="185" t="s">
        <v>157</v>
      </c>
    </row>
    <row r="169" spans="1:10" x14ac:dyDescent="0.4">
      <c r="A169" s="303" t="s">
        <v>1261</v>
      </c>
      <c r="B169" s="6" t="s">
        <v>1270</v>
      </c>
      <c r="C169" s="6">
        <v>6</v>
      </c>
      <c r="D169" s="15"/>
      <c r="E169" s="15"/>
      <c r="F169" s="15"/>
      <c r="G169" s="15"/>
      <c r="H169" s="185" t="s">
        <v>437</v>
      </c>
    </row>
    <row r="170" spans="1:10" x14ac:dyDescent="0.4">
      <c r="A170" s="119" t="s">
        <v>1282</v>
      </c>
      <c r="B170" s="121" t="s">
        <v>1283</v>
      </c>
      <c r="C170" s="6">
        <v>0.19</v>
      </c>
      <c r="D170" s="15"/>
      <c r="E170" s="15"/>
      <c r="F170" s="15"/>
      <c r="G170" s="15"/>
      <c r="H170" s="185" t="s">
        <v>157</v>
      </c>
    </row>
    <row r="171" spans="1:10" x14ac:dyDescent="0.4">
      <c r="A171" s="303" t="s">
        <v>1287</v>
      </c>
      <c r="B171" s="6" t="s">
        <v>1291</v>
      </c>
      <c r="C171" s="6">
        <v>6</v>
      </c>
      <c r="D171" s="15"/>
      <c r="E171" s="15"/>
      <c r="F171" s="15"/>
      <c r="G171" s="15"/>
      <c r="H171" s="185" t="s">
        <v>437</v>
      </c>
    </row>
    <row r="172" spans="1:10" x14ac:dyDescent="0.4">
      <c r="A172" s="303" t="s">
        <v>1667</v>
      </c>
      <c r="B172" s="6" t="s">
        <v>1668</v>
      </c>
      <c r="C172" s="6">
        <v>6</v>
      </c>
      <c r="D172" s="15"/>
      <c r="E172" s="15"/>
      <c r="F172" s="15"/>
      <c r="G172" s="15"/>
      <c r="H172" s="185" t="s">
        <v>437</v>
      </c>
    </row>
    <row r="173" spans="1:10" s="124" customFormat="1" x14ac:dyDescent="0.4">
      <c r="A173" s="129" t="s">
        <v>1674</v>
      </c>
      <c r="B173" s="120" t="s">
        <v>235</v>
      </c>
      <c r="C173" s="121">
        <v>6</v>
      </c>
      <c r="D173" s="122"/>
      <c r="E173" s="122"/>
      <c r="F173" s="122"/>
      <c r="G173" s="115"/>
      <c r="H173" s="126" t="s">
        <v>225</v>
      </c>
      <c r="J173" s="125"/>
    </row>
    <row r="174" spans="1:10" x14ac:dyDescent="0.4">
      <c r="A174" s="303" t="s">
        <v>1697</v>
      </c>
      <c r="B174" s="6" t="s">
        <v>1717</v>
      </c>
      <c r="C174" s="6">
        <v>2.5</v>
      </c>
      <c r="D174" s="15"/>
      <c r="E174" s="15"/>
      <c r="F174" s="15"/>
      <c r="G174" s="15"/>
      <c r="H174" s="185" t="s">
        <v>437</v>
      </c>
    </row>
    <row r="175" spans="1:10" x14ac:dyDescent="0.4">
      <c r="A175" s="303" t="s">
        <v>1696</v>
      </c>
      <c r="B175" s="6" t="s">
        <v>249</v>
      </c>
      <c r="C175" s="6">
        <v>6</v>
      </c>
      <c r="D175" s="15"/>
      <c r="E175" s="15"/>
      <c r="F175" s="15"/>
      <c r="G175" s="15"/>
      <c r="H175" s="185" t="s">
        <v>437</v>
      </c>
    </row>
    <row r="176" spans="1:10" x14ac:dyDescent="0.4">
      <c r="A176" s="303" t="s">
        <v>1737</v>
      </c>
      <c r="B176" s="6" t="s">
        <v>235</v>
      </c>
      <c r="C176" s="6">
        <v>6</v>
      </c>
      <c r="D176" s="15"/>
      <c r="E176" s="15"/>
      <c r="F176" s="15"/>
      <c r="G176" s="15"/>
      <c r="H176" s="185" t="s">
        <v>437</v>
      </c>
    </row>
    <row r="177" spans="1:9" x14ac:dyDescent="0.4">
      <c r="A177" s="303" t="s">
        <v>1745</v>
      </c>
      <c r="B177" s="6" t="s">
        <v>1747</v>
      </c>
      <c r="C177" s="6">
        <v>6</v>
      </c>
      <c r="D177" s="15"/>
      <c r="E177" s="15"/>
      <c r="F177" s="15"/>
      <c r="G177" s="15"/>
      <c r="H177" s="185" t="s">
        <v>437</v>
      </c>
    </row>
    <row r="178" spans="1:9" x14ac:dyDescent="0.4">
      <c r="A178" s="303" t="s">
        <v>1754</v>
      </c>
      <c r="B178" s="6" t="s">
        <v>1755</v>
      </c>
      <c r="C178" s="6">
        <v>6</v>
      </c>
      <c r="D178" s="15"/>
      <c r="E178" s="15"/>
      <c r="F178" s="15"/>
      <c r="G178" s="15"/>
      <c r="H178" s="185" t="s">
        <v>437</v>
      </c>
    </row>
    <row r="179" spans="1:9" x14ac:dyDescent="0.4">
      <c r="A179" s="303" t="s">
        <v>1760</v>
      </c>
      <c r="B179" s="6" t="s">
        <v>1767</v>
      </c>
      <c r="C179" s="6">
        <v>0.21</v>
      </c>
      <c r="D179" s="15"/>
      <c r="E179" s="15"/>
      <c r="F179" s="15"/>
      <c r="G179" s="15"/>
      <c r="H179" s="185" t="s">
        <v>157</v>
      </c>
    </row>
    <row r="180" spans="1:9" x14ac:dyDescent="0.4">
      <c r="A180" s="303" t="s">
        <v>1806</v>
      </c>
      <c r="B180" s="120" t="s">
        <v>203</v>
      </c>
      <c r="C180" s="121">
        <v>3.2</v>
      </c>
      <c r="D180" s="122">
        <v>46.8</v>
      </c>
      <c r="E180" s="15"/>
      <c r="F180" s="15"/>
      <c r="G180" s="15"/>
      <c r="H180" s="126" t="s">
        <v>593</v>
      </c>
    </row>
    <row r="181" spans="1:9" x14ac:dyDescent="0.4">
      <c r="A181" s="303" t="s">
        <v>1882</v>
      </c>
      <c r="B181" s="120" t="s">
        <v>1881</v>
      </c>
      <c r="C181" s="121">
        <v>4.5</v>
      </c>
      <c r="D181" s="122"/>
      <c r="E181" s="15"/>
      <c r="F181" s="15"/>
      <c r="G181" s="15"/>
      <c r="H181" s="126" t="s">
        <v>616</v>
      </c>
      <c r="I181" s="471"/>
    </row>
  </sheetData>
  <autoFilter ref="A2:K180"/>
  <mergeCells count="1">
    <mergeCell ref="A1:H1"/>
  </mergeCells>
  <phoneticPr fontId="2" type="noConversion"/>
  <conditionalFormatting sqref="A136">
    <cfRule type="duplicateValues" dxfId="239" priority="6"/>
  </conditionalFormatting>
  <conditionalFormatting sqref="A137:A138 A118:A135">
    <cfRule type="duplicateValues" dxfId="238" priority="7"/>
  </conditionalFormatting>
  <conditionalFormatting sqref="A139:A140">
    <cfRule type="duplicateValues" dxfId="237" priority="5"/>
  </conditionalFormatting>
  <conditionalFormatting sqref="A141:A144">
    <cfRule type="duplicateValues" dxfId="236" priority="4"/>
  </conditionalFormatting>
  <conditionalFormatting sqref="A146:A147">
    <cfRule type="duplicateValues" dxfId="235" priority="3"/>
  </conditionalFormatting>
  <conditionalFormatting sqref="A148">
    <cfRule type="duplicateValues" dxfId="234" priority="2"/>
  </conditionalFormatting>
  <conditionalFormatting sqref="A145">
    <cfRule type="duplicateValues" dxfId="233" priority="1"/>
  </conditionalFormatting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AD3856"/>
  <sheetViews>
    <sheetView tabSelected="1" zoomScale="85" zoomScaleNormal="85" zoomScaleSheetLayoutView="115" workbookViewId="0">
      <pane xSplit="7" ySplit="1" topLeftCell="H3369" activePane="bottomRight" state="frozen"/>
      <selection pane="topRight" activeCell="H1" sqref="H1"/>
      <selection pane="bottomLeft" activeCell="A2" sqref="A2"/>
      <selection pane="bottomRight" activeCell="M3409" sqref="M3409"/>
    </sheetView>
  </sheetViews>
  <sheetFormatPr defaultColWidth="9" defaultRowHeight="17" outlineLevelCol="1" x14ac:dyDescent="0.4"/>
  <cols>
    <col min="1" max="1" width="10.453125" style="99" bestFit="1" customWidth="1"/>
    <col min="2" max="2" width="10" style="152" bestFit="1" customWidth="1"/>
    <col min="3" max="3" width="16.26953125" customWidth="1"/>
    <col min="4" max="4" width="6" style="297" customWidth="1"/>
    <col min="5" max="5" width="6" customWidth="1"/>
    <col min="6" max="6" width="11.08984375" customWidth="1"/>
    <col min="7" max="7" width="10.7265625" customWidth="1"/>
    <col min="8" max="8" width="9.6328125" style="146" customWidth="1" collapsed="1"/>
    <col min="9" max="9" width="17.36328125" style="113" hidden="1" customWidth="1" outlineLevel="1"/>
    <col min="10" max="10" width="12.08984375" style="35" customWidth="1" collapsed="1"/>
    <col min="11" max="11" width="13.6328125" style="34" hidden="1" customWidth="1" outlineLevel="1"/>
    <col min="12" max="12" width="12.26953125" style="26" customWidth="1" collapsed="1"/>
    <col min="13" max="13" width="9.7265625" style="236" customWidth="1"/>
    <col min="14" max="14" width="4.36328125" style="167" hidden="1" customWidth="1" outlineLevel="1"/>
    <col min="15" max="15" width="3.7265625" style="167" hidden="1" customWidth="1" outlineLevel="1"/>
    <col min="16" max="16" width="12.08984375" style="167" customWidth="1" collapsed="1"/>
    <col min="17" max="17" width="14.26953125" style="35" customWidth="1"/>
    <col min="18" max="18" width="13.08984375" style="32" customWidth="1"/>
    <col min="19" max="19" width="7.36328125" style="34" customWidth="1"/>
    <col min="20" max="20" width="27.26953125" style="301" customWidth="1"/>
    <col min="21" max="21" width="8.26953125" customWidth="1"/>
    <col min="22" max="22" width="8.26953125" style="361" customWidth="1"/>
    <col min="23" max="23" width="12.6328125" style="421" customWidth="1"/>
    <col min="24" max="24" width="8.26953125" style="361" customWidth="1"/>
    <col min="25" max="28" width="12.6328125" style="421" customWidth="1"/>
    <col min="29" max="30" width="11.453125" style="421" bestFit="1" customWidth="1"/>
    <col min="31" max="266" width="10" customWidth="1"/>
  </cols>
  <sheetData>
    <row r="1" spans="1:30" s="11" customFormat="1" ht="39.75" customHeight="1" x14ac:dyDescent="0.4">
      <c r="A1" s="175" t="s">
        <v>1854</v>
      </c>
      <c r="B1" s="39" t="s">
        <v>0</v>
      </c>
      <c r="C1" s="24" t="s">
        <v>49</v>
      </c>
      <c r="D1" s="283" t="s">
        <v>393</v>
      </c>
      <c r="E1" s="31" t="s">
        <v>391</v>
      </c>
      <c r="F1" s="31" t="s">
        <v>392</v>
      </c>
      <c r="G1" s="31" t="s">
        <v>394</v>
      </c>
      <c r="H1" s="39" t="s">
        <v>395</v>
      </c>
      <c r="I1" s="33" t="s">
        <v>396</v>
      </c>
      <c r="J1" s="21" t="s">
        <v>399</v>
      </c>
      <c r="K1" s="33" t="s">
        <v>400</v>
      </c>
      <c r="L1" s="25" t="s">
        <v>429</v>
      </c>
      <c r="M1" s="234" t="s">
        <v>515</v>
      </c>
      <c r="N1" s="161" t="s">
        <v>401</v>
      </c>
      <c r="O1" s="162" t="s">
        <v>389</v>
      </c>
      <c r="P1" s="163" t="s">
        <v>397</v>
      </c>
      <c r="Q1" s="37" t="s">
        <v>398</v>
      </c>
      <c r="R1" s="36" t="s">
        <v>50</v>
      </c>
      <c r="S1" s="363" t="s">
        <v>964</v>
      </c>
      <c r="T1" s="299" t="s">
        <v>379</v>
      </c>
      <c r="U1" s="24" t="s">
        <v>450</v>
      </c>
      <c r="V1" s="470" t="s">
        <v>1864</v>
      </c>
      <c r="W1" s="422" t="s">
        <v>1704</v>
      </c>
      <c r="X1" s="470" t="s">
        <v>1865</v>
      </c>
      <c r="Y1" s="422" t="s">
        <v>1873</v>
      </c>
      <c r="Z1" s="422" t="s">
        <v>1885</v>
      </c>
      <c r="AA1" s="422" t="s">
        <v>1703</v>
      </c>
      <c r="AB1" s="422" t="s">
        <v>1702</v>
      </c>
      <c r="AC1" s="422" t="s">
        <v>1730</v>
      </c>
      <c r="AD1" s="422" t="s">
        <v>1731</v>
      </c>
    </row>
    <row r="2" spans="1:30" s="22" customFormat="1" x14ac:dyDescent="0.4">
      <c r="A2" s="52" t="s">
        <v>667</v>
      </c>
      <c r="B2" s="150" t="s">
        <v>1</v>
      </c>
      <c r="C2" s="30" t="str">
        <f>VLOOKUP(B2,'112年全品項生產鍋數'!A:H,2,0)</f>
        <v>藍莓醬(1*6kg)</v>
      </c>
      <c r="D2" s="284">
        <v>20</v>
      </c>
      <c r="E2" s="48">
        <f>VLOOKUP(B2,'112年全品項生產鍋數'!A:H,3,0)</f>
        <v>6</v>
      </c>
      <c r="F2" s="45">
        <f>VLOOKUP(B2,'112年全品項生產鍋數'!A:H,7,0)</f>
        <v>25.5</v>
      </c>
      <c r="G2" s="49">
        <f t="shared" ref="G2:G65" si="0">D2*F2</f>
        <v>510</v>
      </c>
      <c r="H2" s="141">
        <v>504</v>
      </c>
      <c r="I2" s="46">
        <f t="shared" ref="I2:I65" si="1">H2*E2</f>
        <v>3024</v>
      </c>
      <c r="J2" s="100">
        <f t="shared" ref="J2:J65" si="2">IF(G2=0,"無法預估數據",H2/G2)</f>
        <v>0.9882352941176471</v>
      </c>
      <c r="K2" s="51">
        <f>VLOOKUP(B:B,'生產達成率(目標)'!A:C,3,0)</f>
        <v>1</v>
      </c>
      <c r="L2" s="20">
        <f>IF(G2=0,"無法預估數據",ROUND(J2-K2,3))</f>
        <v>-1.2E-2</v>
      </c>
      <c r="M2" s="235"/>
      <c r="N2" s="164"/>
      <c r="O2" s="150">
        <f t="shared" ref="O2:O65" si="3">H2-N2-P2</f>
        <v>2</v>
      </c>
      <c r="P2" s="141">
        <v>502</v>
      </c>
      <c r="Q2" s="27">
        <f>P2/H2</f>
        <v>0.99603174603174605</v>
      </c>
      <c r="R2" s="48"/>
      <c r="S2" s="172" t="s">
        <v>52</v>
      </c>
      <c r="T2" s="52"/>
      <c r="U2" s="23"/>
      <c r="V2" s="458"/>
      <c r="W2" s="421"/>
      <c r="X2" s="458"/>
      <c r="Y2" s="421"/>
      <c r="Z2" s="421"/>
      <c r="AA2" s="421"/>
      <c r="AB2" s="421"/>
      <c r="AC2" s="421"/>
      <c r="AD2" s="421"/>
    </row>
    <row r="3" spans="1:30" s="22" customFormat="1" x14ac:dyDescent="0.4">
      <c r="A3" s="52" t="s">
        <v>667</v>
      </c>
      <c r="B3" s="149" t="s">
        <v>150</v>
      </c>
      <c r="C3" s="30" t="str">
        <f>VLOOKUP(B3,'112年全品項生產鍋數'!A:H,2,0)</f>
        <v>鳳梨芒果百香果醬(1*6KG)</v>
      </c>
      <c r="D3" s="284">
        <v>12</v>
      </c>
      <c r="E3" s="48">
        <f>VLOOKUP(B3,'112年全品項生產鍋數'!A:H,3,0)</f>
        <v>6</v>
      </c>
      <c r="F3" s="45">
        <f>VLOOKUP(B3,'112年全品項生產鍋數'!A:H,7,0)</f>
        <v>25.7</v>
      </c>
      <c r="G3" s="49">
        <f t="shared" si="0"/>
        <v>308.39999999999998</v>
      </c>
      <c r="H3" s="141">
        <v>301</v>
      </c>
      <c r="I3" s="46">
        <f t="shared" si="1"/>
        <v>1806</v>
      </c>
      <c r="J3" s="100">
        <f t="shared" si="2"/>
        <v>0.97600518806744496</v>
      </c>
      <c r="K3" s="51">
        <f>VLOOKUP(B:B,'生產達成率(目標)'!A:C,3,0)</f>
        <v>1</v>
      </c>
      <c r="L3" s="20">
        <f t="shared" ref="L3:L66" si="4">IF(G3=0,"無法預估數據",ROUND(J3-K3,3))</f>
        <v>-2.4E-2</v>
      </c>
      <c r="M3" s="235"/>
      <c r="N3" s="164"/>
      <c r="O3" s="150">
        <f t="shared" si="3"/>
        <v>2</v>
      </c>
      <c r="P3" s="141">
        <v>299</v>
      </c>
      <c r="Q3" s="27">
        <f t="shared" ref="Q3:Q65" si="5">P3/H3</f>
        <v>0.99335548172757471</v>
      </c>
      <c r="R3" s="48"/>
      <c r="S3" s="172"/>
      <c r="T3" s="52"/>
      <c r="U3" s="23"/>
      <c r="V3" s="458"/>
      <c r="W3" s="421"/>
      <c r="X3" s="458"/>
      <c r="Y3" s="421"/>
      <c r="Z3" s="421"/>
      <c r="AA3" s="421"/>
      <c r="AB3" s="421"/>
      <c r="AC3" s="421"/>
      <c r="AD3" s="421"/>
    </row>
    <row r="4" spans="1:30" s="22" customFormat="1" x14ac:dyDescent="0.4">
      <c r="A4" s="52" t="s">
        <v>667</v>
      </c>
      <c r="B4" s="150" t="s">
        <v>54</v>
      </c>
      <c r="C4" s="30" t="str">
        <f>VLOOKUP(B4,'112年全品項生產鍋數'!A:H,2,0)</f>
        <v>草莓醬(1*6kg)</v>
      </c>
      <c r="D4" s="284">
        <v>16</v>
      </c>
      <c r="E4" s="48">
        <f>VLOOKUP(B4,'112年全品項生產鍋數'!A:H,3,0)</f>
        <v>6</v>
      </c>
      <c r="F4" s="45">
        <f>VLOOKUP(B4,'112年全品項生產鍋數'!A:H,7,0)</f>
        <v>26.6</v>
      </c>
      <c r="G4" s="49">
        <f t="shared" si="0"/>
        <v>425.6</v>
      </c>
      <c r="H4" s="141">
        <v>412</v>
      </c>
      <c r="I4" s="46">
        <f t="shared" si="1"/>
        <v>2472</v>
      </c>
      <c r="J4" s="100">
        <f t="shared" si="2"/>
        <v>0.96804511278195482</v>
      </c>
      <c r="K4" s="51">
        <f>VLOOKUP(B:B,'生產達成率(目標)'!A:C,3,0)</f>
        <v>1</v>
      </c>
      <c r="L4" s="20">
        <f t="shared" si="4"/>
        <v>-3.2000000000000001E-2</v>
      </c>
      <c r="M4" s="235"/>
      <c r="N4" s="164"/>
      <c r="O4" s="150">
        <f t="shared" si="3"/>
        <v>2</v>
      </c>
      <c r="P4" s="141">
        <v>410</v>
      </c>
      <c r="Q4" s="27">
        <f t="shared" si="5"/>
        <v>0.99514563106796117</v>
      </c>
      <c r="R4" s="48"/>
      <c r="S4" s="172"/>
      <c r="T4" s="52"/>
      <c r="U4" s="23"/>
      <c r="V4" s="458"/>
      <c r="W4" s="421"/>
      <c r="X4" s="458"/>
      <c r="Y4" s="421"/>
      <c r="Z4" s="421"/>
      <c r="AA4" s="421"/>
      <c r="AB4" s="421"/>
      <c r="AC4" s="421"/>
      <c r="AD4" s="421"/>
    </row>
    <row r="5" spans="1:30" s="22" customFormat="1" x14ac:dyDescent="0.4">
      <c r="A5" s="52" t="s">
        <v>667</v>
      </c>
      <c r="B5" s="150" t="s">
        <v>55</v>
      </c>
      <c r="C5" s="30" t="str">
        <f>VLOOKUP(B5,'112年全品項生產鍋數'!A:H,2,0)</f>
        <v>天天開心草莓餡4.5KG</v>
      </c>
      <c r="D5" s="284">
        <v>20</v>
      </c>
      <c r="E5" s="48">
        <f>VLOOKUP(B5,'112年全品項生產鍋數'!A:H,3,0)</f>
        <v>4.5</v>
      </c>
      <c r="F5" s="45">
        <f>VLOOKUP(B5,'112年全品項生產鍋數'!A:H,7,0)</f>
        <v>36.299999999999997</v>
      </c>
      <c r="G5" s="49">
        <f t="shared" si="0"/>
        <v>726</v>
      </c>
      <c r="H5" s="141">
        <v>713</v>
      </c>
      <c r="I5" s="46">
        <f t="shared" si="1"/>
        <v>3208.5</v>
      </c>
      <c r="J5" s="100">
        <f t="shared" si="2"/>
        <v>0.98209366391184572</v>
      </c>
      <c r="K5" s="51">
        <f>VLOOKUP(B:B,'生產達成率(目標)'!A:C,3,0)</f>
        <v>1</v>
      </c>
      <c r="L5" s="20">
        <f t="shared" si="4"/>
        <v>-1.7999999999999999E-2</v>
      </c>
      <c r="M5" s="235"/>
      <c r="N5" s="164"/>
      <c r="O5" s="150">
        <f t="shared" si="3"/>
        <v>1</v>
      </c>
      <c r="P5" s="141">
        <v>712</v>
      </c>
      <c r="Q5" s="27">
        <f t="shared" si="5"/>
        <v>0.99859747545582045</v>
      </c>
      <c r="R5" s="48"/>
      <c r="S5" s="172"/>
      <c r="T5" s="52"/>
      <c r="U5" s="23"/>
      <c r="V5" s="458"/>
      <c r="W5" s="421"/>
      <c r="X5" s="458"/>
      <c r="Y5" s="421"/>
      <c r="Z5" s="421"/>
      <c r="AA5" s="421"/>
      <c r="AB5" s="421"/>
      <c r="AC5" s="421"/>
      <c r="AD5" s="421"/>
    </row>
    <row r="6" spans="1:30" s="22" customFormat="1" x14ac:dyDescent="0.4">
      <c r="A6" s="52" t="s">
        <v>667</v>
      </c>
      <c r="B6" s="149" t="s">
        <v>361</v>
      </c>
      <c r="C6" s="30" t="str">
        <f>VLOOKUP(B6,'112年全品項生產鍋數'!A:H,2,0)</f>
        <v>天天熱帶水果餡 4.5KG</v>
      </c>
      <c r="D6" s="284">
        <v>8</v>
      </c>
      <c r="E6" s="48">
        <f>VLOOKUP(B6,'112年全品項生產鍋數'!A:H,3,0)</f>
        <v>4.5</v>
      </c>
      <c r="F6" s="45">
        <f>VLOOKUP(B6,'112年全品項生產鍋數'!A:H,7,0)</f>
        <v>34.5</v>
      </c>
      <c r="G6" s="49">
        <f t="shared" si="0"/>
        <v>276</v>
      </c>
      <c r="H6" s="141">
        <v>270</v>
      </c>
      <c r="I6" s="46">
        <f t="shared" si="1"/>
        <v>1215</v>
      </c>
      <c r="J6" s="100">
        <f t="shared" si="2"/>
        <v>0.97826086956521741</v>
      </c>
      <c r="K6" s="51">
        <f>VLOOKUP(B:B,'生產達成率(目標)'!A:C,3,0)</f>
        <v>1</v>
      </c>
      <c r="L6" s="20">
        <f t="shared" si="4"/>
        <v>-2.1999999999999999E-2</v>
      </c>
      <c r="M6" s="235"/>
      <c r="N6" s="164"/>
      <c r="O6" s="150">
        <f t="shared" si="3"/>
        <v>0</v>
      </c>
      <c r="P6" s="141">
        <v>270</v>
      </c>
      <c r="Q6" s="27">
        <f t="shared" si="5"/>
        <v>1</v>
      </c>
      <c r="R6" s="48"/>
      <c r="S6" s="172"/>
      <c r="T6" s="52"/>
      <c r="U6" s="23"/>
      <c r="V6" s="458"/>
      <c r="W6" s="421"/>
      <c r="X6" s="458"/>
      <c r="Y6" s="421"/>
      <c r="Z6" s="421"/>
      <c r="AA6" s="421"/>
      <c r="AB6" s="421"/>
      <c r="AC6" s="421"/>
      <c r="AD6" s="421"/>
    </row>
    <row r="7" spans="1:30" s="22" customFormat="1" x14ac:dyDescent="0.4">
      <c r="A7" s="52" t="s">
        <v>667</v>
      </c>
      <c r="B7" s="150" t="s">
        <v>57</v>
      </c>
      <c r="C7" s="30" t="str">
        <f>VLOOKUP(B7,'112年全品項生產鍋數'!A:H,2,0)</f>
        <v>蘋果藍莓餡(1*9.08kg)</v>
      </c>
      <c r="D7" s="284">
        <v>24</v>
      </c>
      <c r="E7" s="48">
        <f>VLOOKUP(B7,'112年全品項生產鍋數'!A:H,3,0)</f>
        <v>9.08</v>
      </c>
      <c r="F7" s="45">
        <f>VLOOKUP(B7,'112年全品項生產鍋數'!A:H,7,0)</f>
        <v>17.3</v>
      </c>
      <c r="G7" s="49">
        <f t="shared" si="0"/>
        <v>415.20000000000005</v>
      </c>
      <c r="H7" s="141">
        <v>409</v>
      </c>
      <c r="I7" s="46">
        <f t="shared" si="1"/>
        <v>3713.7200000000003</v>
      </c>
      <c r="J7" s="100">
        <f t="shared" si="2"/>
        <v>0.98506743737957603</v>
      </c>
      <c r="K7" s="51">
        <f>VLOOKUP(B:B,'生產達成率(目標)'!A:C,3,0)</f>
        <v>1</v>
      </c>
      <c r="L7" s="20">
        <f t="shared" si="4"/>
        <v>-1.4999999999999999E-2</v>
      </c>
      <c r="M7" s="235"/>
      <c r="N7" s="164"/>
      <c r="O7" s="150">
        <f t="shared" si="3"/>
        <v>0</v>
      </c>
      <c r="P7" s="141">
        <v>409</v>
      </c>
      <c r="Q7" s="27">
        <f t="shared" si="5"/>
        <v>1</v>
      </c>
      <c r="R7" s="48"/>
      <c r="S7" s="172"/>
      <c r="T7" s="52"/>
      <c r="U7" s="23"/>
      <c r="V7" s="458"/>
      <c r="W7" s="421"/>
      <c r="X7" s="458"/>
      <c r="Y7" s="421"/>
      <c r="Z7" s="421"/>
      <c r="AA7" s="421"/>
      <c r="AB7" s="421"/>
      <c r="AC7" s="421"/>
      <c r="AD7" s="421"/>
    </row>
    <row r="8" spans="1:30" s="22" customFormat="1" x14ac:dyDescent="0.4">
      <c r="A8" s="52" t="s">
        <v>667</v>
      </c>
      <c r="B8" s="149" t="s">
        <v>4</v>
      </c>
      <c r="C8" s="30" t="str">
        <f>VLOOKUP(B8,'112年全品項生產鍋數'!A:H,2,0)</f>
        <v>PET大花生(1*400g)</v>
      </c>
      <c r="D8" s="284">
        <v>24</v>
      </c>
      <c r="E8" s="48">
        <f>VLOOKUP(B8,'112年全品項生產鍋數'!A:H,3,0)</f>
        <v>0.4</v>
      </c>
      <c r="F8" s="45">
        <f>VLOOKUP(B8,'112年全品項生產鍋數'!A:H,7,0)</f>
        <v>309.2</v>
      </c>
      <c r="G8" s="49">
        <f t="shared" si="0"/>
        <v>7420.7999999999993</v>
      </c>
      <c r="H8" s="141">
        <v>7587</v>
      </c>
      <c r="I8" s="46">
        <f t="shared" si="1"/>
        <v>3034.8</v>
      </c>
      <c r="J8" s="100">
        <f t="shared" si="2"/>
        <v>1.022396507115136</v>
      </c>
      <c r="K8" s="51">
        <f>VLOOKUP(B:B,'生產達成率(目標)'!A:C,3,0)</f>
        <v>1</v>
      </c>
      <c r="L8" s="20">
        <f t="shared" si="4"/>
        <v>2.1999999999999999E-2</v>
      </c>
      <c r="M8" s="235"/>
      <c r="N8" s="164"/>
      <c r="O8" s="150">
        <f t="shared" si="3"/>
        <v>4</v>
      </c>
      <c r="P8" s="141">
        <v>7583</v>
      </c>
      <c r="Q8" s="27">
        <f t="shared" si="5"/>
        <v>0.99947278239093185</v>
      </c>
      <c r="R8" s="48"/>
      <c r="S8" s="172"/>
      <c r="T8" s="52"/>
      <c r="U8" s="23"/>
      <c r="V8" s="458"/>
      <c r="W8" s="421"/>
      <c r="X8" s="458"/>
      <c r="Y8" s="421"/>
      <c r="Z8" s="421"/>
      <c r="AA8" s="421"/>
      <c r="AB8" s="421"/>
      <c r="AC8" s="421"/>
      <c r="AD8" s="421"/>
    </row>
    <row r="9" spans="1:30" s="22" customFormat="1" x14ac:dyDescent="0.4">
      <c r="A9" s="52" t="s">
        <v>667</v>
      </c>
      <c r="B9" s="150" t="s">
        <v>59</v>
      </c>
      <c r="C9" s="30" t="str">
        <f>VLOOKUP(B9,'112年全品項生產鍋數'!A:H,2,0)</f>
        <v>＃2花生（粒）(1*900g)</v>
      </c>
      <c r="D9" s="284">
        <v>12</v>
      </c>
      <c r="E9" s="48">
        <f>VLOOKUP(B9,'112年全品項生產鍋數'!A:H,3,0)</f>
        <v>0.9</v>
      </c>
      <c r="F9" s="45">
        <f>VLOOKUP(B9,'112年全品項生產鍋數'!A:H,7,0)</f>
        <v>139.30000000000001</v>
      </c>
      <c r="G9" s="49">
        <f t="shared" si="0"/>
        <v>1671.6000000000001</v>
      </c>
      <c r="H9" s="141">
        <v>1659</v>
      </c>
      <c r="I9" s="46">
        <f t="shared" si="1"/>
        <v>1493.1000000000001</v>
      </c>
      <c r="J9" s="100">
        <f t="shared" si="2"/>
        <v>0.99246231155778886</v>
      </c>
      <c r="K9" s="51">
        <f>VLOOKUP(B:B,'生產達成率(目標)'!A:C,3,0)</f>
        <v>1</v>
      </c>
      <c r="L9" s="20">
        <f t="shared" si="4"/>
        <v>-8.0000000000000002E-3</v>
      </c>
      <c r="M9" s="235"/>
      <c r="N9" s="164"/>
      <c r="O9" s="150">
        <f t="shared" si="3"/>
        <v>2</v>
      </c>
      <c r="P9" s="141">
        <v>1657</v>
      </c>
      <c r="Q9" s="27">
        <f t="shared" si="5"/>
        <v>0.99879445449065707</v>
      </c>
      <c r="R9" s="48"/>
      <c r="S9" s="172" t="s">
        <v>60</v>
      </c>
      <c r="T9" s="52"/>
      <c r="U9" s="23"/>
      <c r="V9" s="458"/>
      <c r="W9" s="421"/>
      <c r="X9" s="458"/>
      <c r="Y9" s="421"/>
      <c r="Z9" s="421"/>
      <c r="AA9" s="421"/>
      <c r="AB9" s="421"/>
      <c r="AC9" s="421"/>
      <c r="AD9" s="421"/>
    </row>
    <row r="10" spans="1:30" s="22" customFormat="1" x14ac:dyDescent="0.4">
      <c r="A10" s="176" t="s">
        <v>668</v>
      </c>
      <c r="B10" s="149" t="s">
        <v>6</v>
      </c>
      <c r="C10" s="30" t="str">
        <f>VLOOKUP(B10,'112年全品項生產鍋數'!A:H,2,0)</f>
        <v>大圓草莓-新</v>
      </c>
      <c r="D10" s="284">
        <v>24</v>
      </c>
      <c r="E10" s="48">
        <f>VLOOKUP(B10,'112年全品項生產鍋數'!A:H,3,0)</f>
        <v>0.44</v>
      </c>
      <c r="F10" s="45">
        <f>VLOOKUP(B10,'112年全品項生產鍋數'!A:H,7,0)</f>
        <v>344</v>
      </c>
      <c r="G10" s="49">
        <f t="shared" si="0"/>
        <v>8256</v>
      </c>
      <c r="H10" s="141">
        <v>8050</v>
      </c>
      <c r="I10" s="46">
        <f t="shared" si="1"/>
        <v>3542</v>
      </c>
      <c r="J10" s="100">
        <f t="shared" si="2"/>
        <v>0.97504844961240311</v>
      </c>
      <c r="K10" s="51">
        <f>VLOOKUP(B:B,'生產達成率(目標)'!A:C,3,0)</f>
        <v>1</v>
      </c>
      <c r="L10" s="20">
        <f t="shared" si="4"/>
        <v>-2.5000000000000001E-2</v>
      </c>
      <c r="M10" s="235"/>
      <c r="N10" s="164"/>
      <c r="O10" s="150">
        <f t="shared" si="3"/>
        <v>6</v>
      </c>
      <c r="P10" s="141">
        <v>8044</v>
      </c>
      <c r="Q10" s="27">
        <f t="shared" si="5"/>
        <v>0.9992546583850932</v>
      </c>
      <c r="R10" s="48"/>
      <c r="S10" s="172"/>
      <c r="T10" s="52"/>
      <c r="U10" s="23"/>
      <c r="V10" s="458"/>
      <c r="W10" s="421"/>
      <c r="X10" s="458"/>
      <c r="Y10" s="421"/>
      <c r="Z10" s="421"/>
      <c r="AA10" s="421"/>
      <c r="AB10" s="421"/>
      <c r="AC10" s="421"/>
      <c r="AD10" s="421"/>
    </row>
    <row r="11" spans="1:30" s="22" customFormat="1" x14ac:dyDescent="0.4">
      <c r="A11" s="176" t="s">
        <v>668</v>
      </c>
      <c r="B11" s="150" t="s">
        <v>54</v>
      </c>
      <c r="C11" s="30" t="str">
        <f>VLOOKUP(B11,'112年全品項生產鍋數'!A:H,2,0)</f>
        <v>草莓醬(1*6kg)</v>
      </c>
      <c r="D11" s="284">
        <v>24</v>
      </c>
      <c r="E11" s="48">
        <f>VLOOKUP(B11,'112年全品項生產鍋數'!A:H,3,0)</f>
        <v>6</v>
      </c>
      <c r="F11" s="45">
        <f>VLOOKUP(B11,'112年全品項生產鍋數'!A:H,7,0)</f>
        <v>26.6</v>
      </c>
      <c r="G11" s="49">
        <f t="shared" si="0"/>
        <v>638.40000000000009</v>
      </c>
      <c r="H11" s="141">
        <v>630</v>
      </c>
      <c r="I11" s="46">
        <f t="shared" si="1"/>
        <v>3780</v>
      </c>
      <c r="J11" s="100">
        <f t="shared" si="2"/>
        <v>0.98684210526315774</v>
      </c>
      <c r="K11" s="51">
        <f>VLOOKUP(B:B,'生產達成率(目標)'!A:C,3,0)</f>
        <v>1</v>
      </c>
      <c r="L11" s="20">
        <f t="shared" si="4"/>
        <v>-1.2999999999999999E-2</v>
      </c>
      <c r="M11" s="235"/>
      <c r="N11" s="164"/>
      <c r="O11" s="150">
        <f t="shared" si="3"/>
        <v>2</v>
      </c>
      <c r="P11" s="141">
        <v>628</v>
      </c>
      <c r="Q11" s="27">
        <f t="shared" si="5"/>
        <v>0.99682539682539684</v>
      </c>
      <c r="R11" s="48"/>
      <c r="S11" s="172" t="s">
        <v>62</v>
      </c>
      <c r="T11" s="52"/>
      <c r="U11" s="23"/>
      <c r="V11" s="458"/>
      <c r="W11" s="421"/>
      <c r="X11" s="458"/>
      <c r="Y11" s="421"/>
      <c r="Z11" s="421"/>
      <c r="AA11" s="421"/>
      <c r="AB11" s="421"/>
      <c r="AC11" s="421"/>
      <c r="AD11" s="421"/>
    </row>
    <row r="12" spans="1:30" s="22" customFormat="1" x14ac:dyDescent="0.4">
      <c r="A12" s="176" t="s">
        <v>668</v>
      </c>
      <c r="B12" s="150" t="s">
        <v>63</v>
      </c>
      <c r="C12" s="30" t="str">
        <f>VLOOKUP(B12,'112年全品項生產鍋數'!A:H,2,0)</f>
        <v>草莓蒟蒻餡(1*6kg)</v>
      </c>
      <c r="D12" s="284">
        <v>28</v>
      </c>
      <c r="E12" s="48">
        <f>VLOOKUP(B12,'112年全品項生產鍋數'!A:H,3,0)</f>
        <v>6</v>
      </c>
      <c r="F12" s="45">
        <f>VLOOKUP(B12,'112年全品項生產鍋數'!A:H,7,0)</f>
        <v>25.7</v>
      </c>
      <c r="G12" s="49">
        <f t="shared" si="0"/>
        <v>719.6</v>
      </c>
      <c r="H12" s="141">
        <v>709</v>
      </c>
      <c r="I12" s="46">
        <f t="shared" si="1"/>
        <v>4254</v>
      </c>
      <c r="J12" s="100">
        <f t="shared" si="2"/>
        <v>0.9852695942190105</v>
      </c>
      <c r="K12" s="51">
        <f>VLOOKUP(B:B,'生產達成率(目標)'!A:C,3,0)</f>
        <v>1</v>
      </c>
      <c r="L12" s="20">
        <f t="shared" si="4"/>
        <v>-1.4999999999999999E-2</v>
      </c>
      <c r="M12" s="235"/>
      <c r="N12" s="164"/>
      <c r="O12" s="150">
        <f t="shared" si="3"/>
        <v>5</v>
      </c>
      <c r="P12" s="141">
        <v>704</v>
      </c>
      <c r="Q12" s="27">
        <f t="shared" si="5"/>
        <v>0.99294781382228492</v>
      </c>
      <c r="R12" s="48"/>
      <c r="S12" s="172"/>
      <c r="T12" s="52"/>
      <c r="U12" s="23"/>
      <c r="V12" s="458"/>
      <c r="W12" s="421"/>
      <c r="X12" s="458"/>
      <c r="Y12" s="421"/>
      <c r="Z12" s="421"/>
      <c r="AA12" s="421"/>
      <c r="AB12" s="421"/>
      <c r="AC12" s="421"/>
      <c r="AD12" s="421"/>
    </row>
    <row r="13" spans="1:30" s="53" customFormat="1" x14ac:dyDescent="0.4">
      <c r="A13" s="176" t="s">
        <v>668</v>
      </c>
      <c r="B13" s="150" t="s">
        <v>64</v>
      </c>
      <c r="C13" s="30" t="str">
        <f>VLOOKUP(B13,'112年全品項生產鍋數'!A:H,2,0)</f>
        <v>藍莓餡(1*6KG)</v>
      </c>
      <c r="D13" s="284">
        <v>20</v>
      </c>
      <c r="E13" s="48">
        <f>VLOOKUP(B13,'112年全品項生產鍋數'!A:H,3,0)</f>
        <v>6</v>
      </c>
      <c r="F13" s="45">
        <f>VLOOKUP(B13,'112年全品項生產鍋數'!A:H,7,0)</f>
        <v>25.4</v>
      </c>
      <c r="G13" s="49">
        <f t="shared" si="0"/>
        <v>508</v>
      </c>
      <c r="H13" s="141">
        <v>487</v>
      </c>
      <c r="I13" s="46">
        <f t="shared" si="1"/>
        <v>2922</v>
      </c>
      <c r="J13" s="100">
        <f t="shared" si="2"/>
        <v>0.95866141732283461</v>
      </c>
      <c r="K13" s="51">
        <f>VLOOKUP(B:B,'生產達成率(目標)'!A:C,3,0)</f>
        <v>1</v>
      </c>
      <c r="L13" s="20">
        <f t="shared" si="4"/>
        <v>-4.1000000000000002E-2</v>
      </c>
      <c r="M13" s="235"/>
      <c r="N13" s="164"/>
      <c r="O13" s="150">
        <f t="shared" si="3"/>
        <v>4</v>
      </c>
      <c r="P13" s="141">
        <v>483</v>
      </c>
      <c r="Q13" s="27">
        <f t="shared" si="5"/>
        <v>0.99178644763860369</v>
      </c>
      <c r="R13" s="48"/>
      <c r="S13" s="172"/>
      <c r="T13" s="52"/>
      <c r="U13" s="48"/>
      <c r="V13" s="459"/>
      <c r="W13" s="421"/>
      <c r="X13" s="459"/>
      <c r="Y13" s="421"/>
      <c r="Z13" s="421"/>
      <c r="AA13" s="421"/>
      <c r="AB13" s="421"/>
      <c r="AC13" s="421"/>
      <c r="AD13" s="421"/>
    </row>
    <row r="14" spans="1:30" s="22" customFormat="1" x14ac:dyDescent="0.4">
      <c r="A14" s="176" t="s">
        <v>668</v>
      </c>
      <c r="B14" s="150" t="s">
        <v>65</v>
      </c>
      <c r="C14" s="30" t="str">
        <f>VLOOKUP(B14,'112年全品項生產鍋數'!A:H,2,0)</f>
        <v>＃1花生(1*2.8kg)</v>
      </c>
      <c r="D14" s="284">
        <v>44</v>
      </c>
      <c r="E14" s="48">
        <f>VLOOKUP(B14,'112年全品項生產鍋數'!A:H,3,0)</f>
        <v>2.8</v>
      </c>
      <c r="F14" s="45">
        <f>VLOOKUP(B14,'112年全品項生產鍋數'!A:H,7,0)</f>
        <v>44.5</v>
      </c>
      <c r="G14" s="49">
        <f t="shared" si="0"/>
        <v>1958</v>
      </c>
      <c r="H14" s="141">
        <v>2110</v>
      </c>
      <c r="I14" s="46">
        <f t="shared" si="1"/>
        <v>5908</v>
      </c>
      <c r="J14" s="100">
        <f t="shared" si="2"/>
        <v>1.0776302349336058</v>
      </c>
      <c r="K14" s="51">
        <f>VLOOKUP(B:B,'生產達成率(目標)'!A:C,3,0)</f>
        <v>1</v>
      </c>
      <c r="L14" s="20">
        <f t="shared" si="4"/>
        <v>7.8E-2</v>
      </c>
      <c r="M14" s="235"/>
      <c r="N14" s="164"/>
      <c r="O14" s="150">
        <f t="shared" si="3"/>
        <v>1</v>
      </c>
      <c r="P14" s="141">
        <v>2109</v>
      </c>
      <c r="Q14" s="27">
        <f t="shared" si="5"/>
        <v>0.99952606635071095</v>
      </c>
      <c r="R14" s="48"/>
      <c r="S14" s="172"/>
      <c r="T14" s="52"/>
      <c r="U14" s="23"/>
      <c r="V14" s="458"/>
      <c r="W14" s="421"/>
      <c r="X14" s="458"/>
      <c r="Y14" s="421"/>
      <c r="Z14" s="421"/>
      <c r="AA14" s="421"/>
      <c r="AB14" s="421"/>
      <c r="AC14" s="421"/>
      <c r="AD14" s="421"/>
    </row>
    <row r="15" spans="1:30" s="22" customFormat="1" x14ac:dyDescent="0.4">
      <c r="A15" s="176" t="s">
        <v>668</v>
      </c>
      <c r="B15" s="149" t="s">
        <v>10</v>
      </c>
      <c r="C15" s="30" t="str">
        <f>VLOOKUP(B15,'112年全品項生產鍋數'!A:H,2,0)</f>
        <v>＃2花生(1*800g)</v>
      </c>
      <c r="D15" s="284">
        <v>20</v>
      </c>
      <c r="E15" s="48">
        <f>VLOOKUP(B15,'112年全品項生產鍋數'!A:H,3,0)</f>
        <v>0.8</v>
      </c>
      <c r="F15" s="45">
        <f>VLOOKUP(B15,'112年全品項生產鍋數'!A:H,7,0)</f>
        <v>157.69999999999999</v>
      </c>
      <c r="G15" s="49">
        <f t="shared" si="0"/>
        <v>3154</v>
      </c>
      <c r="H15" s="141">
        <v>3127</v>
      </c>
      <c r="I15" s="46">
        <f t="shared" si="1"/>
        <v>2501.6000000000004</v>
      </c>
      <c r="J15" s="100">
        <f t="shared" si="2"/>
        <v>0.99143944197844003</v>
      </c>
      <c r="K15" s="51">
        <f>VLOOKUP(B:B,'生產達成率(目標)'!A:C,3,0)</f>
        <v>1</v>
      </c>
      <c r="L15" s="20">
        <f t="shared" si="4"/>
        <v>-8.9999999999999993E-3</v>
      </c>
      <c r="M15" s="235"/>
      <c r="N15" s="164"/>
      <c r="O15" s="150">
        <f t="shared" si="3"/>
        <v>2</v>
      </c>
      <c r="P15" s="141">
        <v>3125</v>
      </c>
      <c r="Q15" s="27">
        <f t="shared" si="5"/>
        <v>0.99936040933802361</v>
      </c>
      <c r="R15" s="48"/>
      <c r="S15" s="172" t="s">
        <v>67</v>
      </c>
      <c r="T15" s="52"/>
      <c r="U15" s="23"/>
      <c r="V15" s="458"/>
      <c r="W15" s="421"/>
      <c r="X15" s="458"/>
      <c r="Y15" s="421"/>
      <c r="Z15" s="421"/>
      <c r="AA15" s="421"/>
      <c r="AB15" s="421"/>
      <c r="AC15" s="421"/>
      <c r="AD15" s="421"/>
    </row>
    <row r="16" spans="1:30" s="22" customFormat="1" x14ac:dyDescent="0.4">
      <c r="A16" s="176" t="s">
        <v>669</v>
      </c>
      <c r="B16" s="149" t="s">
        <v>11</v>
      </c>
      <c r="C16" s="30" t="str">
        <f>VLOOKUP(B16,'112年全品項生產鍋數'!A:H,2,0)</f>
        <v>#2草莓果醬(1*900g)</v>
      </c>
      <c r="D16" s="284">
        <v>16.3</v>
      </c>
      <c r="E16" s="48">
        <f>VLOOKUP(B16,'112年全品項生產鍋數'!A:H,3,0)</f>
        <v>0.9</v>
      </c>
      <c r="F16" s="45">
        <f>VLOOKUP(B16,'112年全品項生產鍋數'!A:H,7,0)</f>
        <v>160.5</v>
      </c>
      <c r="G16" s="49">
        <f t="shared" si="0"/>
        <v>2616.15</v>
      </c>
      <c r="H16" s="141">
        <v>2696</v>
      </c>
      <c r="I16" s="46">
        <f t="shared" si="1"/>
        <v>2426.4</v>
      </c>
      <c r="J16" s="100">
        <f>IF(G16=0,"無法預估數據",H16/G16)</f>
        <v>1.0305219501939873</v>
      </c>
      <c r="K16" s="51">
        <f>VLOOKUP(B:B,'生產達成率(目標)'!A:C,3,0)</f>
        <v>1</v>
      </c>
      <c r="L16" s="20">
        <f t="shared" si="4"/>
        <v>3.1E-2</v>
      </c>
      <c r="M16" s="235"/>
      <c r="N16" s="164"/>
      <c r="O16" s="150">
        <f t="shared" si="3"/>
        <v>2</v>
      </c>
      <c r="P16" s="141">
        <v>2694</v>
      </c>
      <c r="Q16" s="27">
        <f t="shared" si="5"/>
        <v>0.99925816023738867</v>
      </c>
      <c r="R16" s="48" t="s">
        <v>69</v>
      </c>
      <c r="S16" s="172"/>
      <c r="T16" s="52" t="s">
        <v>70</v>
      </c>
      <c r="U16" s="23"/>
      <c r="V16" s="458"/>
      <c r="W16" s="421"/>
      <c r="X16" s="458"/>
      <c r="Y16" s="421"/>
      <c r="Z16" s="421"/>
      <c r="AA16" s="421"/>
      <c r="AB16" s="421"/>
      <c r="AC16" s="421"/>
      <c r="AD16" s="421"/>
    </row>
    <row r="17" spans="1:30" s="22" customFormat="1" x14ac:dyDescent="0.4">
      <c r="A17" s="176" t="s">
        <v>669</v>
      </c>
      <c r="B17" s="150" t="s">
        <v>353</v>
      </c>
      <c r="C17" s="30" t="str">
        <f>VLOOKUP(B17,'112年全品項生產鍋數'!A:H,2,0)</f>
        <v>美芝城草莓醬(1*9kg)</v>
      </c>
      <c r="D17" s="284">
        <v>3.7</v>
      </c>
      <c r="E17" s="48">
        <f>VLOOKUP(B17,'112年全品項生產鍋數'!A:H,3,0)</f>
        <v>0.9</v>
      </c>
      <c r="F17" s="45">
        <f>VLOOKUP(B17,'112年全品項生產鍋數'!A:H,7,0)</f>
        <v>158.69999999999999</v>
      </c>
      <c r="G17" s="49">
        <f t="shared" si="0"/>
        <v>587.18999999999994</v>
      </c>
      <c r="H17" s="141">
        <v>600</v>
      </c>
      <c r="I17" s="46">
        <f t="shared" si="1"/>
        <v>540</v>
      </c>
      <c r="J17" s="100">
        <f t="shared" si="2"/>
        <v>1.0218157666172789</v>
      </c>
      <c r="K17" s="51">
        <f>VLOOKUP(B:B,'生產達成率(目標)'!A:C,3,0)</f>
        <v>1</v>
      </c>
      <c r="L17" s="20">
        <f t="shared" si="4"/>
        <v>2.1999999999999999E-2</v>
      </c>
      <c r="M17" s="235"/>
      <c r="N17" s="164"/>
      <c r="O17" s="150">
        <f t="shared" si="3"/>
        <v>0</v>
      </c>
      <c r="P17" s="141">
        <v>600</v>
      </c>
      <c r="Q17" s="27">
        <f t="shared" si="5"/>
        <v>1</v>
      </c>
      <c r="R17" s="48"/>
      <c r="S17" s="172"/>
      <c r="T17" s="52"/>
      <c r="U17" s="23"/>
      <c r="V17" s="458"/>
      <c r="W17" s="421"/>
      <c r="X17" s="458"/>
      <c r="Y17" s="421"/>
      <c r="Z17" s="421"/>
      <c r="AA17" s="421"/>
      <c r="AB17" s="421"/>
      <c r="AC17" s="421"/>
      <c r="AD17" s="421"/>
    </row>
    <row r="18" spans="1:30" s="22" customFormat="1" x14ac:dyDescent="0.4">
      <c r="A18" s="176" t="s">
        <v>669</v>
      </c>
      <c r="B18" s="149" t="s">
        <v>12</v>
      </c>
      <c r="C18" s="30" t="str">
        <f>VLOOKUP(B18,'112年全品項生產鍋數'!A:H,2,0)</f>
        <v>＃1草莓(1*3.2kg)</v>
      </c>
      <c r="D18" s="284">
        <v>44</v>
      </c>
      <c r="E18" s="48">
        <f>VLOOKUP(B18,'112年全品項生產鍋數'!A:H,3,0)</f>
        <v>3.2</v>
      </c>
      <c r="F18" s="45">
        <f>VLOOKUP(B18,'112年全品項生產鍋數'!A:H,7,0)</f>
        <v>46.8</v>
      </c>
      <c r="G18" s="49">
        <f t="shared" si="0"/>
        <v>2059.1999999999998</v>
      </c>
      <c r="H18" s="141">
        <v>2026</v>
      </c>
      <c r="I18" s="46">
        <f t="shared" si="1"/>
        <v>6483.2000000000007</v>
      </c>
      <c r="J18" s="100">
        <f t="shared" si="2"/>
        <v>0.98387723387723391</v>
      </c>
      <c r="K18" s="51">
        <f>VLOOKUP(B:B,'生產達成率(目標)'!A:C,3,0)</f>
        <v>1</v>
      </c>
      <c r="L18" s="20">
        <f t="shared" si="4"/>
        <v>-1.6E-2</v>
      </c>
      <c r="M18" s="235"/>
      <c r="N18" s="164"/>
      <c r="O18" s="150">
        <f t="shared" si="3"/>
        <v>3</v>
      </c>
      <c r="P18" s="141">
        <v>2023</v>
      </c>
      <c r="Q18" s="27">
        <f t="shared" si="5"/>
        <v>0.99851924975320827</v>
      </c>
      <c r="R18" s="48"/>
      <c r="S18" s="172"/>
      <c r="T18" s="52"/>
      <c r="U18" s="23"/>
      <c r="V18" s="458"/>
      <c r="W18" s="421"/>
      <c r="X18" s="458"/>
      <c r="Y18" s="421"/>
      <c r="Z18" s="421"/>
      <c r="AA18" s="421"/>
      <c r="AB18" s="421"/>
      <c r="AC18" s="421"/>
      <c r="AD18" s="421"/>
    </row>
    <row r="19" spans="1:30" s="22" customFormat="1" x14ac:dyDescent="0.4">
      <c r="A19" s="176" t="s">
        <v>669</v>
      </c>
      <c r="B19" s="149" t="s">
        <v>72</v>
      </c>
      <c r="C19" s="30" t="str">
        <f>VLOOKUP(B19,'112年全品項生產鍋數'!A:H,2,0)</f>
        <v>草莓餡45%(1*6Kg)</v>
      </c>
      <c r="D19" s="284">
        <v>20</v>
      </c>
      <c r="E19" s="48">
        <f>VLOOKUP(B19,'112年全品項生產鍋數'!A:H,3,0)</f>
        <v>6</v>
      </c>
      <c r="F19" s="45">
        <f>VLOOKUP(B19,'112年全品項生產鍋數'!A:H,7,0)</f>
        <v>26.1</v>
      </c>
      <c r="G19" s="49">
        <f t="shared" si="0"/>
        <v>522</v>
      </c>
      <c r="H19" s="141">
        <v>517</v>
      </c>
      <c r="I19" s="46">
        <f t="shared" si="1"/>
        <v>3102</v>
      </c>
      <c r="J19" s="100">
        <f t="shared" si="2"/>
        <v>0.99042145593869735</v>
      </c>
      <c r="K19" s="51">
        <f>VLOOKUP(B:B,'生產達成率(目標)'!A:C,3,0)</f>
        <v>1</v>
      </c>
      <c r="L19" s="20">
        <f t="shared" si="4"/>
        <v>-0.01</v>
      </c>
      <c r="M19" s="235"/>
      <c r="N19" s="164"/>
      <c r="O19" s="150">
        <f t="shared" si="3"/>
        <v>1</v>
      </c>
      <c r="P19" s="141">
        <v>516</v>
      </c>
      <c r="Q19" s="27">
        <f t="shared" si="5"/>
        <v>0.99806576402321079</v>
      </c>
      <c r="R19" s="28"/>
      <c r="S19" s="172"/>
      <c r="T19" s="52"/>
      <c r="U19" s="23"/>
      <c r="V19" s="458"/>
      <c r="W19" s="421"/>
      <c r="X19" s="458"/>
      <c r="Y19" s="421"/>
      <c r="Z19" s="421"/>
      <c r="AA19" s="421"/>
      <c r="AB19" s="421"/>
      <c r="AC19" s="421"/>
      <c r="AD19" s="421"/>
    </row>
    <row r="20" spans="1:30" s="22" customFormat="1" x14ac:dyDescent="0.4">
      <c r="A20" s="176" t="s">
        <v>669</v>
      </c>
      <c r="B20" s="150" t="s">
        <v>63</v>
      </c>
      <c r="C20" s="30" t="str">
        <f>VLOOKUP(B20,'112年全品項生產鍋數'!A:H,2,0)</f>
        <v>草莓蒟蒻餡(1*6kg)</v>
      </c>
      <c r="D20" s="284">
        <v>24</v>
      </c>
      <c r="E20" s="48">
        <f>VLOOKUP(B20,'112年全品項生產鍋數'!A:H,3,0)</f>
        <v>6</v>
      </c>
      <c r="F20" s="45">
        <f>VLOOKUP(B20,'112年全品項生產鍋數'!A:H,7,0)</f>
        <v>25.7</v>
      </c>
      <c r="G20" s="49">
        <f t="shared" si="0"/>
        <v>616.79999999999995</v>
      </c>
      <c r="H20" s="141">
        <v>614</v>
      </c>
      <c r="I20" s="46">
        <f t="shared" si="1"/>
        <v>3684</v>
      </c>
      <c r="J20" s="100">
        <f t="shared" si="2"/>
        <v>0.99546044098573294</v>
      </c>
      <c r="K20" s="51">
        <f>VLOOKUP(B:B,'生產達成率(目標)'!A:C,3,0)</f>
        <v>1</v>
      </c>
      <c r="L20" s="20">
        <f t="shared" si="4"/>
        <v>-5.0000000000000001E-3</v>
      </c>
      <c r="M20" s="235"/>
      <c r="N20" s="164"/>
      <c r="O20" s="150">
        <f t="shared" si="3"/>
        <v>3</v>
      </c>
      <c r="P20" s="141">
        <v>611</v>
      </c>
      <c r="Q20" s="27">
        <f t="shared" si="5"/>
        <v>0.99511400651465798</v>
      </c>
      <c r="R20" s="48"/>
      <c r="S20" s="172"/>
      <c r="T20" s="52"/>
      <c r="U20" s="23"/>
      <c r="V20" s="458"/>
      <c r="W20" s="421"/>
      <c r="X20" s="458"/>
      <c r="Y20" s="421"/>
      <c r="Z20" s="421"/>
      <c r="AA20" s="421"/>
      <c r="AB20" s="421"/>
      <c r="AC20" s="421"/>
      <c r="AD20" s="421"/>
    </row>
    <row r="21" spans="1:30" s="22" customFormat="1" x14ac:dyDescent="0.4">
      <c r="A21" s="176" t="s">
        <v>669</v>
      </c>
      <c r="B21" s="149" t="s">
        <v>13</v>
      </c>
      <c r="C21" s="30" t="str">
        <f>VLOOKUP(B21,'112年全品項生產鍋數'!A:H,2,0)</f>
        <v>顆粒花生醬(1*12KG)</v>
      </c>
      <c r="D21" s="284">
        <v>24</v>
      </c>
      <c r="E21" s="48">
        <f>VLOOKUP(B21,'112年全品項生產鍋數'!A:H,3,0)</f>
        <v>3</v>
      </c>
      <c r="F21" s="45">
        <f>VLOOKUP(B21,'112年全品項生產鍋數'!A:H,7,0)</f>
        <v>29.7</v>
      </c>
      <c r="G21" s="49">
        <f t="shared" si="0"/>
        <v>712.8</v>
      </c>
      <c r="H21" s="141">
        <v>724</v>
      </c>
      <c r="I21" s="46">
        <f t="shared" si="1"/>
        <v>2172</v>
      </c>
      <c r="J21" s="100">
        <f t="shared" si="2"/>
        <v>1.0157126823793492</v>
      </c>
      <c r="K21" s="51">
        <f>VLOOKUP(B:B,'生產達成率(目標)'!A:C,3,0)</f>
        <v>1</v>
      </c>
      <c r="L21" s="20">
        <f t="shared" si="4"/>
        <v>1.6E-2</v>
      </c>
      <c r="M21" s="235"/>
      <c r="N21" s="165"/>
      <c r="O21" s="150">
        <f t="shared" si="3"/>
        <v>0</v>
      </c>
      <c r="P21" s="141">
        <v>724</v>
      </c>
      <c r="Q21" s="27">
        <f t="shared" si="5"/>
        <v>1</v>
      </c>
      <c r="R21" s="48"/>
      <c r="S21" s="172"/>
      <c r="T21" s="52"/>
      <c r="U21" s="23"/>
      <c r="V21" s="458"/>
      <c r="W21" s="421"/>
      <c r="X21" s="458"/>
      <c r="Y21" s="421"/>
      <c r="Z21" s="421"/>
      <c r="AA21" s="421"/>
      <c r="AB21" s="421"/>
      <c r="AC21" s="421"/>
      <c r="AD21" s="421"/>
    </row>
    <row r="22" spans="1:30" s="22" customFormat="1" x14ac:dyDescent="0.4">
      <c r="A22" s="176" t="s">
        <v>670</v>
      </c>
      <c r="B22" s="150" t="s">
        <v>54</v>
      </c>
      <c r="C22" s="30" t="str">
        <f>VLOOKUP(B22,'112年全品項生產鍋數'!A:H,2,0)</f>
        <v>草莓醬(1*6kg)</v>
      </c>
      <c r="D22" s="284">
        <v>48</v>
      </c>
      <c r="E22" s="48">
        <f>VLOOKUP(B22,'112年全品項生產鍋數'!A:H,3,0)</f>
        <v>6</v>
      </c>
      <c r="F22" s="45">
        <f>VLOOKUP(B22,'112年全品項生產鍋數'!A:H,7,0)</f>
        <v>26.6</v>
      </c>
      <c r="G22" s="49">
        <f t="shared" si="0"/>
        <v>1276.8000000000002</v>
      </c>
      <c r="H22" s="141">
        <v>1242</v>
      </c>
      <c r="I22" s="46">
        <f t="shared" si="1"/>
        <v>7452</v>
      </c>
      <c r="J22" s="100">
        <f t="shared" si="2"/>
        <v>0.97274436090225547</v>
      </c>
      <c r="K22" s="51">
        <f>VLOOKUP(B:B,'生產達成率(目標)'!A:C,3,0)</f>
        <v>1</v>
      </c>
      <c r="L22" s="20">
        <f t="shared" si="4"/>
        <v>-2.7E-2</v>
      </c>
      <c r="M22" s="235"/>
      <c r="N22" s="164"/>
      <c r="O22" s="150">
        <f t="shared" si="3"/>
        <v>8</v>
      </c>
      <c r="P22" s="141">
        <v>1234</v>
      </c>
      <c r="Q22" s="27">
        <f t="shared" si="5"/>
        <v>0.99355877616747179</v>
      </c>
      <c r="R22" s="48"/>
      <c r="S22" s="172" t="s">
        <v>74</v>
      </c>
      <c r="T22" s="52"/>
      <c r="U22" s="23"/>
      <c r="V22" s="458"/>
      <c r="W22" s="421"/>
      <c r="X22" s="458"/>
      <c r="Y22" s="421"/>
      <c r="Z22" s="421"/>
      <c r="AA22" s="421"/>
      <c r="AB22" s="421"/>
      <c r="AC22" s="421"/>
      <c r="AD22" s="421"/>
    </row>
    <row r="23" spans="1:30" s="22" customFormat="1" x14ac:dyDescent="0.4">
      <c r="A23" s="176" t="s">
        <v>670</v>
      </c>
      <c r="B23" s="149" t="s">
        <v>134</v>
      </c>
      <c r="C23" s="30" t="str">
        <f>VLOOKUP(B23,'112年全品項生產鍋數'!A:H,2,0)</f>
        <v>草莓椰果餡(1*6Kg)</v>
      </c>
      <c r="D23" s="284">
        <v>16</v>
      </c>
      <c r="E23" s="48">
        <f>VLOOKUP(B23,'112年全品項生產鍋數'!A:H,3,0)</f>
        <v>6</v>
      </c>
      <c r="F23" s="45">
        <f>VLOOKUP(B23,'112年全品項生產鍋數'!A:H,7,0)</f>
        <v>26.4</v>
      </c>
      <c r="G23" s="49">
        <f t="shared" si="0"/>
        <v>422.4</v>
      </c>
      <c r="H23" s="141">
        <v>424</v>
      </c>
      <c r="I23" s="46">
        <f t="shared" si="1"/>
        <v>2544</v>
      </c>
      <c r="J23" s="100">
        <f t="shared" si="2"/>
        <v>1.0037878787878789</v>
      </c>
      <c r="K23" s="51">
        <f>VLOOKUP(B:B,'生產達成率(目標)'!A:C,3,0)</f>
        <v>1</v>
      </c>
      <c r="L23" s="20">
        <f t="shared" si="4"/>
        <v>4.0000000000000001E-3</v>
      </c>
      <c r="M23" s="235"/>
      <c r="N23" s="164"/>
      <c r="O23" s="150">
        <f t="shared" si="3"/>
        <v>2</v>
      </c>
      <c r="P23" s="141">
        <v>422</v>
      </c>
      <c r="Q23" s="27">
        <f t="shared" si="5"/>
        <v>0.99528301886792447</v>
      </c>
      <c r="R23" s="48"/>
      <c r="S23" s="172"/>
      <c r="T23" s="52"/>
      <c r="U23" s="23"/>
      <c r="V23" s="458"/>
      <c r="W23" s="421"/>
      <c r="X23" s="458"/>
      <c r="Y23" s="421"/>
      <c r="Z23" s="421"/>
      <c r="AA23" s="421"/>
      <c r="AB23" s="421"/>
      <c r="AC23" s="421"/>
      <c r="AD23" s="421"/>
    </row>
    <row r="24" spans="1:30" s="22" customFormat="1" x14ac:dyDescent="0.4">
      <c r="A24" s="176" t="s">
        <v>670</v>
      </c>
      <c r="B24" s="149" t="s">
        <v>140</v>
      </c>
      <c r="C24" s="30" t="str">
        <f>VLOOKUP(B24,'112年全品項生產鍋數'!A:H,2,0)</f>
        <v>草莓餡(1*6Kg)</v>
      </c>
      <c r="D24" s="284">
        <v>20</v>
      </c>
      <c r="E24" s="48">
        <f>VLOOKUP(B24,'112年全品項生產鍋數'!A:H,3,0)</f>
        <v>6</v>
      </c>
      <c r="F24" s="45">
        <f>VLOOKUP(B24,'112年全品項生產鍋數'!A:H,7,0)</f>
        <v>25.5</v>
      </c>
      <c r="G24" s="49">
        <f t="shared" si="0"/>
        <v>510</v>
      </c>
      <c r="H24" s="141">
        <v>509</v>
      </c>
      <c r="I24" s="46">
        <f t="shared" si="1"/>
        <v>3054</v>
      </c>
      <c r="J24" s="100">
        <f t="shared" si="2"/>
        <v>0.99803921568627452</v>
      </c>
      <c r="K24" s="51">
        <f>VLOOKUP(B:B,'生產達成率(目標)'!A:C,3,0)</f>
        <v>1</v>
      </c>
      <c r="L24" s="20">
        <f t="shared" si="4"/>
        <v>-2E-3</v>
      </c>
      <c r="M24" s="235"/>
      <c r="N24" s="164"/>
      <c r="O24" s="150">
        <f t="shared" si="3"/>
        <v>1</v>
      </c>
      <c r="P24" s="141">
        <v>508</v>
      </c>
      <c r="Q24" s="27">
        <f t="shared" si="5"/>
        <v>0.99803536345776034</v>
      </c>
      <c r="R24" s="48"/>
      <c r="S24" s="172"/>
      <c r="T24" s="52"/>
      <c r="U24" s="23"/>
      <c r="V24" s="458"/>
      <c r="W24" s="421"/>
      <c r="X24" s="458"/>
      <c r="Y24" s="421"/>
      <c r="Z24" s="421"/>
      <c r="AA24" s="421"/>
      <c r="AB24" s="421"/>
      <c r="AC24" s="421"/>
      <c r="AD24" s="421"/>
    </row>
    <row r="25" spans="1:30" s="22" customFormat="1" x14ac:dyDescent="0.4">
      <c r="A25" s="176" t="s">
        <v>670</v>
      </c>
      <c r="B25" s="150" t="s">
        <v>77</v>
      </c>
      <c r="C25" s="30" t="str">
        <f>VLOOKUP(B25,'112年全品項生產鍋數'!A:H,2,0)</f>
        <v>草莓餡50°(1*6Kg)</v>
      </c>
      <c r="D25" s="284">
        <v>16</v>
      </c>
      <c r="E25" s="48">
        <f>VLOOKUP(B25,'112年全品項生產鍋數'!A:H,3,0)</f>
        <v>6</v>
      </c>
      <c r="F25" s="45">
        <f>VLOOKUP(B25,'112年全品項生產鍋數'!A:H,7,0)</f>
        <v>25</v>
      </c>
      <c r="G25" s="49">
        <f t="shared" si="0"/>
        <v>400</v>
      </c>
      <c r="H25" s="141">
        <v>404</v>
      </c>
      <c r="I25" s="46">
        <f t="shared" si="1"/>
        <v>2424</v>
      </c>
      <c r="J25" s="100">
        <f t="shared" si="2"/>
        <v>1.01</v>
      </c>
      <c r="K25" s="51">
        <f>VLOOKUP(B:B,'生產達成率(目標)'!A:C,3,0)</f>
        <v>1</v>
      </c>
      <c r="L25" s="20">
        <f t="shared" si="4"/>
        <v>0.01</v>
      </c>
      <c r="M25" s="235"/>
      <c r="N25" s="164"/>
      <c r="O25" s="150">
        <f t="shared" si="3"/>
        <v>1</v>
      </c>
      <c r="P25" s="141">
        <v>403</v>
      </c>
      <c r="Q25" s="27">
        <f t="shared" si="5"/>
        <v>0.99752475247524752</v>
      </c>
      <c r="R25" s="48"/>
      <c r="S25" s="172"/>
      <c r="T25" s="52"/>
      <c r="U25" s="23"/>
      <c r="V25" s="458"/>
      <c r="W25" s="421"/>
      <c r="X25" s="458"/>
      <c r="Y25" s="421"/>
      <c r="Z25" s="421"/>
      <c r="AA25" s="421"/>
      <c r="AB25" s="421"/>
      <c r="AC25" s="421"/>
      <c r="AD25" s="421"/>
    </row>
    <row r="26" spans="1:30" s="22" customFormat="1" x14ac:dyDescent="0.4">
      <c r="A26" s="176" t="s">
        <v>670</v>
      </c>
      <c r="B26" s="150" t="s">
        <v>65</v>
      </c>
      <c r="C26" s="30" t="str">
        <f>VLOOKUP(B26,'112年全品項生產鍋數'!A:H,2,0)</f>
        <v>＃1花生(1*2.8kg)</v>
      </c>
      <c r="D26" s="284">
        <v>72</v>
      </c>
      <c r="E26" s="48">
        <f>VLOOKUP(B26,'112年全品項生產鍋數'!A:H,3,0)</f>
        <v>2.8</v>
      </c>
      <c r="F26" s="45">
        <f>VLOOKUP(B26,'112年全品項生產鍋數'!A:H,7,0)</f>
        <v>44.5</v>
      </c>
      <c r="G26" s="49">
        <f t="shared" si="0"/>
        <v>3204</v>
      </c>
      <c r="H26" s="141">
        <v>3456</v>
      </c>
      <c r="I26" s="46">
        <f t="shared" si="1"/>
        <v>9676.7999999999993</v>
      </c>
      <c r="J26" s="100">
        <f t="shared" si="2"/>
        <v>1.0786516853932584</v>
      </c>
      <c r="K26" s="51">
        <f>VLOOKUP(B:B,'生產達成率(目標)'!A:C,3,0)</f>
        <v>1</v>
      </c>
      <c r="L26" s="20">
        <f t="shared" si="4"/>
        <v>7.9000000000000001E-2</v>
      </c>
      <c r="M26" s="235"/>
      <c r="N26" s="164"/>
      <c r="O26" s="150">
        <f t="shared" si="3"/>
        <v>1</v>
      </c>
      <c r="P26" s="141">
        <v>3455</v>
      </c>
      <c r="Q26" s="27">
        <f t="shared" si="5"/>
        <v>0.99971064814814814</v>
      </c>
      <c r="R26" s="48"/>
      <c r="S26" s="172" t="s">
        <v>78</v>
      </c>
      <c r="T26" s="52"/>
      <c r="U26" s="23"/>
      <c r="V26" s="458"/>
      <c r="W26" s="421"/>
      <c r="X26" s="458"/>
      <c r="Y26" s="421"/>
      <c r="Z26" s="421"/>
      <c r="AA26" s="421"/>
      <c r="AB26" s="421"/>
      <c r="AC26" s="421"/>
      <c r="AD26" s="421"/>
    </row>
    <row r="27" spans="1:30" s="22" customFormat="1" x14ac:dyDescent="0.4">
      <c r="A27" s="176" t="s">
        <v>671</v>
      </c>
      <c r="B27" s="149" t="s">
        <v>12</v>
      </c>
      <c r="C27" s="30" t="str">
        <f>VLOOKUP(B27,'112年全品項生產鍋數'!A:H,2,0)</f>
        <v>＃1草莓(1*3.2kg)</v>
      </c>
      <c r="D27" s="284">
        <v>88</v>
      </c>
      <c r="E27" s="48">
        <f>VLOOKUP(B27,'112年全品項生產鍋數'!A:H,3,0)</f>
        <v>3.2</v>
      </c>
      <c r="F27" s="45">
        <f>VLOOKUP(B27,'112年全品項生產鍋數'!A:H,7,0)</f>
        <v>46.8</v>
      </c>
      <c r="G27" s="49">
        <f t="shared" si="0"/>
        <v>4118.3999999999996</v>
      </c>
      <c r="H27" s="141">
        <v>4090</v>
      </c>
      <c r="I27" s="46">
        <f t="shared" si="1"/>
        <v>13088</v>
      </c>
      <c r="J27" s="100">
        <f t="shared" si="2"/>
        <v>0.99310411810411814</v>
      </c>
      <c r="K27" s="51">
        <f>VLOOKUP(B:B,'生產達成率(目標)'!A:C,3,0)</f>
        <v>1</v>
      </c>
      <c r="L27" s="20">
        <f t="shared" si="4"/>
        <v>-7.0000000000000001E-3</v>
      </c>
      <c r="M27" s="235"/>
      <c r="N27" s="164"/>
      <c r="O27" s="150">
        <f t="shared" si="3"/>
        <v>2</v>
      </c>
      <c r="P27" s="141">
        <v>4088</v>
      </c>
      <c r="Q27" s="27">
        <f t="shared" si="5"/>
        <v>0.99951100244498781</v>
      </c>
      <c r="R27" s="48" t="s">
        <v>79</v>
      </c>
      <c r="S27" s="172"/>
      <c r="T27" s="52"/>
      <c r="U27" s="23"/>
      <c r="V27" s="458"/>
      <c r="W27" s="421"/>
      <c r="X27" s="458"/>
      <c r="Y27" s="421"/>
      <c r="Z27" s="421"/>
      <c r="AA27" s="421"/>
      <c r="AB27" s="421"/>
      <c r="AC27" s="421"/>
      <c r="AD27" s="421"/>
    </row>
    <row r="28" spans="1:30" s="22" customFormat="1" x14ac:dyDescent="0.4">
      <c r="A28" s="176" t="s">
        <v>671</v>
      </c>
      <c r="B28" s="150" t="s">
        <v>63</v>
      </c>
      <c r="C28" s="30" t="str">
        <f>VLOOKUP(B28,'112年全品項生產鍋數'!A:H,2,0)</f>
        <v>草莓蒟蒻餡(1*6kg)</v>
      </c>
      <c r="D28" s="284">
        <v>40</v>
      </c>
      <c r="E28" s="48">
        <f>VLOOKUP(B28,'112年全品項生產鍋數'!A:H,3,0)</f>
        <v>6</v>
      </c>
      <c r="F28" s="45">
        <f>VLOOKUP(B28,'112年全品項生產鍋數'!A:H,7,0)</f>
        <v>25.7</v>
      </c>
      <c r="G28" s="49">
        <f t="shared" si="0"/>
        <v>1028</v>
      </c>
      <c r="H28" s="141">
        <v>990</v>
      </c>
      <c r="I28" s="46">
        <f t="shared" si="1"/>
        <v>5940</v>
      </c>
      <c r="J28" s="100">
        <f t="shared" si="2"/>
        <v>0.96303501945525294</v>
      </c>
      <c r="K28" s="51">
        <f>VLOOKUP(B:B,'生產達成率(目標)'!A:C,3,0)</f>
        <v>1</v>
      </c>
      <c r="L28" s="20">
        <f t="shared" si="4"/>
        <v>-3.6999999999999998E-2</v>
      </c>
      <c r="M28" s="235"/>
      <c r="N28" s="164"/>
      <c r="O28" s="150">
        <f t="shared" si="3"/>
        <v>5</v>
      </c>
      <c r="P28" s="141">
        <v>985</v>
      </c>
      <c r="Q28" s="27">
        <f t="shared" si="5"/>
        <v>0.99494949494949492</v>
      </c>
      <c r="R28" s="48"/>
      <c r="S28" s="172"/>
      <c r="T28" s="52"/>
      <c r="U28" s="23"/>
      <c r="V28" s="458"/>
      <c r="W28" s="421"/>
      <c r="X28" s="458"/>
      <c r="Y28" s="421"/>
      <c r="Z28" s="421"/>
      <c r="AA28" s="421"/>
      <c r="AB28" s="421"/>
      <c r="AC28" s="421"/>
      <c r="AD28" s="421"/>
    </row>
    <row r="29" spans="1:30" s="22" customFormat="1" x14ac:dyDescent="0.4">
      <c r="A29" s="176" t="s">
        <v>672</v>
      </c>
      <c r="B29" s="150" t="s">
        <v>80</v>
      </c>
      <c r="C29" s="30" t="str">
        <f>VLOOKUP(B29,'112年全品項生產鍋數'!A:H,2,0)</f>
        <v>＃1桔子(1*3.2kg)</v>
      </c>
      <c r="D29" s="284">
        <v>36</v>
      </c>
      <c r="E29" s="48">
        <f>VLOOKUP(B29,'112年全品項生產鍋數'!A:H,3,0)</f>
        <v>3.2</v>
      </c>
      <c r="F29" s="45">
        <f>VLOOKUP(B29,'112年全品項生產鍋數'!A:H,7,0)</f>
        <v>46.4</v>
      </c>
      <c r="G29" s="49">
        <f t="shared" si="0"/>
        <v>1670.3999999999999</v>
      </c>
      <c r="H29" s="141">
        <v>1710</v>
      </c>
      <c r="I29" s="46">
        <f t="shared" si="1"/>
        <v>5472</v>
      </c>
      <c r="J29" s="100">
        <f t="shared" si="2"/>
        <v>1.0237068965517242</v>
      </c>
      <c r="K29" s="51">
        <f>VLOOKUP(B:B,'生產達成率(目標)'!A:C,3,0)</f>
        <v>1</v>
      </c>
      <c r="L29" s="20">
        <f t="shared" si="4"/>
        <v>2.4E-2</v>
      </c>
      <c r="M29" s="235"/>
      <c r="N29" s="164"/>
      <c r="O29" s="150">
        <f t="shared" si="3"/>
        <v>2</v>
      </c>
      <c r="P29" s="141">
        <v>1708</v>
      </c>
      <c r="Q29" s="27">
        <f t="shared" si="5"/>
        <v>0.99883040935672518</v>
      </c>
      <c r="R29" s="48"/>
      <c r="S29" s="172"/>
      <c r="T29" s="52"/>
      <c r="U29" s="23"/>
      <c r="V29" s="458"/>
      <c r="W29" s="421"/>
      <c r="X29" s="458"/>
      <c r="Y29" s="421"/>
      <c r="Z29" s="421"/>
      <c r="AA29" s="421"/>
      <c r="AB29" s="421"/>
      <c r="AC29" s="421"/>
      <c r="AD29" s="421"/>
    </row>
    <row r="30" spans="1:30" s="22" customFormat="1" x14ac:dyDescent="0.4">
      <c r="A30" s="176" t="s">
        <v>672</v>
      </c>
      <c r="B30" s="150" t="s">
        <v>63</v>
      </c>
      <c r="C30" s="30" t="str">
        <f>VLOOKUP(B30,'112年全品項生產鍋數'!A:H,2,0)</f>
        <v>草莓蒟蒻餡(1*6kg)</v>
      </c>
      <c r="D30" s="284">
        <v>24</v>
      </c>
      <c r="E30" s="48">
        <f>VLOOKUP(B30,'112年全品項生產鍋數'!A:H,3,0)</f>
        <v>6</v>
      </c>
      <c r="F30" s="45">
        <f>VLOOKUP(B30,'112年全品項生產鍋數'!A:H,7,0)</f>
        <v>25.7</v>
      </c>
      <c r="G30" s="49">
        <f t="shared" si="0"/>
        <v>616.79999999999995</v>
      </c>
      <c r="H30" s="141">
        <v>610</v>
      </c>
      <c r="I30" s="46">
        <f t="shared" si="1"/>
        <v>3660</v>
      </c>
      <c r="J30" s="100">
        <f t="shared" si="2"/>
        <v>0.98897535667963687</v>
      </c>
      <c r="K30" s="51">
        <f>VLOOKUP(B:B,'生產達成率(目標)'!A:C,3,0)</f>
        <v>1</v>
      </c>
      <c r="L30" s="20">
        <f t="shared" si="4"/>
        <v>-1.0999999999999999E-2</v>
      </c>
      <c r="M30" s="235"/>
      <c r="N30" s="164"/>
      <c r="O30" s="150">
        <f t="shared" si="3"/>
        <v>3</v>
      </c>
      <c r="P30" s="141">
        <v>607</v>
      </c>
      <c r="Q30" s="27">
        <f t="shared" si="5"/>
        <v>0.9950819672131147</v>
      </c>
      <c r="R30" s="48"/>
      <c r="S30" s="172"/>
      <c r="T30" s="52"/>
      <c r="U30" s="23"/>
      <c r="V30" s="458"/>
      <c r="W30" s="421"/>
      <c r="X30" s="458"/>
      <c r="Y30" s="421"/>
      <c r="Z30" s="421"/>
      <c r="AA30" s="421"/>
      <c r="AB30" s="421"/>
      <c r="AC30" s="421"/>
      <c r="AD30" s="421"/>
    </row>
    <row r="31" spans="1:30" s="22" customFormat="1" x14ac:dyDescent="0.4">
      <c r="A31" s="176" t="s">
        <v>672</v>
      </c>
      <c r="B31" s="149" t="s">
        <v>16</v>
      </c>
      <c r="C31" s="30" t="str">
        <f>VLOOKUP(B31,'112年全品項生產鍋數'!A:H,2,0)</f>
        <v>藍莓餡(1*6Kg)</v>
      </c>
      <c r="D31" s="284">
        <v>20</v>
      </c>
      <c r="E31" s="48">
        <f>VLOOKUP(B31,'112年全品項生產鍋數'!A:H,3,0)</f>
        <v>6</v>
      </c>
      <c r="F31" s="45">
        <f>VLOOKUP(B31,'112年全品項生產鍋數'!A:H,7,0)</f>
        <v>25.1</v>
      </c>
      <c r="G31" s="49">
        <f t="shared" si="0"/>
        <v>502</v>
      </c>
      <c r="H31" s="141">
        <v>503</v>
      </c>
      <c r="I31" s="46">
        <f t="shared" si="1"/>
        <v>3018</v>
      </c>
      <c r="J31" s="100">
        <f t="shared" si="2"/>
        <v>1.00199203187251</v>
      </c>
      <c r="K31" s="51">
        <f>VLOOKUP(B:B,'生產達成率(目標)'!A:C,3,0)</f>
        <v>1</v>
      </c>
      <c r="L31" s="20">
        <f t="shared" si="4"/>
        <v>2E-3</v>
      </c>
      <c r="M31" s="235"/>
      <c r="N31" s="164"/>
      <c r="O31" s="150">
        <f t="shared" si="3"/>
        <v>2</v>
      </c>
      <c r="P31" s="141">
        <v>501</v>
      </c>
      <c r="Q31" s="27">
        <f t="shared" si="5"/>
        <v>0.99602385685884687</v>
      </c>
      <c r="R31" s="48"/>
      <c r="S31" s="172"/>
      <c r="T31" s="52"/>
      <c r="U31" s="23"/>
      <c r="V31" s="458"/>
      <c r="W31" s="421"/>
      <c r="X31" s="458"/>
      <c r="Y31" s="421"/>
      <c r="Z31" s="421"/>
      <c r="AA31" s="421"/>
      <c r="AB31" s="421"/>
      <c r="AC31" s="421"/>
      <c r="AD31" s="421"/>
    </row>
    <row r="32" spans="1:30" s="22" customFormat="1" x14ac:dyDescent="0.4">
      <c r="A32" s="176" t="s">
        <v>672</v>
      </c>
      <c r="B32" s="150" t="s">
        <v>82</v>
      </c>
      <c r="C32" s="30" t="str">
        <f>VLOOKUP(B32,'112年全品項生產鍋數'!A:H,2,0)</f>
        <v>顆粒花生醬(全)</v>
      </c>
      <c r="D32" s="284">
        <v>36</v>
      </c>
      <c r="E32" s="48">
        <f>VLOOKUP(B32,'112年全品項生產鍋數'!A:H,3,0)</f>
        <v>0.34</v>
      </c>
      <c r="F32" s="45">
        <f>VLOOKUP(B32,'112年全品項生產鍋數'!A:H,7,0)</f>
        <v>364.6</v>
      </c>
      <c r="G32" s="49">
        <f t="shared" si="0"/>
        <v>13125.6</v>
      </c>
      <c r="H32" s="141">
        <v>12829</v>
      </c>
      <c r="I32" s="46">
        <f t="shared" si="1"/>
        <v>4361.8600000000006</v>
      </c>
      <c r="J32" s="100">
        <f t="shared" si="2"/>
        <v>0.97740293777046383</v>
      </c>
      <c r="K32" s="51">
        <f>VLOOKUP(B:B,'生產達成率(目標)'!A:C,3,0)</f>
        <v>1</v>
      </c>
      <c r="L32" s="20">
        <f t="shared" si="4"/>
        <v>-2.3E-2</v>
      </c>
      <c r="M32" s="235"/>
      <c r="N32" s="164"/>
      <c r="O32" s="150">
        <f t="shared" si="3"/>
        <v>3</v>
      </c>
      <c r="P32" s="141">
        <v>12826</v>
      </c>
      <c r="Q32" s="27">
        <f t="shared" si="5"/>
        <v>0.99976615480551878</v>
      </c>
      <c r="R32" s="48"/>
      <c r="S32" s="172"/>
      <c r="T32" s="52"/>
      <c r="U32" s="23"/>
      <c r="V32" s="458"/>
      <c r="W32" s="421"/>
      <c r="X32" s="458"/>
      <c r="Y32" s="421"/>
      <c r="Z32" s="421"/>
      <c r="AA32" s="421"/>
      <c r="AB32" s="421"/>
      <c r="AC32" s="421"/>
      <c r="AD32" s="421"/>
    </row>
    <row r="33" spans="1:30" s="22" customFormat="1" x14ac:dyDescent="0.4">
      <c r="A33" s="176" t="s">
        <v>672</v>
      </c>
      <c r="B33" s="151" t="s">
        <v>18</v>
      </c>
      <c r="C33" s="30" t="str">
        <f>VLOOKUP(B33,'112年全品項生產鍋數'!A:H,2,0)</f>
        <v>PET瓶花生(粒)(1*340g)</v>
      </c>
      <c r="D33" s="284">
        <v>4.88</v>
      </c>
      <c r="E33" s="48">
        <f>VLOOKUP(B33,'112年全品項生產鍋數'!A:H,3,0)</f>
        <v>0.34</v>
      </c>
      <c r="F33" s="45">
        <f>VLOOKUP(B33,'112年全品項生產鍋數'!A:H,7,0)</f>
        <v>366</v>
      </c>
      <c r="G33" s="49">
        <f t="shared" si="0"/>
        <v>1786.08</v>
      </c>
      <c r="H33" s="141">
        <v>1721</v>
      </c>
      <c r="I33" s="46">
        <f t="shared" si="1"/>
        <v>585.14</v>
      </c>
      <c r="J33" s="100">
        <f t="shared" si="2"/>
        <v>0.96356266236674737</v>
      </c>
      <c r="K33" s="51">
        <f>VLOOKUP(B:B,'生產達成率(目標)'!A:C,3,0)</f>
        <v>1</v>
      </c>
      <c r="L33" s="20">
        <f t="shared" si="4"/>
        <v>-3.5999999999999997E-2</v>
      </c>
      <c r="M33" s="235"/>
      <c r="N33" s="164"/>
      <c r="O33" s="150">
        <f t="shared" si="3"/>
        <v>5</v>
      </c>
      <c r="P33" s="141">
        <v>1716</v>
      </c>
      <c r="Q33" s="27">
        <f t="shared" si="5"/>
        <v>0.99709471237652525</v>
      </c>
      <c r="R33" s="48"/>
      <c r="S33" s="172" t="s">
        <v>84</v>
      </c>
      <c r="T33" s="52" t="s">
        <v>85</v>
      </c>
      <c r="U33" s="23"/>
      <c r="V33" s="458"/>
      <c r="W33" s="421"/>
      <c r="X33" s="458"/>
      <c r="Y33" s="421"/>
      <c r="Z33" s="421"/>
      <c r="AA33" s="421"/>
      <c r="AB33" s="421"/>
      <c r="AC33" s="421"/>
      <c r="AD33" s="421"/>
    </row>
    <row r="34" spans="1:30" s="22" customFormat="1" x14ac:dyDescent="0.4">
      <c r="A34" s="176" t="s">
        <v>672</v>
      </c>
      <c r="B34" s="150" t="s">
        <v>424</v>
      </c>
      <c r="C34" s="30" t="str">
        <f>VLOOKUP(B34,'112年全品項生產鍋數'!A:H,2,0)</f>
        <v>佳樂美花生醬(粒)(1*340g)</v>
      </c>
      <c r="D34" s="284">
        <v>7.12</v>
      </c>
      <c r="E34" s="48">
        <f>VLOOKUP(B34,'112年全品項生產鍋數'!A:H,3,0)</f>
        <v>0.34</v>
      </c>
      <c r="F34" s="45">
        <f>VLOOKUP(B34,'112年全品項生產鍋數'!A:H,7,0)</f>
        <v>366</v>
      </c>
      <c r="G34" s="49">
        <f t="shared" si="0"/>
        <v>2605.92</v>
      </c>
      <c r="H34" s="141">
        <v>2640</v>
      </c>
      <c r="I34" s="46">
        <f t="shared" si="1"/>
        <v>897.6</v>
      </c>
      <c r="J34" s="100">
        <f t="shared" si="2"/>
        <v>1.013077914901455</v>
      </c>
      <c r="K34" s="51">
        <v>1</v>
      </c>
      <c r="L34" s="20">
        <f t="shared" si="4"/>
        <v>1.2999999999999999E-2</v>
      </c>
      <c r="M34" s="235"/>
      <c r="N34" s="164"/>
      <c r="O34" s="150">
        <f t="shared" si="3"/>
        <v>0</v>
      </c>
      <c r="P34" s="141">
        <v>2640</v>
      </c>
      <c r="Q34" s="27">
        <f t="shared" si="5"/>
        <v>1</v>
      </c>
      <c r="R34" s="48"/>
      <c r="S34" s="172"/>
      <c r="T34" s="52"/>
      <c r="U34" s="23"/>
      <c r="V34" s="458"/>
      <c r="W34" s="421"/>
      <c r="X34" s="458"/>
      <c r="Y34" s="421"/>
      <c r="Z34" s="421"/>
      <c r="AA34" s="421"/>
      <c r="AB34" s="421"/>
      <c r="AC34" s="421"/>
      <c r="AD34" s="421"/>
    </row>
    <row r="35" spans="1:30" s="22" customFormat="1" x14ac:dyDescent="0.4">
      <c r="A35" s="176" t="s">
        <v>673</v>
      </c>
      <c r="B35" s="149" t="s">
        <v>19</v>
      </c>
      <c r="C35" s="30" t="str">
        <f>VLOOKUP(B35,'112年全品項生產鍋數'!A:H,2,0)</f>
        <v>＃2藍莓(1*900g)</v>
      </c>
      <c r="D35" s="284">
        <v>20</v>
      </c>
      <c r="E35" s="48">
        <f>VLOOKUP(B35,'112年全品項生產鍋數'!A:H,3,0)</f>
        <v>0.9</v>
      </c>
      <c r="F35" s="45">
        <f>VLOOKUP(B35,'112年全品項生產鍋數'!A:H,7,0)</f>
        <v>163</v>
      </c>
      <c r="G35" s="49">
        <f t="shared" si="0"/>
        <v>3260</v>
      </c>
      <c r="H35" s="141">
        <v>3399</v>
      </c>
      <c r="I35" s="46">
        <f t="shared" si="1"/>
        <v>3059.1</v>
      </c>
      <c r="J35" s="100">
        <f t="shared" si="2"/>
        <v>1.042638036809816</v>
      </c>
      <c r="K35" s="51">
        <f>VLOOKUP(B:B,'生產達成率(目標)'!A:C,3,0)</f>
        <v>1</v>
      </c>
      <c r="L35" s="20">
        <f t="shared" si="4"/>
        <v>4.2999999999999997E-2</v>
      </c>
      <c r="M35" s="235"/>
      <c r="N35" s="164"/>
      <c r="O35" s="150">
        <f t="shared" si="3"/>
        <v>2</v>
      </c>
      <c r="P35" s="141">
        <v>3397</v>
      </c>
      <c r="Q35" s="27">
        <f t="shared" si="5"/>
        <v>0.99941159164460136</v>
      </c>
      <c r="R35" s="48"/>
      <c r="S35" s="172" t="s">
        <v>74</v>
      </c>
      <c r="T35" s="52"/>
      <c r="U35" s="23"/>
      <c r="V35" s="458"/>
      <c r="W35" s="421"/>
      <c r="X35" s="458"/>
      <c r="Y35" s="421"/>
      <c r="Z35" s="421"/>
      <c r="AA35" s="421"/>
      <c r="AB35" s="421"/>
      <c r="AC35" s="421"/>
      <c r="AD35" s="421"/>
    </row>
    <row r="36" spans="1:30" s="22" customFormat="1" x14ac:dyDescent="0.4">
      <c r="A36" s="176" t="s">
        <v>673</v>
      </c>
      <c r="B36" s="149" t="s">
        <v>87</v>
      </c>
      <c r="C36" s="30" t="str">
        <f>VLOOKUP(B36,'112年全品項生產鍋數'!A:H,2,0)</f>
        <v>＃1藍莓(1*3.2kg)</v>
      </c>
      <c r="D36" s="284">
        <v>36</v>
      </c>
      <c r="E36" s="48">
        <f>VLOOKUP(B36,'112年全品項生產鍋數'!A:H,3,0)</f>
        <v>3.2</v>
      </c>
      <c r="F36" s="45">
        <f>VLOOKUP(B36,'112年全品項生產鍋數'!A:H,7,0)</f>
        <v>47.5</v>
      </c>
      <c r="G36" s="49">
        <f t="shared" si="0"/>
        <v>1710</v>
      </c>
      <c r="H36" s="141">
        <v>1666</v>
      </c>
      <c r="I36" s="46">
        <f t="shared" si="1"/>
        <v>5331.2000000000007</v>
      </c>
      <c r="J36" s="100">
        <f t="shared" si="2"/>
        <v>0.97426900584795317</v>
      </c>
      <c r="K36" s="51">
        <f>VLOOKUP(B:B,'生產達成率(目標)'!A:C,3,0)</f>
        <v>1</v>
      </c>
      <c r="L36" s="20">
        <f t="shared" si="4"/>
        <v>-2.5999999999999999E-2</v>
      </c>
      <c r="M36" s="235"/>
      <c r="N36" s="164"/>
      <c r="O36" s="150">
        <f t="shared" si="3"/>
        <v>1</v>
      </c>
      <c r="P36" s="141">
        <v>1665</v>
      </c>
      <c r="Q36" s="27">
        <f t="shared" si="5"/>
        <v>0.99939975990396157</v>
      </c>
      <c r="R36" s="48"/>
      <c r="S36" s="172" t="s">
        <v>52</v>
      </c>
      <c r="T36" s="52"/>
      <c r="U36" s="23"/>
      <c r="V36" s="458"/>
      <c r="W36" s="421"/>
      <c r="X36" s="458"/>
      <c r="Y36" s="421"/>
      <c r="Z36" s="421"/>
      <c r="AA36" s="421"/>
      <c r="AB36" s="421"/>
      <c r="AC36" s="421"/>
      <c r="AD36" s="421"/>
    </row>
    <row r="37" spans="1:30" s="22" customFormat="1" x14ac:dyDescent="0.4">
      <c r="A37" s="176" t="s">
        <v>673</v>
      </c>
      <c r="B37" s="150" t="s">
        <v>88</v>
      </c>
      <c r="C37" s="30" t="str">
        <f>VLOOKUP(B37,'112年全品項生產鍋數'!A:H,2,0)</f>
        <v>草莓餡(1*6KG)</v>
      </c>
      <c r="D37" s="284">
        <v>40</v>
      </c>
      <c r="E37" s="48">
        <f>VLOOKUP(B37,'112年全品項生產鍋數'!A:H,3,0)</f>
        <v>6</v>
      </c>
      <c r="F37" s="45">
        <f>VLOOKUP(B37,'112年全品項生產鍋數'!A:H,7,0)</f>
        <v>25.5</v>
      </c>
      <c r="G37" s="49">
        <f t="shared" si="0"/>
        <v>1020</v>
      </c>
      <c r="H37" s="141">
        <v>1028</v>
      </c>
      <c r="I37" s="46">
        <f t="shared" si="1"/>
        <v>6168</v>
      </c>
      <c r="J37" s="100">
        <f t="shared" si="2"/>
        <v>1.0078431372549019</v>
      </c>
      <c r="K37" s="51">
        <f>VLOOKUP(B:B,'生產達成率(目標)'!A:C,3,0)</f>
        <v>1</v>
      </c>
      <c r="L37" s="20">
        <f t="shared" si="4"/>
        <v>8.0000000000000002E-3</v>
      </c>
      <c r="M37" s="235"/>
      <c r="N37" s="164"/>
      <c r="O37" s="150">
        <f t="shared" si="3"/>
        <v>1</v>
      </c>
      <c r="P37" s="141">
        <v>1027</v>
      </c>
      <c r="Q37" s="27">
        <f t="shared" si="5"/>
        <v>0.99902723735408561</v>
      </c>
      <c r="R37" s="48"/>
      <c r="S37" s="172"/>
      <c r="T37" s="52"/>
      <c r="U37" s="23"/>
      <c r="V37" s="458"/>
      <c r="W37" s="421"/>
      <c r="X37" s="458"/>
      <c r="Y37" s="421"/>
      <c r="Z37" s="421"/>
      <c r="AA37" s="421"/>
      <c r="AB37" s="421"/>
      <c r="AC37" s="421"/>
      <c r="AD37" s="421"/>
    </row>
    <row r="38" spans="1:30" s="53" customFormat="1" x14ac:dyDescent="0.4">
      <c r="A38" s="176" t="s">
        <v>673</v>
      </c>
      <c r="B38" s="150" t="s">
        <v>89</v>
      </c>
      <c r="C38" s="30" t="str">
        <f>VLOOKUP(B38,'112年全品項生產鍋數'!A:H,2,0)</f>
        <v>花生醬（1*18kg)</v>
      </c>
      <c r="D38" s="284">
        <v>9</v>
      </c>
      <c r="E38" s="48">
        <f>VLOOKUP(B38,'112年全品項生產鍋數'!A:H,3,0)</f>
        <v>18</v>
      </c>
      <c r="F38" s="45">
        <f>VLOOKUP(B38,'112年全品項生產鍋數'!A:H,7,0)</f>
        <v>6.7</v>
      </c>
      <c r="G38" s="49">
        <f t="shared" si="0"/>
        <v>60.300000000000004</v>
      </c>
      <c r="H38" s="141">
        <v>60</v>
      </c>
      <c r="I38" s="46">
        <f t="shared" si="1"/>
        <v>1080</v>
      </c>
      <c r="J38" s="100">
        <f t="shared" si="2"/>
        <v>0.99502487562189046</v>
      </c>
      <c r="K38" s="51">
        <f>VLOOKUP(B:B,'生產達成率(目標)'!A:C,3,0)</f>
        <v>1</v>
      </c>
      <c r="L38" s="20">
        <f t="shared" si="4"/>
        <v>-5.0000000000000001E-3</v>
      </c>
      <c r="M38" s="235"/>
      <c r="N38" s="164"/>
      <c r="O38" s="150">
        <f t="shared" si="3"/>
        <v>0</v>
      </c>
      <c r="P38" s="141">
        <v>60</v>
      </c>
      <c r="Q38" s="27">
        <f t="shared" si="5"/>
        <v>1</v>
      </c>
      <c r="R38" s="48"/>
      <c r="S38" s="172"/>
      <c r="T38" s="52"/>
      <c r="U38" s="48"/>
      <c r="V38" s="459"/>
      <c r="W38" s="421"/>
      <c r="X38" s="459"/>
      <c r="Y38" s="421"/>
      <c r="Z38" s="421"/>
      <c r="AA38" s="421"/>
      <c r="AB38" s="421"/>
      <c r="AC38" s="421"/>
      <c r="AD38" s="421"/>
    </row>
    <row r="39" spans="1:30" s="53" customFormat="1" x14ac:dyDescent="0.4">
      <c r="A39" s="176" t="s">
        <v>673</v>
      </c>
      <c r="B39" s="150" t="s">
        <v>65</v>
      </c>
      <c r="C39" s="30" t="str">
        <f>VLOOKUP(B39,'112年全品項生產鍋數'!A:H,2,0)</f>
        <v>＃1花生(1*2.8kg)</v>
      </c>
      <c r="D39" s="284">
        <v>50</v>
      </c>
      <c r="E39" s="48">
        <f>VLOOKUP(B39,'112年全品項生產鍋數'!A:H,3,0)</f>
        <v>2.8</v>
      </c>
      <c r="F39" s="45">
        <f>VLOOKUP(B39,'112年全品項生產鍋數'!A:H,7,0)</f>
        <v>44.5</v>
      </c>
      <c r="G39" s="49">
        <f t="shared" si="0"/>
        <v>2225</v>
      </c>
      <c r="H39" s="141">
        <v>2502</v>
      </c>
      <c r="I39" s="46">
        <f t="shared" si="1"/>
        <v>7005.5999999999995</v>
      </c>
      <c r="J39" s="100">
        <f t="shared" si="2"/>
        <v>1.124494382022472</v>
      </c>
      <c r="K39" s="51">
        <f>VLOOKUP(B:B,'生產達成率(目標)'!A:C,3,0)</f>
        <v>1</v>
      </c>
      <c r="L39" s="20">
        <f t="shared" si="4"/>
        <v>0.124</v>
      </c>
      <c r="M39" s="235"/>
      <c r="N39" s="164"/>
      <c r="O39" s="150">
        <f t="shared" si="3"/>
        <v>1</v>
      </c>
      <c r="P39" s="141">
        <v>2501</v>
      </c>
      <c r="Q39" s="27">
        <f t="shared" si="5"/>
        <v>0.9996003197442046</v>
      </c>
      <c r="R39" s="48"/>
      <c r="S39" s="172" t="s">
        <v>90</v>
      </c>
      <c r="T39" s="52"/>
      <c r="U39" s="48"/>
      <c r="V39" s="459"/>
      <c r="W39" s="421"/>
      <c r="X39" s="459"/>
      <c r="Y39" s="421"/>
      <c r="Z39" s="421"/>
      <c r="AA39" s="421"/>
      <c r="AB39" s="421"/>
      <c r="AC39" s="421"/>
      <c r="AD39" s="421"/>
    </row>
    <row r="40" spans="1:30" s="22" customFormat="1" x14ac:dyDescent="0.4">
      <c r="A40" s="176" t="s">
        <v>674</v>
      </c>
      <c r="B40" s="149" t="s">
        <v>6</v>
      </c>
      <c r="C40" s="30" t="str">
        <f>VLOOKUP(B40,'112年全品項生產鍋數'!A:H,2,0)</f>
        <v>大圓草莓-新</v>
      </c>
      <c r="D40" s="284">
        <v>24</v>
      </c>
      <c r="E40" s="48">
        <f>VLOOKUP(B40,'112年全品項生產鍋數'!A:H,3,0)</f>
        <v>0.44</v>
      </c>
      <c r="F40" s="45">
        <f>VLOOKUP(B40,'112年全品項生產鍋數'!A:H,7,0)</f>
        <v>344</v>
      </c>
      <c r="G40" s="49">
        <f t="shared" si="0"/>
        <v>8256</v>
      </c>
      <c r="H40" s="141">
        <v>8071</v>
      </c>
      <c r="I40" s="46">
        <f t="shared" si="1"/>
        <v>3551.2400000000002</v>
      </c>
      <c r="J40" s="100">
        <f t="shared" si="2"/>
        <v>0.97759205426356588</v>
      </c>
      <c r="K40" s="51">
        <f>VLOOKUP(B:B,'生產達成率(目標)'!A:C,3,0)</f>
        <v>1</v>
      </c>
      <c r="L40" s="20">
        <f t="shared" si="4"/>
        <v>-2.1999999999999999E-2</v>
      </c>
      <c r="M40" s="235"/>
      <c r="N40" s="164"/>
      <c r="O40" s="150">
        <f t="shared" si="3"/>
        <v>9</v>
      </c>
      <c r="P40" s="141">
        <v>8062</v>
      </c>
      <c r="Q40" s="27">
        <f t="shared" si="5"/>
        <v>0.99888489654317925</v>
      </c>
      <c r="R40" s="48"/>
      <c r="S40" s="172"/>
      <c r="T40" s="52"/>
      <c r="U40" s="23"/>
      <c r="V40" s="458"/>
      <c r="W40" s="421"/>
      <c r="X40" s="458"/>
      <c r="Y40" s="421"/>
      <c r="Z40" s="421"/>
      <c r="AA40" s="421"/>
      <c r="AB40" s="421"/>
      <c r="AC40" s="421"/>
      <c r="AD40" s="421"/>
    </row>
    <row r="41" spans="1:30" s="22" customFormat="1" x14ac:dyDescent="0.4">
      <c r="A41" s="176" t="s">
        <v>674</v>
      </c>
      <c r="B41" s="149" t="s">
        <v>21</v>
      </c>
      <c r="C41" s="30" t="str">
        <f>VLOOKUP(B41,'112年全品項生產鍋數'!A:H,2,0)</f>
        <v>梨山草莓果醬(1*430g)</v>
      </c>
      <c r="D41" s="284">
        <v>12</v>
      </c>
      <c r="E41" s="48">
        <f>VLOOKUP(B41,'112年全品項生產鍋數'!A:H,3,0)</f>
        <v>0.43</v>
      </c>
      <c r="F41" s="45">
        <f>VLOOKUP(B41,'112年全品項生產鍋數'!A:H,7,0)</f>
        <v>340.4</v>
      </c>
      <c r="G41" s="49">
        <f t="shared" si="0"/>
        <v>4084.7999999999997</v>
      </c>
      <c r="H41" s="141">
        <v>4032</v>
      </c>
      <c r="I41" s="46">
        <f t="shared" si="1"/>
        <v>1733.76</v>
      </c>
      <c r="J41" s="100">
        <f t="shared" si="2"/>
        <v>0.98707403055229148</v>
      </c>
      <c r="K41" s="51">
        <f>VLOOKUP(B:B,'生產達成率(目標)'!A:C,3,0)</f>
        <v>1</v>
      </c>
      <c r="L41" s="20">
        <f t="shared" si="4"/>
        <v>-1.2999999999999999E-2</v>
      </c>
      <c r="M41" s="235"/>
      <c r="N41" s="164"/>
      <c r="O41" s="150">
        <f t="shared" si="3"/>
        <v>4</v>
      </c>
      <c r="P41" s="141">
        <v>4028</v>
      </c>
      <c r="Q41" s="27">
        <f t="shared" si="5"/>
        <v>0.99900793650793651</v>
      </c>
      <c r="R41" s="48"/>
      <c r="S41" s="172"/>
      <c r="T41" s="52"/>
      <c r="U41" s="23"/>
      <c r="V41" s="458"/>
      <c r="W41" s="421"/>
      <c r="X41" s="458"/>
      <c r="Y41" s="421"/>
      <c r="Z41" s="421"/>
      <c r="AA41" s="421"/>
      <c r="AB41" s="421"/>
      <c r="AC41" s="421"/>
      <c r="AD41" s="421"/>
    </row>
    <row r="42" spans="1:30" s="22" customFormat="1" x14ac:dyDescent="0.4">
      <c r="A42" s="176" t="s">
        <v>674</v>
      </c>
      <c r="B42" s="150" t="s">
        <v>92</v>
      </c>
      <c r="C42" s="30" t="str">
        <f>VLOOKUP(B42,'112年全品項生產鍋數'!A:H,2,0)</f>
        <v>藍莓果茶(1*420g)</v>
      </c>
      <c r="D42" s="284">
        <v>4</v>
      </c>
      <c r="E42" s="48">
        <f>VLOOKUP(B42,'112年全品項生產鍋數'!A:H,3,0)</f>
        <v>0.42</v>
      </c>
      <c r="F42" s="45">
        <f>VLOOKUP(B42,'112年全品項生產鍋數'!A:H,7,0)</f>
        <v>364</v>
      </c>
      <c r="G42" s="49">
        <f t="shared" si="0"/>
        <v>1456</v>
      </c>
      <c r="H42" s="141">
        <v>1464</v>
      </c>
      <c r="I42" s="46">
        <f t="shared" si="1"/>
        <v>614.88</v>
      </c>
      <c r="J42" s="100">
        <f t="shared" si="2"/>
        <v>1.0054945054945055</v>
      </c>
      <c r="K42" s="51">
        <f>VLOOKUP(B:B,'生產達成率(目標)'!A:C,3,0)</f>
        <v>1</v>
      </c>
      <c r="L42" s="20">
        <f t="shared" si="4"/>
        <v>5.0000000000000001E-3</v>
      </c>
      <c r="M42" s="235"/>
      <c r="N42" s="164"/>
      <c r="O42" s="150">
        <f t="shared" si="3"/>
        <v>5</v>
      </c>
      <c r="P42" s="141">
        <v>1459</v>
      </c>
      <c r="Q42" s="27">
        <f t="shared" si="5"/>
        <v>0.99658469945355188</v>
      </c>
      <c r="R42" s="48"/>
      <c r="S42" s="172"/>
      <c r="T42" s="52"/>
      <c r="U42" s="23"/>
      <c r="V42" s="458"/>
      <c r="W42" s="421"/>
      <c r="X42" s="458"/>
      <c r="Y42" s="421"/>
      <c r="Z42" s="421"/>
      <c r="AA42" s="421"/>
      <c r="AB42" s="421"/>
      <c r="AC42" s="421"/>
      <c r="AD42" s="421"/>
    </row>
    <row r="43" spans="1:30" s="22" customFormat="1" x14ac:dyDescent="0.4">
      <c r="A43" s="176" t="s">
        <v>674</v>
      </c>
      <c r="B43" s="150" t="s">
        <v>63</v>
      </c>
      <c r="C43" s="30" t="str">
        <f>VLOOKUP(B43,'112年全品項生產鍋數'!A:H,2,0)</f>
        <v>草莓蒟蒻餡(1*6kg)</v>
      </c>
      <c r="D43" s="284">
        <v>28</v>
      </c>
      <c r="E43" s="48">
        <f>VLOOKUP(B43,'112年全品項生產鍋數'!A:H,3,0)</f>
        <v>6</v>
      </c>
      <c r="F43" s="45">
        <f>VLOOKUP(B43,'112年全品項生產鍋數'!A:H,7,0)</f>
        <v>25.7</v>
      </c>
      <c r="G43" s="49">
        <f t="shared" si="0"/>
        <v>719.6</v>
      </c>
      <c r="H43" s="141">
        <v>717</v>
      </c>
      <c r="I43" s="46">
        <f t="shared" si="1"/>
        <v>4302</v>
      </c>
      <c r="J43" s="100">
        <f t="shared" si="2"/>
        <v>0.9963868816008894</v>
      </c>
      <c r="K43" s="51">
        <f>VLOOKUP(B:B,'生產達成率(目標)'!A:C,3,0)</f>
        <v>1</v>
      </c>
      <c r="L43" s="20">
        <f t="shared" si="4"/>
        <v>-4.0000000000000001E-3</v>
      </c>
      <c r="M43" s="235"/>
      <c r="N43" s="164"/>
      <c r="O43" s="150">
        <f t="shared" si="3"/>
        <v>4</v>
      </c>
      <c r="P43" s="141">
        <v>713</v>
      </c>
      <c r="Q43" s="27">
        <f t="shared" si="5"/>
        <v>0.99442119944211993</v>
      </c>
      <c r="R43" s="48"/>
      <c r="S43" s="172"/>
      <c r="T43" s="52"/>
      <c r="U43" s="23"/>
      <c r="V43" s="458"/>
      <c r="W43" s="421"/>
      <c r="X43" s="458"/>
      <c r="Y43" s="421"/>
      <c r="Z43" s="421"/>
      <c r="AA43" s="421"/>
      <c r="AB43" s="421"/>
      <c r="AC43" s="421"/>
      <c r="AD43" s="421"/>
    </row>
    <row r="44" spans="1:30" s="22" customFormat="1" x14ac:dyDescent="0.4">
      <c r="A44" s="176" t="s">
        <v>674</v>
      </c>
      <c r="B44" s="150" t="s">
        <v>93</v>
      </c>
      <c r="C44" s="30" t="str">
        <f>VLOOKUP(B44,'112年全品項生產鍋數'!A:H,2,0)</f>
        <v>草莓餡42°(1*6KG)</v>
      </c>
      <c r="D44" s="284">
        <v>20</v>
      </c>
      <c r="E44" s="48">
        <f>VLOOKUP(B44,'112年全品項生產鍋數'!A:H,3,0)</f>
        <v>6</v>
      </c>
      <c r="F44" s="45">
        <f>VLOOKUP(B44,'112年全品項生產鍋數'!A:H,7,0)</f>
        <v>25.2</v>
      </c>
      <c r="G44" s="49">
        <f t="shared" si="0"/>
        <v>504</v>
      </c>
      <c r="H44" s="141">
        <v>503</v>
      </c>
      <c r="I44" s="46">
        <f t="shared" si="1"/>
        <v>3018</v>
      </c>
      <c r="J44" s="100">
        <f t="shared" si="2"/>
        <v>0.99801587301587302</v>
      </c>
      <c r="K44" s="51">
        <f>VLOOKUP(B:B,'生產達成率(目標)'!A:C,3,0)</f>
        <v>1</v>
      </c>
      <c r="L44" s="20">
        <f t="shared" si="4"/>
        <v>-2E-3</v>
      </c>
      <c r="M44" s="235"/>
      <c r="N44" s="164"/>
      <c r="O44" s="150">
        <f t="shared" si="3"/>
        <v>1</v>
      </c>
      <c r="P44" s="141">
        <v>502</v>
      </c>
      <c r="Q44" s="27">
        <f t="shared" si="5"/>
        <v>0.99801192842942343</v>
      </c>
      <c r="R44" s="48"/>
      <c r="S44" s="172"/>
      <c r="T44" s="52"/>
      <c r="U44" s="23"/>
      <c r="V44" s="458"/>
      <c r="W44" s="421"/>
      <c r="X44" s="458"/>
      <c r="Y44" s="421"/>
      <c r="Z44" s="421"/>
      <c r="AA44" s="421"/>
      <c r="AB44" s="421"/>
      <c r="AC44" s="421"/>
      <c r="AD44" s="421"/>
    </row>
    <row r="45" spans="1:30" s="22" customFormat="1" x14ac:dyDescent="0.4">
      <c r="A45" s="176" t="s">
        <v>674</v>
      </c>
      <c r="B45" s="150" t="s">
        <v>65</v>
      </c>
      <c r="C45" s="30" t="str">
        <f>VLOOKUP(B45,'112年全品項生產鍋數'!A:H,2,0)</f>
        <v>＃1花生(1*2.8kg)</v>
      </c>
      <c r="D45" s="284">
        <v>48.8</v>
      </c>
      <c r="E45" s="48">
        <f>VLOOKUP(B45,'112年全品項生產鍋數'!A:H,3,0)</f>
        <v>2.8</v>
      </c>
      <c r="F45" s="45">
        <f>VLOOKUP(B45,'112年全品項生產鍋數'!A:H,7,0)</f>
        <v>44.5</v>
      </c>
      <c r="G45" s="49">
        <f t="shared" si="0"/>
        <v>2171.6</v>
      </c>
      <c r="H45" s="141">
        <v>2287</v>
      </c>
      <c r="I45" s="46">
        <f t="shared" si="1"/>
        <v>6403.5999999999995</v>
      </c>
      <c r="J45" s="100">
        <f t="shared" si="2"/>
        <v>1.0531405415361945</v>
      </c>
      <c r="K45" s="51">
        <f>VLOOKUP(B:B,'生產達成率(目標)'!A:C,3,0)</f>
        <v>1</v>
      </c>
      <c r="L45" s="20">
        <f t="shared" si="4"/>
        <v>5.2999999999999999E-2</v>
      </c>
      <c r="M45" s="235"/>
      <c r="N45" s="164"/>
      <c r="O45" s="150">
        <f t="shared" si="3"/>
        <v>1</v>
      </c>
      <c r="P45" s="141">
        <v>2286</v>
      </c>
      <c r="Q45" s="27">
        <f t="shared" si="5"/>
        <v>0.99956274595540007</v>
      </c>
      <c r="R45" s="48"/>
      <c r="S45" s="172" t="s">
        <v>94</v>
      </c>
      <c r="T45" s="52" t="s">
        <v>95</v>
      </c>
      <c r="U45" s="23"/>
      <c r="V45" s="458"/>
      <c r="W45" s="421"/>
      <c r="X45" s="458"/>
      <c r="Y45" s="421"/>
      <c r="Z45" s="421"/>
      <c r="AA45" s="421"/>
      <c r="AB45" s="421"/>
      <c r="AC45" s="421"/>
      <c r="AD45" s="421"/>
    </row>
    <row r="46" spans="1:30" s="22" customFormat="1" x14ac:dyDescent="0.4">
      <c r="A46" s="176" t="s">
        <v>674</v>
      </c>
      <c r="B46" s="150" t="s">
        <v>352</v>
      </c>
      <c r="C46" s="30" t="str">
        <f>VLOOKUP(B46,'112年全品項生產鍋數'!A:H,2,0)</f>
        <v>美芝城花生醬(1*2.8kg)</v>
      </c>
      <c r="D46" s="284">
        <v>11.2</v>
      </c>
      <c r="E46" s="48">
        <f>VLOOKUP(B46,'112年全品項生產鍋數'!A:H,3,0)</f>
        <v>2.8</v>
      </c>
      <c r="F46" s="45">
        <f>VLOOKUP(B46,'112年全品項生產鍋數'!A:H,7,0)</f>
        <v>46</v>
      </c>
      <c r="G46" s="49">
        <f t="shared" si="0"/>
        <v>515.19999999999993</v>
      </c>
      <c r="H46" s="141">
        <v>600</v>
      </c>
      <c r="I46" s="46">
        <f t="shared" si="1"/>
        <v>1680</v>
      </c>
      <c r="J46" s="100">
        <f t="shared" si="2"/>
        <v>1.1645962732919257</v>
      </c>
      <c r="K46" s="51">
        <f>VLOOKUP(B:B,'生產達成率(目標)'!A:C,3,0)</f>
        <v>1</v>
      </c>
      <c r="L46" s="20">
        <f t="shared" si="4"/>
        <v>0.16500000000000001</v>
      </c>
      <c r="M46" s="235"/>
      <c r="N46" s="164"/>
      <c r="O46" s="150">
        <f t="shared" si="3"/>
        <v>0</v>
      </c>
      <c r="P46" s="141">
        <v>600</v>
      </c>
      <c r="Q46" s="27">
        <f t="shared" si="5"/>
        <v>1</v>
      </c>
      <c r="R46" s="48"/>
      <c r="S46" s="172"/>
      <c r="T46" s="52"/>
      <c r="U46" s="23"/>
      <c r="V46" s="458"/>
      <c r="W46" s="421"/>
      <c r="X46" s="458"/>
      <c r="Y46" s="421"/>
      <c r="Z46" s="421"/>
      <c r="AA46" s="421"/>
      <c r="AB46" s="421"/>
      <c r="AC46" s="421"/>
      <c r="AD46" s="421"/>
    </row>
    <row r="47" spans="1:30" s="22" customFormat="1" x14ac:dyDescent="0.4">
      <c r="A47" s="176" t="s">
        <v>675</v>
      </c>
      <c r="B47" s="149" t="s">
        <v>12</v>
      </c>
      <c r="C47" s="30" t="str">
        <f>VLOOKUP(B47,'112年全品項生產鍋數'!A:H,2,0)</f>
        <v>＃1草莓(1*3.2kg)</v>
      </c>
      <c r="D47" s="284">
        <v>40</v>
      </c>
      <c r="E47" s="48">
        <f>VLOOKUP(B47,'112年全品項生產鍋數'!A:H,3,0)</f>
        <v>3.2</v>
      </c>
      <c r="F47" s="45">
        <f>VLOOKUP(B47,'112年全品項生產鍋數'!A:H,7,0)</f>
        <v>46.8</v>
      </c>
      <c r="G47" s="49">
        <f t="shared" si="0"/>
        <v>1872</v>
      </c>
      <c r="H47" s="141">
        <v>1875</v>
      </c>
      <c r="I47" s="46">
        <f t="shared" si="1"/>
        <v>6000</v>
      </c>
      <c r="J47" s="100">
        <f t="shared" si="2"/>
        <v>1.0016025641025641</v>
      </c>
      <c r="K47" s="51">
        <f>VLOOKUP(B:B,'生產達成率(目標)'!A:C,3,0)</f>
        <v>1</v>
      </c>
      <c r="L47" s="20">
        <f t="shared" si="4"/>
        <v>2E-3</v>
      </c>
      <c r="M47" s="235"/>
      <c r="N47" s="164"/>
      <c r="O47" s="150">
        <f t="shared" si="3"/>
        <v>1</v>
      </c>
      <c r="P47" s="141">
        <v>1874</v>
      </c>
      <c r="Q47" s="27">
        <f t="shared" si="5"/>
        <v>0.99946666666666661</v>
      </c>
      <c r="R47" s="48"/>
      <c r="S47" s="172"/>
      <c r="T47" s="52"/>
      <c r="U47" s="23"/>
      <c r="V47" s="458"/>
      <c r="W47" s="421"/>
      <c r="X47" s="458"/>
      <c r="Y47" s="421"/>
      <c r="Z47" s="421"/>
      <c r="AA47" s="421"/>
      <c r="AB47" s="421"/>
      <c r="AC47" s="421"/>
      <c r="AD47" s="421"/>
    </row>
    <row r="48" spans="1:30" s="22" customFormat="1" x14ac:dyDescent="0.4">
      <c r="A48" s="176" t="s">
        <v>675</v>
      </c>
      <c r="B48" s="149" t="s">
        <v>11</v>
      </c>
      <c r="C48" s="30" t="str">
        <f>VLOOKUP(B48,'112年全品項生產鍋數'!A:H,2,0)</f>
        <v>#2草莓果醬(1*900g)</v>
      </c>
      <c r="D48" s="284">
        <v>20</v>
      </c>
      <c r="E48" s="48">
        <f>VLOOKUP(B48,'112年全品項生產鍋數'!A:H,3,0)</f>
        <v>0.9</v>
      </c>
      <c r="F48" s="45">
        <f>VLOOKUP(B48,'112年全品項生產鍋數'!A:H,7,0)</f>
        <v>160.5</v>
      </c>
      <c r="G48" s="49">
        <f t="shared" si="0"/>
        <v>3210</v>
      </c>
      <c r="H48" s="141">
        <v>3209</v>
      </c>
      <c r="I48" s="46">
        <f t="shared" si="1"/>
        <v>2888.1</v>
      </c>
      <c r="J48" s="100">
        <f t="shared" si="2"/>
        <v>0.99968847352024925</v>
      </c>
      <c r="K48" s="51">
        <f>VLOOKUP(B:B,'生產達成率(目標)'!A:C,3,0)</f>
        <v>1</v>
      </c>
      <c r="L48" s="20">
        <f t="shared" si="4"/>
        <v>0</v>
      </c>
      <c r="M48" s="235"/>
      <c r="N48" s="164"/>
      <c r="O48" s="150">
        <f t="shared" si="3"/>
        <v>3</v>
      </c>
      <c r="P48" s="141">
        <v>3206</v>
      </c>
      <c r="Q48" s="27">
        <f t="shared" si="5"/>
        <v>0.99906512932377689</v>
      </c>
      <c r="R48" s="48"/>
      <c r="S48" s="172"/>
      <c r="T48" s="52"/>
      <c r="U48" s="23"/>
      <c r="V48" s="458"/>
      <c r="W48" s="421"/>
      <c r="X48" s="458"/>
      <c r="Y48" s="421"/>
      <c r="Z48" s="421"/>
      <c r="AA48" s="421"/>
      <c r="AB48" s="421"/>
      <c r="AC48" s="421"/>
      <c r="AD48" s="421"/>
    </row>
    <row r="49" spans="1:30" s="22" customFormat="1" x14ac:dyDescent="0.4">
      <c r="A49" s="176" t="s">
        <v>675</v>
      </c>
      <c r="B49" s="150" t="s">
        <v>63</v>
      </c>
      <c r="C49" s="30" t="str">
        <f>VLOOKUP(B49,'112年全品項生產鍋數'!A:H,2,0)</f>
        <v>草莓蒟蒻餡(1*6kg)</v>
      </c>
      <c r="D49" s="284">
        <v>24</v>
      </c>
      <c r="E49" s="48">
        <f>VLOOKUP(B49,'112年全品項生產鍋數'!A:H,3,0)</f>
        <v>6</v>
      </c>
      <c r="F49" s="45">
        <f>VLOOKUP(B49,'112年全品項生產鍋數'!A:H,7,0)</f>
        <v>25.7</v>
      </c>
      <c r="G49" s="49">
        <f t="shared" si="0"/>
        <v>616.79999999999995</v>
      </c>
      <c r="H49" s="141">
        <v>619</v>
      </c>
      <c r="I49" s="46">
        <f t="shared" si="1"/>
        <v>3714</v>
      </c>
      <c r="J49" s="100">
        <f t="shared" si="2"/>
        <v>1.0035667963683528</v>
      </c>
      <c r="K49" s="51">
        <f>VLOOKUP(B:B,'生產達成率(目標)'!A:C,3,0)</f>
        <v>1</v>
      </c>
      <c r="L49" s="20">
        <f t="shared" si="4"/>
        <v>4.0000000000000001E-3</v>
      </c>
      <c r="M49" s="235"/>
      <c r="N49" s="164"/>
      <c r="O49" s="150">
        <f t="shared" si="3"/>
        <v>12</v>
      </c>
      <c r="P49" s="141">
        <v>607</v>
      </c>
      <c r="Q49" s="27">
        <f t="shared" si="5"/>
        <v>0.98061389337641358</v>
      </c>
      <c r="R49" s="48"/>
      <c r="S49" s="172"/>
      <c r="T49" s="52"/>
      <c r="U49" s="23"/>
      <c r="V49" s="458"/>
      <c r="W49" s="421"/>
      <c r="X49" s="458"/>
      <c r="Y49" s="421"/>
      <c r="Z49" s="421"/>
      <c r="AA49" s="421"/>
      <c r="AB49" s="421"/>
      <c r="AC49" s="421"/>
      <c r="AD49" s="421"/>
    </row>
    <row r="50" spans="1:30" s="53" customFormat="1" x14ac:dyDescent="0.4">
      <c r="A50" s="176" t="s">
        <v>675</v>
      </c>
      <c r="B50" s="150" t="s">
        <v>64</v>
      </c>
      <c r="C50" s="30" t="str">
        <f>VLOOKUP(B50,'112年全品項生產鍋數'!A:H,2,0)</f>
        <v>藍莓餡(1*6KG)</v>
      </c>
      <c r="D50" s="284">
        <v>24</v>
      </c>
      <c r="E50" s="48">
        <f>VLOOKUP(B50,'112年全品項生產鍋數'!A:H,3,0)</f>
        <v>6</v>
      </c>
      <c r="F50" s="45">
        <f>VLOOKUP(B50,'112年全品項生產鍋數'!A:H,7,0)</f>
        <v>25.4</v>
      </c>
      <c r="G50" s="49">
        <f t="shared" si="0"/>
        <v>609.59999999999991</v>
      </c>
      <c r="H50" s="141">
        <v>603</v>
      </c>
      <c r="I50" s="46">
        <f t="shared" si="1"/>
        <v>3618</v>
      </c>
      <c r="J50" s="100">
        <f t="shared" si="2"/>
        <v>0.98917322834645682</v>
      </c>
      <c r="K50" s="51">
        <f>VLOOKUP(B:B,'生產達成率(目標)'!A:C,3,0)</f>
        <v>1</v>
      </c>
      <c r="L50" s="20">
        <f t="shared" si="4"/>
        <v>-1.0999999999999999E-2</v>
      </c>
      <c r="M50" s="235"/>
      <c r="N50" s="164"/>
      <c r="O50" s="150">
        <f t="shared" si="3"/>
        <v>3</v>
      </c>
      <c r="P50" s="141">
        <v>600</v>
      </c>
      <c r="Q50" s="27">
        <f t="shared" si="5"/>
        <v>0.99502487562189057</v>
      </c>
      <c r="R50" s="48"/>
      <c r="S50" s="172"/>
      <c r="T50" s="52"/>
      <c r="U50" s="48"/>
      <c r="V50" s="459"/>
      <c r="W50" s="421"/>
      <c r="X50" s="459"/>
      <c r="Y50" s="421"/>
      <c r="Z50" s="421"/>
      <c r="AA50" s="421"/>
      <c r="AB50" s="421"/>
      <c r="AC50" s="421"/>
      <c r="AD50" s="421"/>
    </row>
    <row r="51" spans="1:30" s="22" customFormat="1" x14ac:dyDescent="0.4">
      <c r="A51" s="176" t="s">
        <v>675</v>
      </c>
      <c r="B51" s="149" t="s">
        <v>22</v>
      </c>
      <c r="C51" s="30" t="str">
        <f>VLOOKUP(B51,'112年全品項生產鍋數'!A:H,2,0)</f>
        <v>PET瓶花生(1*340g)</v>
      </c>
      <c r="D51" s="284">
        <v>12</v>
      </c>
      <c r="E51" s="48">
        <f>VLOOKUP(B51,'112年全品項生產鍋數'!A:H,3,0)</f>
        <v>0.34</v>
      </c>
      <c r="F51" s="45">
        <f>VLOOKUP(B51,'112年全品項生產鍋數'!A:H,7,0)</f>
        <v>358.3</v>
      </c>
      <c r="G51" s="49">
        <f t="shared" si="0"/>
        <v>4299.6000000000004</v>
      </c>
      <c r="H51" s="141">
        <v>4289</v>
      </c>
      <c r="I51" s="46">
        <f t="shared" si="1"/>
        <v>1458.2600000000002</v>
      </c>
      <c r="J51" s="100">
        <f t="shared" si="2"/>
        <v>0.9975346543864545</v>
      </c>
      <c r="K51" s="51">
        <f>VLOOKUP(B:B,'生產達成率(目標)'!A:C,3,0)</f>
        <v>1</v>
      </c>
      <c r="L51" s="20">
        <f t="shared" si="4"/>
        <v>-2E-3</v>
      </c>
      <c r="M51" s="235"/>
      <c r="N51" s="164"/>
      <c r="O51" s="150">
        <f t="shared" si="3"/>
        <v>3</v>
      </c>
      <c r="P51" s="141">
        <v>4286</v>
      </c>
      <c r="Q51" s="27">
        <f t="shared" si="5"/>
        <v>0.99930053625553739</v>
      </c>
      <c r="R51" s="48"/>
      <c r="S51" s="172"/>
      <c r="T51" s="52"/>
      <c r="U51" s="23"/>
      <c r="V51" s="458"/>
      <c r="W51" s="421"/>
      <c r="X51" s="458"/>
      <c r="Y51" s="421"/>
      <c r="Z51" s="421"/>
      <c r="AA51" s="421"/>
      <c r="AB51" s="421"/>
      <c r="AC51" s="421"/>
      <c r="AD51" s="421"/>
    </row>
    <row r="52" spans="1:30" s="22" customFormat="1" x14ac:dyDescent="0.4">
      <c r="A52" s="176" t="s">
        <v>675</v>
      </c>
      <c r="B52" s="150" t="s">
        <v>97</v>
      </c>
      <c r="C52" s="30" t="str">
        <f>VLOOKUP(B52,'112年全品項生產鍋數'!A:H,2,0)</f>
        <v>花生醬(1*18KG)</v>
      </c>
      <c r="D52" s="284">
        <v>8</v>
      </c>
      <c r="E52" s="48">
        <f>VLOOKUP(B52,'112年全品項生產鍋數'!A:H,3,0)</f>
        <v>18</v>
      </c>
      <c r="F52" s="45">
        <f>VLOOKUP(B52,'112年全品項生產鍋數'!A:H,7,0)</f>
        <v>6.6</v>
      </c>
      <c r="G52" s="49">
        <f t="shared" si="0"/>
        <v>52.8</v>
      </c>
      <c r="H52" s="141">
        <v>56</v>
      </c>
      <c r="I52" s="46">
        <f t="shared" si="1"/>
        <v>1008</v>
      </c>
      <c r="J52" s="100">
        <f t="shared" si="2"/>
        <v>1.0606060606060606</v>
      </c>
      <c r="K52" s="51">
        <f>VLOOKUP(B:B,'生產達成率(目標)'!A:C,3,0)</f>
        <v>1</v>
      </c>
      <c r="L52" s="20">
        <f t="shared" si="4"/>
        <v>6.0999999999999999E-2</v>
      </c>
      <c r="M52" s="235"/>
      <c r="N52" s="164"/>
      <c r="O52" s="150">
        <f t="shared" si="3"/>
        <v>0</v>
      </c>
      <c r="P52" s="141">
        <v>56</v>
      </c>
      <c r="Q52" s="27">
        <f t="shared" si="5"/>
        <v>1</v>
      </c>
      <c r="R52" s="48"/>
      <c r="S52" s="172"/>
      <c r="T52" s="52"/>
      <c r="U52" s="23"/>
      <c r="V52" s="458"/>
      <c r="W52" s="421"/>
      <c r="X52" s="458"/>
      <c r="Y52" s="421"/>
      <c r="Z52" s="421"/>
      <c r="AA52" s="421"/>
      <c r="AB52" s="421"/>
      <c r="AC52" s="421"/>
      <c r="AD52" s="421"/>
    </row>
    <row r="53" spans="1:30" s="22" customFormat="1" x14ac:dyDescent="0.4">
      <c r="A53" s="176" t="s">
        <v>675</v>
      </c>
      <c r="B53" s="150" t="s">
        <v>65</v>
      </c>
      <c r="C53" s="30" t="str">
        <f>VLOOKUP(B53,'112年全品項生產鍋數'!A:H,2,0)</f>
        <v>＃1花生(1*2.8kg)</v>
      </c>
      <c r="D53" s="284">
        <v>24</v>
      </c>
      <c r="E53" s="48">
        <f>VLOOKUP(B53,'112年全品項生產鍋數'!A:H,3,0)</f>
        <v>2.8</v>
      </c>
      <c r="F53" s="45">
        <f>VLOOKUP(B53,'112年全品項生產鍋數'!A:H,7,0)</f>
        <v>44.5</v>
      </c>
      <c r="G53" s="49">
        <f t="shared" si="0"/>
        <v>1068</v>
      </c>
      <c r="H53" s="141">
        <v>1163</v>
      </c>
      <c r="I53" s="46">
        <f t="shared" si="1"/>
        <v>3256.3999999999996</v>
      </c>
      <c r="J53" s="100">
        <f t="shared" si="2"/>
        <v>1.0889513108614233</v>
      </c>
      <c r="K53" s="51">
        <f>VLOOKUP(B:B,'生產達成率(目標)'!A:C,3,0)</f>
        <v>1</v>
      </c>
      <c r="L53" s="20">
        <f t="shared" si="4"/>
        <v>8.8999999999999996E-2</v>
      </c>
      <c r="M53" s="235"/>
      <c r="N53" s="164"/>
      <c r="O53" s="150">
        <f t="shared" si="3"/>
        <v>1</v>
      </c>
      <c r="P53" s="141">
        <v>1162</v>
      </c>
      <c r="Q53" s="27">
        <f t="shared" si="5"/>
        <v>0.99914015477214102</v>
      </c>
      <c r="R53" s="48"/>
      <c r="S53" s="172" t="s">
        <v>98</v>
      </c>
      <c r="T53" s="52"/>
      <c r="U53" s="23"/>
      <c r="V53" s="458"/>
      <c r="W53" s="421"/>
      <c r="X53" s="458"/>
      <c r="Y53" s="421"/>
      <c r="Z53" s="421"/>
      <c r="AA53" s="421"/>
      <c r="AB53" s="421"/>
      <c r="AC53" s="421"/>
      <c r="AD53" s="421"/>
    </row>
    <row r="54" spans="1:30" s="22" customFormat="1" x14ac:dyDescent="0.4">
      <c r="A54" s="176" t="s">
        <v>676</v>
      </c>
      <c r="B54" s="149" t="s">
        <v>149</v>
      </c>
      <c r="C54" s="30" t="str">
        <f>VLOOKUP(B54,'112年全品項生產鍋數'!A:H,2,0)</f>
        <v>葡萄奇異果醬(1*6kg)</v>
      </c>
      <c r="D54" s="284">
        <v>5</v>
      </c>
      <c r="E54" s="48">
        <f>VLOOKUP(B54,'112年全品項生產鍋數'!A:H,3,0)</f>
        <v>6</v>
      </c>
      <c r="F54" s="45">
        <f>VLOOKUP(B54,'112年全品項生產鍋數'!A:H,7,0)</f>
        <v>24.3</v>
      </c>
      <c r="G54" s="49">
        <f t="shared" si="0"/>
        <v>121.5</v>
      </c>
      <c r="H54" s="141">
        <v>118</v>
      </c>
      <c r="I54" s="46">
        <f t="shared" si="1"/>
        <v>708</v>
      </c>
      <c r="J54" s="100">
        <f t="shared" si="2"/>
        <v>0.9711934156378601</v>
      </c>
      <c r="K54" s="51">
        <f>VLOOKUP(B:B,'生產達成率(目標)'!A:C,3,0)</f>
        <v>1</v>
      </c>
      <c r="L54" s="20">
        <f t="shared" si="4"/>
        <v>-2.9000000000000001E-2</v>
      </c>
      <c r="M54" s="235"/>
      <c r="N54" s="164"/>
      <c r="O54" s="150">
        <f t="shared" si="3"/>
        <v>1</v>
      </c>
      <c r="P54" s="141">
        <v>117</v>
      </c>
      <c r="Q54" s="27">
        <f t="shared" si="5"/>
        <v>0.99152542372881358</v>
      </c>
      <c r="R54" s="48"/>
      <c r="S54" s="172"/>
      <c r="T54" s="52"/>
      <c r="U54" s="23"/>
      <c r="V54" s="458"/>
      <c r="W54" s="421"/>
      <c r="X54" s="458"/>
      <c r="Y54" s="421"/>
      <c r="Z54" s="421"/>
      <c r="AA54" s="421"/>
      <c r="AB54" s="421"/>
      <c r="AC54" s="421"/>
      <c r="AD54" s="421"/>
    </row>
    <row r="55" spans="1:30" s="22" customFormat="1" x14ac:dyDescent="0.4">
      <c r="A55" s="176" t="s">
        <v>676</v>
      </c>
      <c r="B55" s="149" t="s">
        <v>138</v>
      </c>
      <c r="C55" s="30" t="str">
        <f>VLOOKUP(B55,'112年全品項生產鍋數'!A:H,2,0)</f>
        <v>芒果蜜桃醬(1*6kg)</v>
      </c>
      <c r="D55" s="284">
        <v>12</v>
      </c>
      <c r="E55" s="48">
        <f>VLOOKUP(B55,'112年全品項生產鍋數'!A:H,3,0)</f>
        <v>6</v>
      </c>
      <c r="F55" s="45">
        <f>VLOOKUP(B55,'112年全品項生產鍋數'!A:H,7,0)</f>
        <v>25.6</v>
      </c>
      <c r="G55" s="49">
        <f t="shared" si="0"/>
        <v>307.20000000000005</v>
      </c>
      <c r="H55" s="141">
        <v>303</v>
      </c>
      <c r="I55" s="46">
        <f t="shared" si="1"/>
        <v>1818</v>
      </c>
      <c r="J55" s="100">
        <f t="shared" si="2"/>
        <v>0.98632812499999989</v>
      </c>
      <c r="K55" s="51">
        <f>VLOOKUP(B:B,'生產達成率(目標)'!A:C,3,0)</f>
        <v>1</v>
      </c>
      <c r="L55" s="20">
        <f t="shared" si="4"/>
        <v>-1.4E-2</v>
      </c>
      <c r="M55" s="235"/>
      <c r="N55" s="164"/>
      <c r="O55" s="150">
        <f t="shared" si="3"/>
        <v>4</v>
      </c>
      <c r="P55" s="141">
        <v>299</v>
      </c>
      <c r="Q55" s="27">
        <f t="shared" si="5"/>
        <v>0.98679867986798675</v>
      </c>
      <c r="R55" s="48"/>
      <c r="S55" s="172"/>
      <c r="T55" s="52"/>
      <c r="U55" s="23"/>
      <c r="V55" s="458"/>
      <c r="W55" s="421"/>
      <c r="X55" s="458"/>
      <c r="Y55" s="421"/>
      <c r="Z55" s="421"/>
      <c r="AA55" s="421"/>
      <c r="AB55" s="421"/>
      <c r="AC55" s="421"/>
      <c r="AD55" s="421"/>
    </row>
    <row r="56" spans="1:30" s="22" customFormat="1" x14ac:dyDescent="0.4">
      <c r="A56" s="176" t="s">
        <v>676</v>
      </c>
      <c r="B56" s="150" t="s">
        <v>54</v>
      </c>
      <c r="C56" s="30" t="str">
        <f>VLOOKUP(B56,'112年全品項生產鍋數'!A:H,2,0)</f>
        <v>草莓醬(1*6kg)</v>
      </c>
      <c r="D56" s="284">
        <v>20</v>
      </c>
      <c r="E56" s="48">
        <f>VLOOKUP(B56,'112年全品項生產鍋數'!A:H,3,0)</f>
        <v>6</v>
      </c>
      <c r="F56" s="45">
        <f>VLOOKUP(B56,'112年全品項生產鍋數'!A:H,7,0)</f>
        <v>26.6</v>
      </c>
      <c r="G56" s="49">
        <f t="shared" si="0"/>
        <v>532</v>
      </c>
      <c r="H56" s="141">
        <v>515</v>
      </c>
      <c r="I56" s="46">
        <f t="shared" si="1"/>
        <v>3090</v>
      </c>
      <c r="J56" s="100">
        <f t="shared" si="2"/>
        <v>0.96804511278195493</v>
      </c>
      <c r="K56" s="51">
        <f>VLOOKUP(B:B,'生產達成率(目標)'!A:C,3,0)</f>
        <v>1</v>
      </c>
      <c r="L56" s="20">
        <f t="shared" si="4"/>
        <v>-3.2000000000000001E-2</v>
      </c>
      <c r="M56" s="235"/>
      <c r="N56" s="164"/>
      <c r="O56" s="150">
        <f t="shared" si="3"/>
        <v>2</v>
      </c>
      <c r="P56" s="141">
        <v>513</v>
      </c>
      <c r="Q56" s="27">
        <f t="shared" si="5"/>
        <v>0.99611650485436898</v>
      </c>
      <c r="R56" s="48"/>
      <c r="S56" s="172"/>
      <c r="T56" s="52"/>
      <c r="U56" s="23"/>
      <c r="V56" s="458"/>
      <c r="W56" s="421"/>
      <c r="X56" s="458"/>
      <c r="Y56" s="421"/>
      <c r="Z56" s="421"/>
      <c r="AA56" s="421"/>
      <c r="AB56" s="421"/>
      <c r="AC56" s="421"/>
      <c r="AD56" s="421"/>
    </row>
    <row r="57" spans="1:30" s="22" customFormat="1" x14ac:dyDescent="0.4">
      <c r="A57" s="176" t="s">
        <v>676</v>
      </c>
      <c r="B57" s="150" t="s">
        <v>55</v>
      </c>
      <c r="C57" s="30" t="str">
        <f>VLOOKUP(B57,'112年全品項生產鍋數'!A:H,2,0)</f>
        <v>天天開心草莓餡4.5KG</v>
      </c>
      <c r="D57" s="284">
        <v>12</v>
      </c>
      <c r="E57" s="48">
        <f>VLOOKUP(B57,'112年全品項生產鍋數'!A:H,3,0)</f>
        <v>4.5</v>
      </c>
      <c r="F57" s="45">
        <f>VLOOKUP(B57,'112年全品項生產鍋數'!A:H,7,0)</f>
        <v>36.299999999999997</v>
      </c>
      <c r="G57" s="49">
        <f t="shared" si="0"/>
        <v>435.59999999999997</v>
      </c>
      <c r="H57" s="141">
        <v>418</v>
      </c>
      <c r="I57" s="46">
        <f t="shared" si="1"/>
        <v>1881</v>
      </c>
      <c r="J57" s="100">
        <f t="shared" si="2"/>
        <v>0.95959595959595967</v>
      </c>
      <c r="K57" s="51">
        <f>VLOOKUP(B:B,'生產達成率(目標)'!A:C,3,0)</f>
        <v>1</v>
      </c>
      <c r="L57" s="20">
        <f t="shared" si="4"/>
        <v>-0.04</v>
      </c>
      <c r="M57" s="235"/>
      <c r="N57" s="164"/>
      <c r="O57" s="150">
        <f t="shared" si="3"/>
        <v>0</v>
      </c>
      <c r="P57" s="141">
        <v>418</v>
      </c>
      <c r="Q57" s="27">
        <f t="shared" si="5"/>
        <v>1</v>
      </c>
      <c r="R57" s="48"/>
      <c r="S57" s="172"/>
      <c r="T57" s="52"/>
      <c r="U57" s="23"/>
      <c r="V57" s="458"/>
      <c r="W57" s="421"/>
      <c r="X57" s="458"/>
      <c r="Y57" s="421"/>
      <c r="Z57" s="421"/>
      <c r="AA57" s="421"/>
      <c r="AB57" s="421"/>
      <c r="AC57" s="421"/>
      <c r="AD57" s="421"/>
    </row>
    <row r="58" spans="1:30" s="22" customFormat="1" x14ac:dyDescent="0.4">
      <c r="A58" s="176" t="s">
        <v>676</v>
      </c>
      <c r="B58" s="149" t="s">
        <v>375</v>
      </c>
      <c r="C58" s="30" t="str">
        <f>VLOOKUP(B58,'112年全品項生產鍋數'!A:H,2,0)</f>
        <v>上好佳綜合莓餡4.5KG</v>
      </c>
      <c r="D58" s="284">
        <v>3</v>
      </c>
      <c r="E58" s="48">
        <f>VLOOKUP(B58,'112年全品項生產鍋數'!A:H,3,0)</f>
        <v>4.5</v>
      </c>
      <c r="F58" s="45">
        <f>VLOOKUP(B58,'112年全品項生產鍋數'!A:H,7,0)</f>
        <v>32.799999999999997</v>
      </c>
      <c r="G58" s="49">
        <f t="shared" si="0"/>
        <v>98.399999999999991</v>
      </c>
      <c r="H58" s="141">
        <v>100</v>
      </c>
      <c r="I58" s="46">
        <f t="shared" si="1"/>
        <v>450</v>
      </c>
      <c r="J58" s="100">
        <f t="shared" si="2"/>
        <v>1.0162601626016261</v>
      </c>
      <c r="K58" s="51">
        <f>VLOOKUP(B:B,'生產達成率(目標)'!A:C,3,0)</f>
        <v>1</v>
      </c>
      <c r="L58" s="20">
        <f t="shared" si="4"/>
        <v>1.6E-2</v>
      </c>
      <c r="M58" s="235"/>
      <c r="N58" s="164"/>
      <c r="O58" s="150">
        <f t="shared" si="3"/>
        <v>0</v>
      </c>
      <c r="P58" s="141">
        <v>100</v>
      </c>
      <c r="Q58" s="27">
        <f t="shared" si="5"/>
        <v>1</v>
      </c>
      <c r="R58" s="48"/>
      <c r="S58" s="172"/>
      <c r="T58" s="52"/>
      <c r="U58" s="23"/>
      <c r="V58" s="458"/>
      <c r="W58" s="421"/>
      <c r="X58" s="458"/>
      <c r="Y58" s="421"/>
      <c r="Z58" s="421"/>
      <c r="AA58" s="421"/>
      <c r="AB58" s="421"/>
      <c r="AC58" s="421"/>
      <c r="AD58" s="421"/>
    </row>
    <row r="59" spans="1:30" s="22" customFormat="1" x14ac:dyDescent="0.4">
      <c r="A59" s="176" t="s">
        <v>676</v>
      </c>
      <c r="B59" s="150" t="s">
        <v>102</v>
      </c>
      <c r="C59" s="30" t="str">
        <f>VLOOKUP(B59,'112年全品項生產鍋數'!A:H,2,0)</f>
        <v>耐烤草莓餡(1*4.5KG)</v>
      </c>
      <c r="D59" s="284">
        <v>15</v>
      </c>
      <c r="E59" s="48">
        <f>VLOOKUP(B59,'112年全品項生產鍋數'!A:H,3,0)</f>
        <v>4.5</v>
      </c>
      <c r="F59" s="45">
        <f>VLOOKUP(B59,'112年全品項生產鍋數'!A:H,7,0)</f>
        <v>36</v>
      </c>
      <c r="G59" s="49">
        <f t="shared" si="0"/>
        <v>540</v>
      </c>
      <c r="H59" s="141">
        <v>539</v>
      </c>
      <c r="I59" s="46">
        <f t="shared" si="1"/>
        <v>2425.5</v>
      </c>
      <c r="J59" s="100">
        <f t="shared" si="2"/>
        <v>0.99814814814814812</v>
      </c>
      <c r="K59" s="51">
        <f>VLOOKUP(B:B,'生產達成率(目標)'!A:C,3,0)</f>
        <v>1</v>
      </c>
      <c r="L59" s="20">
        <f t="shared" si="4"/>
        <v>-2E-3</v>
      </c>
      <c r="M59" s="235"/>
      <c r="N59" s="164"/>
      <c r="O59" s="150">
        <f t="shared" si="3"/>
        <v>0</v>
      </c>
      <c r="P59" s="141">
        <v>539</v>
      </c>
      <c r="Q59" s="27">
        <f t="shared" si="5"/>
        <v>1</v>
      </c>
      <c r="R59" s="48"/>
      <c r="S59" s="172"/>
      <c r="T59" s="52"/>
      <c r="U59" s="23"/>
      <c r="V59" s="458"/>
      <c r="W59" s="421"/>
      <c r="X59" s="458"/>
      <c r="Y59" s="421"/>
      <c r="Z59" s="421"/>
      <c r="AA59" s="421"/>
      <c r="AB59" s="421"/>
      <c r="AC59" s="421"/>
      <c r="AD59" s="421"/>
    </row>
    <row r="60" spans="1:30" s="53" customFormat="1" x14ac:dyDescent="0.4">
      <c r="A60" s="176" t="s">
        <v>676</v>
      </c>
      <c r="B60" s="150" t="s">
        <v>103</v>
      </c>
      <c r="C60" s="30" t="str">
        <f>VLOOKUP(B60,'112年全品項生產鍋數'!A:H,2,0)</f>
        <v>顆粒花生醬（1*18kg)</v>
      </c>
      <c r="D60" s="284">
        <v>7.14</v>
      </c>
      <c r="E60" s="48">
        <f>VLOOKUP(B60,'112年全品項生產鍋數'!A:H,3,0)</f>
        <v>18</v>
      </c>
      <c r="F60" s="45">
        <f>VLOOKUP(B60,'112年全品項生產鍋數'!A:H,7,0)</f>
        <v>7</v>
      </c>
      <c r="G60" s="49">
        <f t="shared" si="0"/>
        <v>49.98</v>
      </c>
      <c r="H60" s="141">
        <v>50</v>
      </c>
      <c r="I60" s="46">
        <f t="shared" si="1"/>
        <v>900</v>
      </c>
      <c r="J60" s="100">
        <f t="shared" si="2"/>
        <v>1.0004001600640258</v>
      </c>
      <c r="K60" s="51">
        <f>VLOOKUP(B:B,'生產達成率(目標)'!A:C,3,0)</f>
        <v>1</v>
      </c>
      <c r="L60" s="20">
        <f t="shared" si="4"/>
        <v>0</v>
      </c>
      <c r="M60" s="235"/>
      <c r="N60" s="164"/>
      <c r="O60" s="150">
        <f t="shared" si="3"/>
        <v>0</v>
      </c>
      <c r="P60" s="141">
        <v>50</v>
      </c>
      <c r="Q60" s="27">
        <f t="shared" si="5"/>
        <v>1</v>
      </c>
      <c r="R60" s="48"/>
      <c r="S60" s="172"/>
      <c r="T60" s="52"/>
      <c r="U60" s="48"/>
      <c r="V60" s="459"/>
      <c r="W60" s="421"/>
      <c r="X60" s="459"/>
      <c r="Y60" s="421"/>
      <c r="Z60" s="421"/>
      <c r="AA60" s="421"/>
      <c r="AB60" s="421"/>
      <c r="AC60" s="421"/>
      <c r="AD60" s="421"/>
    </row>
    <row r="61" spans="1:30" s="53" customFormat="1" x14ac:dyDescent="0.4">
      <c r="A61" s="176" t="s">
        <v>676</v>
      </c>
      <c r="B61" s="149" t="s">
        <v>23</v>
      </c>
      <c r="C61" s="30" t="str">
        <f>VLOOKUP(B61,'112年全品項生產鍋數'!A:H,2,0)</f>
        <v>＃1花生(粒)(1*2.8kg)</v>
      </c>
      <c r="D61" s="284">
        <v>52.86</v>
      </c>
      <c r="E61" s="48">
        <f>VLOOKUP(B61,'112年全品項生產鍋數'!A:H,3,0)</f>
        <v>2.8</v>
      </c>
      <c r="F61" s="45">
        <f>VLOOKUP(B61,'112年全品項生產鍋數'!A:H,7,0)</f>
        <v>44.2</v>
      </c>
      <c r="G61" s="49">
        <f t="shared" si="0"/>
        <v>2336.4120000000003</v>
      </c>
      <c r="H61" s="141">
        <v>2350</v>
      </c>
      <c r="I61" s="46">
        <f t="shared" si="1"/>
        <v>6580</v>
      </c>
      <c r="J61" s="100">
        <f t="shared" si="2"/>
        <v>1.0058157550979878</v>
      </c>
      <c r="K61" s="51">
        <f>VLOOKUP(B:B,'生產達成率(目標)'!A:C,3,0)</f>
        <v>1</v>
      </c>
      <c r="L61" s="20">
        <f t="shared" si="4"/>
        <v>6.0000000000000001E-3</v>
      </c>
      <c r="M61" s="235"/>
      <c r="N61" s="164"/>
      <c r="O61" s="150">
        <f t="shared" si="3"/>
        <v>1</v>
      </c>
      <c r="P61" s="141">
        <v>2349</v>
      </c>
      <c r="Q61" s="27">
        <f t="shared" si="5"/>
        <v>0.99957446808510642</v>
      </c>
      <c r="R61" s="48"/>
      <c r="S61" s="172"/>
      <c r="T61" s="52"/>
      <c r="U61" s="48"/>
      <c r="V61" s="459"/>
      <c r="W61" s="421"/>
      <c r="X61" s="459"/>
      <c r="Y61" s="421"/>
      <c r="Z61" s="421"/>
      <c r="AA61" s="421"/>
      <c r="AB61" s="421"/>
      <c r="AC61" s="421"/>
      <c r="AD61" s="421"/>
    </row>
    <row r="62" spans="1:30" s="22" customFormat="1" x14ac:dyDescent="0.4">
      <c r="A62" s="176" t="s">
        <v>677</v>
      </c>
      <c r="B62" s="150" t="s">
        <v>63</v>
      </c>
      <c r="C62" s="30" t="str">
        <f>VLOOKUP(B62,'112年全品項生產鍋數'!A:H,2,0)</f>
        <v>草莓蒟蒻餡(1*6kg)</v>
      </c>
      <c r="D62" s="284">
        <v>24</v>
      </c>
      <c r="E62" s="48">
        <f>VLOOKUP(B62,'112年全品項生產鍋數'!A:H,3,0)</f>
        <v>6</v>
      </c>
      <c r="F62" s="45">
        <f>VLOOKUP(B62,'112年全品項生產鍋數'!A:H,7,0)</f>
        <v>25.7</v>
      </c>
      <c r="G62" s="49">
        <f t="shared" si="0"/>
        <v>616.79999999999995</v>
      </c>
      <c r="H62" s="141">
        <v>614</v>
      </c>
      <c r="I62" s="46">
        <f t="shared" si="1"/>
        <v>3684</v>
      </c>
      <c r="J62" s="100">
        <f t="shared" si="2"/>
        <v>0.99546044098573294</v>
      </c>
      <c r="K62" s="51">
        <f>VLOOKUP(B:B,'生產達成率(目標)'!A:C,3,0)</f>
        <v>1</v>
      </c>
      <c r="L62" s="20">
        <f t="shared" si="4"/>
        <v>-5.0000000000000001E-3</v>
      </c>
      <c r="M62" s="235"/>
      <c r="N62" s="164"/>
      <c r="O62" s="150">
        <f t="shared" si="3"/>
        <v>3</v>
      </c>
      <c r="P62" s="141">
        <v>611</v>
      </c>
      <c r="Q62" s="27">
        <f t="shared" si="5"/>
        <v>0.99511400651465798</v>
      </c>
      <c r="R62" s="48"/>
      <c r="S62" s="172" t="s">
        <v>105</v>
      </c>
      <c r="T62" s="52"/>
      <c r="U62" s="23"/>
      <c r="V62" s="458"/>
      <c r="W62" s="421"/>
      <c r="X62" s="458"/>
      <c r="Y62" s="421"/>
      <c r="Z62" s="421"/>
      <c r="AA62" s="421"/>
      <c r="AB62" s="421"/>
      <c r="AC62" s="421"/>
      <c r="AD62" s="421"/>
    </row>
    <row r="63" spans="1:30" s="22" customFormat="1" x14ac:dyDescent="0.4">
      <c r="A63" s="176" t="s">
        <v>677</v>
      </c>
      <c r="B63" s="150" t="s">
        <v>425</v>
      </c>
      <c r="C63" s="30" t="str">
        <f>VLOOKUP(B63,'112年全品項生產鍋數'!A:H,2,0)</f>
        <v>花生醬(1*3.5KG)</v>
      </c>
      <c r="D63" s="284">
        <v>9</v>
      </c>
      <c r="E63" s="48">
        <f>VLOOKUP(B63,'112年全品項生產鍋數'!A:H,3,0)</f>
        <v>3.5</v>
      </c>
      <c r="F63" s="45">
        <f>VLOOKUP(B63,'112年全品項生產鍋數'!A:H,7,0)</f>
        <v>25.4</v>
      </c>
      <c r="G63" s="49">
        <f t="shared" si="0"/>
        <v>228.6</v>
      </c>
      <c r="H63" s="141">
        <v>230</v>
      </c>
      <c r="I63" s="46">
        <f t="shared" si="1"/>
        <v>805</v>
      </c>
      <c r="J63" s="100">
        <f t="shared" si="2"/>
        <v>1.0061242344706911</v>
      </c>
      <c r="K63" s="51">
        <f>VLOOKUP(B:B,'生產達成率(目標)'!A:C,3,0)</f>
        <v>1</v>
      </c>
      <c r="L63" s="20">
        <f t="shared" si="4"/>
        <v>6.0000000000000001E-3</v>
      </c>
      <c r="M63" s="235"/>
      <c r="N63" s="164"/>
      <c r="O63" s="150">
        <f t="shared" si="3"/>
        <v>0</v>
      </c>
      <c r="P63" s="141">
        <v>230</v>
      </c>
      <c r="Q63" s="27">
        <f t="shared" si="5"/>
        <v>1</v>
      </c>
      <c r="R63" s="48"/>
      <c r="S63" s="172"/>
      <c r="T63" s="52"/>
      <c r="U63" s="23"/>
      <c r="V63" s="458"/>
      <c r="W63" s="421"/>
      <c r="X63" s="458"/>
      <c r="Y63" s="421"/>
      <c r="Z63" s="421"/>
      <c r="AA63" s="421"/>
      <c r="AB63" s="421"/>
      <c r="AC63" s="421"/>
      <c r="AD63" s="421"/>
    </row>
    <row r="64" spans="1:30" s="22" customFormat="1" x14ac:dyDescent="0.4">
      <c r="A64" s="176" t="s">
        <v>678</v>
      </c>
      <c r="B64" s="149" t="s">
        <v>24</v>
      </c>
      <c r="C64" s="30" t="str">
        <f>VLOOKUP(B64,'112年全品項生產鍋數'!A:H,2,0)</f>
        <v>小藍莓1*260G</v>
      </c>
      <c r="D64" s="284">
        <v>12</v>
      </c>
      <c r="E64" s="48">
        <f>VLOOKUP(B64,'112年全品項生產鍋數'!A:H,3,0)</f>
        <v>0.26</v>
      </c>
      <c r="F64" s="45">
        <f>VLOOKUP(B64,'112年全品項生產鍋數'!A:H,7,0)</f>
        <v>584.29999999999995</v>
      </c>
      <c r="G64" s="49">
        <f t="shared" si="0"/>
        <v>7011.5999999999995</v>
      </c>
      <c r="H64" s="141">
        <v>7104</v>
      </c>
      <c r="I64" s="46">
        <f t="shared" si="1"/>
        <v>1847.04</v>
      </c>
      <c r="J64" s="100">
        <f t="shared" si="2"/>
        <v>1.0131781619031319</v>
      </c>
      <c r="K64" s="51">
        <f>VLOOKUP(B:B,'生產達成率(目標)'!A:C,3,0)</f>
        <v>1</v>
      </c>
      <c r="L64" s="20">
        <f t="shared" si="4"/>
        <v>1.2999999999999999E-2</v>
      </c>
      <c r="M64" s="235"/>
      <c r="N64" s="164"/>
      <c r="O64" s="150">
        <f t="shared" si="3"/>
        <v>14</v>
      </c>
      <c r="P64" s="141">
        <v>7090</v>
      </c>
      <c r="Q64" s="27">
        <f t="shared" si="5"/>
        <v>0.99802927927927931</v>
      </c>
      <c r="R64" s="48"/>
      <c r="S64" s="172"/>
      <c r="T64" s="52"/>
      <c r="U64" s="23"/>
      <c r="V64" s="458"/>
      <c r="W64" s="421"/>
      <c r="X64" s="458"/>
      <c r="Y64" s="421"/>
      <c r="Z64" s="421"/>
      <c r="AA64" s="421"/>
      <c r="AB64" s="421"/>
      <c r="AC64" s="421"/>
      <c r="AD64" s="421"/>
    </row>
    <row r="65" spans="1:30" s="22" customFormat="1" x14ac:dyDescent="0.4">
      <c r="A65" s="176" t="s">
        <v>678</v>
      </c>
      <c r="B65" s="149" t="s">
        <v>25</v>
      </c>
      <c r="C65" s="30" t="str">
        <f>VLOOKUP(B65,'112年全品項生產鍋數'!A:H,2,0)</f>
        <v>小藍莓1*260G</v>
      </c>
      <c r="D65" s="284">
        <v>4</v>
      </c>
      <c r="E65" s="48">
        <f>VLOOKUP(B65,'112年全品項生產鍋數'!A:H,3,0)</f>
        <v>0.26</v>
      </c>
      <c r="F65" s="45">
        <f>VLOOKUP(B65,'112年全品項生產鍋數'!A:H,7,0)</f>
        <v>592</v>
      </c>
      <c r="G65" s="49">
        <f t="shared" si="0"/>
        <v>2368</v>
      </c>
      <c r="H65" s="141">
        <v>2067</v>
      </c>
      <c r="I65" s="46">
        <f t="shared" si="1"/>
        <v>537.42000000000007</v>
      </c>
      <c r="J65" s="100">
        <f t="shared" si="2"/>
        <v>0.87288851351351349</v>
      </c>
      <c r="K65" s="51">
        <f>VLOOKUP(B:B,'生產達成率(目標)'!A:C,3,0)</f>
        <v>1</v>
      </c>
      <c r="L65" s="20">
        <f t="shared" si="4"/>
        <v>-0.127</v>
      </c>
      <c r="M65" s="235"/>
      <c r="N65" s="164"/>
      <c r="O65" s="150">
        <f t="shared" si="3"/>
        <v>4</v>
      </c>
      <c r="P65" s="141">
        <v>2063</v>
      </c>
      <c r="Q65" s="27">
        <f t="shared" si="5"/>
        <v>0.99806482825350751</v>
      </c>
      <c r="R65" s="48"/>
      <c r="S65" s="172"/>
      <c r="T65" s="52"/>
      <c r="U65" s="23"/>
      <c r="V65" s="458"/>
      <c r="W65" s="421"/>
      <c r="X65" s="458"/>
      <c r="Y65" s="421"/>
      <c r="Z65" s="421"/>
      <c r="AA65" s="421"/>
      <c r="AB65" s="421"/>
      <c r="AC65" s="421"/>
      <c r="AD65" s="421"/>
    </row>
    <row r="66" spans="1:30" s="22" customFormat="1" x14ac:dyDescent="0.4">
      <c r="A66" s="176" t="s">
        <v>678</v>
      </c>
      <c r="B66" s="150" t="s">
        <v>107</v>
      </c>
      <c r="C66" s="30" t="str">
        <f>VLOOKUP(B66,'112年全品項生產鍋數'!A:H,2,0)</f>
        <v>藍莓餡(1*6kg)</v>
      </c>
      <c r="D66" s="284">
        <v>16</v>
      </c>
      <c r="E66" s="48">
        <f>VLOOKUP(B66,'112年全品項生產鍋數'!A:H,3,0)</f>
        <v>6</v>
      </c>
      <c r="F66" s="45">
        <f>VLOOKUP(B66,'112年全品項生產鍋數'!A:H,7,0)</f>
        <v>26.4</v>
      </c>
      <c r="G66" s="49">
        <f t="shared" ref="G66:G129" si="6">D66*F66</f>
        <v>422.4</v>
      </c>
      <c r="H66" s="141">
        <v>421</v>
      </c>
      <c r="I66" s="46">
        <f t="shared" ref="I66:I129" si="7">H66*E66</f>
        <v>2526</v>
      </c>
      <c r="J66" s="100">
        <f t="shared" ref="J66:J129" si="8">IF(G66=0,"無法預估數據",H66/G66)</f>
        <v>0.99668560606060608</v>
      </c>
      <c r="K66" s="51">
        <f>VLOOKUP(B:B,'生產達成率(目標)'!A:C,3,0)</f>
        <v>1</v>
      </c>
      <c r="L66" s="20">
        <f t="shared" si="4"/>
        <v>-3.0000000000000001E-3</v>
      </c>
      <c r="M66" s="235"/>
      <c r="N66" s="164"/>
      <c r="O66" s="150">
        <f t="shared" ref="O66:O129" si="9">H66-N66-P66</f>
        <v>1</v>
      </c>
      <c r="P66" s="141">
        <v>420</v>
      </c>
      <c r="Q66" s="27">
        <f t="shared" ref="Q66:Q129" si="10">P66/H66</f>
        <v>0.99762470308788598</v>
      </c>
      <c r="R66" s="48"/>
      <c r="S66" s="172"/>
      <c r="T66" s="52"/>
      <c r="U66" s="23"/>
      <c r="V66" s="458"/>
      <c r="W66" s="421"/>
      <c r="X66" s="458"/>
      <c r="Y66" s="421"/>
      <c r="Z66" s="421"/>
      <c r="AA66" s="421"/>
      <c r="AB66" s="421"/>
      <c r="AC66" s="421"/>
      <c r="AD66" s="421"/>
    </row>
    <row r="67" spans="1:30" s="22" customFormat="1" x14ac:dyDescent="0.4">
      <c r="A67" s="176" t="s">
        <v>678</v>
      </c>
      <c r="B67" s="150" t="s">
        <v>63</v>
      </c>
      <c r="C67" s="30" t="str">
        <f>VLOOKUP(B67,'112年全品項生產鍋數'!A:H,2,0)</f>
        <v>草莓蒟蒻餡(1*6kg)</v>
      </c>
      <c r="D67" s="284">
        <v>28</v>
      </c>
      <c r="E67" s="48">
        <f>VLOOKUP(B67,'112年全品項生產鍋數'!A:H,3,0)</f>
        <v>6</v>
      </c>
      <c r="F67" s="45">
        <f>VLOOKUP(B67,'112年全品項生產鍋數'!A:H,7,0)</f>
        <v>25.7</v>
      </c>
      <c r="G67" s="49">
        <f t="shared" si="6"/>
        <v>719.6</v>
      </c>
      <c r="H67" s="141">
        <v>713</v>
      </c>
      <c r="I67" s="46">
        <f t="shared" si="7"/>
        <v>4278</v>
      </c>
      <c r="J67" s="100">
        <f t="shared" si="8"/>
        <v>0.99082823790994989</v>
      </c>
      <c r="K67" s="51">
        <f>VLOOKUP(B:B,'生產達成率(目標)'!A:C,3,0)</f>
        <v>1</v>
      </c>
      <c r="L67" s="20">
        <f t="shared" ref="L67:L130" si="11">IF(G67=0,"無法預估數據",ROUND(J67-K67,3))</f>
        <v>-8.9999999999999993E-3</v>
      </c>
      <c r="M67" s="235"/>
      <c r="N67" s="164"/>
      <c r="O67" s="150">
        <f t="shared" si="9"/>
        <v>5</v>
      </c>
      <c r="P67" s="141">
        <v>708</v>
      </c>
      <c r="Q67" s="27">
        <f t="shared" si="10"/>
        <v>0.99298737727910236</v>
      </c>
      <c r="R67" s="48"/>
      <c r="S67" s="172"/>
      <c r="T67" s="52"/>
      <c r="U67" s="23"/>
      <c r="V67" s="458"/>
      <c r="W67" s="421"/>
      <c r="X67" s="458"/>
      <c r="Y67" s="421"/>
      <c r="Z67" s="421"/>
      <c r="AA67" s="421"/>
      <c r="AB67" s="421"/>
      <c r="AC67" s="421"/>
      <c r="AD67" s="421"/>
    </row>
    <row r="68" spans="1:30" s="22" customFormat="1" x14ac:dyDescent="0.4">
      <c r="A68" s="176" t="s">
        <v>678</v>
      </c>
      <c r="B68" s="149" t="s">
        <v>142</v>
      </c>
      <c r="C68" s="30" t="str">
        <f>VLOOKUP(B68,'112年全品項生產鍋數'!A:H,2,0)</f>
        <v>顆粒花生醬(1*12KG)</v>
      </c>
      <c r="D68" s="284">
        <v>21</v>
      </c>
      <c r="E68" s="48">
        <f>VLOOKUP(B68,'112年全品項生產鍋數'!A:H,3,0)</f>
        <v>3</v>
      </c>
      <c r="F68" s="45">
        <f>VLOOKUP(B68,'112年全品項生產鍋數'!A:H,7,0)</f>
        <v>31.6</v>
      </c>
      <c r="G68" s="49">
        <f t="shared" si="6"/>
        <v>663.6</v>
      </c>
      <c r="H68" s="141">
        <v>672</v>
      </c>
      <c r="I68" s="46">
        <f t="shared" si="7"/>
        <v>2016</v>
      </c>
      <c r="J68" s="100">
        <f t="shared" si="8"/>
        <v>1.0126582278481013</v>
      </c>
      <c r="K68" s="51">
        <f>VLOOKUP(B:B,'生產達成率(目標)'!A:C,3,0)</f>
        <v>1</v>
      </c>
      <c r="L68" s="20">
        <f t="shared" si="11"/>
        <v>1.2999999999999999E-2</v>
      </c>
      <c r="M68" s="235"/>
      <c r="N68" s="164"/>
      <c r="O68" s="150">
        <f t="shared" si="9"/>
        <v>0</v>
      </c>
      <c r="P68" s="141">
        <v>672</v>
      </c>
      <c r="Q68" s="27">
        <f t="shared" si="10"/>
        <v>1</v>
      </c>
      <c r="R68" s="48"/>
      <c r="S68" s="172"/>
      <c r="T68" s="52"/>
      <c r="U68" s="23"/>
      <c r="V68" s="458"/>
      <c r="W68" s="421"/>
      <c r="X68" s="458"/>
      <c r="Y68" s="421"/>
      <c r="Z68" s="421"/>
      <c r="AA68" s="421"/>
      <c r="AB68" s="421"/>
      <c r="AC68" s="421"/>
      <c r="AD68" s="421"/>
    </row>
    <row r="69" spans="1:30" s="22" customFormat="1" x14ac:dyDescent="0.4">
      <c r="A69" s="176" t="s">
        <v>679</v>
      </c>
      <c r="B69" s="149" t="s">
        <v>6</v>
      </c>
      <c r="C69" s="30" t="str">
        <f>VLOOKUP(B69,'112年全品項生產鍋數'!A:H,2,0)</f>
        <v>大圓草莓-新</v>
      </c>
      <c r="D69" s="284">
        <v>24</v>
      </c>
      <c r="E69" s="48">
        <f>VLOOKUP(B69,'112年全品項生產鍋數'!A:H,3,0)</f>
        <v>0.44</v>
      </c>
      <c r="F69" s="45">
        <f>VLOOKUP(B69,'112年全品項生產鍋數'!A:H,7,0)</f>
        <v>344</v>
      </c>
      <c r="G69" s="49">
        <f t="shared" si="6"/>
        <v>8256</v>
      </c>
      <c r="H69" s="141">
        <v>8106</v>
      </c>
      <c r="I69" s="46">
        <f t="shared" si="7"/>
        <v>3566.64</v>
      </c>
      <c r="J69" s="100">
        <f t="shared" si="8"/>
        <v>0.98183139534883723</v>
      </c>
      <c r="K69" s="51">
        <f>VLOOKUP(B:B,'生產達成率(目標)'!A:C,3,0)</f>
        <v>1</v>
      </c>
      <c r="L69" s="20">
        <f t="shared" si="11"/>
        <v>-1.7999999999999999E-2</v>
      </c>
      <c r="M69" s="235"/>
      <c r="N69" s="164"/>
      <c r="O69" s="150">
        <f t="shared" si="9"/>
        <v>22</v>
      </c>
      <c r="P69" s="141">
        <v>8084</v>
      </c>
      <c r="Q69" s="27">
        <f t="shared" si="10"/>
        <v>0.997285961016531</v>
      </c>
      <c r="R69" s="48"/>
      <c r="S69" s="172"/>
      <c r="T69" s="52"/>
      <c r="U69" s="23"/>
      <c r="V69" s="458"/>
      <c r="W69" s="421"/>
      <c r="X69" s="458"/>
      <c r="Y69" s="421"/>
      <c r="Z69" s="421"/>
      <c r="AA69" s="421"/>
      <c r="AB69" s="421"/>
      <c r="AC69" s="421"/>
      <c r="AD69" s="421"/>
    </row>
    <row r="70" spans="1:30" s="22" customFormat="1" x14ac:dyDescent="0.4">
      <c r="A70" s="176" t="s">
        <v>679</v>
      </c>
      <c r="B70" s="149" t="s">
        <v>26</v>
      </c>
      <c r="C70" s="30" t="str">
        <f>VLOOKUP(B70,'112年全品項生產鍋數'!A:H,2,0)</f>
        <v>蔓越莓醬(1*6KG)</v>
      </c>
      <c r="D70" s="284">
        <v>1</v>
      </c>
      <c r="E70" s="48">
        <f>VLOOKUP(B70,'112年全品項生產鍋數'!A:H,3,0)</f>
        <v>6</v>
      </c>
      <c r="F70" s="45">
        <f>VLOOKUP(B70,'112年全品項生產鍋數'!A:H,7,0)</f>
        <v>25.6</v>
      </c>
      <c r="G70" s="49">
        <f t="shared" si="6"/>
        <v>25.6</v>
      </c>
      <c r="H70" s="141">
        <v>23</v>
      </c>
      <c r="I70" s="46">
        <f t="shared" si="7"/>
        <v>138</v>
      </c>
      <c r="J70" s="100">
        <f t="shared" si="8"/>
        <v>0.8984375</v>
      </c>
      <c r="K70" s="51">
        <f>VLOOKUP(B:B,'生產達成率(目標)'!A:C,3,0)</f>
        <v>1</v>
      </c>
      <c r="L70" s="20">
        <f t="shared" si="11"/>
        <v>-0.10199999999999999</v>
      </c>
      <c r="M70" s="235"/>
      <c r="N70" s="164"/>
      <c r="O70" s="150">
        <f t="shared" si="9"/>
        <v>1</v>
      </c>
      <c r="P70" s="141">
        <v>22</v>
      </c>
      <c r="Q70" s="27">
        <f t="shared" si="10"/>
        <v>0.95652173913043481</v>
      </c>
      <c r="R70" s="48"/>
      <c r="S70" s="172"/>
      <c r="T70" s="52"/>
      <c r="U70" s="23"/>
      <c r="V70" s="458"/>
      <c r="W70" s="421"/>
      <c r="X70" s="458"/>
      <c r="Y70" s="421"/>
      <c r="Z70" s="421"/>
      <c r="AA70" s="421"/>
      <c r="AB70" s="421"/>
      <c r="AC70" s="421"/>
      <c r="AD70" s="421"/>
    </row>
    <row r="71" spans="1:30" s="22" customFormat="1" x14ac:dyDescent="0.4">
      <c r="A71" s="176" t="s">
        <v>679</v>
      </c>
      <c r="B71" s="150" t="s">
        <v>88</v>
      </c>
      <c r="C71" s="30" t="str">
        <f>VLOOKUP(B71,'112年全品項生產鍋數'!A:H,2,0)</f>
        <v>草莓餡(1*6KG)</v>
      </c>
      <c r="D71" s="284">
        <v>40</v>
      </c>
      <c r="E71" s="48">
        <f>VLOOKUP(B71,'112年全品項生產鍋數'!A:H,3,0)</f>
        <v>6</v>
      </c>
      <c r="F71" s="45">
        <f>VLOOKUP(B71,'112年全品項生產鍋數'!A:H,7,0)</f>
        <v>25.5</v>
      </c>
      <c r="G71" s="49">
        <f t="shared" si="6"/>
        <v>1020</v>
      </c>
      <c r="H71" s="141">
        <v>1024</v>
      </c>
      <c r="I71" s="46">
        <f t="shared" si="7"/>
        <v>6144</v>
      </c>
      <c r="J71" s="100">
        <f t="shared" si="8"/>
        <v>1.003921568627451</v>
      </c>
      <c r="K71" s="51">
        <f>VLOOKUP(B:B,'生產達成率(目標)'!A:C,3,0)</f>
        <v>1</v>
      </c>
      <c r="L71" s="20">
        <f t="shared" si="11"/>
        <v>4.0000000000000001E-3</v>
      </c>
      <c r="M71" s="235"/>
      <c r="N71" s="164"/>
      <c r="O71" s="150">
        <f t="shared" si="9"/>
        <v>3</v>
      </c>
      <c r="P71" s="141">
        <v>1021</v>
      </c>
      <c r="Q71" s="27">
        <f t="shared" si="10"/>
        <v>0.9970703125</v>
      </c>
      <c r="R71" s="48"/>
      <c r="S71" s="172"/>
      <c r="T71" s="52"/>
      <c r="U71" s="23"/>
      <c r="V71" s="458"/>
      <c r="W71" s="421"/>
      <c r="X71" s="458"/>
      <c r="Y71" s="421"/>
      <c r="Z71" s="421"/>
      <c r="AA71" s="421"/>
      <c r="AB71" s="421"/>
      <c r="AC71" s="421"/>
      <c r="AD71" s="421"/>
    </row>
    <row r="72" spans="1:30" s="53" customFormat="1" x14ac:dyDescent="0.4">
      <c r="A72" s="176" t="s">
        <v>679</v>
      </c>
      <c r="B72" s="150" t="s">
        <v>110</v>
      </c>
      <c r="C72" s="30" t="str">
        <f>VLOOKUP(B72,'112年全品項生產鍋數'!A:H,2,0)</f>
        <v>顆粒花生醬(1*12KG)</v>
      </c>
      <c r="D72" s="284">
        <v>21</v>
      </c>
      <c r="E72" s="48">
        <f>VLOOKUP(B72,'112年全品項生產鍋數'!A:H,3,0)</f>
        <v>3</v>
      </c>
      <c r="F72" s="45">
        <f>VLOOKUP(B72,'112年全品項生產鍋數'!A:H,7,0)</f>
        <v>30.8</v>
      </c>
      <c r="G72" s="49">
        <f t="shared" si="6"/>
        <v>646.80000000000007</v>
      </c>
      <c r="H72" s="141">
        <v>656</v>
      </c>
      <c r="I72" s="46">
        <f t="shared" si="7"/>
        <v>1968</v>
      </c>
      <c r="J72" s="100">
        <f t="shared" si="8"/>
        <v>1.0142238713667284</v>
      </c>
      <c r="K72" s="51">
        <f>VLOOKUP(B:B,'生產達成率(目標)'!A:C,3,0)</f>
        <v>1</v>
      </c>
      <c r="L72" s="20">
        <f t="shared" si="11"/>
        <v>1.4E-2</v>
      </c>
      <c r="M72" s="235"/>
      <c r="N72" s="164"/>
      <c r="O72" s="150">
        <f t="shared" si="9"/>
        <v>0</v>
      </c>
      <c r="P72" s="141">
        <v>656</v>
      </c>
      <c r="Q72" s="27">
        <f t="shared" si="10"/>
        <v>1</v>
      </c>
      <c r="R72" s="48"/>
      <c r="S72" s="172"/>
      <c r="T72" s="52"/>
      <c r="U72" s="48"/>
      <c r="V72" s="459"/>
      <c r="W72" s="421"/>
      <c r="X72" s="459"/>
      <c r="Y72" s="421"/>
      <c r="Z72" s="421"/>
      <c r="AA72" s="421"/>
      <c r="AB72" s="421"/>
      <c r="AC72" s="421"/>
      <c r="AD72" s="421"/>
    </row>
    <row r="73" spans="1:30" s="22" customFormat="1" x14ac:dyDescent="0.4">
      <c r="A73" s="176" t="s">
        <v>680</v>
      </c>
      <c r="B73" s="149" t="s">
        <v>12</v>
      </c>
      <c r="C73" s="30" t="str">
        <f>VLOOKUP(B73,'112年全品項生產鍋數'!A:H,2,0)</f>
        <v>＃1草莓(1*3.2kg)</v>
      </c>
      <c r="D73" s="284">
        <v>60</v>
      </c>
      <c r="E73" s="48">
        <f>VLOOKUP(B73,'112年全品項生產鍋數'!A:H,3,0)</f>
        <v>3.2</v>
      </c>
      <c r="F73" s="45">
        <f>VLOOKUP(B73,'112年全品項生產鍋數'!A:H,7,0)</f>
        <v>46.8</v>
      </c>
      <c r="G73" s="49">
        <f t="shared" si="6"/>
        <v>2808</v>
      </c>
      <c r="H73" s="141">
        <v>2775</v>
      </c>
      <c r="I73" s="46">
        <f t="shared" si="7"/>
        <v>8880</v>
      </c>
      <c r="J73" s="100">
        <f t="shared" si="8"/>
        <v>0.98824786324786329</v>
      </c>
      <c r="K73" s="51">
        <f>VLOOKUP(B:B,'生產達成率(目標)'!A:C,3,0)</f>
        <v>1</v>
      </c>
      <c r="L73" s="20">
        <f t="shared" si="11"/>
        <v>-1.2E-2</v>
      </c>
      <c r="M73" s="235"/>
      <c r="N73" s="164"/>
      <c r="O73" s="150">
        <f t="shared" si="9"/>
        <v>9</v>
      </c>
      <c r="P73" s="141">
        <v>2766</v>
      </c>
      <c r="Q73" s="27">
        <f t="shared" si="10"/>
        <v>0.99675675675675679</v>
      </c>
      <c r="R73" s="48" t="s">
        <v>111</v>
      </c>
      <c r="S73" s="172"/>
      <c r="T73" s="52"/>
      <c r="U73" s="23"/>
      <c r="V73" s="458"/>
      <c r="W73" s="421"/>
      <c r="X73" s="458"/>
      <c r="Y73" s="421"/>
      <c r="Z73" s="421"/>
      <c r="AA73" s="421"/>
      <c r="AB73" s="421"/>
      <c r="AC73" s="421"/>
      <c r="AD73" s="421"/>
    </row>
    <row r="74" spans="1:30" s="53" customFormat="1" x14ac:dyDescent="0.4">
      <c r="A74" s="176" t="s">
        <v>680</v>
      </c>
      <c r="B74" s="150" t="s">
        <v>64</v>
      </c>
      <c r="C74" s="30" t="str">
        <f>VLOOKUP(B74,'112年全品項生產鍋數'!A:H,2,0)</f>
        <v>藍莓餡(1*6KG)</v>
      </c>
      <c r="D74" s="284">
        <v>28</v>
      </c>
      <c r="E74" s="48">
        <f>VLOOKUP(B74,'112年全品項生產鍋數'!A:H,3,0)</f>
        <v>6</v>
      </c>
      <c r="F74" s="45">
        <f>VLOOKUP(B74,'112年全品項生產鍋數'!A:H,7,0)</f>
        <v>25.4</v>
      </c>
      <c r="G74" s="49">
        <f t="shared" si="6"/>
        <v>711.19999999999993</v>
      </c>
      <c r="H74" s="141">
        <v>710</v>
      </c>
      <c r="I74" s="46">
        <f t="shared" si="7"/>
        <v>4260</v>
      </c>
      <c r="J74" s="100">
        <f t="shared" si="8"/>
        <v>0.99831271091113616</v>
      </c>
      <c r="K74" s="51">
        <f>VLOOKUP(B:B,'生產達成率(目標)'!A:C,3,0)</f>
        <v>1</v>
      </c>
      <c r="L74" s="20">
        <f t="shared" si="11"/>
        <v>-2E-3</v>
      </c>
      <c r="M74" s="235"/>
      <c r="N74" s="164"/>
      <c r="O74" s="150">
        <f t="shared" si="9"/>
        <v>4</v>
      </c>
      <c r="P74" s="141">
        <v>706</v>
      </c>
      <c r="Q74" s="27">
        <f t="shared" si="10"/>
        <v>0.9943661971830986</v>
      </c>
      <c r="R74" s="48"/>
      <c r="S74" s="172"/>
      <c r="T74" s="52"/>
      <c r="U74" s="48"/>
      <c r="V74" s="459"/>
      <c r="W74" s="421"/>
      <c r="X74" s="459"/>
      <c r="Y74" s="421"/>
      <c r="Z74" s="421"/>
      <c r="AA74" s="421"/>
      <c r="AB74" s="421"/>
      <c r="AC74" s="421"/>
      <c r="AD74" s="421"/>
    </row>
    <row r="75" spans="1:30" s="22" customFormat="1" x14ac:dyDescent="0.4">
      <c r="A75" s="176" t="s">
        <v>680</v>
      </c>
      <c r="B75" s="150" t="s">
        <v>77</v>
      </c>
      <c r="C75" s="30" t="str">
        <f>VLOOKUP(B75,'112年全品項生產鍋數'!A:H,2,0)</f>
        <v>草莓餡50°(1*6Kg)</v>
      </c>
      <c r="D75" s="284">
        <v>16</v>
      </c>
      <c r="E75" s="48">
        <f>VLOOKUP(B75,'112年全品項生產鍋數'!A:H,3,0)</f>
        <v>6</v>
      </c>
      <c r="F75" s="45">
        <f>VLOOKUP(B75,'112年全品項生產鍋數'!A:H,7,0)</f>
        <v>25</v>
      </c>
      <c r="G75" s="49">
        <f t="shared" si="6"/>
        <v>400</v>
      </c>
      <c r="H75" s="141">
        <v>406</v>
      </c>
      <c r="I75" s="46">
        <f t="shared" si="7"/>
        <v>2436</v>
      </c>
      <c r="J75" s="100">
        <f t="shared" si="8"/>
        <v>1.0149999999999999</v>
      </c>
      <c r="K75" s="51">
        <f>VLOOKUP(B:B,'生產達成率(目標)'!A:C,3,0)</f>
        <v>1</v>
      </c>
      <c r="L75" s="20">
        <f t="shared" si="11"/>
        <v>1.4999999999999999E-2</v>
      </c>
      <c r="M75" s="235"/>
      <c r="N75" s="164"/>
      <c r="O75" s="150">
        <f t="shared" si="9"/>
        <v>1</v>
      </c>
      <c r="P75" s="141">
        <v>405</v>
      </c>
      <c r="Q75" s="27">
        <f t="shared" si="10"/>
        <v>0.99753694581280783</v>
      </c>
      <c r="R75" s="48"/>
      <c r="S75" s="172"/>
      <c r="T75" s="52"/>
      <c r="U75" s="23"/>
      <c r="V75" s="458"/>
      <c r="W75" s="421"/>
      <c r="X75" s="458"/>
      <c r="Y75" s="421"/>
      <c r="Z75" s="421"/>
      <c r="AA75" s="421"/>
      <c r="AB75" s="421"/>
      <c r="AC75" s="421"/>
      <c r="AD75" s="421"/>
    </row>
    <row r="76" spans="1:30" s="22" customFormat="1" x14ac:dyDescent="0.4">
      <c r="A76" s="176" t="s">
        <v>680</v>
      </c>
      <c r="B76" s="150" t="s">
        <v>82</v>
      </c>
      <c r="C76" s="30" t="str">
        <f>VLOOKUP(B76,'112年全品項生產鍋數'!A:H,2,0)</f>
        <v>顆粒花生醬(全)</v>
      </c>
      <c r="D76" s="284">
        <v>26.015999999999998</v>
      </c>
      <c r="E76" s="48">
        <f>VLOOKUP(B76,'112年全品項生產鍋數'!A:H,3,0)</f>
        <v>0.34</v>
      </c>
      <c r="F76" s="45">
        <f>VLOOKUP(B76,'112年全品項生產鍋數'!A:H,7,0)</f>
        <v>364.6</v>
      </c>
      <c r="G76" s="49">
        <f t="shared" si="6"/>
        <v>9485.4336000000003</v>
      </c>
      <c r="H76" s="141">
        <v>8751</v>
      </c>
      <c r="I76" s="46">
        <f t="shared" si="7"/>
        <v>2975.34</v>
      </c>
      <c r="J76" s="100">
        <f t="shared" si="8"/>
        <v>0.92257247997603398</v>
      </c>
      <c r="K76" s="51">
        <f>VLOOKUP(B:B,'生產達成率(目標)'!A:C,3,0)</f>
        <v>1</v>
      </c>
      <c r="L76" s="20">
        <f t="shared" si="11"/>
        <v>-7.6999999999999999E-2</v>
      </c>
      <c r="M76" s="235"/>
      <c r="N76" s="164"/>
      <c r="O76" s="150">
        <f t="shared" si="9"/>
        <v>3</v>
      </c>
      <c r="P76" s="141">
        <v>8748</v>
      </c>
      <c r="Q76" s="27">
        <f t="shared" si="10"/>
        <v>0.99965718203633869</v>
      </c>
      <c r="R76" s="48" t="s">
        <v>112</v>
      </c>
      <c r="S76" s="172"/>
      <c r="T76" s="52" t="s">
        <v>113</v>
      </c>
      <c r="U76" s="23"/>
      <c r="V76" s="458"/>
      <c r="W76" s="421"/>
      <c r="X76" s="458"/>
      <c r="Y76" s="421"/>
      <c r="Z76" s="421"/>
      <c r="AA76" s="421"/>
      <c r="AB76" s="421"/>
      <c r="AC76" s="421"/>
      <c r="AD76" s="421"/>
    </row>
    <row r="77" spans="1:30" s="22" customFormat="1" x14ac:dyDescent="0.4">
      <c r="A77" s="176" t="s">
        <v>680</v>
      </c>
      <c r="B77" s="150" t="s">
        <v>424</v>
      </c>
      <c r="C77" s="30" t="str">
        <f>VLOOKUP(B77,'112年全品項生產鍋數'!A:H,2,0)</f>
        <v>佳樂美花生醬(粒)(1*340g)</v>
      </c>
      <c r="D77" s="284">
        <v>5.984</v>
      </c>
      <c r="E77" s="48">
        <f>VLOOKUP(B77,'112年全品項生產鍋數'!A:H,3,0)</f>
        <v>0.34</v>
      </c>
      <c r="F77" s="45">
        <f>VLOOKUP(B77,'112年全品項生產鍋數'!A:H,7,0)</f>
        <v>366</v>
      </c>
      <c r="G77" s="49">
        <f t="shared" si="6"/>
        <v>2190.1439999999998</v>
      </c>
      <c r="H77" s="141">
        <v>2640</v>
      </c>
      <c r="I77" s="46">
        <f t="shared" si="7"/>
        <v>897.6</v>
      </c>
      <c r="J77" s="100">
        <f t="shared" si="8"/>
        <v>1.205400192864031</v>
      </c>
      <c r="K77" s="51">
        <v>1</v>
      </c>
      <c r="L77" s="20">
        <f t="shared" si="11"/>
        <v>0.20499999999999999</v>
      </c>
      <c r="M77" s="235"/>
      <c r="N77" s="164"/>
      <c r="O77" s="150">
        <f t="shared" si="9"/>
        <v>0</v>
      </c>
      <c r="P77" s="141">
        <v>2640</v>
      </c>
      <c r="Q77" s="27">
        <f t="shared" si="10"/>
        <v>1</v>
      </c>
      <c r="R77" s="48"/>
      <c r="S77" s="172"/>
      <c r="T77" s="52"/>
      <c r="U77" s="23"/>
      <c r="V77" s="458"/>
      <c r="W77" s="421"/>
      <c r="X77" s="458"/>
      <c r="Y77" s="421"/>
      <c r="Z77" s="421"/>
      <c r="AA77" s="421"/>
      <c r="AB77" s="421"/>
      <c r="AC77" s="421"/>
      <c r="AD77" s="421"/>
    </row>
    <row r="78" spans="1:30" s="22" customFormat="1" x14ac:dyDescent="0.4">
      <c r="A78" s="176" t="s">
        <v>681</v>
      </c>
      <c r="B78" s="149" t="s">
        <v>36</v>
      </c>
      <c r="C78" s="30" t="str">
        <f>VLOOKUP(B78,'112年全品項生產鍋數'!A:H,2,0)</f>
        <v>開心草莓果醬(1*430g)</v>
      </c>
      <c r="D78" s="284">
        <v>15</v>
      </c>
      <c r="E78" s="48">
        <f>VLOOKUP(B78,'112年全品項生產鍋數'!A:H,3,0)</f>
        <v>0.43</v>
      </c>
      <c r="F78" s="45">
        <f>VLOOKUP(B78,'112年全品項生產鍋數'!A:H,7,0)</f>
        <v>364</v>
      </c>
      <c r="G78" s="49">
        <f t="shared" si="6"/>
        <v>5460</v>
      </c>
      <c r="H78" s="141">
        <v>5323</v>
      </c>
      <c r="I78" s="46">
        <f t="shared" si="7"/>
        <v>2288.89</v>
      </c>
      <c r="J78" s="100">
        <f t="shared" si="8"/>
        <v>0.97490842490842489</v>
      </c>
      <c r="K78" s="51">
        <f>VLOOKUP(B:B,'生產達成率(目標)'!A:C,3,0)</f>
        <v>1</v>
      </c>
      <c r="L78" s="20">
        <f t="shared" si="11"/>
        <v>-2.5000000000000001E-2</v>
      </c>
      <c r="M78" s="235"/>
      <c r="N78" s="164"/>
      <c r="O78" s="150">
        <f t="shared" si="9"/>
        <v>9</v>
      </c>
      <c r="P78" s="141">
        <v>5314</v>
      </c>
      <c r="Q78" s="27">
        <f t="shared" si="10"/>
        <v>0.99830922412173584</v>
      </c>
      <c r="R78" s="48"/>
      <c r="S78" s="172"/>
      <c r="T78" s="52"/>
      <c r="U78" s="23"/>
      <c r="V78" s="458"/>
      <c r="W78" s="421"/>
      <c r="X78" s="458"/>
      <c r="Y78" s="421"/>
      <c r="Z78" s="421"/>
      <c r="AA78" s="421"/>
      <c r="AB78" s="421"/>
      <c r="AC78" s="421"/>
      <c r="AD78" s="421"/>
    </row>
    <row r="79" spans="1:30" s="22" customFormat="1" x14ac:dyDescent="0.4">
      <c r="A79" s="176" t="s">
        <v>681</v>
      </c>
      <c r="B79" s="149" t="s">
        <v>12</v>
      </c>
      <c r="C79" s="30" t="str">
        <f>VLOOKUP(B79,'112年全品項生產鍋數'!A:H,2,0)</f>
        <v>＃1草莓(1*3.2kg)</v>
      </c>
      <c r="D79" s="284">
        <v>20</v>
      </c>
      <c r="E79" s="48">
        <f>VLOOKUP(B79,'112年全品項生產鍋數'!A:H,3,0)</f>
        <v>3.2</v>
      </c>
      <c r="F79" s="45">
        <f>VLOOKUP(B79,'112年全品項生產鍋數'!A:H,7,0)</f>
        <v>46.8</v>
      </c>
      <c r="G79" s="49">
        <f t="shared" si="6"/>
        <v>936</v>
      </c>
      <c r="H79" s="141">
        <v>914</v>
      </c>
      <c r="I79" s="46">
        <f t="shared" si="7"/>
        <v>2924.8</v>
      </c>
      <c r="J79" s="100">
        <f t="shared" si="8"/>
        <v>0.97649572649572647</v>
      </c>
      <c r="K79" s="51">
        <f>VLOOKUP(B:B,'生產達成率(目標)'!A:C,3,0)</f>
        <v>1</v>
      </c>
      <c r="L79" s="20">
        <f t="shared" si="11"/>
        <v>-2.4E-2</v>
      </c>
      <c r="M79" s="235"/>
      <c r="N79" s="164"/>
      <c r="O79" s="150">
        <f t="shared" si="9"/>
        <v>1</v>
      </c>
      <c r="P79" s="141">
        <v>913</v>
      </c>
      <c r="Q79" s="27">
        <f t="shared" si="10"/>
        <v>0.9989059080962801</v>
      </c>
      <c r="R79" s="48"/>
      <c r="S79" s="172"/>
      <c r="T79" s="52"/>
      <c r="U79" s="23"/>
      <c r="V79" s="458"/>
      <c r="W79" s="421"/>
      <c r="X79" s="458"/>
      <c r="Y79" s="421"/>
      <c r="Z79" s="421"/>
      <c r="AA79" s="421"/>
      <c r="AB79" s="421"/>
      <c r="AC79" s="421"/>
      <c r="AD79" s="421"/>
    </row>
    <row r="80" spans="1:30" s="22" customFormat="1" x14ac:dyDescent="0.4">
      <c r="A80" s="176" t="s">
        <v>681</v>
      </c>
      <c r="B80" s="149" t="s">
        <v>41</v>
      </c>
      <c r="C80" s="30" t="str">
        <f>VLOOKUP(B80,'112年全品項生產鍋數'!A:H,2,0)</f>
        <v>天天開心藍莓餡4.5KG</v>
      </c>
      <c r="D80" s="284">
        <v>12</v>
      </c>
      <c r="E80" s="48">
        <f>VLOOKUP(B80,'112年全品項生產鍋數'!A:H,3,0)</f>
        <v>4.5</v>
      </c>
      <c r="F80" s="45">
        <f>VLOOKUP(B80,'112年全品項生產鍋數'!A:H,7,0)</f>
        <v>36.799999999999997</v>
      </c>
      <c r="G80" s="49">
        <f t="shared" si="6"/>
        <v>441.59999999999997</v>
      </c>
      <c r="H80" s="141">
        <v>436</v>
      </c>
      <c r="I80" s="46">
        <f t="shared" si="7"/>
        <v>1962</v>
      </c>
      <c r="J80" s="100">
        <f t="shared" si="8"/>
        <v>0.9873188405797102</v>
      </c>
      <c r="K80" s="51">
        <f>VLOOKUP(B:B,'生產達成率(目標)'!A:C,3,0)</f>
        <v>1</v>
      </c>
      <c r="L80" s="20">
        <f t="shared" si="11"/>
        <v>-1.2999999999999999E-2</v>
      </c>
      <c r="M80" s="235"/>
      <c r="N80" s="164"/>
      <c r="O80" s="150">
        <f t="shared" si="9"/>
        <v>0</v>
      </c>
      <c r="P80" s="141">
        <v>436</v>
      </c>
      <c r="Q80" s="27">
        <f t="shared" si="10"/>
        <v>1</v>
      </c>
      <c r="R80" s="48"/>
      <c r="S80" s="172"/>
      <c r="T80" s="52"/>
      <c r="U80" s="23"/>
      <c r="V80" s="458"/>
      <c r="W80" s="421"/>
      <c r="X80" s="458"/>
      <c r="Y80" s="421"/>
      <c r="Z80" s="421"/>
      <c r="AA80" s="421"/>
      <c r="AB80" s="421"/>
      <c r="AC80" s="421"/>
      <c r="AD80" s="421"/>
    </row>
    <row r="81" spans="1:30" s="22" customFormat="1" x14ac:dyDescent="0.4">
      <c r="A81" s="176" t="s">
        <v>681</v>
      </c>
      <c r="B81" s="149" t="s">
        <v>39</v>
      </c>
      <c r="C81" s="30" t="str">
        <f>VLOOKUP(B81,'112年全品項生產鍋數'!A:H,2,0)</f>
        <v>藍莓餡（大）(1*9.08kg)</v>
      </c>
      <c r="D81" s="284">
        <v>12</v>
      </c>
      <c r="E81" s="48">
        <f>VLOOKUP(B81,'112年全品項生產鍋數'!A:H,3,0)</f>
        <v>9.08</v>
      </c>
      <c r="F81" s="45">
        <f>VLOOKUP(B81,'112年全品項生產鍋數'!A:H,7,0)</f>
        <v>17.8</v>
      </c>
      <c r="G81" s="49">
        <f t="shared" si="6"/>
        <v>213.60000000000002</v>
      </c>
      <c r="H81" s="141">
        <v>212</v>
      </c>
      <c r="I81" s="46">
        <f t="shared" si="7"/>
        <v>1924.96</v>
      </c>
      <c r="J81" s="100">
        <f t="shared" si="8"/>
        <v>0.99250936329588002</v>
      </c>
      <c r="K81" s="51">
        <f>VLOOKUP(B:B,'生產達成率(目標)'!A:C,3,0)</f>
        <v>1</v>
      </c>
      <c r="L81" s="20">
        <f t="shared" si="11"/>
        <v>-7.0000000000000001E-3</v>
      </c>
      <c r="M81" s="235"/>
      <c r="N81" s="164"/>
      <c r="O81" s="150">
        <f t="shared" si="9"/>
        <v>0</v>
      </c>
      <c r="P81" s="141">
        <v>212</v>
      </c>
      <c r="Q81" s="27">
        <f t="shared" si="10"/>
        <v>1</v>
      </c>
      <c r="R81" s="48"/>
      <c r="S81" s="172"/>
      <c r="T81" s="52"/>
      <c r="U81" s="23"/>
      <c r="V81" s="458"/>
      <c r="W81" s="421"/>
      <c r="X81" s="458"/>
      <c r="Y81" s="421"/>
      <c r="Z81" s="421"/>
      <c r="AA81" s="421"/>
      <c r="AB81" s="421"/>
      <c r="AC81" s="421"/>
      <c r="AD81" s="421"/>
    </row>
    <row r="82" spans="1:30" s="22" customFormat="1" x14ac:dyDescent="0.4">
      <c r="A82" s="176" t="s">
        <v>681</v>
      </c>
      <c r="B82" s="150" t="s">
        <v>117</v>
      </c>
      <c r="C82" s="30" t="str">
        <f>VLOOKUP(B82,'112年全品項生產鍋數'!A:H,2,0)</f>
        <v>草莓餡(1*4.5Kg)</v>
      </c>
      <c r="D82" s="284">
        <v>6</v>
      </c>
      <c r="E82" s="48">
        <f>VLOOKUP(B82,'112年全品項生產鍋數'!A:H,3,0)</f>
        <v>4.5</v>
      </c>
      <c r="F82" s="45">
        <f>VLOOKUP(B82,'112年全品項生產鍋數'!A:H,7,0)</f>
        <v>35.6</v>
      </c>
      <c r="G82" s="49">
        <f t="shared" si="6"/>
        <v>213.60000000000002</v>
      </c>
      <c r="H82" s="141">
        <v>211</v>
      </c>
      <c r="I82" s="46">
        <f t="shared" si="7"/>
        <v>949.5</v>
      </c>
      <c r="J82" s="100">
        <f t="shared" si="8"/>
        <v>0.98782771535580516</v>
      </c>
      <c r="K82" s="51">
        <f>VLOOKUP(B:B,'生產達成率(目標)'!A:C,3,0)</f>
        <v>1</v>
      </c>
      <c r="L82" s="20">
        <f t="shared" si="11"/>
        <v>-1.2E-2</v>
      </c>
      <c r="M82" s="235"/>
      <c r="N82" s="164"/>
      <c r="O82" s="150">
        <f t="shared" si="9"/>
        <v>0</v>
      </c>
      <c r="P82" s="141">
        <v>211</v>
      </c>
      <c r="Q82" s="27">
        <f t="shared" si="10"/>
        <v>1</v>
      </c>
      <c r="R82" s="48"/>
      <c r="S82" s="172"/>
      <c r="T82" s="52"/>
      <c r="U82" s="23"/>
      <c r="V82" s="458"/>
      <c r="W82" s="421"/>
      <c r="X82" s="458"/>
      <c r="Y82" s="421"/>
      <c r="Z82" s="421"/>
      <c r="AA82" s="421"/>
      <c r="AB82" s="421"/>
      <c r="AC82" s="421"/>
      <c r="AD82" s="421"/>
    </row>
    <row r="83" spans="1:30" s="22" customFormat="1" x14ac:dyDescent="0.4">
      <c r="A83" s="176" t="s">
        <v>681</v>
      </c>
      <c r="B83" s="150" t="s">
        <v>118</v>
      </c>
      <c r="C83" s="30" t="str">
        <f>VLOOKUP(B83,'112年全品項生產鍋數'!A:H,2,0)</f>
        <v>草莓餡(1*4.5kg)</v>
      </c>
      <c r="D83" s="284">
        <v>4</v>
      </c>
      <c r="E83" s="48">
        <f>VLOOKUP(B83,'112年全品項生產鍋數'!A:H,3,0)</f>
        <v>4.5</v>
      </c>
      <c r="F83" s="45">
        <f>VLOOKUP(B83,'112年全品項生產鍋數'!A:H,7,0)</f>
        <v>34.5</v>
      </c>
      <c r="G83" s="49">
        <f t="shared" si="6"/>
        <v>138</v>
      </c>
      <c r="H83" s="141">
        <v>136</v>
      </c>
      <c r="I83" s="46">
        <f t="shared" si="7"/>
        <v>612</v>
      </c>
      <c r="J83" s="100">
        <f t="shared" si="8"/>
        <v>0.98550724637681164</v>
      </c>
      <c r="K83" s="51">
        <f>VLOOKUP(B:B,'生產達成率(目標)'!A:C,3,0)</f>
        <v>1</v>
      </c>
      <c r="L83" s="20">
        <f t="shared" si="11"/>
        <v>-1.4E-2</v>
      </c>
      <c r="M83" s="235"/>
      <c r="N83" s="164"/>
      <c r="O83" s="150">
        <f t="shared" si="9"/>
        <v>0</v>
      </c>
      <c r="P83" s="141">
        <v>136</v>
      </c>
      <c r="Q83" s="27">
        <f t="shared" si="10"/>
        <v>1</v>
      </c>
      <c r="R83" s="48"/>
      <c r="S83" s="172"/>
      <c r="T83" s="52"/>
      <c r="U83" s="23"/>
      <c r="V83" s="458"/>
      <c r="W83" s="421"/>
      <c r="X83" s="458"/>
      <c r="Y83" s="421"/>
      <c r="Z83" s="421"/>
      <c r="AA83" s="421"/>
      <c r="AB83" s="421"/>
      <c r="AC83" s="421"/>
      <c r="AD83" s="421"/>
    </row>
    <row r="84" spans="1:30" s="22" customFormat="1" x14ac:dyDescent="0.4">
      <c r="A84" s="176" t="s">
        <v>681</v>
      </c>
      <c r="B84" s="149" t="s">
        <v>23</v>
      </c>
      <c r="C84" s="30" t="str">
        <f>VLOOKUP(B84,'112年全品項生產鍋數'!A:H,2,0)</f>
        <v>＃1花生(粒)(1*2.8kg)</v>
      </c>
      <c r="D84" s="284">
        <v>60</v>
      </c>
      <c r="E84" s="48">
        <f>VLOOKUP(B84,'112年全品項生產鍋數'!A:H,3,0)</f>
        <v>2.8</v>
      </c>
      <c r="F84" s="45">
        <f>VLOOKUP(B84,'112年全品項生產鍋數'!A:H,7,0)</f>
        <v>44.2</v>
      </c>
      <c r="G84" s="49">
        <f t="shared" si="6"/>
        <v>2652</v>
      </c>
      <c r="H84" s="141">
        <v>2657</v>
      </c>
      <c r="I84" s="46">
        <f t="shared" si="7"/>
        <v>7439.5999999999995</v>
      </c>
      <c r="J84" s="100">
        <f t="shared" si="8"/>
        <v>1.0018853695324283</v>
      </c>
      <c r="K84" s="51">
        <f>VLOOKUP(B:B,'生產達成率(目標)'!A:C,3,0)</f>
        <v>1</v>
      </c>
      <c r="L84" s="20">
        <f t="shared" si="11"/>
        <v>2E-3</v>
      </c>
      <c r="M84" s="235"/>
      <c r="N84" s="164"/>
      <c r="O84" s="150">
        <f t="shared" si="9"/>
        <v>1</v>
      </c>
      <c r="P84" s="141">
        <v>2656</v>
      </c>
      <c r="Q84" s="27">
        <f t="shared" si="10"/>
        <v>0.99962363567933765</v>
      </c>
      <c r="R84" s="48"/>
      <c r="S84" s="172"/>
      <c r="T84" s="52"/>
      <c r="U84" s="23"/>
      <c r="V84" s="458"/>
      <c r="W84" s="421"/>
      <c r="X84" s="458"/>
      <c r="Y84" s="421"/>
      <c r="Z84" s="421"/>
      <c r="AA84" s="421"/>
      <c r="AB84" s="421"/>
      <c r="AC84" s="421"/>
      <c r="AD84" s="421"/>
    </row>
    <row r="85" spans="1:30" s="22" customFormat="1" x14ac:dyDescent="0.4">
      <c r="A85" s="176" t="s">
        <v>682</v>
      </c>
      <c r="B85" s="149" t="s">
        <v>87</v>
      </c>
      <c r="C85" s="30" t="str">
        <f>VLOOKUP(B85,'112年全品項生產鍋數'!A:H,2,0)</f>
        <v>＃1藍莓(1*3.2kg)</v>
      </c>
      <c r="D85" s="284">
        <v>32</v>
      </c>
      <c r="E85" s="48">
        <f>VLOOKUP(B85,'112年全品項生產鍋數'!A:H,3,0)</f>
        <v>3.2</v>
      </c>
      <c r="F85" s="45">
        <f>VLOOKUP(B85,'112年全品項生產鍋數'!A:H,7,0)</f>
        <v>47.5</v>
      </c>
      <c r="G85" s="49">
        <f t="shared" si="6"/>
        <v>1520</v>
      </c>
      <c r="H85" s="141">
        <v>1476</v>
      </c>
      <c r="I85" s="46">
        <f t="shared" si="7"/>
        <v>4723.2</v>
      </c>
      <c r="J85" s="100">
        <f t="shared" si="8"/>
        <v>0.97105263157894739</v>
      </c>
      <c r="K85" s="51">
        <f>VLOOKUP(B:B,'生產達成率(目標)'!A:C,3,0)</f>
        <v>1</v>
      </c>
      <c r="L85" s="20">
        <f t="shared" si="11"/>
        <v>-2.9000000000000001E-2</v>
      </c>
      <c r="M85" s="235"/>
      <c r="N85" s="164"/>
      <c r="O85" s="150">
        <f t="shared" si="9"/>
        <v>1</v>
      </c>
      <c r="P85" s="141">
        <v>1475</v>
      </c>
      <c r="Q85" s="27">
        <f t="shared" si="10"/>
        <v>0.99932249322493227</v>
      </c>
      <c r="R85" s="48"/>
      <c r="S85" s="172"/>
      <c r="T85" s="52"/>
      <c r="U85" s="23"/>
      <c r="V85" s="458"/>
      <c r="W85" s="421"/>
      <c r="X85" s="458"/>
      <c r="Y85" s="421"/>
      <c r="Z85" s="421"/>
      <c r="AA85" s="421"/>
      <c r="AB85" s="421"/>
      <c r="AC85" s="421"/>
      <c r="AD85" s="421"/>
    </row>
    <row r="86" spans="1:30" s="22" customFormat="1" x14ac:dyDescent="0.4">
      <c r="A86" s="176" t="s">
        <v>682</v>
      </c>
      <c r="B86" s="150" t="s">
        <v>63</v>
      </c>
      <c r="C86" s="30" t="str">
        <f>VLOOKUP(B86,'112年全品項生產鍋數'!A:H,2,0)</f>
        <v>草莓蒟蒻餡(1*6kg)</v>
      </c>
      <c r="D86" s="284">
        <v>24</v>
      </c>
      <c r="E86" s="48">
        <f>VLOOKUP(B86,'112年全品項生產鍋數'!A:H,3,0)</f>
        <v>6</v>
      </c>
      <c r="F86" s="45">
        <f>VLOOKUP(B86,'112年全品項生產鍋數'!A:H,7,0)</f>
        <v>25.7</v>
      </c>
      <c r="G86" s="49">
        <f t="shared" si="6"/>
        <v>616.79999999999995</v>
      </c>
      <c r="H86" s="141">
        <v>621</v>
      </c>
      <c r="I86" s="46">
        <f t="shared" si="7"/>
        <v>3726</v>
      </c>
      <c r="J86" s="100">
        <f t="shared" si="8"/>
        <v>1.0068093385214008</v>
      </c>
      <c r="K86" s="51">
        <f>VLOOKUP(B:B,'生產達成率(目標)'!A:C,3,0)</f>
        <v>1</v>
      </c>
      <c r="L86" s="20">
        <f t="shared" si="11"/>
        <v>7.0000000000000001E-3</v>
      </c>
      <c r="M86" s="235"/>
      <c r="N86" s="164"/>
      <c r="O86" s="150">
        <f t="shared" si="9"/>
        <v>3</v>
      </c>
      <c r="P86" s="141">
        <v>618</v>
      </c>
      <c r="Q86" s="27">
        <f t="shared" si="10"/>
        <v>0.99516908212560384</v>
      </c>
      <c r="R86" s="48"/>
      <c r="S86" s="172"/>
      <c r="T86" s="52"/>
      <c r="U86" s="23"/>
      <c r="V86" s="458"/>
      <c r="W86" s="421"/>
      <c r="X86" s="458"/>
      <c r="Y86" s="421"/>
      <c r="Z86" s="421"/>
      <c r="AA86" s="421"/>
      <c r="AB86" s="421"/>
      <c r="AC86" s="421"/>
      <c r="AD86" s="421"/>
    </row>
    <row r="87" spans="1:30" s="22" customFormat="1" x14ac:dyDescent="0.4">
      <c r="A87" s="176" t="s">
        <v>682</v>
      </c>
      <c r="B87" s="149" t="s">
        <v>72</v>
      </c>
      <c r="C87" s="30" t="str">
        <f>VLOOKUP(B87,'112年全品項生產鍋數'!A:H,2,0)</f>
        <v>草莓餡45%(1*6Kg)</v>
      </c>
      <c r="D87" s="284">
        <v>16</v>
      </c>
      <c r="E87" s="48">
        <f>VLOOKUP(B87,'112年全品項生產鍋數'!A:H,3,0)</f>
        <v>6</v>
      </c>
      <c r="F87" s="45">
        <f>VLOOKUP(B87,'112年全品項生產鍋數'!A:H,7,0)</f>
        <v>26.1</v>
      </c>
      <c r="G87" s="49">
        <f t="shared" si="6"/>
        <v>417.6</v>
      </c>
      <c r="H87" s="141">
        <v>445</v>
      </c>
      <c r="I87" s="46">
        <f t="shared" si="7"/>
        <v>2670</v>
      </c>
      <c r="J87" s="100">
        <f t="shared" si="8"/>
        <v>1.0656130268199233</v>
      </c>
      <c r="K87" s="51">
        <f>VLOOKUP(B:B,'生產達成率(目標)'!A:C,3,0)</f>
        <v>1</v>
      </c>
      <c r="L87" s="20">
        <f t="shared" si="11"/>
        <v>6.6000000000000003E-2</v>
      </c>
      <c r="M87" s="235"/>
      <c r="N87" s="164"/>
      <c r="O87" s="150">
        <f t="shared" si="9"/>
        <v>1</v>
      </c>
      <c r="P87" s="141">
        <v>444</v>
      </c>
      <c r="Q87" s="27">
        <f t="shared" si="10"/>
        <v>0.99775280898876406</v>
      </c>
      <c r="R87" s="28"/>
      <c r="S87" s="172"/>
      <c r="T87" s="52"/>
      <c r="U87" s="23"/>
      <c r="V87" s="458"/>
      <c r="W87" s="421"/>
      <c r="X87" s="458"/>
      <c r="Y87" s="421"/>
      <c r="Z87" s="421"/>
      <c r="AA87" s="421"/>
      <c r="AB87" s="421"/>
      <c r="AC87" s="421"/>
      <c r="AD87" s="421"/>
    </row>
    <row r="88" spans="1:30" s="53" customFormat="1" x14ac:dyDescent="0.4">
      <c r="A88" s="176" t="s">
        <v>682</v>
      </c>
      <c r="B88" s="150" t="s">
        <v>65</v>
      </c>
      <c r="C88" s="30" t="str">
        <f>VLOOKUP(B88,'112年全品項生產鍋數'!A:H,2,0)</f>
        <v>＃1花生(1*2.8kg)</v>
      </c>
      <c r="D88" s="284">
        <v>29.37</v>
      </c>
      <c r="E88" s="48">
        <f>VLOOKUP(B88,'112年全品項生產鍋數'!A:H,3,0)</f>
        <v>2.8</v>
      </c>
      <c r="F88" s="45">
        <f>VLOOKUP(B88,'112年全品項生產鍋數'!A:H,7,0)</f>
        <v>44.5</v>
      </c>
      <c r="G88" s="49">
        <f t="shared" si="6"/>
        <v>1306.9650000000001</v>
      </c>
      <c r="H88" s="141">
        <v>1205</v>
      </c>
      <c r="I88" s="46">
        <f t="shared" si="7"/>
        <v>3374</v>
      </c>
      <c r="J88" s="100">
        <f t="shared" si="8"/>
        <v>0.92198337369401617</v>
      </c>
      <c r="K88" s="51">
        <f>VLOOKUP(B:B,'生產達成率(目標)'!A:C,3,0)</f>
        <v>1</v>
      </c>
      <c r="L88" s="20">
        <f t="shared" si="11"/>
        <v>-7.8E-2</v>
      </c>
      <c r="M88" s="235"/>
      <c r="N88" s="164"/>
      <c r="O88" s="150">
        <f t="shared" si="9"/>
        <v>1</v>
      </c>
      <c r="P88" s="141">
        <v>1204</v>
      </c>
      <c r="Q88" s="27">
        <f t="shared" si="10"/>
        <v>0.9991701244813278</v>
      </c>
      <c r="R88" s="48"/>
      <c r="S88" s="172" t="s">
        <v>94</v>
      </c>
      <c r="T88" s="52"/>
      <c r="U88" s="48"/>
      <c r="V88" s="459"/>
      <c r="W88" s="421"/>
      <c r="X88" s="459"/>
      <c r="Y88" s="421"/>
      <c r="Z88" s="421"/>
      <c r="AA88" s="421"/>
      <c r="AB88" s="421"/>
      <c r="AC88" s="421"/>
      <c r="AD88" s="421"/>
    </row>
    <row r="89" spans="1:30" s="53" customFormat="1" x14ac:dyDescent="0.4">
      <c r="A89" s="176" t="s">
        <v>682</v>
      </c>
      <c r="B89" s="150" t="s">
        <v>119</v>
      </c>
      <c r="C89" s="30" t="str">
        <f>VLOOKUP(B89,'112年全品項生產鍋數'!A:H,2,0)</f>
        <v>美芝城花生醬(1*2.8kg)</v>
      </c>
      <c r="D89" s="284">
        <v>11.2</v>
      </c>
      <c r="E89" s="48">
        <f>VLOOKUP(B89,'112年全品項生產鍋數'!A:H,3,0)</f>
        <v>2.8</v>
      </c>
      <c r="F89" s="45">
        <f>VLOOKUP(B89,'112年全品項生產鍋數'!A:H,7,0)</f>
        <v>46</v>
      </c>
      <c r="G89" s="49">
        <f t="shared" si="6"/>
        <v>515.19999999999993</v>
      </c>
      <c r="H89" s="141">
        <v>600</v>
      </c>
      <c r="I89" s="46">
        <f t="shared" si="7"/>
        <v>1680</v>
      </c>
      <c r="J89" s="100">
        <f t="shared" si="8"/>
        <v>1.1645962732919257</v>
      </c>
      <c r="K89" s="51">
        <f>VLOOKUP(B:B,'生產達成率(目標)'!A:C,3,0)</f>
        <v>1</v>
      </c>
      <c r="L89" s="20">
        <f t="shared" si="11"/>
        <v>0.16500000000000001</v>
      </c>
      <c r="M89" s="235"/>
      <c r="N89" s="164"/>
      <c r="O89" s="150">
        <f t="shared" si="9"/>
        <v>0</v>
      </c>
      <c r="P89" s="141">
        <v>600</v>
      </c>
      <c r="Q89" s="27">
        <f t="shared" si="10"/>
        <v>1</v>
      </c>
      <c r="R89" s="48"/>
      <c r="S89" s="172"/>
      <c r="T89" s="52"/>
      <c r="U89" s="48"/>
      <c r="V89" s="459"/>
      <c r="W89" s="421"/>
      <c r="X89" s="459"/>
      <c r="Y89" s="421"/>
      <c r="Z89" s="421"/>
      <c r="AA89" s="421"/>
      <c r="AB89" s="421"/>
      <c r="AC89" s="421"/>
      <c r="AD89" s="421"/>
    </row>
    <row r="90" spans="1:30" s="53" customFormat="1" x14ac:dyDescent="0.4">
      <c r="A90" s="176" t="s">
        <v>682</v>
      </c>
      <c r="B90" s="150" t="s">
        <v>351</v>
      </c>
      <c r="C90" s="30" t="str">
        <f>VLOOKUP(B90,'112年全品項生產鍋數'!A:H,2,0)</f>
        <v>花生醬（1*18kg)</v>
      </c>
      <c r="D90" s="284">
        <v>11.43</v>
      </c>
      <c r="E90" s="48">
        <f>VLOOKUP(B90,'112年全品項生產鍋數'!A:H,3,0)</f>
        <v>18</v>
      </c>
      <c r="F90" s="45">
        <f>VLOOKUP(B90,'112年全品項生產鍋數'!A:H,7,0)</f>
        <v>6.7</v>
      </c>
      <c r="G90" s="49">
        <f t="shared" si="6"/>
        <v>76.581000000000003</v>
      </c>
      <c r="H90" s="141">
        <v>80</v>
      </c>
      <c r="I90" s="46">
        <f t="shared" si="7"/>
        <v>1440</v>
      </c>
      <c r="J90" s="100">
        <f t="shared" si="8"/>
        <v>1.0446455387106461</v>
      </c>
      <c r="K90" s="51">
        <f>VLOOKUP(B:B,'生產達成率(目標)'!A:C,3,0)</f>
        <v>1</v>
      </c>
      <c r="L90" s="20">
        <f t="shared" si="11"/>
        <v>4.4999999999999998E-2</v>
      </c>
      <c r="M90" s="235"/>
      <c r="N90" s="164"/>
      <c r="O90" s="150">
        <f t="shared" si="9"/>
        <v>0</v>
      </c>
      <c r="P90" s="141">
        <v>80</v>
      </c>
      <c r="Q90" s="27">
        <f t="shared" si="10"/>
        <v>1</v>
      </c>
      <c r="R90" s="48"/>
      <c r="S90" s="172"/>
      <c r="T90" s="52"/>
      <c r="U90" s="48"/>
      <c r="V90" s="459"/>
      <c r="W90" s="421"/>
      <c r="X90" s="459"/>
      <c r="Y90" s="421"/>
      <c r="Z90" s="421"/>
      <c r="AA90" s="421"/>
      <c r="AB90" s="421"/>
      <c r="AC90" s="421"/>
      <c r="AD90" s="421"/>
    </row>
    <row r="91" spans="1:30" s="22" customFormat="1" x14ac:dyDescent="0.4">
      <c r="A91" s="176" t="s">
        <v>683</v>
      </c>
      <c r="B91" s="150" t="s">
        <v>63</v>
      </c>
      <c r="C91" s="30" t="str">
        <f>VLOOKUP(B91,'112年全品項生產鍋數'!A:H,2,0)</f>
        <v>草莓蒟蒻餡(1*6kg)</v>
      </c>
      <c r="D91" s="284">
        <v>20</v>
      </c>
      <c r="E91" s="48">
        <f>VLOOKUP(B91,'112年全品項生產鍋數'!A:H,3,0)</f>
        <v>6</v>
      </c>
      <c r="F91" s="45">
        <f>VLOOKUP(B91,'112年全品項生產鍋數'!A:H,7,0)</f>
        <v>25.7</v>
      </c>
      <c r="G91" s="49">
        <f t="shared" si="6"/>
        <v>514</v>
      </c>
      <c r="H91" s="141">
        <v>504</v>
      </c>
      <c r="I91" s="46">
        <f t="shared" si="7"/>
        <v>3024</v>
      </c>
      <c r="J91" s="100">
        <f t="shared" si="8"/>
        <v>0.98054474708171202</v>
      </c>
      <c r="K91" s="51">
        <f>VLOOKUP(B:B,'生產達成率(目標)'!A:C,3,0)</f>
        <v>1</v>
      </c>
      <c r="L91" s="20">
        <f t="shared" si="11"/>
        <v>-1.9E-2</v>
      </c>
      <c r="M91" s="235"/>
      <c r="N91" s="164"/>
      <c r="O91" s="150">
        <f t="shared" si="9"/>
        <v>4</v>
      </c>
      <c r="P91" s="141">
        <v>500</v>
      </c>
      <c r="Q91" s="27">
        <f t="shared" si="10"/>
        <v>0.99206349206349209</v>
      </c>
      <c r="R91" s="48"/>
      <c r="S91" s="172"/>
      <c r="T91" s="52"/>
      <c r="U91" s="23"/>
      <c r="V91" s="458"/>
      <c r="W91" s="421"/>
      <c r="X91" s="458"/>
      <c r="Y91" s="421"/>
      <c r="Z91" s="421"/>
      <c r="AA91" s="421"/>
      <c r="AB91" s="421"/>
      <c r="AC91" s="421"/>
      <c r="AD91" s="421"/>
    </row>
    <row r="92" spans="1:30" s="22" customFormat="1" x14ac:dyDescent="0.4">
      <c r="A92" s="176" t="s">
        <v>683</v>
      </c>
      <c r="B92" s="149" t="s">
        <v>23</v>
      </c>
      <c r="C92" s="30" t="str">
        <f>VLOOKUP(B92,'112年全品項生產鍋數'!A:H,2,0)</f>
        <v>＃1花生(粒)(1*2.8kg)</v>
      </c>
      <c r="D92" s="284">
        <v>60</v>
      </c>
      <c r="E92" s="48">
        <f>VLOOKUP(B92,'112年全品項生產鍋數'!A:H,3,0)</f>
        <v>2.8</v>
      </c>
      <c r="F92" s="45">
        <f>VLOOKUP(B92,'112年全品項生產鍋數'!A:H,7,0)</f>
        <v>44.2</v>
      </c>
      <c r="G92" s="49">
        <f t="shared" si="6"/>
        <v>2652</v>
      </c>
      <c r="H92" s="141">
        <v>2679</v>
      </c>
      <c r="I92" s="46">
        <f t="shared" si="7"/>
        <v>7501.2</v>
      </c>
      <c r="J92" s="100">
        <f t="shared" si="8"/>
        <v>1.0101809954751131</v>
      </c>
      <c r="K92" s="51">
        <f>VLOOKUP(B:B,'生產達成率(目標)'!A:C,3,0)</f>
        <v>1</v>
      </c>
      <c r="L92" s="20">
        <f t="shared" si="11"/>
        <v>0.01</v>
      </c>
      <c r="M92" s="235"/>
      <c r="N92" s="164"/>
      <c r="O92" s="150">
        <f t="shared" si="9"/>
        <v>1</v>
      </c>
      <c r="P92" s="141">
        <v>2678</v>
      </c>
      <c r="Q92" s="27">
        <f t="shared" si="10"/>
        <v>0.99962672639044414</v>
      </c>
      <c r="R92" s="48"/>
      <c r="S92" s="172" t="s">
        <v>94</v>
      </c>
      <c r="T92" s="52"/>
      <c r="U92" s="23"/>
      <c r="V92" s="458"/>
      <c r="W92" s="421"/>
      <c r="X92" s="458"/>
      <c r="Y92" s="421"/>
      <c r="Z92" s="421"/>
      <c r="AA92" s="421"/>
      <c r="AB92" s="421"/>
      <c r="AC92" s="421"/>
      <c r="AD92" s="421"/>
    </row>
    <row r="93" spans="1:30" s="22" customFormat="1" x14ac:dyDescent="0.4">
      <c r="A93" s="176" t="s">
        <v>684</v>
      </c>
      <c r="B93" s="149" t="s">
        <v>12</v>
      </c>
      <c r="C93" s="30" t="str">
        <f>VLOOKUP(B93,'112年全品項生產鍋數'!A:H,2,0)</f>
        <v>＃1草莓(1*3.2kg)</v>
      </c>
      <c r="D93" s="284">
        <v>80</v>
      </c>
      <c r="E93" s="48">
        <f>VLOOKUP(B93,'112年全品項生產鍋數'!A:H,3,0)</f>
        <v>3.2</v>
      </c>
      <c r="F93" s="45">
        <f>VLOOKUP(B93,'112年全品項生產鍋數'!A:H,7,0)</f>
        <v>46.8</v>
      </c>
      <c r="G93" s="49">
        <f t="shared" si="6"/>
        <v>3744</v>
      </c>
      <c r="H93" s="141">
        <v>3724</v>
      </c>
      <c r="I93" s="46">
        <f t="shared" si="7"/>
        <v>11916.800000000001</v>
      </c>
      <c r="J93" s="100">
        <f t="shared" si="8"/>
        <v>0.99465811965811968</v>
      </c>
      <c r="K93" s="51">
        <f>VLOOKUP(B:B,'生產達成率(目標)'!A:C,3,0)</f>
        <v>1</v>
      </c>
      <c r="L93" s="20">
        <f t="shared" si="11"/>
        <v>-5.0000000000000001E-3</v>
      </c>
      <c r="M93" s="235"/>
      <c r="N93" s="164"/>
      <c r="O93" s="150">
        <f t="shared" si="9"/>
        <v>2</v>
      </c>
      <c r="P93" s="141">
        <v>3722</v>
      </c>
      <c r="Q93" s="27">
        <f t="shared" si="10"/>
        <v>0.99946294307196559</v>
      </c>
      <c r="R93" s="48"/>
      <c r="S93" s="172" t="s">
        <v>120</v>
      </c>
      <c r="T93" s="52"/>
      <c r="U93" s="23"/>
      <c r="V93" s="458"/>
      <c r="W93" s="421"/>
      <c r="X93" s="458"/>
      <c r="Y93" s="421"/>
      <c r="Z93" s="421"/>
      <c r="AA93" s="421"/>
      <c r="AB93" s="421"/>
      <c r="AC93" s="421"/>
      <c r="AD93" s="421"/>
    </row>
    <row r="94" spans="1:30" s="22" customFormat="1" x14ac:dyDescent="0.4">
      <c r="A94" s="176" t="s">
        <v>684</v>
      </c>
      <c r="B94" s="150" t="s">
        <v>88</v>
      </c>
      <c r="C94" s="30" t="str">
        <f>VLOOKUP(B94,'112年全品項生產鍋數'!A:H,2,0)</f>
        <v>草莓餡(1*6KG)</v>
      </c>
      <c r="D94" s="284">
        <v>48</v>
      </c>
      <c r="E94" s="48">
        <f>VLOOKUP(B94,'112年全品項生產鍋數'!A:H,3,0)</f>
        <v>6</v>
      </c>
      <c r="F94" s="45">
        <f>VLOOKUP(B94,'112年全品項生產鍋數'!A:H,7,0)</f>
        <v>25.5</v>
      </c>
      <c r="G94" s="49">
        <f t="shared" si="6"/>
        <v>1224</v>
      </c>
      <c r="H94" s="141">
        <v>1241</v>
      </c>
      <c r="I94" s="46">
        <f t="shared" si="7"/>
        <v>7446</v>
      </c>
      <c r="J94" s="100">
        <f t="shared" si="8"/>
        <v>1.0138888888888888</v>
      </c>
      <c r="K94" s="51">
        <f>VLOOKUP(B:B,'生產達成率(目標)'!A:C,3,0)</f>
        <v>1</v>
      </c>
      <c r="L94" s="20">
        <f t="shared" si="11"/>
        <v>1.4E-2</v>
      </c>
      <c r="M94" s="235"/>
      <c r="N94" s="164"/>
      <c r="O94" s="150">
        <f t="shared" si="9"/>
        <v>2</v>
      </c>
      <c r="P94" s="141">
        <v>1239</v>
      </c>
      <c r="Q94" s="27">
        <f t="shared" si="10"/>
        <v>0.99838839645447219</v>
      </c>
      <c r="R94" s="48"/>
      <c r="S94" s="172"/>
      <c r="T94" s="52"/>
      <c r="U94" s="23"/>
      <c r="V94" s="458"/>
      <c r="W94" s="421"/>
      <c r="X94" s="458"/>
      <c r="Y94" s="421"/>
      <c r="Z94" s="421"/>
      <c r="AA94" s="421"/>
      <c r="AB94" s="421"/>
      <c r="AC94" s="421"/>
      <c r="AD94" s="421"/>
    </row>
    <row r="95" spans="1:30" s="22" customFormat="1" x14ac:dyDescent="0.4">
      <c r="A95" s="176" t="s">
        <v>684</v>
      </c>
      <c r="B95" s="150" t="s">
        <v>65</v>
      </c>
      <c r="C95" s="30" t="str">
        <f>VLOOKUP(B95,'112年全品項生產鍋數'!A:H,2,0)</f>
        <v>＃1花生(1*2.8kg)</v>
      </c>
      <c r="D95" s="284">
        <v>60</v>
      </c>
      <c r="E95" s="48">
        <f>VLOOKUP(B95,'112年全品項生產鍋數'!A:H,3,0)</f>
        <v>2.8</v>
      </c>
      <c r="F95" s="45">
        <f>VLOOKUP(B95,'112年全品項生產鍋數'!A:H,7,0)</f>
        <v>44.5</v>
      </c>
      <c r="G95" s="49">
        <f t="shared" si="6"/>
        <v>2670</v>
      </c>
      <c r="H95" s="141">
        <v>2799</v>
      </c>
      <c r="I95" s="46">
        <f t="shared" si="7"/>
        <v>7837.2</v>
      </c>
      <c r="J95" s="100">
        <f t="shared" si="8"/>
        <v>1.048314606741573</v>
      </c>
      <c r="K95" s="51">
        <f>VLOOKUP(B:B,'生產達成率(目標)'!A:C,3,0)</f>
        <v>1</v>
      </c>
      <c r="L95" s="20">
        <f t="shared" si="11"/>
        <v>4.8000000000000001E-2</v>
      </c>
      <c r="M95" s="235"/>
      <c r="N95" s="164"/>
      <c r="O95" s="150">
        <f t="shared" si="9"/>
        <v>2</v>
      </c>
      <c r="P95" s="141">
        <v>2797</v>
      </c>
      <c r="Q95" s="27">
        <f t="shared" si="10"/>
        <v>0.99928545909253308</v>
      </c>
      <c r="R95" s="48" t="s">
        <v>121</v>
      </c>
      <c r="S95" s="172"/>
      <c r="T95" s="52"/>
      <c r="U95" s="23"/>
      <c r="V95" s="458"/>
      <c r="W95" s="421"/>
      <c r="X95" s="458"/>
      <c r="Y95" s="421"/>
      <c r="Z95" s="421"/>
      <c r="AA95" s="421"/>
      <c r="AB95" s="421"/>
      <c r="AC95" s="421"/>
      <c r="AD95" s="421"/>
    </row>
    <row r="96" spans="1:30" s="22" customFormat="1" x14ac:dyDescent="0.4">
      <c r="A96" s="176" t="s">
        <v>685</v>
      </c>
      <c r="B96" s="149" t="s">
        <v>6</v>
      </c>
      <c r="C96" s="30" t="str">
        <f>VLOOKUP(B96,'112年全品項生產鍋數'!A:H,2,0)</f>
        <v>大圓草莓-新</v>
      </c>
      <c r="D96" s="284">
        <v>48</v>
      </c>
      <c r="E96" s="48">
        <f>VLOOKUP(B96,'112年全品項生產鍋數'!A:H,3,0)</f>
        <v>0.44</v>
      </c>
      <c r="F96" s="45">
        <f>VLOOKUP(B96,'112年全品項生產鍋數'!A:H,7,0)</f>
        <v>344</v>
      </c>
      <c r="G96" s="49">
        <f t="shared" si="6"/>
        <v>16512</v>
      </c>
      <c r="H96" s="141">
        <v>16416</v>
      </c>
      <c r="I96" s="46">
        <f t="shared" si="7"/>
        <v>7223.04</v>
      </c>
      <c r="J96" s="100">
        <f t="shared" si="8"/>
        <v>0.9941860465116279</v>
      </c>
      <c r="K96" s="51">
        <f>VLOOKUP(B:B,'生產達成率(目標)'!A:C,3,0)</f>
        <v>1</v>
      </c>
      <c r="L96" s="20">
        <f t="shared" si="11"/>
        <v>-6.0000000000000001E-3</v>
      </c>
      <c r="M96" s="235"/>
      <c r="N96" s="164"/>
      <c r="O96" s="150">
        <f t="shared" si="9"/>
        <v>20</v>
      </c>
      <c r="P96" s="141">
        <v>16396</v>
      </c>
      <c r="Q96" s="27">
        <f t="shared" si="10"/>
        <v>0.99878167641325533</v>
      </c>
      <c r="R96" s="48"/>
      <c r="S96" s="172" t="s">
        <v>122</v>
      </c>
      <c r="T96" s="52"/>
      <c r="U96" s="23"/>
      <c r="V96" s="458"/>
      <c r="W96" s="421"/>
      <c r="X96" s="458"/>
      <c r="Y96" s="421"/>
      <c r="Z96" s="421"/>
      <c r="AA96" s="421"/>
      <c r="AB96" s="421"/>
      <c r="AC96" s="421"/>
      <c r="AD96" s="421"/>
    </row>
    <row r="97" spans="1:30" s="22" customFormat="1" x14ac:dyDescent="0.4">
      <c r="A97" s="176" t="s">
        <v>685</v>
      </c>
      <c r="B97" s="150" t="s">
        <v>63</v>
      </c>
      <c r="C97" s="30" t="str">
        <f>VLOOKUP(B97,'112年全品項生產鍋數'!A:H,2,0)</f>
        <v>草莓蒟蒻餡(1*6kg)</v>
      </c>
      <c r="D97" s="284">
        <v>35</v>
      </c>
      <c r="E97" s="48">
        <f>VLOOKUP(B97,'112年全品項生產鍋數'!A:H,3,0)</f>
        <v>6</v>
      </c>
      <c r="F97" s="45">
        <f>VLOOKUP(B97,'112年全品項生產鍋數'!A:H,7,0)</f>
        <v>25.7</v>
      </c>
      <c r="G97" s="49">
        <f t="shared" si="6"/>
        <v>899.5</v>
      </c>
      <c r="H97" s="141">
        <v>916</v>
      </c>
      <c r="I97" s="46">
        <f t="shared" si="7"/>
        <v>5496</v>
      </c>
      <c r="J97" s="100">
        <f t="shared" si="8"/>
        <v>1.0183435241801</v>
      </c>
      <c r="K97" s="51">
        <f>VLOOKUP(B:B,'生產達成率(目標)'!A:C,3,0)</f>
        <v>1</v>
      </c>
      <c r="L97" s="20">
        <f t="shared" si="11"/>
        <v>1.7999999999999999E-2</v>
      </c>
      <c r="M97" s="235"/>
      <c r="N97" s="164"/>
      <c r="O97" s="150">
        <f t="shared" si="9"/>
        <v>109</v>
      </c>
      <c r="P97" s="141">
        <v>807</v>
      </c>
      <c r="Q97" s="27">
        <f t="shared" si="10"/>
        <v>0.88100436681222705</v>
      </c>
      <c r="R97" s="48"/>
      <c r="S97" s="172"/>
      <c r="T97" s="52"/>
      <c r="U97" s="23"/>
      <c r="V97" s="458"/>
      <c r="W97" s="421"/>
      <c r="X97" s="458"/>
      <c r="Y97" s="421"/>
      <c r="Z97" s="421"/>
      <c r="AA97" s="421"/>
      <c r="AB97" s="421"/>
      <c r="AC97" s="421"/>
      <c r="AD97" s="421"/>
    </row>
    <row r="98" spans="1:30" s="22" customFormat="1" x14ac:dyDescent="0.4">
      <c r="A98" s="176" t="s">
        <v>685</v>
      </c>
      <c r="B98" s="150" t="s">
        <v>423</v>
      </c>
      <c r="C98" s="30" t="str">
        <f>VLOOKUP(B98,'112年全品項生產鍋數'!A:H,2,0)</f>
        <v>蜂蜜風味餡(1*6kg)</v>
      </c>
      <c r="D98" s="284">
        <v>4</v>
      </c>
      <c r="E98" s="48">
        <f>VLOOKUP(B98,'112年全品項生產鍋數'!A:H,3,0)</f>
        <v>6</v>
      </c>
      <c r="F98" s="45">
        <f>VLOOKUP(B98,'112年全品項生產鍋數'!A:H,7,0)</f>
        <v>27.4</v>
      </c>
      <c r="G98" s="49">
        <f t="shared" si="6"/>
        <v>109.6</v>
      </c>
      <c r="H98" s="141">
        <v>110</v>
      </c>
      <c r="I98" s="46">
        <f t="shared" si="7"/>
        <v>660</v>
      </c>
      <c r="J98" s="100">
        <f t="shared" si="8"/>
        <v>1.0036496350364965</v>
      </c>
      <c r="K98" s="51">
        <f>VLOOKUP(B:B,'生產達成率(目標)'!A:C,3,0)</f>
        <v>1</v>
      </c>
      <c r="L98" s="20">
        <f t="shared" si="11"/>
        <v>4.0000000000000001E-3</v>
      </c>
      <c r="M98" s="235"/>
      <c r="N98" s="164"/>
      <c r="O98" s="150">
        <f t="shared" si="9"/>
        <v>1</v>
      </c>
      <c r="P98" s="141">
        <v>109</v>
      </c>
      <c r="Q98" s="27">
        <f t="shared" si="10"/>
        <v>0.99090909090909096</v>
      </c>
      <c r="R98" s="48"/>
      <c r="S98" s="172"/>
      <c r="T98" s="52"/>
      <c r="U98" s="23"/>
      <c r="V98" s="458"/>
      <c r="W98" s="421"/>
      <c r="X98" s="458"/>
      <c r="Y98" s="421"/>
      <c r="Z98" s="421"/>
      <c r="AA98" s="421"/>
      <c r="AB98" s="421"/>
      <c r="AC98" s="421"/>
      <c r="AD98" s="421"/>
    </row>
    <row r="99" spans="1:30" s="22" customFormat="1" x14ac:dyDescent="0.4">
      <c r="A99" s="176" t="s">
        <v>685</v>
      </c>
      <c r="B99" s="150" t="s">
        <v>123</v>
      </c>
      <c r="C99" s="30" t="str">
        <f>VLOOKUP(B99,'112年全品項生產鍋數'!A:H,2,0)</f>
        <v>深烤焙花生醬(1*18KG)</v>
      </c>
      <c r="D99" s="284">
        <v>40</v>
      </c>
      <c r="E99" s="48">
        <f>VLOOKUP(B99,'112年全品項生產鍋數'!A:H,3,0)</f>
        <v>18</v>
      </c>
      <c r="F99" s="45">
        <f>VLOOKUP(B99,'112年全品項生產鍋數'!A:H,7,0)</f>
        <v>6.9</v>
      </c>
      <c r="G99" s="49">
        <f t="shared" si="6"/>
        <v>276</v>
      </c>
      <c r="H99" s="141">
        <v>281</v>
      </c>
      <c r="I99" s="46">
        <f t="shared" si="7"/>
        <v>5058</v>
      </c>
      <c r="J99" s="100">
        <f t="shared" si="8"/>
        <v>1.0181159420289856</v>
      </c>
      <c r="K99" s="51">
        <f>VLOOKUP(B:B,'生產達成率(目標)'!A:C,3,0)</f>
        <v>1</v>
      </c>
      <c r="L99" s="20">
        <f t="shared" si="11"/>
        <v>1.7999999999999999E-2</v>
      </c>
      <c r="M99" s="235"/>
      <c r="N99" s="164"/>
      <c r="O99" s="150">
        <f t="shared" si="9"/>
        <v>0</v>
      </c>
      <c r="P99" s="141">
        <v>281</v>
      </c>
      <c r="Q99" s="27">
        <f t="shared" si="10"/>
        <v>1</v>
      </c>
      <c r="R99" s="48"/>
      <c r="S99" s="172"/>
      <c r="T99" s="52"/>
      <c r="U99" s="23"/>
      <c r="V99" s="458"/>
      <c r="W99" s="421"/>
      <c r="X99" s="458"/>
      <c r="Y99" s="421"/>
      <c r="Z99" s="421"/>
      <c r="AA99" s="421"/>
      <c r="AB99" s="421"/>
      <c r="AC99" s="421"/>
      <c r="AD99" s="421"/>
    </row>
    <row r="100" spans="1:30" s="22" customFormat="1" x14ac:dyDescent="0.4">
      <c r="A100" s="176" t="s">
        <v>686</v>
      </c>
      <c r="B100" s="150" t="s">
        <v>80</v>
      </c>
      <c r="C100" s="30" t="str">
        <f>VLOOKUP(B100,'112年全品項生產鍋數'!A:H,2,0)</f>
        <v>＃1桔子(1*3.2kg)</v>
      </c>
      <c r="D100" s="284">
        <v>36</v>
      </c>
      <c r="E100" s="48">
        <f>VLOOKUP(B100,'112年全品項生產鍋數'!A:H,3,0)</f>
        <v>3.2</v>
      </c>
      <c r="F100" s="45">
        <f>VLOOKUP(B100,'112年全品項生產鍋數'!A:H,7,0)</f>
        <v>46.4</v>
      </c>
      <c r="G100" s="49">
        <f t="shared" si="6"/>
        <v>1670.3999999999999</v>
      </c>
      <c r="H100" s="141">
        <v>1672</v>
      </c>
      <c r="I100" s="46">
        <f t="shared" si="7"/>
        <v>5350.4000000000005</v>
      </c>
      <c r="J100" s="100">
        <f t="shared" si="8"/>
        <v>1.0009578544061304</v>
      </c>
      <c r="K100" s="51">
        <f>VLOOKUP(B:B,'生產達成率(目標)'!A:C,3,0)</f>
        <v>1</v>
      </c>
      <c r="L100" s="20">
        <f t="shared" si="11"/>
        <v>1E-3</v>
      </c>
      <c r="M100" s="235"/>
      <c r="N100" s="164"/>
      <c r="O100" s="150">
        <f t="shared" si="9"/>
        <v>1</v>
      </c>
      <c r="P100" s="141">
        <v>1671</v>
      </c>
      <c r="Q100" s="27">
        <f t="shared" si="10"/>
        <v>0.99940191387559807</v>
      </c>
      <c r="R100" s="48"/>
      <c r="S100" s="172" t="s">
        <v>124</v>
      </c>
      <c r="T100" s="52"/>
      <c r="U100" s="23"/>
      <c r="V100" s="458"/>
      <c r="W100" s="421"/>
      <c r="X100" s="458"/>
      <c r="Y100" s="421"/>
      <c r="Z100" s="421"/>
      <c r="AA100" s="421"/>
      <c r="AB100" s="421"/>
      <c r="AC100" s="421"/>
      <c r="AD100" s="421"/>
    </row>
    <row r="101" spans="1:30" s="22" customFormat="1" x14ac:dyDescent="0.4">
      <c r="A101" s="176" t="s">
        <v>686</v>
      </c>
      <c r="B101" s="149" t="s">
        <v>12</v>
      </c>
      <c r="C101" s="30" t="str">
        <f>VLOOKUP(B101,'112年全品項生產鍋數'!A:H,2,0)</f>
        <v>＃1草莓(1*3.2kg)</v>
      </c>
      <c r="D101" s="284">
        <v>40</v>
      </c>
      <c r="E101" s="48">
        <f>VLOOKUP(B101,'112年全品項生產鍋數'!A:H,3,0)</f>
        <v>3.2</v>
      </c>
      <c r="F101" s="45">
        <f>VLOOKUP(B101,'112年全品項生產鍋數'!A:H,7,0)</f>
        <v>46.8</v>
      </c>
      <c r="G101" s="49">
        <f t="shared" si="6"/>
        <v>1872</v>
      </c>
      <c r="H101" s="141">
        <v>1861</v>
      </c>
      <c r="I101" s="46">
        <f t="shared" si="7"/>
        <v>5955.2000000000007</v>
      </c>
      <c r="J101" s="100">
        <f t="shared" si="8"/>
        <v>0.99412393162393164</v>
      </c>
      <c r="K101" s="51">
        <f>VLOOKUP(B:B,'生產達成率(目標)'!A:C,3,0)</f>
        <v>1</v>
      </c>
      <c r="L101" s="20">
        <f t="shared" si="11"/>
        <v>-6.0000000000000001E-3</v>
      </c>
      <c r="M101" s="235"/>
      <c r="N101" s="164"/>
      <c r="O101" s="150">
        <f t="shared" si="9"/>
        <v>2</v>
      </c>
      <c r="P101" s="141">
        <v>1859</v>
      </c>
      <c r="Q101" s="27">
        <f t="shared" si="10"/>
        <v>0.99892530897367005</v>
      </c>
      <c r="R101" s="48"/>
      <c r="S101" s="172" t="s">
        <v>125</v>
      </c>
      <c r="T101" s="52"/>
      <c r="U101" s="23"/>
      <c r="V101" s="458"/>
      <c r="W101" s="421"/>
      <c r="X101" s="458"/>
      <c r="Y101" s="421"/>
      <c r="Z101" s="421"/>
      <c r="AA101" s="421"/>
      <c r="AB101" s="421"/>
      <c r="AC101" s="421"/>
      <c r="AD101" s="421"/>
    </row>
    <row r="102" spans="1:30" s="22" customFormat="1" x14ac:dyDescent="0.4">
      <c r="A102" s="176" t="s">
        <v>686</v>
      </c>
      <c r="B102" s="150" t="s">
        <v>63</v>
      </c>
      <c r="C102" s="30" t="str">
        <f>VLOOKUP(B102,'112年全品項生產鍋數'!A:H,2,0)</f>
        <v>草莓蒟蒻餡(1*6kg)</v>
      </c>
      <c r="D102" s="284">
        <v>24</v>
      </c>
      <c r="E102" s="48">
        <f>VLOOKUP(B102,'112年全品項生產鍋數'!A:H,3,0)</f>
        <v>6</v>
      </c>
      <c r="F102" s="45">
        <f>VLOOKUP(B102,'112年全品項生產鍋數'!A:H,7,0)</f>
        <v>25.7</v>
      </c>
      <c r="G102" s="49">
        <f t="shared" si="6"/>
        <v>616.79999999999995</v>
      </c>
      <c r="H102" s="141">
        <v>614</v>
      </c>
      <c r="I102" s="46">
        <f t="shared" si="7"/>
        <v>3684</v>
      </c>
      <c r="J102" s="100">
        <f t="shared" si="8"/>
        <v>0.99546044098573294</v>
      </c>
      <c r="K102" s="51">
        <f>VLOOKUP(B:B,'生產達成率(目標)'!A:C,3,0)</f>
        <v>1</v>
      </c>
      <c r="L102" s="20">
        <f t="shared" si="11"/>
        <v>-5.0000000000000001E-3</v>
      </c>
      <c r="M102" s="235"/>
      <c r="N102" s="164"/>
      <c r="O102" s="150">
        <f t="shared" si="9"/>
        <v>3</v>
      </c>
      <c r="P102" s="141">
        <v>611</v>
      </c>
      <c r="Q102" s="27">
        <f t="shared" si="10"/>
        <v>0.99511400651465798</v>
      </c>
      <c r="R102" s="48"/>
      <c r="S102" s="172"/>
      <c r="T102" s="52"/>
      <c r="U102" s="23"/>
      <c r="V102" s="458"/>
      <c r="W102" s="421"/>
      <c r="X102" s="458"/>
      <c r="Y102" s="421"/>
      <c r="Z102" s="421"/>
      <c r="AA102" s="421"/>
      <c r="AB102" s="421"/>
      <c r="AC102" s="421"/>
      <c r="AD102" s="421"/>
    </row>
    <row r="103" spans="1:30" s="22" customFormat="1" x14ac:dyDescent="0.4">
      <c r="A103" s="176" t="s">
        <v>686</v>
      </c>
      <c r="B103" s="150" t="s">
        <v>93</v>
      </c>
      <c r="C103" s="30" t="str">
        <f>VLOOKUP(B103,'112年全品項生產鍋數'!A:H,2,0)</f>
        <v>草莓餡42°(1*6KG)</v>
      </c>
      <c r="D103" s="284">
        <v>12</v>
      </c>
      <c r="E103" s="48">
        <f>VLOOKUP(B103,'112年全品項生產鍋數'!A:H,3,0)</f>
        <v>6</v>
      </c>
      <c r="F103" s="45">
        <f>VLOOKUP(B103,'112年全品項生產鍋數'!A:H,7,0)</f>
        <v>25.2</v>
      </c>
      <c r="G103" s="49">
        <f t="shared" si="6"/>
        <v>302.39999999999998</v>
      </c>
      <c r="H103" s="141">
        <v>300</v>
      </c>
      <c r="I103" s="46">
        <f t="shared" si="7"/>
        <v>1800</v>
      </c>
      <c r="J103" s="100">
        <f t="shared" si="8"/>
        <v>0.99206349206349209</v>
      </c>
      <c r="K103" s="51">
        <f>VLOOKUP(B:B,'生產達成率(目標)'!A:C,3,0)</f>
        <v>1</v>
      </c>
      <c r="L103" s="20">
        <f t="shared" si="11"/>
        <v>-8.0000000000000002E-3</v>
      </c>
      <c r="M103" s="235"/>
      <c r="N103" s="164"/>
      <c r="O103" s="150">
        <f t="shared" si="9"/>
        <v>2</v>
      </c>
      <c r="P103" s="141">
        <v>298</v>
      </c>
      <c r="Q103" s="27">
        <f t="shared" si="10"/>
        <v>0.99333333333333329</v>
      </c>
      <c r="R103" s="48"/>
      <c r="S103" s="172"/>
      <c r="T103" s="52"/>
      <c r="U103" s="23"/>
      <c r="V103" s="458"/>
      <c r="W103" s="421"/>
      <c r="X103" s="458"/>
      <c r="Y103" s="421"/>
      <c r="Z103" s="421"/>
      <c r="AA103" s="421"/>
      <c r="AB103" s="421"/>
      <c r="AC103" s="421"/>
      <c r="AD103" s="421"/>
    </row>
    <row r="104" spans="1:30" s="22" customFormat="1" x14ac:dyDescent="0.4">
      <c r="A104" s="176" t="s">
        <v>686</v>
      </c>
      <c r="B104" s="150" t="s">
        <v>126</v>
      </c>
      <c r="C104" s="30" t="str">
        <f>VLOOKUP(B104,'112年全品項生產鍋數'!A:H,2,0)</f>
        <v>開心草莓餡P(1*6KG)</v>
      </c>
      <c r="D104" s="284">
        <v>6</v>
      </c>
      <c r="E104" s="48">
        <f>VLOOKUP(B104,'112年全品項生產鍋數'!A:H,3,0)</f>
        <v>6</v>
      </c>
      <c r="F104" s="45">
        <f>VLOOKUP(B104,'112年全品項生產鍋數'!A:H,7,0)</f>
        <v>25.3</v>
      </c>
      <c r="G104" s="49">
        <f t="shared" si="6"/>
        <v>151.80000000000001</v>
      </c>
      <c r="H104" s="141">
        <v>151</v>
      </c>
      <c r="I104" s="46">
        <f t="shared" si="7"/>
        <v>906</v>
      </c>
      <c r="J104" s="100">
        <f t="shared" si="8"/>
        <v>0.99472990777338599</v>
      </c>
      <c r="K104" s="51">
        <f>VLOOKUP(B:B,'生產達成率(目標)'!A:C,3,0)</f>
        <v>1</v>
      </c>
      <c r="L104" s="20">
        <f t="shared" si="11"/>
        <v>-5.0000000000000001E-3</v>
      </c>
      <c r="M104" s="235"/>
      <c r="N104" s="164"/>
      <c r="O104" s="150">
        <f t="shared" si="9"/>
        <v>1</v>
      </c>
      <c r="P104" s="141">
        <v>150</v>
      </c>
      <c r="Q104" s="27">
        <f t="shared" si="10"/>
        <v>0.99337748344370858</v>
      </c>
      <c r="R104" s="48"/>
      <c r="S104" s="172"/>
      <c r="T104" s="52"/>
      <c r="U104" s="23"/>
      <c r="V104" s="458"/>
      <c r="W104" s="421"/>
      <c r="X104" s="458"/>
      <c r="Y104" s="421"/>
      <c r="Z104" s="421"/>
      <c r="AA104" s="421"/>
      <c r="AB104" s="421"/>
      <c r="AC104" s="421"/>
      <c r="AD104" s="421"/>
    </row>
    <row r="105" spans="1:30" s="22" customFormat="1" x14ac:dyDescent="0.4">
      <c r="A105" s="176" t="s">
        <v>686</v>
      </c>
      <c r="B105" s="150" t="s">
        <v>89</v>
      </c>
      <c r="C105" s="30" t="str">
        <f>VLOOKUP(B105,'112年全品項生產鍋數'!A:H,2,0)</f>
        <v>花生醬（1*18kg)</v>
      </c>
      <c r="D105" s="284">
        <v>4.29</v>
      </c>
      <c r="E105" s="48">
        <f>VLOOKUP(B105,'112年全品項生產鍋數'!A:H,3,0)</f>
        <v>18</v>
      </c>
      <c r="F105" s="45">
        <f>VLOOKUP(B105,'112年全品項生產鍋數'!A:H,7,0)</f>
        <v>6.7</v>
      </c>
      <c r="G105" s="49">
        <f t="shared" si="6"/>
        <v>28.743000000000002</v>
      </c>
      <c r="H105" s="141">
        <v>30</v>
      </c>
      <c r="I105" s="46">
        <f t="shared" si="7"/>
        <v>540</v>
      </c>
      <c r="J105" s="100">
        <f t="shared" si="8"/>
        <v>1.0437323870159689</v>
      </c>
      <c r="K105" s="51">
        <f>VLOOKUP(B:B,'生產達成率(目標)'!A:C,3,0)</f>
        <v>1</v>
      </c>
      <c r="L105" s="20">
        <f t="shared" si="11"/>
        <v>4.3999999999999997E-2</v>
      </c>
      <c r="M105" s="235"/>
      <c r="N105" s="164"/>
      <c r="O105" s="150">
        <f t="shared" si="9"/>
        <v>0</v>
      </c>
      <c r="P105" s="141">
        <v>30</v>
      </c>
      <c r="Q105" s="27">
        <f t="shared" si="10"/>
        <v>1</v>
      </c>
      <c r="R105" s="48"/>
      <c r="S105" s="172"/>
      <c r="T105" s="52"/>
      <c r="U105" s="23"/>
      <c r="V105" s="458"/>
      <c r="W105" s="421"/>
      <c r="X105" s="458"/>
      <c r="Y105" s="421"/>
      <c r="Z105" s="421"/>
      <c r="AA105" s="421"/>
      <c r="AB105" s="421"/>
      <c r="AC105" s="421"/>
      <c r="AD105" s="421"/>
    </row>
    <row r="106" spans="1:30" s="22" customFormat="1" x14ac:dyDescent="0.4">
      <c r="A106" s="176" t="s">
        <v>686</v>
      </c>
      <c r="B106" s="150" t="s">
        <v>65</v>
      </c>
      <c r="C106" s="30" t="str">
        <f>VLOOKUP(B106,'112年全品項生產鍋數'!A:H,2,0)</f>
        <v>＃1花生(1*2.8kg)</v>
      </c>
      <c r="D106" s="284">
        <v>55.71</v>
      </c>
      <c r="E106" s="48">
        <f>VLOOKUP(B106,'112年全品項生產鍋數'!A:H,3,0)</f>
        <v>2.8</v>
      </c>
      <c r="F106" s="45">
        <f>VLOOKUP(B106,'112年全品項生產鍋數'!A:H,7,0)</f>
        <v>44.5</v>
      </c>
      <c r="G106" s="49">
        <f t="shared" si="6"/>
        <v>2479.0950000000003</v>
      </c>
      <c r="H106" s="141">
        <v>2489</v>
      </c>
      <c r="I106" s="46">
        <f t="shared" si="7"/>
        <v>6969.2</v>
      </c>
      <c r="J106" s="100">
        <f t="shared" si="8"/>
        <v>1.0039954096152022</v>
      </c>
      <c r="K106" s="51">
        <f>VLOOKUP(B:B,'生產達成率(目標)'!A:C,3,0)</f>
        <v>1</v>
      </c>
      <c r="L106" s="20">
        <f t="shared" si="11"/>
        <v>4.0000000000000001E-3</v>
      </c>
      <c r="M106" s="235"/>
      <c r="N106" s="164"/>
      <c r="O106" s="150">
        <f t="shared" si="9"/>
        <v>1</v>
      </c>
      <c r="P106" s="141">
        <v>2488</v>
      </c>
      <c r="Q106" s="27">
        <f t="shared" si="10"/>
        <v>0.9995982322217758</v>
      </c>
      <c r="R106" s="48"/>
      <c r="S106" s="172"/>
      <c r="T106" s="52"/>
      <c r="U106" s="23"/>
      <c r="V106" s="458"/>
      <c r="W106" s="421"/>
      <c r="X106" s="458"/>
      <c r="Y106" s="421"/>
      <c r="Z106" s="421"/>
      <c r="AA106" s="421"/>
      <c r="AB106" s="421"/>
      <c r="AC106" s="421"/>
      <c r="AD106" s="421"/>
    </row>
    <row r="107" spans="1:30" s="22" customFormat="1" x14ac:dyDescent="0.4">
      <c r="A107" s="176" t="s">
        <v>687</v>
      </c>
      <c r="B107" s="149" t="s">
        <v>11</v>
      </c>
      <c r="C107" s="30" t="str">
        <f>VLOOKUP(B107,'112年全品項生產鍋數'!A:H,2,0)</f>
        <v>#2草莓果醬(1*900g)</v>
      </c>
      <c r="D107" s="284">
        <v>24</v>
      </c>
      <c r="E107" s="48">
        <f>VLOOKUP(B107,'112年全品項生產鍋數'!A:H,3,0)</f>
        <v>0.9</v>
      </c>
      <c r="F107" s="45">
        <f>VLOOKUP(B107,'112年全品項生產鍋數'!A:H,7,0)</f>
        <v>160.5</v>
      </c>
      <c r="G107" s="49">
        <f t="shared" si="6"/>
        <v>3852</v>
      </c>
      <c r="H107" s="141">
        <v>3835</v>
      </c>
      <c r="I107" s="46">
        <f t="shared" si="7"/>
        <v>3451.5</v>
      </c>
      <c r="J107" s="100">
        <f t="shared" si="8"/>
        <v>0.99558670820353068</v>
      </c>
      <c r="K107" s="51">
        <f>VLOOKUP(B:B,'生產達成率(目標)'!A:C,3,0)</f>
        <v>1</v>
      </c>
      <c r="L107" s="20">
        <f t="shared" si="11"/>
        <v>-4.0000000000000001E-3</v>
      </c>
      <c r="M107" s="235"/>
      <c r="N107" s="164"/>
      <c r="O107" s="150">
        <f t="shared" si="9"/>
        <v>2</v>
      </c>
      <c r="P107" s="141">
        <v>3833</v>
      </c>
      <c r="Q107" s="27">
        <f t="shared" si="10"/>
        <v>0.99947848761408087</v>
      </c>
      <c r="R107" s="48"/>
      <c r="S107" s="172"/>
      <c r="T107" s="52"/>
      <c r="U107" s="23"/>
      <c r="V107" s="458"/>
      <c r="W107" s="421"/>
      <c r="X107" s="458"/>
      <c r="Y107" s="421"/>
      <c r="Z107" s="421"/>
      <c r="AA107" s="421"/>
      <c r="AB107" s="421"/>
      <c r="AC107" s="421"/>
      <c r="AD107" s="421"/>
    </row>
    <row r="108" spans="1:30" s="22" customFormat="1" x14ac:dyDescent="0.4">
      <c r="A108" s="176" t="s">
        <v>687</v>
      </c>
      <c r="B108" s="150" t="s">
        <v>127</v>
      </c>
      <c r="C108" s="30" t="str">
        <f>VLOOKUP(B108,'112年全品項生產鍋數'!A:H,2,0)</f>
        <v>水蜜桃寡糖果醬(1*260g)</v>
      </c>
      <c r="D108" s="284">
        <v>3</v>
      </c>
      <c r="E108" s="48">
        <f>VLOOKUP(B108,'112年全品項生產鍋數'!A:H,3,0)</f>
        <v>0.26</v>
      </c>
      <c r="F108" s="45">
        <f>VLOOKUP(B108,'112年全品項生產鍋數'!A:H,7,0)</f>
        <v>595</v>
      </c>
      <c r="G108" s="49">
        <f t="shared" si="6"/>
        <v>1785</v>
      </c>
      <c r="H108" s="141">
        <v>1795</v>
      </c>
      <c r="I108" s="46">
        <f t="shared" si="7"/>
        <v>466.7</v>
      </c>
      <c r="J108" s="100">
        <f t="shared" si="8"/>
        <v>1.0056022408963585</v>
      </c>
      <c r="K108" s="51">
        <f>VLOOKUP(B:B,'生產達成率(目標)'!A:C,3,0)</f>
        <v>1</v>
      </c>
      <c r="L108" s="20">
        <f t="shared" si="11"/>
        <v>6.0000000000000001E-3</v>
      </c>
      <c r="M108" s="235"/>
      <c r="N108" s="164"/>
      <c r="O108" s="150">
        <f t="shared" si="9"/>
        <v>5</v>
      </c>
      <c r="P108" s="141">
        <v>1790</v>
      </c>
      <c r="Q108" s="27">
        <f t="shared" si="10"/>
        <v>0.99721448467966578</v>
      </c>
      <c r="R108" s="48"/>
      <c r="S108" s="172"/>
      <c r="T108" s="52"/>
      <c r="U108" s="23"/>
      <c r="V108" s="458"/>
      <c r="W108" s="421"/>
      <c r="X108" s="458"/>
      <c r="Y108" s="421"/>
      <c r="Z108" s="421"/>
      <c r="AA108" s="421"/>
      <c r="AB108" s="421"/>
      <c r="AC108" s="421"/>
      <c r="AD108" s="421"/>
    </row>
    <row r="109" spans="1:30" s="22" customFormat="1" x14ac:dyDescent="0.4">
      <c r="A109" s="176" t="s">
        <v>687</v>
      </c>
      <c r="B109" s="150" t="s">
        <v>128</v>
      </c>
      <c r="C109" s="30" t="str">
        <f>VLOOKUP(B109,'112年全品項生產鍋數'!A:H,2,0)</f>
        <v>草莓椰果漿(1*6KG)</v>
      </c>
      <c r="D109" s="284">
        <v>8</v>
      </c>
      <c r="E109" s="48">
        <f>VLOOKUP(B109,'112年全品項生產鍋數'!A:H,3,0)</f>
        <v>6</v>
      </c>
      <c r="F109" s="45">
        <f>VLOOKUP(B109,'112年全品項生產鍋數'!A:H,7,0)</f>
        <v>25.7</v>
      </c>
      <c r="G109" s="49">
        <f t="shared" si="6"/>
        <v>205.6</v>
      </c>
      <c r="H109" s="141">
        <v>205</v>
      </c>
      <c r="I109" s="46">
        <f t="shared" si="7"/>
        <v>1230</v>
      </c>
      <c r="J109" s="100">
        <f t="shared" si="8"/>
        <v>0.99708171206225682</v>
      </c>
      <c r="K109" s="51">
        <f>VLOOKUP(B:B,'生產達成率(目標)'!A:C,3,0)</f>
        <v>1</v>
      </c>
      <c r="L109" s="20">
        <f t="shared" si="11"/>
        <v>-3.0000000000000001E-3</v>
      </c>
      <c r="M109" s="235"/>
      <c r="N109" s="164"/>
      <c r="O109" s="150">
        <f t="shared" si="9"/>
        <v>2</v>
      </c>
      <c r="P109" s="141">
        <v>203</v>
      </c>
      <c r="Q109" s="27">
        <f t="shared" si="10"/>
        <v>0.99024390243902438</v>
      </c>
      <c r="R109" s="48"/>
      <c r="S109" s="172"/>
      <c r="T109" s="52"/>
      <c r="U109" s="23"/>
      <c r="V109" s="458"/>
      <c r="W109" s="421"/>
      <c r="X109" s="458"/>
      <c r="Y109" s="421"/>
      <c r="Z109" s="421"/>
      <c r="AA109" s="421"/>
      <c r="AB109" s="421"/>
      <c r="AC109" s="421"/>
      <c r="AD109" s="421"/>
    </row>
    <row r="110" spans="1:30" s="22" customFormat="1" x14ac:dyDescent="0.4">
      <c r="A110" s="176" t="s">
        <v>687</v>
      </c>
      <c r="B110" s="149" t="s">
        <v>72</v>
      </c>
      <c r="C110" s="30" t="str">
        <f>VLOOKUP(B110,'112年全品項生產鍋數'!A:H,2,0)</f>
        <v>草莓餡45%(1*6Kg)</v>
      </c>
      <c r="D110" s="284">
        <v>16</v>
      </c>
      <c r="E110" s="48">
        <f>VLOOKUP(B110,'112年全品項生產鍋數'!A:H,3,0)</f>
        <v>6</v>
      </c>
      <c r="F110" s="45">
        <f>VLOOKUP(B110,'112年全品項生產鍋數'!A:H,7,0)</f>
        <v>26.1</v>
      </c>
      <c r="G110" s="49">
        <f t="shared" si="6"/>
        <v>417.6</v>
      </c>
      <c r="H110" s="141">
        <v>415</v>
      </c>
      <c r="I110" s="46">
        <f t="shared" si="7"/>
        <v>2490</v>
      </c>
      <c r="J110" s="100">
        <f t="shared" si="8"/>
        <v>0.99377394636015315</v>
      </c>
      <c r="K110" s="51">
        <f>VLOOKUP(B:B,'生產達成率(目標)'!A:C,3,0)</f>
        <v>1</v>
      </c>
      <c r="L110" s="20">
        <f t="shared" si="11"/>
        <v>-6.0000000000000001E-3</v>
      </c>
      <c r="M110" s="235"/>
      <c r="N110" s="164"/>
      <c r="O110" s="150">
        <f t="shared" si="9"/>
        <v>1</v>
      </c>
      <c r="P110" s="141">
        <v>414</v>
      </c>
      <c r="Q110" s="27">
        <f t="shared" si="10"/>
        <v>0.99759036144578317</v>
      </c>
      <c r="R110" s="28"/>
      <c r="S110" s="172"/>
      <c r="T110" s="52"/>
      <c r="U110" s="23"/>
      <c r="V110" s="458"/>
      <c r="W110" s="421"/>
      <c r="X110" s="458"/>
      <c r="Y110" s="421"/>
      <c r="Z110" s="421"/>
      <c r="AA110" s="421"/>
      <c r="AB110" s="421"/>
      <c r="AC110" s="421"/>
      <c r="AD110" s="421"/>
    </row>
    <row r="111" spans="1:30" s="22" customFormat="1" x14ac:dyDescent="0.4">
      <c r="A111" s="176" t="s">
        <v>687</v>
      </c>
      <c r="B111" s="149" t="s">
        <v>16</v>
      </c>
      <c r="C111" s="30" t="str">
        <f>VLOOKUP(B111,'112年全品項生產鍋數'!A:H,2,0)</f>
        <v>藍莓餡(1*6Kg)</v>
      </c>
      <c r="D111" s="284">
        <v>16</v>
      </c>
      <c r="E111" s="48">
        <f>VLOOKUP(B111,'112年全品項生產鍋數'!A:H,3,0)</f>
        <v>6</v>
      </c>
      <c r="F111" s="45">
        <f>VLOOKUP(B111,'112年全品項生產鍋數'!A:H,7,0)</f>
        <v>25.1</v>
      </c>
      <c r="G111" s="49">
        <f t="shared" si="6"/>
        <v>401.6</v>
      </c>
      <c r="H111" s="141">
        <v>401</v>
      </c>
      <c r="I111" s="46">
        <f t="shared" si="7"/>
        <v>2406</v>
      </c>
      <c r="J111" s="100">
        <f t="shared" si="8"/>
        <v>0.99850597609561742</v>
      </c>
      <c r="K111" s="51">
        <f>VLOOKUP(B:B,'生產達成率(目標)'!A:C,3,0)</f>
        <v>1</v>
      </c>
      <c r="L111" s="20">
        <f t="shared" si="11"/>
        <v>-1E-3</v>
      </c>
      <c r="M111" s="235"/>
      <c r="N111" s="164"/>
      <c r="O111" s="150">
        <f t="shared" si="9"/>
        <v>2</v>
      </c>
      <c r="P111" s="141">
        <v>399</v>
      </c>
      <c r="Q111" s="27">
        <f t="shared" si="10"/>
        <v>0.99501246882793015</v>
      </c>
      <c r="R111" s="48"/>
      <c r="S111" s="172"/>
      <c r="T111" s="52"/>
      <c r="U111" s="23"/>
      <c r="V111" s="458"/>
      <c r="W111" s="421"/>
      <c r="X111" s="458"/>
      <c r="Y111" s="421"/>
      <c r="Z111" s="421"/>
      <c r="AA111" s="421"/>
      <c r="AB111" s="421"/>
      <c r="AC111" s="421"/>
      <c r="AD111" s="421"/>
    </row>
    <row r="112" spans="1:30" s="22" customFormat="1" x14ac:dyDescent="0.4">
      <c r="A112" s="176" t="s">
        <v>687</v>
      </c>
      <c r="B112" s="149" t="s">
        <v>13</v>
      </c>
      <c r="C112" s="30" t="str">
        <f>VLOOKUP(B112,'112年全品項生產鍋數'!A:H,2,0)</f>
        <v>顆粒花生醬(1*12KG)</v>
      </c>
      <c r="D112" s="284">
        <v>21</v>
      </c>
      <c r="E112" s="48">
        <f>VLOOKUP(B112,'112年全品項生產鍋數'!A:H,3,0)</f>
        <v>3</v>
      </c>
      <c r="F112" s="45">
        <f>VLOOKUP(B112,'112年全品項生產鍋數'!A:H,7,0)</f>
        <v>29.7</v>
      </c>
      <c r="G112" s="49">
        <f t="shared" si="6"/>
        <v>623.69999999999993</v>
      </c>
      <c r="H112" s="141">
        <v>632</v>
      </c>
      <c r="I112" s="46">
        <f t="shared" si="7"/>
        <v>1896</v>
      </c>
      <c r="J112" s="100">
        <f t="shared" si="8"/>
        <v>1.0133076799743468</v>
      </c>
      <c r="K112" s="51">
        <f>VLOOKUP(B:B,'生產達成率(目標)'!A:C,3,0)</f>
        <v>1</v>
      </c>
      <c r="L112" s="20">
        <f t="shared" si="11"/>
        <v>1.2999999999999999E-2</v>
      </c>
      <c r="M112" s="235"/>
      <c r="N112" s="164"/>
      <c r="O112" s="150">
        <f t="shared" si="9"/>
        <v>0</v>
      </c>
      <c r="P112" s="141">
        <v>632</v>
      </c>
      <c r="Q112" s="27">
        <f t="shared" si="10"/>
        <v>1</v>
      </c>
      <c r="R112" s="48"/>
      <c r="S112" s="172"/>
      <c r="T112" s="52"/>
      <c r="U112" s="23"/>
      <c r="V112" s="458"/>
      <c r="W112" s="421"/>
      <c r="X112" s="458"/>
      <c r="Y112" s="421"/>
      <c r="Z112" s="421"/>
      <c r="AA112" s="421"/>
      <c r="AB112" s="421"/>
      <c r="AC112" s="421"/>
      <c r="AD112" s="421"/>
    </row>
    <row r="113" spans="1:30" s="22" customFormat="1" x14ac:dyDescent="0.4">
      <c r="A113" s="176" t="s">
        <v>688</v>
      </c>
      <c r="B113" s="149" t="s">
        <v>12</v>
      </c>
      <c r="C113" s="30" t="str">
        <f>VLOOKUP(B113,'112年全品項生產鍋數'!A:H,2,0)</f>
        <v>＃1草莓(1*3.2kg)</v>
      </c>
      <c r="D113" s="284">
        <v>80</v>
      </c>
      <c r="E113" s="48">
        <f>VLOOKUP(B113,'112年全品項生產鍋數'!A:H,3,0)</f>
        <v>3.2</v>
      </c>
      <c r="F113" s="45">
        <f>VLOOKUP(B113,'112年全品項生產鍋數'!A:H,7,0)</f>
        <v>46.8</v>
      </c>
      <c r="G113" s="49">
        <f t="shared" si="6"/>
        <v>3744</v>
      </c>
      <c r="H113" s="141">
        <v>3714</v>
      </c>
      <c r="I113" s="46">
        <f t="shared" si="7"/>
        <v>11884.800000000001</v>
      </c>
      <c r="J113" s="100">
        <f t="shared" si="8"/>
        <v>0.99198717948717952</v>
      </c>
      <c r="K113" s="51">
        <f>VLOOKUP(B:B,'生產達成率(目標)'!A:C,3,0)</f>
        <v>1</v>
      </c>
      <c r="L113" s="20">
        <f t="shared" si="11"/>
        <v>-8.0000000000000002E-3</v>
      </c>
      <c r="M113" s="235"/>
      <c r="N113" s="164"/>
      <c r="O113" s="150">
        <f t="shared" si="9"/>
        <v>2</v>
      </c>
      <c r="P113" s="141">
        <v>3712</v>
      </c>
      <c r="Q113" s="27">
        <f t="shared" si="10"/>
        <v>0.99946149703823373</v>
      </c>
      <c r="R113" s="48"/>
      <c r="S113" s="172"/>
      <c r="T113" s="52"/>
      <c r="U113" s="23"/>
      <c r="V113" s="458"/>
      <c r="W113" s="421"/>
      <c r="X113" s="458"/>
      <c r="Y113" s="421"/>
      <c r="Z113" s="421"/>
      <c r="AA113" s="421"/>
      <c r="AB113" s="421"/>
      <c r="AC113" s="421"/>
      <c r="AD113" s="421"/>
    </row>
    <row r="114" spans="1:30" s="22" customFormat="1" x14ac:dyDescent="0.4">
      <c r="A114" s="176" t="s">
        <v>688</v>
      </c>
      <c r="B114" s="149" t="s">
        <v>140</v>
      </c>
      <c r="C114" s="30" t="str">
        <f>VLOOKUP(B114,'112年全品項生產鍋數'!A:H,2,0)</f>
        <v>草莓餡(1*6Kg)</v>
      </c>
      <c r="D114" s="284">
        <v>20</v>
      </c>
      <c r="E114" s="48">
        <f>VLOOKUP(B114,'112年全品項生產鍋數'!A:H,3,0)</f>
        <v>6</v>
      </c>
      <c r="F114" s="45">
        <f>VLOOKUP(B114,'112年全品項生產鍋數'!A:H,7,0)</f>
        <v>25.5</v>
      </c>
      <c r="G114" s="49">
        <f t="shared" si="6"/>
        <v>510</v>
      </c>
      <c r="H114" s="141">
        <v>504</v>
      </c>
      <c r="I114" s="46">
        <f t="shared" si="7"/>
        <v>3024</v>
      </c>
      <c r="J114" s="100">
        <f t="shared" si="8"/>
        <v>0.9882352941176471</v>
      </c>
      <c r="K114" s="51">
        <f>VLOOKUP(B:B,'生產達成率(目標)'!A:C,3,0)</f>
        <v>1</v>
      </c>
      <c r="L114" s="20">
        <f t="shared" si="11"/>
        <v>-1.2E-2</v>
      </c>
      <c r="M114" s="235"/>
      <c r="N114" s="164"/>
      <c r="O114" s="150">
        <f t="shared" si="9"/>
        <v>1</v>
      </c>
      <c r="P114" s="141">
        <v>503</v>
      </c>
      <c r="Q114" s="27">
        <f t="shared" si="10"/>
        <v>0.99801587301587302</v>
      </c>
      <c r="R114" s="48"/>
      <c r="S114" s="172"/>
      <c r="T114" s="52"/>
      <c r="U114" s="23"/>
      <c r="V114" s="458"/>
      <c r="W114" s="421"/>
      <c r="X114" s="458"/>
      <c r="Y114" s="421"/>
      <c r="Z114" s="421"/>
      <c r="AA114" s="421"/>
      <c r="AB114" s="421"/>
      <c r="AC114" s="421"/>
      <c r="AD114" s="421"/>
    </row>
    <row r="115" spans="1:30" s="22" customFormat="1" x14ac:dyDescent="0.4">
      <c r="A115" s="176" t="s">
        <v>688</v>
      </c>
      <c r="B115" s="149" t="s">
        <v>134</v>
      </c>
      <c r="C115" s="30" t="str">
        <f>VLOOKUP(B115,'112年全品項生產鍋數'!A:H,2,0)</f>
        <v>草莓椰果餡(1*6Kg)</v>
      </c>
      <c r="D115" s="284">
        <v>20</v>
      </c>
      <c r="E115" s="48">
        <f>VLOOKUP(B115,'112年全品項生產鍋數'!A:H,3,0)</f>
        <v>6</v>
      </c>
      <c r="F115" s="45">
        <f>VLOOKUP(B115,'112年全品項生產鍋數'!A:H,7,0)</f>
        <v>26.4</v>
      </c>
      <c r="G115" s="49">
        <f t="shared" si="6"/>
        <v>528</v>
      </c>
      <c r="H115" s="141">
        <v>532</v>
      </c>
      <c r="I115" s="46">
        <f t="shared" si="7"/>
        <v>3192</v>
      </c>
      <c r="J115" s="100">
        <f t="shared" si="8"/>
        <v>1.0075757575757576</v>
      </c>
      <c r="K115" s="51">
        <f>VLOOKUP(B:B,'生產達成率(目標)'!A:C,3,0)</f>
        <v>1</v>
      </c>
      <c r="L115" s="20">
        <f t="shared" si="11"/>
        <v>8.0000000000000002E-3</v>
      </c>
      <c r="M115" s="235"/>
      <c r="N115" s="164"/>
      <c r="O115" s="150">
        <f t="shared" si="9"/>
        <v>1</v>
      </c>
      <c r="P115" s="141">
        <v>531</v>
      </c>
      <c r="Q115" s="27">
        <f t="shared" si="10"/>
        <v>0.99812030075187974</v>
      </c>
      <c r="R115" s="48"/>
      <c r="S115" s="172"/>
      <c r="T115" s="52"/>
      <c r="U115" s="23"/>
      <c r="V115" s="458"/>
      <c r="W115" s="421"/>
      <c r="X115" s="458"/>
      <c r="Y115" s="421"/>
      <c r="Z115" s="421"/>
      <c r="AA115" s="421"/>
      <c r="AB115" s="421"/>
      <c r="AC115" s="421"/>
      <c r="AD115" s="421"/>
    </row>
    <row r="116" spans="1:30" s="22" customFormat="1" x14ac:dyDescent="0.4">
      <c r="A116" s="176" t="s">
        <v>688</v>
      </c>
      <c r="B116" s="150" t="s">
        <v>65</v>
      </c>
      <c r="C116" s="30" t="str">
        <f>VLOOKUP(B116,'112年全品項生產鍋數'!A:H,2,0)</f>
        <v>＃1花生(1*2.8kg)</v>
      </c>
      <c r="D116" s="284">
        <v>72</v>
      </c>
      <c r="E116" s="48">
        <f>VLOOKUP(B116,'112年全品項生產鍋數'!A:H,3,0)</f>
        <v>2.8</v>
      </c>
      <c r="F116" s="45">
        <f>VLOOKUP(B116,'112年全品項生產鍋數'!A:H,7,0)</f>
        <v>44.5</v>
      </c>
      <c r="G116" s="49">
        <f t="shared" si="6"/>
        <v>3204</v>
      </c>
      <c r="H116" s="141">
        <v>3212</v>
      </c>
      <c r="I116" s="46">
        <f t="shared" si="7"/>
        <v>8993.5999999999985</v>
      </c>
      <c r="J116" s="100">
        <f t="shared" si="8"/>
        <v>1.0024968789013733</v>
      </c>
      <c r="K116" s="51">
        <f>VLOOKUP(B:B,'生產達成率(目標)'!A:C,3,0)</f>
        <v>1</v>
      </c>
      <c r="L116" s="20">
        <f t="shared" si="11"/>
        <v>2E-3</v>
      </c>
      <c r="M116" s="235"/>
      <c r="N116" s="164"/>
      <c r="O116" s="150">
        <f t="shared" si="9"/>
        <v>1</v>
      </c>
      <c r="P116" s="141">
        <v>3211</v>
      </c>
      <c r="Q116" s="27">
        <f t="shared" si="10"/>
        <v>0.99968866749688667</v>
      </c>
      <c r="R116" s="48"/>
      <c r="S116" s="172"/>
      <c r="T116" s="52"/>
      <c r="U116" s="23"/>
      <c r="V116" s="458"/>
      <c r="W116" s="421"/>
      <c r="X116" s="458"/>
      <c r="Y116" s="421"/>
      <c r="Z116" s="421"/>
      <c r="AA116" s="421"/>
      <c r="AB116" s="421"/>
      <c r="AC116" s="421"/>
      <c r="AD116" s="421"/>
    </row>
    <row r="117" spans="1:30" s="22" customFormat="1" x14ac:dyDescent="0.4">
      <c r="A117" s="176" t="s">
        <v>689</v>
      </c>
      <c r="B117" s="149" t="s">
        <v>142</v>
      </c>
      <c r="C117" s="30" t="str">
        <f>VLOOKUP(B117,'112年全品項生產鍋數'!A:H,2,0)</f>
        <v>顆粒花生醬(1*12KG)</v>
      </c>
      <c r="D117" s="284">
        <v>21</v>
      </c>
      <c r="E117" s="48">
        <f>VLOOKUP(B117,'112年全品項生產鍋數'!A:H,3,0)</f>
        <v>3</v>
      </c>
      <c r="F117" s="45">
        <f>VLOOKUP(B117,'112年全品項生產鍋數'!A:H,7,0)</f>
        <v>31.6</v>
      </c>
      <c r="G117" s="49">
        <f t="shared" si="6"/>
        <v>663.6</v>
      </c>
      <c r="H117" s="141">
        <v>672</v>
      </c>
      <c r="I117" s="46">
        <f t="shared" si="7"/>
        <v>2016</v>
      </c>
      <c r="J117" s="100">
        <f t="shared" si="8"/>
        <v>1.0126582278481013</v>
      </c>
      <c r="K117" s="51">
        <f>VLOOKUP(B:B,'生產達成率(目標)'!A:C,3,0)</f>
        <v>1</v>
      </c>
      <c r="L117" s="20">
        <f t="shared" si="11"/>
        <v>1.2999999999999999E-2</v>
      </c>
      <c r="M117" s="235"/>
      <c r="N117" s="164"/>
      <c r="O117" s="150">
        <f t="shared" si="9"/>
        <v>0</v>
      </c>
      <c r="P117" s="141">
        <v>672</v>
      </c>
      <c r="Q117" s="27">
        <f t="shared" si="10"/>
        <v>1</v>
      </c>
      <c r="R117" s="48"/>
      <c r="S117" s="172"/>
      <c r="T117" s="52"/>
      <c r="U117" s="23"/>
      <c r="V117" s="458"/>
      <c r="W117" s="421"/>
      <c r="X117" s="458"/>
      <c r="Y117" s="421"/>
      <c r="Z117" s="421"/>
      <c r="AA117" s="421"/>
      <c r="AB117" s="421"/>
      <c r="AC117" s="421"/>
      <c r="AD117" s="421"/>
    </row>
    <row r="118" spans="1:30" s="22" customFormat="1" x14ac:dyDescent="0.4">
      <c r="A118" s="176" t="s">
        <v>689</v>
      </c>
      <c r="B118" s="150" t="s">
        <v>82</v>
      </c>
      <c r="C118" s="30" t="str">
        <f>VLOOKUP(B118,'112年全品項生產鍋數'!A:H,2,0)</f>
        <v>顆粒花生醬(全)</v>
      </c>
      <c r="D118" s="284">
        <v>16</v>
      </c>
      <c r="E118" s="48">
        <f>VLOOKUP(B118,'112年全品項生產鍋數'!A:H,3,0)</f>
        <v>0.34</v>
      </c>
      <c r="F118" s="45">
        <f>VLOOKUP(B118,'112年全品項生產鍋數'!A:H,7,0)</f>
        <v>364.6</v>
      </c>
      <c r="G118" s="49">
        <f t="shared" si="6"/>
        <v>5833.6</v>
      </c>
      <c r="H118" s="141">
        <v>5821</v>
      </c>
      <c r="I118" s="46">
        <f t="shared" si="7"/>
        <v>1979.14</v>
      </c>
      <c r="J118" s="100">
        <f t="shared" si="8"/>
        <v>0.99784009873834334</v>
      </c>
      <c r="K118" s="51">
        <f>VLOOKUP(B:B,'生產達成率(目標)'!A:C,3,0)</f>
        <v>1</v>
      </c>
      <c r="L118" s="20">
        <f t="shared" si="11"/>
        <v>-2E-3</v>
      </c>
      <c r="M118" s="235"/>
      <c r="N118" s="164"/>
      <c r="O118" s="150">
        <f t="shared" si="9"/>
        <v>3</v>
      </c>
      <c r="P118" s="141">
        <v>5818</v>
      </c>
      <c r="Q118" s="27">
        <f t="shared" si="10"/>
        <v>0.99948462463494248</v>
      </c>
      <c r="R118" s="48"/>
      <c r="S118" s="172"/>
      <c r="T118" s="52"/>
      <c r="U118" s="23"/>
      <c r="V118" s="458"/>
      <c r="W118" s="421"/>
      <c r="X118" s="458"/>
      <c r="Y118" s="421"/>
      <c r="Z118" s="421"/>
      <c r="AA118" s="421"/>
      <c r="AB118" s="421"/>
      <c r="AC118" s="421"/>
      <c r="AD118" s="421"/>
    </row>
    <row r="119" spans="1:30" s="22" customFormat="1" x14ac:dyDescent="0.4">
      <c r="A119" s="176" t="s">
        <v>689</v>
      </c>
      <c r="B119" s="150" t="s">
        <v>65</v>
      </c>
      <c r="C119" s="30" t="str">
        <f>VLOOKUP(B119,'112年全品項生產鍋數'!A:H,2,0)</f>
        <v>＃1花生(1*2.8kg)</v>
      </c>
      <c r="D119" s="284">
        <v>28</v>
      </c>
      <c r="E119" s="48">
        <f>VLOOKUP(B119,'112年全品項生產鍋數'!A:H,3,0)</f>
        <v>2.8</v>
      </c>
      <c r="F119" s="45">
        <f>VLOOKUP(B119,'112年全品項生產鍋數'!A:H,7,0)</f>
        <v>44.5</v>
      </c>
      <c r="G119" s="49">
        <f t="shared" si="6"/>
        <v>1246</v>
      </c>
      <c r="H119" s="141">
        <v>1240</v>
      </c>
      <c r="I119" s="46">
        <f t="shared" si="7"/>
        <v>3472</v>
      </c>
      <c r="J119" s="100">
        <f t="shared" si="8"/>
        <v>0.9951845906902087</v>
      </c>
      <c r="K119" s="51">
        <f>VLOOKUP(B:B,'生產達成率(目標)'!A:C,3,0)</f>
        <v>1</v>
      </c>
      <c r="L119" s="20">
        <f t="shared" si="11"/>
        <v>-5.0000000000000001E-3</v>
      </c>
      <c r="M119" s="235"/>
      <c r="N119" s="164"/>
      <c r="O119" s="150">
        <f t="shared" si="9"/>
        <v>1</v>
      </c>
      <c r="P119" s="141">
        <v>1239</v>
      </c>
      <c r="Q119" s="27">
        <f t="shared" si="10"/>
        <v>0.99919354838709673</v>
      </c>
      <c r="R119" s="48" t="s">
        <v>121</v>
      </c>
      <c r="S119" s="172"/>
      <c r="T119" s="52"/>
      <c r="U119" s="23"/>
      <c r="V119" s="458"/>
      <c r="W119" s="421"/>
      <c r="X119" s="458"/>
      <c r="Y119" s="421"/>
      <c r="Z119" s="421"/>
      <c r="AA119" s="421"/>
      <c r="AB119" s="421"/>
      <c r="AC119" s="421"/>
      <c r="AD119" s="421"/>
    </row>
    <row r="120" spans="1:30" s="22" customFormat="1" x14ac:dyDescent="0.4">
      <c r="A120" s="176" t="s">
        <v>690</v>
      </c>
      <c r="B120" s="149" t="s">
        <v>87</v>
      </c>
      <c r="C120" s="30" t="str">
        <f>VLOOKUP(B120,'112年全品項生產鍋數'!A:H,2,0)</f>
        <v>＃1藍莓(1*3.2kg)</v>
      </c>
      <c r="D120" s="284">
        <v>36</v>
      </c>
      <c r="E120" s="48">
        <f>VLOOKUP(B120,'112年全品項生產鍋數'!A:H,3,0)</f>
        <v>3.2</v>
      </c>
      <c r="F120" s="45">
        <f>VLOOKUP(B120,'112年全品項生產鍋數'!A:H,7,0)</f>
        <v>47.5</v>
      </c>
      <c r="G120" s="49">
        <f t="shared" si="6"/>
        <v>1710</v>
      </c>
      <c r="H120" s="141">
        <v>1711</v>
      </c>
      <c r="I120" s="46">
        <f t="shared" si="7"/>
        <v>5475.2000000000007</v>
      </c>
      <c r="J120" s="100">
        <f t="shared" si="8"/>
        <v>1.0005847953216374</v>
      </c>
      <c r="K120" s="51">
        <f>VLOOKUP(B:B,'生產達成率(目標)'!A:C,3,0)</f>
        <v>1</v>
      </c>
      <c r="L120" s="20">
        <f t="shared" si="11"/>
        <v>1E-3</v>
      </c>
      <c r="M120" s="235"/>
      <c r="N120" s="164"/>
      <c r="O120" s="150">
        <f t="shared" si="9"/>
        <v>1</v>
      </c>
      <c r="P120" s="141">
        <v>1710</v>
      </c>
      <c r="Q120" s="27">
        <f t="shared" si="10"/>
        <v>0.99941554646405606</v>
      </c>
      <c r="R120" s="48"/>
      <c r="S120" s="172" t="s">
        <v>129</v>
      </c>
      <c r="T120" s="52"/>
      <c r="U120" s="23"/>
      <c r="V120" s="458"/>
      <c r="W120" s="421"/>
      <c r="X120" s="458"/>
      <c r="Y120" s="421"/>
      <c r="Z120" s="421"/>
      <c r="AA120" s="421"/>
      <c r="AB120" s="421"/>
      <c r="AC120" s="421"/>
      <c r="AD120" s="421"/>
    </row>
    <row r="121" spans="1:30" s="22" customFormat="1" x14ac:dyDescent="0.4">
      <c r="A121" s="176" t="s">
        <v>690</v>
      </c>
      <c r="B121" s="149" t="s">
        <v>19</v>
      </c>
      <c r="C121" s="30" t="str">
        <f>VLOOKUP(B121,'112年全品項生產鍋數'!A:H,2,0)</f>
        <v>＃2藍莓(1*900g)</v>
      </c>
      <c r="D121" s="284">
        <v>20</v>
      </c>
      <c r="E121" s="48">
        <f>VLOOKUP(B121,'112年全品項生產鍋數'!A:H,3,0)</f>
        <v>0.9</v>
      </c>
      <c r="F121" s="45">
        <f>VLOOKUP(B121,'112年全品項生產鍋數'!A:H,7,0)</f>
        <v>163</v>
      </c>
      <c r="G121" s="49">
        <f t="shared" si="6"/>
        <v>3260</v>
      </c>
      <c r="H121" s="141">
        <v>3194</v>
      </c>
      <c r="I121" s="46">
        <f t="shared" si="7"/>
        <v>2874.6</v>
      </c>
      <c r="J121" s="100">
        <f t="shared" si="8"/>
        <v>0.97975460122699387</v>
      </c>
      <c r="K121" s="51">
        <f>VLOOKUP(B:B,'生產達成率(目標)'!A:C,3,0)</f>
        <v>1</v>
      </c>
      <c r="L121" s="20">
        <f t="shared" si="11"/>
        <v>-0.02</v>
      </c>
      <c r="M121" s="235"/>
      <c r="N121" s="164"/>
      <c r="O121" s="150">
        <f t="shared" si="9"/>
        <v>2</v>
      </c>
      <c r="P121" s="141">
        <v>3192</v>
      </c>
      <c r="Q121" s="27">
        <f t="shared" si="10"/>
        <v>0.9993738259236068</v>
      </c>
      <c r="R121" s="48"/>
      <c r="S121" s="172"/>
      <c r="T121" s="52"/>
      <c r="U121" s="23"/>
      <c r="V121" s="458"/>
      <c r="W121" s="421"/>
      <c r="X121" s="458"/>
      <c r="Y121" s="421"/>
      <c r="Z121" s="421"/>
      <c r="AA121" s="421"/>
      <c r="AB121" s="421"/>
      <c r="AC121" s="421"/>
      <c r="AD121" s="421"/>
    </row>
    <row r="122" spans="1:30" s="22" customFormat="1" x14ac:dyDescent="0.4">
      <c r="A122" s="176" t="s">
        <v>690</v>
      </c>
      <c r="B122" s="150" t="s">
        <v>63</v>
      </c>
      <c r="C122" s="30" t="str">
        <f>VLOOKUP(B122,'112年全品項生產鍋數'!A:H,2,0)</f>
        <v>草莓蒟蒻餡(1*6kg)</v>
      </c>
      <c r="D122" s="284">
        <v>16</v>
      </c>
      <c r="E122" s="48">
        <f>VLOOKUP(B122,'112年全品項生產鍋數'!A:H,3,0)</f>
        <v>6</v>
      </c>
      <c r="F122" s="45">
        <f>VLOOKUP(B122,'112年全品項生產鍋數'!A:H,7,0)</f>
        <v>25.7</v>
      </c>
      <c r="G122" s="49">
        <f t="shared" si="6"/>
        <v>411.2</v>
      </c>
      <c r="H122" s="141">
        <v>405</v>
      </c>
      <c r="I122" s="46">
        <f t="shared" si="7"/>
        <v>2430</v>
      </c>
      <c r="J122" s="100">
        <f t="shared" si="8"/>
        <v>0.9849221789883269</v>
      </c>
      <c r="K122" s="51">
        <f>VLOOKUP(B:B,'生產達成率(目標)'!A:C,3,0)</f>
        <v>1</v>
      </c>
      <c r="L122" s="20">
        <f t="shared" si="11"/>
        <v>-1.4999999999999999E-2</v>
      </c>
      <c r="M122" s="235"/>
      <c r="N122" s="164"/>
      <c r="O122" s="150">
        <f t="shared" si="9"/>
        <v>2</v>
      </c>
      <c r="P122" s="141">
        <v>403</v>
      </c>
      <c r="Q122" s="27">
        <f t="shared" si="10"/>
        <v>0.99506172839506168</v>
      </c>
      <c r="R122" s="48"/>
      <c r="S122" s="172"/>
      <c r="T122" s="52"/>
      <c r="U122" s="23"/>
      <c r="V122" s="458"/>
      <c r="W122" s="421"/>
      <c r="X122" s="458"/>
      <c r="Y122" s="421"/>
      <c r="Z122" s="421"/>
      <c r="AA122" s="421"/>
      <c r="AB122" s="421"/>
      <c r="AC122" s="421"/>
      <c r="AD122" s="421"/>
    </row>
    <row r="123" spans="1:30" s="22" customFormat="1" x14ac:dyDescent="0.4">
      <c r="A123" s="176" t="s">
        <v>690</v>
      </c>
      <c r="B123" s="149" t="s">
        <v>42</v>
      </c>
      <c r="C123" s="30" t="str">
        <f>VLOOKUP(B123,'112年全品項生產鍋數'!A:H,2,0)</f>
        <v>天天開心柳橙餡4.5KG</v>
      </c>
      <c r="D123" s="284">
        <v>8</v>
      </c>
      <c r="E123" s="48">
        <f>VLOOKUP(B123,'112年全品項生產鍋數'!A:H,3,0)</f>
        <v>4.5</v>
      </c>
      <c r="F123" s="45">
        <f>VLOOKUP(B123,'112年全品項生產鍋數'!A:H,7,0)</f>
        <v>34.9</v>
      </c>
      <c r="G123" s="49">
        <f t="shared" si="6"/>
        <v>279.2</v>
      </c>
      <c r="H123" s="141">
        <v>280</v>
      </c>
      <c r="I123" s="46">
        <f t="shared" si="7"/>
        <v>1260</v>
      </c>
      <c r="J123" s="100">
        <f t="shared" si="8"/>
        <v>1.002865329512894</v>
      </c>
      <c r="K123" s="51">
        <f>VLOOKUP(B:B,'生產達成率(目標)'!A:C,3,0)</f>
        <v>1</v>
      </c>
      <c r="L123" s="20">
        <f t="shared" si="11"/>
        <v>3.0000000000000001E-3</v>
      </c>
      <c r="M123" s="235"/>
      <c r="N123" s="164"/>
      <c r="O123" s="150">
        <f t="shared" si="9"/>
        <v>0</v>
      </c>
      <c r="P123" s="141">
        <v>280</v>
      </c>
      <c r="Q123" s="27">
        <f t="shared" si="10"/>
        <v>1</v>
      </c>
      <c r="R123" s="48"/>
      <c r="S123" s="172"/>
      <c r="T123" s="52"/>
      <c r="U123" s="23"/>
      <c r="V123" s="458"/>
      <c r="W123" s="421"/>
      <c r="X123" s="458"/>
      <c r="Y123" s="421"/>
      <c r="Z123" s="421"/>
      <c r="AA123" s="421"/>
      <c r="AB123" s="421"/>
      <c r="AC123" s="421"/>
      <c r="AD123" s="421"/>
    </row>
    <row r="124" spans="1:30" s="22" customFormat="1" x14ac:dyDescent="0.4">
      <c r="A124" s="176" t="s">
        <v>690</v>
      </c>
      <c r="B124" s="149" t="s">
        <v>41</v>
      </c>
      <c r="C124" s="30" t="str">
        <f>VLOOKUP(B124,'112年全品項生產鍋數'!A:H,2,0)</f>
        <v>天天開心藍莓餡4.5KG</v>
      </c>
      <c r="D124" s="284">
        <v>12</v>
      </c>
      <c r="E124" s="48">
        <f>VLOOKUP(B124,'112年全品項生產鍋數'!A:H,3,0)</f>
        <v>4.5</v>
      </c>
      <c r="F124" s="45">
        <f>VLOOKUP(B124,'112年全品項生產鍋數'!A:H,7,0)</f>
        <v>36.799999999999997</v>
      </c>
      <c r="G124" s="49">
        <f t="shared" si="6"/>
        <v>441.59999999999997</v>
      </c>
      <c r="H124" s="141">
        <v>438</v>
      </c>
      <c r="I124" s="46">
        <f t="shared" si="7"/>
        <v>1971</v>
      </c>
      <c r="J124" s="100">
        <f t="shared" si="8"/>
        <v>0.99184782608695665</v>
      </c>
      <c r="K124" s="51">
        <f>VLOOKUP(B:B,'生產達成率(目標)'!A:C,3,0)</f>
        <v>1</v>
      </c>
      <c r="L124" s="20">
        <f t="shared" si="11"/>
        <v>-8.0000000000000002E-3</v>
      </c>
      <c r="M124" s="235"/>
      <c r="N124" s="164"/>
      <c r="O124" s="150">
        <f t="shared" si="9"/>
        <v>0</v>
      </c>
      <c r="P124" s="141">
        <v>438</v>
      </c>
      <c r="Q124" s="27">
        <f t="shared" si="10"/>
        <v>1</v>
      </c>
      <c r="R124" s="48"/>
      <c r="S124" s="172"/>
      <c r="T124" s="52"/>
      <c r="U124" s="23"/>
      <c r="V124" s="458"/>
      <c r="W124" s="421"/>
      <c r="X124" s="458"/>
      <c r="Y124" s="421"/>
      <c r="Z124" s="421"/>
      <c r="AA124" s="421"/>
      <c r="AB124" s="421"/>
      <c r="AC124" s="421"/>
      <c r="AD124" s="421"/>
    </row>
    <row r="125" spans="1:30" s="22" customFormat="1" x14ac:dyDescent="0.4">
      <c r="A125" s="176" t="s">
        <v>690</v>
      </c>
      <c r="B125" s="149" t="s">
        <v>4</v>
      </c>
      <c r="C125" s="30" t="str">
        <f>VLOOKUP(B125,'112年全品項生產鍋數'!A:H,2,0)</f>
        <v>PET大花生(1*400g)</v>
      </c>
      <c r="D125" s="284">
        <v>24</v>
      </c>
      <c r="E125" s="48">
        <f>VLOOKUP(B125,'112年全品項生產鍋數'!A:H,3,0)</f>
        <v>0.4</v>
      </c>
      <c r="F125" s="45">
        <f>VLOOKUP(B125,'112年全品項生產鍋數'!A:H,7,0)</f>
        <v>309.2</v>
      </c>
      <c r="G125" s="49">
        <f t="shared" si="6"/>
        <v>7420.7999999999993</v>
      </c>
      <c r="H125" s="141">
        <v>7567</v>
      </c>
      <c r="I125" s="46">
        <f t="shared" si="7"/>
        <v>3026.8</v>
      </c>
      <c r="J125" s="100">
        <f t="shared" si="8"/>
        <v>1.0197013799051315</v>
      </c>
      <c r="K125" s="51">
        <f>VLOOKUP(B:B,'生產達成率(目標)'!A:C,3,0)</f>
        <v>1</v>
      </c>
      <c r="L125" s="20">
        <f t="shared" si="11"/>
        <v>0.02</v>
      </c>
      <c r="M125" s="235"/>
      <c r="N125" s="164"/>
      <c r="O125" s="150">
        <f t="shared" si="9"/>
        <v>3</v>
      </c>
      <c r="P125" s="141">
        <v>7564</v>
      </c>
      <c r="Q125" s="27">
        <f t="shared" si="10"/>
        <v>0.99960354169419852</v>
      </c>
      <c r="R125" s="48"/>
      <c r="S125" s="172"/>
      <c r="T125" s="52"/>
      <c r="U125" s="23"/>
      <c r="V125" s="458"/>
      <c r="W125" s="421"/>
      <c r="X125" s="458"/>
      <c r="Y125" s="421"/>
      <c r="Z125" s="421"/>
      <c r="AA125" s="421"/>
      <c r="AB125" s="421"/>
      <c r="AC125" s="421"/>
      <c r="AD125" s="421"/>
    </row>
    <row r="126" spans="1:30" s="22" customFormat="1" x14ac:dyDescent="0.4">
      <c r="A126" s="176" t="s">
        <v>690</v>
      </c>
      <c r="B126" s="149" t="s">
        <v>22</v>
      </c>
      <c r="C126" s="30" t="str">
        <f>VLOOKUP(B126,'112年全品項生產鍋數'!A:H,2,0)</f>
        <v>PET瓶花生(1*340g)</v>
      </c>
      <c r="D126" s="284">
        <v>4.82</v>
      </c>
      <c r="E126" s="48">
        <f>VLOOKUP(B126,'112年全品項生產鍋數'!A:H,3,0)</f>
        <v>0.34</v>
      </c>
      <c r="F126" s="45">
        <f>VLOOKUP(B126,'112年全品項生產鍋數'!A:H,7,0)</f>
        <v>358.3</v>
      </c>
      <c r="G126" s="49">
        <f t="shared" si="6"/>
        <v>1727.0060000000001</v>
      </c>
      <c r="H126" s="141">
        <v>1594</v>
      </c>
      <c r="I126" s="46">
        <f t="shared" si="7"/>
        <v>541.96</v>
      </c>
      <c r="J126" s="100">
        <f t="shared" si="8"/>
        <v>0.92298463352182902</v>
      </c>
      <c r="K126" s="51">
        <f>VLOOKUP(B:B,'生產達成率(目標)'!A:C,3,0)</f>
        <v>1</v>
      </c>
      <c r="L126" s="20">
        <f t="shared" si="11"/>
        <v>-7.6999999999999999E-2</v>
      </c>
      <c r="M126" s="235"/>
      <c r="N126" s="164"/>
      <c r="O126" s="150">
        <f t="shared" si="9"/>
        <v>3</v>
      </c>
      <c r="P126" s="141">
        <v>1591</v>
      </c>
      <c r="Q126" s="27">
        <f t="shared" si="10"/>
        <v>0.99811794228356332</v>
      </c>
      <c r="R126" s="48"/>
      <c r="S126" s="172"/>
      <c r="T126" s="52"/>
      <c r="U126" s="23"/>
      <c r="V126" s="458"/>
      <c r="W126" s="421"/>
      <c r="X126" s="458"/>
      <c r="Y126" s="421"/>
      <c r="Z126" s="421"/>
      <c r="AA126" s="421"/>
      <c r="AB126" s="421"/>
      <c r="AC126" s="421"/>
      <c r="AD126" s="421"/>
    </row>
    <row r="127" spans="1:30" s="22" customFormat="1" x14ac:dyDescent="0.4">
      <c r="A127" s="176" t="s">
        <v>690</v>
      </c>
      <c r="B127" s="150" t="s">
        <v>44</v>
      </c>
      <c r="C127" s="30" t="str">
        <f>VLOOKUP(B127,'112年全品項生產鍋數'!A:H,2,0)</f>
        <v>佳樂美細花(1*340g)</v>
      </c>
      <c r="D127" s="284">
        <v>7.18</v>
      </c>
      <c r="E127" s="48">
        <f>VLOOKUP(B127,'112年全品項生產鍋數'!A:H,3,0)</f>
        <v>0.34</v>
      </c>
      <c r="F127" s="45">
        <f>VLOOKUP(B127,'112年全品項生產鍋數'!A:H,7,0)</f>
        <v>366</v>
      </c>
      <c r="G127" s="49">
        <f t="shared" si="6"/>
        <v>2627.88</v>
      </c>
      <c r="H127" s="141">
        <v>2640</v>
      </c>
      <c r="I127" s="46">
        <f t="shared" si="7"/>
        <v>897.6</v>
      </c>
      <c r="J127" s="100">
        <f t="shared" si="8"/>
        <v>1.0046120827435043</v>
      </c>
      <c r="K127" s="51">
        <v>1</v>
      </c>
      <c r="L127" s="20">
        <f t="shared" si="11"/>
        <v>5.0000000000000001E-3</v>
      </c>
      <c r="M127" s="235"/>
      <c r="N127" s="164"/>
      <c r="O127" s="150">
        <f t="shared" si="9"/>
        <v>0</v>
      </c>
      <c r="P127" s="141">
        <v>2640</v>
      </c>
      <c r="Q127" s="27">
        <f t="shared" si="10"/>
        <v>1</v>
      </c>
      <c r="R127" s="48"/>
      <c r="S127" s="172"/>
      <c r="T127" s="52"/>
      <c r="U127" s="23"/>
      <c r="V127" s="458"/>
      <c r="W127" s="421"/>
      <c r="X127" s="458"/>
      <c r="Y127" s="421"/>
      <c r="Z127" s="421"/>
      <c r="AA127" s="421"/>
      <c r="AB127" s="421"/>
      <c r="AC127" s="421"/>
      <c r="AD127" s="421"/>
    </row>
    <row r="128" spans="1:30" s="22" customFormat="1" x14ac:dyDescent="0.4">
      <c r="A128" s="176" t="s">
        <v>690</v>
      </c>
      <c r="B128" s="150" t="s">
        <v>131</v>
      </c>
      <c r="C128" s="30" t="str">
        <f>VLOOKUP(B128,'112年全品項生產鍋數'!A:H,2,0)</f>
        <v>花生醬(1*18KG)</v>
      </c>
      <c r="D128" s="284">
        <v>20</v>
      </c>
      <c r="E128" s="48">
        <f>VLOOKUP(B128,'112年全品項生產鍋數'!A:H,3,0)</f>
        <v>18</v>
      </c>
      <c r="F128" s="45">
        <f>VLOOKUP(B128,'112年全品項生產鍋數'!A:H,7,0)</f>
        <v>6.9</v>
      </c>
      <c r="G128" s="49">
        <f t="shared" si="6"/>
        <v>138</v>
      </c>
      <c r="H128" s="141">
        <v>140</v>
      </c>
      <c r="I128" s="46">
        <f t="shared" si="7"/>
        <v>2520</v>
      </c>
      <c r="J128" s="100">
        <f t="shared" si="8"/>
        <v>1.0144927536231885</v>
      </c>
      <c r="K128" s="51">
        <f>VLOOKUP(B:B,'生產達成率(目標)'!A:C,3,0)</f>
        <v>1</v>
      </c>
      <c r="L128" s="20">
        <f t="shared" si="11"/>
        <v>1.4E-2</v>
      </c>
      <c r="M128" s="235"/>
      <c r="N128" s="164"/>
      <c r="O128" s="150">
        <f t="shared" si="9"/>
        <v>0</v>
      </c>
      <c r="P128" s="141">
        <v>140</v>
      </c>
      <c r="Q128" s="27">
        <f t="shared" si="10"/>
        <v>1</v>
      </c>
      <c r="R128" s="48"/>
      <c r="S128" s="172"/>
      <c r="T128" s="52"/>
      <c r="U128" s="23"/>
      <c r="V128" s="458"/>
      <c r="W128" s="421"/>
      <c r="X128" s="458"/>
      <c r="Y128" s="421"/>
      <c r="Z128" s="421"/>
      <c r="AA128" s="421"/>
      <c r="AB128" s="421"/>
      <c r="AC128" s="421"/>
      <c r="AD128" s="421"/>
    </row>
    <row r="129" spans="1:30" s="22" customFormat="1" x14ac:dyDescent="0.4">
      <c r="A129" s="176" t="s">
        <v>691</v>
      </c>
      <c r="B129" s="149" t="s">
        <v>12</v>
      </c>
      <c r="C129" s="30" t="str">
        <f>VLOOKUP(B129,'112年全品項生產鍋數'!A:H,2,0)</f>
        <v>＃1草莓(1*3.2kg)</v>
      </c>
      <c r="D129" s="284">
        <v>80</v>
      </c>
      <c r="E129" s="48">
        <f>VLOOKUP(B129,'112年全品項生產鍋數'!A:H,3,0)</f>
        <v>3.2</v>
      </c>
      <c r="F129" s="45">
        <f>VLOOKUP(B129,'112年全品項生產鍋數'!A:H,7,0)</f>
        <v>46.8</v>
      </c>
      <c r="G129" s="49">
        <f t="shared" si="6"/>
        <v>3744</v>
      </c>
      <c r="H129" s="141">
        <v>3592</v>
      </c>
      <c r="I129" s="46">
        <f t="shared" si="7"/>
        <v>11494.400000000001</v>
      </c>
      <c r="J129" s="100">
        <f t="shared" si="8"/>
        <v>0.95940170940170943</v>
      </c>
      <c r="K129" s="51">
        <f>VLOOKUP(B:B,'生產達成率(目標)'!A:C,3,0)</f>
        <v>1</v>
      </c>
      <c r="L129" s="20">
        <f t="shared" si="11"/>
        <v>-4.1000000000000002E-2</v>
      </c>
      <c r="M129" s="235"/>
      <c r="N129" s="164"/>
      <c r="O129" s="150">
        <f t="shared" si="9"/>
        <v>3</v>
      </c>
      <c r="P129" s="141">
        <v>3589</v>
      </c>
      <c r="Q129" s="27">
        <f t="shared" si="10"/>
        <v>0.99916481069042318</v>
      </c>
      <c r="R129" s="48" t="s">
        <v>132</v>
      </c>
      <c r="S129" s="172"/>
      <c r="T129" s="52"/>
      <c r="U129" s="23"/>
      <c r="V129" s="458"/>
      <c r="W129" s="421"/>
      <c r="X129" s="458"/>
      <c r="Y129" s="421"/>
      <c r="Z129" s="421"/>
      <c r="AA129" s="421"/>
      <c r="AB129" s="421"/>
      <c r="AC129" s="421"/>
      <c r="AD129" s="421"/>
    </row>
    <row r="130" spans="1:30" s="53" customFormat="1" x14ac:dyDescent="0.4">
      <c r="A130" s="176" t="s">
        <v>691</v>
      </c>
      <c r="B130" s="150" t="s">
        <v>141</v>
      </c>
      <c r="C130" s="30" t="str">
        <f>VLOOKUP(B130,'112年全品項生產鍋數'!A:H,2,0)</f>
        <v>顆粒花生醬(1*12KG)</v>
      </c>
      <c r="D130" s="284">
        <v>21</v>
      </c>
      <c r="E130" s="48">
        <f>VLOOKUP(B130,'112年全品項生產鍋數'!A:H,3,0)</f>
        <v>3</v>
      </c>
      <c r="F130" s="45">
        <f>VLOOKUP(B130,'112年全品項生產鍋數'!A:H,7,0)</f>
        <v>30.8</v>
      </c>
      <c r="G130" s="49">
        <f t="shared" ref="G130:G193" si="12">D130*F130</f>
        <v>646.80000000000007</v>
      </c>
      <c r="H130" s="141">
        <v>648</v>
      </c>
      <c r="I130" s="46">
        <f t="shared" ref="I130:I193" si="13">H130*E130</f>
        <v>1944</v>
      </c>
      <c r="J130" s="100">
        <f t="shared" ref="J130:J193" si="14">IF(G130=0,"無法預估數據",H130/G130)</f>
        <v>1.0018552875695732</v>
      </c>
      <c r="K130" s="51">
        <f>VLOOKUP(B:B,'生產達成率(目標)'!A:C,3,0)</f>
        <v>1</v>
      </c>
      <c r="L130" s="20">
        <f t="shared" si="11"/>
        <v>2E-3</v>
      </c>
      <c r="M130" s="235"/>
      <c r="N130" s="164"/>
      <c r="O130" s="150">
        <f t="shared" ref="O130:O193" si="15">H130-N130-P130</f>
        <v>0</v>
      </c>
      <c r="P130" s="141">
        <v>648</v>
      </c>
      <c r="Q130" s="27">
        <f t="shared" ref="Q130:Q193" si="16">P130/H130</f>
        <v>1</v>
      </c>
      <c r="R130" s="48"/>
      <c r="S130" s="172"/>
      <c r="T130" s="52"/>
      <c r="U130" s="48"/>
      <c r="V130" s="459"/>
      <c r="W130" s="421"/>
      <c r="X130" s="459"/>
      <c r="Y130" s="421"/>
      <c r="Z130" s="421"/>
      <c r="AA130" s="421"/>
      <c r="AB130" s="421"/>
      <c r="AC130" s="421"/>
      <c r="AD130" s="421"/>
    </row>
    <row r="131" spans="1:30" s="22" customFormat="1" x14ac:dyDescent="0.4">
      <c r="A131" s="176" t="s">
        <v>691</v>
      </c>
      <c r="B131" s="150" t="s">
        <v>65</v>
      </c>
      <c r="C131" s="30" t="str">
        <f>VLOOKUP(B131,'112年全品項生產鍋數'!A:H,2,0)</f>
        <v>＃1花生(1*2.8kg)</v>
      </c>
      <c r="D131" s="284">
        <v>72</v>
      </c>
      <c r="E131" s="48">
        <f>VLOOKUP(B131,'112年全品項生產鍋數'!A:H,3,0)</f>
        <v>2.8</v>
      </c>
      <c r="F131" s="45">
        <f>VLOOKUP(B131,'112年全品項生產鍋數'!A:H,7,0)</f>
        <v>44.5</v>
      </c>
      <c r="G131" s="49">
        <f t="shared" si="12"/>
        <v>3204</v>
      </c>
      <c r="H131" s="141">
        <v>3241</v>
      </c>
      <c r="I131" s="46">
        <f t="shared" si="13"/>
        <v>9074.7999999999993</v>
      </c>
      <c r="J131" s="100">
        <f t="shared" si="14"/>
        <v>1.0115480649188515</v>
      </c>
      <c r="K131" s="51">
        <f>VLOOKUP(B:B,'生產達成率(目標)'!A:C,3,0)</f>
        <v>1</v>
      </c>
      <c r="L131" s="20">
        <f t="shared" ref="L131:L194" si="17">IF(G131=0,"無法預估數據",ROUND(J131-K131,3))</f>
        <v>1.2E-2</v>
      </c>
      <c r="M131" s="235"/>
      <c r="N131" s="164"/>
      <c r="O131" s="150">
        <f t="shared" si="15"/>
        <v>1</v>
      </c>
      <c r="P131" s="141">
        <v>3240</v>
      </c>
      <c r="Q131" s="27">
        <f t="shared" si="16"/>
        <v>0.99969145325516817</v>
      </c>
      <c r="R131" s="48"/>
      <c r="S131" s="172"/>
      <c r="T131" s="52"/>
      <c r="U131" s="23"/>
      <c r="V131" s="458"/>
      <c r="W131" s="421"/>
      <c r="X131" s="458"/>
      <c r="Y131" s="421"/>
      <c r="Z131" s="421"/>
      <c r="AA131" s="421"/>
      <c r="AB131" s="421"/>
      <c r="AC131" s="421"/>
      <c r="AD131" s="421"/>
    </row>
    <row r="132" spans="1:30" s="22" customFormat="1" x14ac:dyDescent="0.4">
      <c r="A132" s="176" t="s">
        <v>692</v>
      </c>
      <c r="B132" s="149" t="s">
        <v>12</v>
      </c>
      <c r="C132" s="30" t="str">
        <f>VLOOKUP(B132,'112年全品項生產鍋數'!A:H,2,0)</f>
        <v>＃1草莓(1*3.2kg)</v>
      </c>
      <c r="D132" s="284">
        <v>40</v>
      </c>
      <c r="E132" s="48">
        <f>VLOOKUP(B132,'112年全品項生產鍋數'!A:H,3,0)</f>
        <v>3.2</v>
      </c>
      <c r="F132" s="45">
        <f>VLOOKUP(B132,'112年全品項生產鍋數'!A:H,7,0)</f>
        <v>46.8</v>
      </c>
      <c r="G132" s="49">
        <f t="shared" si="12"/>
        <v>1872</v>
      </c>
      <c r="H132" s="141">
        <v>1819</v>
      </c>
      <c r="I132" s="46">
        <f t="shared" si="13"/>
        <v>5820.8</v>
      </c>
      <c r="J132" s="100">
        <f t="shared" si="14"/>
        <v>0.97168803418803418</v>
      </c>
      <c r="K132" s="51">
        <f>VLOOKUP(B:B,'生產達成率(目標)'!A:C,3,0)</f>
        <v>1</v>
      </c>
      <c r="L132" s="20">
        <f t="shared" si="17"/>
        <v>-2.8000000000000001E-2</v>
      </c>
      <c r="M132" s="235"/>
      <c r="N132" s="164"/>
      <c r="O132" s="150">
        <f t="shared" si="15"/>
        <v>1</v>
      </c>
      <c r="P132" s="141">
        <v>1818</v>
      </c>
      <c r="Q132" s="27">
        <f t="shared" si="16"/>
        <v>0.99945024738867505</v>
      </c>
      <c r="R132" s="48"/>
      <c r="S132" s="172">
        <v>40</v>
      </c>
      <c r="T132" s="52" t="s">
        <v>929</v>
      </c>
      <c r="U132" s="23"/>
      <c r="V132" s="458"/>
      <c r="W132" s="421"/>
      <c r="X132" s="458"/>
      <c r="Y132" s="421"/>
      <c r="Z132" s="421"/>
      <c r="AA132" s="421"/>
      <c r="AB132" s="421"/>
      <c r="AC132" s="421"/>
      <c r="AD132" s="421"/>
    </row>
    <row r="133" spans="1:30" s="22" customFormat="1" x14ac:dyDescent="0.4">
      <c r="A133" s="176" t="s">
        <v>692</v>
      </c>
      <c r="B133" s="149" t="s">
        <v>11</v>
      </c>
      <c r="C133" s="30" t="str">
        <f>VLOOKUP(B133,'112年全品項生產鍋數'!A:H,2,0)</f>
        <v>#2草莓果醬(1*900g)</v>
      </c>
      <c r="D133" s="284">
        <v>20</v>
      </c>
      <c r="E133" s="48">
        <f>VLOOKUP(B133,'112年全品項生產鍋數'!A:H,3,0)</f>
        <v>0.9</v>
      </c>
      <c r="F133" s="45">
        <f>VLOOKUP(B133,'112年全品項生產鍋數'!A:H,7,0)</f>
        <v>160.5</v>
      </c>
      <c r="G133" s="49">
        <f t="shared" si="12"/>
        <v>3210</v>
      </c>
      <c r="H133" s="141">
        <v>3254</v>
      </c>
      <c r="I133" s="46">
        <f t="shared" si="13"/>
        <v>2928.6</v>
      </c>
      <c r="J133" s="100">
        <f t="shared" si="14"/>
        <v>1.0137071651090344</v>
      </c>
      <c r="K133" s="51">
        <f>VLOOKUP(B:B,'生產達成率(目標)'!A:C,3,0)</f>
        <v>1</v>
      </c>
      <c r="L133" s="20">
        <f t="shared" si="17"/>
        <v>1.4E-2</v>
      </c>
      <c r="M133" s="235"/>
      <c r="N133" s="164"/>
      <c r="O133" s="150">
        <f t="shared" si="15"/>
        <v>2</v>
      </c>
      <c r="P133" s="141">
        <v>3252</v>
      </c>
      <c r="Q133" s="27">
        <f t="shared" si="16"/>
        <v>0.99938537185003073</v>
      </c>
      <c r="R133" s="48"/>
      <c r="S133" s="172">
        <v>20</v>
      </c>
      <c r="T133" s="52" t="s">
        <v>929</v>
      </c>
      <c r="U133" s="23"/>
      <c r="V133" s="458"/>
      <c r="W133" s="421"/>
      <c r="X133" s="458"/>
      <c r="Y133" s="421"/>
      <c r="Z133" s="421"/>
      <c r="AA133" s="421"/>
      <c r="AB133" s="421"/>
      <c r="AC133" s="421"/>
      <c r="AD133" s="421"/>
    </row>
    <row r="134" spans="1:30" s="22" customFormat="1" x14ac:dyDescent="0.4">
      <c r="A134" s="176" t="s">
        <v>692</v>
      </c>
      <c r="B134" s="150" t="s">
        <v>64</v>
      </c>
      <c r="C134" s="30" t="str">
        <f>VLOOKUP(B134,'112年全品項生產鍋數'!A:H,2,0)</f>
        <v>藍莓餡(1*6KG)</v>
      </c>
      <c r="D134" s="284">
        <v>16</v>
      </c>
      <c r="E134" s="48">
        <f>VLOOKUP(B134,'112年全品項生產鍋數'!A:H,3,0)</f>
        <v>6</v>
      </c>
      <c r="F134" s="45">
        <f>VLOOKUP(B134,'112年全品項生產鍋數'!A:H,7,0)</f>
        <v>25.4</v>
      </c>
      <c r="G134" s="49">
        <f t="shared" si="12"/>
        <v>406.4</v>
      </c>
      <c r="H134" s="141">
        <v>407</v>
      </c>
      <c r="I134" s="46">
        <f t="shared" si="13"/>
        <v>2442</v>
      </c>
      <c r="J134" s="100">
        <f t="shared" si="14"/>
        <v>1.001476377952756</v>
      </c>
      <c r="K134" s="51">
        <f>VLOOKUP(B:B,'生產達成率(目標)'!A:C,3,0)</f>
        <v>1</v>
      </c>
      <c r="L134" s="20">
        <f t="shared" si="17"/>
        <v>1E-3</v>
      </c>
      <c r="M134" s="235"/>
      <c r="N134" s="164"/>
      <c r="O134" s="150">
        <f t="shared" si="15"/>
        <v>3</v>
      </c>
      <c r="P134" s="141">
        <v>404</v>
      </c>
      <c r="Q134" s="27">
        <f t="shared" si="16"/>
        <v>0.99262899262899262</v>
      </c>
      <c r="R134" s="48"/>
      <c r="S134" s="172"/>
      <c r="T134" s="52"/>
      <c r="U134" s="23"/>
      <c r="V134" s="458"/>
      <c r="W134" s="421"/>
      <c r="X134" s="458"/>
      <c r="Y134" s="421"/>
      <c r="Z134" s="421"/>
      <c r="AA134" s="421"/>
      <c r="AB134" s="421"/>
      <c r="AC134" s="421"/>
      <c r="AD134" s="421"/>
    </row>
    <row r="135" spans="1:30" s="22" customFormat="1" x14ac:dyDescent="0.4">
      <c r="A135" s="176" t="s">
        <v>692</v>
      </c>
      <c r="B135" s="150" t="s">
        <v>128</v>
      </c>
      <c r="C135" s="30" t="str">
        <f>VLOOKUP(B135,'112年全品項生產鍋數'!A:H,2,0)</f>
        <v>草莓椰果漿(1*6KG)</v>
      </c>
      <c r="D135" s="284">
        <v>8</v>
      </c>
      <c r="E135" s="48">
        <f>VLOOKUP(B135,'112年全品項生產鍋數'!A:H,3,0)</f>
        <v>6</v>
      </c>
      <c r="F135" s="45">
        <f>VLOOKUP(B135,'112年全品項生產鍋數'!A:H,7,0)</f>
        <v>25.7</v>
      </c>
      <c r="G135" s="49">
        <f t="shared" si="12"/>
        <v>205.6</v>
      </c>
      <c r="H135" s="141">
        <v>202</v>
      </c>
      <c r="I135" s="46">
        <f t="shared" si="13"/>
        <v>1212</v>
      </c>
      <c r="J135" s="100">
        <f t="shared" si="14"/>
        <v>0.98249027237354092</v>
      </c>
      <c r="K135" s="51">
        <f>VLOOKUP(B:B,'生產達成率(目標)'!A:C,3,0)</f>
        <v>1</v>
      </c>
      <c r="L135" s="20">
        <f t="shared" si="17"/>
        <v>-1.7999999999999999E-2</v>
      </c>
      <c r="M135" s="235"/>
      <c r="N135" s="164"/>
      <c r="O135" s="150">
        <f t="shared" si="15"/>
        <v>1</v>
      </c>
      <c r="P135" s="141">
        <v>201</v>
      </c>
      <c r="Q135" s="27">
        <f t="shared" si="16"/>
        <v>0.99504950495049505</v>
      </c>
      <c r="R135" s="48"/>
      <c r="S135" s="172"/>
      <c r="T135" s="52"/>
      <c r="U135" s="23"/>
      <c r="V135" s="458"/>
      <c r="W135" s="421"/>
      <c r="X135" s="458"/>
      <c r="Y135" s="421"/>
      <c r="Z135" s="421"/>
      <c r="AA135" s="421"/>
      <c r="AB135" s="421"/>
      <c r="AC135" s="421"/>
      <c r="AD135" s="421"/>
    </row>
    <row r="136" spans="1:30" s="22" customFormat="1" x14ac:dyDescent="0.4">
      <c r="A136" s="176" t="s">
        <v>692</v>
      </c>
      <c r="B136" s="150" t="s">
        <v>133</v>
      </c>
      <c r="C136" s="30" t="str">
        <f>VLOOKUP(B136,'112年全品項生產鍋數'!A:H,2,0)</f>
        <v>藍莓餡(1*6KG)</v>
      </c>
      <c r="D136" s="284">
        <v>6</v>
      </c>
      <c r="E136" s="48">
        <f>VLOOKUP(B136,'112年全品項生產鍋數'!A:H,3,0)</f>
        <v>6</v>
      </c>
      <c r="F136" s="45">
        <f>VLOOKUP(B136,'112年全品項生產鍋數'!A:H,7,0)</f>
        <v>25.5</v>
      </c>
      <c r="G136" s="49">
        <f t="shared" si="12"/>
        <v>153</v>
      </c>
      <c r="H136" s="141">
        <v>153</v>
      </c>
      <c r="I136" s="46">
        <f t="shared" si="13"/>
        <v>918</v>
      </c>
      <c r="J136" s="100">
        <f t="shared" si="14"/>
        <v>1</v>
      </c>
      <c r="K136" s="51">
        <f>VLOOKUP(B:B,'生產達成率(目標)'!A:C,3,0)</f>
        <v>1</v>
      </c>
      <c r="L136" s="20">
        <f t="shared" si="17"/>
        <v>0</v>
      </c>
      <c r="M136" s="235"/>
      <c r="N136" s="164"/>
      <c r="O136" s="150">
        <f t="shared" si="15"/>
        <v>1</v>
      </c>
      <c r="P136" s="141">
        <v>152</v>
      </c>
      <c r="Q136" s="27">
        <f t="shared" si="16"/>
        <v>0.99346405228758172</v>
      </c>
      <c r="R136" s="48"/>
      <c r="S136" s="172"/>
      <c r="T136" s="52"/>
      <c r="U136" s="23"/>
      <c r="V136" s="458"/>
      <c r="W136" s="421"/>
      <c r="X136" s="458"/>
      <c r="Y136" s="421"/>
      <c r="Z136" s="421"/>
      <c r="AA136" s="421"/>
      <c r="AB136" s="421"/>
      <c r="AC136" s="421"/>
      <c r="AD136" s="421"/>
    </row>
    <row r="137" spans="1:30" s="22" customFormat="1" x14ac:dyDescent="0.4">
      <c r="A137" s="176" t="s">
        <v>692</v>
      </c>
      <c r="B137" s="150" t="s">
        <v>65</v>
      </c>
      <c r="C137" s="30" t="str">
        <f>VLOOKUP(B137,'112年全品項生產鍋數'!A:H,2,0)</f>
        <v>＃1花生(1*2.8kg)</v>
      </c>
      <c r="D137" s="284">
        <v>44</v>
      </c>
      <c r="E137" s="48">
        <f>VLOOKUP(B137,'112年全品項生產鍋數'!A:H,3,0)</f>
        <v>2.8</v>
      </c>
      <c r="F137" s="45">
        <f>VLOOKUP(B137,'112年全品項生產鍋數'!A:H,7,0)</f>
        <v>44.5</v>
      </c>
      <c r="G137" s="49">
        <f t="shared" si="12"/>
        <v>1958</v>
      </c>
      <c r="H137" s="141">
        <v>1950</v>
      </c>
      <c r="I137" s="46">
        <f t="shared" si="13"/>
        <v>5460</v>
      </c>
      <c r="J137" s="100">
        <f t="shared" si="14"/>
        <v>0.99591419816138915</v>
      </c>
      <c r="K137" s="51">
        <f>VLOOKUP(B:B,'生產達成率(目標)'!A:C,3,0)</f>
        <v>1</v>
      </c>
      <c r="L137" s="20">
        <f t="shared" si="17"/>
        <v>-4.0000000000000001E-3</v>
      </c>
      <c r="M137" s="235"/>
      <c r="N137" s="164"/>
      <c r="O137" s="150">
        <f t="shared" si="15"/>
        <v>1</v>
      </c>
      <c r="P137" s="141">
        <v>1949</v>
      </c>
      <c r="Q137" s="27">
        <f t="shared" si="16"/>
        <v>0.99948717948717947</v>
      </c>
      <c r="R137" s="48"/>
      <c r="S137" s="172"/>
      <c r="T137" s="52"/>
      <c r="U137" s="23"/>
      <c r="V137" s="458"/>
      <c r="W137" s="421"/>
      <c r="X137" s="458"/>
      <c r="Y137" s="421"/>
      <c r="Z137" s="421"/>
      <c r="AA137" s="421"/>
      <c r="AB137" s="421"/>
      <c r="AC137" s="421"/>
      <c r="AD137" s="421"/>
    </row>
    <row r="138" spans="1:30" s="22" customFormat="1" x14ac:dyDescent="0.4">
      <c r="A138" s="176" t="s">
        <v>692</v>
      </c>
      <c r="B138" s="149" t="s">
        <v>10</v>
      </c>
      <c r="C138" s="30" t="str">
        <f>VLOOKUP(B138,'112年全品項生產鍋數'!A:H,2,0)</f>
        <v>＃2花生(1*800g)</v>
      </c>
      <c r="D138" s="284">
        <v>20</v>
      </c>
      <c r="E138" s="48">
        <f>VLOOKUP(B138,'112年全品項生產鍋數'!A:H,3,0)</f>
        <v>0.8</v>
      </c>
      <c r="F138" s="45">
        <f>VLOOKUP(B138,'112年全品項生產鍋數'!A:H,7,0)</f>
        <v>157.69999999999999</v>
      </c>
      <c r="G138" s="49">
        <f t="shared" si="12"/>
        <v>3154</v>
      </c>
      <c r="H138" s="141">
        <v>3191</v>
      </c>
      <c r="I138" s="46">
        <f t="shared" si="13"/>
        <v>2552.8000000000002</v>
      </c>
      <c r="J138" s="100">
        <f t="shared" si="14"/>
        <v>1.0117311350665821</v>
      </c>
      <c r="K138" s="51">
        <f>VLOOKUP(B:B,'生產達成率(目標)'!A:C,3,0)</f>
        <v>1</v>
      </c>
      <c r="L138" s="20">
        <f t="shared" si="17"/>
        <v>1.2E-2</v>
      </c>
      <c r="M138" s="235"/>
      <c r="N138" s="164"/>
      <c r="O138" s="150">
        <f t="shared" si="15"/>
        <v>2</v>
      </c>
      <c r="P138" s="141">
        <v>3189</v>
      </c>
      <c r="Q138" s="27">
        <f t="shared" si="16"/>
        <v>0.99937323722970861</v>
      </c>
      <c r="R138" s="48"/>
      <c r="S138" s="172"/>
      <c r="T138" s="52"/>
      <c r="U138" s="23"/>
      <c r="V138" s="458"/>
      <c r="W138" s="421"/>
      <c r="X138" s="458"/>
      <c r="Y138" s="421"/>
      <c r="Z138" s="421"/>
      <c r="AA138" s="421"/>
      <c r="AB138" s="421"/>
      <c r="AC138" s="421"/>
      <c r="AD138" s="421"/>
    </row>
    <row r="139" spans="1:30" s="22" customFormat="1" x14ac:dyDescent="0.4">
      <c r="A139" s="177" t="s">
        <v>693</v>
      </c>
      <c r="B139" s="149" t="s">
        <v>24</v>
      </c>
      <c r="C139" s="30" t="str">
        <f>VLOOKUP(B139,'112年全品項生產鍋數'!A:H,2,0)</f>
        <v>小藍莓1*260G</v>
      </c>
      <c r="D139" s="285">
        <v>16</v>
      </c>
      <c r="E139" s="48">
        <f>VLOOKUP(B139,'112年全品項生產鍋數'!A:H,3,0)</f>
        <v>0.26</v>
      </c>
      <c r="F139" s="45">
        <f>VLOOKUP(B139,'112年全品項生產鍋數'!A:H,7,0)</f>
        <v>584.29999999999995</v>
      </c>
      <c r="G139" s="49">
        <f t="shared" si="12"/>
        <v>9348.7999999999993</v>
      </c>
      <c r="H139" s="144">
        <v>9273</v>
      </c>
      <c r="I139" s="46">
        <f t="shared" si="13"/>
        <v>2410.98</v>
      </c>
      <c r="J139" s="100">
        <f t="shared" si="14"/>
        <v>0.99189200753037832</v>
      </c>
      <c r="K139" s="51">
        <f>VLOOKUP(B:B,'生產達成率(目標)'!A:C,3,0)</f>
        <v>1</v>
      </c>
      <c r="L139" s="20">
        <f t="shared" si="17"/>
        <v>-8.0000000000000002E-3</v>
      </c>
      <c r="M139" s="235"/>
      <c r="N139" s="43"/>
      <c r="O139" s="150">
        <f t="shared" si="15"/>
        <v>7</v>
      </c>
      <c r="P139" s="43">
        <v>9266</v>
      </c>
      <c r="Q139" s="27">
        <f t="shared" si="16"/>
        <v>0.99924512024156154</v>
      </c>
      <c r="R139" s="23"/>
      <c r="S139" s="173"/>
      <c r="T139" s="30"/>
      <c r="U139" s="23"/>
      <c r="V139" s="458"/>
      <c r="W139" s="421"/>
      <c r="X139" s="458"/>
      <c r="Y139" s="421"/>
      <c r="Z139" s="421"/>
      <c r="AA139" s="421"/>
      <c r="AB139" s="421"/>
      <c r="AC139" s="421"/>
      <c r="AD139" s="421"/>
    </row>
    <row r="140" spans="1:30" s="22" customFormat="1" x14ac:dyDescent="0.4">
      <c r="A140" s="177" t="s">
        <v>693</v>
      </c>
      <c r="B140" s="149" t="s">
        <v>12</v>
      </c>
      <c r="C140" s="30" t="str">
        <f>VLOOKUP(B140,'112年全品項生產鍋數'!A:H,2,0)</f>
        <v>＃1草莓(1*3.2kg)</v>
      </c>
      <c r="D140" s="285">
        <v>36</v>
      </c>
      <c r="E140" s="48">
        <f>VLOOKUP(B140,'112年全品項生產鍋數'!A:H,3,0)</f>
        <v>3.2</v>
      </c>
      <c r="F140" s="45">
        <f>VLOOKUP(B140,'112年全品項生產鍋數'!A:H,7,0)</f>
        <v>46.8</v>
      </c>
      <c r="G140" s="49">
        <f t="shared" si="12"/>
        <v>1684.8</v>
      </c>
      <c r="H140" s="144">
        <v>1657</v>
      </c>
      <c r="I140" s="46">
        <f t="shared" si="13"/>
        <v>5302.4000000000005</v>
      </c>
      <c r="J140" s="100">
        <f t="shared" si="14"/>
        <v>0.98349952516619188</v>
      </c>
      <c r="K140" s="51">
        <f>VLOOKUP(B:B,'生產達成率(目標)'!A:C,3,0)</f>
        <v>1</v>
      </c>
      <c r="L140" s="20">
        <f t="shared" si="17"/>
        <v>-1.7000000000000001E-2</v>
      </c>
      <c r="M140" s="235"/>
      <c r="N140" s="43"/>
      <c r="O140" s="150">
        <f t="shared" si="15"/>
        <v>1</v>
      </c>
      <c r="P140" s="43">
        <v>1656</v>
      </c>
      <c r="Q140" s="27">
        <f t="shared" si="16"/>
        <v>0.99939649969824984</v>
      </c>
      <c r="R140" s="23"/>
      <c r="S140" s="172">
        <v>36</v>
      </c>
      <c r="T140" s="52" t="s">
        <v>929</v>
      </c>
      <c r="U140" s="23"/>
      <c r="V140" s="458"/>
      <c r="W140" s="421"/>
      <c r="X140" s="458"/>
      <c r="Y140" s="421"/>
      <c r="Z140" s="421"/>
      <c r="AA140" s="421"/>
      <c r="AB140" s="421"/>
      <c r="AC140" s="421"/>
      <c r="AD140" s="421"/>
    </row>
    <row r="141" spans="1:30" s="22" customFormat="1" x14ac:dyDescent="0.4">
      <c r="A141" s="177" t="s">
        <v>693</v>
      </c>
      <c r="B141" s="149" t="s">
        <v>72</v>
      </c>
      <c r="C141" s="30" t="str">
        <f>VLOOKUP(B141,'112年全品項生產鍋數'!A:H,2,0)</f>
        <v>草莓餡45%(1*6Kg)</v>
      </c>
      <c r="D141" s="285">
        <v>12</v>
      </c>
      <c r="E141" s="48">
        <f>VLOOKUP(B141,'112年全品項生產鍋數'!A:H,3,0)</f>
        <v>6</v>
      </c>
      <c r="F141" s="45">
        <f>VLOOKUP(B141,'112年全品項生產鍋數'!A:H,7,0)</f>
        <v>26.1</v>
      </c>
      <c r="G141" s="49">
        <f t="shared" si="12"/>
        <v>313.20000000000005</v>
      </c>
      <c r="H141" s="144">
        <v>309</v>
      </c>
      <c r="I141" s="46">
        <f t="shared" si="13"/>
        <v>1854</v>
      </c>
      <c r="J141" s="100">
        <f t="shared" si="14"/>
        <v>0.98659003831417613</v>
      </c>
      <c r="K141" s="51">
        <f>VLOOKUP(B:B,'生產達成率(目標)'!A:C,3,0)</f>
        <v>1</v>
      </c>
      <c r="L141" s="20">
        <f t="shared" si="17"/>
        <v>-1.2999999999999999E-2</v>
      </c>
      <c r="M141" s="235"/>
      <c r="N141" s="43"/>
      <c r="O141" s="150">
        <f t="shared" si="15"/>
        <v>1</v>
      </c>
      <c r="P141" s="43">
        <v>308</v>
      </c>
      <c r="Q141" s="27">
        <f t="shared" si="16"/>
        <v>0.99676375404530748</v>
      </c>
      <c r="R141" s="28"/>
      <c r="S141" s="173"/>
      <c r="T141" s="30"/>
      <c r="U141" s="23"/>
      <c r="V141" s="458"/>
      <c r="W141" s="421"/>
      <c r="X141" s="458"/>
      <c r="Y141" s="421"/>
      <c r="Z141" s="421"/>
      <c r="AA141" s="421"/>
      <c r="AB141" s="421"/>
      <c r="AC141" s="421"/>
      <c r="AD141" s="421"/>
    </row>
    <row r="142" spans="1:30" s="22" customFormat="1" x14ac:dyDescent="0.4">
      <c r="A142" s="177" t="s">
        <v>693</v>
      </c>
      <c r="B142" s="149" t="s">
        <v>7</v>
      </c>
      <c r="C142" s="30" t="str">
        <f>VLOOKUP(B142,'112年全品項生產鍋數'!A:H,2,0)</f>
        <v>草莓蒟蒻餡(1*6kg)</v>
      </c>
      <c r="D142" s="285">
        <v>24</v>
      </c>
      <c r="E142" s="48">
        <f>VLOOKUP(B142,'112年全品項生產鍋數'!A:H,3,0)</f>
        <v>6</v>
      </c>
      <c r="F142" s="45">
        <f>VLOOKUP(B142,'112年全品項生產鍋數'!A:H,7,0)</f>
        <v>25.7</v>
      </c>
      <c r="G142" s="49">
        <f t="shared" si="12"/>
        <v>616.79999999999995</v>
      </c>
      <c r="H142" s="144">
        <v>616</v>
      </c>
      <c r="I142" s="46">
        <f t="shared" si="13"/>
        <v>3696</v>
      </c>
      <c r="J142" s="100">
        <f t="shared" si="14"/>
        <v>0.99870298313878092</v>
      </c>
      <c r="K142" s="51">
        <f>VLOOKUP(B:B,'生產達成率(目標)'!A:C,3,0)</f>
        <v>1</v>
      </c>
      <c r="L142" s="20">
        <f t="shared" si="17"/>
        <v>-1E-3</v>
      </c>
      <c r="M142" s="235"/>
      <c r="N142" s="43"/>
      <c r="O142" s="150">
        <f t="shared" si="15"/>
        <v>3</v>
      </c>
      <c r="P142" s="43">
        <v>613</v>
      </c>
      <c r="Q142" s="27">
        <f t="shared" si="16"/>
        <v>0.99512987012987009</v>
      </c>
      <c r="R142" s="23"/>
      <c r="S142" s="173"/>
      <c r="T142" s="30"/>
      <c r="U142" s="23"/>
      <c r="V142" s="458"/>
      <c r="W142" s="421"/>
      <c r="X142" s="458"/>
      <c r="Y142" s="421"/>
      <c r="Z142" s="421"/>
      <c r="AA142" s="421"/>
      <c r="AB142" s="421"/>
      <c r="AC142" s="421"/>
      <c r="AD142" s="421"/>
    </row>
    <row r="143" spans="1:30" s="22" customFormat="1" x14ac:dyDescent="0.4">
      <c r="A143" s="177" t="s">
        <v>693</v>
      </c>
      <c r="B143" s="149" t="s">
        <v>23</v>
      </c>
      <c r="C143" s="30" t="str">
        <f>VLOOKUP(B143,'112年全品項生產鍋數'!A:H,2,0)</f>
        <v>＃1花生(粒)(1*2.8kg)</v>
      </c>
      <c r="D143" s="285">
        <v>48</v>
      </c>
      <c r="E143" s="48">
        <f>VLOOKUP(B143,'112年全品項生產鍋數'!A:H,3,0)</f>
        <v>2.8</v>
      </c>
      <c r="F143" s="45">
        <f>VLOOKUP(B143,'112年全品項生產鍋數'!A:H,7,0)</f>
        <v>44.2</v>
      </c>
      <c r="G143" s="49">
        <f t="shared" si="12"/>
        <v>2121.6000000000004</v>
      </c>
      <c r="H143" s="144">
        <v>2135</v>
      </c>
      <c r="I143" s="46">
        <f t="shared" si="13"/>
        <v>5978</v>
      </c>
      <c r="J143" s="100">
        <f t="shared" si="14"/>
        <v>1.0063159879336347</v>
      </c>
      <c r="K143" s="51">
        <f>VLOOKUP(B:B,'生產達成率(目標)'!A:C,3,0)</f>
        <v>1</v>
      </c>
      <c r="L143" s="20">
        <f t="shared" si="17"/>
        <v>6.0000000000000001E-3</v>
      </c>
      <c r="M143" s="235"/>
      <c r="N143" s="43"/>
      <c r="O143" s="150">
        <f t="shared" si="15"/>
        <v>1</v>
      </c>
      <c r="P143" s="43">
        <v>2134</v>
      </c>
      <c r="Q143" s="27">
        <f t="shared" si="16"/>
        <v>0.99953161592505857</v>
      </c>
      <c r="R143" s="23"/>
      <c r="S143" s="173"/>
      <c r="T143" s="30"/>
      <c r="U143" s="23"/>
      <c r="V143" s="458"/>
      <c r="W143" s="421"/>
      <c r="X143" s="458"/>
      <c r="Y143" s="421"/>
      <c r="Z143" s="421"/>
      <c r="AA143" s="421"/>
      <c r="AB143" s="421"/>
      <c r="AC143" s="421"/>
      <c r="AD143" s="421"/>
    </row>
    <row r="144" spans="1:30" s="22" customFormat="1" x14ac:dyDescent="0.4">
      <c r="A144" s="177" t="s">
        <v>693</v>
      </c>
      <c r="B144" s="149" t="s">
        <v>5</v>
      </c>
      <c r="C144" s="30" t="str">
        <f>VLOOKUP(B144,'112年全品項生產鍋數'!A:H,2,0)</f>
        <v>＃2花生（粒）(1*900g)</v>
      </c>
      <c r="D144" s="285">
        <v>20</v>
      </c>
      <c r="E144" s="48">
        <f>VLOOKUP(B144,'112年全品項生產鍋數'!A:H,3,0)</f>
        <v>0.9</v>
      </c>
      <c r="F144" s="45">
        <f>VLOOKUP(B144,'112年全品項生產鍋數'!A:H,7,0)</f>
        <v>139.30000000000001</v>
      </c>
      <c r="G144" s="49">
        <f t="shared" si="12"/>
        <v>2786</v>
      </c>
      <c r="H144" s="144">
        <v>2788</v>
      </c>
      <c r="I144" s="46">
        <f t="shared" si="13"/>
        <v>2509.2000000000003</v>
      </c>
      <c r="J144" s="100">
        <f t="shared" si="14"/>
        <v>1.0007178750897343</v>
      </c>
      <c r="K144" s="51">
        <f>VLOOKUP(B:B,'生產達成率(目標)'!A:C,3,0)</f>
        <v>1</v>
      </c>
      <c r="L144" s="20">
        <f t="shared" si="17"/>
        <v>1E-3</v>
      </c>
      <c r="M144" s="235"/>
      <c r="N144" s="43"/>
      <c r="O144" s="150">
        <f t="shared" si="15"/>
        <v>3</v>
      </c>
      <c r="P144" s="43">
        <v>2785</v>
      </c>
      <c r="Q144" s="27">
        <f t="shared" si="16"/>
        <v>0.99892395982783355</v>
      </c>
      <c r="R144" s="23"/>
      <c r="S144" s="173"/>
      <c r="T144" s="30"/>
      <c r="U144" s="23"/>
      <c r="V144" s="458"/>
      <c r="W144" s="421"/>
      <c r="X144" s="458"/>
      <c r="Y144" s="421"/>
      <c r="Z144" s="421"/>
      <c r="AA144" s="421"/>
      <c r="AB144" s="421"/>
      <c r="AC144" s="421"/>
      <c r="AD144" s="421"/>
    </row>
    <row r="145" spans="1:30" s="22" customFormat="1" x14ac:dyDescent="0.4">
      <c r="A145" s="177" t="s">
        <v>694</v>
      </c>
      <c r="B145" s="149" t="s">
        <v>12</v>
      </c>
      <c r="C145" s="30" t="str">
        <f>VLOOKUP(B145,'112年全品項生產鍋數'!A:H,2,0)</f>
        <v>＃1草莓(1*3.2kg)</v>
      </c>
      <c r="D145" s="285">
        <v>80</v>
      </c>
      <c r="E145" s="48">
        <f>VLOOKUP(B145,'112年全品項生產鍋數'!A:H,3,0)</f>
        <v>3.2</v>
      </c>
      <c r="F145" s="45">
        <f>VLOOKUP(B145,'112年全品項生產鍋數'!A:H,7,0)</f>
        <v>46.8</v>
      </c>
      <c r="G145" s="49">
        <f t="shared" si="12"/>
        <v>3744</v>
      </c>
      <c r="H145" s="144">
        <v>3746</v>
      </c>
      <c r="I145" s="46">
        <f t="shared" si="13"/>
        <v>11987.2</v>
      </c>
      <c r="J145" s="100">
        <f t="shared" si="14"/>
        <v>1.000534188034188</v>
      </c>
      <c r="K145" s="51">
        <f>VLOOKUP(B:B,'生產達成率(目標)'!A:C,3,0)</f>
        <v>1</v>
      </c>
      <c r="L145" s="20">
        <f t="shared" si="17"/>
        <v>1E-3</v>
      </c>
      <c r="M145" s="235"/>
      <c r="N145" s="43"/>
      <c r="O145" s="150">
        <f t="shared" si="15"/>
        <v>3</v>
      </c>
      <c r="P145" s="43">
        <v>3743</v>
      </c>
      <c r="Q145" s="27">
        <f t="shared" si="16"/>
        <v>0.99919914575547253</v>
      </c>
      <c r="R145" s="23"/>
      <c r="S145" s="172">
        <v>80</v>
      </c>
      <c r="T145" s="52" t="s">
        <v>929</v>
      </c>
      <c r="U145" s="23"/>
      <c r="V145" s="458"/>
      <c r="W145" s="421"/>
      <c r="X145" s="458"/>
      <c r="Y145" s="421"/>
      <c r="Z145" s="421"/>
      <c r="AA145" s="421"/>
      <c r="AB145" s="421"/>
      <c r="AC145" s="421"/>
      <c r="AD145" s="421"/>
    </row>
    <row r="146" spans="1:30" s="22" customFormat="1" x14ac:dyDescent="0.4">
      <c r="A146" s="177" t="s">
        <v>694</v>
      </c>
      <c r="B146" s="149" t="s">
        <v>1</v>
      </c>
      <c r="C146" s="30" t="str">
        <f>VLOOKUP(B146,'112年全品項生產鍋數'!A:H,2,0)</f>
        <v>藍莓醬(1*6kg)</v>
      </c>
      <c r="D146" s="285">
        <v>12</v>
      </c>
      <c r="E146" s="48">
        <f>VLOOKUP(B146,'112年全品項生產鍋數'!A:H,3,0)</f>
        <v>6</v>
      </c>
      <c r="F146" s="45">
        <f>VLOOKUP(B146,'112年全品項生產鍋數'!A:H,7,0)</f>
        <v>25.5</v>
      </c>
      <c r="G146" s="49">
        <f t="shared" si="12"/>
        <v>306</v>
      </c>
      <c r="H146" s="144">
        <v>295</v>
      </c>
      <c r="I146" s="46">
        <f t="shared" si="13"/>
        <v>1770</v>
      </c>
      <c r="J146" s="100">
        <f t="shared" si="14"/>
        <v>0.96405228758169936</v>
      </c>
      <c r="K146" s="51">
        <f>VLOOKUP(B:B,'生產達成率(目標)'!A:C,3,0)</f>
        <v>1</v>
      </c>
      <c r="L146" s="20">
        <f t="shared" si="17"/>
        <v>-3.5999999999999997E-2</v>
      </c>
      <c r="M146" s="235"/>
      <c r="N146" s="43"/>
      <c r="O146" s="150">
        <f t="shared" si="15"/>
        <v>1</v>
      </c>
      <c r="P146" s="43">
        <v>294</v>
      </c>
      <c r="Q146" s="27">
        <f t="shared" si="16"/>
        <v>0.99661016949152548</v>
      </c>
      <c r="R146" s="23"/>
      <c r="S146" s="173"/>
      <c r="T146" s="30"/>
      <c r="U146" s="23"/>
      <c r="V146" s="458"/>
      <c r="W146" s="421"/>
      <c r="X146" s="458"/>
      <c r="Y146" s="421"/>
      <c r="Z146" s="421"/>
      <c r="AA146" s="421"/>
      <c r="AB146" s="421"/>
      <c r="AC146" s="421"/>
      <c r="AD146" s="421"/>
    </row>
    <row r="147" spans="1:30" s="22" customFormat="1" x14ac:dyDescent="0.4">
      <c r="A147" s="177" t="s">
        <v>694</v>
      </c>
      <c r="B147" s="149" t="s">
        <v>20</v>
      </c>
      <c r="C147" s="30" t="str">
        <f>VLOOKUP(B147,'112年全品項生產鍋數'!A:H,2,0)</f>
        <v>草莓餡(1*6KG)</v>
      </c>
      <c r="D147" s="285">
        <v>24</v>
      </c>
      <c r="E147" s="48">
        <f>VLOOKUP(B147,'112年全品項生產鍋數'!A:H,3,0)</f>
        <v>6</v>
      </c>
      <c r="F147" s="45">
        <f>VLOOKUP(B147,'112年全品項生產鍋數'!A:H,7,0)</f>
        <v>25.5</v>
      </c>
      <c r="G147" s="49">
        <f t="shared" si="12"/>
        <v>612</v>
      </c>
      <c r="H147" s="144">
        <v>605</v>
      </c>
      <c r="I147" s="46">
        <f t="shared" si="13"/>
        <v>3630</v>
      </c>
      <c r="J147" s="100">
        <f t="shared" si="14"/>
        <v>0.98856209150326801</v>
      </c>
      <c r="K147" s="51">
        <f>VLOOKUP(B:B,'生產達成率(目標)'!A:C,3,0)</f>
        <v>1</v>
      </c>
      <c r="L147" s="20">
        <f t="shared" si="17"/>
        <v>-1.0999999999999999E-2</v>
      </c>
      <c r="M147" s="235"/>
      <c r="N147" s="43"/>
      <c r="O147" s="150">
        <f t="shared" si="15"/>
        <v>1</v>
      </c>
      <c r="P147" s="43">
        <v>604</v>
      </c>
      <c r="Q147" s="27">
        <f t="shared" si="16"/>
        <v>0.99834710743801658</v>
      </c>
      <c r="R147" s="23"/>
      <c r="S147" s="173"/>
      <c r="T147" s="30"/>
      <c r="U147" s="23"/>
      <c r="V147" s="458"/>
      <c r="W147" s="421"/>
      <c r="X147" s="458"/>
      <c r="Y147" s="421"/>
      <c r="Z147" s="421"/>
      <c r="AA147" s="421"/>
      <c r="AB147" s="421"/>
      <c r="AC147" s="421"/>
      <c r="AD147" s="421"/>
    </row>
    <row r="148" spans="1:30" s="22" customFormat="1" x14ac:dyDescent="0.4">
      <c r="A148" s="177" t="s">
        <v>694</v>
      </c>
      <c r="B148" s="149" t="s">
        <v>9</v>
      </c>
      <c r="C148" s="30" t="str">
        <f>VLOOKUP(B148,'112年全品項生產鍋數'!A:H,2,0)</f>
        <v>＃1花生(1*2.8kg)</v>
      </c>
      <c r="D148" s="285">
        <v>72</v>
      </c>
      <c r="E148" s="48">
        <f>VLOOKUP(B148,'112年全品項生產鍋數'!A:H,3,0)</f>
        <v>2.8</v>
      </c>
      <c r="F148" s="45">
        <f>VLOOKUP(B148,'112年全品項生產鍋數'!A:H,7,0)</f>
        <v>44.5</v>
      </c>
      <c r="G148" s="49">
        <f t="shared" si="12"/>
        <v>3204</v>
      </c>
      <c r="H148" s="144">
        <v>3203</v>
      </c>
      <c r="I148" s="46">
        <f t="shared" si="13"/>
        <v>8968.4</v>
      </c>
      <c r="J148" s="100">
        <f t="shared" si="14"/>
        <v>0.99968789013732839</v>
      </c>
      <c r="K148" s="51">
        <f>VLOOKUP(B:B,'生產達成率(目標)'!A:C,3,0)</f>
        <v>1</v>
      </c>
      <c r="L148" s="20">
        <f t="shared" si="17"/>
        <v>0</v>
      </c>
      <c r="M148" s="235"/>
      <c r="N148" s="43"/>
      <c r="O148" s="150">
        <f t="shared" si="15"/>
        <v>1</v>
      </c>
      <c r="P148" s="43">
        <v>3202</v>
      </c>
      <c r="Q148" s="27">
        <f t="shared" si="16"/>
        <v>0.99968779269434904</v>
      </c>
      <c r="R148" s="23"/>
      <c r="S148" s="173"/>
      <c r="T148" s="30"/>
      <c r="U148" s="23"/>
      <c r="V148" s="458"/>
      <c r="W148" s="421"/>
      <c r="X148" s="458"/>
      <c r="Y148" s="421"/>
      <c r="Z148" s="421"/>
      <c r="AA148" s="421"/>
      <c r="AB148" s="421"/>
      <c r="AC148" s="421"/>
      <c r="AD148" s="421"/>
    </row>
    <row r="149" spans="1:30" s="22" customFormat="1" x14ac:dyDescent="0.4">
      <c r="A149" s="177" t="s">
        <v>695</v>
      </c>
      <c r="B149" s="149" t="s">
        <v>12</v>
      </c>
      <c r="C149" s="30" t="str">
        <f>VLOOKUP(B149,'112年全品項生產鍋數'!A:H,2,0)</f>
        <v>＃1草莓(1*3.2kg)</v>
      </c>
      <c r="D149" s="285">
        <v>80</v>
      </c>
      <c r="E149" s="48">
        <f>VLOOKUP(B149,'112年全品項生產鍋數'!A:H,3,0)</f>
        <v>3.2</v>
      </c>
      <c r="F149" s="45">
        <f>VLOOKUP(B149,'112年全品項生產鍋數'!A:H,7,0)</f>
        <v>46.8</v>
      </c>
      <c r="G149" s="49">
        <f t="shared" si="12"/>
        <v>3744</v>
      </c>
      <c r="H149" s="144">
        <v>3711</v>
      </c>
      <c r="I149" s="46">
        <f t="shared" si="13"/>
        <v>11875.2</v>
      </c>
      <c r="J149" s="100">
        <f t="shared" si="14"/>
        <v>0.99118589743589747</v>
      </c>
      <c r="K149" s="51">
        <f>VLOOKUP(B:B,'生產達成率(目標)'!A:C,3,0)</f>
        <v>1</v>
      </c>
      <c r="L149" s="20">
        <f t="shared" si="17"/>
        <v>-8.9999999999999993E-3</v>
      </c>
      <c r="M149" s="235"/>
      <c r="N149" s="43"/>
      <c r="O149" s="150">
        <f t="shared" si="15"/>
        <v>6</v>
      </c>
      <c r="P149" s="43">
        <v>3705</v>
      </c>
      <c r="Q149" s="27">
        <f t="shared" si="16"/>
        <v>0.99838318512530311</v>
      </c>
      <c r="R149" s="23"/>
      <c r="S149" s="172">
        <v>80</v>
      </c>
      <c r="T149" s="52" t="s">
        <v>929</v>
      </c>
      <c r="U149" s="23"/>
      <c r="V149" s="458"/>
      <c r="W149" s="421"/>
      <c r="X149" s="458"/>
      <c r="Y149" s="421"/>
      <c r="Z149" s="421"/>
      <c r="AA149" s="421"/>
      <c r="AB149" s="421"/>
      <c r="AC149" s="421"/>
      <c r="AD149" s="421"/>
    </row>
    <row r="150" spans="1:30" s="22" customFormat="1" x14ac:dyDescent="0.4">
      <c r="A150" s="177" t="s">
        <v>695</v>
      </c>
      <c r="B150" s="149" t="s">
        <v>13</v>
      </c>
      <c r="C150" s="30" t="str">
        <f>VLOOKUP(B150,'112年全品項生產鍋數'!A:H,2,0)</f>
        <v>顆粒花生醬(1*12KG)</v>
      </c>
      <c r="D150" s="285">
        <v>21</v>
      </c>
      <c r="E150" s="48">
        <f>VLOOKUP(B150,'112年全品項生產鍋數'!A:H,3,0)</f>
        <v>3</v>
      </c>
      <c r="F150" s="45">
        <f>VLOOKUP(B150,'112年全品項生產鍋數'!A:H,7,0)</f>
        <v>29.7</v>
      </c>
      <c r="G150" s="49">
        <f t="shared" si="12"/>
        <v>623.69999999999993</v>
      </c>
      <c r="H150" s="144">
        <v>632</v>
      </c>
      <c r="I150" s="46">
        <f t="shared" si="13"/>
        <v>1896</v>
      </c>
      <c r="J150" s="100">
        <f t="shared" si="14"/>
        <v>1.0133076799743468</v>
      </c>
      <c r="K150" s="51">
        <f>VLOOKUP(B:B,'生產達成率(目標)'!A:C,3,0)</f>
        <v>1</v>
      </c>
      <c r="L150" s="20">
        <f t="shared" si="17"/>
        <v>1.2999999999999999E-2</v>
      </c>
      <c r="M150" s="235"/>
      <c r="N150" s="43"/>
      <c r="O150" s="150">
        <f t="shared" si="15"/>
        <v>0</v>
      </c>
      <c r="P150" s="43">
        <v>632</v>
      </c>
      <c r="Q150" s="27">
        <f t="shared" si="16"/>
        <v>1</v>
      </c>
      <c r="R150" s="23"/>
      <c r="S150" s="173"/>
      <c r="T150" s="30"/>
      <c r="U150" s="23"/>
      <c r="V150" s="458"/>
      <c r="W150" s="421"/>
      <c r="X150" s="458"/>
      <c r="Y150" s="421"/>
      <c r="Z150" s="421"/>
      <c r="AA150" s="421"/>
      <c r="AB150" s="421"/>
      <c r="AC150" s="421"/>
      <c r="AD150" s="421"/>
    </row>
    <row r="151" spans="1:30" s="22" customFormat="1" x14ac:dyDescent="0.4">
      <c r="A151" s="177" t="s">
        <v>695</v>
      </c>
      <c r="B151" s="149" t="s">
        <v>22</v>
      </c>
      <c r="C151" s="30" t="str">
        <f>VLOOKUP(B151,'112年全品項生產鍋數'!A:H,2,0)</f>
        <v>PET瓶花生(1*340g)</v>
      </c>
      <c r="D151" s="285">
        <v>12</v>
      </c>
      <c r="E151" s="48">
        <f>VLOOKUP(B151,'112年全品項生產鍋數'!A:H,3,0)</f>
        <v>0.34</v>
      </c>
      <c r="F151" s="45">
        <f>VLOOKUP(B151,'112年全品項生產鍋數'!A:H,7,0)</f>
        <v>358.3</v>
      </c>
      <c r="G151" s="49">
        <f t="shared" si="12"/>
        <v>4299.6000000000004</v>
      </c>
      <c r="H151" s="144">
        <v>4517</v>
      </c>
      <c r="I151" s="46">
        <f t="shared" si="13"/>
        <v>1535.7800000000002</v>
      </c>
      <c r="J151" s="100">
        <f t="shared" si="14"/>
        <v>1.0505628430551679</v>
      </c>
      <c r="K151" s="51">
        <f>VLOOKUP(B:B,'生產達成率(目標)'!A:C,3,0)</f>
        <v>1</v>
      </c>
      <c r="L151" s="20">
        <f t="shared" si="17"/>
        <v>5.0999999999999997E-2</v>
      </c>
      <c r="M151" s="235"/>
      <c r="N151" s="43"/>
      <c r="O151" s="150">
        <f t="shared" si="15"/>
        <v>1</v>
      </c>
      <c r="P151" s="43">
        <v>4516</v>
      </c>
      <c r="Q151" s="27">
        <f t="shared" si="16"/>
        <v>0.99977861412441882</v>
      </c>
      <c r="R151" s="23"/>
      <c r="S151" s="173"/>
      <c r="T151" s="30"/>
      <c r="U151" s="23"/>
      <c r="V151" s="458"/>
      <c r="W151" s="421"/>
      <c r="X151" s="458"/>
      <c r="Y151" s="421"/>
      <c r="Z151" s="421"/>
      <c r="AA151" s="421"/>
      <c r="AB151" s="421"/>
      <c r="AC151" s="421"/>
      <c r="AD151" s="421"/>
    </row>
    <row r="152" spans="1:30" s="22" customFormat="1" x14ac:dyDescent="0.4">
      <c r="A152" s="177" t="s">
        <v>695</v>
      </c>
      <c r="B152" s="149" t="s">
        <v>4</v>
      </c>
      <c r="C152" s="30" t="str">
        <f>VLOOKUP(B152,'112年全品項生產鍋數'!A:H,2,0)</f>
        <v>PET大花生(1*400g)</v>
      </c>
      <c r="D152" s="285">
        <v>24</v>
      </c>
      <c r="E152" s="48">
        <f>VLOOKUP(B152,'112年全品項生產鍋數'!A:H,3,0)</f>
        <v>0.4</v>
      </c>
      <c r="F152" s="45">
        <f>VLOOKUP(B152,'112年全品項生產鍋數'!A:H,7,0)</f>
        <v>309.2</v>
      </c>
      <c r="G152" s="49">
        <f t="shared" si="12"/>
        <v>7420.7999999999993</v>
      </c>
      <c r="H152" s="144">
        <v>7374</v>
      </c>
      <c r="I152" s="46">
        <f t="shared" si="13"/>
        <v>2949.6000000000004</v>
      </c>
      <c r="J152" s="100">
        <f t="shared" si="14"/>
        <v>0.99369340232859005</v>
      </c>
      <c r="K152" s="51">
        <f>VLOOKUP(B:B,'生產達成率(目標)'!A:C,3,0)</f>
        <v>1</v>
      </c>
      <c r="L152" s="20">
        <f t="shared" si="17"/>
        <v>-6.0000000000000001E-3</v>
      </c>
      <c r="M152" s="235"/>
      <c r="N152" s="43"/>
      <c r="O152" s="150">
        <f t="shared" si="15"/>
        <v>3</v>
      </c>
      <c r="P152" s="43">
        <v>7371</v>
      </c>
      <c r="Q152" s="27">
        <f t="shared" si="16"/>
        <v>0.99959316517493901</v>
      </c>
      <c r="R152" s="23"/>
      <c r="S152" s="173"/>
      <c r="T152" s="30"/>
      <c r="U152" s="23"/>
      <c r="V152" s="458"/>
      <c r="W152" s="421"/>
      <c r="X152" s="458"/>
      <c r="Y152" s="421"/>
      <c r="Z152" s="421"/>
      <c r="AA152" s="421"/>
      <c r="AB152" s="421"/>
      <c r="AC152" s="421"/>
      <c r="AD152" s="421"/>
    </row>
    <row r="153" spans="1:30" s="22" customFormat="1" x14ac:dyDescent="0.4">
      <c r="A153" s="177" t="s">
        <v>696</v>
      </c>
      <c r="B153" s="149" t="s">
        <v>15</v>
      </c>
      <c r="C153" s="30" t="str">
        <f>VLOOKUP(B153,'112年全品項生產鍋數'!A:H,2,0)</f>
        <v>＃1桔子(1*3.2kg)</v>
      </c>
      <c r="D153" s="285">
        <v>52</v>
      </c>
      <c r="E153" s="48">
        <f>VLOOKUP(B153,'112年全品項生產鍋數'!A:H,3,0)</f>
        <v>3.2</v>
      </c>
      <c r="F153" s="45">
        <f>VLOOKUP(B153,'112年全品項生產鍋數'!A:H,7,0)</f>
        <v>46.4</v>
      </c>
      <c r="G153" s="49">
        <f t="shared" si="12"/>
        <v>2412.7999999999997</v>
      </c>
      <c r="H153" s="144">
        <v>2370</v>
      </c>
      <c r="I153" s="46">
        <f t="shared" si="13"/>
        <v>7584</v>
      </c>
      <c r="J153" s="100">
        <f t="shared" si="14"/>
        <v>0.98226127320954915</v>
      </c>
      <c r="K153" s="51">
        <f>VLOOKUP(B:B,'生產達成率(目標)'!A:C,3,0)</f>
        <v>1</v>
      </c>
      <c r="L153" s="20">
        <f t="shared" si="17"/>
        <v>-1.7999999999999999E-2</v>
      </c>
      <c r="M153" s="235"/>
      <c r="N153" s="43"/>
      <c r="O153" s="150">
        <f t="shared" si="15"/>
        <v>2</v>
      </c>
      <c r="P153" s="43">
        <v>2368</v>
      </c>
      <c r="Q153" s="27">
        <f t="shared" si="16"/>
        <v>0.99915611814345995</v>
      </c>
      <c r="R153" s="23"/>
      <c r="S153" s="173"/>
      <c r="T153" s="30"/>
      <c r="U153" s="23"/>
      <c r="V153" s="458"/>
      <c r="W153" s="421"/>
      <c r="X153" s="458"/>
      <c r="Y153" s="421"/>
      <c r="Z153" s="421"/>
      <c r="AA153" s="421"/>
      <c r="AB153" s="421"/>
      <c r="AC153" s="421"/>
      <c r="AD153" s="421"/>
    </row>
    <row r="154" spans="1:30" s="22" customFormat="1" x14ac:dyDescent="0.4">
      <c r="A154" s="177" t="s">
        <v>696</v>
      </c>
      <c r="B154" s="149" t="s">
        <v>27</v>
      </c>
      <c r="C154" s="30" t="str">
        <f>VLOOKUP(B154,'112年全品項生產鍋數'!A:H,2,0)</f>
        <v>藍莓果醬(1*210G)</v>
      </c>
      <c r="D154" s="285">
        <v>4</v>
      </c>
      <c r="E154" s="48">
        <f>VLOOKUP(B154,'112年全品項生產鍋數'!A:H,3,0)</f>
        <v>0.21</v>
      </c>
      <c r="F154" s="45">
        <f>VLOOKUP(B154,'112年全品項生產鍋數'!A:H,7,0)</f>
        <v>698.4</v>
      </c>
      <c r="G154" s="49">
        <f t="shared" si="12"/>
        <v>2793.6</v>
      </c>
      <c r="H154" s="144">
        <v>2844</v>
      </c>
      <c r="I154" s="46">
        <f t="shared" si="13"/>
        <v>597.24</v>
      </c>
      <c r="J154" s="100">
        <f t="shared" si="14"/>
        <v>1.018041237113402</v>
      </c>
      <c r="K154" s="51">
        <f>VLOOKUP(B:B,'生產達成率(目標)'!A:C,3,0)</f>
        <v>1</v>
      </c>
      <c r="L154" s="20">
        <f t="shared" si="17"/>
        <v>1.7999999999999999E-2</v>
      </c>
      <c r="M154" s="235"/>
      <c r="N154" s="43"/>
      <c r="O154" s="150">
        <f t="shared" si="15"/>
        <v>5</v>
      </c>
      <c r="P154" s="43">
        <v>2839</v>
      </c>
      <c r="Q154" s="27">
        <f t="shared" si="16"/>
        <v>0.99824191279887486</v>
      </c>
      <c r="R154" s="23"/>
      <c r="S154" s="173"/>
      <c r="T154" s="30" t="s">
        <v>507</v>
      </c>
      <c r="U154" s="23"/>
      <c r="V154" s="458"/>
      <c r="W154" s="421"/>
      <c r="X154" s="458"/>
      <c r="Y154" s="421"/>
      <c r="Z154" s="421"/>
      <c r="AA154" s="421"/>
      <c r="AB154" s="421"/>
      <c r="AC154" s="421"/>
      <c r="AD154" s="421"/>
    </row>
    <row r="155" spans="1:30" s="22" customFormat="1" x14ac:dyDescent="0.4">
      <c r="A155" s="177" t="s">
        <v>696</v>
      </c>
      <c r="B155" s="149" t="s">
        <v>26</v>
      </c>
      <c r="C155" s="30" t="str">
        <f>VLOOKUP(B155,'112年全品項生產鍋數'!A:H,2,0)</f>
        <v>蔓越莓醬(1*6KG)</v>
      </c>
      <c r="D155" s="285">
        <v>12</v>
      </c>
      <c r="E155" s="48">
        <f>VLOOKUP(B155,'112年全品項生產鍋數'!A:H,3,0)</f>
        <v>6</v>
      </c>
      <c r="F155" s="45">
        <f>VLOOKUP(B155,'112年全品項生產鍋數'!A:H,7,0)</f>
        <v>25.6</v>
      </c>
      <c r="G155" s="49">
        <f t="shared" si="12"/>
        <v>307.20000000000005</v>
      </c>
      <c r="H155" s="144">
        <v>307</v>
      </c>
      <c r="I155" s="46">
        <f t="shared" si="13"/>
        <v>1842</v>
      </c>
      <c r="J155" s="100">
        <f t="shared" si="14"/>
        <v>0.99934895833333315</v>
      </c>
      <c r="K155" s="51">
        <f>VLOOKUP(B:B,'生產達成率(目標)'!A:C,3,0)</f>
        <v>1</v>
      </c>
      <c r="L155" s="20">
        <f t="shared" si="17"/>
        <v>-1E-3</v>
      </c>
      <c r="M155" s="235"/>
      <c r="N155" s="43"/>
      <c r="O155" s="150">
        <f t="shared" si="15"/>
        <v>2</v>
      </c>
      <c r="P155" s="43">
        <v>305</v>
      </c>
      <c r="Q155" s="27">
        <f t="shared" si="16"/>
        <v>0.99348534201954397</v>
      </c>
      <c r="R155" s="23"/>
      <c r="S155" s="173"/>
      <c r="T155" s="30"/>
      <c r="U155" s="23"/>
      <c r="V155" s="458"/>
      <c r="W155" s="421"/>
      <c r="X155" s="458"/>
      <c r="Y155" s="421"/>
      <c r="Z155" s="421"/>
      <c r="AA155" s="421"/>
      <c r="AB155" s="421"/>
      <c r="AC155" s="421"/>
      <c r="AD155" s="421"/>
    </row>
    <row r="156" spans="1:30" s="22" customFormat="1" x14ac:dyDescent="0.4">
      <c r="A156" s="177" t="s">
        <v>696</v>
      </c>
      <c r="B156" s="149" t="s">
        <v>7</v>
      </c>
      <c r="C156" s="30" t="str">
        <f>VLOOKUP(B156,'112年全品項生產鍋數'!A:H,2,0)</f>
        <v>草莓蒟蒻餡(1*6kg)</v>
      </c>
      <c r="D156" s="285">
        <v>20</v>
      </c>
      <c r="E156" s="48">
        <f>VLOOKUP(B156,'112年全品項生產鍋數'!A:H,3,0)</f>
        <v>6</v>
      </c>
      <c r="F156" s="45">
        <f>VLOOKUP(B156,'112年全品項生產鍋數'!A:H,7,0)</f>
        <v>25.7</v>
      </c>
      <c r="G156" s="49">
        <f t="shared" si="12"/>
        <v>514</v>
      </c>
      <c r="H156" s="144">
        <v>505</v>
      </c>
      <c r="I156" s="46">
        <f t="shared" si="13"/>
        <v>3030</v>
      </c>
      <c r="J156" s="100">
        <f t="shared" si="14"/>
        <v>0.98249027237354081</v>
      </c>
      <c r="K156" s="51">
        <f>VLOOKUP(B:B,'生產達成率(目標)'!A:C,3,0)</f>
        <v>1</v>
      </c>
      <c r="L156" s="20">
        <f t="shared" si="17"/>
        <v>-1.7999999999999999E-2</v>
      </c>
      <c r="M156" s="235"/>
      <c r="N156" s="43"/>
      <c r="O156" s="150">
        <f t="shared" si="15"/>
        <v>3</v>
      </c>
      <c r="P156" s="43">
        <v>502</v>
      </c>
      <c r="Q156" s="27">
        <f t="shared" si="16"/>
        <v>0.99405940594059405</v>
      </c>
      <c r="R156" s="23"/>
      <c r="S156" s="173"/>
      <c r="T156" s="30"/>
      <c r="U156" s="23"/>
      <c r="V156" s="458"/>
      <c r="W156" s="421"/>
      <c r="X156" s="458"/>
      <c r="Y156" s="421"/>
      <c r="Z156" s="421"/>
      <c r="AA156" s="421"/>
      <c r="AB156" s="421"/>
      <c r="AC156" s="421"/>
      <c r="AD156" s="421"/>
    </row>
    <row r="157" spans="1:30" s="22" customFormat="1" x14ac:dyDescent="0.4">
      <c r="A157" s="177" t="s">
        <v>696</v>
      </c>
      <c r="B157" s="149" t="s">
        <v>28</v>
      </c>
      <c r="C157" s="30" t="str">
        <f>VLOOKUP(B157,'112年全品項生產鍋數'!A:H,2,0)</f>
        <v>花生醬(1*290g)</v>
      </c>
      <c r="D157" s="285">
        <v>8</v>
      </c>
      <c r="E157" s="48">
        <f>VLOOKUP(B157,'112年全品項生產鍋數'!A:H,3,0)</f>
        <v>0.28999999999999998</v>
      </c>
      <c r="F157" s="45">
        <f>VLOOKUP(B157,'112年全品項生產鍋數'!A:H,7,0)</f>
        <v>412.6</v>
      </c>
      <c r="G157" s="49">
        <f t="shared" si="12"/>
        <v>3300.8</v>
      </c>
      <c r="H157" s="144">
        <v>3336</v>
      </c>
      <c r="I157" s="46">
        <f t="shared" si="13"/>
        <v>967.43999999999994</v>
      </c>
      <c r="J157" s="100">
        <f t="shared" si="14"/>
        <v>1.0106640814348036</v>
      </c>
      <c r="K157" s="51">
        <f>VLOOKUP(B:B,'生產達成率(目標)'!A:C,3,0)</f>
        <v>1</v>
      </c>
      <c r="L157" s="20">
        <f t="shared" si="17"/>
        <v>1.0999999999999999E-2</v>
      </c>
      <c r="M157" s="235"/>
      <c r="N157" s="43"/>
      <c r="O157" s="150">
        <f t="shared" si="15"/>
        <v>3</v>
      </c>
      <c r="P157" s="43">
        <v>3333</v>
      </c>
      <c r="Q157" s="27">
        <f t="shared" si="16"/>
        <v>0.99910071942446044</v>
      </c>
      <c r="R157" s="23"/>
      <c r="S157" s="173"/>
      <c r="T157" s="30"/>
      <c r="U157" s="23"/>
      <c r="V157" s="458"/>
      <c r="W157" s="421"/>
      <c r="X157" s="458"/>
      <c r="Y157" s="421"/>
      <c r="Z157" s="421"/>
      <c r="AA157" s="421"/>
      <c r="AB157" s="421"/>
      <c r="AC157" s="421"/>
      <c r="AD157" s="421"/>
    </row>
    <row r="158" spans="1:30" s="22" customFormat="1" x14ac:dyDescent="0.4">
      <c r="A158" s="177" t="s">
        <v>696</v>
      </c>
      <c r="B158" s="149" t="s">
        <v>9</v>
      </c>
      <c r="C158" s="30" t="str">
        <f>VLOOKUP(B158,'112年全品項生產鍋數'!A:H,2,0)</f>
        <v>＃1花生(1*2.8kg)</v>
      </c>
      <c r="D158" s="285">
        <v>15.01</v>
      </c>
      <c r="E158" s="48">
        <f>VLOOKUP(B158,'112年全品項生產鍋數'!A:H,3,0)</f>
        <v>2.8</v>
      </c>
      <c r="F158" s="45">
        <f>VLOOKUP(B158,'112年全品項生產鍋數'!A:H,7,0)</f>
        <v>44.5</v>
      </c>
      <c r="G158" s="49">
        <f t="shared" si="12"/>
        <v>667.94499999999994</v>
      </c>
      <c r="H158" s="144">
        <v>663</v>
      </c>
      <c r="I158" s="46">
        <f t="shared" si="13"/>
        <v>1856.3999999999999</v>
      </c>
      <c r="J158" s="100">
        <f t="shared" si="14"/>
        <v>0.99259669583573507</v>
      </c>
      <c r="K158" s="51">
        <f>VLOOKUP(B:B,'生產達成率(目標)'!A:C,3,0)</f>
        <v>1</v>
      </c>
      <c r="L158" s="20">
        <f t="shared" si="17"/>
        <v>-7.0000000000000001E-3</v>
      </c>
      <c r="M158" s="235"/>
      <c r="N158" s="43"/>
      <c r="O158" s="150">
        <f t="shared" si="15"/>
        <v>1</v>
      </c>
      <c r="P158" s="43">
        <v>662</v>
      </c>
      <c r="Q158" s="27">
        <f t="shared" si="16"/>
        <v>0.99849170437405732</v>
      </c>
      <c r="R158" s="23"/>
      <c r="S158" s="173"/>
      <c r="T158" s="30"/>
      <c r="U158" s="23"/>
      <c r="V158" s="458"/>
      <c r="W158" s="421"/>
      <c r="X158" s="458"/>
      <c r="Y158" s="421"/>
      <c r="Z158" s="421"/>
      <c r="AA158" s="421"/>
      <c r="AB158" s="421"/>
      <c r="AC158" s="421"/>
      <c r="AD158" s="421"/>
    </row>
    <row r="159" spans="1:30" s="22" customFormat="1" x14ac:dyDescent="0.4">
      <c r="A159" s="177" t="s">
        <v>696</v>
      </c>
      <c r="B159" s="149" t="s">
        <v>352</v>
      </c>
      <c r="C159" s="30" t="str">
        <f>VLOOKUP(B159,'112年全品項生產鍋數'!A:H,2,0)</f>
        <v>美芝城花生醬(1*2.8kg)</v>
      </c>
      <c r="D159" s="285">
        <v>12.99</v>
      </c>
      <c r="E159" s="48">
        <f>VLOOKUP(B159,'112年全品項生產鍋數'!A:H,3,0)</f>
        <v>2.8</v>
      </c>
      <c r="F159" s="45">
        <f>VLOOKUP(B159,'112年全品項生產鍋數'!A:H,7,0)</f>
        <v>46</v>
      </c>
      <c r="G159" s="49">
        <f t="shared" si="12"/>
        <v>597.54</v>
      </c>
      <c r="H159" s="144">
        <v>600</v>
      </c>
      <c r="I159" s="46">
        <f t="shared" si="13"/>
        <v>1680</v>
      </c>
      <c r="J159" s="100">
        <f t="shared" si="14"/>
        <v>1.0041168792047395</v>
      </c>
      <c r="K159" s="51">
        <f>VLOOKUP(B:B,'生產達成率(目標)'!A:C,3,0)</f>
        <v>1</v>
      </c>
      <c r="L159" s="20">
        <f t="shared" si="17"/>
        <v>4.0000000000000001E-3</v>
      </c>
      <c r="M159" s="235"/>
      <c r="N159" s="43"/>
      <c r="O159" s="150">
        <f t="shared" si="15"/>
        <v>0</v>
      </c>
      <c r="P159" s="43">
        <v>600</v>
      </c>
      <c r="Q159" s="27">
        <f t="shared" si="16"/>
        <v>1</v>
      </c>
      <c r="R159" s="23"/>
      <c r="S159" s="173"/>
      <c r="T159" s="30"/>
      <c r="U159" s="23"/>
      <c r="V159" s="458"/>
      <c r="W159" s="421"/>
      <c r="X159" s="458"/>
      <c r="Y159" s="421"/>
      <c r="Z159" s="421"/>
      <c r="AA159" s="421"/>
      <c r="AB159" s="421"/>
      <c r="AC159" s="421"/>
      <c r="AD159" s="421"/>
    </row>
    <row r="160" spans="1:30" s="22" customFormat="1" x14ac:dyDescent="0.4">
      <c r="A160" s="177" t="s">
        <v>697</v>
      </c>
      <c r="B160" s="149" t="s">
        <v>6</v>
      </c>
      <c r="C160" s="30" t="str">
        <f>VLOOKUP(B160,'112年全品項生產鍋數'!A:H,2,0)</f>
        <v>大圓草莓-新</v>
      </c>
      <c r="D160" s="285">
        <v>36</v>
      </c>
      <c r="E160" s="48">
        <f>VLOOKUP(B160,'112年全品項生產鍋數'!A:H,3,0)</f>
        <v>0.44</v>
      </c>
      <c r="F160" s="45">
        <f>VLOOKUP(B160,'112年全品項生產鍋數'!A:H,7,0)</f>
        <v>344</v>
      </c>
      <c r="G160" s="49">
        <f t="shared" si="12"/>
        <v>12384</v>
      </c>
      <c r="H160" s="144">
        <v>11937</v>
      </c>
      <c r="I160" s="46">
        <f t="shared" si="13"/>
        <v>5252.28</v>
      </c>
      <c r="J160" s="100">
        <f t="shared" si="14"/>
        <v>0.96390503875968991</v>
      </c>
      <c r="K160" s="51">
        <f>VLOOKUP(B:B,'生產達成率(目標)'!A:C,3,0)</f>
        <v>1</v>
      </c>
      <c r="L160" s="20">
        <f t="shared" si="17"/>
        <v>-3.5999999999999997E-2</v>
      </c>
      <c r="M160" s="235"/>
      <c r="N160" s="43"/>
      <c r="O160" s="150">
        <f t="shared" si="15"/>
        <v>12</v>
      </c>
      <c r="P160" s="43">
        <v>11925</v>
      </c>
      <c r="Q160" s="27">
        <f t="shared" si="16"/>
        <v>0.99899472229203312</v>
      </c>
      <c r="R160" s="23"/>
      <c r="S160" s="173"/>
      <c r="T160" s="30"/>
      <c r="U160" s="23"/>
      <c r="V160" s="458"/>
      <c r="W160" s="421"/>
      <c r="X160" s="458"/>
      <c r="Y160" s="421"/>
      <c r="Z160" s="421"/>
      <c r="AA160" s="421"/>
      <c r="AB160" s="421"/>
      <c r="AC160" s="421"/>
      <c r="AD160" s="421"/>
    </row>
    <row r="161" spans="1:30" s="22" customFormat="1" x14ac:dyDescent="0.4">
      <c r="A161" s="177" t="s">
        <v>697</v>
      </c>
      <c r="B161" s="149" t="s">
        <v>17</v>
      </c>
      <c r="C161" s="30" t="str">
        <f>VLOOKUP(B161,'112年全品項生產鍋數'!A:H,2,0)</f>
        <v>顆粒花生醬(全)</v>
      </c>
      <c r="D161" s="285">
        <v>24</v>
      </c>
      <c r="E161" s="48">
        <f>VLOOKUP(B161,'112年全品項生產鍋數'!A:H,3,0)</f>
        <v>0.34</v>
      </c>
      <c r="F161" s="45">
        <f>VLOOKUP(B161,'112年全品項生產鍋數'!A:H,7,0)</f>
        <v>364.6</v>
      </c>
      <c r="G161" s="49">
        <f t="shared" si="12"/>
        <v>8750.4000000000015</v>
      </c>
      <c r="H161" s="144">
        <v>8771</v>
      </c>
      <c r="I161" s="46">
        <f t="shared" si="13"/>
        <v>2982.1400000000003</v>
      </c>
      <c r="J161" s="100">
        <f t="shared" si="14"/>
        <v>1.0023541780947156</v>
      </c>
      <c r="K161" s="51">
        <f>VLOOKUP(B:B,'生產達成率(目標)'!A:C,3,0)</f>
        <v>1</v>
      </c>
      <c r="L161" s="20">
        <f t="shared" si="17"/>
        <v>2E-3</v>
      </c>
      <c r="M161" s="235"/>
      <c r="N161" s="43"/>
      <c r="O161" s="150">
        <f t="shared" si="15"/>
        <v>3</v>
      </c>
      <c r="P161" s="43">
        <v>8768</v>
      </c>
      <c r="Q161" s="27">
        <f t="shared" si="16"/>
        <v>0.99965796374415683</v>
      </c>
      <c r="R161" s="23"/>
      <c r="S161" s="173"/>
      <c r="T161" s="30"/>
      <c r="U161" s="23"/>
      <c r="V161" s="458"/>
      <c r="W161" s="421"/>
      <c r="X161" s="458"/>
      <c r="Y161" s="421"/>
      <c r="Z161" s="421"/>
      <c r="AA161" s="421"/>
      <c r="AB161" s="421"/>
      <c r="AC161" s="421"/>
      <c r="AD161" s="421"/>
    </row>
    <row r="162" spans="1:30" s="22" customFormat="1" x14ac:dyDescent="0.4">
      <c r="A162" s="177" t="s">
        <v>698</v>
      </c>
      <c r="B162" s="149" t="s">
        <v>11</v>
      </c>
      <c r="C162" s="30" t="str">
        <f>VLOOKUP(B162,'112年全品項生產鍋數'!A:H,2,0)</f>
        <v>#2草莓果醬(1*900g)</v>
      </c>
      <c r="D162" s="285">
        <v>16.23</v>
      </c>
      <c r="E162" s="48">
        <f>VLOOKUP(B162,'112年全品項生產鍋數'!A:H,3,0)</f>
        <v>0.9</v>
      </c>
      <c r="F162" s="45">
        <f>VLOOKUP(B162,'112年全品項生產鍋數'!A:H,7,0)</f>
        <v>160.5</v>
      </c>
      <c r="G162" s="49">
        <f t="shared" si="12"/>
        <v>2604.915</v>
      </c>
      <c r="H162" s="144">
        <v>2560</v>
      </c>
      <c r="I162" s="46">
        <f t="shared" si="13"/>
        <v>2304</v>
      </c>
      <c r="J162" s="100">
        <f t="shared" si="14"/>
        <v>0.98275759477756475</v>
      </c>
      <c r="K162" s="51">
        <f>VLOOKUP(B:B,'生產達成率(目標)'!A:C,3,0)</f>
        <v>1</v>
      </c>
      <c r="L162" s="20">
        <f t="shared" si="17"/>
        <v>-1.7000000000000001E-2</v>
      </c>
      <c r="M162" s="235"/>
      <c r="N162" s="43"/>
      <c r="O162" s="150">
        <f t="shared" si="15"/>
        <v>2</v>
      </c>
      <c r="P162" s="43">
        <v>2558</v>
      </c>
      <c r="Q162" s="27">
        <f t="shared" si="16"/>
        <v>0.99921875000000004</v>
      </c>
      <c r="R162" s="23"/>
      <c r="S162" s="173"/>
      <c r="T162" s="30"/>
      <c r="U162" s="23"/>
      <c r="V162" s="458"/>
      <c r="W162" s="421"/>
      <c r="X162" s="458"/>
      <c r="Y162" s="421"/>
      <c r="Z162" s="421"/>
      <c r="AA162" s="421"/>
      <c r="AB162" s="421"/>
      <c r="AC162" s="421"/>
      <c r="AD162" s="421"/>
    </row>
    <row r="163" spans="1:30" s="22" customFormat="1" x14ac:dyDescent="0.4">
      <c r="A163" s="177" t="s">
        <v>698</v>
      </c>
      <c r="B163" s="149" t="s">
        <v>353</v>
      </c>
      <c r="C163" s="30" t="str">
        <f>VLOOKUP(B163,'112年全品項生產鍋數'!A:H,2,0)</f>
        <v>美芝城草莓醬(1*9kg)</v>
      </c>
      <c r="D163" s="285">
        <v>3.77</v>
      </c>
      <c r="E163" s="48">
        <f>VLOOKUP(B163,'112年全品項生產鍋數'!A:H,3,0)</f>
        <v>0.9</v>
      </c>
      <c r="F163" s="45">
        <f>VLOOKUP(B163,'112年全品項生產鍋數'!A:H,7,0)</f>
        <v>158.69999999999999</v>
      </c>
      <c r="G163" s="49">
        <f t="shared" si="12"/>
        <v>598.29899999999998</v>
      </c>
      <c r="H163" s="144">
        <v>600</v>
      </c>
      <c r="I163" s="46">
        <f t="shared" si="13"/>
        <v>540</v>
      </c>
      <c r="J163" s="100">
        <f t="shared" si="14"/>
        <v>1.0028430600753135</v>
      </c>
      <c r="K163" s="51">
        <f>VLOOKUP(B:B,'生產達成率(目標)'!A:C,3,0)</f>
        <v>1</v>
      </c>
      <c r="L163" s="20">
        <f t="shared" si="17"/>
        <v>3.0000000000000001E-3</v>
      </c>
      <c r="M163" s="235"/>
      <c r="N163" s="43"/>
      <c r="O163" s="150">
        <f t="shared" si="15"/>
        <v>0</v>
      </c>
      <c r="P163" s="43">
        <v>600</v>
      </c>
      <c r="Q163" s="27">
        <f t="shared" si="16"/>
        <v>1</v>
      </c>
      <c r="R163" s="23"/>
      <c r="S163" s="173"/>
      <c r="T163" s="30"/>
      <c r="U163" s="23"/>
      <c r="V163" s="458"/>
      <c r="W163" s="421"/>
      <c r="X163" s="458"/>
      <c r="Y163" s="421"/>
      <c r="Z163" s="421"/>
      <c r="AA163" s="421"/>
      <c r="AB163" s="421"/>
      <c r="AC163" s="421"/>
      <c r="AD163" s="421"/>
    </row>
    <row r="164" spans="1:30" s="22" customFormat="1" x14ac:dyDescent="0.4">
      <c r="A164" s="177" t="s">
        <v>698</v>
      </c>
      <c r="B164" s="149" t="s">
        <v>19</v>
      </c>
      <c r="C164" s="30" t="str">
        <f>VLOOKUP(B164,'112年全品項生產鍋數'!A:H,2,0)</f>
        <v>＃2藍莓(1*900g)</v>
      </c>
      <c r="D164" s="285">
        <v>20</v>
      </c>
      <c r="E164" s="48">
        <f>VLOOKUP(B164,'112年全品項生產鍋數'!A:H,3,0)</f>
        <v>0.9</v>
      </c>
      <c r="F164" s="45">
        <f>VLOOKUP(B164,'112年全品項生產鍋數'!A:H,7,0)</f>
        <v>163</v>
      </c>
      <c r="G164" s="49">
        <f t="shared" si="12"/>
        <v>3260</v>
      </c>
      <c r="H164" s="144">
        <v>3238</v>
      </c>
      <c r="I164" s="46">
        <f t="shared" si="13"/>
        <v>2914.2000000000003</v>
      </c>
      <c r="J164" s="100">
        <f t="shared" si="14"/>
        <v>0.99325153374233133</v>
      </c>
      <c r="K164" s="51">
        <f>VLOOKUP(B:B,'生產達成率(目標)'!A:C,3,0)</f>
        <v>1</v>
      </c>
      <c r="L164" s="20">
        <f t="shared" si="17"/>
        <v>-7.0000000000000001E-3</v>
      </c>
      <c r="M164" s="235"/>
      <c r="N164" s="43"/>
      <c r="O164" s="150">
        <f t="shared" si="15"/>
        <v>2</v>
      </c>
      <c r="P164" s="43">
        <v>3236</v>
      </c>
      <c r="Q164" s="27">
        <f t="shared" si="16"/>
        <v>0.99938233477455218</v>
      </c>
      <c r="R164" s="23"/>
      <c r="S164" s="173"/>
      <c r="T164" s="30"/>
      <c r="U164" s="23"/>
      <c r="V164" s="458"/>
      <c r="W164" s="421"/>
      <c r="X164" s="458"/>
      <c r="Y164" s="421"/>
      <c r="Z164" s="421"/>
      <c r="AA164" s="421"/>
      <c r="AB164" s="421"/>
      <c r="AC164" s="421"/>
      <c r="AD164" s="421"/>
    </row>
    <row r="165" spans="1:30" s="22" customFormat="1" x14ac:dyDescent="0.4">
      <c r="A165" s="177" t="s">
        <v>698</v>
      </c>
      <c r="B165" s="149" t="s">
        <v>29</v>
      </c>
      <c r="C165" s="30" t="str">
        <f>VLOOKUP(B165,'112年全品項生產鍋數'!A:H,2,0)</f>
        <v>草莓果醬(桶)(1*9.5KG)</v>
      </c>
      <c r="D165" s="285">
        <v>12</v>
      </c>
      <c r="E165" s="48">
        <f>VLOOKUP(B165,'112年全品項生產鍋數'!A:H,3,0)</f>
        <v>9.5</v>
      </c>
      <c r="F165" s="45">
        <f>VLOOKUP(B165,'112年全品項生產鍋數'!A:H,7,0)</f>
        <v>16.600000000000001</v>
      </c>
      <c r="G165" s="49">
        <f t="shared" si="12"/>
        <v>199.20000000000002</v>
      </c>
      <c r="H165" s="144">
        <v>189</v>
      </c>
      <c r="I165" s="46">
        <f t="shared" si="13"/>
        <v>1795.5</v>
      </c>
      <c r="J165" s="100">
        <f t="shared" si="14"/>
        <v>0.94879518072289148</v>
      </c>
      <c r="K165" s="51">
        <f>VLOOKUP(B:B,'生產達成率(目標)'!A:C,3,0)</f>
        <v>1</v>
      </c>
      <c r="L165" s="20">
        <f t="shared" si="17"/>
        <v>-5.0999999999999997E-2</v>
      </c>
      <c r="M165" s="235"/>
      <c r="N165" s="43"/>
      <c r="O165" s="150">
        <f t="shared" si="15"/>
        <v>2</v>
      </c>
      <c r="P165" s="43">
        <v>187</v>
      </c>
      <c r="Q165" s="27">
        <f t="shared" si="16"/>
        <v>0.98941798941798942</v>
      </c>
      <c r="R165" s="23"/>
      <c r="S165" s="173"/>
      <c r="T165" s="30"/>
      <c r="U165" s="23"/>
      <c r="V165" s="458"/>
      <c r="W165" s="421"/>
      <c r="X165" s="458"/>
      <c r="Y165" s="421"/>
      <c r="Z165" s="421"/>
      <c r="AA165" s="421"/>
      <c r="AB165" s="421"/>
      <c r="AC165" s="421"/>
      <c r="AD165" s="421"/>
    </row>
    <row r="166" spans="1:30" s="22" customFormat="1" x14ac:dyDescent="0.4">
      <c r="A166" s="177" t="s">
        <v>698</v>
      </c>
      <c r="B166" s="149" t="s">
        <v>30</v>
      </c>
      <c r="C166" s="30" t="str">
        <f>VLOOKUP(B166,'112年全品項生產鍋數'!A:H,2,0)</f>
        <v>特殊藍莓餡(1*9.08kg)</v>
      </c>
      <c r="D166" s="285">
        <v>12</v>
      </c>
      <c r="E166" s="48">
        <f>VLOOKUP(B166,'112年全品項生產鍋數'!A:H,3,0)</f>
        <v>9.08</v>
      </c>
      <c r="F166" s="45">
        <f>VLOOKUP(B166,'112年全品項生產鍋數'!A:H,7,0)</f>
        <v>17.5</v>
      </c>
      <c r="G166" s="49">
        <f t="shared" si="12"/>
        <v>210</v>
      </c>
      <c r="H166" s="144">
        <v>209</v>
      </c>
      <c r="I166" s="46">
        <f t="shared" si="13"/>
        <v>1897.72</v>
      </c>
      <c r="J166" s="100">
        <f t="shared" si="14"/>
        <v>0.99523809523809526</v>
      </c>
      <c r="K166" s="51">
        <f>VLOOKUP(B:B,'生產達成率(目標)'!A:C,3,0)</f>
        <v>1</v>
      </c>
      <c r="L166" s="20">
        <f t="shared" si="17"/>
        <v>-5.0000000000000001E-3</v>
      </c>
      <c r="M166" s="235"/>
      <c r="N166" s="43"/>
      <c r="O166" s="150">
        <f t="shared" si="15"/>
        <v>0</v>
      </c>
      <c r="P166" s="43">
        <v>209</v>
      </c>
      <c r="Q166" s="27">
        <f t="shared" si="16"/>
        <v>1</v>
      </c>
      <c r="R166" s="23"/>
      <c r="S166" s="173"/>
      <c r="T166" s="30"/>
      <c r="U166" s="23"/>
      <c r="V166" s="458"/>
      <c r="W166" s="421"/>
      <c r="X166" s="458"/>
      <c r="Y166" s="421"/>
      <c r="Z166" s="421"/>
      <c r="AA166" s="421"/>
      <c r="AB166" s="421"/>
      <c r="AC166" s="421"/>
      <c r="AD166" s="421"/>
    </row>
    <row r="167" spans="1:30" s="22" customFormat="1" x14ac:dyDescent="0.4">
      <c r="A167" s="177" t="s">
        <v>698</v>
      </c>
      <c r="B167" s="149" t="s">
        <v>31</v>
      </c>
      <c r="C167" s="30" t="str">
        <f>VLOOKUP(B167,'112年全品項生產鍋數'!A:H,2,0)</f>
        <v>天天開心芒果餡4.5KG</v>
      </c>
      <c r="D167" s="285">
        <v>8</v>
      </c>
      <c r="E167" s="48">
        <f>VLOOKUP(B167,'112年全品項生產鍋數'!A:H,3,0)</f>
        <v>4.5</v>
      </c>
      <c r="F167" s="45">
        <f>VLOOKUP(B167,'112年全品項生產鍋數'!A:H,7,0)</f>
        <v>33.200000000000003</v>
      </c>
      <c r="G167" s="49">
        <f t="shared" si="12"/>
        <v>265.60000000000002</v>
      </c>
      <c r="H167" s="144">
        <v>265</v>
      </c>
      <c r="I167" s="46">
        <f t="shared" si="13"/>
        <v>1192.5</v>
      </c>
      <c r="J167" s="100">
        <f t="shared" si="14"/>
        <v>0.99774096385542155</v>
      </c>
      <c r="K167" s="51">
        <f>VLOOKUP(B:B,'生產達成率(目標)'!A:C,3,0)</f>
        <v>1</v>
      </c>
      <c r="L167" s="20">
        <f t="shared" si="17"/>
        <v>-2E-3</v>
      </c>
      <c r="M167" s="235"/>
      <c r="N167" s="43"/>
      <c r="O167" s="150">
        <f t="shared" si="15"/>
        <v>0</v>
      </c>
      <c r="P167" s="43">
        <v>265</v>
      </c>
      <c r="Q167" s="27">
        <f t="shared" si="16"/>
        <v>1</v>
      </c>
      <c r="R167" s="23"/>
      <c r="S167" s="173"/>
      <c r="T167" s="30"/>
      <c r="U167" s="23"/>
      <c r="V167" s="458"/>
      <c r="W167" s="421"/>
      <c r="X167" s="458"/>
      <c r="Y167" s="421"/>
      <c r="Z167" s="421"/>
      <c r="AA167" s="421"/>
      <c r="AB167" s="421"/>
      <c r="AC167" s="421"/>
      <c r="AD167" s="421"/>
    </row>
    <row r="168" spans="1:30" s="22" customFormat="1" x14ac:dyDescent="0.4">
      <c r="A168" s="177" t="s">
        <v>698</v>
      </c>
      <c r="B168" s="149" t="s">
        <v>23</v>
      </c>
      <c r="C168" s="30" t="str">
        <f>VLOOKUP(B168,'112年全品項生產鍋數'!A:H,2,0)</f>
        <v>＃1花生(粒)(1*2.8kg)</v>
      </c>
      <c r="D168" s="285">
        <v>52</v>
      </c>
      <c r="E168" s="48">
        <f>VLOOKUP(B168,'112年全品項生產鍋數'!A:H,3,0)</f>
        <v>2.8</v>
      </c>
      <c r="F168" s="45">
        <f>VLOOKUP(B168,'112年全品項生產鍋數'!A:H,7,0)</f>
        <v>44.2</v>
      </c>
      <c r="G168" s="49">
        <f t="shared" si="12"/>
        <v>2298.4</v>
      </c>
      <c r="H168" s="144">
        <v>2309</v>
      </c>
      <c r="I168" s="46">
        <f t="shared" si="13"/>
        <v>6465.2</v>
      </c>
      <c r="J168" s="100">
        <f t="shared" si="14"/>
        <v>1.0046119039331709</v>
      </c>
      <c r="K168" s="51">
        <f>VLOOKUP(B:B,'生產達成率(目標)'!A:C,3,0)</f>
        <v>1</v>
      </c>
      <c r="L168" s="20">
        <f t="shared" si="17"/>
        <v>5.0000000000000001E-3</v>
      </c>
      <c r="M168" s="235"/>
      <c r="N168" s="43"/>
      <c r="O168" s="150">
        <f t="shared" si="15"/>
        <v>-4</v>
      </c>
      <c r="P168" s="43">
        <v>2313</v>
      </c>
      <c r="Q168" s="27">
        <f t="shared" si="16"/>
        <v>1.0017323516673884</v>
      </c>
      <c r="R168" s="23"/>
      <c r="S168" s="173"/>
      <c r="T168" s="30"/>
      <c r="U168" s="23"/>
      <c r="V168" s="458"/>
      <c r="W168" s="421"/>
      <c r="X168" s="458"/>
      <c r="Y168" s="421"/>
      <c r="Z168" s="421"/>
      <c r="AA168" s="421"/>
      <c r="AB168" s="421"/>
      <c r="AC168" s="421"/>
      <c r="AD168" s="421"/>
    </row>
    <row r="169" spans="1:30" s="22" customFormat="1" x14ac:dyDescent="0.4">
      <c r="A169" s="177" t="s">
        <v>699</v>
      </c>
      <c r="B169" s="149" t="s">
        <v>87</v>
      </c>
      <c r="C169" s="30" t="str">
        <f>VLOOKUP(B169,'112年全品項生產鍋數'!A:H,2,0)</f>
        <v>＃1藍莓(1*3.2kg)</v>
      </c>
      <c r="D169" s="285">
        <v>72</v>
      </c>
      <c r="E169" s="48">
        <f>VLOOKUP(B169,'112年全品項生產鍋數'!A:H,3,0)</f>
        <v>3.2</v>
      </c>
      <c r="F169" s="45">
        <f>VLOOKUP(B169,'112年全品項生產鍋數'!A:H,7,0)</f>
        <v>47.5</v>
      </c>
      <c r="G169" s="49">
        <f t="shared" si="12"/>
        <v>3420</v>
      </c>
      <c r="H169" s="144">
        <v>3356</v>
      </c>
      <c r="I169" s="46">
        <f t="shared" si="13"/>
        <v>10739.2</v>
      </c>
      <c r="J169" s="100">
        <f t="shared" si="14"/>
        <v>0.98128654970760232</v>
      </c>
      <c r="K169" s="51">
        <f>VLOOKUP(B:B,'生產達成率(目標)'!A:C,3,0)</f>
        <v>1</v>
      </c>
      <c r="L169" s="20">
        <f t="shared" si="17"/>
        <v>-1.9E-2</v>
      </c>
      <c r="M169" s="235"/>
      <c r="N169" s="43"/>
      <c r="O169" s="150">
        <f t="shared" si="15"/>
        <v>2</v>
      </c>
      <c r="P169" s="43">
        <v>3354</v>
      </c>
      <c r="Q169" s="27">
        <f t="shared" si="16"/>
        <v>0.99940405244338493</v>
      </c>
      <c r="R169" s="23"/>
      <c r="S169" s="173"/>
      <c r="T169" s="30"/>
      <c r="U169" s="23"/>
      <c r="V169" s="458"/>
      <c r="W169" s="421"/>
      <c r="X169" s="458"/>
      <c r="Y169" s="421"/>
      <c r="Z169" s="421"/>
      <c r="AA169" s="421"/>
      <c r="AB169" s="421"/>
      <c r="AC169" s="421"/>
      <c r="AD169" s="421"/>
    </row>
    <row r="170" spans="1:30" s="22" customFormat="1" x14ac:dyDescent="0.4">
      <c r="A170" s="177" t="s">
        <v>699</v>
      </c>
      <c r="B170" s="149" t="s">
        <v>426</v>
      </c>
      <c r="C170" s="30" t="s">
        <v>43</v>
      </c>
      <c r="D170" s="286">
        <v>16.5</v>
      </c>
      <c r="E170" s="118">
        <v>6</v>
      </c>
      <c r="F170" s="81">
        <v>26.9</v>
      </c>
      <c r="G170" s="49">
        <f t="shared" si="12"/>
        <v>443.84999999999997</v>
      </c>
      <c r="H170" s="144">
        <v>444</v>
      </c>
      <c r="I170" s="46">
        <f t="shared" si="13"/>
        <v>2664</v>
      </c>
      <c r="J170" s="100">
        <f t="shared" si="14"/>
        <v>1.0003379520108144</v>
      </c>
      <c r="K170" s="51">
        <v>1</v>
      </c>
      <c r="L170" s="20">
        <f t="shared" si="17"/>
        <v>0</v>
      </c>
      <c r="M170" s="235"/>
      <c r="N170" s="43"/>
      <c r="O170" s="150">
        <f t="shared" si="15"/>
        <v>1</v>
      </c>
      <c r="P170" s="43">
        <v>443</v>
      </c>
      <c r="Q170" s="27">
        <f t="shared" si="16"/>
        <v>0.99774774774774777</v>
      </c>
      <c r="R170" s="23"/>
      <c r="S170" s="173"/>
      <c r="T170" s="30"/>
      <c r="U170" s="23"/>
      <c r="V170" s="458"/>
      <c r="W170" s="421"/>
      <c r="X170" s="458"/>
      <c r="Y170" s="421"/>
      <c r="Z170" s="421"/>
      <c r="AA170" s="421"/>
      <c r="AB170" s="421"/>
      <c r="AC170" s="421"/>
      <c r="AD170" s="421"/>
    </row>
    <row r="171" spans="1:30" s="22" customFormat="1" x14ac:dyDescent="0.4">
      <c r="A171" s="177" t="s">
        <v>699</v>
      </c>
      <c r="B171" s="149" t="s">
        <v>32</v>
      </c>
      <c r="C171" s="30" t="str">
        <f>VLOOKUP(B171,'112年全品項生產鍋數'!A:H,2,0)</f>
        <v>草莓醬(1*6Kg)</v>
      </c>
      <c r="D171" s="285">
        <v>16</v>
      </c>
      <c r="E171" s="48">
        <f>VLOOKUP(B171,'112年全品項生產鍋數'!A:H,3,0)</f>
        <v>6</v>
      </c>
      <c r="F171" s="45">
        <f>VLOOKUP(B171,'112年全品項生產鍋數'!A:H,7,0)</f>
        <v>25.5</v>
      </c>
      <c r="G171" s="49">
        <f t="shared" si="12"/>
        <v>408</v>
      </c>
      <c r="H171" s="144">
        <v>406</v>
      </c>
      <c r="I171" s="46">
        <f t="shared" si="13"/>
        <v>2436</v>
      </c>
      <c r="J171" s="100">
        <f t="shared" si="14"/>
        <v>0.99509803921568629</v>
      </c>
      <c r="K171" s="51">
        <f>VLOOKUP(B:B,'生產達成率(目標)'!A:C,3,0)</f>
        <v>1</v>
      </c>
      <c r="L171" s="20">
        <f t="shared" si="17"/>
        <v>-5.0000000000000001E-3</v>
      </c>
      <c r="M171" s="235"/>
      <c r="N171" s="43"/>
      <c r="O171" s="150">
        <f t="shared" si="15"/>
        <v>1</v>
      </c>
      <c r="P171" s="43">
        <v>405</v>
      </c>
      <c r="Q171" s="27">
        <f t="shared" si="16"/>
        <v>0.99753694581280783</v>
      </c>
      <c r="R171" s="23"/>
      <c r="S171" s="173"/>
      <c r="T171" s="30"/>
      <c r="U171" s="23"/>
      <c r="V171" s="458"/>
      <c r="W171" s="421"/>
      <c r="X171" s="458"/>
      <c r="Y171" s="421"/>
      <c r="Z171" s="421"/>
      <c r="AA171" s="421"/>
      <c r="AB171" s="421"/>
      <c r="AC171" s="421"/>
      <c r="AD171" s="421"/>
    </row>
    <row r="172" spans="1:30" s="22" customFormat="1" x14ac:dyDescent="0.4">
      <c r="A172" s="177" t="s">
        <v>699</v>
      </c>
      <c r="B172" s="149" t="s">
        <v>33</v>
      </c>
      <c r="C172" s="30" t="str">
        <f>VLOOKUP(B172,'112年全品項生產鍋數'!A:H,2,0)</f>
        <v>深烤焙花生醬(1*18KG)</v>
      </c>
      <c r="D172" s="285">
        <v>28</v>
      </c>
      <c r="E172" s="48">
        <f>VLOOKUP(B172,'112年全品項生產鍋數'!A:H,3,0)</f>
        <v>18</v>
      </c>
      <c r="F172" s="45">
        <f>VLOOKUP(B172,'112年全品項生產鍋數'!A:H,7,0)</f>
        <v>6.9</v>
      </c>
      <c r="G172" s="49">
        <f t="shared" si="12"/>
        <v>193.20000000000002</v>
      </c>
      <c r="H172" s="144">
        <v>193</v>
      </c>
      <c r="I172" s="46">
        <f t="shared" si="13"/>
        <v>3474</v>
      </c>
      <c r="J172" s="100">
        <f t="shared" si="14"/>
        <v>0.99896480331262927</v>
      </c>
      <c r="K172" s="51">
        <f>VLOOKUP(B:B,'生產達成率(目標)'!A:C,3,0)</f>
        <v>1</v>
      </c>
      <c r="L172" s="20">
        <f t="shared" si="17"/>
        <v>-1E-3</v>
      </c>
      <c r="M172" s="235"/>
      <c r="N172" s="43"/>
      <c r="O172" s="150">
        <f t="shared" si="15"/>
        <v>0</v>
      </c>
      <c r="P172" s="43">
        <v>193</v>
      </c>
      <c r="Q172" s="27">
        <f t="shared" si="16"/>
        <v>1</v>
      </c>
      <c r="R172" s="23"/>
      <c r="S172" s="173"/>
      <c r="T172" s="30"/>
      <c r="U172" s="23"/>
      <c r="V172" s="458"/>
      <c r="W172" s="421"/>
      <c r="X172" s="458"/>
      <c r="Y172" s="421"/>
      <c r="Z172" s="421"/>
      <c r="AA172" s="421"/>
      <c r="AB172" s="421"/>
      <c r="AC172" s="421"/>
      <c r="AD172" s="421"/>
    </row>
    <row r="173" spans="1:30" s="22" customFormat="1" x14ac:dyDescent="0.4">
      <c r="A173" s="177" t="s">
        <v>699</v>
      </c>
      <c r="B173" s="149" t="s">
        <v>34</v>
      </c>
      <c r="C173" s="30" t="str">
        <f>VLOOKUP(B173,'112年全品項生產鍋數'!A:H,2,0)</f>
        <v>花生醬(1*18KG)</v>
      </c>
      <c r="D173" s="285">
        <v>32</v>
      </c>
      <c r="E173" s="48">
        <f>VLOOKUP(B173,'112年全品項生產鍋數'!A:H,3,0)</f>
        <v>18</v>
      </c>
      <c r="F173" s="45">
        <f>VLOOKUP(B173,'112年全品項生產鍋數'!A:H,7,0)</f>
        <v>6.9</v>
      </c>
      <c r="G173" s="49">
        <f t="shared" si="12"/>
        <v>220.8</v>
      </c>
      <c r="H173" s="144">
        <v>226</v>
      </c>
      <c r="I173" s="46">
        <f t="shared" si="13"/>
        <v>4068</v>
      </c>
      <c r="J173" s="100">
        <f t="shared" si="14"/>
        <v>1.0235507246376812</v>
      </c>
      <c r="K173" s="51">
        <f>VLOOKUP(B:B,'生產達成率(目標)'!A:C,3,0)</f>
        <v>1</v>
      </c>
      <c r="L173" s="20">
        <f t="shared" si="17"/>
        <v>2.4E-2</v>
      </c>
      <c r="M173" s="235"/>
      <c r="N173" s="43"/>
      <c r="O173" s="150">
        <f t="shared" si="15"/>
        <v>0</v>
      </c>
      <c r="P173" s="43">
        <v>226</v>
      </c>
      <c r="Q173" s="27">
        <f t="shared" si="16"/>
        <v>1</v>
      </c>
      <c r="R173" s="23"/>
      <c r="S173" s="173"/>
      <c r="T173" s="30"/>
      <c r="U173" s="23"/>
      <c r="V173" s="458"/>
      <c r="W173" s="421"/>
      <c r="X173" s="458"/>
      <c r="Y173" s="421"/>
      <c r="Z173" s="421"/>
      <c r="AA173" s="421"/>
      <c r="AB173" s="421"/>
      <c r="AC173" s="421"/>
      <c r="AD173" s="421"/>
    </row>
    <row r="174" spans="1:30" s="22" customFormat="1" x14ac:dyDescent="0.4">
      <c r="A174" s="177" t="s">
        <v>700</v>
      </c>
      <c r="B174" s="151" t="s">
        <v>460</v>
      </c>
      <c r="C174" s="30" t="str">
        <f>VLOOKUP(B174,'112年全品項生產鍋數'!A:H,2,0)</f>
        <v>＃1草莓原漿(1*3.4kg)</v>
      </c>
      <c r="D174" s="285">
        <v>8</v>
      </c>
      <c r="E174" s="48">
        <f>VLOOKUP(B174,'112年全品項生產鍋數'!A:H,3,0)</f>
        <v>3.4</v>
      </c>
      <c r="F174" s="45">
        <f>VLOOKUP(B174,'112年全品項生產鍋數'!A:H,7,0)</f>
        <v>43</v>
      </c>
      <c r="G174" s="49">
        <f t="shared" si="12"/>
        <v>344</v>
      </c>
      <c r="H174" s="144">
        <v>337</v>
      </c>
      <c r="I174" s="46">
        <f t="shared" si="13"/>
        <v>1145.8</v>
      </c>
      <c r="J174" s="100">
        <f t="shared" si="14"/>
        <v>0.97965116279069764</v>
      </c>
      <c r="K174" s="51">
        <f>VLOOKUP(B:B,'生產達成率(目標)'!A:C,3,0)</f>
        <v>1</v>
      </c>
      <c r="L174" s="20">
        <f t="shared" si="17"/>
        <v>-0.02</v>
      </c>
      <c r="M174" s="235"/>
      <c r="N174" s="43"/>
      <c r="O174" s="150">
        <f t="shared" si="15"/>
        <v>1</v>
      </c>
      <c r="P174" s="43">
        <v>336</v>
      </c>
      <c r="Q174" s="27">
        <f t="shared" si="16"/>
        <v>0.9970326409495549</v>
      </c>
      <c r="R174" s="23"/>
      <c r="S174" s="173"/>
      <c r="T174" s="30"/>
      <c r="U174" s="23"/>
      <c r="V174" s="458"/>
      <c r="W174" s="421"/>
      <c r="X174" s="458"/>
      <c r="Y174" s="421"/>
      <c r="Z174" s="421"/>
      <c r="AA174" s="421"/>
      <c r="AB174" s="421"/>
      <c r="AC174" s="421"/>
      <c r="AD174" s="421"/>
    </row>
    <row r="175" spans="1:30" s="22" customFormat="1" ht="17.25" customHeight="1" x14ac:dyDescent="0.4">
      <c r="A175" s="177" t="s">
        <v>700</v>
      </c>
      <c r="B175" s="149" t="s">
        <v>12</v>
      </c>
      <c r="C175" s="30" t="str">
        <f>VLOOKUP(B175,'112年全品項生產鍋數'!A:H,2,0)</f>
        <v>＃1草莓(1*3.2kg)</v>
      </c>
      <c r="D175" s="285">
        <v>60</v>
      </c>
      <c r="E175" s="48">
        <f>VLOOKUP(B175,'112年全品項生產鍋數'!A:H,3,0)</f>
        <v>3.2</v>
      </c>
      <c r="F175" s="45">
        <f>VLOOKUP(B175,'112年全品項生產鍋數'!A:H,7,0)</f>
        <v>46.8</v>
      </c>
      <c r="G175" s="49">
        <f t="shared" si="12"/>
        <v>2808</v>
      </c>
      <c r="H175" s="144">
        <v>2787</v>
      </c>
      <c r="I175" s="46">
        <f t="shared" si="13"/>
        <v>8918.4</v>
      </c>
      <c r="J175" s="100">
        <f t="shared" si="14"/>
        <v>0.99252136752136755</v>
      </c>
      <c r="K175" s="51">
        <f>VLOOKUP(B:B,'生產達成率(目標)'!A:C,3,0)</f>
        <v>1</v>
      </c>
      <c r="L175" s="20">
        <f t="shared" si="17"/>
        <v>-7.0000000000000001E-3</v>
      </c>
      <c r="M175" s="235"/>
      <c r="N175" s="43"/>
      <c r="O175" s="150">
        <f t="shared" si="15"/>
        <v>3</v>
      </c>
      <c r="P175" s="43">
        <v>2784</v>
      </c>
      <c r="Q175" s="27">
        <f t="shared" si="16"/>
        <v>0.99892357373519913</v>
      </c>
      <c r="R175" s="23"/>
      <c r="S175" s="173"/>
      <c r="T175" s="30"/>
      <c r="U175" s="23"/>
      <c r="V175" s="458"/>
      <c r="W175" s="421"/>
      <c r="X175" s="458"/>
      <c r="Y175" s="421"/>
      <c r="Z175" s="421"/>
      <c r="AA175" s="421"/>
      <c r="AB175" s="421"/>
      <c r="AC175" s="421"/>
      <c r="AD175" s="421"/>
    </row>
    <row r="176" spans="1:30" s="22" customFormat="1" x14ac:dyDescent="0.4">
      <c r="A176" s="177" t="s">
        <v>700</v>
      </c>
      <c r="B176" s="149" t="s">
        <v>3</v>
      </c>
      <c r="C176" s="30" t="str">
        <f>VLOOKUP(B176,'112年全品項生產鍋數'!A:H,2,0)</f>
        <v>天天開心草莓餡4.5KG</v>
      </c>
      <c r="D176" s="285">
        <v>40</v>
      </c>
      <c r="E176" s="48">
        <f>VLOOKUP(B176,'112年全品項生產鍋數'!A:H,3,0)</f>
        <v>4.5</v>
      </c>
      <c r="F176" s="45">
        <f>VLOOKUP(B176,'112年全品項生產鍋數'!A:H,7,0)</f>
        <v>36.299999999999997</v>
      </c>
      <c r="G176" s="49">
        <f t="shared" si="12"/>
        <v>1452</v>
      </c>
      <c r="H176" s="144">
        <v>1432</v>
      </c>
      <c r="I176" s="46">
        <f t="shared" si="13"/>
        <v>6444</v>
      </c>
      <c r="J176" s="100">
        <f t="shared" si="14"/>
        <v>0.98622589531680438</v>
      </c>
      <c r="K176" s="51">
        <f>VLOOKUP(B:B,'生產達成率(目標)'!A:C,3,0)</f>
        <v>1</v>
      </c>
      <c r="L176" s="20">
        <f t="shared" si="17"/>
        <v>-1.4E-2</v>
      </c>
      <c r="M176" s="235"/>
      <c r="N176" s="43"/>
      <c r="O176" s="150">
        <f t="shared" si="15"/>
        <v>0</v>
      </c>
      <c r="P176" s="43">
        <v>1432</v>
      </c>
      <c r="Q176" s="27">
        <f t="shared" si="16"/>
        <v>1</v>
      </c>
      <c r="R176" s="23"/>
      <c r="S176" s="173"/>
      <c r="T176" s="30"/>
      <c r="U176" s="23"/>
      <c r="V176" s="458"/>
      <c r="W176" s="421"/>
      <c r="X176" s="458"/>
      <c r="Y176" s="421"/>
      <c r="Z176" s="421"/>
      <c r="AA176" s="421"/>
      <c r="AB176" s="421"/>
      <c r="AC176" s="421"/>
      <c r="AD176" s="421"/>
    </row>
    <row r="177" spans="1:30" s="22" customFormat="1" x14ac:dyDescent="0.4">
      <c r="A177" s="177" t="s">
        <v>700</v>
      </c>
      <c r="B177" s="149" t="s">
        <v>9</v>
      </c>
      <c r="C177" s="30" t="str">
        <f>VLOOKUP(B177,'112年全品項生產鍋數'!A:H,2,0)</f>
        <v>＃1花生(1*2.8kg)</v>
      </c>
      <c r="D177" s="285">
        <v>60</v>
      </c>
      <c r="E177" s="48">
        <f>VLOOKUP(B177,'112年全品項生產鍋數'!A:H,3,0)</f>
        <v>2.8</v>
      </c>
      <c r="F177" s="45">
        <f>VLOOKUP(B177,'112年全品項生產鍋數'!A:H,7,0)</f>
        <v>44.5</v>
      </c>
      <c r="G177" s="49">
        <f t="shared" si="12"/>
        <v>2670</v>
      </c>
      <c r="H177" s="144">
        <v>2677</v>
      </c>
      <c r="I177" s="46">
        <f t="shared" si="13"/>
        <v>7495.5999999999995</v>
      </c>
      <c r="J177" s="100">
        <f t="shared" si="14"/>
        <v>1.002621722846442</v>
      </c>
      <c r="K177" s="51">
        <f>VLOOKUP(B:B,'生產達成率(目標)'!A:C,3,0)</f>
        <v>1</v>
      </c>
      <c r="L177" s="20">
        <f t="shared" si="17"/>
        <v>3.0000000000000001E-3</v>
      </c>
      <c r="M177" s="235"/>
      <c r="N177" s="43"/>
      <c r="O177" s="150">
        <f t="shared" si="15"/>
        <v>0</v>
      </c>
      <c r="P177" s="43">
        <v>2677</v>
      </c>
      <c r="Q177" s="27">
        <f t="shared" si="16"/>
        <v>1</v>
      </c>
      <c r="R177" s="23"/>
      <c r="S177" s="173"/>
      <c r="T177" s="30"/>
      <c r="U177" s="23"/>
      <c r="V177" s="458"/>
      <c r="W177" s="421"/>
      <c r="X177" s="458"/>
      <c r="Y177" s="421"/>
      <c r="Z177" s="421"/>
      <c r="AA177" s="421"/>
      <c r="AB177" s="421"/>
      <c r="AC177" s="421"/>
      <c r="AD177" s="421"/>
    </row>
    <row r="178" spans="1:30" s="22" customFormat="1" x14ac:dyDescent="0.4">
      <c r="A178" s="177" t="s">
        <v>701</v>
      </c>
      <c r="B178" s="149" t="s">
        <v>35</v>
      </c>
      <c r="C178" s="30" t="str">
        <f>VLOOKUP(B178,'112年全品項生產鍋數'!A:H,2,0)</f>
        <v>小圓草莓(1*170g)</v>
      </c>
      <c r="D178" s="285">
        <v>12</v>
      </c>
      <c r="E178" s="48">
        <f>VLOOKUP(B178,'112年全品項生產鍋數'!A:H,3,0)</f>
        <v>0.17</v>
      </c>
      <c r="F178" s="45">
        <f>VLOOKUP(B178,'112年全品項生產鍋數'!A:H,7,0)</f>
        <v>912.6</v>
      </c>
      <c r="G178" s="49">
        <f t="shared" si="12"/>
        <v>10951.2</v>
      </c>
      <c r="H178" s="144">
        <v>8487</v>
      </c>
      <c r="I178" s="46">
        <f t="shared" si="13"/>
        <v>1442.7900000000002</v>
      </c>
      <c r="J178" s="100">
        <f t="shared" si="14"/>
        <v>0.77498356344510189</v>
      </c>
      <c r="K178" s="51">
        <f>VLOOKUP(B:B,'生產達成率(目標)'!A:C,3,0)</f>
        <v>1</v>
      </c>
      <c r="L178" s="20">
        <f t="shared" si="17"/>
        <v>-0.22500000000000001</v>
      </c>
      <c r="M178" s="235"/>
      <c r="N178" s="43"/>
      <c r="O178" s="150">
        <f t="shared" si="15"/>
        <v>6</v>
      </c>
      <c r="P178" s="43">
        <v>8481</v>
      </c>
      <c r="Q178" s="27">
        <f t="shared" si="16"/>
        <v>0.99929303640862499</v>
      </c>
      <c r="R178" s="23"/>
      <c r="S178" s="173" t="s">
        <v>46</v>
      </c>
      <c r="T178" s="30"/>
      <c r="U178" s="23"/>
      <c r="V178" s="458"/>
      <c r="W178" s="421"/>
      <c r="X178" s="458"/>
      <c r="Y178" s="421"/>
      <c r="Z178" s="421"/>
      <c r="AA178" s="421"/>
      <c r="AB178" s="421"/>
      <c r="AC178" s="421"/>
      <c r="AD178" s="421"/>
    </row>
    <row r="179" spans="1:30" s="22" customFormat="1" x14ac:dyDescent="0.4">
      <c r="A179" s="177" t="s">
        <v>701</v>
      </c>
      <c r="B179" s="149" t="s">
        <v>36</v>
      </c>
      <c r="C179" s="30" t="str">
        <f>VLOOKUP(B179,'112年全品項生產鍋數'!A:H,2,0)</f>
        <v>開心草莓果醬(1*430g)</v>
      </c>
      <c r="D179" s="285">
        <v>15</v>
      </c>
      <c r="E179" s="48">
        <f>VLOOKUP(B179,'112年全品項生產鍋數'!A:H,3,0)</f>
        <v>0.43</v>
      </c>
      <c r="F179" s="45">
        <f>VLOOKUP(B179,'112年全品項生產鍋數'!A:H,7,0)</f>
        <v>364</v>
      </c>
      <c r="G179" s="49">
        <f t="shared" si="12"/>
        <v>5460</v>
      </c>
      <c r="H179" s="144">
        <v>5280</v>
      </c>
      <c r="I179" s="46">
        <f t="shared" si="13"/>
        <v>2270.4</v>
      </c>
      <c r="J179" s="100">
        <f t="shared" si="14"/>
        <v>0.96703296703296704</v>
      </c>
      <c r="K179" s="51">
        <f>VLOOKUP(B:B,'生產達成率(目標)'!A:C,3,0)</f>
        <v>1</v>
      </c>
      <c r="L179" s="20">
        <f t="shared" si="17"/>
        <v>-3.3000000000000002E-2</v>
      </c>
      <c r="M179" s="235"/>
      <c r="N179" s="43"/>
      <c r="O179" s="150">
        <f t="shared" si="15"/>
        <v>11</v>
      </c>
      <c r="P179" s="43">
        <v>5269</v>
      </c>
      <c r="Q179" s="27">
        <f t="shared" si="16"/>
        <v>0.99791666666666667</v>
      </c>
      <c r="R179" s="23"/>
      <c r="S179" s="173"/>
      <c r="T179" s="30"/>
      <c r="U179" s="23"/>
      <c r="V179" s="458"/>
      <c r="W179" s="421"/>
      <c r="X179" s="458"/>
      <c r="Y179" s="421"/>
      <c r="Z179" s="421"/>
      <c r="AA179" s="421"/>
      <c r="AB179" s="421"/>
      <c r="AC179" s="421"/>
      <c r="AD179" s="421"/>
    </row>
    <row r="180" spans="1:30" s="22" customFormat="1" x14ac:dyDescent="0.4">
      <c r="A180" s="177" t="s">
        <v>701</v>
      </c>
      <c r="B180" s="151" t="s">
        <v>18</v>
      </c>
      <c r="C180" s="30" t="str">
        <f>VLOOKUP(B180,'112年全品項生產鍋數'!A:H,2,0)</f>
        <v>PET瓶花生(粒)(1*340g)</v>
      </c>
      <c r="D180" s="285">
        <v>12.67</v>
      </c>
      <c r="E180" s="48">
        <f>VLOOKUP(B180,'112年全品項生產鍋數'!A:H,3,0)</f>
        <v>0.34</v>
      </c>
      <c r="F180" s="45">
        <f>VLOOKUP(B180,'112年全品項生產鍋數'!A:H,7,0)</f>
        <v>366</v>
      </c>
      <c r="G180" s="49">
        <f t="shared" si="12"/>
        <v>4637.22</v>
      </c>
      <c r="H180" s="144">
        <v>4563</v>
      </c>
      <c r="I180" s="46">
        <f t="shared" si="13"/>
        <v>1551.42</v>
      </c>
      <c r="J180" s="100">
        <f t="shared" si="14"/>
        <v>0.98399472097506691</v>
      </c>
      <c r="K180" s="51">
        <f>VLOOKUP(B:B,'生產達成率(目標)'!A:C,3,0)</f>
        <v>1</v>
      </c>
      <c r="L180" s="20">
        <f t="shared" si="17"/>
        <v>-1.6E-2</v>
      </c>
      <c r="M180" s="235"/>
      <c r="N180" s="43"/>
      <c r="O180" s="150">
        <f t="shared" si="15"/>
        <v>3</v>
      </c>
      <c r="P180" s="43">
        <v>4560</v>
      </c>
      <c r="Q180" s="27">
        <f t="shared" si="16"/>
        <v>0.99934253780407623</v>
      </c>
      <c r="R180" s="23"/>
      <c r="S180" s="173"/>
      <c r="T180" s="30"/>
      <c r="U180" s="23"/>
      <c r="V180" s="458"/>
      <c r="W180" s="421"/>
      <c r="X180" s="458"/>
      <c r="Y180" s="421"/>
      <c r="Z180" s="421"/>
      <c r="AA180" s="421"/>
      <c r="AB180" s="421"/>
      <c r="AC180" s="421"/>
      <c r="AD180" s="421"/>
    </row>
    <row r="181" spans="1:30" s="22" customFormat="1" x14ac:dyDescent="0.4">
      <c r="A181" s="177" t="s">
        <v>701</v>
      </c>
      <c r="B181" s="150" t="s">
        <v>424</v>
      </c>
      <c r="C181" s="30" t="str">
        <f>VLOOKUP(B181,'112年全品項生產鍋數'!A:H,2,0)</f>
        <v>佳樂美花生醬(粒)(1*340g)</v>
      </c>
      <c r="D181" s="285">
        <v>7.33</v>
      </c>
      <c r="E181" s="48">
        <f>VLOOKUP(B181,'112年全品項生產鍋數'!A:H,3,0)</f>
        <v>0.34</v>
      </c>
      <c r="F181" s="45">
        <f>VLOOKUP(B181,'112年全品項生產鍋數'!A:H,7,0)</f>
        <v>366</v>
      </c>
      <c r="G181" s="49">
        <f t="shared" si="12"/>
        <v>2682.78</v>
      </c>
      <c r="H181" s="144">
        <v>2640</v>
      </c>
      <c r="I181" s="46">
        <f t="shared" si="13"/>
        <v>897.6</v>
      </c>
      <c r="J181" s="100">
        <f t="shared" si="14"/>
        <v>0.984053854583678</v>
      </c>
      <c r="K181" s="51">
        <v>1</v>
      </c>
      <c r="L181" s="20">
        <f t="shared" si="17"/>
        <v>-1.6E-2</v>
      </c>
      <c r="M181" s="235"/>
      <c r="N181" s="43"/>
      <c r="O181" s="150">
        <f t="shared" si="15"/>
        <v>0</v>
      </c>
      <c r="P181" s="43">
        <v>2640</v>
      </c>
      <c r="Q181" s="27">
        <f t="shared" si="16"/>
        <v>1</v>
      </c>
      <c r="R181" s="23"/>
      <c r="S181" s="173"/>
      <c r="T181" s="30"/>
      <c r="U181" s="23"/>
      <c r="V181" s="458"/>
      <c r="W181" s="421"/>
      <c r="X181" s="458"/>
      <c r="Y181" s="421"/>
      <c r="Z181" s="421"/>
      <c r="AA181" s="421"/>
      <c r="AB181" s="421"/>
      <c r="AC181" s="421"/>
      <c r="AD181" s="421"/>
    </row>
    <row r="182" spans="1:30" s="22" customFormat="1" x14ac:dyDescent="0.4">
      <c r="A182" s="177" t="s">
        <v>701</v>
      </c>
      <c r="B182" s="149" t="s">
        <v>23</v>
      </c>
      <c r="C182" s="30" t="str">
        <f>VLOOKUP(B182,'112年全品項生產鍋數'!A:H,2,0)</f>
        <v>＃1花生(粒)(1*2.8kg)</v>
      </c>
      <c r="D182" s="285">
        <v>28</v>
      </c>
      <c r="E182" s="48">
        <f>VLOOKUP(B182,'112年全品項生產鍋數'!A:H,3,0)</f>
        <v>2.8</v>
      </c>
      <c r="F182" s="45">
        <f>VLOOKUP(B182,'112年全品項生產鍋數'!A:H,7,0)</f>
        <v>44.2</v>
      </c>
      <c r="G182" s="49">
        <f t="shared" si="12"/>
        <v>1237.6000000000001</v>
      </c>
      <c r="H182" s="144">
        <v>1250</v>
      </c>
      <c r="I182" s="46">
        <f t="shared" si="13"/>
        <v>3500</v>
      </c>
      <c r="J182" s="100">
        <f t="shared" si="14"/>
        <v>1.0100193923723335</v>
      </c>
      <c r="K182" s="51">
        <f>VLOOKUP(B:B,'生產達成率(目標)'!A:C,3,0)</f>
        <v>1</v>
      </c>
      <c r="L182" s="20">
        <f t="shared" si="17"/>
        <v>0.01</v>
      </c>
      <c r="M182" s="235"/>
      <c r="N182" s="43"/>
      <c r="O182" s="150">
        <f t="shared" si="15"/>
        <v>1</v>
      </c>
      <c r="P182" s="43">
        <v>1249</v>
      </c>
      <c r="Q182" s="27">
        <f t="shared" si="16"/>
        <v>0.99919999999999998</v>
      </c>
      <c r="R182" s="23"/>
      <c r="S182" s="173"/>
      <c r="T182" s="30"/>
      <c r="U182" s="23"/>
      <c r="V182" s="458"/>
      <c r="W182" s="421"/>
      <c r="X182" s="458"/>
      <c r="Y182" s="421"/>
      <c r="Z182" s="421"/>
      <c r="AA182" s="421"/>
      <c r="AB182" s="421"/>
      <c r="AC182" s="421"/>
      <c r="AD182" s="421"/>
    </row>
    <row r="183" spans="1:30" s="22" customFormat="1" x14ac:dyDescent="0.4">
      <c r="A183" s="177" t="s">
        <v>702</v>
      </c>
      <c r="B183" s="149" t="s">
        <v>12</v>
      </c>
      <c r="C183" s="30" t="str">
        <f>VLOOKUP(B183,'112年全品項生產鍋數'!A:H,2,0)</f>
        <v>＃1草莓(1*3.2kg)</v>
      </c>
      <c r="D183" s="285">
        <v>80</v>
      </c>
      <c r="E183" s="48">
        <f>VLOOKUP(B183,'112年全品項生產鍋數'!A:H,3,0)</f>
        <v>3.2</v>
      </c>
      <c r="F183" s="45">
        <f>VLOOKUP(B183,'112年全品項生產鍋數'!A:H,7,0)</f>
        <v>46.8</v>
      </c>
      <c r="G183" s="49">
        <f t="shared" si="12"/>
        <v>3744</v>
      </c>
      <c r="H183" s="144">
        <v>3725</v>
      </c>
      <c r="I183" s="46">
        <f t="shared" si="13"/>
        <v>11920</v>
      </c>
      <c r="J183" s="100">
        <f t="shared" si="14"/>
        <v>0.99492521367521369</v>
      </c>
      <c r="K183" s="51">
        <f>VLOOKUP(B:B,'生產達成率(目標)'!A:C,3,0)</f>
        <v>1</v>
      </c>
      <c r="L183" s="20">
        <f t="shared" si="17"/>
        <v>-5.0000000000000001E-3</v>
      </c>
      <c r="M183" s="235"/>
      <c r="N183" s="43"/>
      <c r="O183" s="150">
        <f t="shared" si="15"/>
        <v>2</v>
      </c>
      <c r="P183" s="43">
        <v>3723</v>
      </c>
      <c r="Q183" s="27">
        <f t="shared" si="16"/>
        <v>0.99946308724832211</v>
      </c>
      <c r="R183" s="23"/>
      <c r="S183" s="172">
        <v>74</v>
      </c>
      <c r="T183" s="52" t="s">
        <v>929</v>
      </c>
      <c r="U183" s="23"/>
      <c r="V183" s="458"/>
      <c r="W183" s="421"/>
      <c r="X183" s="458"/>
      <c r="Y183" s="421"/>
      <c r="Z183" s="421"/>
      <c r="AA183" s="421"/>
      <c r="AB183" s="421"/>
      <c r="AC183" s="421"/>
      <c r="AD183" s="421"/>
    </row>
    <row r="184" spans="1:30" s="22" customFormat="1" x14ac:dyDescent="0.4">
      <c r="A184" s="177" t="s">
        <v>702</v>
      </c>
      <c r="B184" s="149" t="s">
        <v>2</v>
      </c>
      <c r="C184" s="30" t="str">
        <f>VLOOKUP(B184,'112年全品項生產鍋數'!A:H,2,0)</f>
        <v>草莓醬(1*6kg)</v>
      </c>
      <c r="D184" s="285">
        <v>24</v>
      </c>
      <c r="E184" s="48">
        <f>VLOOKUP(B184,'112年全品項生產鍋數'!A:H,3,0)</f>
        <v>6</v>
      </c>
      <c r="F184" s="45">
        <f>VLOOKUP(B184,'112年全品項生產鍋數'!A:H,7,0)</f>
        <v>26.6</v>
      </c>
      <c r="G184" s="49">
        <f t="shared" si="12"/>
        <v>638.40000000000009</v>
      </c>
      <c r="H184" s="144">
        <v>636</v>
      </c>
      <c r="I184" s="46">
        <f t="shared" si="13"/>
        <v>3816</v>
      </c>
      <c r="J184" s="100">
        <f t="shared" si="14"/>
        <v>0.99624060150375926</v>
      </c>
      <c r="K184" s="51">
        <f>VLOOKUP(B:B,'生產達成率(目標)'!A:C,3,0)</f>
        <v>1</v>
      </c>
      <c r="L184" s="20">
        <f t="shared" si="17"/>
        <v>-4.0000000000000001E-3</v>
      </c>
      <c r="M184" s="235"/>
      <c r="N184" s="43"/>
      <c r="O184" s="150">
        <f t="shared" si="15"/>
        <v>1</v>
      </c>
      <c r="P184" s="43">
        <v>635</v>
      </c>
      <c r="Q184" s="27">
        <f t="shared" si="16"/>
        <v>0.99842767295597479</v>
      </c>
      <c r="R184" s="23"/>
      <c r="S184" s="173"/>
      <c r="T184" s="30"/>
      <c r="U184" s="23"/>
      <c r="V184" s="458"/>
      <c r="W184" s="421"/>
      <c r="X184" s="458"/>
      <c r="Y184" s="421"/>
      <c r="Z184" s="421"/>
      <c r="AA184" s="421"/>
      <c r="AB184" s="421"/>
      <c r="AC184" s="421"/>
      <c r="AD184" s="421"/>
    </row>
    <row r="185" spans="1:30" s="22" customFormat="1" x14ac:dyDescent="0.4">
      <c r="A185" s="177" t="s">
        <v>702</v>
      </c>
      <c r="B185" s="149" t="s">
        <v>8</v>
      </c>
      <c r="C185" s="30" t="str">
        <f>VLOOKUP(B185,'112年全品項生產鍋數'!A:H,2,0)</f>
        <v>藍莓餡(1*6KG)</v>
      </c>
      <c r="D185" s="285">
        <v>20</v>
      </c>
      <c r="E185" s="48">
        <f>VLOOKUP(B185,'112年全品項生產鍋數'!A:H,3,0)</f>
        <v>6</v>
      </c>
      <c r="F185" s="45">
        <f>VLOOKUP(B185,'112年全品項生產鍋數'!A:H,7,0)</f>
        <v>25.4</v>
      </c>
      <c r="G185" s="49">
        <f t="shared" si="12"/>
        <v>508</v>
      </c>
      <c r="H185" s="144">
        <v>543</v>
      </c>
      <c r="I185" s="46">
        <f t="shared" si="13"/>
        <v>3258</v>
      </c>
      <c r="J185" s="100">
        <f t="shared" si="14"/>
        <v>1.0688976377952757</v>
      </c>
      <c r="K185" s="51">
        <f>VLOOKUP(B:B,'生產達成率(目標)'!A:C,3,0)</f>
        <v>1</v>
      </c>
      <c r="L185" s="20">
        <f t="shared" si="17"/>
        <v>6.9000000000000006E-2</v>
      </c>
      <c r="M185" s="235"/>
      <c r="N185" s="43"/>
      <c r="O185" s="150">
        <f t="shared" si="15"/>
        <v>3</v>
      </c>
      <c r="P185" s="43">
        <v>540</v>
      </c>
      <c r="Q185" s="27">
        <f t="shared" si="16"/>
        <v>0.99447513812154698</v>
      </c>
      <c r="R185" s="23"/>
      <c r="S185" s="172">
        <f>33*6</f>
        <v>198</v>
      </c>
      <c r="T185" s="52" t="s">
        <v>939</v>
      </c>
      <c r="U185" s="23"/>
      <c r="V185" s="458"/>
      <c r="W185" s="421"/>
      <c r="X185" s="458"/>
      <c r="Y185" s="421"/>
      <c r="Z185" s="421"/>
      <c r="AA185" s="421"/>
      <c r="AB185" s="421"/>
      <c r="AC185" s="421"/>
      <c r="AD185" s="421"/>
    </row>
    <row r="186" spans="1:30" s="22" customFormat="1" x14ac:dyDescent="0.4">
      <c r="A186" s="177" t="s">
        <v>702</v>
      </c>
      <c r="B186" s="149" t="s">
        <v>22</v>
      </c>
      <c r="C186" s="30" t="str">
        <f>VLOOKUP(B186,'112年全品項生產鍋數'!A:H,2,0)</f>
        <v>PET瓶花生(1*340g)</v>
      </c>
      <c r="D186" s="285">
        <v>8.86</v>
      </c>
      <c r="E186" s="48">
        <f>VLOOKUP(B186,'112年全品項生產鍋數'!A:H,3,0)</f>
        <v>0.34</v>
      </c>
      <c r="F186" s="45">
        <f>VLOOKUP(B186,'112年全品項生產鍋數'!A:H,7,0)</f>
        <v>358.3</v>
      </c>
      <c r="G186" s="49">
        <f t="shared" si="12"/>
        <v>3174.538</v>
      </c>
      <c r="H186" s="144">
        <v>3170</v>
      </c>
      <c r="I186" s="46">
        <f t="shared" si="13"/>
        <v>1077.8000000000002</v>
      </c>
      <c r="J186" s="100">
        <f t="shared" si="14"/>
        <v>0.9985705006523784</v>
      </c>
      <c r="K186" s="51">
        <f>VLOOKUP(B:B,'生產達成率(目標)'!A:C,3,0)</f>
        <v>1</v>
      </c>
      <c r="L186" s="20">
        <f t="shared" si="17"/>
        <v>-1E-3</v>
      </c>
      <c r="M186" s="235"/>
      <c r="N186" s="43"/>
      <c r="O186" s="150">
        <f t="shared" si="15"/>
        <v>3</v>
      </c>
      <c r="P186" s="43">
        <v>3167</v>
      </c>
      <c r="Q186" s="27">
        <f t="shared" si="16"/>
        <v>0.99905362776025242</v>
      </c>
      <c r="R186" s="23"/>
      <c r="S186" s="173"/>
      <c r="T186" s="30"/>
      <c r="U186" s="23"/>
      <c r="V186" s="458"/>
      <c r="W186" s="421"/>
      <c r="X186" s="458"/>
      <c r="Y186" s="421"/>
      <c r="Z186" s="421"/>
      <c r="AA186" s="421"/>
      <c r="AB186" s="421"/>
      <c r="AC186" s="421"/>
      <c r="AD186" s="421"/>
    </row>
    <row r="187" spans="1:30" s="22" customFormat="1" x14ac:dyDescent="0.4">
      <c r="A187" s="177" t="s">
        <v>702</v>
      </c>
      <c r="B187" s="149" t="s">
        <v>44</v>
      </c>
      <c r="C187" s="30" t="str">
        <f>VLOOKUP(B187,'112年全品項生產鍋數'!A:H,2,0)</f>
        <v>佳樂美細花(1*340g)</v>
      </c>
      <c r="D187" s="285">
        <v>7.14</v>
      </c>
      <c r="E187" s="48">
        <f>VLOOKUP(B187,'112年全品項生產鍋數'!A:H,3,0)</f>
        <v>0.34</v>
      </c>
      <c r="F187" s="45">
        <f>VLOOKUP(B187,'112年全品項生產鍋數'!A:H,7,0)</f>
        <v>366</v>
      </c>
      <c r="G187" s="49">
        <f t="shared" si="12"/>
        <v>2613.2399999999998</v>
      </c>
      <c r="H187" s="144">
        <v>2628</v>
      </c>
      <c r="I187" s="46">
        <f t="shared" si="13"/>
        <v>893.5200000000001</v>
      </c>
      <c r="J187" s="100">
        <f t="shared" si="14"/>
        <v>1.0056481609037058</v>
      </c>
      <c r="K187" s="51">
        <v>1</v>
      </c>
      <c r="L187" s="20">
        <f t="shared" si="17"/>
        <v>6.0000000000000001E-3</v>
      </c>
      <c r="M187" s="235"/>
      <c r="N187" s="43"/>
      <c r="O187" s="150">
        <f t="shared" si="15"/>
        <v>0</v>
      </c>
      <c r="P187" s="43">
        <v>2628</v>
      </c>
      <c r="Q187" s="27">
        <f t="shared" si="16"/>
        <v>1</v>
      </c>
      <c r="R187" s="23"/>
      <c r="S187" s="173"/>
      <c r="T187" s="30"/>
      <c r="U187" s="23"/>
      <c r="V187" s="458"/>
      <c r="W187" s="421"/>
      <c r="X187" s="458"/>
      <c r="Y187" s="421"/>
      <c r="Z187" s="421"/>
      <c r="AA187" s="421"/>
      <c r="AB187" s="421"/>
      <c r="AC187" s="421"/>
      <c r="AD187" s="421"/>
    </row>
    <row r="188" spans="1:30" s="22" customFormat="1" x14ac:dyDescent="0.4">
      <c r="A188" s="177" t="s">
        <v>702</v>
      </c>
      <c r="B188" s="149" t="s">
        <v>5</v>
      </c>
      <c r="C188" s="30" t="str">
        <f>VLOOKUP(B188,'112年全品項生產鍋數'!A:H,2,0)</f>
        <v>＃2花生（粒）(1*900g)</v>
      </c>
      <c r="D188" s="285">
        <v>20</v>
      </c>
      <c r="E188" s="48">
        <f>VLOOKUP(B188,'112年全品項生產鍋數'!A:H,3,0)</f>
        <v>0.9</v>
      </c>
      <c r="F188" s="45">
        <f>VLOOKUP(B188,'112年全品項生產鍋數'!A:H,7,0)</f>
        <v>139.30000000000001</v>
      </c>
      <c r="G188" s="49">
        <f t="shared" si="12"/>
        <v>2786</v>
      </c>
      <c r="H188" s="144">
        <v>2771</v>
      </c>
      <c r="I188" s="46">
        <f t="shared" si="13"/>
        <v>2493.9</v>
      </c>
      <c r="J188" s="100">
        <f t="shared" si="14"/>
        <v>0.99461593682699212</v>
      </c>
      <c r="K188" s="51">
        <f>VLOOKUP(B:B,'生產達成率(目標)'!A:C,3,0)</f>
        <v>1</v>
      </c>
      <c r="L188" s="20">
        <f t="shared" si="17"/>
        <v>-5.0000000000000001E-3</v>
      </c>
      <c r="M188" s="235"/>
      <c r="N188" s="43"/>
      <c r="O188" s="150">
        <f t="shared" si="15"/>
        <v>2</v>
      </c>
      <c r="P188" s="43">
        <v>2769</v>
      </c>
      <c r="Q188" s="27">
        <f t="shared" si="16"/>
        <v>0.99927823890292311</v>
      </c>
      <c r="R188" s="23"/>
      <c r="S188" s="173"/>
      <c r="T188" s="30"/>
      <c r="U188" s="23"/>
      <c r="V188" s="458"/>
      <c r="W188" s="421"/>
      <c r="X188" s="458"/>
      <c r="Y188" s="421"/>
      <c r="Z188" s="421"/>
      <c r="AA188" s="421"/>
      <c r="AB188" s="421"/>
      <c r="AC188" s="421"/>
      <c r="AD188" s="421"/>
    </row>
    <row r="189" spans="1:30" s="22" customFormat="1" x14ac:dyDescent="0.4">
      <c r="A189" s="177" t="s">
        <v>703</v>
      </c>
      <c r="B189" s="149" t="s">
        <v>21</v>
      </c>
      <c r="C189" s="30" t="str">
        <f>VLOOKUP(B189,'112年全品項生產鍋數'!A:H,2,0)</f>
        <v>梨山草莓果醬(1*430g)</v>
      </c>
      <c r="D189" s="285">
        <v>12</v>
      </c>
      <c r="E189" s="48">
        <f>VLOOKUP(B189,'112年全品項生產鍋數'!A:H,3,0)</f>
        <v>0.43</v>
      </c>
      <c r="F189" s="45">
        <f>VLOOKUP(B189,'112年全品項生產鍋數'!A:H,7,0)</f>
        <v>340.4</v>
      </c>
      <c r="G189" s="49">
        <f t="shared" si="12"/>
        <v>4084.7999999999997</v>
      </c>
      <c r="H189" s="144">
        <v>4012</v>
      </c>
      <c r="I189" s="46">
        <f t="shared" si="13"/>
        <v>1725.16</v>
      </c>
      <c r="J189" s="100">
        <f t="shared" si="14"/>
        <v>0.98217783000391701</v>
      </c>
      <c r="K189" s="51">
        <f>VLOOKUP(B:B,'生產達成率(目標)'!A:C,3,0)</f>
        <v>1</v>
      </c>
      <c r="L189" s="20">
        <f t="shared" si="17"/>
        <v>-1.7999999999999999E-2</v>
      </c>
      <c r="M189" s="235"/>
      <c r="N189" s="43"/>
      <c r="O189" s="150">
        <f t="shared" si="15"/>
        <v>4</v>
      </c>
      <c r="P189" s="43">
        <v>4008</v>
      </c>
      <c r="Q189" s="27">
        <f t="shared" si="16"/>
        <v>0.99900299102691925</v>
      </c>
      <c r="R189" s="23"/>
      <c r="S189" s="173"/>
      <c r="T189" s="30"/>
      <c r="U189" s="23"/>
      <c r="V189" s="458"/>
      <c r="W189" s="421"/>
      <c r="X189" s="458"/>
      <c r="Y189" s="421"/>
      <c r="Z189" s="421"/>
      <c r="AA189" s="421"/>
      <c r="AB189" s="421"/>
      <c r="AC189" s="421"/>
      <c r="AD189" s="421"/>
    </row>
    <row r="190" spans="1:30" s="22" customFormat="1" x14ac:dyDescent="0.4">
      <c r="A190" s="177" t="s">
        <v>703</v>
      </c>
      <c r="B190" s="149" t="s">
        <v>6</v>
      </c>
      <c r="C190" s="30" t="str">
        <f>VLOOKUP(B190,'112年全品項生產鍋數'!A:H,2,0)</f>
        <v>大圓草莓-新</v>
      </c>
      <c r="D190" s="285">
        <v>24</v>
      </c>
      <c r="E190" s="48">
        <f>VLOOKUP(B190,'112年全品項生產鍋數'!A:H,3,0)</f>
        <v>0.44</v>
      </c>
      <c r="F190" s="45">
        <f>VLOOKUP(B190,'112年全品項生產鍋數'!A:H,7,0)</f>
        <v>344</v>
      </c>
      <c r="G190" s="49">
        <f t="shared" si="12"/>
        <v>8256</v>
      </c>
      <c r="H190" s="144">
        <v>8092</v>
      </c>
      <c r="I190" s="46">
        <f t="shared" si="13"/>
        <v>3560.48</v>
      </c>
      <c r="J190" s="100">
        <f t="shared" si="14"/>
        <v>0.98013565891472865</v>
      </c>
      <c r="K190" s="51">
        <f>VLOOKUP(B:B,'生產達成率(目標)'!A:C,3,0)</f>
        <v>1</v>
      </c>
      <c r="L190" s="20">
        <f t="shared" si="17"/>
        <v>-0.02</v>
      </c>
      <c r="M190" s="235"/>
      <c r="N190" s="43"/>
      <c r="O190" s="150">
        <f t="shared" si="15"/>
        <v>7</v>
      </c>
      <c r="P190" s="43">
        <v>8085</v>
      </c>
      <c r="Q190" s="27">
        <f t="shared" si="16"/>
        <v>0.99913494809688586</v>
      </c>
      <c r="R190" s="23"/>
      <c r="S190" s="173"/>
      <c r="T190" s="30"/>
      <c r="U190" s="23"/>
      <c r="V190" s="458"/>
      <c r="W190" s="421"/>
      <c r="X190" s="458"/>
      <c r="Y190" s="421"/>
      <c r="Z190" s="421"/>
      <c r="AA190" s="421"/>
      <c r="AB190" s="421"/>
      <c r="AC190" s="421"/>
      <c r="AD190" s="421"/>
    </row>
    <row r="191" spans="1:30" s="22" customFormat="1" x14ac:dyDescent="0.4">
      <c r="A191" s="177" t="s">
        <v>703</v>
      </c>
      <c r="B191" s="149" t="s">
        <v>37</v>
      </c>
      <c r="C191" s="30" t="str">
        <f>VLOOKUP(B191,'112年全品項生產鍋數'!A:H,2,0)</f>
        <v>蘋果寡糖果醬(260G)</v>
      </c>
      <c r="D191" s="285">
        <v>3</v>
      </c>
      <c r="E191" s="48">
        <f>VLOOKUP(B191,'112年全品項生產鍋數'!A:H,3,0)</f>
        <v>0.26</v>
      </c>
      <c r="F191" s="45">
        <f>VLOOKUP(B191,'112年全品項生產鍋數'!A:H,7,0)</f>
        <v>580</v>
      </c>
      <c r="G191" s="49">
        <f t="shared" si="12"/>
        <v>1740</v>
      </c>
      <c r="H191" s="144">
        <v>1744</v>
      </c>
      <c r="I191" s="46">
        <f t="shared" si="13"/>
        <v>453.44</v>
      </c>
      <c r="J191" s="100">
        <f t="shared" si="14"/>
        <v>1.0022988505747126</v>
      </c>
      <c r="K191" s="51">
        <f>VLOOKUP(B:B,'生產達成率(目標)'!A:C,3,0)</f>
        <v>1</v>
      </c>
      <c r="L191" s="20">
        <f t="shared" si="17"/>
        <v>2E-3</v>
      </c>
      <c r="M191" s="235"/>
      <c r="N191" s="43"/>
      <c r="O191" s="150">
        <f t="shared" si="15"/>
        <v>6</v>
      </c>
      <c r="P191" s="43">
        <v>1738</v>
      </c>
      <c r="Q191" s="27">
        <f t="shared" si="16"/>
        <v>0.99655963302752293</v>
      </c>
      <c r="R191" s="23"/>
      <c r="S191" s="173"/>
      <c r="T191" s="30"/>
      <c r="U191" s="23"/>
      <c r="V191" s="458"/>
      <c r="W191" s="421"/>
      <c r="X191" s="458"/>
      <c r="Y191" s="421"/>
      <c r="Z191" s="421"/>
      <c r="AA191" s="421"/>
      <c r="AB191" s="421"/>
      <c r="AC191" s="421"/>
      <c r="AD191" s="421"/>
    </row>
    <row r="192" spans="1:30" s="22" customFormat="1" x14ac:dyDescent="0.4">
      <c r="A192" s="177" t="s">
        <v>703</v>
      </c>
      <c r="B192" s="149" t="s">
        <v>14</v>
      </c>
      <c r="C192" s="30" t="str">
        <f>VLOOKUP(B192,'112年全品項生產鍋數'!A:H,2,0)</f>
        <v>草莓餡50°(1*6Kg)</v>
      </c>
      <c r="D192" s="285">
        <v>8</v>
      </c>
      <c r="E192" s="48">
        <f>VLOOKUP(B192,'112年全品項生產鍋數'!A:H,3,0)</f>
        <v>6</v>
      </c>
      <c r="F192" s="45">
        <f>VLOOKUP(B192,'112年全品項生產鍋數'!A:H,7,0)</f>
        <v>25</v>
      </c>
      <c r="G192" s="49">
        <f t="shared" si="12"/>
        <v>200</v>
      </c>
      <c r="H192" s="144">
        <v>199</v>
      </c>
      <c r="I192" s="46">
        <f t="shared" si="13"/>
        <v>1194</v>
      </c>
      <c r="J192" s="100">
        <f t="shared" si="14"/>
        <v>0.995</v>
      </c>
      <c r="K192" s="51">
        <f>VLOOKUP(B:B,'生產達成率(目標)'!A:C,3,0)</f>
        <v>1</v>
      </c>
      <c r="L192" s="20">
        <f t="shared" si="17"/>
        <v>-5.0000000000000001E-3</v>
      </c>
      <c r="M192" s="235"/>
      <c r="N192" s="43"/>
      <c r="O192" s="150">
        <f t="shared" si="15"/>
        <v>1</v>
      </c>
      <c r="P192" s="43">
        <v>198</v>
      </c>
      <c r="Q192" s="27">
        <f t="shared" si="16"/>
        <v>0.99497487437185927</v>
      </c>
      <c r="R192" s="23"/>
      <c r="S192" s="173"/>
      <c r="T192" s="30"/>
      <c r="U192" s="23"/>
      <c r="V192" s="458"/>
      <c r="W192" s="421"/>
      <c r="X192" s="458"/>
      <c r="Y192" s="421"/>
      <c r="Z192" s="421"/>
      <c r="AA192" s="421"/>
      <c r="AB192" s="421"/>
      <c r="AC192" s="421"/>
      <c r="AD192" s="421"/>
    </row>
    <row r="193" spans="1:30" s="22" customFormat="1" x14ac:dyDescent="0.4">
      <c r="A193" s="177" t="s">
        <v>703</v>
      </c>
      <c r="B193" s="149" t="s">
        <v>7</v>
      </c>
      <c r="C193" s="30" t="str">
        <f>VLOOKUP(B193,'112年全品項生產鍋數'!A:H,2,0)</f>
        <v>草莓蒟蒻餡(1*6kg)</v>
      </c>
      <c r="D193" s="285">
        <v>28</v>
      </c>
      <c r="E193" s="48">
        <f>VLOOKUP(B193,'112年全品項生產鍋數'!A:H,3,0)</f>
        <v>6</v>
      </c>
      <c r="F193" s="45">
        <f>VLOOKUP(B193,'112年全品項生產鍋數'!A:H,7,0)</f>
        <v>25.7</v>
      </c>
      <c r="G193" s="49">
        <f t="shared" si="12"/>
        <v>719.6</v>
      </c>
      <c r="H193" s="144">
        <v>715</v>
      </c>
      <c r="I193" s="46">
        <f t="shared" si="13"/>
        <v>4290</v>
      </c>
      <c r="J193" s="100">
        <f t="shared" si="14"/>
        <v>0.9936075597554197</v>
      </c>
      <c r="K193" s="51">
        <f>VLOOKUP(B:B,'生產達成率(目標)'!A:C,3,0)</f>
        <v>1</v>
      </c>
      <c r="L193" s="20">
        <f t="shared" si="17"/>
        <v>-6.0000000000000001E-3</v>
      </c>
      <c r="M193" s="235"/>
      <c r="N193" s="43"/>
      <c r="O193" s="150">
        <f t="shared" si="15"/>
        <v>4</v>
      </c>
      <c r="P193" s="43">
        <v>711</v>
      </c>
      <c r="Q193" s="27">
        <f t="shared" si="16"/>
        <v>0.9944055944055944</v>
      </c>
      <c r="R193" s="23"/>
      <c r="S193" s="173"/>
      <c r="T193" s="30"/>
      <c r="U193" s="23"/>
      <c r="V193" s="458"/>
      <c r="W193" s="421"/>
      <c r="X193" s="458"/>
      <c r="Y193" s="421"/>
      <c r="Z193" s="421"/>
      <c r="AA193" s="421"/>
      <c r="AB193" s="421"/>
      <c r="AC193" s="421"/>
      <c r="AD193" s="421"/>
    </row>
    <row r="194" spans="1:30" s="22" customFormat="1" x14ac:dyDescent="0.4">
      <c r="A194" s="177" t="s">
        <v>703</v>
      </c>
      <c r="B194" s="149" t="s">
        <v>23</v>
      </c>
      <c r="C194" s="30" t="str">
        <f>VLOOKUP(B194,'112年全品項生產鍋數'!A:H,2,0)</f>
        <v>＃1花生(粒)(1*2.8kg)</v>
      </c>
      <c r="D194" s="285">
        <v>45.74</v>
      </c>
      <c r="E194" s="48">
        <f>VLOOKUP(B194,'112年全品項生產鍋數'!A:H,3,0)</f>
        <v>2.8</v>
      </c>
      <c r="F194" s="45">
        <f>VLOOKUP(B194,'112年全品項生產鍋數'!A:H,7,0)</f>
        <v>44.2</v>
      </c>
      <c r="G194" s="49">
        <f t="shared" ref="G194:G257" si="18">D194*F194</f>
        <v>2021.7080000000003</v>
      </c>
      <c r="H194" s="144">
        <v>2034</v>
      </c>
      <c r="I194" s="46">
        <f t="shared" ref="I194:I257" si="19">H194*E194</f>
        <v>5695.2</v>
      </c>
      <c r="J194" s="100">
        <f t="shared" ref="J194:J257" si="20">IF(G194=0,"無法預估數據",H194/G194)</f>
        <v>1.0060800075975362</v>
      </c>
      <c r="K194" s="51">
        <f>VLOOKUP(B:B,'生產達成率(目標)'!A:C,3,0)</f>
        <v>1</v>
      </c>
      <c r="L194" s="20">
        <f t="shared" si="17"/>
        <v>6.0000000000000001E-3</v>
      </c>
      <c r="M194" s="235"/>
      <c r="N194" s="43"/>
      <c r="O194" s="150">
        <f t="shared" ref="O194:O257" si="21">H194-N194-P194</f>
        <v>1</v>
      </c>
      <c r="P194" s="43">
        <v>2033</v>
      </c>
      <c r="Q194" s="27">
        <f t="shared" ref="Q194:Q257" si="22">P194/H194</f>
        <v>0.99950835791543757</v>
      </c>
      <c r="R194" s="23"/>
      <c r="S194" s="173"/>
      <c r="T194" s="30"/>
      <c r="U194" s="23"/>
      <c r="V194" s="458"/>
      <c r="W194" s="421"/>
      <c r="X194" s="458"/>
      <c r="Y194" s="421"/>
      <c r="Z194" s="421"/>
      <c r="AA194" s="421"/>
      <c r="AB194" s="421"/>
      <c r="AC194" s="421"/>
      <c r="AD194" s="421"/>
    </row>
    <row r="195" spans="1:30" s="22" customFormat="1" x14ac:dyDescent="0.4">
      <c r="A195" s="177" t="s">
        <v>703</v>
      </c>
      <c r="B195" s="149" t="s">
        <v>45</v>
      </c>
      <c r="C195" s="30" t="str">
        <f>VLOOKUP(B195,'112年全品項生產鍋數'!A:H,2,0)</f>
        <v>顆粒花生醬（1*18kg)</v>
      </c>
      <c r="D195" s="285">
        <v>14.26</v>
      </c>
      <c r="E195" s="48">
        <f>VLOOKUP(B195,'112年全品項生產鍋數'!A:H,3,0)</f>
        <v>18</v>
      </c>
      <c r="F195" s="45">
        <f>VLOOKUP(B195,'112年全品項生產鍋數'!A:H,7,0)</f>
        <v>7</v>
      </c>
      <c r="G195" s="49">
        <f t="shared" si="18"/>
        <v>99.82</v>
      </c>
      <c r="H195" s="144">
        <v>100</v>
      </c>
      <c r="I195" s="46">
        <f t="shared" si="19"/>
        <v>1800</v>
      </c>
      <c r="J195" s="100">
        <f t="shared" si="20"/>
        <v>1.0018032458425166</v>
      </c>
      <c r="K195" s="51">
        <f>VLOOKUP(B:B,'生產達成率(目標)'!A:C,3,0)</f>
        <v>1</v>
      </c>
      <c r="L195" s="20">
        <f t="shared" ref="L195:L258" si="23">IF(G195=0,"無法預估數據",ROUND(J195-K195,3))</f>
        <v>2E-3</v>
      </c>
      <c r="M195" s="235"/>
      <c r="N195" s="43"/>
      <c r="O195" s="150">
        <f t="shared" si="21"/>
        <v>0</v>
      </c>
      <c r="P195" s="43">
        <v>100</v>
      </c>
      <c r="Q195" s="27">
        <f t="shared" si="22"/>
        <v>1</v>
      </c>
      <c r="R195" s="23"/>
      <c r="S195" s="173"/>
      <c r="T195" s="30"/>
      <c r="U195" s="23"/>
      <c r="V195" s="458"/>
      <c r="W195" s="421"/>
      <c r="X195" s="458"/>
      <c r="Y195" s="421"/>
      <c r="Z195" s="421"/>
      <c r="AA195" s="421"/>
      <c r="AB195" s="421"/>
      <c r="AC195" s="421"/>
      <c r="AD195" s="421"/>
    </row>
    <row r="196" spans="1:30" s="22" customFormat="1" x14ac:dyDescent="0.4">
      <c r="A196" s="177" t="s">
        <v>704</v>
      </c>
      <c r="B196" s="149" t="s">
        <v>19</v>
      </c>
      <c r="C196" s="30" t="str">
        <f>VLOOKUP(B196,'112年全品項生產鍋數'!A:H,2,0)</f>
        <v>＃2藍莓(1*900g)</v>
      </c>
      <c r="D196" s="285">
        <v>20</v>
      </c>
      <c r="E196" s="48">
        <f>VLOOKUP(B196,'112年全品項生產鍋數'!A:H,3,0)</f>
        <v>0.9</v>
      </c>
      <c r="F196" s="45">
        <f>VLOOKUP(B196,'112年全品項生產鍋數'!A:H,7,0)</f>
        <v>163</v>
      </c>
      <c r="G196" s="49">
        <f t="shared" si="18"/>
        <v>3260</v>
      </c>
      <c r="H196" s="144">
        <v>3260</v>
      </c>
      <c r="I196" s="46">
        <f t="shared" si="19"/>
        <v>2934</v>
      </c>
      <c r="J196" s="100">
        <f t="shared" si="20"/>
        <v>1</v>
      </c>
      <c r="K196" s="51">
        <f>VLOOKUP(B:B,'生產達成率(目標)'!A:C,3,0)</f>
        <v>1</v>
      </c>
      <c r="L196" s="20">
        <f t="shared" si="23"/>
        <v>0</v>
      </c>
      <c r="M196" s="235"/>
      <c r="N196" s="43"/>
      <c r="O196" s="150">
        <f t="shared" si="21"/>
        <v>2</v>
      </c>
      <c r="P196" s="43">
        <v>3258</v>
      </c>
      <c r="Q196" s="27">
        <f t="shared" si="22"/>
        <v>0.99938650306748467</v>
      </c>
      <c r="R196" s="23"/>
      <c r="S196" s="173"/>
      <c r="T196" s="30"/>
      <c r="U196" s="23"/>
      <c r="V196" s="458"/>
      <c r="W196" s="421"/>
      <c r="X196" s="458"/>
      <c r="Y196" s="421"/>
      <c r="Z196" s="421"/>
      <c r="AA196" s="421"/>
      <c r="AB196" s="421"/>
      <c r="AC196" s="421"/>
      <c r="AD196" s="421"/>
    </row>
    <row r="197" spans="1:30" s="22" customFormat="1" x14ac:dyDescent="0.4">
      <c r="A197" s="177" t="s">
        <v>704</v>
      </c>
      <c r="B197" s="149" t="s">
        <v>11</v>
      </c>
      <c r="C197" s="30" t="str">
        <f>VLOOKUP(B197,'112年全品項生產鍋數'!A:H,2,0)</f>
        <v>#2草莓果醬(1*900g)</v>
      </c>
      <c r="D197" s="285">
        <v>20</v>
      </c>
      <c r="E197" s="48">
        <f>VLOOKUP(B197,'112年全品項生產鍋數'!A:H,3,0)</f>
        <v>0.9</v>
      </c>
      <c r="F197" s="45">
        <f>VLOOKUP(B197,'112年全品項生產鍋數'!A:H,7,0)</f>
        <v>160.5</v>
      </c>
      <c r="G197" s="49">
        <f t="shared" si="18"/>
        <v>3210</v>
      </c>
      <c r="H197" s="144">
        <v>3205</v>
      </c>
      <c r="I197" s="46">
        <f t="shared" si="19"/>
        <v>2884.5</v>
      </c>
      <c r="J197" s="100">
        <f t="shared" si="20"/>
        <v>0.99844236760124616</v>
      </c>
      <c r="K197" s="51">
        <f>VLOOKUP(B:B,'生產達成率(目標)'!A:C,3,0)</f>
        <v>1</v>
      </c>
      <c r="L197" s="20">
        <f t="shared" si="23"/>
        <v>-2E-3</v>
      </c>
      <c r="M197" s="235"/>
      <c r="N197" s="43"/>
      <c r="O197" s="150">
        <f t="shared" si="21"/>
        <v>3</v>
      </c>
      <c r="P197" s="43">
        <v>3202</v>
      </c>
      <c r="Q197" s="27">
        <f t="shared" si="22"/>
        <v>0.99906396255850238</v>
      </c>
      <c r="R197" s="23"/>
      <c r="S197" s="173"/>
      <c r="T197" s="30"/>
      <c r="U197" s="23"/>
      <c r="V197" s="458"/>
      <c r="W197" s="421"/>
      <c r="X197" s="458"/>
      <c r="Y197" s="421"/>
      <c r="Z197" s="421"/>
      <c r="AA197" s="421"/>
      <c r="AB197" s="421"/>
      <c r="AC197" s="421"/>
      <c r="AD197" s="421"/>
    </row>
    <row r="198" spans="1:30" s="22" customFormat="1" x14ac:dyDescent="0.4">
      <c r="A198" s="177" t="s">
        <v>704</v>
      </c>
      <c r="B198" s="149" t="s">
        <v>38</v>
      </c>
      <c r="C198" s="30" t="str">
        <f>VLOOKUP(B198,'112年全品項生產鍋數'!A:H,2,0)</f>
        <v>藍莓餡（小）(1*4.5kg)</v>
      </c>
      <c r="D198" s="285">
        <v>4</v>
      </c>
      <c r="E198" s="48">
        <f>VLOOKUP(B198,'112年全品項生產鍋數'!A:H,3,0)</f>
        <v>4.5</v>
      </c>
      <c r="F198" s="45">
        <f>VLOOKUP(B198,'112年全品項生產鍋數'!A:H,7,0)</f>
        <v>35</v>
      </c>
      <c r="G198" s="49">
        <f t="shared" si="18"/>
        <v>140</v>
      </c>
      <c r="H198" s="144">
        <v>135</v>
      </c>
      <c r="I198" s="46">
        <f t="shared" si="19"/>
        <v>607.5</v>
      </c>
      <c r="J198" s="100">
        <f t="shared" si="20"/>
        <v>0.9642857142857143</v>
      </c>
      <c r="K198" s="51">
        <f>VLOOKUP(B:B,'生產達成率(目標)'!A:C,3,0)</f>
        <v>1</v>
      </c>
      <c r="L198" s="20">
        <f t="shared" si="23"/>
        <v>-3.5999999999999997E-2</v>
      </c>
      <c r="M198" s="235"/>
      <c r="N198" s="43"/>
      <c r="O198" s="150">
        <f t="shared" si="21"/>
        <v>0</v>
      </c>
      <c r="P198" s="43">
        <v>135</v>
      </c>
      <c r="Q198" s="27">
        <f t="shared" si="22"/>
        <v>1</v>
      </c>
      <c r="R198" s="23"/>
      <c r="S198" s="173"/>
      <c r="T198" s="30"/>
      <c r="U198" s="23"/>
      <c r="V198" s="458"/>
      <c r="W198" s="421"/>
      <c r="X198" s="458"/>
      <c r="Y198" s="421"/>
      <c r="Z198" s="421"/>
      <c r="AA198" s="421"/>
      <c r="AB198" s="421"/>
      <c r="AC198" s="421"/>
      <c r="AD198" s="421"/>
    </row>
    <row r="199" spans="1:30" s="22" customFormat="1" x14ac:dyDescent="0.4">
      <c r="A199" s="177" t="s">
        <v>704</v>
      </c>
      <c r="B199" s="149" t="s">
        <v>39</v>
      </c>
      <c r="C199" s="30" t="str">
        <f>VLOOKUP(B199,'112年全品項生產鍋數'!A:H,2,0)</f>
        <v>藍莓餡（大）(1*9.08kg)</v>
      </c>
      <c r="D199" s="285">
        <v>8</v>
      </c>
      <c r="E199" s="48">
        <f>VLOOKUP(B199,'112年全品項生產鍋數'!A:H,3,0)</f>
        <v>9.08</v>
      </c>
      <c r="F199" s="45">
        <f>VLOOKUP(B199,'112年全品項生產鍋數'!A:H,7,0)</f>
        <v>17.8</v>
      </c>
      <c r="G199" s="49">
        <f t="shared" si="18"/>
        <v>142.4</v>
      </c>
      <c r="H199" s="144">
        <v>142</v>
      </c>
      <c r="I199" s="46">
        <f t="shared" si="19"/>
        <v>1289.3599999999999</v>
      </c>
      <c r="J199" s="100">
        <f t="shared" si="20"/>
        <v>0.99719101123595499</v>
      </c>
      <c r="K199" s="51">
        <f>VLOOKUP(B:B,'生產達成率(目標)'!A:C,3,0)</f>
        <v>1</v>
      </c>
      <c r="L199" s="20">
        <f t="shared" si="23"/>
        <v>-3.0000000000000001E-3</v>
      </c>
      <c r="M199" s="235"/>
      <c r="N199" s="43"/>
      <c r="O199" s="150">
        <f t="shared" si="21"/>
        <v>0</v>
      </c>
      <c r="P199" s="43">
        <v>142</v>
      </c>
      <c r="Q199" s="27">
        <f t="shared" si="22"/>
        <v>1</v>
      </c>
      <c r="R199" s="23"/>
      <c r="S199" s="173"/>
      <c r="T199" s="30"/>
      <c r="U199" s="23"/>
      <c r="V199" s="458"/>
      <c r="W199" s="421"/>
      <c r="X199" s="458"/>
      <c r="Y199" s="421"/>
      <c r="Z199" s="421"/>
      <c r="AA199" s="421"/>
      <c r="AB199" s="421"/>
      <c r="AC199" s="421"/>
      <c r="AD199" s="421"/>
    </row>
    <row r="200" spans="1:30" s="22" customFormat="1" x14ac:dyDescent="0.4">
      <c r="A200" s="177" t="s">
        <v>704</v>
      </c>
      <c r="B200" s="149" t="s">
        <v>3</v>
      </c>
      <c r="C200" s="30" t="str">
        <f>VLOOKUP(B200,'112年全品項生產鍋數'!A:H,2,0)</f>
        <v>天天開心草莓餡4.5KG</v>
      </c>
      <c r="D200" s="285">
        <v>24</v>
      </c>
      <c r="E200" s="48">
        <f>VLOOKUP(B200,'112年全品項生產鍋數'!A:H,3,0)</f>
        <v>4.5</v>
      </c>
      <c r="F200" s="45">
        <f>VLOOKUP(B200,'112年全品項生產鍋數'!A:H,7,0)</f>
        <v>36.299999999999997</v>
      </c>
      <c r="G200" s="49">
        <f t="shared" si="18"/>
        <v>871.19999999999993</v>
      </c>
      <c r="H200" s="153">
        <v>861</v>
      </c>
      <c r="I200" s="46">
        <f t="shared" si="19"/>
        <v>3874.5</v>
      </c>
      <c r="J200" s="100">
        <f t="shared" si="20"/>
        <v>0.98829201101928388</v>
      </c>
      <c r="K200" s="51">
        <f>VLOOKUP(B:B,'生產達成率(目標)'!A:C,3,0)</f>
        <v>1</v>
      </c>
      <c r="L200" s="20">
        <f t="shared" si="23"/>
        <v>-1.2E-2</v>
      </c>
      <c r="M200" s="235"/>
      <c r="N200" s="43"/>
      <c r="O200" s="150">
        <f t="shared" si="21"/>
        <v>0</v>
      </c>
      <c r="P200" s="43">
        <v>861</v>
      </c>
      <c r="Q200" s="27">
        <f t="shared" si="22"/>
        <v>1</v>
      </c>
      <c r="R200" s="23"/>
      <c r="S200" s="173"/>
      <c r="T200" s="30"/>
      <c r="U200" s="23"/>
      <c r="V200" s="458"/>
      <c r="W200" s="421"/>
      <c r="X200" s="458"/>
      <c r="Y200" s="421"/>
      <c r="Z200" s="421"/>
      <c r="AA200" s="421"/>
      <c r="AB200" s="421"/>
      <c r="AC200" s="421"/>
      <c r="AD200" s="421"/>
    </row>
    <row r="201" spans="1:30" s="22" customFormat="1" x14ac:dyDescent="0.4">
      <c r="A201" s="177" t="s">
        <v>704</v>
      </c>
      <c r="B201" s="149" t="s">
        <v>9</v>
      </c>
      <c r="C201" s="30" t="str">
        <f>VLOOKUP(B201,'112年全品項生產鍋數'!A:H,2,0)</f>
        <v>＃1花生(1*2.8kg)</v>
      </c>
      <c r="D201" s="285">
        <v>40</v>
      </c>
      <c r="E201" s="48">
        <f>VLOOKUP(B201,'112年全品項生產鍋數'!A:H,3,0)</f>
        <v>2.8</v>
      </c>
      <c r="F201" s="45">
        <f>VLOOKUP(B201,'112年全品項生產鍋數'!A:H,7,0)</f>
        <v>44.5</v>
      </c>
      <c r="G201" s="49">
        <f t="shared" si="18"/>
        <v>1780</v>
      </c>
      <c r="H201" s="144">
        <v>1789</v>
      </c>
      <c r="I201" s="46">
        <f t="shared" si="19"/>
        <v>5009.2</v>
      </c>
      <c r="J201" s="100">
        <f t="shared" si="20"/>
        <v>1.0050561797752808</v>
      </c>
      <c r="K201" s="51">
        <f>VLOOKUP(B:B,'生產達成率(目標)'!A:C,3,0)</f>
        <v>1</v>
      </c>
      <c r="L201" s="20">
        <f t="shared" si="23"/>
        <v>5.0000000000000001E-3</v>
      </c>
      <c r="M201" s="235"/>
      <c r="N201" s="43"/>
      <c r="O201" s="150">
        <f t="shared" si="21"/>
        <v>1</v>
      </c>
      <c r="P201" s="43">
        <v>1788</v>
      </c>
      <c r="Q201" s="27">
        <f t="shared" si="22"/>
        <v>0.99944102850754613</v>
      </c>
      <c r="R201" s="23"/>
      <c r="S201" s="173"/>
      <c r="T201" s="30"/>
      <c r="U201" s="23"/>
      <c r="V201" s="458"/>
      <c r="W201" s="421"/>
      <c r="X201" s="458"/>
      <c r="Y201" s="421"/>
      <c r="Z201" s="421"/>
      <c r="AA201" s="421"/>
      <c r="AB201" s="421"/>
      <c r="AC201" s="421"/>
      <c r="AD201" s="421"/>
    </row>
    <row r="202" spans="1:30" s="22" customFormat="1" x14ac:dyDescent="0.4">
      <c r="A202" s="177" t="s">
        <v>704</v>
      </c>
      <c r="B202" s="149" t="s">
        <v>10</v>
      </c>
      <c r="C202" s="30" t="str">
        <f>VLOOKUP(B202,'112年全品項生產鍋數'!A:H,2,0)</f>
        <v>＃2花生(1*800g)</v>
      </c>
      <c r="D202" s="285">
        <v>20</v>
      </c>
      <c r="E202" s="48">
        <f>VLOOKUP(B202,'112年全品項生產鍋數'!A:H,3,0)</f>
        <v>0.8</v>
      </c>
      <c r="F202" s="45">
        <f>VLOOKUP(B202,'112年全品項生產鍋數'!A:H,7,0)</f>
        <v>157.69999999999999</v>
      </c>
      <c r="G202" s="49">
        <f t="shared" si="18"/>
        <v>3154</v>
      </c>
      <c r="H202" s="144">
        <v>3079</v>
      </c>
      <c r="I202" s="46">
        <f t="shared" si="19"/>
        <v>2463.2000000000003</v>
      </c>
      <c r="J202" s="100">
        <f t="shared" si="20"/>
        <v>0.97622067216233355</v>
      </c>
      <c r="K202" s="51">
        <f>VLOOKUP(B:B,'生產達成率(目標)'!A:C,3,0)</f>
        <v>1</v>
      </c>
      <c r="L202" s="20">
        <f t="shared" si="23"/>
        <v>-2.4E-2</v>
      </c>
      <c r="M202" s="235"/>
      <c r="N202" s="43"/>
      <c r="O202" s="150">
        <f t="shared" si="21"/>
        <v>2</v>
      </c>
      <c r="P202" s="43">
        <v>3077</v>
      </c>
      <c r="Q202" s="27">
        <f t="shared" si="22"/>
        <v>0.99935043845404348</v>
      </c>
      <c r="R202" s="23"/>
      <c r="S202" s="173"/>
      <c r="T202" s="30"/>
      <c r="U202" s="23"/>
      <c r="V202" s="458"/>
      <c r="W202" s="421"/>
      <c r="X202" s="458"/>
      <c r="Y202" s="421"/>
      <c r="Z202" s="421"/>
      <c r="AA202" s="421"/>
      <c r="AB202" s="421"/>
      <c r="AC202" s="421"/>
      <c r="AD202" s="421"/>
    </row>
    <row r="203" spans="1:30" s="22" customFormat="1" x14ac:dyDescent="0.4">
      <c r="A203" s="177" t="s">
        <v>705</v>
      </c>
      <c r="B203" s="149" t="s">
        <v>12</v>
      </c>
      <c r="C203" s="30" t="str">
        <f>VLOOKUP(B203,'112年全品項生產鍋數'!A:H,2,0)</f>
        <v>＃1草莓(1*3.2kg)</v>
      </c>
      <c r="D203" s="285">
        <v>80</v>
      </c>
      <c r="E203" s="48">
        <f>VLOOKUP(B203,'112年全品項生產鍋數'!A:H,3,0)</f>
        <v>3.2</v>
      </c>
      <c r="F203" s="45">
        <f>VLOOKUP(B203,'112年全品項生產鍋數'!A:H,7,0)</f>
        <v>46.8</v>
      </c>
      <c r="G203" s="49">
        <f t="shared" si="18"/>
        <v>3744</v>
      </c>
      <c r="H203" s="144">
        <v>3743</v>
      </c>
      <c r="I203" s="46">
        <f t="shared" si="19"/>
        <v>11977.6</v>
      </c>
      <c r="J203" s="100">
        <f t="shared" si="20"/>
        <v>0.99973290598290598</v>
      </c>
      <c r="K203" s="51">
        <f>VLOOKUP(B:B,'生產達成率(目標)'!A:C,3,0)</f>
        <v>1</v>
      </c>
      <c r="L203" s="20">
        <f t="shared" si="23"/>
        <v>0</v>
      </c>
      <c r="M203" s="235"/>
      <c r="N203" s="43"/>
      <c r="O203" s="150">
        <f t="shared" si="21"/>
        <v>2</v>
      </c>
      <c r="P203" s="43">
        <v>3741</v>
      </c>
      <c r="Q203" s="27">
        <f t="shared" si="22"/>
        <v>0.99946566924926528</v>
      </c>
      <c r="R203" s="23"/>
      <c r="S203" s="173">
        <v>80</v>
      </c>
      <c r="T203" s="52" t="s">
        <v>930</v>
      </c>
      <c r="U203" s="23"/>
      <c r="V203" s="458"/>
      <c r="W203" s="421"/>
      <c r="X203" s="458"/>
      <c r="Y203" s="421"/>
      <c r="Z203" s="421"/>
      <c r="AA203" s="421"/>
      <c r="AB203" s="421"/>
      <c r="AC203" s="421"/>
      <c r="AD203" s="421"/>
    </row>
    <row r="204" spans="1:30" s="22" customFormat="1" x14ac:dyDescent="0.4">
      <c r="A204" s="177" t="s">
        <v>705</v>
      </c>
      <c r="B204" s="149" t="s">
        <v>16</v>
      </c>
      <c r="C204" s="30" t="str">
        <f>VLOOKUP(B204,'112年全品項生產鍋數'!A:H,2,0)</f>
        <v>藍莓餡(1*6Kg)</v>
      </c>
      <c r="D204" s="285">
        <v>12</v>
      </c>
      <c r="E204" s="48">
        <f>VLOOKUP(B204,'112年全品項生產鍋數'!A:H,3,0)</f>
        <v>6</v>
      </c>
      <c r="F204" s="45">
        <f>VLOOKUP(B204,'112年全品項生產鍋數'!A:H,7,0)</f>
        <v>25.1</v>
      </c>
      <c r="G204" s="49">
        <f t="shared" si="18"/>
        <v>301.20000000000005</v>
      </c>
      <c r="H204" s="144">
        <v>299</v>
      </c>
      <c r="I204" s="46">
        <f t="shared" si="19"/>
        <v>1794</v>
      </c>
      <c r="J204" s="100">
        <f t="shared" si="20"/>
        <v>0.99269588313413004</v>
      </c>
      <c r="K204" s="51">
        <f>VLOOKUP(B:B,'生產達成率(目標)'!A:C,3,0)</f>
        <v>1</v>
      </c>
      <c r="L204" s="20">
        <f t="shared" si="23"/>
        <v>-7.0000000000000001E-3</v>
      </c>
      <c r="M204" s="235"/>
      <c r="N204" s="43"/>
      <c r="O204" s="150">
        <f t="shared" si="21"/>
        <v>1</v>
      </c>
      <c r="P204" s="43">
        <v>298</v>
      </c>
      <c r="Q204" s="27">
        <f t="shared" si="22"/>
        <v>0.99665551839464883</v>
      </c>
      <c r="R204" s="23"/>
      <c r="S204" s="173"/>
      <c r="T204" s="30"/>
      <c r="U204" s="23"/>
      <c r="V204" s="458"/>
      <c r="W204" s="421"/>
      <c r="X204" s="458"/>
      <c r="Y204" s="421"/>
      <c r="Z204" s="421"/>
      <c r="AA204" s="421"/>
      <c r="AB204" s="421"/>
      <c r="AC204" s="421"/>
      <c r="AD204" s="421"/>
    </row>
    <row r="205" spans="1:30" s="22" customFormat="1" x14ac:dyDescent="0.4">
      <c r="A205" s="177" t="s">
        <v>705</v>
      </c>
      <c r="B205" s="149" t="s">
        <v>7</v>
      </c>
      <c r="C205" s="30" t="str">
        <f>VLOOKUP(B205,'112年全品項生產鍋數'!A:H,2,0)</f>
        <v>草莓蒟蒻餡(1*6kg)</v>
      </c>
      <c r="D205" s="285">
        <v>24</v>
      </c>
      <c r="E205" s="48">
        <f>VLOOKUP(B205,'112年全品項生產鍋數'!A:H,3,0)</f>
        <v>6</v>
      </c>
      <c r="F205" s="45">
        <f>VLOOKUP(B205,'112年全品項生產鍋數'!A:H,7,0)</f>
        <v>25.7</v>
      </c>
      <c r="G205" s="49">
        <f t="shared" si="18"/>
        <v>616.79999999999995</v>
      </c>
      <c r="H205" s="144">
        <v>608</v>
      </c>
      <c r="I205" s="46">
        <f t="shared" si="19"/>
        <v>3648</v>
      </c>
      <c r="J205" s="100">
        <f t="shared" si="20"/>
        <v>0.9857328145265889</v>
      </c>
      <c r="K205" s="51">
        <f>VLOOKUP(B:B,'生產達成率(目標)'!A:C,3,0)</f>
        <v>1</v>
      </c>
      <c r="L205" s="20">
        <f t="shared" si="23"/>
        <v>-1.4E-2</v>
      </c>
      <c r="M205" s="235"/>
      <c r="N205" s="43"/>
      <c r="O205" s="150">
        <f t="shared" si="21"/>
        <v>4</v>
      </c>
      <c r="P205" s="43">
        <v>604</v>
      </c>
      <c r="Q205" s="27">
        <f t="shared" si="22"/>
        <v>0.99342105263157898</v>
      </c>
      <c r="R205" s="23"/>
      <c r="S205" s="173"/>
      <c r="T205" s="30"/>
      <c r="U205" s="23"/>
      <c r="V205" s="458"/>
      <c r="W205" s="421"/>
      <c r="X205" s="458"/>
      <c r="Y205" s="421"/>
      <c r="Z205" s="421"/>
      <c r="AA205" s="421"/>
      <c r="AB205" s="421"/>
      <c r="AC205" s="421"/>
      <c r="AD205" s="421"/>
    </row>
    <row r="206" spans="1:30" s="22" customFormat="1" x14ac:dyDescent="0.4">
      <c r="A206" s="177" t="s">
        <v>705</v>
      </c>
      <c r="B206" s="149" t="s">
        <v>9</v>
      </c>
      <c r="C206" s="30" t="str">
        <f>VLOOKUP(B206,'112年全品項生產鍋數'!A:H,2,0)</f>
        <v>＃1花生(1*2.8kg)</v>
      </c>
      <c r="D206" s="285">
        <v>72</v>
      </c>
      <c r="E206" s="48">
        <f>VLOOKUP(B206,'112年全品項生產鍋數'!A:H,3,0)</f>
        <v>2.8</v>
      </c>
      <c r="F206" s="45">
        <f>VLOOKUP(B206,'112年全品項生產鍋數'!A:H,7,0)</f>
        <v>44.5</v>
      </c>
      <c r="G206" s="49">
        <f t="shared" si="18"/>
        <v>3204</v>
      </c>
      <c r="H206" s="144">
        <v>3210</v>
      </c>
      <c r="I206" s="46">
        <f t="shared" si="19"/>
        <v>8988</v>
      </c>
      <c r="J206" s="100">
        <f t="shared" si="20"/>
        <v>1.0018726591760299</v>
      </c>
      <c r="K206" s="51">
        <f>VLOOKUP(B:B,'生產達成率(目標)'!A:C,3,0)</f>
        <v>1</v>
      </c>
      <c r="L206" s="20">
        <f t="shared" si="23"/>
        <v>2E-3</v>
      </c>
      <c r="M206" s="235"/>
      <c r="N206" s="43"/>
      <c r="O206" s="150">
        <f t="shared" si="21"/>
        <v>1</v>
      </c>
      <c r="P206" s="43">
        <v>3209</v>
      </c>
      <c r="Q206" s="27">
        <f t="shared" si="22"/>
        <v>0.99968847352024925</v>
      </c>
      <c r="R206" s="23"/>
      <c r="S206" s="173"/>
      <c r="T206" s="30"/>
      <c r="U206" s="23"/>
      <c r="V206" s="458"/>
      <c r="W206" s="421"/>
      <c r="X206" s="458"/>
      <c r="Y206" s="421"/>
      <c r="Z206" s="421"/>
      <c r="AA206" s="421"/>
      <c r="AB206" s="421"/>
      <c r="AC206" s="421"/>
      <c r="AD206" s="421"/>
    </row>
    <row r="207" spans="1:30" s="22" customFormat="1" x14ac:dyDescent="0.4">
      <c r="A207" s="177" t="s">
        <v>706</v>
      </c>
      <c r="B207" s="149" t="s">
        <v>13</v>
      </c>
      <c r="C207" s="30" t="str">
        <f>VLOOKUP(B207,'112年全品項生產鍋數'!A:H,2,0)</f>
        <v>顆粒花生醬(1*12KG)</v>
      </c>
      <c r="D207" s="285">
        <v>21</v>
      </c>
      <c r="E207" s="48">
        <f>VLOOKUP(B207,'112年全品項生產鍋數'!A:H,3,0)</f>
        <v>3</v>
      </c>
      <c r="F207" s="45">
        <f>VLOOKUP(B207,'112年全品項生產鍋數'!A:H,7,0)</f>
        <v>29.7</v>
      </c>
      <c r="G207" s="49">
        <f t="shared" si="18"/>
        <v>623.69999999999993</v>
      </c>
      <c r="H207" s="144">
        <v>628</v>
      </c>
      <c r="I207" s="46">
        <f t="shared" si="19"/>
        <v>1884</v>
      </c>
      <c r="J207" s="100">
        <f t="shared" si="20"/>
        <v>1.0068943402276738</v>
      </c>
      <c r="K207" s="51">
        <f>VLOOKUP(B:B,'生產達成率(目標)'!A:C,3,0)</f>
        <v>1</v>
      </c>
      <c r="L207" s="20">
        <f t="shared" si="23"/>
        <v>7.0000000000000001E-3</v>
      </c>
      <c r="M207" s="235"/>
      <c r="N207" s="43"/>
      <c r="O207" s="150">
        <f t="shared" si="21"/>
        <v>0</v>
      </c>
      <c r="P207" s="43">
        <v>628</v>
      </c>
      <c r="Q207" s="27">
        <f t="shared" si="22"/>
        <v>1</v>
      </c>
      <c r="R207" s="23"/>
      <c r="S207" s="173"/>
      <c r="T207" s="30"/>
      <c r="U207" s="23"/>
      <c r="V207" s="458"/>
      <c r="W207" s="421"/>
      <c r="X207" s="458"/>
      <c r="Y207" s="421"/>
      <c r="Z207" s="421"/>
      <c r="AA207" s="421"/>
      <c r="AB207" s="421"/>
      <c r="AC207" s="421"/>
      <c r="AD207" s="421"/>
    </row>
    <row r="208" spans="1:30" s="22" customFormat="1" x14ac:dyDescent="0.4">
      <c r="A208" s="177" t="s">
        <v>706</v>
      </c>
      <c r="B208" s="149" t="s">
        <v>9</v>
      </c>
      <c r="C208" s="30" t="str">
        <f>VLOOKUP(B208,'112年全品項生產鍋數'!A:H,2,0)</f>
        <v>＃1花生(1*2.8kg)</v>
      </c>
      <c r="D208" s="285">
        <v>60</v>
      </c>
      <c r="E208" s="48">
        <f>VLOOKUP(B208,'112年全品項生產鍋數'!A:H,3,0)</f>
        <v>2.8</v>
      </c>
      <c r="F208" s="45">
        <f>VLOOKUP(B208,'112年全品項生產鍋數'!A:H,7,0)</f>
        <v>44.5</v>
      </c>
      <c r="G208" s="49">
        <f t="shared" si="18"/>
        <v>2670</v>
      </c>
      <c r="H208" s="144">
        <v>2683</v>
      </c>
      <c r="I208" s="46">
        <f t="shared" si="19"/>
        <v>7512.4</v>
      </c>
      <c r="J208" s="100">
        <f t="shared" si="20"/>
        <v>1.0048689138576778</v>
      </c>
      <c r="K208" s="51">
        <f>VLOOKUP(B:B,'生產達成率(目標)'!A:C,3,0)</f>
        <v>1</v>
      </c>
      <c r="L208" s="20">
        <f t="shared" si="23"/>
        <v>5.0000000000000001E-3</v>
      </c>
      <c r="M208" s="235"/>
      <c r="N208" s="43"/>
      <c r="O208" s="150">
        <f t="shared" si="21"/>
        <v>1</v>
      </c>
      <c r="P208" s="43">
        <v>2682</v>
      </c>
      <c r="Q208" s="27">
        <f t="shared" si="22"/>
        <v>0.99962728289228475</v>
      </c>
      <c r="R208" s="23"/>
      <c r="S208" s="173"/>
      <c r="T208" s="30"/>
      <c r="U208" s="23"/>
      <c r="V208" s="458"/>
      <c r="W208" s="421"/>
      <c r="X208" s="458"/>
      <c r="Y208" s="421"/>
      <c r="Z208" s="421"/>
      <c r="AA208" s="421"/>
      <c r="AB208" s="421"/>
      <c r="AC208" s="421"/>
      <c r="AD208" s="421"/>
    </row>
    <row r="209" spans="1:30" s="22" customFormat="1" x14ac:dyDescent="0.4">
      <c r="A209" s="177" t="s">
        <v>707</v>
      </c>
      <c r="B209" s="149" t="s">
        <v>12</v>
      </c>
      <c r="C209" s="30" t="str">
        <f>VLOOKUP(B209,'112年全品項生產鍋數'!A:H,2,0)</f>
        <v>＃1草莓(1*3.2kg)</v>
      </c>
      <c r="D209" s="285">
        <v>88</v>
      </c>
      <c r="E209" s="48">
        <f>VLOOKUP(B209,'112年全品項生產鍋數'!A:H,3,0)</f>
        <v>3.2</v>
      </c>
      <c r="F209" s="45">
        <f>VLOOKUP(B209,'112年全品項生產鍋數'!A:H,7,0)</f>
        <v>46.8</v>
      </c>
      <c r="G209" s="49">
        <f t="shared" si="18"/>
        <v>4118.3999999999996</v>
      </c>
      <c r="H209" s="144">
        <v>4119</v>
      </c>
      <c r="I209" s="46">
        <f t="shared" si="19"/>
        <v>13180.800000000001</v>
      </c>
      <c r="J209" s="100">
        <f t="shared" si="20"/>
        <v>1.0001456876456878</v>
      </c>
      <c r="K209" s="51">
        <f>VLOOKUP(B:B,'生產達成率(目標)'!A:C,3,0)</f>
        <v>1</v>
      </c>
      <c r="L209" s="20">
        <f t="shared" si="23"/>
        <v>0</v>
      </c>
      <c r="M209" s="235"/>
      <c r="N209" s="43"/>
      <c r="O209" s="150">
        <f t="shared" si="21"/>
        <v>2</v>
      </c>
      <c r="P209" s="43">
        <v>4117</v>
      </c>
      <c r="Q209" s="27">
        <f t="shared" si="22"/>
        <v>0.99951444525370237</v>
      </c>
      <c r="R209" s="23"/>
      <c r="S209" s="173">
        <v>88</v>
      </c>
      <c r="T209" s="52" t="s">
        <v>930</v>
      </c>
      <c r="U209" s="23"/>
      <c r="V209" s="458"/>
      <c r="W209" s="421"/>
      <c r="X209" s="458"/>
      <c r="Y209" s="421"/>
      <c r="Z209" s="421"/>
      <c r="AA209" s="421"/>
      <c r="AB209" s="421"/>
      <c r="AC209" s="421"/>
      <c r="AD209" s="421"/>
    </row>
    <row r="210" spans="1:30" s="22" customFormat="1" x14ac:dyDescent="0.4">
      <c r="A210" s="177" t="s">
        <v>707</v>
      </c>
      <c r="B210" s="149" t="s">
        <v>7</v>
      </c>
      <c r="C210" s="30" t="str">
        <f>VLOOKUP(B210,'112年全品項生產鍋數'!A:H,2,0)</f>
        <v>草莓蒟蒻餡(1*6kg)</v>
      </c>
      <c r="D210" s="285">
        <v>28</v>
      </c>
      <c r="E210" s="48">
        <f>VLOOKUP(B210,'112年全品項生產鍋數'!A:H,3,0)</f>
        <v>6</v>
      </c>
      <c r="F210" s="45">
        <f>VLOOKUP(B210,'112年全品項生產鍋數'!A:H,7,0)</f>
        <v>25.7</v>
      </c>
      <c r="G210" s="49">
        <f t="shared" si="18"/>
        <v>719.6</v>
      </c>
      <c r="H210" s="144">
        <v>710</v>
      </c>
      <c r="I210" s="46">
        <f t="shared" si="19"/>
        <v>4260</v>
      </c>
      <c r="J210" s="100">
        <f t="shared" si="20"/>
        <v>0.98665925514174535</v>
      </c>
      <c r="K210" s="51">
        <f>VLOOKUP(B:B,'生產達成率(目標)'!A:C,3,0)</f>
        <v>1</v>
      </c>
      <c r="L210" s="20">
        <f t="shared" si="23"/>
        <v>-1.2999999999999999E-2</v>
      </c>
      <c r="M210" s="235"/>
      <c r="N210" s="43"/>
      <c r="O210" s="150">
        <f t="shared" si="21"/>
        <v>4</v>
      </c>
      <c r="P210" s="43">
        <v>706</v>
      </c>
      <c r="Q210" s="27">
        <f t="shared" si="22"/>
        <v>0.9943661971830986</v>
      </c>
      <c r="R210" s="23"/>
      <c r="S210" s="173"/>
      <c r="T210" s="30"/>
      <c r="U210" s="23"/>
      <c r="V210" s="458"/>
      <c r="W210" s="421"/>
      <c r="X210" s="458"/>
      <c r="Y210" s="421"/>
      <c r="Z210" s="421"/>
      <c r="AA210" s="421"/>
      <c r="AB210" s="421"/>
      <c r="AC210" s="421"/>
      <c r="AD210" s="421"/>
    </row>
    <row r="211" spans="1:30" s="22" customFormat="1" x14ac:dyDescent="0.4">
      <c r="A211" s="177" t="s">
        <v>707</v>
      </c>
      <c r="B211" s="149" t="s">
        <v>8</v>
      </c>
      <c r="C211" s="30" t="str">
        <f>VLOOKUP(B211,'112年全品項生產鍋數'!A:H,2,0)</f>
        <v>藍莓餡(1*6KG)</v>
      </c>
      <c r="D211" s="285">
        <v>16</v>
      </c>
      <c r="E211" s="48">
        <f>VLOOKUP(B211,'112年全品項生產鍋數'!A:H,3,0)</f>
        <v>6</v>
      </c>
      <c r="F211" s="45">
        <f>VLOOKUP(B211,'112年全品項生產鍋數'!A:H,7,0)</f>
        <v>25.4</v>
      </c>
      <c r="G211" s="49">
        <f t="shared" si="18"/>
        <v>406.4</v>
      </c>
      <c r="H211" s="144">
        <v>401</v>
      </c>
      <c r="I211" s="46">
        <f t="shared" si="19"/>
        <v>2406</v>
      </c>
      <c r="J211" s="100">
        <f t="shared" si="20"/>
        <v>0.98671259842519687</v>
      </c>
      <c r="K211" s="51">
        <f>VLOOKUP(B:B,'生產達成率(目標)'!A:C,3,0)</f>
        <v>1</v>
      </c>
      <c r="L211" s="20">
        <f t="shared" si="23"/>
        <v>-1.2999999999999999E-2</v>
      </c>
      <c r="M211" s="235"/>
      <c r="N211" s="43"/>
      <c r="O211" s="150">
        <f t="shared" si="21"/>
        <v>2</v>
      </c>
      <c r="P211" s="43">
        <v>399</v>
      </c>
      <c r="Q211" s="27">
        <f t="shared" si="22"/>
        <v>0.99501246882793015</v>
      </c>
      <c r="R211" s="23"/>
      <c r="S211" s="173"/>
      <c r="T211" s="30"/>
      <c r="U211" s="23"/>
      <c r="V211" s="458"/>
      <c r="W211" s="421"/>
      <c r="X211" s="458"/>
      <c r="Y211" s="421"/>
      <c r="Z211" s="421"/>
      <c r="AA211" s="421"/>
      <c r="AB211" s="421"/>
      <c r="AC211" s="421"/>
      <c r="AD211" s="421"/>
    </row>
    <row r="212" spans="1:30" s="22" customFormat="1" x14ac:dyDescent="0.4">
      <c r="A212" s="177" t="s">
        <v>707</v>
      </c>
      <c r="B212" s="149" t="s">
        <v>4</v>
      </c>
      <c r="C212" s="30" t="str">
        <f>VLOOKUP(B212,'112年全品項生產鍋數'!A:H,2,0)</f>
        <v>PET大花生(1*400g)</v>
      </c>
      <c r="D212" s="285">
        <v>40</v>
      </c>
      <c r="E212" s="48">
        <f>VLOOKUP(B212,'112年全品項生產鍋數'!A:H,3,0)</f>
        <v>0.4</v>
      </c>
      <c r="F212" s="45">
        <f>VLOOKUP(B212,'112年全品項生產鍋數'!A:H,7,0)</f>
        <v>309.2</v>
      </c>
      <c r="G212" s="49">
        <f t="shared" si="18"/>
        <v>12368</v>
      </c>
      <c r="H212" s="144">
        <v>12461</v>
      </c>
      <c r="I212" s="46">
        <f t="shared" si="19"/>
        <v>4984.4000000000005</v>
      </c>
      <c r="J212" s="100">
        <f t="shared" si="20"/>
        <v>1.007519404915912</v>
      </c>
      <c r="K212" s="51">
        <f>VLOOKUP(B:B,'生產達成率(目標)'!A:C,3,0)</f>
        <v>1</v>
      </c>
      <c r="L212" s="20">
        <f t="shared" si="23"/>
        <v>8.0000000000000002E-3</v>
      </c>
      <c r="M212" s="235"/>
      <c r="N212" s="43"/>
      <c r="O212" s="150">
        <f t="shared" si="21"/>
        <v>3</v>
      </c>
      <c r="P212" s="43">
        <v>12458</v>
      </c>
      <c r="Q212" s="27">
        <f t="shared" si="22"/>
        <v>0.99975924885643208</v>
      </c>
      <c r="R212" s="23"/>
      <c r="S212" s="173"/>
      <c r="T212" s="30"/>
      <c r="U212" s="23"/>
      <c r="V212" s="458"/>
      <c r="W212" s="421"/>
      <c r="X212" s="458"/>
      <c r="Y212" s="421"/>
      <c r="Z212" s="421"/>
      <c r="AA212" s="421"/>
      <c r="AB212" s="421"/>
      <c r="AC212" s="421"/>
      <c r="AD212" s="421"/>
    </row>
    <row r="213" spans="1:30" s="22" customFormat="1" x14ac:dyDescent="0.4">
      <c r="A213" s="177" t="s">
        <v>708</v>
      </c>
      <c r="B213" s="149" t="s">
        <v>25</v>
      </c>
      <c r="C213" s="30" t="str">
        <f>VLOOKUP(B213,'112年全品項生產鍋數'!A:H,2,0)</f>
        <v>小藍莓1*260G</v>
      </c>
      <c r="D213" s="285">
        <v>3.58</v>
      </c>
      <c r="E213" s="48">
        <f>VLOOKUP(B213,'112年全品項生產鍋數'!A:H,3,0)</f>
        <v>0.26</v>
      </c>
      <c r="F213" s="45">
        <f>VLOOKUP(B213,'112年全品項生產鍋數'!A:H,7,0)</f>
        <v>592</v>
      </c>
      <c r="G213" s="49">
        <f t="shared" si="18"/>
        <v>2119.36</v>
      </c>
      <c r="H213" s="144">
        <v>2037</v>
      </c>
      <c r="I213" s="46">
        <f t="shared" si="19"/>
        <v>529.62</v>
      </c>
      <c r="J213" s="100">
        <f t="shared" si="20"/>
        <v>0.96113921183753581</v>
      </c>
      <c r="K213" s="51">
        <f>VLOOKUP(B:B,'生產達成率(目標)'!A:C,3,0)</f>
        <v>1</v>
      </c>
      <c r="L213" s="20">
        <f t="shared" si="23"/>
        <v>-3.9E-2</v>
      </c>
      <c r="M213" s="235"/>
      <c r="N213" s="43"/>
      <c r="O213" s="150">
        <f t="shared" si="21"/>
        <v>5</v>
      </c>
      <c r="P213" s="43">
        <v>2032</v>
      </c>
      <c r="Q213" s="27">
        <f t="shared" si="22"/>
        <v>0.99754540991654395</v>
      </c>
      <c r="R213" s="23"/>
      <c r="S213" s="173"/>
      <c r="T213" s="30"/>
      <c r="U213" s="23"/>
      <c r="V213" s="458"/>
      <c r="W213" s="421"/>
      <c r="X213" s="458"/>
      <c r="Y213" s="421"/>
      <c r="Z213" s="421"/>
      <c r="AA213" s="421"/>
      <c r="AB213" s="421"/>
      <c r="AC213" s="421"/>
      <c r="AD213" s="421"/>
    </row>
    <row r="214" spans="1:30" s="22" customFormat="1" x14ac:dyDescent="0.4">
      <c r="A214" s="177" t="s">
        <v>708</v>
      </c>
      <c r="B214" s="149" t="s">
        <v>19</v>
      </c>
      <c r="C214" s="30" t="str">
        <f>VLOOKUP(B214,'112年全品項生產鍋數'!A:H,2,0)</f>
        <v>＃2藍莓(1*900g)</v>
      </c>
      <c r="D214" s="285">
        <v>16</v>
      </c>
      <c r="E214" s="48">
        <f>VLOOKUP(B214,'112年全品項生產鍋數'!A:H,3,0)</f>
        <v>0.9</v>
      </c>
      <c r="F214" s="45">
        <f>VLOOKUP(B214,'112年全品項生產鍋數'!A:H,7,0)</f>
        <v>163</v>
      </c>
      <c r="G214" s="49">
        <f t="shared" si="18"/>
        <v>2608</v>
      </c>
      <c r="H214" s="144">
        <v>2610</v>
      </c>
      <c r="I214" s="46">
        <f t="shared" si="19"/>
        <v>2349</v>
      </c>
      <c r="J214" s="100">
        <f t="shared" si="20"/>
        <v>1.0007668711656441</v>
      </c>
      <c r="K214" s="51">
        <f>VLOOKUP(B:B,'生產達成率(目標)'!A:C,3,0)</f>
        <v>1</v>
      </c>
      <c r="L214" s="20">
        <f t="shared" si="23"/>
        <v>1E-3</v>
      </c>
      <c r="M214" s="235"/>
      <c r="N214" s="43"/>
      <c r="O214" s="150">
        <f t="shared" si="21"/>
        <v>2</v>
      </c>
      <c r="P214" s="43">
        <v>2608</v>
      </c>
      <c r="Q214" s="27">
        <f t="shared" si="22"/>
        <v>0.99923371647509573</v>
      </c>
      <c r="R214" s="23"/>
      <c r="S214" s="173"/>
      <c r="T214" s="30"/>
      <c r="U214" s="23"/>
      <c r="V214" s="458"/>
      <c r="W214" s="421"/>
      <c r="X214" s="458"/>
      <c r="Y214" s="421"/>
      <c r="Z214" s="421"/>
      <c r="AA214" s="421"/>
      <c r="AB214" s="421"/>
      <c r="AC214" s="421"/>
      <c r="AD214" s="421"/>
    </row>
    <row r="215" spans="1:30" s="22" customFormat="1" x14ac:dyDescent="0.4">
      <c r="A215" s="177" t="s">
        <v>708</v>
      </c>
      <c r="B215" s="149" t="s">
        <v>9</v>
      </c>
      <c r="C215" s="30" t="str">
        <f>VLOOKUP(B215,'112年全品項生產鍋數'!A:H,2,0)</f>
        <v>＃1花生(1*2.8kg)</v>
      </c>
      <c r="D215" s="285">
        <v>60</v>
      </c>
      <c r="E215" s="48">
        <f>VLOOKUP(B215,'112年全品項生產鍋數'!A:H,3,0)</f>
        <v>2.8</v>
      </c>
      <c r="F215" s="45">
        <f>VLOOKUP(B215,'112年全品項生產鍋數'!A:H,7,0)</f>
        <v>44.5</v>
      </c>
      <c r="G215" s="49">
        <f t="shared" si="18"/>
        <v>2670</v>
      </c>
      <c r="H215" s="144">
        <v>2689</v>
      </c>
      <c r="I215" s="46">
        <f t="shared" si="19"/>
        <v>7529.2</v>
      </c>
      <c r="J215" s="100">
        <f t="shared" si="20"/>
        <v>1.0071161048689139</v>
      </c>
      <c r="K215" s="51">
        <f>VLOOKUP(B:B,'生產達成率(目標)'!A:C,3,0)</f>
        <v>1</v>
      </c>
      <c r="L215" s="20">
        <f t="shared" si="23"/>
        <v>7.0000000000000001E-3</v>
      </c>
      <c r="M215" s="235"/>
      <c r="N215" s="43"/>
      <c r="O215" s="150">
        <f t="shared" si="21"/>
        <v>1</v>
      </c>
      <c r="P215" s="43">
        <v>2688</v>
      </c>
      <c r="Q215" s="27">
        <f t="shared" si="22"/>
        <v>0.99962811454072142</v>
      </c>
      <c r="R215" s="23"/>
      <c r="S215" s="173"/>
      <c r="T215" s="30"/>
      <c r="U215" s="23"/>
      <c r="V215" s="458"/>
      <c r="W215" s="421"/>
      <c r="X215" s="458"/>
      <c r="Y215" s="421"/>
      <c r="Z215" s="421"/>
      <c r="AA215" s="421"/>
      <c r="AB215" s="421"/>
      <c r="AC215" s="421"/>
      <c r="AD215" s="421"/>
    </row>
    <row r="216" spans="1:30" s="22" customFormat="1" x14ac:dyDescent="0.4">
      <c r="A216" s="177" t="s">
        <v>709</v>
      </c>
      <c r="B216" s="149" t="s">
        <v>12</v>
      </c>
      <c r="C216" s="30" t="str">
        <f>VLOOKUP(B216,'112年全品項生產鍋數'!A:H,2,0)</f>
        <v>＃1草莓(1*3.2kg)</v>
      </c>
      <c r="D216" s="285">
        <v>88</v>
      </c>
      <c r="E216" s="48">
        <f>VLOOKUP(B216,'112年全品項生產鍋數'!A:H,3,0)</f>
        <v>3.2</v>
      </c>
      <c r="F216" s="45">
        <f>VLOOKUP(B216,'112年全品項生產鍋數'!A:H,7,0)</f>
        <v>46.8</v>
      </c>
      <c r="G216" s="49">
        <f t="shared" si="18"/>
        <v>4118.3999999999996</v>
      </c>
      <c r="H216" s="144">
        <v>4105</v>
      </c>
      <c r="I216" s="46">
        <f t="shared" si="19"/>
        <v>13136</v>
      </c>
      <c r="J216" s="100">
        <f t="shared" si="20"/>
        <v>0.99674630924630936</v>
      </c>
      <c r="K216" s="51">
        <f>VLOOKUP(B:B,'生產達成率(目標)'!A:C,3,0)</f>
        <v>1</v>
      </c>
      <c r="L216" s="20">
        <f t="shared" si="23"/>
        <v>-3.0000000000000001E-3</v>
      </c>
      <c r="M216" s="235"/>
      <c r="N216" s="43"/>
      <c r="O216" s="150">
        <f t="shared" si="21"/>
        <v>2</v>
      </c>
      <c r="P216" s="43">
        <v>4103</v>
      </c>
      <c r="Q216" s="27">
        <f t="shared" si="22"/>
        <v>0.99951278928136422</v>
      </c>
      <c r="R216" s="23"/>
      <c r="S216" s="173">
        <v>88</v>
      </c>
      <c r="T216" s="52" t="s">
        <v>931</v>
      </c>
      <c r="U216" s="23"/>
      <c r="V216" s="458"/>
      <c r="W216" s="421"/>
      <c r="X216" s="458"/>
      <c r="Y216" s="421"/>
      <c r="Z216" s="421"/>
      <c r="AA216" s="421"/>
      <c r="AB216" s="421"/>
      <c r="AC216" s="421"/>
      <c r="AD216" s="421"/>
    </row>
    <row r="217" spans="1:30" s="22" customFormat="1" x14ac:dyDescent="0.4">
      <c r="A217" s="177" t="s">
        <v>709</v>
      </c>
      <c r="B217" s="149" t="s">
        <v>40</v>
      </c>
      <c r="C217" s="30" t="str">
        <f>VLOOKUP(B217,'112年全品項生產鍋數'!A:H,2,0)</f>
        <v>蜂蜜蘋果醬(1*6KG)</v>
      </c>
      <c r="D217" s="285">
        <v>6</v>
      </c>
      <c r="E217" s="48">
        <f>VLOOKUP(B217,'112年全品項生產鍋數'!A:H,3,0)</f>
        <v>6</v>
      </c>
      <c r="F217" s="45">
        <f>VLOOKUP(B217,'112年全品項生產鍋數'!A:H,7,0)</f>
        <v>25.2</v>
      </c>
      <c r="G217" s="49">
        <f t="shared" si="18"/>
        <v>151.19999999999999</v>
      </c>
      <c r="H217" s="144">
        <v>152</v>
      </c>
      <c r="I217" s="46">
        <f t="shared" si="19"/>
        <v>912</v>
      </c>
      <c r="J217" s="100">
        <f t="shared" si="20"/>
        <v>1.0052910052910053</v>
      </c>
      <c r="K217" s="51">
        <f>VLOOKUP(B:B,'生產達成率(目標)'!A:C,3,0)</f>
        <v>1</v>
      </c>
      <c r="L217" s="20">
        <f t="shared" si="23"/>
        <v>5.0000000000000001E-3</v>
      </c>
      <c r="M217" s="235"/>
      <c r="N217" s="43"/>
      <c r="O217" s="150">
        <f t="shared" si="21"/>
        <v>1</v>
      </c>
      <c r="P217" s="43">
        <v>151</v>
      </c>
      <c r="Q217" s="27">
        <f t="shared" si="22"/>
        <v>0.99342105263157898</v>
      </c>
      <c r="R217" s="23"/>
      <c r="S217" s="173"/>
      <c r="T217" s="30"/>
      <c r="U217" s="23"/>
      <c r="V217" s="458"/>
      <c r="W217" s="421"/>
      <c r="X217" s="458"/>
      <c r="Y217" s="421"/>
      <c r="Z217" s="421"/>
      <c r="AA217" s="421"/>
      <c r="AB217" s="421"/>
      <c r="AC217" s="421"/>
      <c r="AD217" s="421"/>
    </row>
    <row r="218" spans="1:30" s="22" customFormat="1" x14ac:dyDescent="0.4">
      <c r="A218" s="177" t="s">
        <v>709</v>
      </c>
      <c r="B218" s="149" t="s">
        <v>9</v>
      </c>
      <c r="C218" s="30" t="str">
        <f>VLOOKUP(B218,'112年全品項生產鍋數'!A:H,2,0)</f>
        <v>＃1花生(1*2.8kg)</v>
      </c>
      <c r="D218" s="285">
        <v>60</v>
      </c>
      <c r="E218" s="48">
        <f>VLOOKUP(B218,'112年全品項生產鍋數'!A:H,3,0)</f>
        <v>2.8</v>
      </c>
      <c r="F218" s="45">
        <f>VLOOKUP(B218,'112年全品項生產鍋數'!A:H,7,0)</f>
        <v>44.5</v>
      </c>
      <c r="G218" s="49">
        <f t="shared" si="18"/>
        <v>2670</v>
      </c>
      <c r="H218" s="144">
        <v>2677</v>
      </c>
      <c r="I218" s="46">
        <f t="shared" si="19"/>
        <v>7495.5999999999995</v>
      </c>
      <c r="J218" s="100">
        <f t="shared" si="20"/>
        <v>1.002621722846442</v>
      </c>
      <c r="K218" s="51">
        <f>VLOOKUP(B:B,'生產達成率(目標)'!A:C,3,0)</f>
        <v>1</v>
      </c>
      <c r="L218" s="20">
        <f t="shared" si="23"/>
        <v>3.0000000000000001E-3</v>
      </c>
      <c r="M218" s="235"/>
      <c r="N218" s="43"/>
      <c r="O218" s="150">
        <f t="shared" si="21"/>
        <v>1</v>
      </c>
      <c r="P218" s="43">
        <v>2676</v>
      </c>
      <c r="Q218" s="27">
        <f t="shared" si="22"/>
        <v>0.99962644751587593</v>
      </c>
      <c r="R218" s="23"/>
      <c r="S218" s="173"/>
      <c r="T218" s="30"/>
      <c r="U218" s="23"/>
      <c r="V218" s="458"/>
      <c r="W218" s="421"/>
      <c r="X218" s="458"/>
      <c r="Y218" s="421"/>
      <c r="Z218" s="421"/>
      <c r="AA218" s="421"/>
      <c r="AB218" s="421"/>
      <c r="AC218" s="421"/>
      <c r="AD218" s="421"/>
    </row>
    <row r="219" spans="1:30" s="22" customFormat="1" x14ac:dyDescent="0.4">
      <c r="A219" s="177" t="s">
        <v>710</v>
      </c>
      <c r="B219" s="149" t="s">
        <v>87</v>
      </c>
      <c r="C219" s="30" t="str">
        <f>VLOOKUP(B219,'112年全品項生產鍋數'!A:H,2,0)</f>
        <v>＃1藍莓(1*3.2kg)</v>
      </c>
      <c r="D219" s="285">
        <v>72</v>
      </c>
      <c r="E219" s="48">
        <f>VLOOKUP(B219,'112年全品項生產鍋數'!A:H,3,0)</f>
        <v>3.2</v>
      </c>
      <c r="F219" s="45">
        <f>VLOOKUP(B219,'112年全品項生產鍋數'!A:H,7,0)</f>
        <v>47.5</v>
      </c>
      <c r="G219" s="49">
        <f t="shared" si="18"/>
        <v>3420</v>
      </c>
      <c r="H219" s="144">
        <v>3383</v>
      </c>
      <c r="I219" s="46">
        <f t="shared" si="19"/>
        <v>10825.6</v>
      </c>
      <c r="J219" s="100">
        <f t="shared" si="20"/>
        <v>0.98918128654970761</v>
      </c>
      <c r="K219" s="51">
        <f>VLOOKUP(B:B,'生產達成率(目標)'!A:C,3,0)</f>
        <v>1</v>
      </c>
      <c r="L219" s="20">
        <f t="shared" si="23"/>
        <v>-1.0999999999999999E-2</v>
      </c>
      <c r="M219" s="235"/>
      <c r="N219" s="43"/>
      <c r="O219" s="150">
        <f t="shared" si="21"/>
        <v>3</v>
      </c>
      <c r="P219" s="43">
        <v>3380</v>
      </c>
      <c r="Q219" s="27">
        <f t="shared" si="22"/>
        <v>0.99911321312444579</v>
      </c>
      <c r="R219" s="23"/>
      <c r="S219" s="173"/>
      <c r="T219" s="30"/>
      <c r="U219" s="23"/>
      <c r="V219" s="458"/>
      <c r="W219" s="421"/>
      <c r="X219" s="458"/>
      <c r="Y219" s="421"/>
      <c r="Z219" s="421"/>
      <c r="AA219" s="421"/>
      <c r="AB219" s="421"/>
      <c r="AC219" s="421"/>
      <c r="AD219" s="421"/>
    </row>
    <row r="220" spans="1:30" s="22" customFormat="1" x14ac:dyDescent="0.4">
      <c r="A220" s="177" t="s">
        <v>710</v>
      </c>
      <c r="B220" s="149" t="s">
        <v>41</v>
      </c>
      <c r="C220" s="30" t="str">
        <f>VLOOKUP(B220,'112年全品項生產鍋數'!A:H,2,0)</f>
        <v>天天開心藍莓餡4.5KG</v>
      </c>
      <c r="D220" s="285">
        <v>24</v>
      </c>
      <c r="E220" s="48">
        <f>VLOOKUP(B220,'112年全品項生產鍋數'!A:H,3,0)</f>
        <v>4.5</v>
      </c>
      <c r="F220" s="45">
        <f>VLOOKUP(B220,'112年全品項生產鍋數'!A:H,7,0)</f>
        <v>36.799999999999997</v>
      </c>
      <c r="G220" s="49">
        <f t="shared" si="18"/>
        <v>883.19999999999993</v>
      </c>
      <c r="H220" s="144">
        <v>889</v>
      </c>
      <c r="I220" s="46">
        <f t="shared" si="19"/>
        <v>4000.5</v>
      </c>
      <c r="J220" s="100">
        <f t="shared" si="20"/>
        <v>1.0065670289855073</v>
      </c>
      <c r="K220" s="51">
        <f>VLOOKUP(B:B,'生產達成率(目標)'!A:C,3,0)</f>
        <v>1</v>
      </c>
      <c r="L220" s="20">
        <f t="shared" si="23"/>
        <v>7.0000000000000001E-3</v>
      </c>
      <c r="M220" s="235"/>
      <c r="N220" s="43"/>
      <c r="O220" s="150">
        <f t="shared" si="21"/>
        <v>2</v>
      </c>
      <c r="P220" s="43">
        <v>887</v>
      </c>
      <c r="Q220" s="27">
        <f t="shared" si="22"/>
        <v>0.9977502812148481</v>
      </c>
      <c r="R220" s="23"/>
      <c r="S220" s="173"/>
      <c r="T220" s="30"/>
      <c r="U220" s="23"/>
      <c r="V220" s="458"/>
      <c r="W220" s="421"/>
      <c r="X220" s="458"/>
      <c r="Y220" s="421"/>
      <c r="Z220" s="421"/>
      <c r="AA220" s="421"/>
      <c r="AB220" s="421"/>
      <c r="AC220" s="421"/>
      <c r="AD220" s="421"/>
    </row>
    <row r="221" spans="1:30" s="22" customFormat="1" x14ac:dyDescent="0.4">
      <c r="A221" s="177" t="s">
        <v>710</v>
      </c>
      <c r="B221" s="149" t="s">
        <v>42</v>
      </c>
      <c r="C221" s="30" t="str">
        <f>VLOOKUP(B221,'112年全品項生產鍋數'!A:H,2,0)</f>
        <v>天天開心柳橙餡4.5KG</v>
      </c>
      <c r="D221" s="285">
        <v>8</v>
      </c>
      <c r="E221" s="48">
        <f>VLOOKUP(B221,'112年全品項生產鍋數'!A:H,3,0)</f>
        <v>4.5</v>
      </c>
      <c r="F221" s="45">
        <f>VLOOKUP(B221,'112年全品項生產鍋數'!A:H,7,0)</f>
        <v>34.9</v>
      </c>
      <c r="G221" s="49">
        <f t="shared" si="18"/>
        <v>279.2</v>
      </c>
      <c r="H221" s="144">
        <v>285</v>
      </c>
      <c r="I221" s="46">
        <f t="shared" si="19"/>
        <v>1282.5</v>
      </c>
      <c r="J221" s="100">
        <f t="shared" si="20"/>
        <v>1.0207736389684814</v>
      </c>
      <c r="K221" s="51">
        <f>VLOOKUP(B:B,'生產達成率(目標)'!A:C,3,0)</f>
        <v>1</v>
      </c>
      <c r="L221" s="20">
        <f t="shared" si="23"/>
        <v>2.1000000000000001E-2</v>
      </c>
      <c r="M221" s="235"/>
      <c r="N221" s="43"/>
      <c r="O221" s="150">
        <f t="shared" si="21"/>
        <v>0</v>
      </c>
      <c r="P221" s="43">
        <v>285</v>
      </c>
      <c r="Q221" s="27">
        <f t="shared" si="22"/>
        <v>1</v>
      </c>
      <c r="R221" s="23"/>
      <c r="S221" s="173"/>
      <c r="T221" s="30"/>
      <c r="U221" s="23"/>
      <c r="V221" s="458"/>
      <c r="W221" s="421"/>
      <c r="X221" s="458"/>
      <c r="Y221" s="421"/>
      <c r="Z221" s="421"/>
      <c r="AA221" s="421"/>
      <c r="AB221" s="421"/>
      <c r="AC221" s="421"/>
      <c r="AD221" s="421"/>
    </row>
    <row r="222" spans="1:30" s="22" customFormat="1" x14ac:dyDescent="0.4">
      <c r="A222" s="177" t="s">
        <v>710</v>
      </c>
      <c r="B222" s="149" t="s">
        <v>3</v>
      </c>
      <c r="C222" s="30" t="str">
        <f>VLOOKUP(B222,'112年全品項生產鍋數'!A:H,2,0)</f>
        <v>天天開心草莓餡4.5KG</v>
      </c>
      <c r="D222" s="285">
        <v>12</v>
      </c>
      <c r="E222" s="48">
        <f>VLOOKUP(B222,'112年全品項生產鍋數'!A:H,3,0)</f>
        <v>4.5</v>
      </c>
      <c r="F222" s="45">
        <f>VLOOKUP(B222,'112年全品項生產鍋數'!A:H,7,0)</f>
        <v>36.299999999999997</v>
      </c>
      <c r="G222" s="49">
        <f t="shared" si="18"/>
        <v>435.59999999999997</v>
      </c>
      <c r="H222" s="144">
        <v>429</v>
      </c>
      <c r="I222" s="46">
        <f t="shared" si="19"/>
        <v>1930.5</v>
      </c>
      <c r="J222" s="100">
        <f t="shared" si="20"/>
        <v>0.98484848484848497</v>
      </c>
      <c r="K222" s="51">
        <f>VLOOKUP(B:B,'生產達成率(目標)'!A:C,3,0)</f>
        <v>1</v>
      </c>
      <c r="L222" s="20">
        <f t="shared" si="23"/>
        <v>-1.4999999999999999E-2</v>
      </c>
      <c r="M222" s="235"/>
      <c r="N222" s="43"/>
      <c r="O222" s="150">
        <f t="shared" si="21"/>
        <v>0</v>
      </c>
      <c r="P222" s="43">
        <v>429</v>
      </c>
      <c r="Q222" s="27">
        <f t="shared" si="22"/>
        <v>1</v>
      </c>
      <c r="R222" s="23"/>
      <c r="S222" s="173"/>
      <c r="T222" s="30"/>
      <c r="U222" s="23"/>
      <c r="V222" s="458"/>
      <c r="W222" s="421"/>
      <c r="X222" s="458"/>
      <c r="Y222" s="421"/>
      <c r="Z222" s="421"/>
      <c r="AA222" s="421"/>
      <c r="AB222" s="421"/>
      <c r="AC222" s="421"/>
      <c r="AD222" s="421"/>
    </row>
    <row r="223" spans="1:30" s="22" customFormat="1" x14ac:dyDescent="0.4">
      <c r="A223" s="177" t="s">
        <v>710</v>
      </c>
      <c r="B223" s="149" t="s">
        <v>23</v>
      </c>
      <c r="C223" s="30" t="str">
        <f>VLOOKUP(B223,'112年全品項生產鍋數'!A:H,2,0)</f>
        <v>＃1花生(粒)(1*2.8kg)</v>
      </c>
      <c r="D223" s="285">
        <v>60</v>
      </c>
      <c r="E223" s="48">
        <f>VLOOKUP(B223,'112年全品項生產鍋數'!A:H,3,0)</f>
        <v>2.8</v>
      </c>
      <c r="F223" s="45">
        <f>VLOOKUP(B223,'112年全品項生產鍋數'!A:H,7,0)</f>
        <v>44.2</v>
      </c>
      <c r="G223" s="49">
        <f t="shared" si="18"/>
        <v>2652</v>
      </c>
      <c r="H223" s="144">
        <v>2677</v>
      </c>
      <c r="I223" s="46">
        <f t="shared" si="19"/>
        <v>7495.5999999999995</v>
      </c>
      <c r="J223" s="100">
        <f t="shared" si="20"/>
        <v>1.0094268476621417</v>
      </c>
      <c r="K223" s="51">
        <f>VLOOKUP(B:B,'生產達成率(目標)'!A:C,3,0)</f>
        <v>1</v>
      </c>
      <c r="L223" s="20">
        <f t="shared" si="23"/>
        <v>8.9999999999999993E-3</v>
      </c>
      <c r="M223" s="235"/>
      <c r="N223" s="43"/>
      <c r="O223" s="150">
        <f t="shared" si="21"/>
        <v>1</v>
      </c>
      <c r="P223" s="43">
        <v>2676</v>
      </c>
      <c r="Q223" s="27">
        <f t="shared" si="22"/>
        <v>0.99962644751587593</v>
      </c>
      <c r="R223" s="23"/>
      <c r="S223" s="173"/>
      <c r="T223" s="30"/>
      <c r="U223" s="23"/>
      <c r="V223" s="458"/>
      <c r="W223" s="421"/>
      <c r="X223" s="458"/>
      <c r="Y223" s="421"/>
      <c r="Z223" s="421"/>
      <c r="AA223" s="421"/>
      <c r="AB223" s="421"/>
      <c r="AC223" s="421"/>
      <c r="AD223" s="421"/>
    </row>
    <row r="224" spans="1:30" s="22" customFormat="1" x14ac:dyDescent="0.4">
      <c r="A224" s="177" t="s">
        <v>711</v>
      </c>
      <c r="B224" s="149" t="s">
        <v>12</v>
      </c>
      <c r="C224" s="30" t="str">
        <f>VLOOKUP(B224,'112年全品項生產鍋數'!A:H,2,0)</f>
        <v>＃1草莓(1*3.2kg)</v>
      </c>
      <c r="D224" s="285">
        <v>88</v>
      </c>
      <c r="E224" s="48">
        <f>VLOOKUP(B224,'112年全品項生產鍋數'!A:H,3,0)</f>
        <v>3.2</v>
      </c>
      <c r="F224" s="45">
        <f>VLOOKUP(B224,'112年全品項生產鍋數'!A:H,7,0)</f>
        <v>46.8</v>
      </c>
      <c r="G224" s="49">
        <f t="shared" si="18"/>
        <v>4118.3999999999996</v>
      </c>
      <c r="H224" s="144">
        <v>4107</v>
      </c>
      <c r="I224" s="46">
        <f t="shared" si="19"/>
        <v>13142.400000000001</v>
      </c>
      <c r="J224" s="100">
        <f t="shared" si="20"/>
        <v>0.99723193473193483</v>
      </c>
      <c r="K224" s="51">
        <f>VLOOKUP(B:B,'生產達成率(目標)'!A:C,3,0)</f>
        <v>1</v>
      </c>
      <c r="L224" s="20">
        <f t="shared" si="23"/>
        <v>-3.0000000000000001E-3</v>
      </c>
      <c r="M224" s="235"/>
      <c r="N224" s="43"/>
      <c r="O224" s="150">
        <f t="shared" si="21"/>
        <v>2</v>
      </c>
      <c r="P224" s="43">
        <v>4105</v>
      </c>
      <c r="Q224" s="27">
        <f t="shared" si="22"/>
        <v>0.99951302654005358</v>
      </c>
      <c r="R224" s="23"/>
      <c r="S224" s="173">
        <v>88</v>
      </c>
      <c r="T224" s="52" t="s">
        <v>930</v>
      </c>
      <c r="U224" s="23"/>
      <c r="V224" s="458"/>
      <c r="W224" s="421"/>
      <c r="X224" s="458"/>
      <c r="Y224" s="421"/>
      <c r="Z224" s="421"/>
      <c r="AA224" s="421"/>
      <c r="AB224" s="421"/>
      <c r="AC224" s="421"/>
      <c r="AD224" s="421"/>
    </row>
    <row r="225" spans="1:30" s="22" customFormat="1" x14ac:dyDescent="0.4">
      <c r="A225" s="177" t="s">
        <v>711</v>
      </c>
      <c r="B225" s="149" t="s">
        <v>134</v>
      </c>
      <c r="C225" s="30" t="str">
        <f>VLOOKUP(B225,'112年全品項生產鍋數'!A:H,2,0)</f>
        <v>草莓椰果餡(1*6Kg)</v>
      </c>
      <c r="D225" s="285">
        <v>12</v>
      </c>
      <c r="E225" s="48">
        <f>VLOOKUP(B225,'112年全品項生產鍋數'!A:H,3,0)</f>
        <v>6</v>
      </c>
      <c r="F225" s="45">
        <f>VLOOKUP(B225,'112年全品項生產鍋數'!A:H,7,0)</f>
        <v>26.4</v>
      </c>
      <c r="G225" s="49">
        <f t="shared" si="18"/>
        <v>316.79999999999995</v>
      </c>
      <c r="H225" s="144">
        <v>310</v>
      </c>
      <c r="I225" s="46">
        <f t="shared" si="19"/>
        <v>1860</v>
      </c>
      <c r="J225" s="100">
        <f t="shared" si="20"/>
        <v>0.9785353535353537</v>
      </c>
      <c r="K225" s="51">
        <f>VLOOKUP(B:B,'生產達成率(目標)'!A:C,3,0)</f>
        <v>1</v>
      </c>
      <c r="L225" s="20">
        <f t="shared" si="23"/>
        <v>-2.1000000000000001E-2</v>
      </c>
      <c r="M225" s="235"/>
      <c r="N225" s="43"/>
      <c r="O225" s="150">
        <f t="shared" si="21"/>
        <v>1</v>
      </c>
      <c r="P225" s="43">
        <v>309</v>
      </c>
      <c r="Q225" s="27">
        <f t="shared" si="22"/>
        <v>0.99677419354838714</v>
      </c>
      <c r="R225" s="23"/>
      <c r="S225" s="173"/>
      <c r="T225" s="30"/>
      <c r="U225" s="23"/>
      <c r="V225" s="458"/>
      <c r="W225" s="421"/>
      <c r="X225" s="458"/>
      <c r="Y225" s="421"/>
      <c r="Z225" s="421"/>
      <c r="AA225" s="421"/>
      <c r="AB225" s="421"/>
      <c r="AC225" s="421"/>
      <c r="AD225" s="421"/>
    </row>
    <row r="226" spans="1:30" s="22" customFormat="1" x14ac:dyDescent="0.4">
      <c r="A226" s="177" t="s">
        <v>711</v>
      </c>
      <c r="B226" s="149" t="s">
        <v>3</v>
      </c>
      <c r="C226" s="30" t="str">
        <f>VLOOKUP(B226,'112年全品項生產鍋數'!A:H,2,0)</f>
        <v>天天開心草莓餡4.5KG</v>
      </c>
      <c r="D226" s="285">
        <v>28</v>
      </c>
      <c r="E226" s="48">
        <f>VLOOKUP(B226,'112年全品項生產鍋數'!A:H,3,0)</f>
        <v>4.5</v>
      </c>
      <c r="F226" s="45">
        <f>VLOOKUP(B226,'112年全品項生產鍋數'!A:H,7,0)</f>
        <v>36.299999999999997</v>
      </c>
      <c r="G226" s="49">
        <f t="shared" si="18"/>
        <v>1016.3999999999999</v>
      </c>
      <c r="H226" s="144">
        <v>1015</v>
      </c>
      <c r="I226" s="46">
        <f t="shared" si="19"/>
        <v>4567.5</v>
      </c>
      <c r="J226" s="100">
        <f t="shared" si="20"/>
        <v>0.99862258953168059</v>
      </c>
      <c r="K226" s="51">
        <f>VLOOKUP(B:B,'生產達成率(目標)'!A:C,3,0)</f>
        <v>1</v>
      </c>
      <c r="L226" s="20">
        <f t="shared" si="23"/>
        <v>-1E-3</v>
      </c>
      <c r="M226" s="235"/>
      <c r="N226" s="43"/>
      <c r="O226" s="150">
        <f t="shared" si="21"/>
        <v>0</v>
      </c>
      <c r="P226" s="43">
        <v>1015</v>
      </c>
      <c r="Q226" s="27">
        <f t="shared" si="22"/>
        <v>1</v>
      </c>
      <c r="R226" s="23"/>
      <c r="S226" s="173"/>
      <c r="T226" s="30"/>
      <c r="U226" s="23"/>
      <c r="V226" s="458"/>
      <c r="W226" s="421"/>
      <c r="X226" s="458"/>
      <c r="Y226" s="421"/>
      <c r="Z226" s="421"/>
      <c r="AA226" s="421"/>
      <c r="AB226" s="421"/>
      <c r="AC226" s="421"/>
      <c r="AD226" s="421"/>
    </row>
    <row r="227" spans="1:30" s="22" customFormat="1" x14ac:dyDescent="0.4">
      <c r="A227" s="177" t="s">
        <v>711</v>
      </c>
      <c r="B227" s="149" t="s">
        <v>9</v>
      </c>
      <c r="C227" s="30" t="str">
        <f>VLOOKUP(B227,'112年全品項生產鍋數'!A:H,2,0)</f>
        <v>＃1花生(1*2.8kg)</v>
      </c>
      <c r="D227" s="285">
        <v>60</v>
      </c>
      <c r="E227" s="48">
        <f>VLOOKUP(B227,'112年全品項生產鍋數'!A:H,3,0)</f>
        <v>2.8</v>
      </c>
      <c r="F227" s="45">
        <f>VLOOKUP(B227,'112年全品項生產鍋數'!A:H,7,0)</f>
        <v>44.5</v>
      </c>
      <c r="G227" s="49">
        <f t="shared" si="18"/>
        <v>2670</v>
      </c>
      <c r="H227" s="144">
        <v>2678</v>
      </c>
      <c r="I227" s="46">
        <f t="shared" si="19"/>
        <v>7498.4</v>
      </c>
      <c r="J227" s="100">
        <f t="shared" si="20"/>
        <v>1.002996254681648</v>
      </c>
      <c r="K227" s="51">
        <f>VLOOKUP(B:B,'生產達成率(目標)'!A:C,3,0)</f>
        <v>1</v>
      </c>
      <c r="L227" s="20">
        <f t="shared" si="23"/>
        <v>3.0000000000000001E-3</v>
      </c>
      <c r="M227" s="235"/>
      <c r="N227" s="43"/>
      <c r="O227" s="150">
        <f t="shared" si="21"/>
        <v>1</v>
      </c>
      <c r="P227" s="43">
        <v>2677</v>
      </c>
      <c r="Q227" s="27">
        <f t="shared" si="22"/>
        <v>0.99962658700522777</v>
      </c>
      <c r="R227" s="23"/>
      <c r="S227" s="173"/>
      <c r="T227" s="30"/>
      <c r="U227" s="23"/>
      <c r="V227" s="458"/>
      <c r="W227" s="421"/>
      <c r="X227" s="458"/>
      <c r="Y227" s="421"/>
      <c r="Z227" s="421"/>
      <c r="AA227" s="421"/>
      <c r="AB227" s="421"/>
      <c r="AC227" s="421"/>
      <c r="AD227" s="421"/>
    </row>
    <row r="228" spans="1:30" s="22" customFormat="1" x14ac:dyDescent="0.4">
      <c r="A228" s="177" t="s">
        <v>712</v>
      </c>
      <c r="B228" s="149" t="s">
        <v>135</v>
      </c>
      <c r="C228" s="30" t="str">
        <f>VLOOKUP(B228,'112年全品項生產鍋數'!A:H,2,0)</f>
        <v>桑椹果醬(1*190g)</v>
      </c>
      <c r="D228" s="285">
        <v>4</v>
      </c>
      <c r="E228" s="48">
        <f>VLOOKUP(B228,'112年全品項生產鍋數'!A:H,3,0)</f>
        <v>0.19</v>
      </c>
      <c r="F228" s="45">
        <f>VLOOKUP(B228,'112年全品項生產鍋數'!A:H,7,0)</f>
        <v>759.3</v>
      </c>
      <c r="G228" s="49">
        <f t="shared" si="18"/>
        <v>3037.2</v>
      </c>
      <c r="H228" s="144">
        <v>3123</v>
      </c>
      <c r="I228" s="46">
        <f t="shared" si="19"/>
        <v>593.37</v>
      </c>
      <c r="J228" s="100">
        <f t="shared" si="20"/>
        <v>1.0282497036744371</v>
      </c>
      <c r="K228" s="51">
        <f>VLOOKUP(B:B,'生產達成率(目標)'!A:C,3,0)</f>
        <v>1</v>
      </c>
      <c r="L228" s="20">
        <f t="shared" si="23"/>
        <v>2.8000000000000001E-2</v>
      </c>
      <c r="M228" s="235"/>
      <c r="N228" s="43"/>
      <c r="O228" s="150">
        <f t="shared" si="21"/>
        <v>8</v>
      </c>
      <c r="P228" s="43">
        <v>3115</v>
      </c>
      <c r="Q228" s="27">
        <f t="shared" si="22"/>
        <v>0.99743836055075252</v>
      </c>
      <c r="R228" s="23"/>
      <c r="S228" s="173"/>
      <c r="T228" s="30"/>
      <c r="U228" s="23"/>
      <c r="V228" s="458"/>
      <c r="W228" s="421"/>
      <c r="X228" s="458"/>
      <c r="Y228" s="421"/>
      <c r="Z228" s="421"/>
      <c r="AA228" s="421"/>
      <c r="AB228" s="421"/>
      <c r="AC228" s="421"/>
      <c r="AD228" s="421"/>
    </row>
    <row r="229" spans="1:30" s="22" customFormat="1" x14ac:dyDescent="0.4">
      <c r="A229" s="177" t="s">
        <v>712</v>
      </c>
      <c r="B229" s="149" t="s">
        <v>136</v>
      </c>
      <c r="C229" s="30" t="str">
        <f>VLOOKUP(B229,'112年全品項生產鍋數'!A:H,2,0)</f>
        <v>文旦柚茶(1*420g)</v>
      </c>
      <c r="D229" s="285">
        <v>6</v>
      </c>
      <c r="E229" s="48">
        <f>VLOOKUP(B229,'112年全品項生產鍋數'!A:H,3,0)</f>
        <v>0.42</v>
      </c>
      <c r="F229" s="45">
        <f>VLOOKUP(B229,'112年全品項生產鍋數'!A:H,7,0)</f>
        <v>365.1</v>
      </c>
      <c r="G229" s="49">
        <f t="shared" si="18"/>
        <v>2190.6000000000004</v>
      </c>
      <c r="H229" s="144">
        <v>2177</v>
      </c>
      <c r="I229" s="46">
        <f t="shared" si="19"/>
        <v>914.33999999999992</v>
      </c>
      <c r="J229" s="100">
        <f t="shared" si="20"/>
        <v>0.99379165525426805</v>
      </c>
      <c r="K229" s="51">
        <f>VLOOKUP(B:B,'生產達成率(目標)'!A:C,3,0)</f>
        <v>1</v>
      </c>
      <c r="L229" s="20">
        <f t="shared" si="23"/>
        <v>-6.0000000000000001E-3</v>
      </c>
      <c r="M229" s="235"/>
      <c r="N229" s="43"/>
      <c r="O229" s="150">
        <f t="shared" si="21"/>
        <v>5</v>
      </c>
      <c r="P229" s="43">
        <v>2172</v>
      </c>
      <c r="Q229" s="27">
        <f t="shared" si="22"/>
        <v>0.99770326136885623</v>
      </c>
      <c r="R229" s="23"/>
      <c r="S229" s="173"/>
      <c r="T229" s="30"/>
      <c r="U229" s="23"/>
      <c r="V229" s="458"/>
      <c r="W229" s="421"/>
      <c r="X229" s="458"/>
      <c r="Y229" s="421"/>
      <c r="Z229" s="421"/>
      <c r="AA229" s="421"/>
      <c r="AB229" s="421"/>
      <c r="AC229" s="421"/>
      <c r="AD229" s="421"/>
    </row>
    <row r="230" spans="1:30" s="22" customFormat="1" x14ac:dyDescent="0.4">
      <c r="A230" s="177" t="s">
        <v>712</v>
      </c>
      <c r="B230" s="149" t="s">
        <v>87</v>
      </c>
      <c r="C230" s="30" t="str">
        <f>VLOOKUP(B230,'112年全品項生產鍋數'!A:H,2,0)</f>
        <v>＃1藍莓(1*3.2kg)</v>
      </c>
      <c r="D230" s="285">
        <v>36</v>
      </c>
      <c r="E230" s="48">
        <f>VLOOKUP(B230,'112年全品項生產鍋數'!A:H,3,0)</f>
        <v>3.2</v>
      </c>
      <c r="F230" s="45">
        <f>VLOOKUP(B230,'112年全品項生產鍋數'!A:H,7,0)</f>
        <v>47.5</v>
      </c>
      <c r="G230" s="49">
        <f t="shared" si="18"/>
        <v>1710</v>
      </c>
      <c r="H230" s="144">
        <v>1676</v>
      </c>
      <c r="I230" s="46">
        <f t="shared" si="19"/>
        <v>5363.2000000000007</v>
      </c>
      <c r="J230" s="100">
        <f t="shared" si="20"/>
        <v>0.9801169590643275</v>
      </c>
      <c r="K230" s="51">
        <f>VLOOKUP(B:B,'生產達成率(目標)'!A:C,3,0)</f>
        <v>1</v>
      </c>
      <c r="L230" s="20">
        <f t="shared" si="23"/>
        <v>-0.02</v>
      </c>
      <c r="M230" s="235"/>
      <c r="N230" s="43"/>
      <c r="O230" s="150">
        <f t="shared" si="21"/>
        <v>2</v>
      </c>
      <c r="P230" s="43">
        <v>1674</v>
      </c>
      <c r="Q230" s="27">
        <f t="shared" si="22"/>
        <v>0.99880668257756566</v>
      </c>
      <c r="R230" s="23"/>
      <c r="S230" s="173"/>
      <c r="T230" s="30"/>
      <c r="U230" s="23"/>
      <c r="V230" s="458"/>
      <c r="W230" s="421"/>
      <c r="X230" s="458"/>
      <c r="Y230" s="421"/>
      <c r="Z230" s="421"/>
      <c r="AA230" s="421"/>
      <c r="AB230" s="421"/>
      <c r="AC230" s="421"/>
      <c r="AD230" s="421"/>
    </row>
    <row r="231" spans="1:30" s="22" customFormat="1" x14ac:dyDescent="0.4">
      <c r="A231" s="177" t="s">
        <v>712</v>
      </c>
      <c r="B231" s="149" t="s">
        <v>2</v>
      </c>
      <c r="C231" s="30" t="str">
        <f>VLOOKUP(B231,'112年全品項生產鍋數'!A:H,2,0)</f>
        <v>草莓醬(1*6kg)</v>
      </c>
      <c r="D231" s="285">
        <v>30</v>
      </c>
      <c r="E231" s="48">
        <f>VLOOKUP(B231,'112年全品項生產鍋數'!A:H,3,0)</f>
        <v>6</v>
      </c>
      <c r="F231" s="45">
        <f>VLOOKUP(B231,'112年全品項生產鍋數'!A:H,7,0)</f>
        <v>26.6</v>
      </c>
      <c r="G231" s="49">
        <f t="shared" si="18"/>
        <v>798</v>
      </c>
      <c r="H231" s="144">
        <v>787</v>
      </c>
      <c r="I231" s="46">
        <f t="shared" si="19"/>
        <v>4722</v>
      </c>
      <c r="J231" s="100">
        <f t="shared" si="20"/>
        <v>0.98621553884711777</v>
      </c>
      <c r="K231" s="51">
        <f>VLOOKUP(B:B,'生產達成率(目標)'!A:C,3,0)</f>
        <v>1</v>
      </c>
      <c r="L231" s="20">
        <f t="shared" si="23"/>
        <v>-1.4E-2</v>
      </c>
      <c r="M231" s="235"/>
      <c r="N231" s="43"/>
      <c r="O231" s="150">
        <f t="shared" si="21"/>
        <v>3</v>
      </c>
      <c r="P231" s="43">
        <v>784</v>
      </c>
      <c r="Q231" s="27">
        <f t="shared" si="22"/>
        <v>0.99618805590851334</v>
      </c>
      <c r="R231" s="23"/>
      <c r="S231" s="173"/>
      <c r="T231" s="30"/>
      <c r="U231" s="23"/>
      <c r="V231" s="458"/>
      <c r="W231" s="421"/>
      <c r="X231" s="458"/>
      <c r="Y231" s="421"/>
      <c r="Z231" s="421"/>
      <c r="AA231" s="421"/>
      <c r="AB231" s="421"/>
      <c r="AC231" s="421"/>
      <c r="AD231" s="421"/>
    </row>
    <row r="232" spans="1:30" s="22" customFormat="1" x14ac:dyDescent="0.4">
      <c r="A232" s="177" t="s">
        <v>712</v>
      </c>
      <c r="B232" s="149" t="s">
        <v>137</v>
      </c>
      <c r="C232" s="30" t="str">
        <f>VLOOKUP(B232,'112年全品項生產鍋數'!A:H,2,0)</f>
        <v>耐烤草莓餡(1*4.5KG)</v>
      </c>
      <c r="D232" s="285">
        <v>12</v>
      </c>
      <c r="E232" s="48">
        <f>VLOOKUP(B232,'112年全品項生產鍋數'!A:H,3,0)</f>
        <v>4.5</v>
      </c>
      <c r="F232" s="45">
        <f>VLOOKUP(B232,'112年全品項生產鍋數'!A:H,7,0)</f>
        <v>36</v>
      </c>
      <c r="G232" s="49">
        <f t="shared" si="18"/>
        <v>432</v>
      </c>
      <c r="H232" s="144">
        <v>428</v>
      </c>
      <c r="I232" s="46">
        <f t="shared" si="19"/>
        <v>1926</v>
      </c>
      <c r="J232" s="100">
        <f t="shared" si="20"/>
        <v>0.9907407407407407</v>
      </c>
      <c r="K232" s="51">
        <f>VLOOKUP(B:B,'生產達成率(目標)'!A:C,3,0)</f>
        <v>1</v>
      </c>
      <c r="L232" s="20">
        <f t="shared" si="23"/>
        <v>-8.9999999999999993E-3</v>
      </c>
      <c r="M232" s="235"/>
      <c r="N232" s="43"/>
      <c r="O232" s="150">
        <f t="shared" si="21"/>
        <v>0</v>
      </c>
      <c r="P232" s="43">
        <v>428</v>
      </c>
      <c r="Q232" s="27">
        <f t="shared" si="22"/>
        <v>1</v>
      </c>
      <c r="R232" s="23"/>
      <c r="S232" s="173"/>
      <c r="T232" s="30"/>
      <c r="U232" s="23"/>
      <c r="V232" s="458"/>
      <c r="W232" s="421"/>
      <c r="X232" s="458"/>
      <c r="Y232" s="421"/>
      <c r="Z232" s="421"/>
      <c r="AA232" s="421"/>
      <c r="AB232" s="421"/>
      <c r="AC232" s="421"/>
      <c r="AD232" s="421"/>
    </row>
    <row r="233" spans="1:30" s="22" customFormat="1" x14ac:dyDescent="0.4">
      <c r="A233" s="177" t="s">
        <v>712</v>
      </c>
      <c r="B233" s="149" t="s">
        <v>23</v>
      </c>
      <c r="C233" s="30" t="str">
        <f>VLOOKUP(B233,'112年全品項生產鍋數'!A:H,2,0)</f>
        <v>＃1花生(粒)(1*2.8kg)</v>
      </c>
      <c r="D233" s="285">
        <v>60</v>
      </c>
      <c r="E233" s="48">
        <f>VLOOKUP(B233,'112年全品項生產鍋數'!A:H,3,0)</f>
        <v>2.8</v>
      </c>
      <c r="F233" s="45">
        <f>VLOOKUP(B233,'112年全品項生產鍋數'!A:H,7,0)</f>
        <v>44.2</v>
      </c>
      <c r="G233" s="49">
        <f t="shared" si="18"/>
        <v>2652</v>
      </c>
      <c r="H233" s="144">
        <v>2669</v>
      </c>
      <c r="I233" s="46">
        <f t="shared" si="19"/>
        <v>7473.2</v>
      </c>
      <c r="J233" s="100">
        <f t="shared" si="20"/>
        <v>1.0064102564102564</v>
      </c>
      <c r="K233" s="51">
        <f>VLOOKUP(B:B,'生產達成率(目標)'!A:C,3,0)</f>
        <v>1</v>
      </c>
      <c r="L233" s="20">
        <f t="shared" si="23"/>
        <v>6.0000000000000001E-3</v>
      </c>
      <c r="M233" s="235"/>
      <c r="N233" s="43"/>
      <c r="O233" s="150">
        <f t="shared" si="21"/>
        <v>4</v>
      </c>
      <c r="P233" s="43">
        <v>2665</v>
      </c>
      <c r="Q233" s="27">
        <f t="shared" si="22"/>
        <v>0.99850131135256648</v>
      </c>
      <c r="R233" s="23"/>
      <c r="S233" s="173"/>
      <c r="T233" s="30"/>
      <c r="U233" s="23"/>
      <c r="V233" s="458"/>
      <c r="W233" s="421"/>
      <c r="X233" s="458"/>
      <c r="Y233" s="421"/>
      <c r="Z233" s="421"/>
      <c r="AA233" s="421"/>
      <c r="AB233" s="421"/>
      <c r="AC233" s="421"/>
      <c r="AD233" s="421"/>
    </row>
    <row r="234" spans="1:30" s="22" customFormat="1" x14ac:dyDescent="0.4">
      <c r="A234" s="177" t="s">
        <v>713</v>
      </c>
      <c r="B234" s="149" t="s">
        <v>12</v>
      </c>
      <c r="C234" s="30" t="str">
        <f>VLOOKUP(B234,'112年全品項生產鍋數'!A:H,2,0)</f>
        <v>＃1草莓(1*3.2kg)</v>
      </c>
      <c r="D234" s="285">
        <v>80</v>
      </c>
      <c r="E234" s="48">
        <f>VLOOKUP(B234,'112年全品項生產鍋數'!A:H,3,0)</f>
        <v>3.2</v>
      </c>
      <c r="F234" s="45">
        <f>VLOOKUP(B234,'112年全品項生產鍋數'!A:H,7,0)</f>
        <v>46.8</v>
      </c>
      <c r="G234" s="49">
        <f t="shared" si="18"/>
        <v>3744</v>
      </c>
      <c r="H234" s="144">
        <v>3732</v>
      </c>
      <c r="I234" s="46">
        <f t="shared" si="19"/>
        <v>11942.400000000001</v>
      </c>
      <c r="J234" s="100">
        <f t="shared" si="20"/>
        <v>0.99679487179487181</v>
      </c>
      <c r="K234" s="51">
        <f>VLOOKUP(B:B,'生產達成率(目標)'!A:C,3,0)</f>
        <v>1</v>
      </c>
      <c r="L234" s="20">
        <f t="shared" si="23"/>
        <v>-3.0000000000000001E-3</v>
      </c>
      <c r="M234" s="235"/>
      <c r="N234" s="43"/>
      <c r="O234" s="150">
        <f t="shared" si="21"/>
        <v>2</v>
      </c>
      <c r="P234" s="43">
        <v>3730</v>
      </c>
      <c r="Q234" s="27">
        <f t="shared" si="22"/>
        <v>0.99946409431939975</v>
      </c>
      <c r="R234" s="23"/>
      <c r="S234" s="173">
        <v>60</v>
      </c>
      <c r="T234" s="52" t="s">
        <v>930</v>
      </c>
      <c r="U234" s="23"/>
      <c r="V234" s="458"/>
      <c r="W234" s="421"/>
      <c r="X234" s="458"/>
      <c r="Y234" s="421"/>
      <c r="Z234" s="421"/>
      <c r="AA234" s="421"/>
      <c r="AB234" s="421"/>
      <c r="AC234" s="421"/>
      <c r="AD234" s="421"/>
    </row>
    <row r="235" spans="1:30" s="22" customFormat="1" x14ac:dyDescent="0.4">
      <c r="A235" s="177" t="s">
        <v>713</v>
      </c>
      <c r="B235" s="149" t="s">
        <v>16</v>
      </c>
      <c r="C235" s="30" t="str">
        <f>VLOOKUP(B235,'112年全品項生產鍋數'!A:H,2,0)</f>
        <v>藍莓餡(1*6Kg)</v>
      </c>
      <c r="D235" s="285">
        <v>20</v>
      </c>
      <c r="E235" s="48">
        <f>VLOOKUP(B235,'112年全品項生產鍋數'!A:H,3,0)</f>
        <v>6</v>
      </c>
      <c r="F235" s="45">
        <f>VLOOKUP(B235,'112年全品項生產鍋數'!A:H,7,0)</f>
        <v>25.1</v>
      </c>
      <c r="G235" s="49">
        <f t="shared" si="18"/>
        <v>502</v>
      </c>
      <c r="H235" s="144">
        <v>500</v>
      </c>
      <c r="I235" s="46">
        <f t="shared" si="19"/>
        <v>3000</v>
      </c>
      <c r="J235" s="100">
        <f t="shared" si="20"/>
        <v>0.99601593625498008</v>
      </c>
      <c r="K235" s="51">
        <f>VLOOKUP(B:B,'生產達成率(目標)'!A:C,3,0)</f>
        <v>1</v>
      </c>
      <c r="L235" s="20">
        <f t="shared" si="23"/>
        <v>-4.0000000000000001E-3</v>
      </c>
      <c r="M235" s="235"/>
      <c r="N235" s="43"/>
      <c r="O235" s="150">
        <f t="shared" si="21"/>
        <v>2</v>
      </c>
      <c r="P235" s="43">
        <v>498</v>
      </c>
      <c r="Q235" s="27">
        <f t="shared" si="22"/>
        <v>0.996</v>
      </c>
      <c r="R235" s="23"/>
      <c r="S235" s="173"/>
      <c r="T235" s="30"/>
      <c r="U235" s="23"/>
      <c r="V235" s="458"/>
      <c r="W235" s="421"/>
      <c r="X235" s="458"/>
      <c r="Y235" s="421"/>
      <c r="Z235" s="421"/>
      <c r="AA235" s="421"/>
      <c r="AB235" s="421"/>
      <c r="AC235" s="421"/>
      <c r="AD235" s="421"/>
    </row>
    <row r="236" spans="1:30" s="22" customFormat="1" x14ac:dyDescent="0.4">
      <c r="A236" s="177" t="s">
        <v>713</v>
      </c>
      <c r="B236" s="149" t="s">
        <v>1</v>
      </c>
      <c r="C236" s="30" t="str">
        <f>VLOOKUP(B236,'112年全品項生產鍋數'!A:H,2,0)</f>
        <v>藍莓醬(1*6kg)</v>
      </c>
      <c r="D236" s="285">
        <v>18</v>
      </c>
      <c r="E236" s="48">
        <f>VLOOKUP(B236,'112年全品項生產鍋數'!A:H,3,0)</f>
        <v>6</v>
      </c>
      <c r="F236" s="45">
        <f>VLOOKUP(B236,'112年全品項生產鍋數'!A:H,7,0)</f>
        <v>25.5</v>
      </c>
      <c r="G236" s="49">
        <f t="shared" si="18"/>
        <v>459</v>
      </c>
      <c r="H236" s="144">
        <v>452</v>
      </c>
      <c r="I236" s="46">
        <f t="shared" si="19"/>
        <v>2712</v>
      </c>
      <c r="J236" s="100">
        <f t="shared" si="20"/>
        <v>0.98474945533769065</v>
      </c>
      <c r="K236" s="51">
        <f>VLOOKUP(B:B,'生產達成率(目標)'!A:C,3,0)</f>
        <v>1</v>
      </c>
      <c r="L236" s="20">
        <f t="shared" si="23"/>
        <v>-1.4999999999999999E-2</v>
      </c>
      <c r="M236" s="235"/>
      <c r="N236" s="43"/>
      <c r="O236" s="150">
        <f t="shared" si="21"/>
        <v>2</v>
      </c>
      <c r="P236" s="43">
        <v>450</v>
      </c>
      <c r="Q236" s="27">
        <f t="shared" si="22"/>
        <v>0.99557522123893805</v>
      </c>
      <c r="R236" s="23"/>
      <c r="S236" s="173"/>
      <c r="T236" s="30"/>
      <c r="U236" s="23"/>
      <c r="V236" s="458"/>
      <c r="W236" s="421"/>
      <c r="X236" s="458"/>
      <c r="Y236" s="421"/>
      <c r="Z236" s="421"/>
      <c r="AA236" s="421"/>
      <c r="AB236" s="421"/>
      <c r="AC236" s="421"/>
      <c r="AD236" s="421"/>
    </row>
    <row r="237" spans="1:30" s="22" customFormat="1" x14ac:dyDescent="0.4">
      <c r="A237" s="177" t="s">
        <v>713</v>
      </c>
      <c r="B237" s="149" t="s">
        <v>138</v>
      </c>
      <c r="C237" s="30" t="str">
        <f>VLOOKUP(B237,'112年全品項生產鍋數'!A:H,2,0)</f>
        <v>芒果蜜桃醬(1*6kg)</v>
      </c>
      <c r="D237" s="285">
        <v>6</v>
      </c>
      <c r="E237" s="48">
        <f>VLOOKUP(B237,'112年全品項生產鍋數'!A:H,3,0)</f>
        <v>6</v>
      </c>
      <c r="F237" s="45">
        <f>VLOOKUP(B237,'112年全品項生產鍋數'!A:H,7,0)</f>
        <v>25.6</v>
      </c>
      <c r="G237" s="49">
        <f t="shared" si="18"/>
        <v>153.60000000000002</v>
      </c>
      <c r="H237" s="144">
        <v>157</v>
      </c>
      <c r="I237" s="46">
        <f t="shared" si="19"/>
        <v>942</v>
      </c>
      <c r="J237" s="100">
        <f t="shared" si="20"/>
        <v>1.0221354166666665</v>
      </c>
      <c r="K237" s="51">
        <f>VLOOKUP(B:B,'生產達成率(目標)'!A:C,3,0)</f>
        <v>1</v>
      </c>
      <c r="L237" s="20">
        <f t="shared" si="23"/>
        <v>2.1999999999999999E-2</v>
      </c>
      <c r="M237" s="235"/>
      <c r="N237" s="43"/>
      <c r="O237" s="150">
        <f t="shared" si="21"/>
        <v>1</v>
      </c>
      <c r="P237" s="43">
        <v>156</v>
      </c>
      <c r="Q237" s="27">
        <f t="shared" si="22"/>
        <v>0.99363057324840764</v>
      </c>
      <c r="R237" s="23"/>
      <c r="S237" s="173"/>
      <c r="T237" s="30"/>
      <c r="U237" s="23"/>
      <c r="V237" s="458"/>
      <c r="W237" s="421"/>
      <c r="X237" s="458"/>
      <c r="Y237" s="421"/>
      <c r="Z237" s="421"/>
      <c r="AA237" s="421"/>
      <c r="AB237" s="421"/>
      <c r="AC237" s="421"/>
      <c r="AD237" s="421"/>
    </row>
    <row r="238" spans="1:30" s="22" customFormat="1" x14ac:dyDescent="0.4">
      <c r="A238" s="177" t="s">
        <v>713</v>
      </c>
      <c r="B238" s="149" t="s">
        <v>10</v>
      </c>
      <c r="C238" s="30" t="str">
        <f>VLOOKUP(B238,'112年全品項生產鍋數'!A:H,2,0)</f>
        <v>＃2花生(1*800g)</v>
      </c>
      <c r="D238" s="285">
        <v>20</v>
      </c>
      <c r="E238" s="48">
        <f>VLOOKUP(B238,'112年全品項生產鍋數'!A:H,3,0)</f>
        <v>0.8</v>
      </c>
      <c r="F238" s="45">
        <f>VLOOKUP(B238,'112年全品項生產鍋數'!A:H,7,0)</f>
        <v>157.69999999999999</v>
      </c>
      <c r="G238" s="49">
        <f t="shared" si="18"/>
        <v>3154</v>
      </c>
      <c r="H238" s="144">
        <v>3106</v>
      </c>
      <c r="I238" s="46">
        <f t="shared" si="19"/>
        <v>2484.8000000000002</v>
      </c>
      <c r="J238" s="100">
        <f t="shared" si="20"/>
        <v>0.98478123018389352</v>
      </c>
      <c r="K238" s="51">
        <f>VLOOKUP(B:B,'生產達成率(目標)'!A:C,3,0)</f>
        <v>1</v>
      </c>
      <c r="L238" s="20">
        <f t="shared" si="23"/>
        <v>-1.4999999999999999E-2</v>
      </c>
      <c r="M238" s="235"/>
      <c r="N238" s="43"/>
      <c r="O238" s="150">
        <f t="shared" si="21"/>
        <v>2</v>
      </c>
      <c r="P238" s="43">
        <v>3104</v>
      </c>
      <c r="Q238" s="27">
        <f t="shared" si="22"/>
        <v>0.99935608499678041</v>
      </c>
      <c r="R238" s="23"/>
      <c r="S238" s="173"/>
      <c r="T238" s="30"/>
      <c r="U238" s="23"/>
      <c r="V238" s="458"/>
      <c r="W238" s="421"/>
      <c r="X238" s="458"/>
      <c r="Y238" s="421"/>
      <c r="Z238" s="421"/>
      <c r="AA238" s="421"/>
      <c r="AB238" s="421"/>
      <c r="AC238" s="421"/>
      <c r="AD238" s="421"/>
    </row>
    <row r="239" spans="1:30" s="22" customFormat="1" x14ac:dyDescent="0.4">
      <c r="A239" s="177" t="s">
        <v>713</v>
      </c>
      <c r="B239" s="149" t="s">
        <v>22</v>
      </c>
      <c r="C239" s="30" t="str">
        <f>VLOOKUP(B239,'112年全品項生產鍋數'!A:H,2,0)</f>
        <v>PET瓶花生(1*340g)</v>
      </c>
      <c r="D239" s="285">
        <v>9.49</v>
      </c>
      <c r="E239" s="48">
        <f>VLOOKUP(B239,'112年全品項生產鍋數'!A:H,3,0)</f>
        <v>0.34</v>
      </c>
      <c r="F239" s="45">
        <f>VLOOKUP(B239,'112年全品項生產鍋數'!A:H,7,0)</f>
        <v>358.3</v>
      </c>
      <c r="G239" s="49">
        <f t="shared" si="18"/>
        <v>3400.2670000000003</v>
      </c>
      <c r="H239" s="144">
        <v>3359</v>
      </c>
      <c r="I239" s="46">
        <f t="shared" si="19"/>
        <v>1142.0600000000002</v>
      </c>
      <c r="J239" s="100">
        <f t="shared" si="20"/>
        <v>0.98786360012316676</v>
      </c>
      <c r="K239" s="51">
        <f>VLOOKUP(B:B,'生產達成率(目標)'!A:C,3,0)</f>
        <v>1</v>
      </c>
      <c r="L239" s="20">
        <f t="shared" si="23"/>
        <v>-1.2E-2</v>
      </c>
      <c r="M239" s="235"/>
      <c r="N239" s="43"/>
      <c r="O239" s="150">
        <f t="shared" si="21"/>
        <v>3</v>
      </c>
      <c r="P239" s="43">
        <v>3356</v>
      </c>
      <c r="Q239" s="27">
        <f t="shared" si="22"/>
        <v>0.99910687704674006</v>
      </c>
      <c r="R239" s="23"/>
      <c r="S239" s="173"/>
      <c r="T239" s="30"/>
      <c r="U239" s="23"/>
      <c r="V239" s="458"/>
      <c r="W239" s="421"/>
      <c r="X239" s="458"/>
      <c r="Y239" s="421"/>
      <c r="Z239" s="421"/>
      <c r="AA239" s="421"/>
      <c r="AB239" s="421"/>
      <c r="AC239" s="421"/>
      <c r="AD239" s="421"/>
    </row>
    <row r="240" spans="1:30" s="22" customFormat="1" x14ac:dyDescent="0.4">
      <c r="A240" s="177" t="s">
        <v>713</v>
      </c>
      <c r="B240" s="149" t="s">
        <v>44</v>
      </c>
      <c r="C240" s="30" t="str">
        <f>VLOOKUP(B240,'112年全品項生產鍋數'!A:H,2,0)</f>
        <v>佳樂美細花(1*340g)</v>
      </c>
      <c r="D240" s="285">
        <v>6.51</v>
      </c>
      <c r="E240" s="48">
        <f>VLOOKUP(B240,'112年全品項生產鍋數'!A:H,3,0)</f>
        <v>0.34</v>
      </c>
      <c r="F240" s="45">
        <f>VLOOKUP(B240,'112年全品項生產鍋數'!A:H,7,0)</f>
        <v>366</v>
      </c>
      <c r="G240" s="49">
        <f t="shared" si="18"/>
        <v>2382.66</v>
      </c>
      <c r="H240" s="144">
        <v>2402</v>
      </c>
      <c r="I240" s="46">
        <f t="shared" si="19"/>
        <v>816.68000000000006</v>
      </c>
      <c r="J240" s="100">
        <f t="shared" si="20"/>
        <v>1.0081169785030177</v>
      </c>
      <c r="K240" s="51">
        <v>1</v>
      </c>
      <c r="L240" s="20">
        <f t="shared" si="23"/>
        <v>8.0000000000000002E-3</v>
      </c>
      <c r="M240" s="235"/>
      <c r="N240" s="43"/>
      <c r="O240" s="150">
        <f t="shared" si="21"/>
        <v>2</v>
      </c>
      <c r="P240" s="43">
        <v>2400</v>
      </c>
      <c r="Q240" s="27">
        <f t="shared" si="22"/>
        <v>0.99916736053288924</v>
      </c>
      <c r="R240" s="23"/>
      <c r="S240" s="173"/>
      <c r="T240" s="30"/>
      <c r="U240" s="23"/>
      <c r="V240" s="458"/>
      <c r="W240" s="421"/>
      <c r="X240" s="458"/>
      <c r="Y240" s="421"/>
      <c r="Z240" s="421"/>
      <c r="AA240" s="421"/>
      <c r="AB240" s="421"/>
      <c r="AC240" s="421"/>
      <c r="AD240" s="421"/>
    </row>
    <row r="241" spans="1:30" s="22" customFormat="1" x14ac:dyDescent="0.4">
      <c r="A241" s="177" t="s">
        <v>714</v>
      </c>
      <c r="B241" s="149" t="s">
        <v>36</v>
      </c>
      <c r="C241" s="30" t="str">
        <f>VLOOKUP(B241,'112年全品項生產鍋數'!A:H,2,0)</f>
        <v>開心草莓果醬(1*430g)</v>
      </c>
      <c r="D241" s="285">
        <v>15</v>
      </c>
      <c r="E241" s="48">
        <f>VLOOKUP(B241,'112年全品項生產鍋數'!A:H,3,0)</f>
        <v>0.43</v>
      </c>
      <c r="F241" s="45">
        <f>VLOOKUP(B241,'112年全品項生產鍋數'!A:H,7,0)</f>
        <v>364</v>
      </c>
      <c r="G241" s="49">
        <f t="shared" si="18"/>
        <v>5460</v>
      </c>
      <c r="H241" s="144">
        <v>5433</v>
      </c>
      <c r="I241" s="46">
        <f t="shared" si="19"/>
        <v>2336.19</v>
      </c>
      <c r="J241" s="100">
        <f t="shared" si="20"/>
        <v>0.99505494505494507</v>
      </c>
      <c r="K241" s="51">
        <f>VLOOKUP(B:B,'生產達成率(目標)'!A:C,3,0)</f>
        <v>1</v>
      </c>
      <c r="L241" s="20">
        <f t="shared" si="23"/>
        <v>-5.0000000000000001E-3</v>
      </c>
      <c r="M241" s="235"/>
      <c r="N241" s="43"/>
      <c r="O241" s="150">
        <f t="shared" si="21"/>
        <v>5</v>
      </c>
      <c r="P241" s="43">
        <v>5428</v>
      </c>
      <c r="Q241" s="27">
        <f t="shared" si="22"/>
        <v>0.99907969814099029</v>
      </c>
      <c r="R241" s="23"/>
      <c r="S241" s="173"/>
      <c r="T241" s="30"/>
      <c r="U241" s="23"/>
      <c r="V241" s="458"/>
      <c r="W241" s="421"/>
      <c r="X241" s="458"/>
      <c r="Y241" s="421"/>
      <c r="Z241" s="421"/>
      <c r="AA241" s="421"/>
      <c r="AB241" s="421"/>
      <c r="AC241" s="421"/>
      <c r="AD241" s="421"/>
    </row>
    <row r="242" spans="1:30" s="22" customFormat="1" x14ac:dyDescent="0.4">
      <c r="A242" s="177" t="s">
        <v>714</v>
      </c>
      <c r="B242" s="149" t="s">
        <v>11</v>
      </c>
      <c r="C242" s="30" t="str">
        <f>VLOOKUP(B242,'112年全品項生產鍋數'!A:H,2,0)</f>
        <v>#2草莓果醬(1*900g)</v>
      </c>
      <c r="D242" s="285">
        <v>20</v>
      </c>
      <c r="E242" s="48">
        <f>VLOOKUP(B242,'112年全品項生產鍋數'!A:H,3,0)</f>
        <v>0.9</v>
      </c>
      <c r="F242" s="45">
        <f>VLOOKUP(B242,'112年全品項生產鍋數'!A:H,7,0)</f>
        <v>160.5</v>
      </c>
      <c r="G242" s="49">
        <f t="shared" si="18"/>
        <v>3210</v>
      </c>
      <c r="H242" s="144">
        <v>3206</v>
      </c>
      <c r="I242" s="46">
        <f t="shared" si="19"/>
        <v>2885.4</v>
      </c>
      <c r="J242" s="100">
        <f t="shared" si="20"/>
        <v>0.99875389408099691</v>
      </c>
      <c r="K242" s="51">
        <f>VLOOKUP(B:B,'生產達成率(目標)'!A:C,3,0)</f>
        <v>1</v>
      </c>
      <c r="L242" s="20">
        <f t="shared" si="23"/>
        <v>-1E-3</v>
      </c>
      <c r="M242" s="235"/>
      <c r="N242" s="43"/>
      <c r="O242" s="150">
        <f t="shared" si="21"/>
        <v>3</v>
      </c>
      <c r="P242" s="43">
        <v>3203</v>
      </c>
      <c r="Q242" s="27">
        <f t="shared" si="22"/>
        <v>0.99906425452276981</v>
      </c>
      <c r="R242" s="23"/>
      <c r="S242" s="173"/>
      <c r="T242" s="30"/>
      <c r="U242" s="23"/>
      <c r="V242" s="458"/>
      <c r="W242" s="421"/>
      <c r="X242" s="458"/>
      <c r="Y242" s="421"/>
      <c r="Z242" s="421"/>
      <c r="AA242" s="421"/>
      <c r="AB242" s="421"/>
      <c r="AC242" s="421"/>
      <c r="AD242" s="421"/>
    </row>
    <row r="243" spans="1:30" s="22" customFormat="1" x14ac:dyDescent="0.4">
      <c r="A243" s="177" t="s">
        <v>714</v>
      </c>
      <c r="B243" s="149" t="s">
        <v>7</v>
      </c>
      <c r="C243" s="30" t="str">
        <f>VLOOKUP(B243,'112年全品項生產鍋數'!A:H,2,0)</f>
        <v>草莓蒟蒻餡(1*6kg)</v>
      </c>
      <c r="D243" s="285">
        <v>24</v>
      </c>
      <c r="E243" s="48">
        <f>VLOOKUP(B243,'112年全品項生產鍋數'!A:H,3,0)</f>
        <v>6</v>
      </c>
      <c r="F243" s="45">
        <f>VLOOKUP(B243,'112年全品項生產鍋數'!A:H,7,0)</f>
        <v>25.7</v>
      </c>
      <c r="G243" s="49">
        <f t="shared" si="18"/>
        <v>616.79999999999995</v>
      </c>
      <c r="H243" s="144">
        <v>608</v>
      </c>
      <c r="I243" s="46">
        <f t="shared" si="19"/>
        <v>3648</v>
      </c>
      <c r="J243" s="100">
        <f t="shared" si="20"/>
        <v>0.9857328145265889</v>
      </c>
      <c r="K243" s="51">
        <f>VLOOKUP(B:B,'生產達成率(目標)'!A:C,3,0)</f>
        <v>1</v>
      </c>
      <c r="L243" s="20">
        <f t="shared" si="23"/>
        <v>-1.4E-2</v>
      </c>
      <c r="M243" s="235"/>
      <c r="N243" s="43"/>
      <c r="O243" s="150">
        <f t="shared" si="21"/>
        <v>4</v>
      </c>
      <c r="P243" s="43">
        <v>604</v>
      </c>
      <c r="Q243" s="27">
        <f t="shared" si="22"/>
        <v>0.99342105263157898</v>
      </c>
      <c r="R243" s="23"/>
      <c r="S243" s="173"/>
      <c r="T243" s="30"/>
      <c r="U243" s="23"/>
      <c r="V243" s="458"/>
      <c r="W243" s="421"/>
      <c r="X243" s="458"/>
      <c r="Y243" s="421"/>
      <c r="Z243" s="421"/>
      <c r="AA243" s="421"/>
      <c r="AB243" s="421"/>
      <c r="AC243" s="421"/>
      <c r="AD243" s="421"/>
    </row>
    <row r="244" spans="1:30" s="22" customFormat="1" x14ac:dyDescent="0.4">
      <c r="A244" s="177" t="s">
        <v>714</v>
      </c>
      <c r="B244" s="149" t="s">
        <v>139</v>
      </c>
      <c r="C244" s="30" t="str">
        <f>VLOOKUP(B244,'112年全品項生產鍋數'!A:H,2,0)</f>
        <v>草莓餡42°(1*6KG)</v>
      </c>
      <c r="D244" s="285">
        <v>16</v>
      </c>
      <c r="E244" s="48">
        <f>VLOOKUP(B244,'112年全品項生產鍋數'!A:H,3,0)</f>
        <v>6</v>
      </c>
      <c r="F244" s="45">
        <f>VLOOKUP(B244,'112年全品項生產鍋數'!A:H,7,0)</f>
        <v>25.2</v>
      </c>
      <c r="G244" s="49">
        <f t="shared" si="18"/>
        <v>403.2</v>
      </c>
      <c r="H244" s="144">
        <v>402</v>
      </c>
      <c r="I244" s="46">
        <f t="shared" si="19"/>
        <v>2412</v>
      </c>
      <c r="J244" s="100">
        <f t="shared" si="20"/>
        <v>0.99702380952380953</v>
      </c>
      <c r="K244" s="51">
        <f>VLOOKUP(B:B,'生產達成率(目標)'!A:C,3,0)</f>
        <v>1</v>
      </c>
      <c r="L244" s="20">
        <f t="shared" si="23"/>
        <v>-3.0000000000000001E-3</v>
      </c>
      <c r="M244" s="235"/>
      <c r="N244" s="43"/>
      <c r="O244" s="150">
        <f t="shared" si="21"/>
        <v>1</v>
      </c>
      <c r="P244" s="43">
        <v>401</v>
      </c>
      <c r="Q244" s="27">
        <f t="shared" si="22"/>
        <v>0.99751243781094523</v>
      </c>
      <c r="R244" s="23"/>
      <c r="S244" s="173"/>
      <c r="T244" s="30"/>
      <c r="U244" s="23"/>
      <c r="V244" s="458"/>
      <c r="W244" s="421"/>
      <c r="X244" s="458"/>
      <c r="Y244" s="421"/>
      <c r="Z244" s="421"/>
      <c r="AA244" s="421"/>
      <c r="AB244" s="421"/>
      <c r="AC244" s="421"/>
      <c r="AD244" s="421"/>
    </row>
    <row r="245" spans="1:30" s="22" customFormat="1" x14ac:dyDescent="0.4">
      <c r="A245" s="177" t="s">
        <v>714</v>
      </c>
      <c r="B245" s="149" t="s">
        <v>9</v>
      </c>
      <c r="C245" s="30" t="str">
        <f>VLOOKUP(B245,'112年全品項生產鍋數'!A:H,2,0)</f>
        <v>＃1花生(1*2.8kg)</v>
      </c>
      <c r="D245" s="285">
        <v>55.53</v>
      </c>
      <c r="E245" s="48">
        <f>VLOOKUP(B245,'112年全品項生產鍋數'!A:H,3,0)</f>
        <v>2.8</v>
      </c>
      <c r="F245" s="45">
        <f>VLOOKUP(B245,'112年全品項生產鍋數'!A:H,7,0)</f>
        <v>44.5</v>
      </c>
      <c r="G245" s="49">
        <f t="shared" si="18"/>
        <v>2471.085</v>
      </c>
      <c r="H245" s="144">
        <v>2495</v>
      </c>
      <c r="I245" s="46">
        <f t="shared" si="19"/>
        <v>6986</v>
      </c>
      <c r="J245" s="100">
        <f t="shared" si="20"/>
        <v>1.0096779349961655</v>
      </c>
      <c r="K245" s="51">
        <f>VLOOKUP(B:B,'生產達成率(目標)'!A:C,3,0)</f>
        <v>1</v>
      </c>
      <c r="L245" s="20">
        <f t="shared" si="23"/>
        <v>0.01</v>
      </c>
      <c r="M245" s="235"/>
      <c r="N245" s="43"/>
      <c r="O245" s="150">
        <f t="shared" si="21"/>
        <v>1</v>
      </c>
      <c r="P245" s="43">
        <v>2494</v>
      </c>
      <c r="Q245" s="27">
        <f t="shared" si="22"/>
        <v>0.99959919839679356</v>
      </c>
      <c r="R245" s="23"/>
      <c r="S245" s="173"/>
      <c r="T245" s="30"/>
      <c r="U245" s="23"/>
      <c r="V245" s="458"/>
      <c r="W245" s="421"/>
      <c r="X245" s="458"/>
      <c r="Y245" s="421"/>
      <c r="Z245" s="421"/>
      <c r="AA245" s="421"/>
      <c r="AB245" s="421"/>
      <c r="AC245" s="421"/>
      <c r="AD245" s="421"/>
    </row>
    <row r="246" spans="1:30" s="22" customFormat="1" x14ac:dyDescent="0.4">
      <c r="A246" s="177" t="s">
        <v>714</v>
      </c>
      <c r="B246" s="149" t="s">
        <v>351</v>
      </c>
      <c r="C246" s="30" t="str">
        <f>VLOOKUP(B246,'112年全品項生產鍋數'!A:H,2,0)</f>
        <v>花生醬（1*18kg)</v>
      </c>
      <c r="D246" s="285">
        <v>4.47</v>
      </c>
      <c r="E246" s="48">
        <f>VLOOKUP(B246,'112年全品項生產鍋數'!A:H,3,0)</f>
        <v>18</v>
      </c>
      <c r="F246" s="45">
        <f>VLOOKUP(B246,'112年全品項生產鍋數'!A:H,7,0)</f>
        <v>6.7</v>
      </c>
      <c r="G246" s="49">
        <f t="shared" si="18"/>
        <v>29.948999999999998</v>
      </c>
      <c r="H246" s="144">
        <v>30</v>
      </c>
      <c r="I246" s="46">
        <f t="shared" si="19"/>
        <v>540</v>
      </c>
      <c r="J246" s="100">
        <f t="shared" si="20"/>
        <v>1.0017028949213664</v>
      </c>
      <c r="K246" s="51">
        <f>VLOOKUP(B:B,'生產達成率(目標)'!A:C,3,0)</f>
        <v>1</v>
      </c>
      <c r="L246" s="20">
        <f t="shared" si="23"/>
        <v>2E-3</v>
      </c>
      <c r="M246" s="235"/>
      <c r="N246" s="43"/>
      <c r="O246" s="150">
        <f t="shared" si="21"/>
        <v>0</v>
      </c>
      <c r="P246" s="43">
        <v>30</v>
      </c>
      <c r="Q246" s="27">
        <f t="shared" si="22"/>
        <v>1</v>
      </c>
      <c r="R246" s="23"/>
      <c r="S246" s="173"/>
      <c r="T246" s="30"/>
      <c r="U246" s="23"/>
      <c r="V246" s="458"/>
      <c r="W246" s="421"/>
      <c r="X246" s="458"/>
      <c r="Y246" s="421"/>
      <c r="Z246" s="421"/>
      <c r="AA246" s="421"/>
      <c r="AB246" s="421"/>
      <c r="AC246" s="421"/>
      <c r="AD246" s="421"/>
    </row>
    <row r="247" spans="1:30" s="22" customFormat="1" x14ac:dyDescent="0.4">
      <c r="A247" s="177" t="s">
        <v>715</v>
      </c>
      <c r="B247" s="149" t="s">
        <v>140</v>
      </c>
      <c r="C247" s="30" t="str">
        <f>VLOOKUP(B247,'112年全品項生產鍋數'!A:H,2,0)</f>
        <v>草莓餡(1*6Kg)</v>
      </c>
      <c r="D247" s="285">
        <v>16</v>
      </c>
      <c r="E247" s="48">
        <f>VLOOKUP(B247,'112年全品項生產鍋數'!A:H,3,0)</f>
        <v>6</v>
      </c>
      <c r="F247" s="45">
        <f>VLOOKUP(B247,'112年全品項生產鍋數'!A:H,7,0)</f>
        <v>25.5</v>
      </c>
      <c r="G247" s="49">
        <f t="shared" si="18"/>
        <v>408</v>
      </c>
      <c r="H247" s="144">
        <v>401</v>
      </c>
      <c r="I247" s="46">
        <f t="shared" si="19"/>
        <v>2406</v>
      </c>
      <c r="J247" s="100">
        <f t="shared" si="20"/>
        <v>0.98284313725490191</v>
      </c>
      <c r="K247" s="51">
        <f>VLOOKUP(B:B,'生產達成率(目標)'!A:C,3,0)</f>
        <v>1</v>
      </c>
      <c r="L247" s="20">
        <f t="shared" si="23"/>
        <v>-1.7000000000000001E-2</v>
      </c>
      <c r="M247" s="235"/>
      <c r="N247" s="43"/>
      <c r="O247" s="150">
        <f t="shared" si="21"/>
        <v>1</v>
      </c>
      <c r="P247" s="43">
        <v>400</v>
      </c>
      <c r="Q247" s="27">
        <f t="shared" si="22"/>
        <v>0.99750623441396513</v>
      </c>
      <c r="R247" s="23"/>
      <c r="S247" s="173"/>
      <c r="T247" s="30"/>
      <c r="U247" s="23"/>
      <c r="V247" s="458"/>
      <c r="W247" s="421"/>
      <c r="X247" s="458"/>
      <c r="Y247" s="421"/>
      <c r="Z247" s="421"/>
      <c r="AA247" s="421"/>
      <c r="AB247" s="421"/>
      <c r="AC247" s="421"/>
      <c r="AD247" s="421"/>
    </row>
    <row r="248" spans="1:30" s="22" customFormat="1" x14ac:dyDescent="0.4">
      <c r="A248" s="177" t="s">
        <v>715</v>
      </c>
      <c r="B248" s="149" t="s">
        <v>7</v>
      </c>
      <c r="C248" s="30" t="str">
        <f>VLOOKUP(B248,'112年全品項生產鍋數'!A:H,2,0)</f>
        <v>草莓蒟蒻餡(1*6kg)</v>
      </c>
      <c r="D248" s="285">
        <v>24</v>
      </c>
      <c r="E248" s="48">
        <f>VLOOKUP(B248,'112年全品項生產鍋數'!A:H,3,0)</f>
        <v>6</v>
      </c>
      <c r="F248" s="45">
        <f>VLOOKUP(B248,'112年全品項生產鍋數'!A:H,7,0)</f>
        <v>25.7</v>
      </c>
      <c r="G248" s="49">
        <f t="shared" si="18"/>
        <v>616.79999999999995</v>
      </c>
      <c r="H248" s="144">
        <v>612</v>
      </c>
      <c r="I248" s="46">
        <f t="shared" si="19"/>
        <v>3672</v>
      </c>
      <c r="J248" s="100">
        <f t="shared" si="20"/>
        <v>0.99221789883268485</v>
      </c>
      <c r="K248" s="51">
        <f>VLOOKUP(B:B,'生產達成率(目標)'!A:C,3,0)</f>
        <v>1</v>
      </c>
      <c r="L248" s="20">
        <f t="shared" si="23"/>
        <v>-8.0000000000000002E-3</v>
      </c>
      <c r="M248" s="235"/>
      <c r="N248" s="43"/>
      <c r="O248" s="150">
        <f t="shared" si="21"/>
        <v>3</v>
      </c>
      <c r="P248" s="43">
        <v>609</v>
      </c>
      <c r="Q248" s="27">
        <f t="shared" si="22"/>
        <v>0.99509803921568629</v>
      </c>
      <c r="R248" s="23"/>
      <c r="S248" s="173"/>
      <c r="T248" s="30"/>
      <c r="U248" s="23"/>
      <c r="V248" s="458"/>
      <c r="W248" s="421"/>
      <c r="X248" s="458"/>
      <c r="Y248" s="421"/>
      <c r="Z248" s="421"/>
      <c r="AA248" s="421"/>
      <c r="AB248" s="421"/>
      <c r="AC248" s="421"/>
      <c r="AD248" s="421"/>
    </row>
    <row r="249" spans="1:30" s="22" customFormat="1" x14ac:dyDescent="0.4">
      <c r="A249" s="177" t="s">
        <v>715</v>
      </c>
      <c r="B249" s="149" t="s">
        <v>141</v>
      </c>
      <c r="C249" s="30" t="str">
        <f>VLOOKUP(B249,'112年全品項生產鍋數'!A:H,2,0)</f>
        <v>顆粒花生醬(1*12KG)</v>
      </c>
      <c r="D249" s="285">
        <v>21</v>
      </c>
      <c r="E249" s="48">
        <f>VLOOKUP(B249,'112年全品項生產鍋數'!A:H,3,0)</f>
        <v>3</v>
      </c>
      <c r="F249" s="45">
        <f>VLOOKUP(B249,'112年全品項生產鍋數'!A:H,7,0)</f>
        <v>30.8</v>
      </c>
      <c r="G249" s="49">
        <f t="shared" si="18"/>
        <v>646.80000000000007</v>
      </c>
      <c r="H249" s="144">
        <v>644</v>
      </c>
      <c r="I249" s="46">
        <f t="shared" si="19"/>
        <v>1932</v>
      </c>
      <c r="J249" s="100">
        <f t="shared" si="20"/>
        <v>0.9956709956709956</v>
      </c>
      <c r="K249" s="51">
        <f>VLOOKUP(B:B,'生產達成率(目標)'!A:C,3,0)</f>
        <v>1</v>
      </c>
      <c r="L249" s="20">
        <f t="shared" si="23"/>
        <v>-4.0000000000000001E-3</v>
      </c>
      <c r="M249" s="235"/>
      <c r="N249" s="43"/>
      <c r="O249" s="150">
        <f t="shared" si="21"/>
        <v>0</v>
      </c>
      <c r="P249" s="43">
        <v>644</v>
      </c>
      <c r="Q249" s="27">
        <f t="shared" si="22"/>
        <v>1</v>
      </c>
      <c r="R249" s="23"/>
      <c r="S249" s="173"/>
      <c r="T249" s="30"/>
      <c r="U249" s="23"/>
      <c r="V249" s="458"/>
      <c r="W249" s="421"/>
      <c r="X249" s="458"/>
      <c r="Y249" s="421"/>
      <c r="Z249" s="421"/>
      <c r="AA249" s="421"/>
      <c r="AB249" s="421"/>
      <c r="AC249" s="421"/>
      <c r="AD249" s="421"/>
    </row>
    <row r="250" spans="1:30" s="22" customFormat="1" x14ac:dyDescent="0.4">
      <c r="A250" s="177" t="s">
        <v>715</v>
      </c>
      <c r="B250" s="149" t="s">
        <v>34</v>
      </c>
      <c r="C250" s="30" t="str">
        <f>VLOOKUP(B250,'112年全品項生產鍋數'!A:H,2,0)</f>
        <v>花生醬(1*18KG)</v>
      </c>
      <c r="D250" s="285">
        <v>28</v>
      </c>
      <c r="E250" s="48">
        <f>VLOOKUP(B250,'112年全品項生產鍋數'!A:H,3,0)</f>
        <v>18</v>
      </c>
      <c r="F250" s="45">
        <f>VLOOKUP(B250,'112年全品項生產鍋數'!A:H,7,0)</f>
        <v>6.9</v>
      </c>
      <c r="G250" s="49">
        <f t="shared" si="18"/>
        <v>193.20000000000002</v>
      </c>
      <c r="H250" s="144">
        <v>190</v>
      </c>
      <c r="I250" s="46">
        <f t="shared" si="19"/>
        <v>3420</v>
      </c>
      <c r="J250" s="100">
        <f t="shared" si="20"/>
        <v>0.98343685300207029</v>
      </c>
      <c r="K250" s="51">
        <f>VLOOKUP(B:B,'生產達成率(目標)'!A:C,3,0)</f>
        <v>1</v>
      </c>
      <c r="L250" s="20">
        <f t="shared" si="23"/>
        <v>-1.7000000000000001E-2</v>
      </c>
      <c r="M250" s="235"/>
      <c r="N250" s="43"/>
      <c r="O250" s="150">
        <f t="shared" si="21"/>
        <v>0</v>
      </c>
      <c r="P250" s="43">
        <v>190</v>
      </c>
      <c r="Q250" s="27">
        <f t="shared" si="22"/>
        <v>1</v>
      </c>
      <c r="R250" s="23"/>
      <c r="S250" s="173"/>
      <c r="T250" s="30"/>
      <c r="U250" s="23"/>
      <c r="V250" s="458"/>
      <c r="W250" s="421"/>
      <c r="X250" s="458"/>
      <c r="Y250" s="421"/>
      <c r="Z250" s="421"/>
      <c r="AA250" s="421"/>
      <c r="AB250" s="421"/>
      <c r="AC250" s="421"/>
      <c r="AD250" s="421"/>
    </row>
    <row r="251" spans="1:30" s="22" customFormat="1" x14ac:dyDescent="0.4">
      <c r="A251" s="177" t="s">
        <v>715</v>
      </c>
      <c r="B251" s="149" t="s">
        <v>9</v>
      </c>
      <c r="C251" s="30" t="str">
        <f>VLOOKUP(B251,'112年全品項生產鍋數'!A:H,2,0)</f>
        <v>＃1花生(1*2.8kg)</v>
      </c>
      <c r="D251" s="285">
        <v>28</v>
      </c>
      <c r="E251" s="48">
        <f>VLOOKUP(B251,'112年全品項生產鍋數'!A:H,3,0)</f>
        <v>2.8</v>
      </c>
      <c r="F251" s="45">
        <f>VLOOKUP(B251,'112年全品項生產鍋數'!A:H,7,0)</f>
        <v>44.5</v>
      </c>
      <c r="G251" s="49">
        <f t="shared" si="18"/>
        <v>1246</v>
      </c>
      <c r="H251" s="144">
        <v>1297</v>
      </c>
      <c r="I251" s="46">
        <f t="shared" si="19"/>
        <v>3631.6</v>
      </c>
      <c r="J251" s="100">
        <f t="shared" si="20"/>
        <v>1.0409309791332264</v>
      </c>
      <c r="K251" s="51">
        <f>VLOOKUP(B:B,'生產達成率(目標)'!A:C,3,0)</f>
        <v>1</v>
      </c>
      <c r="L251" s="20">
        <f t="shared" si="23"/>
        <v>4.1000000000000002E-2</v>
      </c>
      <c r="M251" s="235"/>
      <c r="N251" s="43"/>
      <c r="O251" s="150">
        <f t="shared" si="21"/>
        <v>1</v>
      </c>
      <c r="P251" s="43">
        <v>1296</v>
      </c>
      <c r="Q251" s="27">
        <f t="shared" si="22"/>
        <v>0.99922898997686971</v>
      </c>
      <c r="R251" s="23"/>
      <c r="S251" s="173"/>
      <c r="T251" s="30"/>
      <c r="U251" s="23"/>
      <c r="V251" s="458"/>
      <c r="W251" s="421"/>
      <c r="X251" s="458"/>
      <c r="Y251" s="421"/>
      <c r="Z251" s="421"/>
      <c r="AA251" s="421"/>
      <c r="AB251" s="421"/>
      <c r="AC251" s="421"/>
      <c r="AD251" s="421"/>
    </row>
    <row r="252" spans="1:30" s="22" customFormat="1" x14ac:dyDescent="0.4">
      <c r="A252" s="177" t="s">
        <v>716</v>
      </c>
      <c r="B252" s="149" t="s">
        <v>12</v>
      </c>
      <c r="C252" s="30" t="str">
        <f>VLOOKUP(B252,'112年全品項生產鍋數'!A:H,2,0)</f>
        <v>＃1草莓(1*3.2kg)</v>
      </c>
      <c r="D252" s="285">
        <v>60</v>
      </c>
      <c r="E252" s="48">
        <f>VLOOKUP(B252,'112年全品項生產鍋數'!A:H,3,0)</f>
        <v>3.2</v>
      </c>
      <c r="F252" s="45">
        <f>VLOOKUP(B252,'112年全品項生產鍋數'!A:H,7,0)</f>
        <v>46.8</v>
      </c>
      <c r="G252" s="49">
        <f t="shared" si="18"/>
        <v>2808</v>
      </c>
      <c r="H252" s="144">
        <v>2827</v>
      </c>
      <c r="I252" s="46">
        <f t="shared" si="19"/>
        <v>9046.4</v>
      </c>
      <c r="J252" s="100">
        <f t="shared" si="20"/>
        <v>1.0067663817663817</v>
      </c>
      <c r="K252" s="51">
        <f>VLOOKUP(B:B,'生產達成率(目標)'!A:C,3,0)</f>
        <v>1</v>
      </c>
      <c r="L252" s="20">
        <f t="shared" si="23"/>
        <v>7.0000000000000001E-3</v>
      </c>
      <c r="M252" s="235"/>
      <c r="N252" s="43"/>
      <c r="O252" s="150">
        <f t="shared" si="21"/>
        <v>2</v>
      </c>
      <c r="P252" s="43">
        <v>2825</v>
      </c>
      <c r="Q252" s="27">
        <f t="shared" si="22"/>
        <v>0.99929253625751679</v>
      </c>
      <c r="R252" s="23"/>
      <c r="S252" s="173"/>
      <c r="T252" s="30"/>
      <c r="U252" s="23"/>
      <c r="V252" s="458"/>
      <c r="W252" s="421"/>
      <c r="X252" s="458"/>
      <c r="Y252" s="421"/>
      <c r="Z252" s="421"/>
      <c r="AA252" s="421"/>
      <c r="AB252" s="421"/>
      <c r="AC252" s="421"/>
      <c r="AD252" s="421"/>
    </row>
    <row r="253" spans="1:30" s="22" customFormat="1" x14ac:dyDescent="0.4">
      <c r="A253" s="177" t="s">
        <v>716</v>
      </c>
      <c r="B253" s="149" t="s">
        <v>7</v>
      </c>
      <c r="C253" s="30" t="str">
        <f>VLOOKUP(B253,'112年全品項生產鍋數'!A:H,2,0)</f>
        <v>草莓蒟蒻餡(1*6kg)</v>
      </c>
      <c r="D253" s="285">
        <v>24</v>
      </c>
      <c r="E253" s="48">
        <f>VLOOKUP(B253,'112年全品項生產鍋數'!A:H,3,0)</f>
        <v>6</v>
      </c>
      <c r="F253" s="45">
        <f>VLOOKUP(B253,'112年全品項生產鍋數'!A:H,7,0)</f>
        <v>25.7</v>
      </c>
      <c r="G253" s="49">
        <f t="shared" si="18"/>
        <v>616.79999999999995</v>
      </c>
      <c r="H253" s="144">
        <v>609</v>
      </c>
      <c r="I253" s="46">
        <f t="shared" si="19"/>
        <v>3654</v>
      </c>
      <c r="J253" s="100">
        <f t="shared" si="20"/>
        <v>0.98735408560311289</v>
      </c>
      <c r="K253" s="51">
        <f>VLOOKUP(B:B,'生產達成率(目標)'!A:C,3,0)</f>
        <v>1</v>
      </c>
      <c r="L253" s="20">
        <f t="shared" si="23"/>
        <v>-1.2999999999999999E-2</v>
      </c>
      <c r="M253" s="235"/>
      <c r="N253" s="43"/>
      <c r="O253" s="150">
        <f t="shared" si="21"/>
        <v>3</v>
      </c>
      <c r="P253" s="43">
        <v>606</v>
      </c>
      <c r="Q253" s="27">
        <f t="shared" si="22"/>
        <v>0.99507389162561577</v>
      </c>
      <c r="R253" s="23"/>
      <c r="S253" s="173"/>
      <c r="T253" s="30"/>
      <c r="U253" s="23"/>
      <c r="V253" s="458"/>
      <c r="W253" s="421"/>
      <c r="X253" s="458"/>
      <c r="Y253" s="421"/>
      <c r="Z253" s="421"/>
      <c r="AA253" s="421"/>
      <c r="AB253" s="421"/>
      <c r="AC253" s="421"/>
      <c r="AD253" s="421"/>
    </row>
    <row r="254" spans="1:30" s="22" customFormat="1" x14ac:dyDescent="0.4">
      <c r="A254" s="177" t="s">
        <v>716</v>
      </c>
      <c r="B254" s="149" t="s">
        <v>72</v>
      </c>
      <c r="C254" s="30" t="str">
        <f>VLOOKUP(B254,'112年全品項生產鍋數'!A:H,2,0)</f>
        <v>草莓餡45%(1*6Kg)</v>
      </c>
      <c r="D254" s="285">
        <v>16</v>
      </c>
      <c r="E254" s="48">
        <f>VLOOKUP(B254,'112年全品項生產鍋數'!A:H,3,0)</f>
        <v>6</v>
      </c>
      <c r="F254" s="45">
        <f>VLOOKUP(B254,'112年全品項生產鍋數'!A:H,7,0)</f>
        <v>26.1</v>
      </c>
      <c r="G254" s="49">
        <f t="shared" si="18"/>
        <v>417.6</v>
      </c>
      <c r="H254" s="144">
        <v>413</v>
      </c>
      <c r="I254" s="46">
        <f t="shared" si="19"/>
        <v>2478</v>
      </c>
      <c r="J254" s="100">
        <f t="shared" si="20"/>
        <v>0.98898467432950188</v>
      </c>
      <c r="K254" s="51">
        <f>VLOOKUP(B:B,'生產達成率(目標)'!A:C,3,0)</f>
        <v>1</v>
      </c>
      <c r="L254" s="20">
        <f t="shared" si="23"/>
        <v>-1.0999999999999999E-2</v>
      </c>
      <c r="M254" s="235"/>
      <c r="N254" s="43"/>
      <c r="O254" s="150">
        <f t="shared" si="21"/>
        <v>1</v>
      </c>
      <c r="P254" s="43">
        <v>412</v>
      </c>
      <c r="Q254" s="27">
        <f t="shared" si="22"/>
        <v>0.99757869249394671</v>
      </c>
      <c r="R254" s="28"/>
      <c r="S254" s="173"/>
      <c r="T254" s="30"/>
      <c r="U254" s="23"/>
      <c r="V254" s="458"/>
      <c r="W254" s="421"/>
      <c r="X254" s="458"/>
      <c r="Y254" s="421"/>
      <c r="Z254" s="421"/>
      <c r="AA254" s="421"/>
      <c r="AB254" s="421"/>
      <c r="AC254" s="421"/>
      <c r="AD254" s="421"/>
    </row>
    <row r="255" spans="1:30" s="22" customFormat="1" x14ac:dyDescent="0.4">
      <c r="A255" s="177" t="s">
        <v>716</v>
      </c>
      <c r="B255" s="149" t="s">
        <v>142</v>
      </c>
      <c r="C255" s="30" t="str">
        <f>VLOOKUP(B255,'112年全品項生產鍋數'!A:H,2,0)</f>
        <v>顆粒花生醬(1*12KG)</v>
      </c>
      <c r="D255" s="285">
        <v>21</v>
      </c>
      <c r="E255" s="48">
        <f>VLOOKUP(B255,'112年全品項生產鍋數'!A:H,3,0)</f>
        <v>3</v>
      </c>
      <c r="F255" s="45">
        <f>VLOOKUP(B255,'112年全品項生產鍋數'!A:H,7,0)</f>
        <v>31.6</v>
      </c>
      <c r="G255" s="49">
        <f t="shared" si="18"/>
        <v>663.6</v>
      </c>
      <c r="H255" s="144">
        <v>664</v>
      </c>
      <c r="I255" s="46">
        <f t="shared" si="19"/>
        <v>1992</v>
      </c>
      <c r="J255" s="100">
        <f t="shared" si="20"/>
        <v>1.0006027727546714</v>
      </c>
      <c r="K255" s="51">
        <f>VLOOKUP(B:B,'生產達成率(目標)'!A:C,3,0)</f>
        <v>1</v>
      </c>
      <c r="L255" s="20">
        <f t="shared" si="23"/>
        <v>1E-3</v>
      </c>
      <c r="M255" s="235"/>
      <c r="N255" s="43"/>
      <c r="O255" s="150">
        <f t="shared" si="21"/>
        <v>0</v>
      </c>
      <c r="P255" s="43">
        <v>664</v>
      </c>
      <c r="Q255" s="27">
        <f t="shared" si="22"/>
        <v>1</v>
      </c>
      <c r="R255" s="23"/>
      <c r="S255" s="173"/>
      <c r="T255" s="30"/>
      <c r="U255" s="23"/>
      <c r="V255" s="458"/>
      <c r="W255" s="421"/>
      <c r="X255" s="458"/>
      <c r="Y255" s="421"/>
      <c r="Z255" s="421"/>
      <c r="AA255" s="421"/>
      <c r="AB255" s="421"/>
      <c r="AC255" s="421"/>
      <c r="AD255" s="421"/>
    </row>
    <row r="256" spans="1:30" s="22" customFormat="1" x14ac:dyDescent="0.4">
      <c r="A256" s="177" t="s">
        <v>717</v>
      </c>
      <c r="B256" s="149" t="s">
        <v>426</v>
      </c>
      <c r="C256" s="30" t="s">
        <v>143</v>
      </c>
      <c r="D256" s="286">
        <v>4</v>
      </c>
      <c r="E256" s="1">
        <v>0.45</v>
      </c>
      <c r="F256" s="81">
        <v>359</v>
      </c>
      <c r="G256" s="49">
        <f t="shared" si="18"/>
        <v>1436</v>
      </c>
      <c r="H256" s="144">
        <v>1436</v>
      </c>
      <c r="I256" s="46">
        <f t="shared" si="19"/>
        <v>646.20000000000005</v>
      </c>
      <c r="J256" s="100">
        <f t="shared" si="20"/>
        <v>1</v>
      </c>
      <c r="K256" s="51">
        <v>1</v>
      </c>
      <c r="L256" s="20">
        <f t="shared" si="23"/>
        <v>0</v>
      </c>
      <c r="M256" s="235"/>
      <c r="N256" s="43"/>
      <c r="O256" s="150">
        <f t="shared" si="21"/>
        <v>8</v>
      </c>
      <c r="P256" s="43">
        <v>1428</v>
      </c>
      <c r="Q256" s="27">
        <f t="shared" si="22"/>
        <v>0.99442896935933145</v>
      </c>
      <c r="R256" s="23"/>
      <c r="S256" s="173"/>
      <c r="T256" s="30"/>
      <c r="U256" s="23"/>
      <c r="V256" s="458"/>
      <c r="W256" s="421"/>
      <c r="X256" s="458"/>
      <c r="Y256" s="421"/>
      <c r="Z256" s="421"/>
      <c r="AA256" s="421"/>
      <c r="AB256" s="421"/>
      <c r="AC256" s="421"/>
      <c r="AD256" s="421"/>
    </row>
    <row r="257" spans="1:30" s="22" customFormat="1" x14ac:dyDescent="0.4">
      <c r="A257" s="177" t="s">
        <v>717</v>
      </c>
      <c r="B257" s="149" t="s">
        <v>426</v>
      </c>
      <c r="C257" s="30" t="s">
        <v>144</v>
      </c>
      <c r="D257" s="286">
        <v>4</v>
      </c>
      <c r="E257" s="1">
        <v>0.22</v>
      </c>
      <c r="F257" s="81">
        <v>697</v>
      </c>
      <c r="G257" s="49">
        <f t="shared" si="18"/>
        <v>2788</v>
      </c>
      <c r="H257" s="144">
        <v>2788</v>
      </c>
      <c r="I257" s="46">
        <f t="shared" si="19"/>
        <v>613.36</v>
      </c>
      <c r="J257" s="100">
        <f t="shared" si="20"/>
        <v>1</v>
      </c>
      <c r="K257" s="51">
        <v>1</v>
      </c>
      <c r="L257" s="20">
        <f t="shared" si="23"/>
        <v>0</v>
      </c>
      <c r="M257" s="235"/>
      <c r="N257" s="43"/>
      <c r="O257" s="150">
        <f t="shared" si="21"/>
        <v>11</v>
      </c>
      <c r="P257" s="43">
        <v>2777</v>
      </c>
      <c r="Q257" s="27">
        <f t="shared" si="22"/>
        <v>0.99605451936872313</v>
      </c>
      <c r="R257" s="23"/>
      <c r="S257" s="173"/>
      <c r="T257" s="30"/>
      <c r="U257" s="23"/>
      <c r="V257" s="458"/>
      <c r="W257" s="421"/>
      <c r="X257" s="458"/>
      <c r="Y257" s="421"/>
      <c r="Z257" s="421"/>
      <c r="AA257" s="421"/>
      <c r="AB257" s="421"/>
      <c r="AC257" s="421"/>
      <c r="AD257" s="421"/>
    </row>
    <row r="258" spans="1:30" s="22" customFormat="1" x14ac:dyDescent="0.4">
      <c r="A258" s="177" t="s">
        <v>717</v>
      </c>
      <c r="B258" s="149" t="s">
        <v>24</v>
      </c>
      <c r="C258" s="30" t="str">
        <f>VLOOKUP(B258,'112年全品項生產鍋數'!A:H,2,0)</f>
        <v>小藍莓1*260G</v>
      </c>
      <c r="D258" s="285">
        <v>16</v>
      </c>
      <c r="E258" s="48">
        <f>VLOOKUP(B258,'112年全品項生產鍋數'!A:H,3,0)</f>
        <v>0.26</v>
      </c>
      <c r="F258" s="45">
        <f>VLOOKUP(B258,'112年全品項生產鍋數'!A:H,7,0)</f>
        <v>584.29999999999995</v>
      </c>
      <c r="G258" s="49">
        <f t="shared" ref="G258:G321" si="24">D258*F258</f>
        <v>9348.7999999999993</v>
      </c>
      <c r="H258" s="144">
        <v>9368</v>
      </c>
      <c r="I258" s="46">
        <f t="shared" ref="I258:I321" si="25">H258*E258</f>
        <v>2435.6800000000003</v>
      </c>
      <c r="J258" s="100">
        <f t="shared" ref="J258:J321" si="26">IF(G258=0,"無法預估數據",H258/G258)</f>
        <v>1.0020537395173712</v>
      </c>
      <c r="K258" s="51">
        <f>VLOOKUP(B:B,'生產達成率(目標)'!A:C,3,0)</f>
        <v>1</v>
      </c>
      <c r="L258" s="20">
        <f t="shared" si="23"/>
        <v>2E-3</v>
      </c>
      <c r="M258" s="235"/>
      <c r="N258" s="43"/>
      <c r="O258" s="150">
        <f t="shared" ref="O258:O321" si="27">H258-N258-P258</f>
        <v>16</v>
      </c>
      <c r="P258" s="43">
        <v>9352</v>
      </c>
      <c r="Q258" s="27">
        <f t="shared" ref="Q258:Q321" si="28">P258/H258</f>
        <v>0.99829205807002563</v>
      </c>
      <c r="R258" s="23"/>
      <c r="S258" s="173"/>
      <c r="T258" s="30"/>
      <c r="U258" s="23"/>
      <c r="V258" s="458"/>
      <c r="W258" s="421"/>
      <c r="X258" s="458"/>
      <c r="Y258" s="421"/>
      <c r="Z258" s="421"/>
      <c r="AA258" s="421"/>
      <c r="AB258" s="421"/>
      <c r="AC258" s="421"/>
      <c r="AD258" s="421"/>
    </row>
    <row r="259" spans="1:30" s="22" customFormat="1" x14ac:dyDescent="0.4">
      <c r="A259" s="177" t="s">
        <v>717</v>
      </c>
      <c r="B259" s="149" t="s">
        <v>145</v>
      </c>
      <c r="C259" s="30" t="str">
        <f>VLOOKUP(B259,'112年全品項生產鍋數'!A:H,2,0)</f>
        <v>藍莓餡(1*6kg)</v>
      </c>
      <c r="D259" s="285">
        <v>8</v>
      </c>
      <c r="E259" s="48">
        <f>VLOOKUP(B259,'112年全品項生產鍋數'!A:H,3,0)</f>
        <v>6</v>
      </c>
      <c r="F259" s="45">
        <f>VLOOKUP(B259,'112年全品項生產鍋數'!A:H,7,0)</f>
        <v>26.4</v>
      </c>
      <c r="G259" s="49">
        <f t="shared" si="24"/>
        <v>211.2</v>
      </c>
      <c r="H259" s="144">
        <v>201</v>
      </c>
      <c r="I259" s="46">
        <f t="shared" si="25"/>
        <v>1206</v>
      </c>
      <c r="J259" s="100">
        <f t="shared" si="26"/>
        <v>0.95170454545454553</v>
      </c>
      <c r="K259" s="51">
        <f>VLOOKUP(B:B,'生產達成率(目標)'!A:C,3,0)</f>
        <v>1</v>
      </c>
      <c r="L259" s="20">
        <f t="shared" ref="L259:L322" si="29">IF(G259=0,"無法預估數據",ROUND(J259-K259,3))</f>
        <v>-4.8000000000000001E-2</v>
      </c>
      <c r="M259" s="235"/>
      <c r="N259" s="43"/>
      <c r="O259" s="150">
        <f t="shared" si="27"/>
        <v>1</v>
      </c>
      <c r="P259" s="43">
        <v>200</v>
      </c>
      <c r="Q259" s="27">
        <f t="shared" si="28"/>
        <v>0.99502487562189057</v>
      </c>
      <c r="R259" s="23"/>
      <c r="S259" s="173"/>
      <c r="T259" s="30"/>
      <c r="U259" s="23"/>
      <c r="V259" s="458"/>
      <c r="W259" s="421"/>
      <c r="X259" s="458"/>
      <c r="Y259" s="421"/>
      <c r="Z259" s="421"/>
      <c r="AA259" s="421"/>
      <c r="AB259" s="421"/>
      <c r="AC259" s="421"/>
      <c r="AD259" s="421"/>
    </row>
    <row r="260" spans="1:30" s="22" customFormat="1" x14ac:dyDescent="0.4">
      <c r="A260" s="177" t="s">
        <v>717</v>
      </c>
      <c r="B260" s="149" t="s">
        <v>3</v>
      </c>
      <c r="C260" s="30" t="str">
        <f>VLOOKUP(B260,'112年全品項生產鍋數'!A:H,2,0)</f>
        <v>天天開心草莓餡4.5KG</v>
      </c>
      <c r="D260" s="285">
        <v>32</v>
      </c>
      <c r="E260" s="48">
        <f>VLOOKUP(B260,'112年全品項生產鍋數'!A:H,3,0)</f>
        <v>4.5</v>
      </c>
      <c r="F260" s="45">
        <f>VLOOKUP(B260,'112年全品項生產鍋數'!A:H,7,0)</f>
        <v>36.299999999999997</v>
      </c>
      <c r="G260" s="49">
        <f t="shared" si="24"/>
        <v>1161.5999999999999</v>
      </c>
      <c r="H260" s="144">
        <v>1177</v>
      </c>
      <c r="I260" s="46">
        <f t="shared" si="25"/>
        <v>5296.5</v>
      </c>
      <c r="J260" s="100">
        <f t="shared" si="26"/>
        <v>1.0132575757575759</v>
      </c>
      <c r="K260" s="51">
        <f>VLOOKUP(B:B,'生產達成率(目標)'!A:C,3,0)</f>
        <v>1</v>
      </c>
      <c r="L260" s="20">
        <f t="shared" si="29"/>
        <v>1.2999999999999999E-2</v>
      </c>
      <c r="M260" s="235"/>
      <c r="N260" s="43"/>
      <c r="O260" s="150">
        <f t="shared" si="27"/>
        <v>0</v>
      </c>
      <c r="P260" s="43">
        <v>1177</v>
      </c>
      <c r="Q260" s="27">
        <f t="shared" si="28"/>
        <v>1</v>
      </c>
      <c r="R260" s="23"/>
      <c r="S260" s="173"/>
      <c r="T260" s="30"/>
      <c r="U260" s="23"/>
      <c r="V260" s="458"/>
      <c r="W260" s="421"/>
      <c r="X260" s="458"/>
      <c r="Y260" s="421"/>
      <c r="Z260" s="421"/>
      <c r="AA260" s="421"/>
      <c r="AB260" s="421"/>
      <c r="AC260" s="421"/>
      <c r="AD260" s="421"/>
    </row>
    <row r="261" spans="1:30" s="22" customFormat="1" x14ac:dyDescent="0.4">
      <c r="A261" s="177" t="s">
        <v>717</v>
      </c>
      <c r="B261" s="149" t="s">
        <v>9</v>
      </c>
      <c r="C261" s="30" t="str">
        <f>VLOOKUP(B261,'112年全品項生產鍋數'!A:H,2,0)</f>
        <v>＃1花生(1*2.8kg)</v>
      </c>
      <c r="D261" s="285">
        <v>44.55</v>
      </c>
      <c r="E261" s="48">
        <f>VLOOKUP(B261,'112年全品項生產鍋數'!A:H,3,0)</f>
        <v>2.8</v>
      </c>
      <c r="F261" s="45">
        <f>VLOOKUP(B261,'112年全品項生產鍋數'!A:H,7,0)</f>
        <v>44.5</v>
      </c>
      <c r="G261" s="49">
        <f t="shared" si="24"/>
        <v>1982.4749999999999</v>
      </c>
      <c r="H261" s="144">
        <v>2006</v>
      </c>
      <c r="I261" s="46">
        <f t="shared" si="25"/>
        <v>5616.7999999999993</v>
      </c>
      <c r="J261" s="100">
        <f t="shared" si="26"/>
        <v>1.011866480031274</v>
      </c>
      <c r="K261" s="51">
        <f>VLOOKUP(B:B,'生產達成率(目標)'!A:C,3,0)</f>
        <v>1</v>
      </c>
      <c r="L261" s="20">
        <f t="shared" si="29"/>
        <v>1.2E-2</v>
      </c>
      <c r="M261" s="235"/>
      <c r="N261" s="43"/>
      <c r="O261" s="150">
        <f t="shared" si="27"/>
        <v>1</v>
      </c>
      <c r="P261" s="43">
        <v>2005</v>
      </c>
      <c r="Q261" s="27">
        <f t="shared" si="28"/>
        <v>0.99950149551345957</v>
      </c>
      <c r="R261" s="23"/>
      <c r="S261" s="173"/>
      <c r="T261" s="30"/>
      <c r="U261" s="23"/>
      <c r="V261" s="458"/>
      <c r="W261" s="421"/>
      <c r="X261" s="458"/>
      <c r="Y261" s="421"/>
      <c r="Z261" s="421"/>
      <c r="AA261" s="421"/>
      <c r="AB261" s="421"/>
      <c r="AC261" s="421"/>
      <c r="AD261" s="421"/>
    </row>
    <row r="262" spans="1:30" s="22" customFormat="1" x14ac:dyDescent="0.4">
      <c r="A262" s="177" t="s">
        <v>717</v>
      </c>
      <c r="B262" s="149" t="s">
        <v>351</v>
      </c>
      <c r="C262" s="30" t="str">
        <f>VLOOKUP(B262,'112年全品項生產鍋數'!A:H,2,0)</f>
        <v>花生醬（1*18kg)</v>
      </c>
      <c r="D262" s="285">
        <v>7.45</v>
      </c>
      <c r="E262" s="48">
        <f>VLOOKUP(B262,'112年全品項生產鍋數'!A:H,3,0)</f>
        <v>18</v>
      </c>
      <c r="F262" s="45">
        <f>VLOOKUP(B262,'112年全品項生產鍋數'!A:H,7,0)</f>
        <v>6.7</v>
      </c>
      <c r="G262" s="49">
        <f t="shared" si="24"/>
        <v>49.914999999999999</v>
      </c>
      <c r="H262" s="144">
        <v>50</v>
      </c>
      <c r="I262" s="46">
        <f t="shared" si="25"/>
        <v>900</v>
      </c>
      <c r="J262" s="100">
        <f t="shared" si="26"/>
        <v>1.0017028949213664</v>
      </c>
      <c r="K262" s="51">
        <f>VLOOKUP(B:B,'生產達成率(目標)'!A:C,3,0)</f>
        <v>1</v>
      </c>
      <c r="L262" s="20">
        <f t="shared" si="29"/>
        <v>2E-3</v>
      </c>
      <c r="M262" s="235"/>
      <c r="N262" s="43"/>
      <c r="O262" s="150">
        <f t="shared" si="27"/>
        <v>0</v>
      </c>
      <c r="P262" s="43">
        <v>50</v>
      </c>
      <c r="Q262" s="27">
        <f t="shared" si="28"/>
        <v>1</v>
      </c>
      <c r="R262" s="23"/>
      <c r="S262" s="173"/>
      <c r="T262" s="30"/>
      <c r="U262" s="23"/>
      <c r="V262" s="458"/>
      <c r="W262" s="421"/>
      <c r="X262" s="458"/>
      <c r="Y262" s="421"/>
      <c r="Z262" s="421"/>
      <c r="AA262" s="421"/>
      <c r="AB262" s="421"/>
      <c r="AC262" s="421"/>
      <c r="AD262" s="421"/>
    </row>
    <row r="263" spans="1:30" s="22" customFormat="1" x14ac:dyDescent="0.4">
      <c r="A263" s="177" t="s">
        <v>718</v>
      </c>
      <c r="B263" s="149" t="s">
        <v>14</v>
      </c>
      <c r="C263" s="30" t="str">
        <f>VLOOKUP(B263,'112年全品項生產鍋數'!A:H,2,0)</f>
        <v>草莓餡50°(1*6Kg)</v>
      </c>
      <c r="D263" s="285">
        <v>8</v>
      </c>
      <c r="E263" s="48">
        <f>VLOOKUP(B263,'112年全品項生產鍋數'!A:H,3,0)</f>
        <v>6</v>
      </c>
      <c r="F263" s="45">
        <f>VLOOKUP(B263,'112年全品項生產鍋數'!A:H,7,0)</f>
        <v>25</v>
      </c>
      <c r="G263" s="49">
        <f t="shared" si="24"/>
        <v>200</v>
      </c>
      <c r="H263" s="144">
        <v>198</v>
      </c>
      <c r="I263" s="46">
        <f t="shared" si="25"/>
        <v>1188</v>
      </c>
      <c r="J263" s="100">
        <f t="shared" si="26"/>
        <v>0.99</v>
      </c>
      <c r="K263" s="51">
        <f>VLOOKUP(B:B,'生產達成率(目標)'!A:C,3,0)</f>
        <v>1</v>
      </c>
      <c r="L263" s="20">
        <f t="shared" si="29"/>
        <v>-0.01</v>
      </c>
      <c r="M263" s="235"/>
      <c r="N263" s="43"/>
      <c r="O263" s="150">
        <f t="shared" si="27"/>
        <v>1</v>
      </c>
      <c r="P263" s="43">
        <v>197</v>
      </c>
      <c r="Q263" s="27">
        <f t="shared" si="28"/>
        <v>0.99494949494949492</v>
      </c>
      <c r="R263" s="23"/>
      <c r="S263" s="173"/>
      <c r="T263" s="30"/>
      <c r="U263" s="23"/>
      <c r="V263" s="458"/>
      <c r="W263" s="421"/>
      <c r="X263" s="458"/>
      <c r="Y263" s="421"/>
      <c r="Z263" s="421"/>
      <c r="AA263" s="421"/>
      <c r="AB263" s="421"/>
      <c r="AC263" s="421"/>
      <c r="AD263" s="421"/>
    </row>
    <row r="264" spans="1:30" s="22" customFormat="1" x14ac:dyDescent="0.4">
      <c r="A264" s="177" t="s">
        <v>718</v>
      </c>
      <c r="B264" s="149" t="s">
        <v>32</v>
      </c>
      <c r="C264" s="30" t="str">
        <f>VLOOKUP(B264,'112年全品項生產鍋數'!A:H,2,0)</f>
        <v>草莓醬(1*6Kg)</v>
      </c>
      <c r="D264" s="285">
        <v>32</v>
      </c>
      <c r="E264" s="48">
        <f>VLOOKUP(B264,'112年全品項生產鍋數'!A:H,3,0)</f>
        <v>6</v>
      </c>
      <c r="F264" s="45">
        <f>VLOOKUP(B264,'112年全品項生產鍋數'!A:H,7,0)</f>
        <v>25.5</v>
      </c>
      <c r="G264" s="49">
        <f t="shared" si="24"/>
        <v>816</v>
      </c>
      <c r="H264" s="144">
        <v>815</v>
      </c>
      <c r="I264" s="46">
        <f t="shared" si="25"/>
        <v>4890</v>
      </c>
      <c r="J264" s="100">
        <f t="shared" si="26"/>
        <v>0.99877450980392157</v>
      </c>
      <c r="K264" s="51">
        <f>VLOOKUP(B:B,'生產達成率(目標)'!A:C,3,0)</f>
        <v>1</v>
      </c>
      <c r="L264" s="20">
        <f t="shared" si="29"/>
        <v>-1E-3</v>
      </c>
      <c r="M264" s="235"/>
      <c r="N264" s="43"/>
      <c r="O264" s="150">
        <f t="shared" si="27"/>
        <v>3</v>
      </c>
      <c r="P264" s="43">
        <v>812</v>
      </c>
      <c r="Q264" s="27">
        <f t="shared" si="28"/>
        <v>0.996319018404908</v>
      </c>
      <c r="R264" s="23"/>
      <c r="S264" s="173"/>
      <c r="T264" s="30"/>
      <c r="U264" s="23"/>
      <c r="V264" s="458"/>
      <c r="W264" s="421"/>
      <c r="X264" s="458"/>
      <c r="Y264" s="421"/>
      <c r="Z264" s="421"/>
      <c r="AA264" s="421"/>
      <c r="AB264" s="421"/>
      <c r="AC264" s="421"/>
      <c r="AD264" s="421"/>
    </row>
    <row r="265" spans="1:30" s="22" customFormat="1" x14ac:dyDescent="0.4">
      <c r="A265" s="177" t="s">
        <v>718</v>
      </c>
      <c r="B265" s="149" t="s">
        <v>13</v>
      </c>
      <c r="C265" s="30" t="str">
        <f>VLOOKUP(B265,'112年全品項生產鍋數'!A:H,2,0)</f>
        <v>顆粒花生醬(1*12KG)</v>
      </c>
      <c r="D265" s="285">
        <v>21</v>
      </c>
      <c r="E265" s="48">
        <f>VLOOKUP(B265,'112年全品項生產鍋數'!A:H,3,0)</f>
        <v>3</v>
      </c>
      <c r="F265" s="45">
        <f>VLOOKUP(B265,'112年全品項生產鍋數'!A:H,7,0)</f>
        <v>29.7</v>
      </c>
      <c r="G265" s="49">
        <f t="shared" si="24"/>
        <v>623.69999999999993</v>
      </c>
      <c r="H265" s="144">
        <v>632</v>
      </c>
      <c r="I265" s="46">
        <f t="shared" si="25"/>
        <v>1896</v>
      </c>
      <c r="J265" s="100">
        <f t="shared" si="26"/>
        <v>1.0133076799743468</v>
      </c>
      <c r="K265" s="51">
        <f>VLOOKUP(B:B,'生產達成率(目標)'!A:C,3,0)</f>
        <v>1</v>
      </c>
      <c r="L265" s="20">
        <f t="shared" si="29"/>
        <v>1.2999999999999999E-2</v>
      </c>
      <c r="M265" s="235"/>
      <c r="N265" s="43"/>
      <c r="O265" s="150">
        <f t="shared" si="27"/>
        <v>0</v>
      </c>
      <c r="P265" s="43">
        <v>632</v>
      </c>
      <c r="Q265" s="27">
        <f t="shared" si="28"/>
        <v>1</v>
      </c>
      <c r="R265" s="23"/>
      <c r="S265" s="173"/>
      <c r="T265" s="30"/>
      <c r="U265" s="23"/>
      <c r="V265" s="458"/>
      <c r="W265" s="421"/>
      <c r="X265" s="458"/>
      <c r="Y265" s="421"/>
      <c r="Z265" s="421"/>
      <c r="AA265" s="421"/>
      <c r="AB265" s="421"/>
      <c r="AC265" s="421"/>
      <c r="AD265" s="421"/>
    </row>
    <row r="266" spans="1:30" s="22" customFormat="1" x14ac:dyDescent="0.4">
      <c r="A266" s="177" t="s">
        <v>718</v>
      </c>
      <c r="B266" s="149" t="s">
        <v>33</v>
      </c>
      <c r="C266" s="30" t="str">
        <f>VLOOKUP(B266,'112年全品項生產鍋數'!A:H,2,0)</f>
        <v>深烤焙花生醬(1*18KG)</v>
      </c>
      <c r="D266" s="285">
        <v>44</v>
      </c>
      <c r="E266" s="48">
        <f>VLOOKUP(B266,'112年全品項生產鍋數'!A:H,3,0)</f>
        <v>18</v>
      </c>
      <c r="F266" s="45">
        <f>VLOOKUP(B266,'112年全品項生產鍋數'!A:H,7,0)</f>
        <v>6.9</v>
      </c>
      <c r="G266" s="49">
        <f t="shared" si="24"/>
        <v>303.60000000000002</v>
      </c>
      <c r="H266" s="144">
        <v>305</v>
      </c>
      <c r="I266" s="46">
        <f t="shared" si="25"/>
        <v>5490</v>
      </c>
      <c r="J266" s="100">
        <f t="shared" si="26"/>
        <v>1.0046113306982871</v>
      </c>
      <c r="K266" s="51">
        <f>VLOOKUP(B:B,'生產達成率(目標)'!A:C,3,0)</f>
        <v>1</v>
      </c>
      <c r="L266" s="20">
        <f t="shared" si="29"/>
        <v>5.0000000000000001E-3</v>
      </c>
      <c r="M266" s="235"/>
      <c r="N266" s="43"/>
      <c r="O266" s="150">
        <f t="shared" si="27"/>
        <v>0</v>
      </c>
      <c r="P266" s="43">
        <v>305</v>
      </c>
      <c r="Q266" s="27">
        <f t="shared" si="28"/>
        <v>1</v>
      </c>
      <c r="R266" s="23"/>
      <c r="S266" s="173"/>
      <c r="T266" s="30"/>
      <c r="U266" s="23"/>
      <c r="V266" s="458"/>
      <c r="W266" s="421"/>
      <c r="X266" s="458"/>
      <c r="Y266" s="421"/>
      <c r="Z266" s="421"/>
      <c r="AA266" s="421"/>
      <c r="AB266" s="421"/>
      <c r="AC266" s="421"/>
      <c r="AD266" s="421"/>
    </row>
    <row r="267" spans="1:30" s="22" customFormat="1" x14ac:dyDescent="0.4">
      <c r="A267" s="177" t="s">
        <v>719</v>
      </c>
      <c r="B267" s="149" t="s">
        <v>26</v>
      </c>
      <c r="C267" s="30" t="str">
        <f>VLOOKUP(B267,'112年全品項生產鍋數'!A:H,2,0)</f>
        <v>蔓越莓醬(1*6KG)</v>
      </c>
      <c r="D267" s="285">
        <v>12</v>
      </c>
      <c r="E267" s="48">
        <f>VLOOKUP(B267,'112年全品項生產鍋數'!A:H,3,0)</f>
        <v>6</v>
      </c>
      <c r="F267" s="45">
        <f>VLOOKUP(B267,'112年全品項生產鍋數'!A:H,7,0)</f>
        <v>25.6</v>
      </c>
      <c r="G267" s="49">
        <f t="shared" si="24"/>
        <v>307.20000000000005</v>
      </c>
      <c r="H267" s="144">
        <v>303</v>
      </c>
      <c r="I267" s="46">
        <f t="shared" si="25"/>
        <v>1818</v>
      </c>
      <c r="J267" s="100">
        <f t="shared" si="26"/>
        <v>0.98632812499999989</v>
      </c>
      <c r="K267" s="51">
        <f>VLOOKUP(B:B,'生產達成率(目標)'!A:C,3,0)</f>
        <v>1</v>
      </c>
      <c r="L267" s="20">
        <f t="shared" si="29"/>
        <v>-1.4E-2</v>
      </c>
      <c r="M267" s="235"/>
      <c r="N267" s="43"/>
      <c r="O267" s="150">
        <f t="shared" si="27"/>
        <v>1</v>
      </c>
      <c r="P267" s="43">
        <v>302</v>
      </c>
      <c r="Q267" s="27">
        <f t="shared" si="28"/>
        <v>0.99669966996699666</v>
      </c>
      <c r="R267" s="23"/>
      <c r="S267" s="173"/>
      <c r="T267" s="30"/>
      <c r="U267" s="23"/>
      <c r="V267" s="458"/>
      <c r="W267" s="421"/>
      <c r="X267" s="458"/>
      <c r="Y267" s="421"/>
      <c r="Z267" s="421"/>
      <c r="AA267" s="421"/>
      <c r="AB267" s="421"/>
      <c r="AC267" s="421"/>
      <c r="AD267" s="421"/>
    </row>
    <row r="268" spans="1:30" s="22" customFormat="1" x14ac:dyDescent="0.4">
      <c r="A268" s="177" t="s">
        <v>719</v>
      </c>
      <c r="B268" s="149" t="s">
        <v>2</v>
      </c>
      <c r="C268" s="30" t="str">
        <f>VLOOKUP(B268,'112年全品項生產鍋數'!A:H,2,0)</f>
        <v>草莓醬(1*6kg)</v>
      </c>
      <c r="D268" s="285">
        <v>30</v>
      </c>
      <c r="E268" s="48">
        <f>VLOOKUP(B268,'112年全品項生產鍋數'!A:H,3,0)</f>
        <v>6</v>
      </c>
      <c r="F268" s="45">
        <f>VLOOKUP(B268,'112年全品項生產鍋數'!A:H,7,0)</f>
        <v>26.6</v>
      </c>
      <c r="G268" s="49">
        <f t="shared" si="24"/>
        <v>798</v>
      </c>
      <c r="H268" s="144">
        <v>790</v>
      </c>
      <c r="I268" s="46">
        <f t="shared" si="25"/>
        <v>4740</v>
      </c>
      <c r="J268" s="100">
        <f t="shared" si="26"/>
        <v>0.9899749373433584</v>
      </c>
      <c r="K268" s="51">
        <f>VLOOKUP(B:B,'生產達成率(目標)'!A:C,3,0)</f>
        <v>1</v>
      </c>
      <c r="L268" s="20">
        <f t="shared" si="29"/>
        <v>-0.01</v>
      </c>
      <c r="M268" s="235"/>
      <c r="N268" s="43"/>
      <c r="O268" s="150">
        <f t="shared" si="27"/>
        <v>2</v>
      </c>
      <c r="P268" s="43">
        <v>788</v>
      </c>
      <c r="Q268" s="27">
        <f t="shared" si="28"/>
        <v>0.99746835443037973</v>
      </c>
      <c r="R268" s="23"/>
      <c r="S268" s="173"/>
      <c r="T268" s="30"/>
      <c r="U268" s="23"/>
      <c r="V268" s="458"/>
      <c r="W268" s="421"/>
      <c r="X268" s="458"/>
      <c r="Y268" s="421"/>
      <c r="Z268" s="421"/>
      <c r="AA268" s="421"/>
      <c r="AB268" s="421"/>
      <c r="AC268" s="421"/>
      <c r="AD268" s="421"/>
    </row>
    <row r="269" spans="1:30" s="22" customFormat="1" x14ac:dyDescent="0.4">
      <c r="A269" s="177" t="s">
        <v>719</v>
      </c>
      <c r="B269" s="149" t="s">
        <v>146</v>
      </c>
      <c r="C269" s="30" t="str">
        <f>VLOOKUP(B269,'112年全品項生產鍋數'!A:H,2,0)</f>
        <v>草莓餡(1*4.5kg)</v>
      </c>
      <c r="D269" s="285">
        <v>3</v>
      </c>
      <c r="E269" s="48">
        <f>VLOOKUP(B269,'112年全品項生產鍋數'!A:H,3,0)</f>
        <v>4.5</v>
      </c>
      <c r="F269" s="45">
        <f>VLOOKUP(B269,'112年全品項生產鍋數'!A:H,7,0)</f>
        <v>34.5</v>
      </c>
      <c r="G269" s="49">
        <f t="shared" si="24"/>
        <v>103.5</v>
      </c>
      <c r="H269" s="144">
        <v>103</v>
      </c>
      <c r="I269" s="46">
        <f t="shared" si="25"/>
        <v>463.5</v>
      </c>
      <c r="J269" s="100">
        <f t="shared" si="26"/>
        <v>0.99516908212560384</v>
      </c>
      <c r="K269" s="51">
        <f>VLOOKUP(B:B,'生產達成率(目標)'!A:C,3,0)</f>
        <v>1</v>
      </c>
      <c r="L269" s="20">
        <f t="shared" si="29"/>
        <v>-5.0000000000000001E-3</v>
      </c>
      <c r="M269" s="235"/>
      <c r="N269" s="43"/>
      <c r="O269" s="150">
        <f t="shared" si="27"/>
        <v>0</v>
      </c>
      <c r="P269" s="43">
        <v>103</v>
      </c>
      <c r="Q269" s="27">
        <f t="shared" si="28"/>
        <v>1</v>
      </c>
      <c r="R269" s="23"/>
      <c r="S269" s="173"/>
      <c r="T269" s="30"/>
      <c r="U269" s="23"/>
      <c r="V269" s="458"/>
      <c r="W269" s="421"/>
      <c r="X269" s="458"/>
      <c r="Y269" s="421"/>
      <c r="Z269" s="421"/>
      <c r="AA269" s="421"/>
      <c r="AB269" s="421"/>
      <c r="AC269" s="421"/>
      <c r="AD269" s="421"/>
    </row>
    <row r="270" spans="1:30" s="22" customFormat="1" x14ac:dyDescent="0.4">
      <c r="A270" s="177" t="s">
        <v>719</v>
      </c>
      <c r="B270" s="149" t="s">
        <v>147</v>
      </c>
      <c r="C270" s="30" t="str">
        <f>VLOOKUP(B270,'112年全品項生產鍋數'!A:H,2,0)</f>
        <v>玫瑰洛神餡(1*4.5KG)</v>
      </c>
      <c r="D270" s="285">
        <v>3</v>
      </c>
      <c r="E270" s="48">
        <f>VLOOKUP(B270,'112年全品項生產鍋數'!A:H,3,0)</f>
        <v>4.5</v>
      </c>
      <c r="F270" s="45">
        <f>VLOOKUP(B270,'112年全品項生產鍋數'!A:H,7,0)</f>
        <v>32.9</v>
      </c>
      <c r="G270" s="49">
        <f t="shared" si="24"/>
        <v>98.699999999999989</v>
      </c>
      <c r="H270" s="144">
        <v>99</v>
      </c>
      <c r="I270" s="46">
        <f t="shared" si="25"/>
        <v>445.5</v>
      </c>
      <c r="J270" s="100">
        <f t="shared" si="26"/>
        <v>1.0030395136778116</v>
      </c>
      <c r="K270" s="51">
        <f>VLOOKUP(B:B,'生產達成率(目標)'!A:C,3,0)</f>
        <v>1</v>
      </c>
      <c r="L270" s="20">
        <f t="shared" si="29"/>
        <v>3.0000000000000001E-3</v>
      </c>
      <c r="M270" s="235"/>
      <c r="N270" s="43"/>
      <c r="O270" s="150">
        <f t="shared" si="27"/>
        <v>0</v>
      </c>
      <c r="P270" s="43">
        <v>99</v>
      </c>
      <c r="Q270" s="27">
        <f t="shared" si="28"/>
        <v>1</v>
      </c>
      <c r="R270" s="23"/>
      <c r="S270" s="173"/>
      <c r="T270" s="30"/>
      <c r="U270" s="23"/>
      <c r="V270" s="458"/>
      <c r="W270" s="421"/>
      <c r="X270" s="458"/>
      <c r="Y270" s="421"/>
      <c r="Z270" s="421"/>
      <c r="AA270" s="421"/>
      <c r="AB270" s="421"/>
      <c r="AC270" s="421"/>
      <c r="AD270" s="421"/>
    </row>
    <row r="271" spans="1:30" s="22" customFormat="1" x14ac:dyDescent="0.4">
      <c r="A271" s="177" t="s">
        <v>719</v>
      </c>
      <c r="B271" s="149" t="s">
        <v>31</v>
      </c>
      <c r="C271" s="30" t="str">
        <f>VLOOKUP(B271,'112年全品項生產鍋數'!A:H,2,0)</f>
        <v>天天開心芒果餡4.5KG</v>
      </c>
      <c r="D271" s="285">
        <v>12</v>
      </c>
      <c r="E271" s="48">
        <f>VLOOKUP(B271,'112年全品項生產鍋數'!A:H,3,0)</f>
        <v>4.5</v>
      </c>
      <c r="F271" s="45">
        <f>VLOOKUP(B271,'112年全品項生產鍋數'!A:H,7,0)</f>
        <v>33.200000000000003</v>
      </c>
      <c r="G271" s="49">
        <f t="shared" si="24"/>
        <v>398.40000000000003</v>
      </c>
      <c r="H271" s="144">
        <v>400</v>
      </c>
      <c r="I271" s="46">
        <f t="shared" si="25"/>
        <v>1800</v>
      </c>
      <c r="J271" s="100">
        <f t="shared" si="26"/>
        <v>1.0040160642570279</v>
      </c>
      <c r="K271" s="51">
        <f>VLOOKUP(B:B,'生產達成率(目標)'!A:C,3,0)</f>
        <v>1</v>
      </c>
      <c r="L271" s="20">
        <f t="shared" si="29"/>
        <v>4.0000000000000001E-3</v>
      </c>
      <c r="M271" s="235"/>
      <c r="N271" s="43"/>
      <c r="O271" s="150">
        <f t="shared" si="27"/>
        <v>0</v>
      </c>
      <c r="P271" s="43">
        <v>400</v>
      </c>
      <c r="Q271" s="27">
        <f t="shared" si="28"/>
        <v>1</v>
      </c>
      <c r="R271" s="23"/>
      <c r="S271" s="173"/>
      <c r="T271" s="30"/>
      <c r="U271" s="23"/>
      <c r="V271" s="458"/>
      <c r="W271" s="421"/>
      <c r="X271" s="458"/>
      <c r="Y271" s="421"/>
      <c r="Z271" s="421"/>
      <c r="AA271" s="421"/>
      <c r="AB271" s="421"/>
      <c r="AC271" s="421"/>
      <c r="AD271" s="421"/>
    </row>
    <row r="272" spans="1:30" s="22" customFormat="1" x14ac:dyDescent="0.4">
      <c r="A272" s="177" t="s">
        <v>719</v>
      </c>
      <c r="B272" s="149" t="s">
        <v>41</v>
      </c>
      <c r="C272" s="30" t="str">
        <f>VLOOKUP(B272,'112年全品項生產鍋數'!A:H,2,0)</f>
        <v>天天開心藍莓餡4.5KG</v>
      </c>
      <c r="D272" s="285">
        <v>12</v>
      </c>
      <c r="E272" s="48">
        <f>VLOOKUP(B272,'112年全品項生產鍋數'!A:H,3,0)</f>
        <v>4.5</v>
      </c>
      <c r="F272" s="45">
        <f>VLOOKUP(B272,'112年全品項生產鍋數'!A:H,7,0)</f>
        <v>36.799999999999997</v>
      </c>
      <c r="G272" s="49">
        <f t="shared" si="24"/>
        <v>441.59999999999997</v>
      </c>
      <c r="H272" s="144">
        <v>444</v>
      </c>
      <c r="I272" s="46">
        <f t="shared" si="25"/>
        <v>1998</v>
      </c>
      <c r="J272" s="100">
        <f t="shared" si="26"/>
        <v>1.0054347826086958</v>
      </c>
      <c r="K272" s="51">
        <f>VLOOKUP(B:B,'生產達成率(目標)'!A:C,3,0)</f>
        <v>1</v>
      </c>
      <c r="L272" s="20">
        <f t="shared" si="29"/>
        <v>5.0000000000000001E-3</v>
      </c>
      <c r="M272" s="235"/>
      <c r="N272" s="43"/>
      <c r="O272" s="150">
        <f t="shared" si="27"/>
        <v>0</v>
      </c>
      <c r="P272" s="43">
        <v>444</v>
      </c>
      <c r="Q272" s="27">
        <f t="shared" si="28"/>
        <v>1</v>
      </c>
      <c r="R272" s="23"/>
      <c r="S272" s="173"/>
      <c r="T272" s="30"/>
      <c r="U272" s="23"/>
      <c r="V272" s="458"/>
      <c r="W272" s="421"/>
      <c r="X272" s="458"/>
      <c r="Y272" s="421"/>
      <c r="Z272" s="421"/>
      <c r="AA272" s="421"/>
      <c r="AB272" s="421"/>
      <c r="AC272" s="421"/>
      <c r="AD272" s="421"/>
    </row>
    <row r="273" spans="1:30" s="22" customFormat="1" x14ac:dyDescent="0.4">
      <c r="A273" s="177" t="s">
        <v>719</v>
      </c>
      <c r="B273" s="149" t="s">
        <v>9</v>
      </c>
      <c r="C273" s="30" t="str">
        <f>VLOOKUP(B273,'112年全品項生產鍋數'!A:H,2,0)</f>
        <v>＃1花生(1*2.8kg)</v>
      </c>
      <c r="D273" s="285">
        <v>52</v>
      </c>
      <c r="E273" s="48">
        <f>VLOOKUP(B273,'112年全品項生產鍋數'!A:H,3,0)</f>
        <v>2.8</v>
      </c>
      <c r="F273" s="45">
        <f>VLOOKUP(B273,'112年全品項生產鍋數'!A:H,7,0)</f>
        <v>44.5</v>
      </c>
      <c r="G273" s="49">
        <f t="shared" si="24"/>
        <v>2314</v>
      </c>
      <c r="H273" s="144">
        <v>2329</v>
      </c>
      <c r="I273" s="46">
        <f t="shared" si="25"/>
        <v>6521.2</v>
      </c>
      <c r="J273" s="100">
        <f t="shared" si="26"/>
        <v>1.0064822817631807</v>
      </c>
      <c r="K273" s="51">
        <f>VLOOKUP(B:B,'生產達成率(目標)'!A:C,3,0)</f>
        <v>1</v>
      </c>
      <c r="L273" s="20">
        <f t="shared" si="29"/>
        <v>6.0000000000000001E-3</v>
      </c>
      <c r="M273" s="235"/>
      <c r="N273" s="43"/>
      <c r="O273" s="150">
        <f t="shared" si="27"/>
        <v>2</v>
      </c>
      <c r="P273" s="43">
        <v>2327</v>
      </c>
      <c r="Q273" s="27">
        <f t="shared" si="28"/>
        <v>0.99914126234435385</v>
      </c>
      <c r="R273" s="23"/>
      <c r="S273" s="173"/>
      <c r="T273" s="30"/>
      <c r="U273" s="23"/>
      <c r="V273" s="458"/>
      <c r="W273" s="421"/>
      <c r="X273" s="458"/>
      <c r="Y273" s="421"/>
      <c r="Z273" s="421"/>
      <c r="AA273" s="421"/>
      <c r="AB273" s="421"/>
      <c r="AC273" s="421"/>
      <c r="AD273" s="421"/>
    </row>
    <row r="274" spans="1:30" s="22" customFormat="1" x14ac:dyDescent="0.4">
      <c r="A274" s="177" t="s">
        <v>720</v>
      </c>
      <c r="B274" s="149" t="s">
        <v>15</v>
      </c>
      <c r="C274" s="30" t="str">
        <f>VLOOKUP(B274,'112年全品項生產鍋數'!A:H,2,0)</f>
        <v>＃1桔子(1*3.2kg)</v>
      </c>
      <c r="D274" s="285">
        <v>60</v>
      </c>
      <c r="E274" s="48">
        <f>VLOOKUP(B274,'112年全品項生產鍋數'!A:H,3,0)</f>
        <v>3.2</v>
      </c>
      <c r="F274" s="45">
        <f>VLOOKUP(B274,'112年全品項生產鍋數'!A:H,7,0)</f>
        <v>46.4</v>
      </c>
      <c r="G274" s="49">
        <f t="shared" si="24"/>
        <v>2784</v>
      </c>
      <c r="H274" s="144">
        <v>2769</v>
      </c>
      <c r="I274" s="46">
        <f t="shared" si="25"/>
        <v>8860.8000000000011</v>
      </c>
      <c r="J274" s="100">
        <f t="shared" si="26"/>
        <v>0.99461206896551724</v>
      </c>
      <c r="K274" s="51">
        <f>VLOOKUP(B:B,'生產達成率(目標)'!A:C,3,0)</f>
        <v>1</v>
      </c>
      <c r="L274" s="20">
        <f t="shared" si="29"/>
        <v>-5.0000000000000001E-3</v>
      </c>
      <c r="M274" s="235"/>
      <c r="N274" s="43"/>
      <c r="O274" s="150">
        <f t="shared" si="27"/>
        <v>2</v>
      </c>
      <c r="P274" s="43">
        <v>2767</v>
      </c>
      <c r="Q274" s="27">
        <f t="shared" si="28"/>
        <v>0.99927771758757677</v>
      </c>
      <c r="R274" s="23"/>
      <c r="S274" s="173"/>
      <c r="T274" s="30"/>
      <c r="U274" s="23"/>
      <c r="V274" s="458"/>
      <c r="W274" s="421"/>
      <c r="X274" s="458"/>
      <c r="Y274" s="421"/>
      <c r="Z274" s="421"/>
      <c r="AA274" s="421"/>
      <c r="AB274" s="421"/>
      <c r="AC274" s="421"/>
      <c r="AD274" s="421"/>
    </row>
    <row r="275" spans="1:30" s="22" customFormat="1" x14ac:dyDescent="0.4">
      <c r="A275" s="177" t="s">
        <v>720</v>
      </c>
      <c r="B275" s="149" t="s">
        <v>72</v>
      </c>
      <c r="C275" s="30" t="str">
        <f>VLOOKUP(B275,'112年全品項生產鍋數'!A:H,2,0)</f>
        <v>草莓餡45%(1*6Kg)</v>
      </c>
      <c r="D275" s="285">
        <v>20</v>
      </c>
      <c r="E275" s="48">
        <f>VLOOKUP(B275,'112年全品項生產鍋數'!A:H,3,0)</f>
        <v>6</v>
      </c>
      <c r="F275" s="45">
        <f>VLOOKUP(B275,'112年全品項生產鍋數'!A:H,7,0)</f>
        <v>26.1</v>
      </c>
      <c r="G275" s="49">
        <f t="shared" si="24"/>
        <v>522</v>
      </c>
      <c r="H275" s="144">
        <v>519</v>
      </c>
      <c r="I275" s="46">
        <f t="shared" si="25"/>
        <v>3114</v>
      </c>
      <c r="J275" s="100">
        <f t="shared" si="26"/>
        <v>0.99425287356321834</v>
      </c>
      <c r="K275" s="51">
        <f>VLOOKUP(B:B,'生產達成率(目標)'!A:C,3,0)</f>
        <v>1</v>
      </c>
      <c r="L275" s="20">
        <f t="shared" si="29"/>
        <v>-6.0000000000000001E-3</v>
      </c>
      <c r="M275" s="235"/>
      <c r="N275" s="43"/>
      <c r="O275" s="150">
        <f t="shared" si="27"/>
        <v>1</v>
      </c>
      <c r="P275" s="43">
        <v>518</v>
      </c>
      <c r="Q275" s="27">
        <f t="shared" si="28"/>
        <v>0.9980732177263969</v>
      </c>
      <c r="R275" s="28"/>
      <c r="S275" s="173"/>
      <c r="T275" s="30"/>
      <c r="U275" s="23"/>
      <c r="V275" s="458"/>
      <c r="W275" s="421"/>
      <c r="X275" s="458"/>
      <c r="Y275" s="421"/>
      <c r="Z275" s="421"/>
      <c r="AA275" s="421"/>
      <c r="AB275" s="421"/>
      <c r="AC275" s="421"/>
      <c r="AD275" s="421"/>
    </row>
    <row r="276" spans="1:30" s="22" customFormat="1" x14ac:dyDescent="0.4">
      <c r="A276" s="177" t="s">
        <v>720</v>
      </c>
      <c r="B276" s="149" t="s">
        <v>7</v>
      </c>
      <c r="C276" s="30" t="str">
        <f>VLOOKUP(B276,'112年全品項生產鍋數'!A:H,2,0)</f>
        <v>草莓蒟蒻餡(1*6kg)</v>
      </c>
      <c r="D276" s="285">
        <v>16</v>
      </c>
      <c r="E276" s="48">
        <f>VLOOKUP(B276,'112年全品項生產鍋數'!A:H,3,0)</f>
        <v>6</v>
      </c>
      <c r="F276" s="45">
        <f>VLOOKUP(B276,'112年全品項生產鍋數'!A:H,7,0)</f>
        <v>25.7</v>
      </c>
      <c r="G276" s="49">
        <f t="shared" si="24"/>
        <v>411.2</v>
      </c>
      <c r="H276" s="144">
        <v>405</v>
      </c>
      <c r="I276" s="46">
        <f t="shared" si="25"/>
        <v>2430</v>
      </c>
      <c r="J276" s="100">
        <f t="shared" si="26"/>
        <v>0.9849221789883269</v>
      </c>
      <c r="K276" s="51">
        <f>VLOOKUP(B:B,'生產達成率(目標)'!A:C,3,0)</f>
        <v>1</v>
      </c>
      <c r="L276" s="20">
        <f t="shared" si="29"/>
        <v>-1.4999999999999999E-2</v>
      </c>
      <c r="M276" s="235"/>
      <c r="N276" s="43"/>
      <c r="O276" s="150">
        <f t="shared" si="27"/>
        <v>2</v>
      </c>
      <c r="P276" s="43">
        <v>403</v>
      </c>
      <c r="Q276" s="27">
        <f t="shared" si="28"/>
        <v>0.99506172839506168</v>
      </c>
      <c r="R276" s="23"/>
      <c r="S276" s="173"/>
      <c r="T276" s="30"/>
      <c r="U276" s="23"/>
      <c r="V276" s="458"/>
      <c r="W276" s="421"/>
      <c r="X276" s="458"/>
      <c r="Y276" s="421"/>
      <c r="Z276" s="421"/>
      <c r="AA276" s="421"/>
      <c r="AB276" s="421"/>
      <c r="AC276" s="421"/>
      <c r="AD276" s="421"/>
    </row>
    <row r="277" spans="1:30" s="22" customFormat="1" x14ac:dyDescent="0.4">
      <c r="A277" s="177" t="s">
        <v>720</v>
      </c>
      <c r="B277" s="149" t="s">
        <v>4</v>
      </c>
      <c r="C277" s="30" t="str">
        <f>VLOOKUP(B277,'112年全品項生產鍋數'!A:H,2,0)</f>
        <v>PET大花生(1*400g)</v>
      </c>
      <c r="D277" s="285">
        <v>24</v>
      </c>
      <c r="E277" s="48">
        <f>VLOOKUP(B277,'112年全品項生產鍋數'!A:H,3,0)</f>
        <v>0.4</v>
      </c>
      <c r="F277" s="45">
        <f>VLOOKUP(B277,'112年全品項生產鍋數'!A:H,7,0)</f>
        <v>309.2</v>
      </c>
      <c r="G277" s="49">
        <f t="shared" si="24"/>
        <v>7420.7999999999993</v>
      </c>
      <c r="H277" s="144">
        <v>7619</v>
      </c>
      <c r="I277" s="46">
        <f t="shared" si="25"/>
        <v>3047.6000000000004</v>
      </c>
      <c r="J277" s="100">
        <f t="shared" si="26"/>
        <v>1.0267087106511428</v>
      </c>
      <c r="K277" s="51">
        <f>VLOOKUP(B:B,'生產達成率(目標)'!A:C,3,0)</f>
        <v>1</v>
      </c>
      <c r="L277" s="20">
        <f t="shared" si="29"/>
        <v>2.7E-2</v>
      </c>
      <c r="M277" s="235"/>
      <c r="N277" s="43"/>
      <c r="O277" s="150">
        <f t="shared" si="27"/>
        <v>3</v>
      </c>
      <c r="P277" s="43">
        <v>7616</v>
      </c>
      <c r="Q277" s="27">
        <f t="shared" si="28"/>
        <v>0.99960624753904714</v>
      </c>
      <c r="R277" s="23"/>
      <c r="S277" s="173"/>
      <c r="T277" s="30"/>
      <c r="U277" s="23"/>
      <c r="V277" s="458"/>
      <c r="W277" s="421"/>
      <c r="X277" s="458"/>
      <c r="Y277" s="421"/>
      <c r="Z277" s="421"/>
      <c r="AA277" s="421"/>
      <c r="AB277" s="421"/>
      <c r="AC277" s="421"/>
      <c r="AD277" s="421"/>
    </row>
    <row r="278" spans="1:30" s="22" customFormat="1" x14ac:dyDescent="0.4">
      <c r="A278" s="177" t="s">
        <v>720</v>
      </c>
      <c r="B278" s="149" t="s">
        <v>22</v>
      </c>
      <c r="C278" s="30" t="str">
        <f>VLOOKUP(B278,'112年全品項生產鍋數'!A:H,2,0)</f>
        <v>PET瓶花生(1*340g)</v>
      </c>
      <c r="D278" s="285">
        <v>16</v>
      </c>
      <c r="E278" s="48">
        <f>VLOOKUP(B278,'112年全品項生產鍋數'!A:H,3,0)</f>
        <v>0.34</v>
      </c>
      <c r="F278" s="45">
        <f>VLOOKUP(B278,'112年全品項生產鍋數'!A:H,7,0)</f>
        <v>358.3</v>
      </c>
      <c r="G278" s="49">
        <f t="shared" si="24"/>
        <v>5732.8</v>
      </c>
      <c r="H278" s="144">
        <v>5672</v>
      </c>
      <c r="I278" s="46">
        <f t="shared" si="25"/>
        <v>1928.4800000000002</v>
      </c>
      <c r="J278" s="100">
        <f t="shared" si="26"/>
        <v>0.98939436226625732</v>
      </c>
      <c r="K278" s="51">
        <f>VLOOKUP(B:B,'生產達成率(目標)'!A:C,3,0)</f>
        <v>1</v>
      </c>
      <c r="L278" s="20">
        <f t="shared" si="29"/>
        <v>-1.0999999999999999E-2</v>
      </c>
      <c r="M278" s="235"/>
      <c r="N278" s="43"/>
      <c r="O278" s="150">
        <f t="shared" si="27"/>
        <v>3</v>
      </c>
      <c r="P278" s="43">
        <v>5669</v>
      </c>
      <c r="Q278" s="27">
        <f t="shared" si="28"/>
        <v>0.99947108603667134</v>
      </c>
      <c r="R278" s="23"/>
      <c r="S278" s="173"/>
      <c r="T278" s="30"/>
      <c r="U278" s="23"/>
      <c r="V278" s="458"/>
      <c r="W278" s="421"/>
      <c r="X278" s="458"/>
      <c r="Y278" s="421"/>
      <c r="Z278" s="421"/>
      <c r="AA278" s="421"/>
      <c r="AB278" s="421"/>
      <c r="AC278" s="421"/>
      <c r="AD278" s="421"/>
    </row>
    <row r="279" spans="1:30" s="22" customFormat="1" x14ac:dyDescent="0.4">
      <c r="A279" s="177" t="s">
        <v>721</v>
      </c>
      <c r="B279" s="149" t="s">
        <v>6</v>
      </c>
      <c r="C279" s="30" t="str">
        <f>VLOOKUP(B279,'112年全品項生產鍋數'!A:H,2,0)</f>
        <v>大圓草莓-新</v>
      </c>
      <c r="D279" s="285">
        <v>36</v>
      </c>
      <c r="E279" s="48">
        <f>VLOOKUP(B279,'112年全品項生產鍋數'!A:H,3,0)</f>
        <v>0.44</v>
      </c>
      <c r="F279" s="45">
        <f>VLOOKUP(B279,'112年全品項生產鍋數'!A:H,7,0)</f>
        <v>344</v>
      </c>
      <c r="G279" s="49">
        <f t="shared" si="24"/>
        <v>12384</v>
      </c>
      <c r="H279" s="144">
        <v>12262</v>
      </c>
      <c r="I279" s="46">
        <f t="shared" si="25"/>
        <v>5395.28</v>
      </c>
      <c r="J279" s="100">
        <f t="shared" si="26"/>
        <v>0.99014857881136953</v>
      </c>
      <c r="K279" s="51">
        <f>VLOOKUP(B:B,'生產達成率(目標)'!A:C,3,0)</f>
        <v>1</v>
      </c>
      <c r="L279" s="20">
        <f t="shared" si="29"/>
        <v>-0.01</v>
      </c>
      <c r="M279" s="235"/>
      <c r="N279" s="43"/>
      <c r="O279" s="150">
        <f t="shared" si="27"/>
        <v>17</v>
      </c>
      <c r="P279" s="43">
        <v>12245</v>
      </c>
      <c r="Q279" s="27">
        <f t="shared" si="28"/>
        <v>0.99861360300114177</v>
      </c>
      <c r="R279" s="23"/>
      <c r="S279" s="173"/>
      <c r="T279" s="30"/>
      <c r="U279" s="23"/>
      <c r="V279" s="458"/>
      <c r="W279" s="421"/>
      <c r="X279" s="458"/>
      <c r="Y279" s="421"/>
      <c r="Z279" s="421"/>
      <c r="AA279" s="421"/>
      <c r="AB279" s="421"/>
      <c r="AC279" s="421"/>
      <c r="AD279" s="421"/>
    </row>
    <row r="280" spans="1:30" s="22" customFormat="1" x14ac:dyDescent="0.4">
      <c r="A280" s="177" t="s">
        <v>721</v>
      </c>
      <c r="B280" s="149" t="s">
        <v>134</v>
      </c>
      <c r="C280" s="30" t="str">
        <f>VLOOKUP(B280,'112年全品項生產鍋數'!A:H,2,0)</f>
        <v>草莓椰果餡(1*6Kg)</v>
      </c>
      <c r="D280" s="285">
        <v>16</v>
      </c>
      <c r="E280" s="48">
        <f>VLOOKUP(B280,'112年全品項生產鍋數'!A:H,3,0)</f>
        <v>6</v>
      </c>
      <c r="F280" s="45">
        <f>VLOOKUP(B280,'112年全品項生產鍋數'!A:H,7,0)</f>
        <v>26.4</v>
      </c>
      <c r="G280" s="49">
        <f t="shared" si="24"/>
        <v>422.4</v>
      </c>
      <c r="H280" s="144">
        <v>420</v>
      </c>
      <c r="I280" s="46">
        <f t="shared" si="25"/>
        <v>2520</v>
      </c>
      <c r="J280" s="100">
        <f t="shared" si="26"/>
        <v>0.99431818181818188</v>
      </c>
      <c r="K280" s="51">
        <f>VLOOKUP(B:B,'生產達成率(目標)'!A:C,3,0)</f>
        <v>1</v>
      </c>
      <c r="L280" s="20">
        <f t="shared" si="29"/>
        <v>-6.0000000000000001E-3</v>
      </c>
      <c r="M280" s="235"/>
      <c r="N280" s="43"/>
      <c r="O280" s="150">
        <f t="shared" si="27"/>
        <v>4</v>
      </c>
      <c r="P280" s="43">
        <v>416</v>
      </c>
      <c r="Q280" s="27">
        <f t="shared" si="28"/>
        <v>0.99047619047619051</v>
      </c>
      <c r="R280" s="23"/>
      <c r="S280" s="173"/>
      <c r="T280" s="30"/>
      <c r="U280" s="23"/>
      <c r="V280" s="458"/>
      <c r="W280" s="421"/>
      <c r="X280" s="458"/>
      <c r="Y280" s="421"/>
      <c r="Z280" s="421"/>
      <c r="AA280" s="421"/>
      <c r="AB280" s="421"/>
      <c r="AC280" s="421"/>
      <c r="AD280" s="421"/>
    </row>
    <row r="281" spans="1:30" s="22" customFormat="1" x14ac:dyDescent="0.4">
      <c r="A281" s="177" t="s">
        <v>721</v>
      </c>
      <c r="B281" s="149" t="s">
        <v>7</v>
      </c>
      <c r="C281" s="30" t="str">
        <f>VLOOKUP(B281,'112年全品項生產鍋數'!A:H,2,0)</f>
        <v>草莓蒟蒻餡(1*6kg)</v>
      </c>
      <c r="D281" s="285">
        <v>24</v>
      </c>
      <c r="E281" s="48">
        <f>VLOOKUP(B281,'112年全品項生產鍋數'!A:H,3,0)</f>
        <v>6</v>
      </c>
      <c r="F281" s="45">
        <f>VLOOKUP(B281,'112年全品項生產鍋數'!A:H,7,0)</f>
        <v>25.7</v>
      </c>
      <c r="G281" s="49">
        <f t="shared" si="24"/>
        <v>616.79999999999995</v>
      </c>
      <c r="H281" s="144">
        <v>610</v>
      </c>
      <c r="I281" s="46">
        <f t="shared" si="25"/>
        <v>3660</v>
      </c>
      <c r="J281" s="100">
        <f t="shared" si="26"/>
        <v>0.98897535667963687</v>
      </c>
      <c r="K281" s="51">
        <f>VLOOKUP(B:B,'生產達成率(目標)'!A:C,3,0)</f>
        <v>1</v>
      </c>
      <c r="L281" s="20">
        <f t="shared" si="29"/>
        <v>-1.0999999999999999E-2</v>
      </c>
      <c r="M281" s="235"/>
      <c r="N281" s="43"/>
      <c r="O281" s="150">
        <f t="shared" si="27"/>
        <v>3</v>
      </c>
      <c r="P281" s="43">
        <v>607</v>
      </c>
      <c r="Q281" s="27">
        <f t="shared" si="28"/>
        <v>0.9950819672131147</v>
      </c>
      <c r="R281" s="23"/>
      <c r="S281" s="173"/>
      <c r="T281" s="30"/>
      <c r="U281" s="23"/>
      <c r="V281" s="458"/>
      <c r="W281" s="421"/>
      <c r="X281" s="458"/>
      <c r="Y281" s="421"/>
      <c r="Z281" s="421"/>
      <c r="AA281" s="421"/>
      <c r="AB281" s="421"/>
      <c r="AC281" s="421"/>
      <c r="AD281" s="421"/>
    </row>
    <row r="282" spans="1:30" s="22" customFormat="1" x14ac:dyDescent="0.4">
      <c r="A282" s="177" t="s">
        <v>721</v>
      </c>
      <c r="B282" s="149" t="s">
        <v>9</v>
      </c>
      <c r="C282" s="30" t="str">
        <f>VLOOKUP(B282,'112年全品項生產鍋數'!A:H,2,0)</f>
        <v>＃1花生(1*2.8kg)</v>
      </c>
      <c r="D282" s="285">
        <v>6.97</v>
      </c>
      <c r="E282" s="48">
        <f>VLOOKUP(B282,'112年全品項生產鍋數'!A:H,3,0)</f>
        <v>2.8</v>
      </c>
      <c r="F282" s="45">
        <f>VLOOKUP(B282,'112年全品項生產鍋數'!A:H,7,0)</f>
        <v>44.5</v>
      </c>
      <c r="G282" s="49">
        <f t="shared" si="24"/>
        <v>310.16499999999996</v>
      </c>
      <c r="H282" s="144">
        <v>304</v>
      </c>
      <c r="I282" s="46">
        <f t="shared" si="25"/>
        <v>851.19999999999993</v>
      </c>
      <c r="J282" s="100">
        <f t="shared" si="26"/>
        <v>0.98012348266245397</v>
      </c>
      <c r="K282" s="51">
        <f>VLOOKUP(B:B,'生產達成率(目標)'!A:C,3,0)</f>
        <v>1</v>
      </c>
      <c r="L282" s="20">
        <f t="shared" si="29"/>
        <v>-0.02</v>
      </c>
      <c r="M282" s="235"/>
      <c r="N282" s="43"/>
      <c r="O282" s="150">
        <f t="shared" si="27"/>
        <v>1</v>
      </c>
      <c r="P282" s="43">
        <v>303</v>
      </c>
      <c r="Q282" s="27">
        <f t="shared" si="28"/>
        <v>0.99671052631578949</v>
      </c>
      <c r="R282" s="23"/>
      <c r="S282" s="173"/>
      <c r="T282" s="30"/>
      <c r="U282" s="23"/>
      <c r="V282" s="458"/>
      <c r="W282" s="421"/>
      <c r="X282" s="458"/>
      <c r="Y282" s="421"/>
      <c r="Z282" s="421"/>
      <c r="AA282" s="421"/>
      <c r="AB282" s="421"/>
      <c r="AC282" s="421"/>
      <c r="AD282" s="421"/>
    </row>
    <row r="283" spans="1:30" s="22" customFormat="1" x14ac:dyDescent="0.4">
      <c r="A283" s="177" t="s">
        <v>721</v>
      </c>
      <c r="B283" s="149" t="s">
        <v>352</v>
      </c>
      <c r="C283" s="30" t="str">
        <f>VLOOKUP(B283,'112年全品項生產鍋數'!A:H,2,0)</f>
        <v>美芝城花生醬(1*2.8kg)</v>
      </c>
      <c r="D283" s="285">
        <v>13.03</v>
      </c>
      <c r="E283" s="48">
        <f>VLOOKUP(B283,'112年全品項生產鍋數'!A:H,3,0)</f>
        <v>2.8</v>
      </c>
      <c r="F283" s="45">
        <f>VLOOKUP(B283,'112年全品項生產鍋數'!A:H,7,0)</f>
        <v>46</v>
      </c>
      <c r="G283" s="49">
        <f t="shared" si="24"/>
        <v>599.38</v>
      </c>
      <c r="H283" s="144">
        <v>600</v>
      </c>
      <c r="I283" s="46">
        <f t="shared" si="25"/>
        <v>1680</v>
      </c>
      <c r="J283" s="100">
        <f t="shared" si="26"/>
        <v>1.0010344022156228</v>
      </c>
      <c r="K283" s="51">
        <f>VLOOKUP(B:B,'生產達成率(目標)'!A:C,3,0)</f>
        <v>1</v>
      </c>
      <c r="L283" s="20">
        <f t="shared" si="29"/>
        <v>1E-3</v>
      </c>
      <c r="M283" s="235"/>
      <c r="N283" s="43"/>
      <c r="O283" s="150">
        <f t="shared" si="27"/>
        <v>0</v>
      </c>
      <c r="P283" s="43">
        <v>600</v>
      </c>
      <c r="Q283" s="27">
        <f t="shared" si="28"/>
        <v>1</v>
      </c>
      <c r="R283" s="23"/>
      <c r="S283" s="173"/>
      <c r="T283" s="30"/>
      <c r="U283" s="23"/>
      <c r="V283" s="458"/>
      <c r="W283" s="421"/>
      <c r="X283" s="458"/>
      <c r="Y283" s="421"/>
      <c r="Z283" s="421"/>
      <c r="AA283" s="421"/>
      <c r="AB283" s="421"/>
      <c r="AC283" s="421"/>
      <c r="AD283" s="421"/>
    </row>
    <row r="284" spans="1:30" s="22" customFormat="1" x14ac:dyDescent="0.4">
      <c r="A284" s="177" t="s">
        <v>721</v>
      </c>
      <c r="B284" s="149" t="s">
        <v>34</v>
      </c>
      <c r="C284" s="30" t="str">
        <f>VLOOKUP(B284,'112年全品項生產鍋數'!A:H,2,0)</f>
        <v>花生醬(1*18KG)</v>
      </c>
      <c r="D284" s="285">
        <v>28</v>
      </c>
      <c r="E284" s="48">
        <f>VLOOKUP(B284,'112年全品項生產鍋數'!A:H,3,0)</f>
        <v>18</v>
      </c>
      <c r="F284" s="45">
        <f>VLOOKUP(B284,'112年全品項生產鍋數'!A:H,7,0)</f>
        <v>6.9</v>
      </c>
      <c r="G284" s="49">
        <f t="shared" si="24"/>
        <v>193.20000000000002</v>
      </c>
      <c r="H284" s="144">
        <v>190</v>
      </c>
      <c r="I284" s="46">
        <f t="shared" si="25"/>
        <v>3420</v>
      </c>
      <c r="J284" s="100">
        <f t="shared" si="26"/>
        <v>0.98343685300207029</v>
      </c>
      <c r="K284" s="51">
        <f>VLOOKUP(B:B,'生產達成率(目標)'!A:C,3,0)</f>
        <v>1</v>
      </c>
      <c r="L284" s="20">
        <f t="shared" si="29"/>
        <v>-1.7000000000000001E-2</v>
      </c>
      <c r="M284" s="235"/>
      <c r="N284" s="43"/>
      <c r="O284" s="150">
        <f t="shared" si="27"/>
        <v>0</v>
      </c>
      <c r="P284" s="43">
        <v>190</v>
      </c>
      <c r="Q284" s="27">
        <f t="shared" si="28"/>
        <v>1</v>
      </c>
      <c r="R284" s="23"/>
      <c r="S284" s="173"/>
      <c r="T284" s="30"/>
      <c r="U284" s="23"/>
      <c r="V284" s="458"/>
      <c r="W284" s="421"/>
      <c r="X284" s="458"/>
      <c r="Y284" s="421"/>
      <c r="Z284" s="421"/>
      <c r="AA284" s="421"/>
      <c r="AB284" s="421"/>
      <c r="AC284" s="421"/>
      <c r="AD284" s="421"/>
    </row>
    <row r="285" spans="1:30" s="22" customFormat="1" x14ac:dyDescent="0.4">
      <c r="A285" s="177" t="s">
        <v>722</v>
      </c>
      <c r="B285" s="149" t="s">
        <v>12</v>
      </c>
      <c r="C285" s="30" t="str">
        <f>VLOOKUP(B285,'112年全品項生產鍋數'!A:H,2,0)</f>
        <v>＃1草莓(1*3.2kg)</v>
      </c>
      <c r="D285" s="285">
        <v>60</v>
      </c>
      <c r="E285" s="48">
        <f>VLOOKUP(B285,'112年全品項生產鍋數'!A:H,3,0)</f>
        <v>3.2</v>
      </c>
      <c r="F285" s="45">
        <f>VLOOKUP(B285,'112年全品項生產鍋數'!A:H,7,0)</f>
        <v>46.8</v>
      </c>
      <c r="G285" s="49">
        <f t="shared" si="24"/>
        <v>2808</v>
      </c>
      <c r="H285" s="144">
        <v>2813</v>
      </c>
      <c r="I285" s="46">
        <f t="shared" si="25"/>
        <v>9001.6</v>
      </c>
      <c r="J285" s="100">
        <f t="shared" si="26"/>
        <v>1.0017806267806268</v>
      </c>
      <c r="K285" s="51">
        <f>VLOOKUP(B:B,'生產達成率(目標)'!A:C,3,0)</f>
        <v>1</v>
      </c>
      <c r="L285" s="20">
        <f t="shared" si="29"/>
        <v>2E-3</v>
      </c>
      <c r="M285" s="235"/>
      <c r="N285" s="43"/>
      <c r="O285" s="150">
        <f t="shared" si="27"/>
        <v>2</v>
      </c>
      <c r="P285" s="43">
        <v>2811</v>
      </c>
      <c r="Q285" s="27">
        <f t="shared" si="28"/>
        <v>0.99928901528617131</v>
      </c>
      <c r="R285" s="23"/>
      <c r="S285" s="173"/>
      <c r="T285" s="30"/>
      <c r="U285" s="23"/>
      <c r="V285" s="458"/>
      <c r="W285" s="421"/>
      <c r="X285" s="458"/>
      <c r="Y285" s="421"/>
      <c r="Z285" s="421"/>
      <c r="AA285" s="421"/>
      <c r="AB285" s="421"/>
      <c r="AC285" s="421"/>
      <c r="AD285" s="421"/>
    </row>
    <row r="286" spans="1:30" s="22" customFormat="1" x14ac:dyDescent="0.4">
      <c r="A286" s="177" t="s">
        <v>722</v>
      </c>
      <c r="B286" s="149" t="s">
        <v>7</v>
      </c>
      <c r="C286" s="30" t="str">
        <f>VLOOKUP(B286,'112年全品項生產鍋數'!A:H,2,0)</f>
        <v>草莓蒟蒻餡(1*6kg)</v>
      </c>
      <c r="D286" s="285">
        <v>20</v>
      </c>
      <c r="E286" s="48">
        <f>VLOOKUP(B286,'112年全品項生產鍋數'!A:H,3,0)</f>
        <v>6</v>
      </c>
      <c r="F286" s="45">
        <f>VLOOKUP(B286,'112年全品項生產鍋數'!A:H,7,0)</f>
        <v>25.7</v>
      </c>
      <c r="G286" s="49">
        <f t="shared" si="24"/>
        <v>514</v>
      </c>
      <c r="H286" s="144">
        <v>506</v>
      </c>
      <c r="I286" s="46">
        <f t="shared" si="25"/>
        <v>3036</v>
      </c>
      <c r="J286" s="100">
        <f t="shared" si="26"/>
        <v>0.98443579766536971</v>
      </c>
      <c r="K286" s="51">
        <f>VLOOKUP(B:B,'生產達成率(目標)'!A:C,3,0)</f>
        <v>1</v>
      </c>
      <c r="L286" s="20">
        <f t="shared" si="29"/>
        <v>-1.6E-2</v>
      </c>
      <c r="M286" s="235"/>
      <c r="N286" s="43"/>
      <c r="O286" s="150">
        <f t="shared" si="27"/>
        <v>3</v>
      </c>
      <c r="P286" s="43">
        <v>503</v>
      </c>
      <c r="Q286" s="27">
        <f t="shared" si="28"/>
        <v>0.99407114624505932</v>
      </c>
      <c r="R286" s="23"/>
      <c r="S286" s="173"/>
      <c r="T286" s="30"/>
      <c r="U286" s="23"/>
      <c r="V286" s="458"/>
      <c r="W286" s="421"/>
      <c r="X286" s="458"/>
      <c r="Y286" s="421"/>
      <c r="Z286" s="421"/>
      <c r="AA286" s="421"/>
      <c r="AB286" s="421"/>
      <c r="AC286" s="421"/>
      <c r="AD286" s="421"/>
    </row>
    <row r="287" spans="1:30" s="22" customFormat="1" x14ac:dyDescent="0.4">
      <c r="A287" s="177" t="s">
        <v>722</v>
      </c>
      <c r="B287" s="149" t="s">
        <v>8</v>
      </c>
      <c r="C287" s="30" t="str">
        <f>VLOOKUP(B287,'112年全品項生產鍋數'!A:H,2,0)</f>
        <v>藍莓餡(1*6KG)</v>
      </c>
      <c r="D287" s="285">
        <v>20</v>
      </c>
      <c r="E287" s="48">
        <f>VLOOKUP(B287,'112年全品項生產鍋數'!A:H,3,0)</f>
        <v>6</v>
      </c>
      <c r="F287" s="45">
        <f>VLOOKUP(B287,'112年全品項生產鍋數'!A:H,7,0)</f>
        <v>25.4</v>
      </c>
      <c r="G287" s="49">
        <f t="shared" si="24"/>
        <v>508</v>
      </c>
      <c r="H287" s="144">
        <v>506</v>
      </c>
      <c r="I287" s="46">
        <f t="shared" si="25"/>
        <v>3036</v>
      </c>
      <c r="J287" s="100">
        <f t="shared" si="26"/>
        <v>0.99606299212598426</v>
      </c>
      <c r="K287" s="51">
        <f>VLOOKUP(B:B,'生產達成率(目標)'!A:C,3,0)</f>
        <v>1</v>
      </c>
      <c r="L287" s="20">
        <f t="shared" si="29"/>
        <v>-4.0000000000000001E-3</v>
      </c>
      <c r="M287" s="235"/>
      <c r="N287" s="43"/>
      <c r="O287" s="150">
        <f t="shared" si="27"/>
        <v>3</v>
      </c>
      <c r="P287" s="43">
        <v>503</v>
      </c>
      <c r="Q287" s="27">
        <f t="shared" si="28"/>
        <v>0.99407114624505932</v>
      </c>
      <c r="R287" s="23"/>
      <c r="S287" s="173"/>
      <c r="T287" s="30"/>
      <c r="U287" s="23"/>
      <c r="V287" s="458"/>
      <c r="W287" s="421"/>
      <c r="X287" s="458"/>
      <c r="Y287" s="421"/>
      <c r="Z287" s="421"/>
      <c r="AA287" s="421"/>
      <c r="AB287" s="421"/>
      <c r="AC287" s="421"/>
      <c r="AD287" s="421"/>
    </row>
    <row r="288" spans="1:30" s="22" customFormat="1" x14ac:dyDescent="0.4">
      <c r="A288" s="177" t="s">
        <v>722</v>
      </c>
      <c r="B288" s="149" t="s">
        <v>148</v>
      </c>
      <c r="C288" s="30" t="str">
        <f>VLOOKUP(B288,'112年全品項生產鍋數'!A:H,2,0)</f>
        <v>無加糖花生醬(1*290g)</v>
      </c>
      <c r="D288" s="285">
        <v>8</v>
      </c>
      <c r="E288" s="48">
        <f>VLOOKUP(B288,'112年全品項生產鍋數'!A:H,3,0)</f>
        <v>0.28999999999999998</v>
      </c>
      <c r="F288" s="45">
        <f>VLOOKUP(B288,'112年全品項生產鍋數'!A:H,7,0)</f>
        <v>388</v>
      </c>
      <c r="G288" s="49">
        <f t="shared" si="24"/>
        <v>3104</v>
      </c>
      <c r="H288" s="144">
        <v>3093</v>
      </c>
      <c r="I288" s="46">
        <f t="shared" si="25"/>
        <v>896.96999999999991</v>
      </c>
      <c r="J288" s="100">
        <f t="shared" si="26"/>
        <v>0.99645618556701032</v>
      </c>
      <c r="K288" s="51">
        <f>VLOOKUP(B:B,'生產達成率(目標)'!A:C,3,0)</f>
        <v>1</v>
      </c>
      <c r="L288" s="20">
        <f t="shared" si="29"/>
        <v>-4.0000000000000001E-3</v>
      </c>
      <c r="M288" s="235"/>
      <c r="N288" s="43"/>
      <c r="O288" s="150">
        <f t="shared" si="27"/>
        <v>3</v>
      </c>
      <c r="P288" s="43">
        <v>3090</v>
      </c>
      <c r="Q288" s="27">
        <f t="shared" si="28"/>
        <v>0.99903006789524729</v>
      </c>
      <c r="R288" s="23"/>
      <c r="S288" s="173"/>
      <c r="T288" s="30"/>
      <c r="U288" s="23"/>
      <c r="V288" s="458"/>
      <c r="W288" s="421"/>
      <c r="X288" s="458"/>
      <c r="Y288" s="421"/>
      <c r="Z288" s="421"/>
      <c r="AA288" s="421"/>
      <c r="AB288" s="421"/>
      <c r="AC288" s="421"/>
      <c r="AD288" s="421"/>
    </row>
    <row r="289" spans="1:30" s="22" customFormat="1" x14ac:dyDescent="0.4">
      <c r="A289" s="177" t="s">
        <v>722</v>
      </c>
      <c r="B289" s="151" t="s">
        <v>18</v>
      </c>
      <c r="C289" s="30" t="str">
        <f>VLOOKUP(B289,'112年全品項生產鍋數'!A:H,2,0)</f>
        <v>PET瓶花生(粒)(1*340g)</v>
      </c>
      <c r="D289" s="285">
        <v>4.88</v>
      </c>
      <c r="E289" s="48">
        <f>VLOOKUP(B289,'112年全品項生產鍋數'!A:H,3,0)</f>
        <v>0.34</v>
      </c>
      <c r="F289" s="45">
        <f>VLOOKUP(B289,'112年全品項生產鍋數'!A:H,7,0)</f>
        <v>366</v>
      </c>
      <c r="G289" s="49">
        <f t="shared" si="24"/>
        <v>1786.08</v>
      </c>
      <c r="H289" s="153">
        <v>1812</v>
      </c>
      <c r="I289" s="46">
        <f t="shared" si="25"/>
        <v>616.08000000000004</v>
      </c>
      <c r="J289" s="100">
        <f t="shared" si="26"/>
        <v>1.014512227895727</v>
      </c>
      <c r="K289" s="51">
        <f>VLOOKUP(B:B,'生產達成率(目標)'!A:C,3,0)</f>
        <v>1</v>
      </c>
      <c r="L289" s="20">
        <f t="shared" si="29"/>
        <v>1.4999999999999999E-2</v>
      </c>
      <c r="M289" s="235"/>
      <c r="N289" s="43"/>
      <c r="O289" s="150">
        <f t="shared" si="27"/>
        <v>3</v>
      </c>
      <c r="P289" s="43">
        <v>1809</v>
      </c>
      <c r="Q289" s="27">
        <f t="shared" si="28"/>
        <v>0.9983443708609272</v>
      </c>
      <c r="R289" s="23"/>
      <c r="S289" s="173"/>
      <c r="T289" s="30"/>
      <c r="U289" s="23"/>
      <c r="V289" s="458"/>
      <c r="W289" s="421"/>
      <c r="X289" s="458"/>
      <c r="Y289" s="421"/>
      <c r="Z289" s="421"/>
      <c r="AA289" s="421"/>
      <c r="AB289" s="421"/>
      <c r="AC289" s="421"/>
      <c r="AD289" s="421"/>
    </row>
    <row r="290" spans="1:30" s="22" customFormat="1" x14ac:dyDescent="0.4">
      <c r="A290" s="177" t="s">
        <v>722</v>
      </c>
      <c r="B290" s="150" t="s">
        <v>424</v>
      </c>
      <c r="C290" s="30" t="str">
        <f>VLOOKUP(B290,'112年全品項生產鍋數'!A:H,2,0)</f>
        <v>佳樂美花生醬(粒)(1*340g)</v>
      </c>
      <c r="D290" s="285">
        <v>7.12</v>
      </c>
      <c r="E290" s="48">
        <f>VLOOKUP(B290,'112年全品項生產鍋數'!A:H,3,0)</f>
        <v>0.34</v>
      </c>
      <c r="F290" s="45">
        <f>VLOOKUP(B290,'112年全品項生產鍋數'!A:H,7,0)</f>
        <v>366</v>
      </c>
      <c r="G290" s="49">
        <f t="shared" si="24"/>
        <v>2605.92</v>
      </c>
      <c r="H290" s="153">
        <v>2640</v>
      </c>
      <c r="I290" s="46">
        <f t="shared" si="25"/>
        <v>897.6</v>
      </c>
      <c r="J290" s="100">
        <f t="shared" si="26"/>
        <v>1.013077914901455</v>
      </c>
      <c r="K290" s="51">
        <v>1</v>
      </c>
      <c r="L290" s="20">
        <f t="shared" si="29"/>
        <v>1.2999999999999999E-2</v>
      </c>
      <c r="M290" s="235"/>
      <c r="N290" s="43"/>
      <c r="O290" s="150">
        <f t="shared" si="27"/>
        <v>0</v>
      </c>
      <c r="P290" s="43">
        <v>2640</v>
      </c>
      <c r="Q290" s="27">
        <f t="shared" si="28"/>
        <v>1</v>
      </c>
      <c r="R290" s="23"/>
      <c r="S290" s="173"/>
      <c r="T290" s="30"/>
      <c r="U290" s="23"/>
      <c r="V290" s="458"/>
      <c r="W290" s="421"/>
      <c r="X290" s="458"/>
      <c r="Y290" s="421"/>
      <c r="Z290" s="421"/>
      <c r="AA290" s="421"/>
      <c r="AB290" s="421"/>
      <c r="AC290" s="421"/>
      <c r="AD290" s="421"/>
    </row>
    <row r="291" spans="1:30" s="22" customFormat="1" x14ac:dyDescent="0.4">
      <c r="A291" s="177" t="s">
        <v>723</v>
      </c>
      <c r="B291" s="149" t="s">
        <v>11</v>
      </c>
      <c r="C291" s="30" t="str">
        <f>VLOOKUP(B291,'112年全品項生產鍋數'!A:H,2,0)</f>
        <v>#2草莓果醬(1*900g)</v>
      </c>
      <c r="D291" s="285">
        <v>8.23</v>
      </c>
      <c r="E291" s="48">
        <f>VLOOKUP(B291,'112年全品項生產鍋數'!A:H,3,0)</f>
        <v>0.9</v>
      </c>
      <c r="F291" s="45">
        <f>VLOOKUP(B291,'112年全品項生產鍋數'!A:H,7,0)</f>
        <v>160.5</v>
      </c>
      <c r="G291" s="49">
        <f t="shared" si="24"/>
        <v>1320.915</v>
      </c>
      <c r="H291" s="144">
        <v>1274</v>
      </c>
      <c r="I291" s="46">
        <f t="shared" si="25"/>
        <v>1146.6000000000001</v>
      </c>
      <c r="J291" s="100">
        <f t="shared" si="26"/>
        <v>0.96448295310447685</v>
      </c>
      <c r="K291" s="51">
        <f>VLOOKUP(B:B,'生產達成率(目標)'!A:C,3,0)</f>
        <v>1</v>
      </c>
      <c r="L291" s="20">
        <f t="shared" si="29"/>
        <v>-3.5999999999999997E-2</v>
      </c>
      <c r="M291" s="235"/>
      <c r="N291" s="43"/>
      <c r="O291" s="150">
        <f t="shared" si="27"/>
        <v>2</v>
      </c>
      <c r="P291" s="43">
        <v>1272</v>
      </c>
      <c r="Q291" s="27">
        <f t="shared" si="28"/>
        <v>0.99843014128728413</v>
      </c>
      <c r="R291" s="23"/>
      <c r="S291" s="173"/>
      <c r="T291" s="30"/>
      <c r="U291" s="23"/>
      <c r="V291" s="458"/>
      <c r="W291" s="421"/>
      <c r="X291" s="458"/>
      <c r="Y291" s="421"/>
      <c r="Z291" s="421"/>
      <c r="AA291" s="421"/>
      <c r="AB291" s="421"/>
      <c r="AC291" s="421"/>
      <c r="AD291" s="421"/>
    </row>
    <row r="292" spans="1:30" s="22" customFormat="1" x14ac:dyDescent="0.4">
      <c r="A292" s="177" t="s">
        <v>723</v>
      </c>
      <c r="B292" s="149" t="s">
        <v>353</v>
      </c>
      <c r="C292" s="30" t="str">
        <f>VLOOKUP(B292,'112年全品項生產鍋數'!A:H,2,0)</f>
        <v>美芝城草莓醬(1*9kg)</v>
      </c>
      <c r="D292" s="285">
        <v>3.77</v>
      </c>
      <c r="E292" s="48">
        <f>VLOOKUP(B292,'112年全品項生產鍋數'!A:H,3,0)</f>
        <v>0.9</v>
      </c>
      <c r="F292" s="45">
        <f>VLOOKUP(B292,'112年全品項生產鍋數'!A:H,7,0)</f>
        <v>158.69999999999999</v>
      </c>
      <c r="G292" s="49">
        <f t="shared" si="24"/>
        <v>598.29899999999998</v>
      </c>
      <c r="H292" s="144">
        <v>600</v>
      </c>
      <c r="I292" s="46">
        <f t="shared" si="25"/>
        <v>540</v>
      </c>
      <c r="J292" s="100">
        <f t="shared" si="26"/>
        <v>1.0028430600753135</v>
      </c>
      <c r="K292" s="51">
        <f>VLOOKUP(B:B,'生產達成率(目標)'!A:C,3,0)</f>
        <v>1</v>
      </c>
      <c r="L292" s="20">
        <f t="shared" si="29"/>
        <v>3.0000000000000001E-3</v>
      </c>
      <c r="M292" s="235"/>
      <c r="N292" s="43"/>
      <c r="O292" s="150">
        <f t="shared" si="27"/>
        <v>0</v>
      </c>
      <c r="P292" s="43">
        <v>600</v>
      </c>
      <c r="Q292" s="27">
        <f t="shared" si="28"/>
        <v>1</v>
      </c>
      <c r="R292" s="23"/>
      <c r="S292" s="173"/>
      <c r="T292" s="30"/>
      <c r="U292" s="23"/>
      <c r="V292" s="458"/>
      <c r="W292" s="421"/>
      <c r="X292" s="458"/>
      <c r="Y292" s="421"/>
      <c r="Z292" s="421"/>
      <c r="AA292" s="421"/>
      <c r="AB292" s="421"/>
      <c r="AC292" s="421"/>
      <c r="AD292" s="421"/>
    </row>
    <row r="293" spans="1:30" s="22" customFormat="1" x14ac:dyDescent="0.4">
      <c r="A293" s="177" t="s">
        <v>723</v>
      </c>
      <c r="B293" s="149" t="s">
        <v>2</v>
      </c>
      <c r="C293" s="30" t="str">
        <f>VLOOKUP(B293,'112年全品項生產鍋數'!A:H,2,0)</f>
        <v>草莓醬(1*6kg)</v>
      </c>
      <c r="D293" s="285">
        <v>20</v>
      </c>
      <c r="E293" s="48">
        <f>VLOOKUP(B293,'112年全品項生產鍋數'!A:H,3,0)</f>
        <v>6</v>
      </c>
      <c r="F293" s="45">
        <f>VLOOKUP(B293,'112年全品項生產鍋數'!A:H,7,0)</f>
        <v>26.6</v>
      </c>
      <c r="G293" s="49">
        <f t="shared" si="24"/>
        <v>532</v>
      </c>
      <c r="H293" s="144">
        <v>521</v>
      </c>
      <c r="I293" s="46">
        <f t="shared" si="25"/>
        <v>3126</v>
      </c>
      <c r="J293" s="100">
        <f t="shared" si="26"/>
        <v>0.97932330827067671</v>
      </c>
      <c r="K293" s="51">
        <f>VLOOKUP(B:B,'生產達成率(目標)'!A:C,3,0)</f>
        <v>1</v>
      </c>
      <c r="L293" s="20">
        <f t="shared" si="29"/>
        <v>-2.1000000000000001E-2</v>
      </c>
      <c r="M293" s="235"/>
      <c r="N293" s="43"/>
      <c r="O293" s="150">
        <f t="shared" si="27"/>
        <v>2</v>
      </c>
      <c r="P293" s="43">
        <v>519</v>
      </c>
      <c r="Q293" s="27">
        <f t="shared" si="28"/>
        <v>0.99616122840690979</v>
      </c>
      <c r="R293" s="23"/>
      <c r="S293" s="173"/>
      <c r="T293" s="30"/>
      <c r="U293" s="23"/>
      <c r="V293" s="458"/>
      <c r="W293" s="421"/>
      <c r="X293" s="458"/>
      <c r="Y293" s="421"/>
      <c r="Z293" s="421"/>
      <c r="AA293" s="421"/>
      <c r="AB293" s="421"/>
      <c r="AC293" s="421"/>
      <c r="AD293" s="421"/>
    </row>
    <row r="294" spans="1:30" s="22" customFormat="1" x14ac:dyDescent="0.4">
      <c r="A294" s="177" t="s">
        <v>723</v>
      </c>
      <c r="B294" s="149" t="s">
        <v>16</v>
      </c>
      <c r="C294" s="30" t="str">
        <f>VLOOKUP(B294,'112年全品項生產鍋數'!A:H,2,0)</f>
        <v>藍莓餡(1*6Kg)</v>
      </c>
      <c r="D294" s="285">
        <v>16</v>
      </c>
      <c r="E294" s="48">
        <f>VLOOKUP(B294,'112年全品項生產鍋數'!A:H,3,0)</f>
        <v>6</v>
      </c>
      <c r="F294" s="45">
        <f>VLOOKUP(B294,'112年全品項生產鍋數'!A:H,7,0)</f>
        <v>25.1</v>
      </c>
      <c r="G294" s="49">
        <f t="shared" si="24"/>
        <v>401.6</v>
      </c>
      <c r="H294" s="144">
        <v>400</v>
      </c>
      <c r="I294" s="46">
        <f t="shared" si="25"/>
        <v>2400</v>
      </c>
      <c r="J294" s="100">
        <f t="shared" si="26"/>
        <v>0.99601593625497997</v>
      </c>
      <c r="K294" s="51">
        <f>VLOOKUP(B:B,'生產達成率(目標)'!A:C,3,0)</f>
        <v>1</v>
      </c>
      <c r="L294" s="20">
        <f t="shared" si="29"/>
        <v>-4.0000000000000001E-3</v>
      </c>
      <c r="M294" s="235"/>
      <c r="N294" s="43"/>
      <c r="O294" s="150">
        <f t="shared" si="27"/>
        <v>1</v>
      </c>
      <c r="P294" s="43">
        <v>399</v>
      </c>
      <c r="Q294" s="27">
        <f t="shared" si="28"/>
        <v>0.99750000000000005</v>
      </c>
      <c r="R294" s="23"/>
      <c r="S294" s="173"/>
      <c r="T294" s="30"/>
      <c r="U294" s="23"/>
      <c r="V294" s="458"/>
      <c r="W294" s="421"/>
      <c r="X294" s="458"/>
      <c r="Y294" s="421"/>
      <c r="Z294" s="421"/>
      <c r="AA294" s="421"/>
      <c r="AB294" s="421"/>
      <c r="AC294" s="421"/>
      <c r="AD294" s="421"/>
    </row>
    <row r="295" spans="1:30" s="22" customFormat="1" x14ac:dyDescent="0.4">
      <c r="A295" s="177" t="s">
        <v>723</v>
      </c>
      <c r="B295" s="149" t="s">
        <v>7</v>
      </c>
      <c r="C295" s="30" t="str">
        <f>VLOOKUP(B295,'112年全品項生產鍋數'!A:H,2,0)</f>
        <v>草莓蒟蒻餡(1*6kg)</v>
      </c>
      <c r="D295" s="285">
        <v>24</v>
      </c>
      <c r="E295" s="48">
        <f>VLOOKUP(B295,'112年全品項生產鍋數'!A:H,3,0)</f>
        <v>6</v>
      </c>
      <c r="F295" s="45">
        <f>VLOOKUP(B295,'112年全品項生產鍋數'!A:H,7,0)</f>
        <v>25.7</v>
      </c>
      <c r="G295" s="49">
        <f t="shared" si="24"/>
        <v>616.79999999999995</v>
      </c>
      <c r="H295" s="144">
        <v>611</v>
      </c>
      <c r="I295" s="46">
        <f t="shared" si="25"/>
        <v>3666</v>
      </c>
      <c r="J295" s="100">
        <f t="shared" si="26"/>
        <v>0.99059662775616086</v>
      </c>
      <c r="K295" s="51">
        <f>VLOOKUP(B:B,'生產達成率(目標)'!A:C,3,0)</f>
        <v>1</v>
      </c>
      <c r="L295" s="20">
        <f t="shared" si="29"/>
        <v>-8.9999999999999993E-3</v>
      </c>
      <c r="M295" s="235"/>
      <c r="N295" s="43"/>
      <c r="O295" s="150">
        <f t="shared" si="27"/>
        <v>3</v>
      </c>
      <c r="P295" s="43">
        <v>608</v>
      </c>
      <c r="Q295" s="27">
        <f t="shared" si="28"/>
        <v>0.9950900163666121</v>
      </c>
      <c r="R295" s="23"/>
      <c r="S295" s="173"/>
      <c r="T295" s="30"/>
      <c r="U295" s="23"/>
      <c r="V295" s="458"/>
      <c r="W295" s="421"/>
      <c r="X295" s="458"/>
      <c r="Y295" s="421"/>
      <c r="Z295" s="421"/>
      <c r="AA295" s="421"/>
      <c r="AB295" s="421"/>
      <c r="AC295" s="421"/>
      <c r="AD295" s="421"/>
    </row>
    <row r="296" spans="1:30" s="22" customFormat="1" x14ac:dyDescent="0.4">
      <c r="A296" s="177" t="s">
        <v>723</v>
      </c>
      <c r="B296" s="149" t="s">
        <v>17</v>
      </c>
      <c r="C296" s="30" t="str">
        <f>VLOOKUP(B296,'112年全品項生產鍋數'!A:H,2,0)</f>
        <v>顆粒花生醬(全)</v>
      </c>
      <c r="D296" s="285">
        <v>24</v>
      </c>
      <c r="E296" s="48">
        <f>VLOOKUP(B296,'112年全品項生產鍋數'!A:H,3,0)</f>
        <v>0.34</v>
      </c>
      <c r="F296" s="45">
        <f>VLOOKUP(B296,'112年全品項生產鍋數'!A:H,7,0)</f>
        <v>364.6</v>
      </c>
      <c r="G296" s="49">
        <f t="shared" si="24"/>
        <v>8750.4000000000015</v>
      </c>
      <c r="H296" s="144">
        <v>8740</v>
      </c>
      <c r="I296" s="46">
        <f t="shared" si="25"/>
        <v>2971.6000000000004</v>
      </c>
      <c r="J296" s="100">
        <f t="shared" si="26"/>
        <v>0.99881148290363853</v>
      </c>
      <c r="K296" s="51">
        <f>VLOOKUP(B:B,'生產達成率(目標)'!A:C,3,0)</f>
        <v>1</v>
      </c>
      <c r="L296" s="20">
        <f t="shared" si="29"/>
        <v>-1E-3</v>
      </c>
      <c r="M296" s="235"/>
      <c r="N296" s="43"/>
      <c r="O296" s="150">
        <f t="shared" si="27"/>
        <v>3</v>
      </c>
      <c r="P296" s="43">
        <v>8737</v>
      </c>
      <c r="Q296" s="27">
        <f t="shared" si="28"/>
        <v>0.99965675057208236</v>
      </c>
      <c r="R296" s="23"/>
      <c r="S296" s="173"/>
      <c r="T296" s="30"/>
      <c r="U296" s="23"/>
      <c r="V296" s="458"/>
      <c r="W296" s="421"/>
      <c r="X296" s="458"/>
      <c r="Y296" s="421"/>
      <c r="Z296" s="421"/>
      <c r="AA296" s="421"/>
      <c r="AB296" s="421"/>
      <c r="AC296" s="421"/>
      <c r="AD296" s="421"/>
    </row>
    <row r="297" spans="1:30" s="22" customFormat="1" x14ac:dyDescent="0.4">
      <c r="A297" s="177" t="s">
        <v>724</v>
      </c>
      <c r="B297" s="149" t="s">
        <v>1</v>
      </c>
      <c r="C297" s="30" t="str">
        <f>VLOOKUP(B297,'112年全品項生產鍋數'!A:H,2,0)</f>
        <v>藍莓醬(1*6kg)</v>
      </c>
      <c r="D297" s="285">
        <v>24</v>
      </c>
      <c r="E297" s="48">
        <f>VLOOKUP(B297,'112年全品項生產鍋數'!A:H,3,0)</f>
        <v>6</v>
      </c>
      <c r="F297" s="45">
        <f>VLOOKUP(B297,'112年全品項生產鍋數'!A:H,7,0)</f>
        <v>25.5</v>
      </c>
      <c r="G297" s="49">
        <f t="shared" si="24"/>
        <v>612</v>
      </c>
      <c r="H297" s="144">
        <v>609</v>
      </c>
      <c r="I297" s="46">
        <f t="shared" si="25"/>
        <v>3654</v>
      </c>
      <c r="J297" s="100">
        <f t="shared" si="26"/>
        <v>0.99509803921568629</v>
      </c>
      <c r="K297" s="51">
        <f>VLOOKUP(B:B,'生產達成率(目標)'!A:C,3,0)</f>
        <v>1</v>
      </c>
      <c r="L297" s="20">
        <f t="shared" si="29"/>
        <v>-5.0000000000000001E-3</v>
      </c>
      <c r="M297" s="235"/>
      <c r="N297" s="43"/>
      <c r="O297" s="150">
        <f t="shared" si="27"/>
        <v>4</v>
      </c>
      <c r="P297" s="43">
        <v>605</v>
      </c>
      <c r="Q297" s="27">
        <f t="shared" si="28"/>
        <v>0.99343185550082103</v>
      </c>
      <c r="R297" s="23"/>
      <c r="S297" s="173"/>
      <c r="T297" s="30"/>
      <c r="U297" s="23"/>
      <c r="V297" s="458"/>
      <c r="W297" s="421"/>
      <c r="X297" s="458"/>
      <c r="Y297" s="421"/>
      <c r="Z297" s="421"/>
      <c r="AA297" s="421"/>
      <c r="AB297" s="421"/>
      <c r="AC297" s="421"/>
      <c r="AD297" s="421"/>
    </row>
    <row r="298" spans="1:30" s="22" customFormat="1" x14ac:dyDescent="0.4">
      <c r="A298" s="177" t="s">
        <v>724</v>
      </c>
      <c r="B298" s="149" t="s">
        <v>149</v>
      </c>
      <c r="C298" s="30" t="str">
        <f>VLOOKUP(B298,'112年全品項生產鍋數'!A:H,2,0)</f>
        <v>葡萄奇異果醬(1*6kg)</v>
      </c>
      <c r="D298" s="285">
        <v>6</v>
      </c>
      <c r="E298" s="48">
        <f>VLOOKUP(B298,'112年全品項生產鍋數'!A:H,3,0)</f>
        <v>6</v>
      </c>
      <c r="F298" s="45">
        <f>VLOOKUP(B298,'112年全品項生產鍋數'!A:H,7,0)</f>
        <v>24.3</v>
      </c>
      <c r="G298" s="49">
        <f t="shared" si="24"/>
        <v>145.80000000000001</v>
      </c>
      <c r="H298" s="144">
        <v>145</v>
      </c>
      <c r="I298" s="46">
        <f t="shared" si="25"/>
        <v>870</v>
      </c>
      <c r="J298" s="100">
        <f t="shared" si="26"/>
        <v>0.99451303155006854</v>
      </c>
      <c r="K298" s="51">
        <f>VLOOKUP(B:B,'生產達成率(目標)'!A:C,3,0)</f>
        <v>1</v>
      </c>
      <c r="L298" s="20">
        <f t="shared" si="29"/>
        <v>-5.0000000000000001E-3</v>
      </c>
      <c r="M298" s="235"/>
      <c r="N298" s="43"/>
      <c r="O298" s="150">
        <f t="shared" si="27"/>
        <v>4</v>
      </c>
      <c r="P298" s="43">
        <v>141</v>
      </c>
      <c r="Q298" s="27">
        <f t="shared" si="28"/>
        <v>0.97241379310344822</v>
      </c>
      <c r="R298" s="23"/>
      <c r="S298" s="173"/>
      <c r="T298" s="30"/>
      <c r="U298" s="23"/>
      <c r="V298" s="458"/>
      <c r="W298" s="421"/>
      <c r="X298" s="458"/>
      <c r="Y298" s="421"/>
      <c r="Z298" s="421"/>
      <c r="AA298" s="421"/>
      <c r="AB298" s="421"/>
      <c r="AC298" s="421"/>
      <c r="AD298" s="421"/>
    </row>
    <row r="299" spans="1:30" s="22" customFormat="1" x14ac:dyDescent="0.4">
      <c r="A299" s="177" t="s">
        <v>724</v>
      </c>
      <c r="B299" s="149" t="s">
        <v>150</v>
      </c>
      <c r="C299" s="30" t="str">
        <f>VLOOKUP(B299,'112年全品項生產鍋數'!A:H,2,0)</f>
        <v>鳳梨芒果百香果醬(1*6KG)</v>
      </c>
      <c r="D299" s="285">
        <v>6</v>
      </c>
      <c r="E299" s="48">
        <f>VLOOKUP(B299,'112年全品項生產鍋數'!A:H,3,0)</f>
        <v>6</v>
      </c>
      <c r="F299" s="45">
        <f>VLOOKUP(B299,'112年全品項生產鍋數'!A:H,7,0)</f>
        <v>25.7</v>
      </c>
      <c r="G299" s="49">
        <f t="shared" si="24"/>
        <v>154.19999999999999</v>
      </c>
      <c r="H299" s="144">
        <v>146</v>
      </c>
      <c r="I299" s="46">
        <f t="shared" si="25"/>
        <v>876</v>
      </c>
      <c r="J299" s="100">
        <f t="shared" si="26"/>
        <v>0.94682230869001305</v>
      </c>
      <c r="K299" s="51">
        <f>VLOOKUP(B:B,'生產達成率(目標)'!A:C,3,0)</f>
        <v>1</v>
      </c>
      <c r="L299" s="20">
        <f t="shared" si="29"/>
        <v>-5.2999999999999999E-2</v>
      </c>
      <c r="M299" s="235"/>
      <c r="N299" s="43"/>
      <c r="O299" s="150">
        <f t="shared" si="27"/>
        <v>1</v>
      </c>
      <c r="P299" s="43">
        <v>145</v>
      </c>
      <c r="Q299" s="27">
        <f t="shared" si="28"/>
        <v>0.99315068493150682</v>
      </c>
      <c r="R299" s="23"/>
      <c r="S299" s="173"/>
      <c r="T299" s="30"/>
      <c r="U299" s="23"/>
      <c r="V299" s="458"/>
      <c r="W299" s="421"/>
      <c r="X299" s="458"/>
      <c r="Y299" s="421"/>
      <c r="Z299" s="421"/>
      <c r="AA299" s="421"/>
      <c r="AB299" s="421"/>
      <c r="AC299" s="421"/>
      <c r="AD299" s="421"/>
    </row>
    <row r="300" spans="1:30" s="22" customFormat="1" x14ac:dyDescent="0.4">
      <c r="A300" s="177" t="s">
        <v>724</v>
      </c>
      <c r="B300" s="149" t="s">
        <v>151</v>
      </c>
      <c r="C300" s="30" t="str">
        <f>VLOOKUP(B300,'112年全品項生產鍋數'!A:H,2,0)</f>
        <v>草莓餡(1*4.5Kg)</v>
      </c>
      <c r="D300" s="285">
        <v>6</v>
      </c>
      <c r="E300" s="48">
        <f>VLOOKUP(B300,'112年全品項生產鍋數'!A:H,3,0)</f>
        <v>4.5</v>
      </c>
      <c r="F300" s="45">
        <f>VLOOKUP(B300,'112年全品項生產鍋數'!A:H,7,0)</f>
        <v>35.6</v>
      </c>
      <c r="G300" s="49">
        <f t="shared" si="24"/>
        <v>213.60000000000002</v>
      </c>
      <c r="H300" s="144">
        <v>210</v>
      </c>
      <c r="I300" s="46">
        <f t="shared" si="25"/>
        <v>945</v>
      </c>
      <c r="J300" s="100">
        <f t="shared" si="26"/>
        <v>0.98314606741573018</v>
      </c>
      <c r="K300" s="51">
        <f>VLOOKUP(B:B,'生產達成率(目標)'!A:C,3,0)</f>
        <v>1</v>
      </c>
      <c r="L300" s="20">
        <f t="shared" si="29"/>
        <v>-1.7000000000000001E-2</v>
      </c>
      <c r="M300" s="235"/>
      <c r="N300" s="43"/>
      <c r="O300" s="150">
        <f t="shared" si="27"/>
        <v>0</v>
      </c>
      <c r="P300" s="43">
        <v>210</v>
      </c>
      <c r="Q300" s="27">
        <f t="shared" si="28"/>
        <v>1</v>
      </c>
      <c r="R300" s="23"/>
      <c r="S300" s="173"/>
      <c r="T300" s="30"/>
      <c r="U300" s="23"/>
      <c r="V300" s="458"/>
      <c r="W300" s="421"/>
      <c r="X300" s="458"/>
      <c r="Y300" s="421"/>
      <c r="Z300" s="421"/>
      <c r="AA300" s="421"/>
      <c r="AB300" s="421"/>
      <c r="AC300" s="421"/>
      <c r="AD300" s="421"/>
    </row>
    <row r="301" spans="1:30" s="22" customFormat="1" x14ac:dyDescent="0.4">
      <c r="A301" s="177" t="s">
        <v>724</v>
      </c>
      <c r="B301" s="149" t="s">
        <v>7</v>
      </c>
      <c r="C301" s="30" t="str">
        <f>VLOOKUP(B301,'112年全品項生產鍋數'!A:H,2,0)</f>
        <v>草莓蒟蒻餡(1*6kg)</v>
      </c>
      <c r="D301" s="285">
        <v>16</v>
      </c>
      <c r="E301" s="48">
        <f>VLOOKUP(B301,'112年全品項生產鍋數'!A:H,3,0)</f>
        <v>6</v>
      </c>
      <c r="F301" s="45">
        <f>VLOOKUP(B301,'112年全品項生產鍋數'!A:H,7,0)</f>
        <v>25.7</v>
      </c>
      <c r="G301" s="49">
        <f t="shared" si="24"/>
        <v>411.2</v>
      </c>
      <c r="H301" s="144">
        <v>409</v>
      </c>
      <c r="I301" s="46">
        <f t="shared" si="25"/>
        <v>2454</v>
      </c>
      <c r="J301" s="100">
        <f t="shared" si="26"/>
        <v>0.99464980544747084</v>
      </c>
      <c r="K301" s="51">
        <f>VLOOKUP(B:B,'生產達成率(目標)'!A:C,3,0)</f>
        <v>1</v>
      </c>
      <c r="L301" s="20">
        <f t="shared" si="29"/>
        <v>-5.0000000000000001E-3</v>
      </c>
      <c r="M301" s="235"/>
      <c r="N301" s="43"/>
      <c r="O301" s="150">
        <f t="shared" si="27"/>
        <v>2</v>
      </c>
      <c r="P301" s="43">
        <v>407</v>
      </c>
      <c r="Q301" s="27">
        <f t="shared" si="28"/>
        <v>0.99511002444987773</v>
      </c>
      <c r="R301" s="23"/>
      <c r="S301" s="173"/>
      <c r="T301" s="30"/>
      <c r="U301" s="23"/>
      <c r="V301" s="458"/>
      <c r="W301" s="421"/>
      <c r="X301" s="458"/>
      <c r="Y301" s="421"/>
      <c r="Z301" s="421"/>
      <c r="AA301" s="421"/>
      <c r="AB301" s="421"/>
      <c r="AC301" s="421"/>
      <c r="AD301" s="421"/>
    </row>
    <row r="302" spans="1:30" s="22" customFormat="1" x14ac:dyDescent="0.4">
      <c r="A302" s="177" t="s">
        <v>724</v>
      </c>
      <c r="B302" s="149" t="s">
        <v>32</v>
      </c>
      <c r="C302" s="30" t="str">
        <f>VLOOKUP(B302,'112年全品項生產鍋數'!A:H,2,0)</f>
        <v>草莓醬(1*6Kg)</v>
      </c>
      <c r="D302" s="285">
        <v>12</v>
      </c>
      <c r="E302" s="48">
        <f>VLOOKUP(B302,'112年全品項生產鍋數'!A:H,3,0)</f>
        <v>6</v>
      </c>
      <c r="F302" s="45">
        <f>VLOOKUP(B302,'112年全品項生產鍋數'!A:H,7,0)</f>
        <v>25.5</v>
      </c>
      <c r="G302" s="49">
        <f t="shared" si="24"/>
        <v>306</v>
      </c>
      <c r="H302" s="144">
        <v>301</v>
      </c>
      <c r="I302" s="46">
        <f t="shared" si="25"/>
        <v>1806</v>
      </c>
      <c r="J302" s="100">
        <f t="shared" si="26"/>
        <v>0.9836601307189542</v>
      </c>
      <c r="K302" s="51">
        <f>VLOOKUP(B:B,'生產達成率(目標)'!A:C,3,0)</f>
        <v>1</v>
      </c>
      <c r="L302" s="20">
        <f t="shared" si="29"/>
        <v>-1.6E-2</v>
      </c>
      <c r="M302" s="235"/>
      <c r="N302" s="43"/>
      <c r="O302" s="150">
        <f t="shared" si="27"/>
        <v>1</v>
      </c>
      <c r="P302" s="43">
        <v>300</v>
      </c>
      <c r="Q302" s="27">
        <f t="shared" si="28"/>
        <v>0.99667774086378735</v>
      </c>
      <c r="R302" s="23"/>
      <c r="S302" s="173"/>
      <c r="T302" s="30"/>
      <c r="U302" s="23"/>
      <c r="V302" s="458"/>
      <c r="W302" s="421"/>
      <c r="X302" s="458"/>
      <c r="Y302" s="421"/>
      <c r="Z302" s="421"/>
      <c r="AA302" s="421"/>
      <c r="AB302" s="421"/>
      <c r="AC302" s="421"/>
      <c r="AD302" s="421"/>
    </row>
    <row r="303" spans="1:30" s="22" customFormat="1" x14ac:dyDescent="0.4">
      <c r="A303" s="177" t="s">
        <v>724</v>
      </c>
      <c r="B303" s="149" t="s">
        <v>9</v>
      </c>
      <c r="C303" s="30" t="str">
        <f>VLOOKUP(B303,'112年全品項生產鍋數'!A:H,2,0)</f>
        <v>＃1花生(1*2.8kg)</v>
      </c>
      <c r="D303" s="285">
        <v>40</v>
      </c>
      <c r="E303" s="48">
        <f>VLOOKUP(B303,'112年全品項生產鍋數'!A:H,3,0)</f>
        <v>2.8</v>
      </c>
      <c r="F303" s="45">
        <f>VLOOKUP(B303,'112年全品項生產鍋數'!A:H,7,0)</f>
        <v>44.5</v>
      </c>
      <c r="G303" s="49">
        <f t="shared" si="24"/>
        <v>1780</v>
      </c>
      <c r="H303" s="144">
        <v>1807</v>
      </c>
      <c r="I303" s="46">
        <f t="shared" si="25"/>
        <v>5059.5999999999995</v>
      </c>
      <c r="J303" s="100">
        <f t="shared" si="26"/>
        <v>1.0151685393258427</v>
      </c>
      <c r="K303" s="51">
        <f>VLOOKUP(B:B,'生產達成率(目標)'!A:C,3,0)</f>
        <v>1</v>
      </c>
      <c r="L303" s="20">
        <f t="shared" si="29"/>
        <v>1.4999999999999999E-2</v>
      </c>
      <c r="M303" s="235"/>
      <c r="N303" s="43"/>
      <c r="O303" s="150">
        <f t="shared" si="27"/>
        <v>1</v>
      </c>
      <c r="P303" s="43">
        <v>1806</v>
      </c>
      <c r="Q303" s="27">
        <f t="shared" si="28"/>
        <v>0.99944659656889878</v>
      </c>
      <c r="R303" s="23"/>
      <c r="S303" s="173"/>
      <c r="T303" s="30"/>
      <c r="U303" s="23"/>
      <c r="V303" s="458"/>
      <c r="W303" s="421"/>
      <c r="X303" s="458"/>
      <c r="Y303" s="421"/>
      <c r="Z303" s="421"/>
      <c r="AA303" s="421"/>
      <c r="AB303" s="421"/>
      <c r="AC303" s="421"/>
      <c r="AD303" s="421"/>
    </row>
    <row r="304" spans="1:30" s="22" customFormat="1" x14ac:dyDescent="0.4">
      <c r="A304" s="177" t="s">
        <v>724</v>
      </c>
      <c r="B304" s="149" t="s">
        <v>5</v>
      </c>
      <c r="C304" s="30" t="str">
        <f>VLOOKUP(B304,'112年全品項生產鍋數'!A:H,2,0)</f>
        <v>＃2花生（粒）(1*900g)</v>
      </c>
      <c r="D304" s="285">
        <v>12</v>
      </c>
      <c r="E304" s="48">
        <f>VLOOKUP(B304,'112年全品項生產鍋數'!A:H,3,0)</f>
        <v>0.9</v>
      </c>
      <c r="F304" s="45">
        <f>VLOOKUP(B304,'112年全品項生產鍋數'!A:H,7,0)</f>
        <v>139.30000000000001</v>
      </c>
      <c r="G304" s="49">
        <f t="shared" si="24"/>
        <v>1671.6000000000001</v>
      </c>
      <c r="H304" s="144">
        <v>1638</v>
      </c>
      <c r="I304" s="46">
        <f t="shared" si="25"/>
        <v>1474.2</v>
      </c>
      <c r="J304" s="100">
        <f t="shared" si="26"/>
        <v>0.9798994974874371</v>
      </c>
      <c r="K304" s="51">
        <f>VLOOKUP(B:B,'生產達成率(目標)'!A:C,3,0)</f>
        <v>1</v>
      </c>
      <c r="L304" s="20">
        <f t="shared" si="29"/>
        <v>-0.02</v>
      </c>
      <c r="M304" s="235"/>
      <c r="N304" s="43"/>
      <c r="O304" s="150">
        <f t="shared" si="27"/>
        <v>2</v>
      </c>
      <c r="P304" s="43">
        <v>1636</v>
      </c>
      <c r="Q304" s="27">
        <f t="shared" si="28"/>
        <v>0.99877899877899878</v>
      </c>
      <c r="R304" s="23"/>
      <c r="S304" s="173"/>
      <c r="T304" s="30"/>
      <c r="U304" s="23"/>
      <c r="V304" s="458"/>
      <c r="W304" s="421"/>
      <c r="X304" s="458"/>
      <c r="Y304" s="421"/>
      <c r="Z304" s="421"/>
      <c r="AA304" s="421"/>
      <c r="AB304" s="421"/>
      <c r="AC304" s="421"/>
      <c r="AD304" s="421"/>
    </row>
    <row r="305" spans="1:30" s="22" customFormat="1" x14ac:dyDescent="0.4">
      <c r="A305" s="177" t="s">
        <v>725</v>
      </c>
      <c r="B305" s="149" t="s">
        <v>72</v>
      </c>
      <c r="C305" s="30" t="str">
        <f>VLOOKUP(B305,'112年全品項生產鍋數'!A:H,2,0)</f>
        <v>草莓餡45%(1*6Kg)</v>
      </c>
      <c r="D305" s="285">
        <v>20</v>
      </c>
      <c r="E305" s="48">
        <f>VLOOKUP(B305,'112年全品項生產鍋數'!A:H,3,0)</f>
        <v>6</v>
      </c>
      <c r="F305" s="45">
        <f>VLOOKUP(B305,'112年全品項生產鍋數'!A:H,7,0)</f>
        <v>26.1</v>
      </c>
      <c r="G305" s="49">
        <f t="shared" si="24"/>
        <v>522</v>
      </c>
      <c r="H305" s="144">
        <v>520</v>
      </c>
      <c r="I305" s="46">
        <f t="shared" si="25"/>
        <v>3120</v>
      </c>
      <c r="J305" s="100">
        <f t="shared" si="26"/>
        <v>0.99616858237547889</v>
      </c>
      <c r="K305" s="51">
        <f>VLOOKUP(B:B,'生產達成率(目標)'!A:C,3,0)</f>
        <v>1</v>
      </c>
      <c r="L305" s="20">
        <f t="shared" si="29"/>
        <v>-4.0000000000000001E-3</v>
      </c>
      <c r="M305" s="235"/>
      <c r="N305" s="43"/>
      <c r="O305" s="150">
        <f t="shared" si="27"/>
        <v>2</v>
      </c>
      <c r="P305" s="43">
        <v>518</v>
      </c>
      <c r="Q305" s="27">
        <f t="shared" si="28"/>
        <v>0.99615384615384617</v>
      </c>
      <c r="R305" s="28"/>
      <c r="S305" s="173"/>
      <c r="T305" s="30"/>
      <c r="U305" s="23"/>
      <c r="V305" s="458"/>
      <c r="W305" s="421"/>
      <c r="X305" s="458"/>
      <c r="Y305" s="421"/>
      <c r="Z305" s="421"/>
      <c r="AA305" s="421"/>
      <c r="AB305" s="421"/>
      <c r="AC305" s="421"/>
      <c r="AD305" s="421"/>
    </row>
    <row r="306" spans="1:30" s="22" customFormat="1" x14ac:dyDescent="0.4">
      <c r="A306" s="177" t="s">
        <v>725</v>
      </c>
      <c r="B306" s="149" t="s">
        <v>7</v>
      </c>
      <c r="C306" s="30" t="str">
        <f>VLOOKUP(B306,'112年全品項生產鍋數'!A:H,2,0)</f>
        <v>草莓蒟蒻餡(1*6kg)</v>
      </c>
      <c r="D306" s="285">
        <v>20</v>
      </c>
      <c r="E306" s="48">
        <f>VLOOKUP(B306,'112年全品項生產鍋數'!A:H,3,0)</f>
        <v>6</v>
      </c>
      <c r="F306" s="45">
        <f>VLOOKUP(B306,'112年全品項生產鍋數'!A:H,7,0)</f>
        <v>25.7</v>
      </c>
      <c r="G306" s="49">
        <f t="shared" si="24"/>
        <v>514</v>
      </c>
      <c r="H306" s="144">
        <v>515</v>
      </c>
      <c r="I306" s="46">
        <f t="shared" si="25"/>
        <v>3090</v>
      </c>
      <c r="J306" s="100">
        <f t="shared" si="26"/>
        <v>1.0019455252918288</v>
      </c>
      <c r="K306" s="51">
        <f>VLOOKUP(B:B,'生產達成率(目標)'!A:C,3,0)</f>
        <v>1</v>
      </c>
      <c r="L306" s="20">
        <f t="shared" si="29"/>
        <v>2E-3</v>
      </c>
      <c r="M306" s="235"/>
      <c r="N306" s="43"/>
      <c r="O306" s="150">
        <f t="shared" si="27"/>
        <v>4</v>
      </c>
      <c r="P306" s="43">
        <v>511</v>
      </c>
      <c r="Q306" s="27">
        <f t="shared" si="28"/>
        <v>0.99223300970873785</v>
      </c>
      <c r="R306" s="23"/>
      <c r="S306" s="173"/>
      <c r="T306" s="30"/>
      <c r="U306" s="23"/>
      <c r="V306" s="458"/>
      <c r="W306" s="421"/>
      <c r="X306" s="458"/>
      <c r="Y306" s="421"/>
      <c r="Z306" s="421"/>
      <c r="AA306" s="421"/>
      <c r="AB306" s="421"/>
      <c r="AC306" s="421"/>
      <c r="AD306" s="421"/>
    </row>
    <row r="307" spans="1:30" s="22" customFormat="1" x14ac:dyDescent="0.4">
      <c r="A307" s="177" t="s">
        <v>725</v>
      </c>
      <c r="B307" s="149" t="s">
        <v>13</v>
      </c>
      <c r="C307" s="30" t="str">
        <f>VLOOKUP(B307,'112年全品項生產鍋數'!A:H,2,0)</f>
        <v>顆粒花生醬(1*12KG)</v>
      </c>
      <c r="D307" s="285">
        <v>21</v>
      </c>
      <c r="E307" s="48">
        <f>VLOOKUP(B307,'112年全品項生產鍋數'!A:H,3,0)</f>
        <v>3</v>
      </c>
      <c r="F307" s="45">
        <f>VLOOKUP(B307,'112年全品項生產鍋數'!A:H,7,0)</f>
        <v>29.7</v>
      </c>
      <c r="G307" s="49">
        <f t="shared" si="24"/>
        <v>623.69999999999993</v>
      </c>
      <c r="H307" s="144">
        <v>628</v>
      </c>
      <c r="I307" s="46">
        <f t="shared" si="25"/>
        <v>1884</v>
      </c>
      <c r="J307" s="100">
        <f t="shared" si="26"/>
        <v>1.0068943402276738</v>
      </c>
      <c r="K307" s="51">
        <f>VLOOKUP(B:B,'生產達成率(目標)'!A:C,3,0)</f>
        <v>1</v>
      </c>
      <c r="L307" s="20">
        <f t="shared" si="29"/>
        <v>7.0000000000000001E-3</v>
      </c>
      <c r="M307" s="235"/>
      <c r="N307" s="43"/>
      <c r="O307" s="150">
        <f t="shared" si="27"/>
        <v>0</v>
      </c>
      <c r="P307" s="43">
        <v>628</v>
      </c>
      <c r="Q307" s="27">
        <f t="shared" si="28"/>
        <v>1</v>
      </c>
      <c r="R307" s="23"/>
      <c r="S307" s="173"/>
      <c r="T307" s="30"/>
      <c r="U307" s="23"/>
      <c r="V307" s="458"/>
      <c r="W307" s="421"/>
      <c r="X307" s="458"/>
      <c r="Y307" s="421"/>
      <c r="Z307" s="421"/>
      <c r="AA307" s="421"/>
      <c r="AB307" s="421"/>
      <c r="AC307" s="421"/>
      <c r="AD307" s="421"/>
    </row>
    <row r="308" spans="1:30" s="22" customFormat="1" x14ac:dyDescent="0.4">
      <c r="A308" s="177" t="s">
        <v>725</v>
      </c>
      <c r="B308" s="149" t="s">
        <v>9</v>
      </c>
      <c r="C308" s="30" t="str">
        <f>VLOOKUP(B308,'112年全品項生產鍋數'!A:H,2,0)</f>
        <v>＃1花生(1*2.8kg)</v>
      </c>
      <c r="D308" s="285">
        <v>52</v>
      </c>
      <c r="E308" s="48">
        <f>VLOOKUP(B308,'112年全品項生產鍋數'!A:H,3,0)</f>
        <v>2.8</v>
      </c>
      <c r="F308" s="45">
        <f>VLOOKUP(B308,'112年全品項生產鍋數'!A:H,7,0)</f>
        <v>44.5</v>
      </c>
      <c r="G308" s="49">
        <f t="shared" si="24"/>
        <v>2314</v>
      </c>
      <c r="H308" s="144">
        <v>2348</v>
      </c>
      <c r="I308" s="46">
        <f t="shared" si="25"/>
        <v>6574.4</v>
      </c>
      <c r="J308" s="100">
        <f t="shared" si="26"/>
        <v>1.0146931719965429</v>
      </c>
      <c r="K308" s="51">
        <f>VLOOKUP(B:B,'生產達成率(目標)'!A:C,3,0)</f>
        <v>1</v>
      </c>
      <c r="L308" s="20">
        <f t="shared" si="29"/>
        <v>1.4999999999999999E-2</v>
      </c>
      <c r="M308" s="235"/>
      <c r="N308" s="43"/>
      <c r="O308" s="150">
        <f t="shared" si="27"/>
        <v>1</v>
      </c>
      <c r="P308" s="43">
        <v>2347</v>
      </c>
      <c r="Q308" s="27">
        <f t="shared" si="28"/>
        <v>0.99957410562180582</v>
      </c>
      <c r="R308" s="23"/>
      <c r="S308" s="173"/>
      <c r="T308" s="30"/>
      <c r="U308" s="23"/>
      <c r="V308" s="458"/>
      <c r="W308" s="421"/>
      <c r="X308" s="458"/>
      <c r="Y308" s="421"/>
      <c r="Z308" s="421"/>
      <c r="AA308" s="421"/>
      <c r="AB308" s="421"/>
      <c r="AC308" s="421"/>
      <c r="AD308" s="421"/>
    </row>
    <row r="309" spans="1:30" s="22" customFormat="1" x14ac:dyDescent="0.4">
      <c r="A309" s="177" t="s">
        <v>726</v>
      </c>
      <c r="B309" s="149" t="s">
        <v>3</v>
      </c>
      <c r="C309" s="30" t="str">
        <f>VLOOKUP(B309,'112年全品項生產鍋數'!A:H,2,0)</f>
        <v>天天開心草莓餡4.5KG</v>
      </c>
      <c r="D309" s="285">
        <v>32</v>
      </c>
      <c r="E309" s="48">
        <f>VLOOKUP(B309,'112年全品項生產鍋數'!A:H,3,0)</f>
        <v>4.5</v>
      </c>
      <c r="F309" s="45">
        <f>VLOOKUP(B309,'112年全品項生產鍋數'!A:H,7,0)</f>
        <v>36.299999999999997</v>
      </c>
      <c r="G309" s="49">
        <f t="shared" si="24"/>
        <v>1161.5999999999999</v>
      </c>
      <c r="H309" s="144">
        <v>1120</v>
      </c>
      <c r="I309" s="46">
        <f t="shared" si="25"/>
        <v>5040</v>
      </c>
      <c r="J309" s="100">
        <f t="shared" si="26"/>
        <v>0.96418732782369154</v>
      </c>
      <c r="K309" s="51">
        <f>VLOOKUP(B:B,'生產達成率(目標)'!A:C,3,0)</f>
        <v>1</v>
      </c>
      <c r="L309" s="20">
        <f t="shared" si="29"/>
        <v>-3.5999999999999997E-2</v>
      </c>
      <c r="M309" s="235"/>
      <c r="N309" s="43"/>
      <c r="O309" s="150">
        <f t="shared" si="27"/>
        <v>0</v>
      </c>
      <c r="P309" s="43">
        <v>1120</v>
      </c>
      <c r="Q309" s="27">
        <f t="shared" si="28"/>
        <v>1</v>
      </c>
      <c r="R309" s="23"/>
      <c r="S309" s="173"/>
      <c r="T309" s="30"/>
      <c r="U309" s="23"/>
      <c r="V309" s="458"/>
      <c r="W309" s="421"/>
      <c r="X309" s="458"/>
      <c r="Y309" s="421"/>
      <c r="Z309" s="421"/>
      <c r="AA309" s="421"/>
      <c r="AB309" s="421"/>
      <c r="AC309" s="421"/>
      <c r="AD309" s="421"/>
    </row>
    <row r="310" spans="1:30" s="22" customFormat="1" x14ac:dyDescent="0.4">
      <c r="A310" s="177" t="s">
        <v>726</v>
      </c>
      <c r="B310" s="149" t="s">
        <v>142</v>
      </c>
      <c r="C310" s="30" t="str">
        <f>VLOOKUP(B310,'112年全品項生產鍋數'!A:H,2,0)</f>
        <v>顆粒花生醬(1*12KG)</v>
      </c>
      <c r="D310" s="285">
        <v>21</v>
      </c>
      <c r="E310" s="48">
        <f>VLOOKUP(B310,'112年全品項生產鍋數'!A:H,3,0)</f>
        <v>3</v>
      </c>
      <c r="F310" s="45">
        <f>VLOOKUP(B310,'112年全品項生產鍋數'!A:H,7,0)</f>
        <v>31.6</v>
      </c>
      <c r="G310" s="49">
        <f t="shared" si="24"/>
        <v>663.6</v>
      </c>
      <c r="H310" s="144">
        <v>668</v>
      </c>
      <c r="I310" s="46">
        <f t="shared" si="25"/>
        <v>2004</v>
      </c>
      <c r="J310" s="100">
        <f t="shared" si="26"/>
        <v>1.0066305003013862</v>
      </c>
      <c r="K310" s="51">
        <f>VLOOKUP(B:B,'生產達成率(目標)'!A:C,3,0)</f>
        <v>1</v>
      </c>
      <c r="L310" s="20">
        <f t="shared" si="29"/>
        <v>7.0000000000000001E-3</v>
      </c>
      <c r="M310" s="235"/>
      <c r="N310" s="43"/>
      <c r="O310" s="150">
        <f t="shared" si="27"/>
        <v>0</v>
      </c>
      <c r="P310" s="43">
        <v>668</v>
      </c>
      <c r="Q310" s="27">
        <f t="shared" si="28"/>
        <v>1</v>
      </c>
      <c r="R310" s="23"/>
      <c r="S310" s="173"/>
      <c r="T310" s="30"/>
      <c r="U310" s="23"/>
      <c r="V310" s="458"/>
      <c r="W310" s="421"/>
      <c r="X310" s="458"/>
      <c r="Y310" s="421"/>
      <c r="Z310" s="421"/>
      <c r="AA310" s="421"/>
      <c r="AB310" s="421"/>
      <c r="AC310" s="421"/>
      <c r="AD310" s="421"/>
    </row>
    <row r="311" spans="1:30" s="22" customFormat="1" x14ac:dyDescent="0.4">
      <c r="A311" s="177" t="s">
        <v>726</v>
      </c>
      <c r="B311" s="149" t="s">
        <v>152</v>
      </c>
      <c r="C311" s="30" t="str">
        <f>VLOOKUP(B311,'112年全品項生產鍋數'!A:H,2,0)</f>
        <v>顆粒花生醬(1*8kg)</v>
      </c>
      <c r="D311" s="285">
        <v>8</v>
      </c>
      <c r="E311" s="48">
        <f>VLOOKUP(B311,'112年全品項生產鍋數'!A:H,3,0)</f>
        <v>8</v>
      </c>
      <c r="F311" s="45">
        <f>VLOOKUP(B311,'112年全品項生產鍋數'!A:H,7,0)</f>
        <v>19.600000000000001</v>
      </c>
      <c r="G311" s="49">
        <f t="shared" si="24"/>
        <v>156.80000000000001</v>
      </c>
      <c r="H311" s="144">
        <v>156</v>
      </c>
      <c r="I311" s="46">
        <f t="shared" si="25"/>
        <v>1248</v>
      </c>
      <c r="J311" s="100">
        <f t="shared" si="26"/>
        <v>0.99489795918367341</v>
      </c>
      <c r="K311" s="51">
        <f>VLOOKUP(B:B,'生產達成率(目標)'!A:C,3,0)</f>
        <v>1</v>
      </c>
      <c r="L311" s="20">
        <f t="shared" si="29"/>
        <v>-5.0000000000000001E-3</v>
      </c>
      <c r="M311" s="235"/>
      <c r="N311" s="43"/>
      <c r="O311" s="150">
        <f t="shared" si="27"/>
        <v>0</v>
      </c>
      <c r="P311" s="43">
        <v>156</v>
      </c>
      <c r="Q311" s="27">
        <f t="shared" si="28"/>
        <v>1</v>
      </c>
      <c r="R311" s="23"/>
      <c r="S311" s="173"/>
      <c r="T311" s="30"/>
      <c r="U311" s="23"/>
      <c r="V311" s="458"/>
      <c r="W311" s="421"/>
      <c r="X311" s="458"/>
      <c r="Y311" s="421"/>
      <c r="Z311" s="421"/>
      <c r="AA311" s="421"/>
      <c r="AB311" s="421"/>
      <c r="AC311" s="421"/>
      <c r="AD311" s="421"/>
    </row>
    <row r="312" spans="1:30" s="22" customFormat="1" x14ac:dyDescent="0.4">
      <c r="A312" s="177" t="s">
        <v>727</v>
      </c>
      <c r="B312" s="149" t="s">
        <v>6</v>
      </c>
      <c r="C312" s="30" t="str">
        <f>VLOOKUP(B312,'112年全品項生產鍋數'!A:H,2,0)</f>
        <v>大圓草莓-新</v>
      </c>
      <c r="D312" s="285">
        <v>20</v>
      </c>
      <c r="E312" s="48">
        <f>VLOOKUP(B312,'112年全品項生產鍋數'!A:H,3,0)</f>
        <v>0.44</v>
      </c>
      <c r="F312" s="45">
        <f>VLOOKUP(B312,'112年全品項生產鍋數'!A:H,7,0)</f>
        <v>344</v>
      </c>
      <c r="G312" s="49">
        <f t="shared" si="24"/>
        <v>6880</v>
      </c>
      <c r="H312" s="144">
        <v>6695</v>
      </c>
      <c r="I312" s="46">
        <f t="shared" si="25"/>
        <v>2945.8</v>
      </c>
      <c r="J312" s="100">
        <f t="shared" si="26"/>
        <v>0.97311046511627908</v>
      </c>
      <c r="K312" s="51">
        <f>VLOOKUP(B:B,'生產達成率(目標)'!A:C,3,0)</f>
        <v>1</v>
      </c>
      <c r="L312" s="20">
        <f t="shared" si="29"/>
        <v>-2.7E-2</v>
      </c>
      <c r="M312" s="235"/>
      <c r="N312" s="43"/>
      <c r="O312" s="150">
        <f t="shared" si="27"/>
        <v>5</v>
      </c>
      <c r="P312" s="43">
        <v>6690</v>
      </c>
      <c r="Q312" s="27">
        <f t="shared" si="28"/>
        <v>0.99925317401045555</v>
      </c>
      <c r="R312" s="23"/>
      <c r="S312" s="173"/>
      <c r="T312" s="30"/>
      <c r="U312" s="23"/>
      <c r="V312" s="458"/>
      <c r="W312" s="421"/>
      <c r="X312" s="458"/>
      <c r="Y312" s="421"/>
      <c r="Z312" s="421"/>
      <c r="AA312" s="421"/>
      <c r="AB312" s="421"/>
      <c r="AC312" s="421"/>
      <c r="AD312" s="421"/>
    </row>
    <row r="313" spans="1:30" s="22" customFormat="1" x14ac:dyDescent="0.4">
      <c r="A313" s="177" t="s">
        <v>727</v>
      </c>
      <c r="B313" s="149" t="s">
        <v>36</v>
      </c>
      <c r="C313" s="30" t="str">
        <f>VLOOKUP(B313,'112年全品項生產鍋數'!A:H,2,0)</f>
        <v>開心草莓果醬(1*430g)</v>
      </c>
      <c r="D313" s="285">
        <v>12</v>
      </c>
      <c r="E313" s="48">
        <f>VLOOKUP(B313,'112年全品項生產鍋數'!A:H,3,0)</f>
        <v>0.43</v>
      </c>
      <c r="F313" s="45">
        <f>VLOOKUP(B313,'112年全品項生產鍋數'!A:H,7,0)</f>
        <v>364</v>
      </c>
      <c r="G313" s="49">
        <f t="shared" si="24"/>
        <v>4368</v>
      </c>
      <c r="H313" s="144">
        <v>4216</v>
      </c>
      <c r="I313" s="46">
        <f t="shared" si="25"/>
        <v>1812.8799999999999</v>
      </c>
      <c r="J313" s="100">
        <f t="shared" si="26"/>
        <v>0.96520146520146521</v>
      </c>
      <c r="K313" s="51">
        <f>VLOOKUP(B:B,'生產達成率(目標)'!A:C,3,0)</f>
        <v>1</v>
      </c>
      <c r="L313" s="20">
        <f t="shared" si="29"/>
        <v>-3.5000000000000003E-2</v>
      </c>
      <c r="M313" s="235"/>
      <c r="N313" s="43"/>
      <c r="O313" s="150">
        <f t="shared" si="27"/>
        <v>6</v>
      </c>
      <c r="P313" s="43">
        <v>4210</v>
      </c>
      <c r="Q313" s="27">
        <f t="shared" si="28"/>
        <v>0.99857685009487662</v>
      </c>
      <c r="R313" s="23"/>
      <c r="S313" s="173"/>
      <c r="T313" s="30"/>
      <c r="U313" s="23"/>
      <c r="V313" s="458"/>
      <c r="W313" s="421"/>
      <c r="X313" s="458"/>
      <c r="Y313" s="421"/>
      <c r="Z313" s="421"/>
      <c r="AA313" s="421"/>
      <c r="AB313" s="421"/>
      <c r="AC313" s="421"/>
      <c r="AD313" s="421"/>
    </row>
    <row r="314" spans="1:30" s="22" customFormat="1" x14ac:dyDescent="0.4">
      <c r="A314" s="177" t="s">
        <v>727</v>
      </c>
      <c r="B314" s="149" t="s">
        <v>20</v>
      </c>
      <c r="C314" s="30" t="str">
        <f>VLOOKUP(B314,'112年全品項生產鍋數'!A:H,2,0)</f>
        <v>草莓餡(1*6KG)</v>
      </c>
      <c r="D314" s="285">
        <v>24</v>
      </c>
      <c r="E314" s="48">
        <f>VLOOKUP(B314,'112年全品項生產鍋數'!A:H,3,0)</f>
        <v>6</v>
      </c>
      <c r="F314" s="45">
        <f>VLOOKUP(B314,'112年全品項生產鍋數'!A:H,7,0)</f>
        <v>25.5</v>
      </c>
      <c r="G314" s="49">
        <f t="shared" si="24"/>
        <v>612</v>
      </c>
      <c r="H314" s="144">
        <v>611</v>
      </c>
      <c r="I314" s="46">
        <f t="shared" si="25"/>
        <v>3666</v>
      </c>
      <c r="J314" s="100">
        <f t="shared" si="26"/>
        <v>0.99836601307189543</v>
      </c>
      <c r="K314" s="51">
        <f>VLOOKUP(B:B,'生產達成率(目標)'!A:C,3,0)</f>
        <v>1</v>
      </c>
      <c r="L314" s="20">
        <f t="shared" si="29"/>
        <v>-2E-3</v>
      </c>
      <c r="M314" s="235"/>
      <c r="N314" s="43"/>
      <c r="O314" s="150">
        <f t="shared" si="27"/>
        <v>7</v>
      </c>
      <c r="P314" s="43">
        <v>604</v>
      </c>
      <c r="Q314" s="27">
        <f t="shared" si="28"/>
        <v>0.98854337152209493</v>
      </c>
      <c r="R314" s="23"/>
      <c r="S314" s="173"/>
      <c r="T314" s="30"/>
      <c r="U314" s="23"/>
      <c r="V314" s="458"/>
      <c r="W314" s="421"/>
      <c r="X314" s="458"/>
      <c r="Y314" s="421"/>
      <c r="Z314" s="421"/>
      <c r="AA314" s="421"/>
      <c r="AB314" s="421"/>
      <c r="AC314" s="421"/>
      <c r="AD314" s="421"/>
    </row>
    <row r="315" spans="1:30" s="22" customFormat="1" x14ac:dyDescent="0.4">
      <c r="A315" s="177" t="s">
        <v>727</v>
      </c>
      <c r="B315" s="149" t="s">
        <v>355</v>
      </c>
      <c r="C315" s="30" t="str">
        <f>VLOOKUP(B315,'112年全品項生產鍋數'!A:H,2,0)</f>
        <v>蘋果餡(1*6Kg)</v>
      </c>
      <c r="D315" s="285">
        <v>16</v>
      </c>
      <c r="E315" s="48">
        <f>VLOOKUP(B315,'112年全品項生產鍋數'!A:H,3,0)</f>
        <v>6</v>
      </c>
      <c r="F315" s="45">
        <f>VLOOKUP(B315,'112年全品項生產鍋數'!A:H,7,0)</f>
        <v>25.3</v>
      </c>
      <c r="G315" s="49">
        <f t="shared" si="24"/>
        <v>404.8</v>
      </c>
      <c r="H315" s="144">
        <v>406</v>
      </c>
      <c r="I315" s="46">
        <f t="shared" si="25"/>
        <v>2436</v>
      </c>
      <c r="J315" s="100">
        <f t="shared" si="26"/>
        <v>1.0029644268774702</v>
      </c>
      <c r="K315" s="51">
        <f>VLOOKUP(B:B,'生產達成率(目標)'!A:C,3,0)</f>
        <v>1</v>
      </c>
      <c r="L315" s="20">
        <f t="shared" si="29"/>
        <v>3.0000000000000001E-3</v>
      </c>
      <c r="M315" s="235"/>
      <c r="N315" s="43"/>
      <c r="O315" s="150">
        <f t="shared" si="27"/>
        <v>1</v>
      </c>
      <c r="P315" s="43">
        <v>405</v>
      </c>
      <c r="Q315" s="27">
        <f t="shared" si="28"/>
        <v>0.99753694581280783</v>
      </c>
      <c r="R315" s="23"/>
      <c r="S315" s="173"/>
      <c r="T315" s="30"/>
      <c r="U315" s="23"/>
      <c r="V315" s="458"/>
      <c r="W315" s="421"/>
      <c r="X315" s="458"/>
      <c r="Y315" s="421"/>
      <c r="Z315" s="421"/>
      <c r="AA315" s="421"/>
      <c r="AB315" s="421"/>
      <c r="AC315" s="421"/>
      <c r="AD315" s="421"/>
    </row>
    <row r="316" spans="1:30" s="22" customFormat="1" x14ac:dyDescent="0.4">
      <c r="A316" s="177" t="s">
        <v>727</v>
      </c>
      <c r="B316" s="149" t="s">
        <v>356</v>
      </c>
      <c r="C316" s="30" t="str">
        <f>VLOOKUP(B316,'112年全品項生產鍋數'!A:H,2,0)</f>
        <v>花生醬(1*18KG)</v>
      </c>
      <c r="D316" s="285">
        <v>16</v>
      </c>
      <c r="E316" s="48">
        <f>VLOOKUP(B316,'112年全品項生產鍋數'!A:H,3,0)</f>
        <v>18</v>
      </c>
      <c r="F316" s="45">
        <f>VLOOKUP(B316,'112年全品項生產鍋數'!A:H,7,0)</f>
        <v>6.6</v>
      </c>
      <c r="G316" s="49">
        <f t="shared" si="24"/>
        <v>105.6</v>
      </c>
      <c r="H316" s="144">
        <v>106</v>
      </c>
      <c r="I316" s="46">
        <f t="shared" si="25"/>
        <v>1908</v>
      </c>
      <c r="J316" s="100">
        <f t="shared" si="26"/>
        <v>1.0037878787878789</v>
      </c>
      <c r="K316" s="51">
        <f>VLOOKUP(B:B,'生產達成率(目標)'!A:C,3,0)</f>
        <v>1</v>
      </c>
      <c r="L316" s="20">
        <f t="shared" si="29"/>
        <v>4.0000000000000001E-3</v>
      </c>
      <c r="M316" s="235"/>
      <c r="N316" s="43"/>
      <c r="O316" s="150">
        <f t="shared" si="27"/>
        <v>0</v>
      </c>
      <c r="P316" s="43">
        <v>106</v>
      </c>
      <c r="Q316" s="27">
        <f t="shared" si="28"/>
        <v>1</v>
      </c>
      <c r="R316" s="23"/>
      <c r="S316" s="173"/>
      <c r="T316" s="30"/>
      <c r="U316" s="23"/>
      <c r="V316" s="458"/>
      <c r="W316" s="421"/>
      <c r="X316" s="458"/>
      <c r="Y316" s="421"/>
      <c r="Z316" s="421"/>
      <c r="AA316" s="421"/>
      <c r="AB316" s="421"/>
      <c r="AC316" s="421"/>
      <c r="AD316" s="421"/>
    </row>
    <row r="317" spans="1:30" s="22" customFormat="1" x14ac:dyDescent="0.4">
      <c r="A317" s="177" t="s">
        <v>727</v>
      </c>
      <c r="B317" s="149" t="s">
        <v>9</v>
      </c>
      <c r="C317" s="30" t="str">
        <f>VLOOKUP(B317,'112年全品項生產鍋數'!A:H,2,0)</f>
        <v>＃1花生(1*2.8kg)</v>
      </c>
      <c r="D317" s="285">
        <v>28</v>
      </c>
      <c r="E317" s="48">
        <f>VLOOKUP(B317,'112年全品項生產鍋數'!A:H,3,0)</f>
        <v>2.8</v>
      </c>
      <c r="F317" s="45">
        <f>VLOOKUP(B317,'112年全品項生產鍋數'!A:H,7,0)</f>
        <v>44.5</v>
      </c>
      <c r="G317" s="49">
        <f t="shared" si="24"/>
        <v>1246</v>
      </c>
      <c r="H317" s="144">
        <v>1276</v>
      </c>
      <c r="I317" s="46">
        <f t="shared" si="25"/>
        <v>3572.7999999999997</v>
      </c>
      <c r="J317" s="100">
        <f t="shared" si="26"/>
        <v>1.0240770465489566</v>
      </c>
      <c r="K317" s="51">
        <f>VLOOKUP(B:B,'生產達成率(目標)'!A:C,3,0)</f>
        <v>1</v>
      </c>
      <c r="L317" s="20">
        <f t="shared" si="29"/>
        <v>2.4E-2</v>
      </c>
      <c r="M317" s="235"/>
      <c r="N317" s="43"/>
      <c r="O317" s="150">
        <f t="shared" si="27"/>
        <v>1</v>
      </c>
      <c r="P317" s="43">
        <v>1275</v>
      </c>
      <c r="Q317" s="27">
        <f t="shared" si="28"/>
        <v>0.9992163009404389</v>
      </c>
      <c r="R317" s="23"/>
      <c r="S317" s="173"/>
      <c r="T317" s="30"/>
      <c r="U317" s="23"/>
      <c r="V317" s="458"/>
      <c r="W317" s="421"/>
      <c r="X317" s="458"/>
      <c r="Y317" s="421"/>
      <c r="Z317" s="421"/>
      <c r="AA317" s="421"/>
      <c r="AB317" s="421"/>
      <c r="AC317" s="421"/>
      <c r="AD317" s="421"/>
    </row>
    <row r="318" spans="1:30" s="22" customFormat="1" x14ac:dyDescent="0.4">
      <c r="A318" s="177" t="s">
        <v>728</v>
      </c>
      <c r="B318" s="149" t="s">
        <v>32</v>
      </c>
      <c r="C318" s="30" t="str">
        <f>VLOOKUP(B318,'112年全品項生產鍋數'!A:H,2,0)</f>
        <v>草莓醬(1*6Kg)</v>
      </c>
      <c r="D318" s="285">
        <v>24</v>
      </c>
      <c r="E318" s="48">
        <f>VLOOKUP(B318,'112年全品項生產鍋數'!A:H,3,0)</f>
        <v>6</v>
      </c>
      <c r="F318" s="45">
        <f>VLOOKUP(B318,'112年全品項生產鍋數'!A:H,7,0)</f>
        <v>25.5</v>
      </c>
      <c r="G318" s="49">
        <f t="shared" si="24"/>
        <v>612</v>
      </c>
      <c r="H318" s="144">
        <v>609</v>
      </c>
      <c r="I318" s="46">
        <f t="shared" si="25"/>
        <v>3654</v>
      </c>
      <c r="J318" s="100">
        <f t="shared" si="26"/>
        <v>0.99509803921568629</v>
      </c>
      <c r="K318" s="51">
        <f>VLOOKUP(B:B,'生產達成率(目標)'!A:C,3,0)</f>
        <v>1</v>
      </c>
      <c r="L318" s="20">
        <f t="shared" si="29"/>
        <v>-5.0000000000000001E-3</v>
      </c>
      <c r="M318" s="235"/>
      <c r="N318" s="43"/>
      <c r="O318" s="150">
        <f t="shared" si="27"/>
        <v>4</v>
      </c>
      <c r="P318" s="43">
        <v>605</v>
      </c>
      <c r="Q318" s="27">
        <f t="shared" si="28"/>
        <v>0.99343185550082103</v>
      </c>
      <c r="R318" s="23"/>
      <c r="S318" s="173"/>
      <c r="T318" s="30"/>
      <c r="U318" s="23"/>
      <c r="V318" s="458"/>
      <c r="W318" s="421"/>
      <c r="X318" s="458"/>
      <c r="Y318" s="421"/>
      <c r="Z318" s="421"/>
      <c r="AA318" s="421"/>
      <c r="AB318" s="421"/>
      <c r="AC318" s="421"/>
      <c r="AD318" s="421"/>
    </row>
    <row r="319" spans="1:30" s="22" customFormat="1" x14ac:dyDescent="0.4">
      <c r="A319" s="177" t="s">
        <v>728</v>
      </c>
      <c r="B319" s="149" t="s">
        <v>16</v>
      </c>
      <c r="C319" s="30" t="str">
        <f>VLOOKUP(B319,'112年全品項生產鍋數'!A:H,2,0)</f>
        <v>藍莓餡(1*6Kg)</v>
      </c>
      <c r="D319" s="285">
        <v>16</v>
      </c>
      <c r="E319" s="48">
        <f>VLOOKUP(B319,'112年全品項生產鍋數'!A:H,3,0)</f>
        <v>6</v>
      </c>
      <c r="F319" s="45">
        <f>VLOOKUP(B319,'112年全品項生產鍋數'!A:H,7,0)</f>
        <v>25.1</v>
      </c>
      <c r="G319" s="49">
        <f t="shared" si="24"/>
        <v>401.6</v>
      </c>
      <c r="H319" s="144">
        <v>386</v>
      </c>
      <c r="I319" s="46">
        <f t="shared" si="25"/>
        <v>2316</v>
      </c>
      <c r="J319" s="100">
        <f t="shared" si="26"/>
        <v>0.9611553784860557</v>
      </c>
      <c r="K319" s="51">
        <f>VLOOKUP(B:B,'生產達成率(目標)'!A:C,3,0)</f>
        <v>1</v>
      </c>
      <c r="L319" s="20">
        <f t="shared" si="29"/>
        <v>-3.9E-2</v>
      </c>
      <c r="M319" s="235"/>
      <c r="N319" s="43"/>
      <c r="O319" s="150">
        <f t="shared" si="27"/>
        <v>4</v>
      </c>
      <c r="P319" s="43">
        <v>382</v>
      </c>
      <c r="Q319" s="27">
        <f t="shared" si="28"/>
        <v>0.98963730569948183</v>
      </c>
      <c r="R319" s="23"/>
      <c r="S319" s="173"/>
      <c r="T319" s="30"/>
      <c r="U319" s="23"/>
      <c r="V319" s="458"/>
      <c r="W319" s="421"/>
      <c r="X319" s="458"/>
      <c r="Y319" s="421"/>
      <c r="Z319" s="421"/>
      <c r="AA319" s="421"/>
      <c r="AB319" s="421"/>
      <c r="AC319" s="421"/>
      <c r="AD319" s="421"/>
    </row>
    <row r="320" spans="1:30" s="22" customFormat="1" x14ac:dyDescent="0.4">
      <c r="A320" s="177" t="s">
        <v>728</v>
      </c>
      <c r="B320" s="149" t="s">
        <v>141</v>
      </c>
      <c r="C320" s="30" t="str">
        <f>VLOOKUP(B320,'112年全品項生產鍋數'!A:H,2,0)</f>
        <v>顆粒花生醬(1*12KG)</v>
      </c>
      <c r="D320" s="285">
        <v>18</v>
      </c>
      <c r="E320" s="48">
        <f>VLOOKUP(B320,'112年全品項生產鍋數'!A:H,3,0)</f>
        <v>3</v>
      </c>
      <c r="F320" s="45">
        <f>VLOOKUP(B320,'112年全品項生產鍋數'!A:H,7,0)</f>
        <v>30.8</v>
      </c>
      <c r="G320" s="49">
        <f t="shared" si="24"/>
        <v>554.4</v>
      </c>
      <c r="H320" s="144">
        <v>552</v>
      </c>
      <c r="I320" s="46">
        <f t="shared" si="25"/>
        <v>1656</v>
      </c>
      <c r="J320" s="100">
        <f t="shared" si="26"/>
        <v>0.99567099567099571</v>
      </c>
      <c r="K320" s="51">
        <f>VLOOKUP(B:B,'生產達成率(目標)'!A:C,3,0)</f>
        <v>1</v>
      </c>
      <c r="L320" s="20">
        <f t="shared" si="29"/>
        <v>-4.0000000000000001E-3</v>
      </c>
      <c r="M320" s="235"/>
      <c r="N320" s="43"/>
      <c r="O320" s="150">
        <f t="shared" si="27"/>
        <v>0</v>
      </c>
      <c r="P320" s="43">
        <v>552</v>
      </c>
      <c r="Q320" s="27">
        <f t="shared" si="28"/>
        <v>1</v>
      </c>
      <c r="R320" s="23"/>
      <c r="S320" s="173"/>
      <c r="T320" s="30"/>
      <c r="U320" s="23"/>
      <c r="V320" s="458"/>
      <c r="W320" s="421"/>
      <c r="X320" s="458"/>
      <c r="Y320" s="421"/>
      <c r="Z320" s="421"/>
      <c r="AA320" s="421"/>
      <c r="AB320" s="421"/>
      <c r="AC320" s="421"/>
      <c r="AD320" s="421"/>
    </row>
    <row r="321" spans="1:30" s="22" customFormat="1" x14ac:dyDescent="0.4">
      <c r="A321" s="177" t="s">
        <v>728</v>
      </c>
      <c r="B321" s="149" t="s">
        <v>33</v>
      </c>
      <c r="C321" s="30" t="str">
        <f>VLOOKUP(B321,'112年全品項生產鍋數'!A:H,2,0)</f>
        <v>深烤焙花生醬(1*18KG)</v>
      </c>
      <c r="D321" s="285">
        <v>60</v>
      </c>
      <c r="E321" s="48">
        <f>VLOOKUP(B321,'112年全品項生產鍋數'!A:H,3,0)</f>
        <v>18</v>
      </c>
      <c r="F321" s="45">
        <f>VLOOKUP(B321,'112年全品項生產鍋數'!A:H,7,0)</f>
        <v>6.9</v>
      </c>
      <c r="G321" s="49">
        <f t="shared" si="24"/>
        <v>414</v>
      </c>
      <c r="H321" s="144">
        <v>280</v>
      </c>
      <c r="I321" s="46">
        <f t="shared" si="25"/>
        <v>5040</v>
      </c>
      <c r="J321" s="100">
        <f t="shared" si="26"/>
        <v>0.67632850241545894</v>
      </c>
      <c r="K321" s="51">
        <f>VLOOKUP(B:B,'生產達成率(目標)'!A:C,3,0)</f>
        <v>1</v>
      </c>
      <c r="L321" s="20">
        <f t="shared" si="29"/>
        <v>-0.32400000000000001</v>
      </c>
      <c r="M321" s="235"/>
      <c r="N321" s="43"/>
      <c r="O321" s="150">
        <f t="shared" si="27"/>
        <v>0</v>
      </c>
      <c r="P321" s="43">
        <v>280</v>
      </c>
      <c r="Q321" s="27">
        <f t="shared" si="28"/>
        <v>1</v>
      </c>
      <c r="R321" s="23"/>
      <c r="S321" s="173"/>
      <c r="T321" s="30"/>
      <c r="U321" s="23"/>
      <c r="V321" s="458"/>
      <c r="W321" s="421"/>
      <c r="X321" s="458"/>
      <c r="Y321" s="421"/>
      <c r="Z321" s="421"/>
      <c r="AA321" s="421"/>
      <c r="AB321" s="421"/>
      <c r="AC321" s="421"/>
      <c r="AD321" s="421"/>
    </row>
    <row r="322" spans="1:30" s="22" customFormat="1" x14ac:dyDescent="0.4">
      <c r="A322" s="177" t="s">
        <v>729</v>
      </c>
      <c r="B322" s="149" t="s">
        <v>12</v>
      </c>
      <c r="C322" s="30" t="str">
        <f>VLOOKUP(B322,'112年全品項生產鍋數'!A:H,2,0)</f>
        <v>＃1草莓(1*3.2kg)</v>
      </c>
      <c r="D322" s="285">
        <v>60</v>
      </c>
      <c r="E322" s="48">
        <f>VLOOKUP(B322,'112年全品項生產鍋數'!A:H,3,0)</f>
        <v>3.2</v>
      </c>
      <c r="F322" s="45">
        <f>VLOOKUP(B322,'112年全品項生產鍋數'!A:H,7,0)</f>
        <v>46.8</v>
      </c>
      <c r="G322" s="49">
        <f t="shared" ref="G322:G385" si="30">D322*F322</f>
        <v>2808</v>
      </c>
      <c r="H322" s="144">
        <v>2800</v>
      </c>
      <c r="I322" s="46">
        <f t="shared" ref="I322:I385" si="31">H322*E322</f>
        <v>8960</v>
      </c>
      <c r="J322" s="100">
        <f t="shared" ref="J322:J385" si="32">IF(G322=0,"無法預估數據",H322/G322)</f>
        <v>0.9971509971509972</v>
      </c>
      <c r="K322" s="51">
        <f>VLOOKUP(B:B,'生產達成率(目標)'!A:C,3,0)</f>
        <v>1</v>
      </c>
      <c r="L322" s="20">
        <f t="shared" si="29"/>
        <v>-3.0000000000000001E-3</v>
      </c>
      <c r="M322" s="235"/>
      <c r="N322" s="43"/>
      <c r="O322" s="150">
        <f t="shared" ref="O322:O385" si="33">H322-N322-P322</f>
        <v>2</v>
      </c>
      <c r="P322" s="43">
        <v>2798</v>
      </c>
      <c r="Q322" s="27">
        <f t="shared" ref="Q322:Q385" si="34">P322/H322</f>
        <v>0.99928571428571433</v>
      </c>
      <c r="R322" s="23"/>
      <c r="S322" s="173"/>
      <c r="T322" s="30"/>
      <c r="U322" s="23"/>
      <c r="V322" s="458"/>
      <c r="W322" s="421"/>
      <c r="X322" s="458"/>
      <c r="Y322" s="421"/>
      <c r="Z322" s="421"/>
      <c r="AA322" s="421"/>
      <c r="AB322" s="421"/>
      <c r="AC322" s="421"/>
      <c r="AD322" s="421"/>
    </row>
    <row r="323" spans="1:30" s="22" customFormat="1" x14ac:dyDescent="0.4">
      <c r="A323" s="177" t="s">
        <v>729</v>
      </c>
      <c r="B323" s="149" t="s">
        <v>8</v>
      </c>
      <c r="C323" s="30" t="str">
        <f>VLOOKUP(B323,'112年全品項生產鍋數'!A:H,2,0)</f>
        <v>藍莓餡(1*6KG)</v>
      </c>
      <c r="D323" s="285">
        <v>20</v>
      </c>
      <c r="E323" s="48">
        <f>VLOOKUP(B323,'112年全品項生產鍋數'!A:H,3,0)</f>
        <v>6</v>
      </c>
      <c r="F323" s="45">
        <f>VLOOKUP(B323,'112年全品項生產鍋數'!A:H,7,0)</f>
        <v>25.4</v>
      </c>
      <c r="G323" s="49">
        <f t="shared" si="30"/>
        <v>508</v>
      </c>
      <c r="H323" s="144">
        <v>512</v>
      </c>
      <c r="I323" s="46">
        <f t="shared" si="31"/>
        <v>3072</v>
      </c>
      <c r="J323" s="100">
        <f t="shared" si="32"/>
        <v>1.0078740157480315</v>
      </c>
      <c r="K323" s="51">
        <f>VLOOKUP(B:B,'生產達成率(目標)'!A:C,3,0)</f>
        <v>1</v>
      </c>
      <c r="L323" s="20">
        <f t="shared" ref="L323:L386" si="35">IF(G323=0,"無法預估數據",ROUND(J323-K323,3))</f>
        <v>8.0000000000000002E-3</v>
      </c>
      <c r="M323" s="235"/>
      <c r="N323" s="43"/>
      <c r="O323" s="150">
        <f t="shared" si="33"/>
        <v>3</v>
      </c>
      <c r="P323" s="43">
        <v>509</v>
      </c>
      <c r="Q323" s="27">
        <f t="shared" si="34"/>
        <v>0.994140625</v>
      </c>
      <c r="R323" s="23"/>
      <c r="S323" s="173"/>
      <c r="T323" s="30"/>
      <c r="U323" s="23"/>
      <c r="V323" s="458"/>
      <c r="W323" s="421"/>
      <c r="X323" s="458"/>
      <c r="Y323" s="421"/>
      <c r="Z323" s="421"/>
      <c r="AA323" s="421"/>
      <c r="AB323" s="421"/>
      <c r="AC323" s="421"/>
      <c r="AD323" s="421"/>
    </row>
    <row r="324" spans="1:30" s="22" customFormat="1" x14ac:dyDescent="0.4">
      <c r="A324" s="177" t="s">
        <v>729</v>
      </c>
      <c r="B324" s="149" t="s">
        <v>42</v>
      </c>
      <c r="C324" s="30" t="str">
        <f>VLOOKUP(B324,'112年全品項生產鍋數'!A:H,2,0)</f>
        <v>天天開心柳橙餡4.5KG</v>
      </c>
      <c r="D324" s="285">
        <v>8</v>
      </c>
      <c r="E324" s="48">
        <f>VLOOKUP(B324,'112年全品項生產鍋數'!A:H,3,0)</f>
        <v>4.5</v>
      </c>
      <c r="F324" s="45">
        <f>VLOOKUP(B324,'112年全品項生產鍋數'!A:H,7,0)</f>
        <v>34.9</v>
      </c>
      <c r="G324" s="49">
        <f t="shared" si="30"/>
        <v>279.2</v>
      </c>
      <c r="H324" s="144">
        <v>280</v>
      </c>
      <c r="I324" s="46">
        <f t="shared" si="31"/>
        <v>1260</v>
      </c>
      <c r="J324" s="100">
        <f t="shared" si="32"/>
        <v>1.002865329512894</v>
      </c>
      <c r="K324" s="51">
        <f>VLOOKUP(B:B,'生產達成率(目標)'!A:C,3,0)</f>
        <v>1</v>
      </c>
      <c r="L324" s="20">
        <f t="shared" si="35"/>
        <v>3.0000000000000001E-3</v>
      </c>
      <c r="M324" s="235"/>
      <c r="N324" s="43"/>
      <c r="O324" s="150">
        <f t="shared" si="33"/>
        <v>0</v>
      </c>
      <c r="P324" s="43">
        <v>280</v>
      </c>
      <c r="Q324" s="27">
        <f t="shared" si="34"/>
        <v>1</v>
      </c>
      <c r="R324" s="23"/>
      <c r="S324" s="173"/>
      <c r="T324" s="30"/>
      <c r="U324" s="23"/>
      <c r="V324" s="458"/>
      <c r="W324" s="421"/>
      <c r="X324" s="458"/>
      <c r="Y324" s="421"/>
      <c r="Z324" s="421"/>
      <c r="AA324" s="421"/>
      <c r="AB324" s="421"/>
      <c r="AC324" s="421"/>
      <c r="AD324" s="421"/>
    </row>
    <row r="325" spans="1:30" s="22" customFormat="1" x14ac:dyDescent="0.4">
      <c r="A325" s="177" t="s">
        <v>729</v>
      </c>
      <c r="B325" s="149" t="s">
        <v>361</v>
      </c>
      <c r="C325" s="30" t="str">
        <f>VLOOKUP(B325,'112年全品項生產鍋數'!A:H,2,0)</f>
        <v>天天熱帶水果餡 4.5KG</v>
      </c>
      <c r="D325" s="285">
        <v>12</v>
      </c>
      <c r="E325" s="48">
        <f>VLOOKUP(B325,'112年全品項生產鍋數'!A:H,3,0)</f>
        <v>4.5</v>
      </c>
      <c r="F325" s="45">
        <f>VLOOKUP(B325,'112年全品項生產鍋數'!A:H,7,0)</f>
        <v>34.5</v>
      </c>
      <c r="G325" s="49">
        <f t="shared" si="30"/>
        <v>414</v>
      </c>
      <c r="H325" s="144">
        <v>414</v>
      </c>
      <c r="I325" s="46">
        <f t="shared" si="31"/>
        <v>1863</v>
      </c>
      <c r="J325" s="100">
        <f t="shared" si="32"/>
        <v>1</v>
      </c>
      <c r="K325" s="51">
        <f>VLOOKUP(B:B,'生產達成率(目標)'!A:C,3,0)</f>
        <v>1</v>
      </c>
      <c r="L325" s="20">
        <f t="shared" si="35"/>
        <v>0</v>
      </c>
      <c r="M325" s="235"/>
      <c r="N325" s="43"/>
      <c r="O325" s="150">
        <f t="shared" si="33"/>
        <v>0</v>
      </c>
      <c r="P325" s="43">
        <v>414</v>
      </c>
      <c r="Q325" s="27">
        <f t="shared" si="34"/>
        <v>1</v>
      </c>
      <c r="R325" s="23"/>
      <c r="S325" s="173"/>
      <c r="T325" s="30"/>
      <c r="U325" s="23"/>
      <c r="V325" s="458"/>
      <c r="W325" s="421"/>
      <c r="X325" s="458"/>
      <c r="Y325" s="421"/>
      <c r="Z325" s="421"/>
      <c r="AA325" s="421"/>
      <c r="AB325" s="421"/>
      <c r="AC325" s="421"/>
      <c r="AD325" s="421"/>
    </row>
    <row r="326" spans="1:30" s="22" customFormat="1" x14ac:dyDescent="0.4">
      <c r="A326" s="177" t="s">
        <v>729</v>
      </c>
      <c r="B326" s="149" t="s">
        <v>9</v>
      </c>
      <c r="C326" s="30" t="str">
        <f>VLOOKUP(B326,'112年全品項生產鍋數'!A:H,2,0)</f>
        <v>＃1花生(1*2.8kg)</v>
      </c>
      <c r="D326" s="285">
        <v>48</v>
      </c>
      <c r="E326" s="48">
        <f>VLOOKUP(B326,'112年全品項生產鍋數'!A:H,3,0)</f>
        <v>2.8</v>
      </c>
      <c r="F326" s="45">
        <f>VLOOKUP(B326,'112年全品項生產鍋數'!A:H,7,0)</f>
        <v>44.5</v>
      </c>
      <c r="G326" s="49">
        <f t="shared" si="30"/>
        <v>2136</v>
      </c>
      <c r="H326" s="144">
        <v>1954</v>
      </c>
      <c r="I326" s="46">
        <f t="shared" si="31"/>
        <v>5471.2</v>
      </c>
      <c r="J326" s="100">
        <f t="shared" si="32"/>
        <v>0.91479400749063666</v>
      </c>
      <c r="K326" s="51">
        <f>VLOOKUP(B:B,'生產達成率(目標)'!A:C,3,0)</f>
        <v>1</v>
      </c>
      <c r="L326" s="20">
        <f t="shared" si="35"/>
        <v>-8.5000000000000006E-2</v>
      </c>
      <c r="M326" s="235"/>
      <c r="N326" s="43"/>
      <c r="O326" s="150">
        <f t="shared" si="33"/>
        <v>1</v>
      </c>
      <c r="P326" s="43">
        <v>1953</v>
      </c>
      <c r="Q326" s="27">
        <f t="shared" si="34"/>
        <v>0.99948822927328562</v>
      </c>
      <c r="R326" s="23"/>
      <c r="S326" s="173"/>
      <c r="T326" s="30"/>
      <c r="U326" s="23"/>
      <c r="V326" s="458"/>
      <c r="W326" s="421"/>
      <c r="X326" s="458"/>
      <c r="Y326" s="421"/>
      <c r="Z326" s="421"/>
      <c r="AA326" s="421"/>
      <c r="AB326" s="421"/>
      <c r="AC326" s="421"/>
      <c r="AD326" s="421"/>
    </row>
    <row r="327" spans="1:30" s="22" customFormat="1" x14ac:dyDescent="0.4">
      <c r="A327" s="177" t="s">
        <v>730</v>
      </c>
      <c r="B327" s="149" t="s">
        <v>362</v>
      </c>
      <c r="C327" s="30" t="str">
        <f>VLOOKUP(B327,'112年全品項生產鍋數'!A:H,2,0)</f>
        <v>桑椹果粒茶(1*400G)</v>
      </c>
      <c r="D327" s="285">
        <v>6</v>
      </c>
      <c r="E327" s="48">
        <f>VLOOKUP(B327,'112年全品項生產鍋數'!A:H,3,0)</f>
        <v>0.4</v>
      </c>
      <c r="F327" s="45">
        <f>VLOOKUP(B327,'112年全品項生產鍋數'!A:H,7,0)</f>
        <v>366.4</v>
      </c>
      <c r="G327" s="49">
        <f t="shared" si="30"/>
        <v>2198.3999999999996</v>
      </c>
      <c r="H327" s="144">
        <v>2180</v>
      </c>
      <c r="I327" s="46">
        <f t="shared" si="31"/>
        <v>872</v>
      </c>
      <c r="J327" s="100">
        <f t="shared" si="32"/>
        <v>0.99163027656477454</v>
      </c>
      <c r="K327" s="51">
        <f>VLOOKUP(B:B,'生產達成率(目標)'!A:C,3,0)</f>
        <v>1</v>
      </c>
      <c r="L327" s="20">
        <f t="shared" si="35"/>
        <v>-8.0000000000000002E-3</v>
      </c>
      <c r="M327" s="235"/>
      <c r="N327" s="43"/>
      <c r="O327" s="150">
        <f t="shared" si="33"/>
        <v>11</v>
      </c>
      <c r="P327" s="43">
        <v>2169</v>
      </c>
      <c r="Q327" s="27">
        <f t="shared" si="34"/>
        <v>0.99495412844036701</v>
      </c>
      <c r="R327" s="23"/>
      <c r="S327" s="173"/>
      <c r="T327" s="30"/>
      <c r="U327" s="23"/>
      <c r="V327" s="458"/>
      <c r="W327" s="421"/>
      <c r="X327" s="458"/>
      <c r="Y327" s="421"/>
      <c r="Z327" s="421"/>
      <c r="AA327" s="421"/>
      <c r="AB327" s="421"/>
      <c r="AC327" s="421"/>
      <c r="AD327" s="421"/>
    </row>
    <row r="328" spans="1:30" s="22" customFormat="1" x14ac:dyDescent="0.4">
      <c r="A328" s="177" t="s">
        <v>730</v>
      </c>
      <c r="B328" s="149" t="s">
        <v>24</v>
      </c>
      <c r="C328" s="30" t="str">
        <f>VLOOKUP(B328,'112年全品項生產鍋數'!A:H,2,0)</f>
        <v>小藍莓1*260G</v>
      </c>
      <c r="D328" s="285">
        <v>12</v>
      </c>
      <c r="E328" s="48">
        <f>VLOOKUP(B328,'112年全品項生產鍋數'!A:H,3,0)</f>
        <v>0.26</v>
      </c>
      <c r="F328" s="45">
        <f>VLOOKUP(B328,'112年全品項生產鍋數'!A:H,7,0)</f>
        <v>584.29999999999995</v>
      </c>
      <c r="G328" s="49">
        <f t="shared" si="30"/>
        <v>7011.5999999999995</v>
      </c>
      <c r="H328" s="144">
        <v>6788</v>
      </c>
      <c r="I328" s="46">
        <f t="shared" si="31"/>
        <v>1764.88</v>
      </c>
      <c r="J328" s="100">
        <f t="shared" si="32"/>
        <v>0.96810998916081925</v>
      </c>
      <c r="K328" s="51">
        <f>VLOOKUP(B:B,'生產達成率(目標)'!A:C,3,0)</f>
        <v>1</v>
      </c>
      <c r="L328" s="20">
        <f t="shared" si="35"/>
        <v>-3.2000000000000001E-2</v>
      </c>
      <c r="M328" s="235"/>
      <c r="N328" s="43"/>
      <c r="O328" s="150">
        <f t="shared" si="33"/>
        <v>12</v>
      </c>
      <c r="P328" s="43">
        <v>6776</v>
      </c>
      <c r="Q328" s="27">
        <f t="shared" si="34"/>
        <v>0.99823217442545664</v>
      </c>
      <c r="R328" s="23"/>
      <c r="S328" s="173"/>
      <c r="T328" s="30"/>
      <c r="U328" s="23"/>
      <c r="V328" s="458"/>
      <c r="W328" s="421"/>
      <c r="X328" s="458"/>
      <c r="Y328" s="421"/>
      <c r="Z328" s="421"/>
      <c r="AA328" s="421"/>
      <c r="AB328" s="421"/>
      <c r="AC328" s="421"/>
      <c r="AD328" s="421"/>
    </row>
    <row r="329" spans="1:30" s="22" customFormat="1" x14ac:dyDescent="0.4">
      <c r="A329" s="177" t="s">
        <v>730</v>
      </c>
      <c r="B329" s="149" t="s">
        <v>25</v>
      </c>
      <c r="C329" s="30" t="str">
        <f>VLOOKUP(B329,'112年全品項生產鍋數'!A:H,2,0)</f>
        <v>小藍莓1*260G</v>
      </c>
      <c r="D329" s="285">
        <v>4</v>
      </c>
      <c r="E329" s="48">
        <f>VLOOKUP(B329,'112年全品項生產鍋數'!A:H,3,0)</f>
        <v>0.26</v>
      </c>
      <c r="F329" s="45">
        <f>VLOOKUP(B329,'112年全品項生產鍋數'!A:H,7,0)</f>
        <v>592</v>
      </c>
      <c r="G329" s="49">
        <f t="shared" si="30"/>
        <v>2368</v>
      </c>
      <c r="H329" s="144">
        <v>2396</v>
      </c>
      <c r="I329" s="46">
        <f t="shared" si="31"/>
        <v>622.96</v>
      </c>
      <c r="J329" s="100">
        <f t="shared" si="32"/>
        <v>1.0118243243243243</v>
      </c>
      <c r="K329" s="51">
        <f>VLOOKUP(B:B,'生產達成率(目標)'!A:C,3,0)</f>
        <v>1</v>
      </c>
      <c r="L329" s="20">
        <f t="shared" si="35"/>
        <v>1.2E-2</v>
      </c>
      <c r="M329" s="235"/>
      <c r="N329" s="43"/>
      <c r="O329" s="150">
        <f t="shared" si="33"/>
        <v>8</v>
      </c>
      <c r="P329" s="43">
        <v>2388</v>
      </c>
      <c r="Q329" s="27">
        <f t="shared" si="34"/>
        <v>0.996661101836394</v>
      </c>
      <c r="R329" s="23"/>
      <c r="S329" s="173"/>
      <c r="T329" s="30"/>
      <c r="U329" s="23"/>
      <c r="V329" s="458"/>
      <c r="W329" s="421"/>
      <c r="X329" s="458"/>
      <c r="Y329" s="421"/>
      <c r="Z329" s="421"/>
      <c r="AA329" s="421"/>
      <c r="AB329" s="421"/>
      <c r="AC329" s="421"/>
      <c r="AD329" s="421"/>
    </row>
    <row r="330" spans="1:30" s="22" customFormat="1" x14ac:dyDescent="0.4">
      <c r="A330" s="177" t="s">
        <v>730</v>
      </c>
      <c r="B330" s="149" t="s">
        <v>140</v>
      </c>
      <c r="C330" s="30" t="str">
        <f>VLOOKUP(B330,'112年全品項生產鍋數'!A:H,2,0)</f>
        <v>草莓餡(1*6Kg)</v>
      </c>
      <c r="D330" s="285">
        <v>12</v>
      </c>
      <c r="E330" s="48">
        <f>VLOOKUP(B330,'112年全品項生產鍋數'!A:H,3,0)</f>
        <v>6</v>
      </c>
      <c r="F330" s="45">
        <f>VLOOKUP(B330,'112年全品項生產鍋數'!A:H,7,0)</f>
        <v>25.5</v>
      </c>
      <c r="G330" s="49">
        <f t="shared" si="30"/>
        <v>306</v>
      </c>
      <c r="H330" s="144">
        <v>305</v>
      </c>
      <c r="I330" s="46">
        <f t="shared" si="31"/>
        <v>1830</v>
      </c>
      <c r="J330" s="100">
        <f t="shared" si="32"/>
        <v>0.99673202614379086</v>
      </c>
      <c r="K330" s="51">
        <f>VLOOKUP(B:B,'生產達成率(目標)'!A:C,3,0)</f>
        <v>1</v>
      </c>
      <c r="L330" s="20">
        <f t="shared" si="35"/>
        <v>-3.0000000000000001E-3</v>
      </c>
      <c r="M330" s="235"/>
      <c r="N330" s="43"/>
      <c r="O330" s="150">
        <f t="shared" si="33"/>
        <v>1</v>
      </c>
      <c r="P330" s="43">
        <v>304</v>
      </c>
      <c r="Q330" s="27">
        <f t="shared" si="34"/>
        <v>0.99672131147540988</v>
      </c>
      <c r="R330" s="23"/>
      <c r="S330" s="173"/>
      <c r="T330" s="30"/>
      <c r="U330" s="23"/>
      <c r="V330" s="458"/>
      <c r="W330" s="421"/>
      <c r="X330" s="458"/>
      <c r="Y330" s="421"/>
      <c r="Z330" s="421"/>
      <c r="AA330" s="421"/>
      <c r="AB330" s="421"/>
      <c r="AC330" s="421"/>
      <c r="AD330" s="421"/>
    </row>
    <row r="331" spans="1:30" s="22" customFormat="1" x14ac:dyDescent="0.4">
      <c r="A331" s="177" t="s">
        <v>730</v>
      </c>
      <c r="B331" s="149" t="s">
        <v>14</v>
      </c>
      <c r="C331" s="30" t="str">
        <f>VLOOKUP(B331,'112年全品項生產鍋數'!A:H,2,0)</f>
        <v>草莓餡50°(1*6Kg)</v>
      </c>
      <c r="D331" s="285">
        <v>8</v>
      </c>
      <c r="E331" s="48">
        <f>VLOOKUP(B331,'112年全品項生產鍋數'!A:H,3,0)</f>
        <v>6</v>
      </c>
      <c r="F331" s="45">
        <f>VLOOKUP(B331,'112年全品項生產鍋數'!A:H,7,0)</f>
        <v>25</v>
      </c>
      <c r="G331" s="49">
        <f t="shared" si="30"/>
        <v>200</v>
      </c>
      <c r="H331" s="144">
        <v>200</v>
      </c>
      <c r="I331" s="46">
        <f t="shared" si="31"/>
        <v>1200</v>
      </c>
      <c r="J331" s="100">
        <f t="shared" si="32"/>
        <v>1</v>
      </c>
      <c r="K331" s="51">
        <f>VLOOKUP(B:B,'生產達成率(目標)'!A:C,3,0)</f>
        <v>1</v>
      </c>
      <c r="L331" s="20">
        <f t="shared" si="35"/>
        <v>0</v>
      </c>
      <c r="M331" s="235"/>
      <c r="N331" s="43"/>
      <c r="O331" s="150">
        <f t="shared" si="33"/>
        <v>2</v>
      </c>
      <c r="P331" s="43">
        <v>198</v>
      </c>
      <c r="Q331" s="27">
        <f t="shared" si="34"/>
        <v>0.99</v>
      </c>
      <c r="R331" s="23"/>
      <c r="S331" s="173"/>
      <c r="T331" s="30"/>
      <c r="U331" s="23"/>
      <c r="V331" s="458"/>
      <c r="W331" s="421"/>
      <c r="X331" s="458"/>
      <c r="Y331" s="421"/>
      <c r="Z331" s="421"/>
      <c r="AA331" s="421"/>
      <c r="AB331" s="421"/>
      <c r="AC331" s="421"/>
      <c r="AD331" s="421"/>
    </row>
    <row r="332" spans="1:30" s="22" customFormat="1" x14ac:dyDescent="0.4">
      <c r="A332" s="177" t="s">
        <v>730</v>
      </c>
      <c r="B332" s="149" t="s">
        <v>7</v>
      </c>
      <c r="C332" s="30" t="str">
        <f>VLOOKUP(B332,'112年全品項生產鍋數'!A:H,2,0)</f>
        <v>草莓蒟蒻餡(1*6kg)</v>
      </c>
      <c r="D332" s="285">
        <v>20</v>
      </c>
      <c r="E332" s="48">
        <f>VLOOKUP(B332,'112年全品項生產鍋數'!A:H,3,0)</f>
        <v>6</v>
      </c>
      <c r="F332" s="45">
        <f>VLOOKUP(B332,'112年全品項生產鍋數'!A:H,7,0)</f>
        <v>25.7</v>
      </c>
      <c r="G332" s="49">
        <f t="shared" si="30"/>
        <v>514</v>
      </c>
      <c r="H332" s="144">
        <v>514</v>
      </c>
      <c r="I332" s="46">
        <f t="shared" si="31"/>
        <v>3084</v>
      </c>
      <c r="J332" s="100">
        <f t="shared" si="32"/>
        <v>1</v>
      </c>
      <c r="K332" s="51">
        <f>VLOOKUP(B:B,'生產達成率(目標)'!A:C,3,0)</f>
        <v>1</v>
      </c>
      <c r="L332" s="20">
        <f t="shared" si="35"/>
        <v>0</v>
      </c>
      <c r="M332" s="235"/>
      <c r="N332" s="43"/>
      <c r="O332" s="150">
        <f t="shared" si="33"/>
        <v>3</v>
      </c>
      <c r="P332" s="43">
        <v>511</v>
      </c>
      <c r="Q332" s="27">
        <f t="shared" si="34"/>
        <v>0.99416342412451364</v>
      </c>
      <c r="R332" s="23"/>
      <c r="S332" s="173"/>
      <c r="T332" s="30"/>
      <c r="U332" s="23"/>
      <c r="V332" s="458"/>
      <c r="W332" s="421"/>
      <c r="X332" s="458"/>
      <c r="Y332" s="421"/>
      <c r="Z332" s="421"/>
      <c r="AA332" s="421"/>
      <c r="AB332" s="421"/>
      <c r="AC332" s="421"/>
      <c r="AD332" s="421"/>
    </row>
    <row r="333" spans="1:30" s="22" customFormat="1" x14ac:dyDescent="0.4">
      <c r="A333" s="177" t="s">
        <v>730</v>
      </c>
      <c r="B333" s="149" t="s">
        <v>9</v>
      </c>
      <c r="C333" s="30" t="str">
        <f>VLOOKUP(B333,'112年全品項生產鍋數'!A:H,2,0)</f>
        <v>＃1花生(1*2.8kg)</v>
      </c>
      <c r="D333" s="285">
        <v>48</v>
      </c>
      <c r="E333" s="48">
        <f>VLOOKUP(B333,'112年全品項生產鍋數'!A:H,3,0)</f>
        <v>2.8</v>
      </c>
      <c r="F333" s="45">
        <f>VLOOKUP(B333,'112年全品項生產鍋數'!A:H,7,0)</f>
        <v>44.5</v>
      </c>
      <c r="G333" s="49">
        <f t="shared" si="30"/>
        <v>2136</v>
      </c>
      <c r="H333" s="144">
        <v>2141</v>
      </c>
      <c r="I333" s="46">
        <f t="shared" si="31"/>
        <v>5994.7999999999993</v>
      </c>
      <c r="J333" s="100">
        <f t="shared" si="32"/>
        <v>1.0023408239700375</v>
      </c>
      <c r="K333" s="51">
        <f>VLOOKUP(B:B,'生產達成率(目標)'!A:C,3,0)</f>
        <v>1</v>
      </c>
      <c r="L333" s="20">
        <f t="shared" si="35"/>
        <v>2E-3</v>
      </c>
      <c r="M333" s="235"/>
      <c r="N333" s="43"/>
      <c r="O333" s="150">
        <f t="shared" si="33"/>
        <v>1</v>
      </c>
      <c r="P333" s="43">
        <v>2140</v>
      </c>
      <c r="Q333" s="27">
        <f t="shared" si="34"/>
        <v>0.9995329285380663</v>
      </c>
      <c r="R333" s="23"/>
      <c r="S333" s="173"/>
      <c r="T333" s="30"/>
      <c r="U333" s="23"/>
      <c r="V333" s="458"/>
      <c r="W333" s="421"/>
      <c r="X333" s="458"/>
      <c r="Y333" s="421"/>
      <c r="Z333" s="421"/>
      <c r="AA333" s="421"/>
      <c r="AB333" s="421"/>
      <c r="AC333" s="421"/>
      <c r="AD333" s="421"/>
    </row>
    <row r="334" spans="1:30" s="22" customFormat="1" x14ac:dyDescent="0.4">
      <c r="A334" s="177" t="s">
        <v>731</v>
      </c>
      <c r="B334" s="149" t="s">
        <v>15</v>
      </c>
      <c r="C334" s="30" t="str">
        <f>VLOOKUP(B334,'112年全品項生產鍋數'!A:H,2,0)</f>
        <v>＃1桔子(1*3.2kg)</v>
      </c>
      <c r="D334" s="285">
        <v>32</v>
      </c>
      <c r="E334" s="48">
        <f>VLOOKUP(B334,'112年全品項生產鍋數'!A:H,3,0)</f>
        <v>3.2</v>
      </c>
      <c r="F334" s="45">
        <f>VLOOKUP(B334,'112年全品項生產鍋數'!A:H,7,0)</f>
        <v>46.4</v>
      </c>
      <c r="G334" s="49">
        <f t="shared" si="30"/>
        <v>1484.8</v>
      </c>
      <c r="H334" s="144">
        <v>1477</v>
      </c>
      <c r="I334" s="46">
        <f t="shared" si="31"/>
        <v>4726.4000000000005</v>
      </c>
      <c r="J334" s="100">
        <f t="shared" si="32"/>
        <v>0.99474676724137934</v>
      </c>
      <c r="K334" s="51">
        <f>VLOOKUP(B:B,'生產達成率(目標)'!A:C,3,0)</f>
        <v>1</v>
      </c>
      <c r="L334" s="20">
        <f t="shared" si="35"/>
        <v>-5.0000000000000001E-3</v>
      </c>
      <c r="M334" s="235"/>
      <c r="N334" s="43"/>
      <c r="O334" s="150">
        <f t="shared" si="33"/>
        <v>1</v>
      </c>
      <c r="P334" s="43">
        <v>1476</v>
      </c>
      <c r="Q334" s="27">
        <f t="shared" si="34"/>
        <v>0.99932295192958698</v>
      </c>
      <c r="R334" s="23"/>
      <c r="S334" s="173"/>
      <c r="T334" s="30"/>
      <c r="U334" s="23"/>
      <c r="V334" s="458"/>
      <c r="W334" s="421"/>
      <c r="X334" s="458"/>
      <c r="Y334" s="421"/>
      <c r="Z334" s="421"/>
      <c r="AA334" s="421"/>
      <c r="AB334" s="421"/>
      <c r="AC334" s="421"/>
      <c r="AD334" s="421"/>
    </row>
    <row r="335" spans="1:30" s="22" customFormat="1" x14ac:dyDescent="0.4">
      <c r="A335" s="177" t="s">
        <v>731</v>
      </c>
      <c r="B335" s="149" t="s">
        <v>2</v>
      </c>
      <c r="C335" s="30" t="str">
        <f>VLOOKUP(B335,'112年全品項生產鍋數'!A:H,2,0)</f>
        <v>草莓醬(1*6kg)</v>
      </c>
      <c r="D335" s="285">
        <v>24</v>
      </c>
      <c r="E335" s="48">
        <f>VLOOKUP(B335,'112年全品項生產鍋數'!A:H,3,0)</f>
        <v>6</v>
      </c>
      <c r="F335" s="45">
        <f>VLOOKUP(B335,'112年全品項生產鍋數'!A:H,7,0)</f>
        <v>26.6</v>
      </c>
      <c r="G335" s="49">
        <f t="shared" si="30"/>
        <v>638.40000000000009</v>
      </c>
      <c r="H335" s="144">
        <v>636</v>
      </c>
      <c r="I335" s="46">
        <f t="shared" si="31"/>
        <v>3816</v>
      </c>
      <c r="J335" s="100">
        <f t="shared" si="32"/>
        <v>0.99624060150375926</v>
      </c>
      <c r="K335" s="51">
        <f>VLOOKUP(B:B,'生產達成率(目標)'!A:C,3,0)</f>
        <v>1</v>
      </c>
      <c r="L335" s="20">
        <f t="shared" si="35"/>
        <v>-4.0000000000000001E-3</v>
      </c>
      <c r="M335" s="235"/>
      <c r="N335" s="43"/>
      <c r="O335" s="150">
        <f t="shared" si="33"/>
        <v>2</v>
      </c>
      <c r="P335" s="43">
        <v>634</v>
      </c>
      <c r="Q335" s="27">
        <f t="shared" si="34"/>
        <v>0.99685534591194969</v>
      </c>
      <c r="R335" s="23"/>
      <c r="S335" s="173"/>
      <c r="T335" s="30"/>
      <c r="U335" s="23"/>
      <c r="V335" s="458"/>
      <c r="W335" s="421"/>
      <c r="X335" s="458"/>
      <c r="Y335" s="421"/>
      <c r="Z335" s="421"/>
      <c r="AA335" s="421"/>
      <c r="AB335" s="421"/>
      <c r="AC335" s="421"/>
      <c r="AD335" s="421"/>
    </row>
    <row r="336" spans="1:30" s="22" customFormat="1" x14ac:dyDescent="0.4">
      <c r="A336" s="177" t="s">
        <v>731</v>
      </c>
      <c r="B336" s="149" t="s">
        <v>134</v>
      </c>
      <c r="C336" s="30" t="str">
        <f>VLOOKUP(B336,'112年全品項生產鍋數'!A:H,2,0)</f>
        <v>草莓椰果餡(1*6Kg)</v>
      </c>
      <c r="D336" s="285">
        <v>12</v>
      </c>
      <c r="E336" s="48">
        <f>VLOOKUP(B336,'112年全品項生產鍋數'!A:H,3,0)</f>
        <v>6</v>
      </c>
      <c r="F336" s="45">
        <f>VLOOKUP(B336,'112年全品項生產鍋數'!A:H,7,0)</f>
        <v>26.4</v>
      </c>
      <c r="G336" s="49">
        <f t="shared" si="30"/>
        <v>316.79999999999995</v>
      </c>
      <c r="H336" s="144">
        <v>317</v>
      </c>
      <c r="I336" s="46">
        <f t="shared" si="31"/>
        <v>1902</v>
      </c>
      <c r="J336" s="100">
        <f t="shared" si="32"/>
        <v>1.0006313131313134</v>
      </c>
      <c r="K336" s="51">
        <f>VLOOKUP(B:B,'生產達成率(目標)'!A:C,3,0)</f>
        <v>1</v>
      </c>
      <c r="L336" s="20">
        <f t="shared" si="35"/>
        <v>1E-3</v>
      </c>
      <c r="M336" s="235"/>
      <c r="N336" s="43"/>
      <c r="O336" s="150">
        <f t="shared" si="33"/>
        <v>2</v>
      </c>
      <c r="P336" s="43">
        <v>315</v>
      </c>
      <c r="Q336" s="27">
        <f t="shared" si="34"/>
        <v>0.99369085173501581</v>
      </c>
      <c r="R336" s="23"/>
      <c r="S336" s="173"/>
      <c r="T336" s="30"/>
      <c r="U336" s="23"/>
      <c r="V336" s="458"/>
      <c r="W336" s="421"/>
      <c r="X336" s="458"/>
      <c r="Y336" s="421"/>
      <c r="Z336" s="421"/>
      <c r="AA336" s="421"/>
      <c r="AB336" s="421"/>
      <c r="AC336" s="421"/>
      <c r="AD336" s="421"/>
    </row>
    <row r="337" spans="1:30" s="22" customFormat="1" x14ac:dyDescent="0.4">
      <c r="A337" s="177" t="s">
        <v>731</v>
      </c>
      <c r="B337" s="149" t="s">
        <v>7</v>
      </c>
      <c r="C337" s="30" t="str">
        <f>VLOOKUP(B337,'112年全品項生產鍋數'!A:H,2,0)</f>
        <v>草莓蒟蒻餡(1*6kg)</v>
      </c>
      <c r="D337" s="285">
        <v>16</v>
      </c>
      <c r="E337" s="48">
        <f>VLOOKUP(B337,'112年全品項生產鍋數'!A:H,3,0)</f>
        <v>6</v>
      </c>
      <c r="F337" s="45">
        <f>VLOOKUP(B337,'112年全品項生產鍋數'!A:H,7,0)</f>
        <v>25.7</v>
      </c>
      <c r="G337" s="49">
        <f t="shared" si="30"/>
        <v>411.2</v>
      </c>
      <c r="H337" s="144">
        <v>410</v>
      </c>
      <c r="I337" s="46">
        <f t="shared" si="31"/>
        <v>2460</v>
      </c>
      <c r="J337" s="100">
        <f t="shared" si="32"/>
        <v>0.99708171206225682</v>
      </c>
      <c r="K337" s="51">
        <f>VLOOKUP(B:B,'生產達成率(目標)'!A:C,3,0)</f>
        <v>1</v>
      </c>
      <c r="L337" s="20">
        <f t="shared" si="35"/>
        <v>-3.0000000000000001E-3</v>
      </c>
      <c r="M337" s="235"/>
      <c r="N337" s="43"/>
      <c r="O337" s="150">
        <f t="shared" si="33"/>
        <v>2</v>
      </c>
      <c r="P337" s="43">
        <v>408</v>
      </c>
      <c r="Q337" s="27">
        <f t="shared" si="34"/>
        <v>0.99512195121951219</v>
      </c>
      <c r="R337" s="23"/>
      <c r="S337" s="173"/>
      <c r="T337" s="30"/>
      <c r="U337" s="23"/>
      <c r="V337" s="458"/>
      <c r="W337" s="421"/>
      <c r="X337" s="458"/>
      <c r="Y337" s="421"/>
      <c r="Z337" s="421"/>
      <c r="AA337" s="421"/>
      <c r="AB337" s="421"/>
      <c r="AC337" s="421"/>
      <c r="AD337" s="421"/>
    </row>
    <row r="338" spans="1:30" s="22" customFormat="1" x14ac:dyDescent="0.4">
      <c r="A338" s="177" t="s">
        <v>731</v>
      </c>
      <c r="B338" s="149" t="s">
        <v>139</v>
      </c>
      <c r="C338" s="30" t="str">
        <f>VLOOKUP(B338,'112年全品項生產鍋數'!A:H,2,0)</f>
        <v>草莓餡42°(1*6KG)</v>
      </c>
      <c r="D338" s="285">
        <v>12</v>
      </c>
      <c r="E338" s="48">
        <f>VLOOKUP(B338,'112年全品項生產鍋數'!A:H,3,0)</f>
        <v>6</v>
      </c>
      <c r="F338" s="45">
        <f>VLOOKUP(B338,'112年全品項生產鍋數'!A:H,7,0)</f>
        <v>25.2</v>
      </c>
      <c r="G338" s="49">
        <f t="shared" si="30"/>
        <v>302.39999999999998</v>
      </c>
      <c r="H338" s="144">
        <v>300</v>
      </c>
      <c r="I338" s="46">
        <f t="shared" si="31"/>
        <v>1800</v>
      </c>
      <c r="J338" s="100">
        <f t="shared" si="32"/>
        <v>0.99206349206349209</v>
      </c>
      <c r="K338" s="51">
        <f>VLOOKUP(B:B,'生產達成率(目標)'!A:C,3,0)</f>
        <v>1</v>
      </c>
      <c r="L338" s="20">
        <f t="shared" si="35"/>
        <v>-8.0000000000000002E-3</v>
      </c>
      <c r="M338" s="235"/>
      <c r="N338" s="43"/>
      <c r="O338" s="150">
        <f t="shared" si="33"/>
        <v>1</v>
      </c>
      <c r="P338" s="43">
        <v>299</v>
      </c>
      <c r="Q338" s="27">
        <f t="shared" si="34"/>
        <v>0.9966666666666667</v>
      </c>
      <c r="R338" s="23"/>
      <c r="S338" s="173"/>
      <c r="T338" s="30"/>
      <c r="U338" s="23"/>
      <c r="V338" s="458"/>
      <c r="W338" s="421"/>
      <c r="X338" s="458"/>
      <c r="Y338" s="421"/>
      <c r="Z338" s="421"/>
      <c r="AA338" s="421"/>
      <c r="AB338" s="421"/>
      <c r="AC338" s="421"/>
      <c r="AD338" s="421"/>
    </row>
    <row r="339" spans="1:30" s="22" customFormat="1" x14ac:dyDescent="0.4">
      <c r="A339" s="177" t="s">
        <v>731</v>
      </c>
      <c r="B339" s="149" t="s">
        <v>9</v>
      </c>
      <c r="C339" s="30" t="str">
        <f>VLOOKUP(B339,'112年全品項生產鍋數'!A:H,2,0)</f>
        <v>＃1花生(1*2.8kg)</v>
      </c>
      <c r="D339" s="285">
        <v>48</v>
      </c>
      <c r="E339" s="48">
        <f>VLOOKUP(B339,'112年全品項生產鍋數'!A:H,3,0)</f>
        <v>2.8</v>
      </c>
      <c r="F339" s="45">
        <f>VLOOKUP(B339,'112年全品項生產鍋數'!A:H,7,0)</f>
        <v>44.5</v>
      </c>
      <c r="G339" s="49">
        <f t="shared" si="30"/>
        <v>2136</v>
      </c>
      <c r="H339" s="144">
        <v>2149</v>
      </c>
      <c r="I339" s="46">
        <f t="shared" si="31"/>
        <v>6017.2</v>
      </c>
      <c r="J339" s="100">
        <f t="shared" si="32"/>
        <v>1.0060861423220975</v>
      </c>
      <c r="K339" s="51">
        <f>VLOOKUP(B:B,'生產達成率(目標)'!A:C,3,0)</f>
        <v>1</v>
      </c>
      <c r="L339" s="20">
        <f t="shared" si="35"/>
        <v>6.0000000000000001E-3</v>
      </c>
      <c r="M339" s="235"/>
      <c r="N339" s="43"/>
      <c r="O339" s="150">
        <f t="shared" si="33"/>
        <v>1</v>
      </c>
      <c r="P339" s="43">
        <v>2148</v>
      </c>
      <c r="Q339" s="27">
        <f t="shared" si="34"/>
        <v>0.99953466728711027</v>
      </c>
      <c r="R339" s="23"/>
      <c r="S339" s="173"/>
      <c r="T339" s="30"/>
      <c r="U339" s="23"/>
      <c r="V339" s="458"/>
      <c r="W339" s="421"/>
      <c r="X339" s="458"/>
      <c r="Y339" s="421"/>
      <c r="Z339" s="421"/>
      <c r="AA339" s="421"/>
      <c r="AB339" s="421"/>
      <c r="AC339" s="421"/>
      <c r="AD339" s="421"/>
    </row>
    <row r="340" spans="1:30" s="22" customFormat="1" x14ac:dyDescent="0.4">
      <c r="A340" s="177" t="s">
        <v>732</v>
      </c>
      <c r="B340" s="149" t="s">
        <v>12</v>
      </c>
      <c r="C340" s="30" t="str">
        <f>VLOOKUP(B340,'112年全品項生產鍋數'!A:H,2,0)</f>
        <v>＃1草莓(1*3.2kg)</v>
      </c>
      <c r="D340" s="285">
        <v>60</v>
      </c>
      <c r="E340" s="48">
        <f>VLOOKUP(B340,'112年全品項生產鍋數'!A:H,3,0)</f>
        <v>3.2</v>
      </c>
      <c r="F340" s="45">
        <f>VLOOKUP(B340,'112年全品項生產鍋數'!A:H,7,0)</f>
        <v>46.8</v>
      </c>
      <c r="G340" s="49">
        <f t="shared" si="30"/>
        <v>2808</v>
      </c>
      <c r="H340" s="153">
        <v>2813</v>
      </c>
      <c r="I340" s="46">
        <f t="shared" si="31"/>
        <v>9001.6</v>
      </c>
      <c r="J340" s="100">
        <f t="shared" si="32"/>
        <v>1.0017806267806268</v>
      </c>
      <c r="K340" s="51">
        <f>VLOOKUP(B:B,'生產達成率(目標)'!A:C,3,0)</f>
        <v>1</v>
      </c>
      <c r="L340" s="20">
        <f t="shared" si="35"/>
        <v>2E-3</v>
      </c>
      <c r="M340" s="235"/>
      <c r="N340" s="41"/>
      <c r="O340" s="150">
        <f t="shared" si="33"/>
        <v>2</v>
      </c>
      <c r="P340" s="41">
        <v>2811</v>
      </c>
      <c r="Q340" s="27">
        <f t="shared" si="34"/>
        <v>0.99928901528617131</v>
      </c>
      <c r="R340" s="23"/>
      <c r="S340" s="173"/>
      <c r="T340" s="30"/>
      <c r="U340" s="23"/>
      <c r="V340" s="458"/>
      <c r="W340" s="421"/>
      <c r="X340" s="458"/>
      <c r="Y340" s="421"/>
      <c r="Z340" s="421"/>
      <c r="AA340" s="421"/>
      <c r="AB340" s="421"/>
      <c r="AC340" s="421"/>
      <c r="AD340" s="421"/>
    </row>
    <row r="341" spans="1:30" s="22" customFormat="1" x14ac:dyDescent="0.4">
      <c r="A341" s="177" t="s">
        <v>732</v>
      </c>
      <c r="B341" s="149" t="s">
        <v>32</v>
      </c>
      <c r="C341" s="30" t="str">
        <f>VLOOKUP(B341,'112年全品項生產鍋數'!A:H,2,0)</f>
        <v>草莓醬(1*6Kg)</v>
      </c>
      <c r="D341" s="285">
        <v>24</v>
      </c>
      <c r="E341" s="48">
        <f>VLOOKUP(B341,'112年全品項生產鍋數'!A:H,3,0)</f>
        <v>6</v>
      </c>
      <c r="F341" s="45">
        <f>VLOOKUP(B341,'112年全品項生產鍋數'!A:H,7,0)</f>
        <v>25.5</v>
      </c>
      <c r="G341" s="49">
        <f t="shared" si="30"/>
        <v>612</v>
      </c>
      <c r="H341" s="153">
        <v>620</v>
      </c>
      <c r="I341" s="46">
        <f t="shared" si="31"/>
        <v>3720</v>
      </c>
      <c r="J341" s="100">
        <f t="shared" si="32"/>
        <v>1.0130718954248366</v>
      </c>
      <c r="K341" s="51">
        <f>VLOOKUP(B:B,'生產達成率(目標)'!A:C,3,0)</f>
        <v>1</v>
      </c>
      <c r="L341" s="20">
        <f t="shared" si="35"/>
        <v>1.2999999999999999E-2</v>
      </c>
      <c r="M341" s="235"/>
      <c r="N341" s="41"/>
      <c r="O341" s="150">
        <f t="shared" si="33"/>
        <v>1</v>
      </c>
      <c r="P341" s="41">
        <v>619</v>
      </c>
      <c r="Q341" s="27">
        <f t="shared" si="34"/>
        <v>0.99838709677419357</v>
      </c>
      <c r="R341" s="23"/>
      <c r="S341" s="173"/>
      <c r="T341" s="30"/>
      <c r="U341" s="23"/>
      <c r="V341" s="458"/>
      <c r="W341" s="421"/>
      <c r="X341" s="458"/>
      <c r="Y341" s="421"/>
      <c r="Z341" s="421"/>
      <c r="AA341" s="421"/>
      <c r="AB341" s="421"/>
      <c r="AC341" s="421"/>
      <c r="AD341" s="421"/>
    </row>
    <row r="342" spans="1:30" s="22" customFormat="1" x14ac:dyDescent="0.4">
      <c r="A342" s="177" t="s">
        <v>732</v>
      </c>
      <c r="B342" s="149" t="s">
        <v>72</v>
      </c>
      <c r="C342" s="30" t="str">
        <f>VLOOKUP(B342,'112年全品項生產鍋數'!A:H,2,0)</f>
        <v>草莓餡45%(1*6Kg)</v>
      </c>
      <c r="D342" s="285">
        <v>12</v>
      </c>
      <c r="E342" s="48">
        <f>VLOOKUP(B342,'112年全品項生產鍋數'!A:H,3,0)</f>
        <v>6</v>
      </c>
      <c r="F342" s="45">
        <f>VLOOKUP(B342,'112年全品項生產鍋數'!A:H,7,0)</f>
        <v>26.1</v>
      </c>
      <c r="G342" s="49">
        <f t="shared" si="30"/>
        <v>313.20000000000005</v>
      </c>
      <c r="H342" s="153">
        <v>314</v>
      </c>
      <c r="I342" s="46">
        <f t="shared" si="31"/>
        <v>1884</v>
      </c>
      <c r="J342" s="100">
        <f t="shared" si="32"/>
        <v>1.0025542784163473</v>
      </c>
      <c r="K342" s="51">
        <f>VLOOKUP(B:B,'生產達成率(目標)'!A:C,3,0)</f>
        <v>1</v>
      </c>
      <c r="L342" s="20">
        <f t="shared" si="35"/>
        <v>3.0000000000000001E-3</v>
      </c>
      <c r="M342" s="235"/>
      <c r="N342" s="41"/>
      <c r="O342" s="150">
        <f t="shared" si="33"/>
        <v>2</v>
      </c>
      <c r="P342" s="41">
        <v>312</v>
      </c>
      <c r="Q342" s="27">
        <f t="shared" si="34"/>
        <v>0.99363057324840764</v>
      </c>
      <c r="R342" s="28"/>
      <c r="S342" s="173"/>
      <c r="T342" s="30"/>
      <c r="U342" s="23"/>
      <c r="V342" s="458"/>
      <c r="W342" s="421"/>
      <c r="X342" s="458"/>
      <c r="Y342" s="421"/>
      <c r="Z342" s="421"/>
      <c r="AA342" s="421"/>
      <c r="AB342" s="421"/>
      <c r="AC342" s="421"/>
      <c r="AD342" s="421"/>
    </row>
    <row r="343" spans="1:30" s="22" customFormat="1" x14ac:dyDescent="0.4">
      <c r="A343" s="177" t="s">
        <v>732</v>
      </c>
      <c r="B343" s="149" t="s">
        <v>9</v>
      </c>
      <c r="C343" s="30" t="str">
        <f>VLOOKUP(B343,'112年全品項生產鍋數'!A:H,2,0)</f>
        <v>＃1花生(1*2.8kg)</v>
      </c>
      <c r="D343" s="285">
        <v>48</v>
      </c>
      <c r="E343" s="48">
        <f>VLOOKUP(B343,'112年全品項生產鍋數'!A:H,3,0)</f>
        <v>2.8</v>
      </c>
      <c r="F343" s="45">
        <f>VLOOKUP(B343,'112年全品項生產鍋數'!A:H,7,0)</f>
        <v>44.5</v>
      </c>
      <c r="G343" s="49">
        <f t="shared" si="30"/>
        <v>2136</v>
      </c>
      <c r="H343" s="153">
        <v>2140</v>
      </c>
      <c r="I343" s="46">
        <f t="shared" si="31"/>
        <v>5992</v>
      </c>
      <c r="J343" s="100">
        <f t="shared" si="32"/>
        <v>1.0018726591760299</v>
      </c>
      <c r="K343" s="51">
        <f>VLOOKUP(B:B,'生產達成率(目標)'!A:C,3,0)</f>
        <v>1</v>
      </c>
      <c r="L343" s="20">
        <f t="shared" si="35"/>
        <v>2E-3</v>
      </c>
      <c r="M343" s="235"/>
      <c r="N343" s="41"/>
      <c r="O343" s="150">
        <f t="shared" si="33"/>
        <v>1</v>
      </c>
      <c r="P343" s="41">
        <v>2139</v>
      </c>
      <c r="Q343" s="27">
        <f t="shared" si="34"/>
        <v>0.99953271028037383</v>
      </c>
      <c r="R343" s="23"/>
      <c r="S343" s="173"/>
      <c r="T343" s="30"/>
      <c r="U343" s="23"/>
      <c r="V343" s="458"/>
      <c r="W343" s="421"/>
      <c r="X343" s="458"/>
      <c r="Y343" s="421"/>
      <c r="Z343" s="421"/>
      <c r="AA343" s="421"/>
      <c r="AB343" s="421"/>
      <c r="AC343" s="421"/>
      <c r="AD343" s="421"/>
    </row>
    <row r="344" spans="1:30" s="22" customFormat="1" x14ac:dyDescent="0.4">
      <c r="A344" s="177" t="s">
        <v>733</v>
      </c>
      <c r="B344" s="149" t="s">
        <v>11</v>
      </c>
      <c r="C344" s="30" t="str">
        <f>VLOOKUP(B344,'112年全品項生產鍋數'!A:H,2,0)</f>
        <v>#2草莓果醬(1*900g)</v>
      </c>
      <c r="D344" s="285">
        <v>16</v>
      </c>
      <c r="E344" s="48">
        <f>VLOOKUP(B344,'112年全品項生產鍋數'!A:H,3,0)</f>
        <v>0.9</v>
      </c>
      <c r="F344" s="45">
        <f>VLOOKUP(B344,'112年全品項生產鍋數'!A:H,7,0)</f>
        <v>160.5</v>
      </c>
      <c r="G344" s="49">
        <f t="shared" si="30"/>
        <v>2568</v>
      </c>
      <c r="H344" s="153">
        <v>2535</v>
      </c>
      <c r="I344" s="46">
        <f t="shared" si="31"/>
        <v>2281.5</v>
      </c>
      <c r="J344" s="100">
        <f t="shared" si="32"/>
        <v>0.98714953271028039</v>
      </c>
      <c r="K344" s="51">
        <f>VLOOKUP(B:B,'生產達成率(目標)'!A:C,3,0)</f>
        <v>1</v>
      </c>
      <c r="L344" s="20">
        <f t="shared" si="35"/>
        <v>-1.2999999999999999E-2</v>
      </c>
      <c r="M344" s="235"/>
      <c r="N344" s="41"/>
      <c r="O344" s="150">
        <f t="shared" si="33"/>
        <v>3</v>
      </c>
      <c r="P344" s="41">
        <v>2532</v>
      </c>
      <c r="Q344" s="27">
        <f t="shared" si="34"/>
        <v>0.99881656804733732</v>
      </c>
      <c r="R344" s="23"/>
      <c r="S344" s="173"/>
      <c r="T344" s="30"/>
      <c r="U344" s="23"/>
      <c r="V344" s="458"/>
      <c r="W344" s="421"/>
      <c r="X344" s="458"/>
      <c r="Y344" s="421"/>
      <c r="Z344" s="421"/>
      <c r="AA344" s="421"/>
      <c r="AB344" s="421"/>
      <c r="AC344" s="421"/>
      <c r="AD344" s="421"/>
    </row>
    <row r="345" spans="1:30" s="22" customFormat="1" x14ac:dyDescent="0.4">
      <c r="A345" s="177" t="s">
        <v>733</v>
      </c>
      <c r="B345" s="149" t="s">
        <v>19</v>
      </c>
      <c r="C345" s="30" t="str">
        <f>VLOOKUP(B345,'112年全品項生產鍋數'!A:H,2,0)</f>
        <v>＃2藍莓(1*900g)</v>
      </c>
      <c r="D345" s="285">
        <v>12</v>
      </c>
      <c r="E345" s="48">
        <f>VLOOKUP(B345,'112年全品項生產鍋數'!A:H,3,0)</f>
        <v>0.9</v>
      </c>
      <c r="F345" s="45">
        <f>VLOOKUP(B345,'112年全品項生產鍋數'!A:H,7,0)</f>
        <v>163</v>
      </c>
      <c r="G345" s="49">
        <f t="shared" si="30"/>
        <v>1956</v>
      </c>
      <c r="H345" s="153">
        <v>1884</v>
      </c>
      <c r="I345" s="46">
        <f t="shared" si="31"/>
        <v>1695.6000000000001</v>
      </c>
      <c r="J345" s="100">
        <f t="shared" si="32"/>
        <v>0.96319018404907975</v>
      </c>
      <c r="K345" s="51">
        <f>VLOOKUP(B:B,'生產達成率(目標)'!A:C,3,0)</f>
        <v>1</v>
      </c>
      <c r="L345" s="20">
        <f t="shared" si="35"/>
        <v>-3.6999999999999998E-2</v>
      </c>
      <c r="M345" s="235"/>
      <c r="N345" s="41"/>
      <c r="O345" s="150">
        <f t="shared" si="33"/>
        <v>2</v>
      </c>
      <c r="P345" s="41">
        <v>1882</v>
      </c>
      <c r="Q345" s="27">
        <f t="shared" si="34"/>
        <v>0.99893842887473461</v>
      </c>
      <c r="R345" s="23"/>
      <c r="S345" s="173"/>
      <c r="T345" s="30"/>
      <c r="U345" s="23"/>
      <c r="V345" s="458"/>
      <c r="W345" s="421"/>
      <c r="X345" s="458"/>
      <c r="Y345" s="421"/>
      <c r="Z345" s="421"/>
      <c r="AA345" s="421"/>
      <c r="AB345" s="421"/>
      <c r="AC345" s="421"/>
      <c r="AD345" s="421"/>
    </row>
    <row r="346" spans="1:30" s="22" customFormat="1" x14ac:dyDescent="0.4">
      <c r="A346" s="177" t="s">
        <v>733</v>
      </c>
      <c r="B346" s="149" t="s">
        <v>41</v>
      </c>
      <c r="C346" s="30" t="str">
        <f>VLOOKUP(B346,'112年全品項生產鍋數'!A:H,2,0)</f>
        <v>天天開心藍莓餡4.5KG</v>
      </c>
      <c r="D346" s="285">
        <v>24</v>
      </c>
      <c r="E346" s="48">
        <f>VLOOKUP(B346,'112年全品項生產鍋數'!A:H,3,0)</f>
        <v>4.5</v>
      </c>
      <c r="F346" s="45">
        <f>VLOOKUP(B346,'112年全品項生產鍋數'!A:H,7,0)</f>
        <v>36.799999999999997</v>
      </c>
      <c r="G346" s="49">
        <f t="shared" si="30"/>
        <v>883.19999999999993</v>
      </c>
      <c r="H346" s="153">
        <v>889</v>
      </c>
      <c r="I346" s="46">
        <f t="shared" si="31"/>
        <v>4000.5</v>
      </c>
      <c r="J346" s="100">
        <f t="shared" si="32"/>
        <v>1.0065670289855073</v>
      </c>
      <c r="K346" s="51">
        <f>VLOOKUP(B:B,'生產達成率(目標)'!A:C,3,0)</f>
        <v>1</v>
      </c>
      <c r="L346" s="20">
        <f t="shared" si="35"/>
        <v>7.0000000000000001E-3</v>
      </c>
      <c r="M346" s="235"/>
      <c r="N346" s="41"/>
      <c r="O346" s="150">
        <f t="shared" si="33"/>
        <v>0</v>
      </c>
      <c r="P346" s="41">
        <v>889</v>
      </c>
      <c r="Q346" s="27">
        <f t="shared" si="34"/>
        <v>1</v>
      </c>
      <c r="R346" s="23"/>
      <c r="S346" s="173"/>
      <c r="T346" s="30"/>
      <c r="U346" s="23"/>
      <c r="V346" s="458"/>
      <c r="W346" s="421"/>
      <c r="X346" s="458"/>
      <c r="Y346" s="421"/>
      <c r="Z346" s="421"/>
      <c r="AA346" s="421"/>
      <c r="AB346" s="421"/>
      <c r="AC346" s="421"/>
      <c r="AD346" s="421"/>
    </row>
    <row r="347" spans="1:30" s="22" customFormat="1" x14ac:dyDescent="0.4">
      <c r="A347" s="177" t="s">
        <v>733</v>
      </c>
      <c r="B347" s="149" t="s">
        <v>8</v>
      </c>
      <c r="C347" s="30" t="str">
        <f>VLOOKUP(B347,'112年全品項生產鍋數'!A:H,2,0)</f>
        <v>藍莓餡(1*6KG)</v>
      </c>
      <c r="D347" s="285">
        <v>12</v>
      </c>
      <c r="E347" s="48">
        <f>VLOOKUP(B347,'112年全品項生產鍋數'!A:H,3,0)</f>
        <v>6</v>
      </c>
      <c r="F347" s="45">
        <f>VLOOKUP(B347,'112年全品項生產鍋數'!A:H,7,0)</f>
        <v>25.4</v>
      </c>
      <c r="G347" s="49">
        <f t="shared" si="30"/>
        <v>304.79999999999995</v>
      </c>
      <c r="H347" s="153">
        <v>300</v>
      </c>
      <c r="I347" s="46">
        <f t="shared" si="31"/>
        <v>1800</v>
      </c>
      <c r="J347" s="100">
        <f t="shared" si="32"/>
        <v>0.98425196850393715</v>
      </c>
      <c r="K347" s="51">
        <f>VLOOKUP(B:B,'生產達成率(目標)'!A:C,3,0)</f>
        <v>1</v>
      </c>
      <c r="L347" s="20">
        <f t="shared" si="35"/>
        <v>-1.6E-2</v>
      </c>
      <c r="M347" s="235"/>
      <c r="N347" s="41"/>
      <c r="O347" s="150">
        <f t="shared" si="33"/>
        <v>2</v>
      </c>
      <c r="P347" s="41">
        <v>298</v>
      </c>
      <c r="Q347" s="27">
        <f t="shared" si="34"/>
        <v>0.99333333333333329</v>
      </c>
      <c r="R347" s="23"/>
      <c r="S347" s="173"/>
      <c r="T347" s="30"/>
      <c r="U347" s="23"/>
      <c r="V347" s="458"/>
      <c r="W347" s="421"/>
      <c r="X347" s="458"/>
      <c r="Y347" s="421"/>
      <c r="Z347" s="421"/>
      <c r="AA347" s="421"/>
      <c r="AB347" s="421"/>
      <c r="AC347" s="421"/>
      <c r="AD347" s="421"/>
    </row>
    <row r="348" spans="1:30" s="22" customFormat="1" x14ac:dyDescent="0.4">
      <c r="A348" s="177" t="s">
        <v>733</v>
      </c>
      <c r="B348" s="149" t="s">
        <v>13</v>
      </c>
      <c r="C348" s="30" t="str">
        <f>VLOOKUP(B348,'112年全品項生產鍋數'!A:H,2,0)</f>
        <v>顆粒花生醬(1*12KG)</v>
      </c>
      <c r="D348" s="285">
        <v>18</v>
      </c>
      <c r="E348" s="48">
        <f>VLOOKUP(B348,'112年全品項生產鍋數'!A:H,3,0)</f>
        <v>3</v>
      </c>
      <c r="F348" s="45">
        <f>VLOOKUP(B348,'112年全品項生產鍋數'!A:H,7,0)</f>
        <v>29.7</v>
      </c>
      <c r="G348" s="49">
        <f t="shared" si="30"/>
        <v>534.6</v>
      </c>
      <c r="H348" s="153">
        <v>540</v>
      </c>
      <c r="I348" s="46">
        <f t="shared" si="31"/>
        <v>1620</v>
      </c>
      <c r="J348" s="100">
        <f t="shared" si="32"/>
        <v>1.0101010101010102</v>
      </c>
      <c r="K348" s="51">
        <f>VLOOKUP(B:B,'生產達成率(目標)'!A:C,3,0)</f>
        <v>1</v>
      </c>
      <c r="L348" s="20">
        <f t="shared" si="35"/>
        <v>0.01</v>
      </c>
      <c r="M348" s="235"/>
      <c r="N348" s="41"/>
      <c r="O348" s="150">
        <f t="shared" si="33"/>
        <v>0</v>
      </c>
      <c r="P348" s="41">
        <v>540</v>
      </c>
      <c r="Q348" s="27">
        <f t="shared" si="34"/>
        <v>1</v>
      </c>
      <c r="R348" s="23"/>
      <c r="S348" s="173"/>
      <c r="T348" s="30"/>
      <c r="U348" s="23"/>
      <c r="V348" s="458"/>
      <c r="W348" s="421"/>
      <c r="X348" s="458"/>
      <c r="Y348" s="421"/>
      <c r="Z348" s="421"/>
      <c r="AA348" s="421"/>
      <c r="AB348" s="421"/>
      <c r="AC348" s="421"/>
      <c r="AD348" s="421"/>
    </row>
    <row r="349" spans="1:30" s="22" customFormat="1" x14ac:dyDescent="0.4">
      <c r="A349" s="177" t="s">
        <v>734</v>
      </c>
      <c r="B349" s="149" t="s">
        <v>12</v>
      </c>
      <c r="C349" s="30" t="str">
        <f>VLOOKUP(B349,'112年全品項生產鍋數'!A:H,2,0)</f>
        <v>＃1草莓(1*3.2kg)</v>
      </c>
      <c r="D349" s="285">
        <v>60</v>
      </c>
      <c r="E349" s="48">
        <f>VLOOKUP(B349,'112年全品項生產鍋數'!A:H,3,0)</f>
        <v>3.2</v>
      </c>
      <c r="F349" s="45">
        <f>VLOOKUP(B349,'112年全品項生產鍋數'!A:H,7,0)</f>
        <v>46.8</v>
      </c>
      <c r="G349" s="49">
        <f t="shared" si="30"/>
        <v>2808</v>
      </c>
      <c r="H349" s="153">
        <v>2810</v>
      </c>
      <c r="I349" s="46">
        <f t="shared" si="31"/>
        <v>8992</v>
      </c>
      <c r="J349" s="100">
        <f t="shared" si="32"/>
        <v>1.0007122507122508</v>
      </c>
      <c r="K349" s="51">
        <f>VLOOKUP(B:B,'生產達成率(目標)'!A:C,3,0)</f>
        <v>1</v>
      </c>
      <c r="L349" s="20">
        <f t="shared" si="35"/>
        <v>1E-3</v>
      </c>
      <c r="M349" s="235"/>
      <c r="N349" s="41"/>
      <c r="O349" s="150">
        <f t="shared" si="33"/>
        <v>2</v>
      </c>
      <c r="P349" s="41">
        <v>2808</v>
      </c>
      <c r="Q349" s="27">
        <f t="shared" si="34"/>
        <v>0.99928825622775797</v>
      </c>
      <c r="R349" s="23"/>
      <c r="S349" s="173"/>
      <c r="T349" s="30"/>
      <c r="U349" s="23"/>
      <c r="V349" s="458"/>
      <c r="W349" s="421"/>
      <c r="X349" s="458"/>
      <c r="Y349" s="421"/>
      <c r="Z349" s="421"/>
      <c r="AA349" s="421"/>
      <c r="AB349" s="421"/>
      <c r="AC349" s="421"/>
      <c r="AD349" s="421"/>
    </row>
    <row r="350" spans="1:30" s="22" customFormat="1" x14ac:dyDescent="0.4">
      <c r="A350" s="177" t="s">
        <v>734</v>
      </c>
      <c r="B350" s="149" t="s">
        <v>14</v>
      </c>
      <c r="C350" s="30" t="str">
        <f>VLOOKUP(B350,'112年全品項生產鍋數'!A:H,2,0)</f>
        <v>草莓餡50°(1*6Kg)</v>
      </c>
      <c r="D350" s="285">
        <v>8</v>
      </c>
      <c r="E350" s="48">
        <f>VLOOKUP(B350,'112年全品項生產鍋數'!A:H,3,0)</f>
        <v>6</v>
      </c>
      <c r="F350" s="45">
        <f>VLOOKUP(B350,'112年全品項生產鍋數'!A:H,7,0)</f>
        <v>25</v>
      </c>
      <c r="G350" s="49">
        <f t="shared" si="30"/>
        <v>200</v>
      </c>
      <c r="H350" s="153">
        <v>198</v>
      </c>
      <c r="I350" s="46">
        <f t="shared" si="31"/>
        <v>1188</v>
      </c>
      <c r="J350" s="100">
        <f t="shared" si="32"/>
        <v>0.99</v>
      </c>
      <c r="K350" s="51">
        <f>VLOOKUP(B:B,'生產達成率(目標)'!A:C,3,0)</f>
        <v>1</v>
      </c>
      <c r="L350" s="20">
        <f t="shared" si="35"/>
        <v>-0.01</v>
      </c>
      <c r="M350" s="235"/>
      <c r="N350" s="41"/>
      <c r="O350" s="150">
        <f t="shared" si="33"/>
        <v>1</v>
      </c>
      <c r="P350" s="41">
        <v>197</v>
      </c>
      <c r="Q350" s="27">
        <f t="shared" si="34"/>
        <v>0.99494949494949492</v>
      </c>
      <c r="R350" s="23"/>
      <c r="S350" s="173"/>
      <c r="T350" s="30"/>
      <c r="U350" s="23"/>
      <c r="V350" s="458"/>
      <c r="W350" s="421"/>
      <c r="X350" s="458"/>
      <c r="Y350" s="421"/>
      <c r="Z350" s="421"/>
      <c r="AA350" s="421"/>
      <c r="AB350" s="421"/>
      <c r="AC350" s="421"/>
      <c r="AD350" s="421"/>
    </row>
    <row r="351" spans="1:30" s="22" customFormat="1" x14ac:dyDescent="0.4">
      <c r="A351" s="177" t="s">
        <v>734</v>
      </c>
      <c r="B351" s="149" t="s">
        <v>7</v>
      </c>
      <c r="C351" s="30" t="str">
        <f>VLOOKUP(B351,'112年全品項生產鍋數'!A:H,2,0)</f>
        <v>草莓蒟蒻餡(1*6kg)</v>
      </c>
      <c r="D351" s="285">
        <v>28</v>
      </c>
      <c r="E351" s="48">
        <f>VLOOKUP(B351,'112年全品項生產鍋數'!A:H,3,0)</f>
        <v>6</v>
      </c>
      <c r="F351" s="45">
        <f>VLOOKUP(B351,'112年全品項生產鍋數'!A:H,7,0)</f>
        <v>25.7</v>
      </c>
      <c r="G351" s="49">
        <f t="shared" si="30"/>
        <v>719.6</v>
      </c>
      <c r="H351" s="153">
        <v>717</v>
      </c>
      <c r="I351" s="46">
        <f t="shared" si="31"/>
        <v>4302</v>
      </c>
      <c r="J351" s="100">
        <f t="shared" si="32"/>
        <v>0.9963868816008894</v>
      </c>
      <c r="K351" s="51">
        <f>VLOOKUP(B:B,'生產達成率(目標)'!A:C,3,0)</f>
        <v>1</v>
      </c>
      <c r="L351" s="20">
        <f t="shared" si="35"/>
        <v>-4.0000000000000001E-3</v>
      </c>
      <c r="M351" s="235"/>
      <c r="N351" s="41"/>
      <c r="O351" s="150">
        <f t="shared" si="33"/>
        <v>5</v>
      </c>
      <c r="P351" s="41">
        <v>712</v>
      </c>
      <c r="Q351" s="27">
        <f t="shared" si="34"/>
        <v>0.99302649930264997</v>
      </c>
      <c r="R351" s="23"/>
      <c r="S351" s="173"/>
      <c r="T351" s="30"/>
      <c r="U351" s="23"/>
      <c r="V351" s="458"/>
      <c r="W351" s="421"/>
      <c r="X351" s="458"/>
      <c r="Y351" s="421"/>
      <c r="Z351" s="421"/>
      <c r="AA351" s="421"/>
      <c r="AB351" s="421"/>
      <c r="AC351" s="421"/>
      <c r="AD351" s="421"/>
    </row>
    <row r="352" spans="1:30" s="22" customFormat="1" x14ac:dyDescent="0.4">
      <c r="A352" s="177" t="s">
        <v>734</v>
      </c>
      <c r="B352" s="149" t="s">
        <v>23</v>
      </c>
      <c r="C352" s="30" t="str">
        <f>VLOOKUP(B352,'112年全品項生產鍋數'!A:H,2,0)</f>
        <v>＃1花生(粒)(1*2.8kg)</v>
      </c>
      <c r="D352" s="285">
        <v>20</v>
      </c>
      <c r="E352" s="48">
        <f>VLOOKUP(B352,'112年全品項生產鍋數'!A:H,3,0)</f>
        <v>2.8</v>
      </c>
      <c r="F352" s="45">
        <f>VLOOKUP(B352,'112年全品項生產鍋數'!A:H,7,0)</f>
        <v>44.2</v>
      </c>
      <c r="G352" s="49">
        <f t="shared" si="30"/>
        <v>884</v>
      </c>
      <c r="H352" s="153">
        <v>891</v>
      </c>
      <c r="I352" s="46">
        <f t="shared" si="31"/>
        <v>2494.7999999999997</v>
      </c>
      <c r="J352" s="100">
        <f t="shared" si="32"/>
        <v>1.0079185520361991</v>
      </c>
      <c r="K352" s="51">
        <f>VLOOKUP(B:B,'生產達成率(目標)'!A:C,3,0)</f>
        <v>1</v>
      </c>
      <c r="L352" s="20">
        <f t="shared" si="35"/>
        <v>8.0000000000000002E-3</v>
      </c>
      <c r="M352" s="235"/>
      <c r="N352" s="41"/>
      <c r="O352" s="150">
        <f t="shared" si="33"/>
        <v>1</v>
      </c>
      <c r="P352" s="41">
        <v>890</v>
      </c>
      <c r="Q352" s="27">
        <f t="shared" si="34"/>
        <v>0.99887766554433222</v>
      </c>
      <c r="R352" s="23"/>
      <c r="S352" s="173"/>
      <c r="T352" s="30"/>
      <c r="U352" s="23"/>
      <c r="V352" s="458"/>
      <c r="W352" s="421"/>
      <c r="X352" s="458"/>
      <c r="Y352" s="421"/>
      <c r="Z352" s="421"/>
      <c r="AA352" s="421"/>
      <c r="AB352" s="421"/>
      <c r="AC352" s="421"/>
      <c r="AD352" s="421"/>
    </row>
    <row r="353" spans="1:30" s="22" customFormat="1" x14ac:dyDescent="0.4">
      <c r="A353" s="177" t="s">
        <v>734</v>
      </c>
      <c r="B353" s="149" t="s">
        <v>17</v>
      </c>
      <c r="C353" s="30" t="str">
        <f>VLOOKUP(B353,'112年全品項生產鍋數'!A:H,2,0)</f>
        <v>顆粒花生醬(全)</v>
      </c>
      <c r="D353" s="285">
        <v>20</v>
      </c>
      <c r="E353" s="48">
        <f>VLOOKUP(B353,'112年全品項生產鍋數'!A:H,3,0)</f>
        <v>0.34</v>
      </c>
      <c r="F353" s="45">
        <f>VLOOKUP(B353,'112年全品項生產鍋數'!A:H,7,0)</f>
        <v>364.6</v>
      </c>
      <c r="G353" s="49">
        <f t="shared" si="30"/>
        <v>7292</v>
      </c>
      <c r="H353" s="153">
        <v>7181</v>
      </c>
      <c r="I353" s="46">
        <f t="shared" si="31"/>
        <v>2441.54</v>
      </c>
      <c r="J353" s="100">
        <f t="shared" si="32"/>
        <v>0.98477783872737246</v>
      </c>
      <c r="K353" s="51">
        <f>VLOOKUP(B:B,'生產達成率(目標)'!A:C,3,0)</f>
        <v>1</v>
      </c>
      <c r="L353" s="20">
        <f t="shared" si="35"/>
        <v>-1.4999999999999999E-2</v>
      </c>
      <c r="M353" s="235"/>
      <c r="N353" s="41"/>
      <c r="O353" s="150">
        <f t="shared" si="33"/>
        <v>6</v>
      </c>
      <c r="P353" s="41">
        <v>7175</v>
      </c>
      <c r="Q353" s="27">
        <f t="shared" si="34"/>
        <v>0.99916446177412621</v>
      </c>
      <c r="R353" s="23"/>
      <c r="S353" s="173"/>
      <c r="T353" s="30"/>
      <c r="U353" s="23"/>
      <c r="V353" s="458"/>
      <c r="W353" s="421"/>
      <c r="X353" s="458"/>
      <c r="Y353" s="421"/>
      <c r="Z353" s="421"/>
      <c r="AA353" s="421"/>
      <c r="AB353" s="421"/>
      <c r="AC353" s="421"/>
      <c r="AD353" s="421"/>
    </row>
    <row r="354" spans="1:30" s="22" customFormat="1" x14ac:dyDescent="0.4">
      <c r="A354" s="177" t="s">
        <v>735</v>
      </c>
      <c r="B354" s="149" t="s">
        <v>6</v>
      </c>
      <c r="C354" s="30" t="str">
        <f>VLOOKUP(B354,'112年全品項生產鍋數'!A:H,2,0)</f>
        <v>大圓草莓-新</v>
      </c>
      <c r="D354" s="285">
        <v>24</v>
      </c>
      <c r="E354" s="48">
        <f>VLOOKUP(B354,'112年全品項生產鍋數'!A:H,3,0)</f>
        <v>0.44</v>
      </c>
      <c r="F354" s="45">
        <f>VLOOKUP(B354,'112年全品項生產鍋數'!A:H,7,0)</f>
        <v>344</v>
      </c>
      <c r="G354" s="49">
        <f t="shared" si="30"/>
        <v>8256</v>
      </c>
      <c r="H354" s="153">
        <v>8105</v>
      </c>
      <c r="I354" s="46">
        <f t="shared" si="31"/>
        <v>3566.2</v>
      </c>
      <c r="J354" s="100">
        <f t="shared" si="32"/>
        <v>0.98171027131782951</v>
      </c>
      <c r="K354" s="51">
        <f>VLOOKUP(B:B,'生產達成率(目標)'!A:C,3,0)</f>
        <v>1</v>
      </c>
      <c r="L354" s="20">
        <f t="shared" si="35"/>
        <v>-1.7999999999999999E-2</v>
      </c>
      <c r="M354" s="235"/>
      <c r="N354" s="41"/>
      <c r="O354" s="150">
        <f t="shared" si="33"/>
        <v>5</v>
      </c>
      <c r="P354" s="41">
        <v>8100</v>
      </c>
      <c r="Q354" s="27">
        <f t="shared" si="34"/>
        <v>0.99938309685379401</v>
      </c>
      <c r="R354" s="23"/>
      <c r="S354" s="173"/>
      <c r="T354" s="30"/>
      <c r="U354" s="23"/>
      <c r="V354" s="458"/>
      <c r="W354" s="421"/>
      <c r="X354" s="458"/>
      <c r="Y354" s="421"/>
      <c r="Z354" s="421"/>
      <c r="AA354" s="421"/>
      <c r="AB354" s="421"/>
      <c r="AC354" s="421"/>
      <c r="AD354" s="421"/>
    </row>
    <row r="355" spans="1:30" s="22" customFormat="1" x14ac:dyDescent="0.4">
      <c r="A355" s="177" t="s">
        <v>735</v>
      </c>
      <c r="B355" s="149" t="s">
        <v>21</v>
      </c>
      <c r="C355" s="30" t="str">
        <f>VLOOKUP(B355,'112年全品項生產鍋數'!A:H,2,0)</f>
        <v>梨山草莓果醬(1*430g)</v>
      </c>
      <c r="D355" s="285">
        <v>8</v>
      </c>
      <c r="E355" s="48">
        <f>VLOOKUP(B355,'112年全品項生產鍋數'!A:H,3,0)</f>
        <v>0.43</v>
      </c>
      <c r="F355" s="45">
        <f>VLOOKUP(B355,'112年全品項生產鍋數'!A:H,7,0)</f>
        <v>340.4</v>
      </c>
      <c r="G355" s="49">
        <f t="shared" si="30"/>
        <v>2723.2</v>
      </c>
      <c r="H355" s="153">
        <v>2653</v>
      </c>
      <c r="I355" s="46">
        <f t="shared" si="31"/>
        <v>1140.79</v>
      </c>
      <c r="J355" s="100">
        <f t="shared" si="32"/>
        <v>0.9742215041128085</v>
      </c>
      <c r="K355" s="51">
        <f>VLOOKUP(B:B,'生產達成率(目標)'!A:C,3,0)</f>
        <v>1</v>
      </c>
      <c r="L355" s="20">
        <f t="shared" si="35"/>
        <v>-2.5999999999999999E-2</v>
      </c>
      <c r="M355" s="235"/>
      <c r="N355" s="41"/>
      <c r="O355" s="150">
        <f t="shared" si="33"/>
        <v>11</v>
      </c>
      <c r="P355" s="41">
        <v>2642</v>
      </c>
      <c r="Q355" s="27">
        <f t="shared" si="34"/>
        <v>0.99585375047116476</v>
      </c>
      <c r="R355" s="23"/>
      <c r="S355" s="173"/>
      <c r="T355" s="30"/>
      <c r="U355" s="23"/>
      <c r="V355" s="458"/>
      <c r="W355" s="421"/>
      <c r="X355" s="458"/>
      <c r="Y355" s="421"/>
      <c r="Z355" s="421"/>
      <c r="AA355" s="421"/>
      <c r="AB355" s="421"/>
      <c r="AC355" s="421"/>
      <c r="AD355" s="421"/>
    </row>
    <row r="356" spans="1:30" s="22" customFormat="1" x14ac:dyDescent="0.4">
      <c r="A356" s="177" t="s">
        <v>735</v>
      </c>
      <c r="B356" s="149" t="s">
        <v>355</v>
      </c>
      <c r="C356" s="30" t="str">
        <f>VLOOKUP(B356,'112年全品項生產鍋數'!A:H,2,0)</f>
        <v>蘋果餡(1*6Kg)</v>
      </c>
      <c r="D356" s="285">
        <v>8</v>
      </c>
      <c r="E356" s="48">
        <f>VLOOKUP(B356,'112年全品項生產鍋數'!A:H,3,0)</f>
        <v>6</v>
      </c>
      <c r="F356" s="45">
        <f>VLOOKUP(B356,'112年全品項生產鍋數'!A:H,7,0)</f>
        <v>25.3</v>
      </c>
      <c r="G356" s="49">
        <f t="shared" si="30"/>
        <v>202.4</v>
      </c>
      <c r="H356" s="153">
        <v>200</v>
      </c>
      <c r="I356" s="46">
        <f t="shared" si="31"/>
        <v>1200</v>
      </c>
      <c r="J356" s="100">
        <f t="shared" si="32"/>
        <v>0.98814229249011853</v>
      </c>
      <c r="K356" s="51">
        <f>VLOOKUP(B:B,'生產達成率(目標)'!A:C,3,0)</f>
        <v>1</v>
      </c>
      <c r="L356" s="20">
        <f t="shared" si="35"/>
        <v>-1.2E-2</v>
      </c>
      <c r="M356" s="235"/>
      <c r="N356" s="41"/>
      <c r="O356" s="150">
        <f t="shared" si="33"/>
        <v>1</v>
      </c>
      <c r="P356" s="41">
        <v>199</v>
      </c>
      <c r="Q356" s="27">
        <f t="shared" si="34"/>
        <v>0.995</v>
      </c>
      <c r="R356" s="23"/>
      <c r="S356" s="173"/>
      <c r="T356" s="30"/>
      <c r="U356" s="23"/>
      <c r="V356" s="458"/>
      <c r="W356" s="421"/>
      <c r="X356" s="458"/>
      <c r="Y356" s="421"/>
      <c r="Z356" s="421"/>
      <c r="AA356" s="421"/>
      <c r="AB356" s="421"/>
      <c r="AC356" s="421"/>
      <c r="AD356" s="421"/>
    </row>
    <row r="357" spans="1:30" s="22" customFormat="1" x14ac:dyDescent="0.4">
      <c r="A357" s="177" t="s">
        <v>735</v>
      </c>
      <c r="B357" s="149" t="s">
        <v>7</v>
      </c>
      <c r="C357" s="30" t="str">
        <f>VLOOKUP(B357,'112年全品項生產鍋數'!A:H,2,0)</f>
        <v>草莓蒟蒻餡(1*6kg)</v>
      </c>
      <c r="D357" s="285">
        <v>28</v>
      </c>
      <c r="E357" s="48">
        <f>VLOOKUP(B357,'112年全品項生產鍋數'!A:H,3,0)</f>
        <v>6</v>
      </c>
      <c r="F357" s="45">
        <f>VLOOKUP(B357,'112年全品項生產鍋數'!A:H,7,0)</f>
        <v>25.7</v>
      </c>
      <c r="G357" s="49">
        <f t="shared" si="30"/>
        <v>719.6</v>
      </c>
      <c r="H357" s="153">
        <v>720</v>
      </c>
      <c r="I357" s="46">
        <f t="shared" si="31"/>
        <v>4320</v>
      </c>
      <c r="J357" s="100">
        <f t="shared" si="32"/>
        <v>1.0005558643690939</v>
      </c>
      <c r="K357" s="51">
        <f>VLOOKUP(B:B,'生產達成率(目標)'!A:C,3,0)</f>
        <v>1</v>
      </c>
      <c r="L357" s="20">
        <f t="shared" si="35"/>
        <v>1E-3</v>
      </c>
      <c r="M357" s="235"/>
      <c r="N357" s="41"/>
      <c r="O357" s="150">
        <f t="shared" si="33"/>
        <v>4</v>
      </c>
      <c r="P357" s="41">
        <v>716</v>
      </c>
      <c r="Q357" s="27">
        <f t="shared" si="34"/>
        <v>0.99444444444444446</v>
      </c>
      <c r="R357" s="23"/>
      <c r="S357" s="173"/>
      <c r="T357" s="30"/>
      <c r="U357" s="23"/>
      <c r="V357" s="458"/>
      <c r="W357" s="421"/>
      <c r="X357" s="458"/>
      <c r="Y357" s="421"/>
      <c r="Z357" s="421"/>
      <c r="AA357" s="421"/>
      <c r="AB357" s="421"/>
      <c r="AC357" s="421"/>
      <c r="AD357" s="421"/>
    </row>
    <row r="358" spans="1:30" s="22" customFormat="1" x14ac:dyDescent="0.4">
      <c r="A358" s="177" t="s">
        <v>735</v>
      </c>
      <c r="B358" s="149" t="s">
        <v>141</v>
      </c>
      <c r="C358" s="30" t="str">
        <f>VLOOKUP(B358,'112年全品項生產鍋數'!A:H,2,0)</f>
        <v>顆粒花生醬(1*12KG)</v>
      </c>
      <c r="D358" s="285">
        <v>18</v>
      </c>
      <c r="E358" s="48">
        <f>VLOOKUP(B358,'112年全品項生產鍋數'!A:H,3,0)</f>
        <v>3</v>
      </c>
      <c r="F358" s="45">
        <f>VLOOKUP(B358,'112年全品項生產鍋數'!A:H,7,0)</f>
        <v>30.8</v>
      </c>
      <c r="G358" s="49">
        <f t="shared" si="30"/>
        <v>554.4</v>
      </c>
      <c r="H358" s="153">
        <v>556</v>
      </c>
      <c r="I358" s="46">
        <f t="shared" si="31"/>
        <v>1668</v>
      </c>
      <c r="J358" s="100">
        <f t="shared" si="32"/>
        <v>1.0028860028860029</v>
      </c>
      <c r="K358" s="51">
        <f>VLOOKUP(B:B,'生產達成率(目標)'!A:C,3,0)</f>
        <v>1</v>
      </c>
      <c r="L358" s="20">
        <f t="shared" si="35"/>
        <v>3.0000000000000001E-3</v>
      </c>
      <c r="M358" s="235"/>
      <c r="N358" s="41"/>
      <c r="O358" s="150">
        <f t="shared" si="33"/>
        <v>0</v>
      </c>
      <c r="P358" s="41">
        <v>556</v>
      </c>
      <c r="Q358" s="27">
        <f t="shared" si="34"/>
        <v>1</v>
      </c>
      <c r="R358" s="23"/>
      <c r="S358" s="173"/>
      <c r="T358" s="30"/>
      <c r="U358" s="23"/>
      <c r="V358" s="458"/>
      <c r="W358" s="421"/>
      <c r="X358" s="458"/>
      <c r="Y358" s="421"/>
      <c r="Z358" s="421"/>
      <c r="AA358" s="421"/>
      <c r="AB358" s="421"/>
      <c r="AC358" s="421"/>
      <c r="AD358" s="421"/>
    </row>
    <row r="359" spans="1:30" s="22" customFormat="1" x14ac:dyDescent="0.4">
      <c r="A359" s="177" t="s">
        <v>736</v>
      </c>
      <c r="B359" s="149" t="s">
        <v>1</v>
      </c>
      <c r="C359" s="30" t="str">
        <f>VLOOKUP(B359,'112年全品項生產鍋數'!A:H,2,0)</f>
        <v>藍莓醬(1*6kg)</v>
      </c>
      <c r="D359" s="285">
        <v>18</v>
      </c>
      <c r="E359" s="48">
        <f>VLOOKUP(B359,'112年全品項生產鍋數'!A:H,3,0)</f>
        <v>6</v>
      </c>
      <c r="F359" s="45">
        <f>VLOOKUP(B359,'112年全品項生產鍋數'!A:H,7,0)</f>
        <v>25.5</v>
      </c>
      <c r="G359" s="49">
        <f t="shared" si="30"/>
        <v>459</v>
      </c>
      <c r="H359" s="153">
        <v>450</v>
      </c>
      <c r="I359" s="46">
        <f t="shared" si="31"/>
        <v>2700</v>
      </c>
      <c r="J359" s="100">
        <f t="shared" si="32"/>
        <v>0.98039215686274506</v>
      </c>
      <c r="K359" s="51">
        <f>VLOOKUP(B:B,'生產達成率(目標)'!A:C,3,0)</f>
        <v>1</v>
      </c>
      <c r="L359" s="20">
        <f t="shared" si="35"/>
        <v>-0.02</v>
      </c>
      <c r="M359" s="235"/>
      <c r="N359" s="41"/>
      <c r="O359" s="150">
        <f t="shared" si="33"/>
        <v>1</v>
      </c>
      <c r="P359" s="41">
        <v>449</v>
      </c>
      <c r="Q359" s="27">
        <f t="shared" si="34"/>
        <v>0.99777777777777776</v>
      </c>
      <c r="R359" s="23"/>
      <c r="S359" s="173"/>
      <c r="T359" s="30"/>
      <c r="U359" s="23"/>
      <c r="V359" s="458"/>
      <c r="W359" s="421"/>
      <c r="X359" s="458"/>
      <c r="Y359" s="421"/>
      <c r="Z359" s="421"/>
      <c r="AA359" s="421"/>
      <c r="AB359" s="421"/>
      <c r="AC359" s="421"/>
      <c r="AD359" s="421"/>
    </row>
    <row r="360" spans="1:30" s="22" customFormat="1" x14ac:dyDescent="0.4">
      <c r="A360" s="177" t="s">
        <v>736</v>
      </c>
      <c r="B360" s="149" t="s">
        <v>26</v>
      </c>
      <c r="C360" s="30" t="str">
        <f>VLOOKUP(B360,'112年全品項生產鍋數'!A:H,2,0)</f>
        <v>蔓越莓醬(1*6KG)</v>
      </c>
      <c r="D360" s="285">
        <v>18</v>
      </c>
      <c r="E360" s="48">
        <f>VLOOKUP(B360,'112年全品項生產鍋數'!A:H,3,0)</f>
        <v>6</v>
      </c>
      <c r="F360" s="45">
        <f>VLOOKUP(B360,'112年全品項生產鍋數'!A:H,7,0)</f>
        <v>25.6</v>
      </c>
      <c r="G360" s="49">
        <f t="shared" si="30"/>
        <v>460.8</v>
      </c>
      <c r="H360" s="153">
        <v>463</v>
      </c>
      <c r="I360" s="46">
        <f t="shared" si="31"/>
        <v>2778</v>
      </c>
      <c r="J360" s="100">
        <f t="shared" si="32"/>
        <v>1.0047743055555556</v>
      </c>
      <c r="K360" s="51">
        <f>VLOOKUP(B:B,'生產達成率(目標)'!A:C,3,0)</f>
        <v>1</v>
      </c>
      <c r="L360" s="20">
        <f t="shared" si="35"/>
        <v>5.0000000000000001E-3</v>
      </c>
      <c r="M360" s="235"/>
      <c r="N360" s="41"/>
      <c r="O360" s="150">
        <f t="shared" si="33"/>
        <v>2</v>
      </c>
      <c r="P360" s="41">
        <v>461</v>
      </c>
      <c r="Q360" s="27">
        <f t="shared" si="34"/>
        <v>0.99568034557235419</v>
      </c>
      <c r="R360" s="23"/>
      <c r="S360" s="173"/>
      <c r="T360" s="30"/>
      <c r="U360" s="23"/>
      <c r="V360" s="458"/>
      <c r="W360" s="421"/>
      <c r="X360" s="458"/>
      <c r="Y360" s="421"/>
      <c r="Z360" s="421"/>
      <c r="AA360" s="421"/>
      <c r="AB360" s="421"/>
      <c r="AC360" s="421"/>
      <c r="AD360" s="421"/>
    </row>
    <row r="361" spans="1:30" s="22" customFormat="1" x14ac:dyDescent="0.4">
      <c r="A361" s="177" t="s">
        <v>736</v>
      </c>
      <c r="B361" s="149" t="s">
        <v>4</v>
      </c>
      <c r="C361" s="30" t="str">
        <f>VLOOKUP(B361,'112年全品項生產鍋數'!A:H,2,0)</f>
        <v>PET大花生(1*400g)</v>
      </c>
      <c r="D361" s="285">
        <v>20</v>
      </c>
      <c r="E361" s="48">
        <f>VLOOKUP(B361,'112年全品項生產鍋數'!A:H,3,0)</f>
        <v>0.4</v>
      </c>
      <c r="F361" s="45">
        <f>VLOOKUP(B361,'112年全品項生產鍋數'!A:H,7,0)</f>
        <v>309.2</v>
      </c>
      <c r="G361" s="49">
        <f t="shared" si="30"/>
        <v>6184</v>
      </c>
      <c r="H361" s="153">
        <v>6109</v>
      </c>
      <c r="I361" s="46">
        <f t="shared" si="31"/>
        <v>2443.6</v>
      </c>
      <c r="J361" s="100">
        <f t="shared" si="32"/>
        <v>0.98787192755498054</v>
      </c>
      <c r="K361" s="51">
        <f>VLOOKUP(B:B,'生產達成率(目標)'!A:C,3,0)</f>
        <v>1</v>
      </c>
      <c r="L361" s="20">
        <f t="shared" si="35"/>
        <v>-1.2E-2</v>
      </c>
      <c r="M361" s="235"/>
      <c r="N361" s="41"/>
      <c r="O361" s="150">
        <f t="shared" si="33"/>
        <v>3</v>
      </c>
      <c r="P361" s="41">
        <v>6106</v>
      </c>
      <c r="Q361" s="27">
        <f t="shared" si="34"/>
        <v>0.99950892126370927</v>
      </c>
      <c r="R361" s="23"/>
      <c r="S361" s="173"/>
      <c r="T361" s="30"/>
      <c r="U361" s="23"/>
      <c r="V361" s="458"/>
      <c r="W361" s="421"/>
      <c r="X361" s="458"/>
      <c r="Y361" s="421"/>
      <c r="Z361" s="421"/>
      <c r="AA361" s="421"/>
      <c r="AB361" s="421"/>
      <c r="AC361" s="421"/>
      <c r="AD361" s="421"/>
    </row>
    <row r="362" spans="1:30" s="22" customFormat="1" x14ac:dyDescent="0.4">
      <c r="A362" s="177" t="s">
        <v>737</v>
      </c>
      <c r="B362" s="149" t="s">
        <v>12</v>
      </c>
      <c r="C362" s="30" t="str">
        <f>VLOOKUP(B362,'112年全品項生產鍋數'!A:H,2,0)</f>
        <v>＃1草莓(1*3.2kg)</v>
      </c>
      <c r="D362" s="285">
        <v>60</v>
      </c>
      <c r="E362" s="48">
        <f>VLOOKUP(B362,'112年全品項生產鍋數'!A:H,3,0)</f>
        <v>3.2</v>
      </c>
      <c r="F362" s="45">
        <f>VLOOKUP(B362,'112年全品項生產鍋數'!A:H,7,0)</f>
        <v>46.8</v>
      </c>
      <c r="G362" s="49">
        <f t="shared" si="30"/>
        <v>2808</v>
      </c>
      <c r="H362" s="153">
        <v>2813</v>
      </c>
      <c r="I362" s="46">
        <f t="shared" si="31"/>
        <v>9001.6</v>
      </c>
      <c r="J362" s="100">
        <f t="shared" si="32"/>
        <v>1.0017806267806268</v>
      </c>
      <c r="K362" s="51">
        <f>VLOOKUP(B:B,'生產達成率(目標)'!A:C,3,0)</f>
        <v>1</v>
      </c>
      <c r="L362" s="20">
        <f t="shared" si="35"/>
        <v>2E-3</v>
      </c>
      <c r="M362" s="235"/>
      <c r="N362" s="41"/>
      <c r="O362" s="150">
        <f t="shared" si="33"/>
        <v>2</v>
      </c>
      <c r="P362" s="41">
        <v>2811</v>
      </c>
      <c r="Q362" s="27">
        <f t="shared" si="34"/>
        <v>0.99928901528617131</v>
      </c>
      <c r="R362" s="23"/>
      <c r="S362" s="173"/>
      <c r="T362" s="30"/>
      <c r="U362" s="23"/>
      <c r="V362" s="458"/>
      <c r="W362" s="421"/>
      <c r="X362" s="458"/>
      <c r="Y362" s="421"/>
      <c r="Z362" s="421"/>
      <c r="AA362" s="421"/>
      <c r="AB362" s="421"/>
      <c r="AC362" s="421"/>
      <c r="AD362" s="421"/>
    </row>
    <row r="363" spans="1:30" s="22" customFormat="1" x14ac:dyDescent="0.4">
      <c r="A363" s="177" t="s">
        <v>737</v>
      </c>
      <c r="B363" s="149" t="s">
        <v>38</v>
      </c>
      <c r="C363" s="30" t="str">
        <f>VLOOKUP(B363,'112年全品項生產鍋數'!A:H,2,0)</f>
        <v>藍莓餡（小）(1*4.5kg)</v>
      </c>
      <c r="D363" s="285">
        <v>4</v>
      </c>
      <c r="E363" s="48">
        <f>VLOOKUP(B363,'112年全品項生產鍋數'!A:H,3,0)</f>
        <v>4.5</v>
      </c>
      <c r="F363" s="45">
        <f>VLOOKUP(B363,'112年全品項生產鍋數'!A:H,7,0)</f>
        <v>35</v>
      </c>
      <c r="G363" s="49">
        <f t="shared" si="30"/>
        <v>140</v>
      </c>
      <c r="H363" s="153">
        <v>141</v>
      </c>
      <c r="I363" s="46">
        <f t="shared" si="31"/>
        <v>634.5</v>
      </c>
      <c r="J363" s="100">
        <f t="shared" si="32"/>
        <v>1.0071428571428571</v>
      </c>
      <c r="K363" s="51">
        <f>VLOOKUP(B:B,'生產達成率(目標)'!A:C,3,0)</f>
        <v>1</v>
      </c>
      <c r="L363" s="20">
        <f t="shared" si="35"/>
        <v>7.0000000000000001E-3</v>
      </c>
      <c r="M363" s="235"/>
      <c r="N363" s="41"/>
      <c r="O363" s="150">
        <f t="shared" si="33"/>
        <v>0</v>
      </c>
      <c r="P363" s="41">
        <v>141</v>
      </c>
      <c r="Q363" s="27">
        <f t="shared" si="34"/>
        <v>1</v>
      </c>
      <c r="R363" s="23"/>
      <c r="S363" s="173"/>
      <c r="T363" s="30"/>
      <c r="U363" s="23"/>
      <c r="V363" s="458"/>
      <c r="W363" s="421"/>
      <c r="X363" s="458"/>
      <c r="Y363" s="421"/>
      <c r="Z363" s="421"/>
      <c r="AA363" s="421"/>
      <c r="AB363" s="421"/>
      <c r="AC363" s="421"/>
      <c r="AD363" s="421"/>
    </row>
    <row r="364" spans="1:30" s="22" customFormat="1" x14ac:dyDescent="0.4">
      <c r="A364" s="177" t="s">
        <v>737</v>
      </c>
      <c r="B364" s="149" t="s">
        <v>39</v>
      </c>
      <c r="C364" s="30" t="str">
        <f>VLOOKUP(B364,'112年全品項生產鍋數'!A:H,2,0)</f>
        <v>藍莓餡（大）(1*9.08kg)</v>
      </c>
      <c r="D364" s="285">
        <v>8</v>
      </c>
      <c r="E364" s="48">
        <f>VLOOKUP(B364,'112年全品項生產鍋數'!A:H,3,0)</f>
        <v>9.08</v>
      </c>
      <c r="F364" s="45">
        <f>VLOOKUP(B364,'112年全品項生產鍋數'!A:H,7,0)</f>
        <v>17.8</v>
      </c>
      <c r="G364" s="49">
        <f t="shared" si="30"/>
        <v>142.4</v>
      </c>
      <c r="H364" s="153">
        <v>145</v>
      </c>
      <c r="I364" s="46">
        <f t="shared" si="31"/>
        <v>1316.6</v>
      </c>
      <c r="J364" s="100">
        <f t="shared" si="32"/>
        <v>1.018258426966292</v>
      </c>
      <c r="K364" s="51">
        <f>VLOOKUP(B:B,'生產達成率(目標)'!A:C,3,0)</f>
        <v>1</v>
      </c>
      <c r="L364" s="20">
        <f t="shared" si="35"/>
        <v>1.7999999999999999E-2</v>
      </c>
      <c r="M364" s="235"/>
      <c r="N364" s="41"/>
      <c r="O364" s="150">
        <f t="shared" si="33"/>
        <v>0</v>
      </c>
      <c r="P364" s="41">
        <v>145</v>
      </c>
      <c r="Q364" s="27">
        <f t="shared" si="34"/>
        <v>1</v>
      </c>
      <c r="R364" s="23"/>
      <c r="S364" s="173"/>
      <c r="T364" s="30" t="s">
        <v>372</v>
      </c>
      <c r="U364" s="23"/>
      <c r="V364" s="458"/>
      <c r="W364" s="421"/>
      <c r="X364" s="458"/>
      <c r="Y364" s="421"/>
      <c r="Z364" s="421"/>
      <c r="AA364" s="421"/>
      <c r="AB364" s="421"/>
      <c r="AC364" s="421"/>
      <c r="AD364" s="421"/>
    </row>
    <row r="365" spans="1:30" s="22" customFormat="1" x14ac:dyDescent="0.4">
      <c r="A365" s="177" t="s">
        <v>737</v>
      </c>
      <c r="B365" s="149" t="s">
        <v>7</v>
      </c>
      <c r="C365" s="30" t="str">
        <f>VLOOKUP(B365,'112年全品項生產鍋數'!A:H,2,0)</f>
        <v>草莓蒟蒻餡(1*6kg)</v>
      </c>
      <c r="D365" s="285">
        <v>24</v>
      </c>
      <c r="E365" s="48">
        <f>VLOOKUP(B365,'112年全品項生產鍋數'!A:H,3,0)</f>
        <v>6</v>
      </c>
      <c r="F365" s="45">
        <f>VLOOKUP(B365,'112年全品項生產鍋數'!A:H,7,0)</f>
        <v>25.7</v>
      </c>
      <c r="G365" s="49">
        <f t="shared" si="30"/>
        <v>616.79999999999995</v>
      </c>
      <c r="H365" s="153">
        <v>616</v>
      </c>
      <c r="I365" s="46">
        <f t="shared" si="31"/>
        <v>3696</v>
      </c>
      <c r="J365" s="100">
        <f t="shared" si="32"/>
        <v>0.99870298313878092</v>
      </c>
      <c r="K365" s="51">
        <f>VLOOKUP(B:B,'生產達成率(目標)'!A:C,3,0)</f>
        <v>1</v>
      </c>
      <c r="L365" s="20">
        <f t="shared" si="35"/>
        <v>-1E-3</v>
      </c>
      <c r="M365" s="235"/>
      <c r="N365" s="41"/>
      <c r="O365" s="150">
        <f t="shared" si="33"/>
        <v>3</v>
      </c>
      <c r="P365" s="41">
        <v>613</v>
      </c>
      <c r="Q365" s="27">
        <f t="shared" si="34"/>
        <v>0.99512987012987009</v>
      </c>
      <c r="R365" s="23"/>
      <c r="S365" s="173"/>
      <c r="T365" s="30"/>
      <c r="U365" s="23"/>
      <c r="V365" s="458"/>
      <c r="W365" s="421"/>
      <c r="X365" s="458"/>
      <c r="Y365" s="421"/>
      <c r="Z365" s="421"/>
      <c r="AA365" s="421"/>
      <c r="AB365" s="421"/>
      <c r="AC365" s="421"/>
      <c r="AD365" s="421"/>
    </row>
    <row r="366" spans="1:30" s="22" customFormat="1" x14ac:dyDescent="0.4">
      <c r="A366" s="177" t="s">
        <v>737</v>
      </c>
      <c r="B366" s="149" t="s">
        <v>28</v>
      </c>
      <c r="C366" s="30" t="str">
        <f>VLOOKUP(B366,'112年全品項生產鍋數'!A:H,2,0)</f>
        <v>花生醬(1*290g)</v>
      </c>
      <c r="D366" s="285">
        <v>12</v>
      </c>
      <c r="E366" s="48">
        <f>VLOOKUP(B366,'112年全品項生產鍋數'!A:H,3,0)</f>
        <v>0.28999999999999998</v>
      </c>
      <c r="F366" s="45">
        <f>VLOOKUP(B366,'112年全品項生產鍋數'!A:H,7,0)</f>
        <v>412.6</v>
      </c>
      <c r="G366" s="49">
        <f t="shared" si="30"/>
        <v>4951.2000000000007</v>
      </c>
      <c r="H366" s="153">
        <v>4990</v>
      </c>
      <c r="I366" s="46">
        <f t="shared" si="31"/>
        <v>1447.1</v>
      </c>
      <c r="J366" s="100">
        <f t="shared" si="32"/>
        <v>1.0078364840846663</v>
      </c>
      <c r="K366" s="51">
        <f>VLOOKUP(B:B,'生產達成率(目標)'!A:C,3,0)</f>
        <v>1</v>
      </c>
      <c r="L366" s="20">
        <f t="shared" si="35"/>
        <v>8.0000000000000002E-3</v>
      </c>
      <c r="M366" s="235"/>
      <c r="N366" s="41"/>
      <c r="O366" s="150">
        <f t="shared" si="33"/>
        <v>5</v>
      </c>
      <c r="P366" s="41">
        <v>4985</v>
      </c>
      <c r="Q366" s="27">
        <f t="shared" si="34"/>
        <v>0.99899799599198402</v>
      </c>
      <c r="R366" s="23"/>
      <c r="S366" s="173"/>
      <c r="T366" s="30"/>
      <c r="U366" s="23"/>
      <c r="V366" s="458"/>
      <c r="W366" s="421"/>
      <c r="X366" s="458"/>
      <c r="Y366" s="421"/>
      <c r="Z366" s="421"/>
      <c r="AA366" s="421"/>
      <c r="AB366" s="421"/>
      <c r="AC366" s="421"/>
      <c r="AD366" s="421"/>
    </row>
    <row r="367" spans="1:30" s="22" customFormat="1" x14ac:dyDescent="0.4">
      <c r="A367" s="177" t="s">
        <v>737</v>
      </c>
      <c r="B367" s="151" t="s">
        <v>18</v>
      </c>
      <c r="C367" s="30" t="str">
        <f>VLOOKUP(B367,'112年全品項生產鍋數'!A:H,2,0)</f>
        <v>PET瓶花生(粒)(1*340g)</v>
      </c>
      <c r="D367" s="285">
        <v>12</v>
      </c>
      <c r="E367" s="48">
        <f>VLOOKUP(B367,'112年全品項生產鍋數'!A:H,3,0)</f>
        <v>0.34</v>
      </c>
      <c r="F367" s="45">
        <f>VLOOKUP(B367,'112年全品項生產鍋數'!A:H,7,0)</f>
        <v>366</v>
      </c>
      <c r="G367" s="49">
        <f t="shared" si="30"/>
        <v>4392</v>
      </c>
      <c r="H367" s="153">
        <v>4577</v>
      </c>
      <c r="I367" s="46">
        <f t="shared" si="31"/>
        <v>1556.18</v>
      </c>
      <c r="J367" s="100">
        <f t="shared" si="32"/>
        <v>1.0421220400728597</v>
      </c>
      <c r="K367" s="51">
        <f>VLOOKUP(B:B,'生產達成率(目標)'!A:C,3,0)</f>
        <v>1</v>
      </c>
      <c r="L367" s="20">
        <f t="shared" si="35"/>
        <v>4.2000000000000003E-2</v>
      </c>
      <c r="M367" s="235"/>
      <c r="N367" s="41"/>
      <c r="O367" s="150">
        <f t="shared" si="33"/>
        <v>3</v>
      </c>
      <c r="P367" s="41">
        <v>4574</v>
      </c>
      <c r="Q367" s="27">
        <f t="shared" si="34"/>
        <v>0.99934454883111212</v>
      </c>
      <c r="R367" s="23"/>
      <c r="S367" s="173"/>
      <c r="T367" s="30"/>
      <c r="U367" s="23"/>
      <c r="V367" s="458"/>
      <c r="W367" s="421"/>
      <c r="X367" s="458"/>
      <c r="Y367" s="421"/>
      <c r="Z367" s="421"/>
      <c r="AA367" s="421"/>
      <c r="AB367" s="421"/>
      <c r="AC367" s="421"/>
      <c r="AD367" s="421"/>
    </row>
    <row r="368" spans="1:30" s="22" customFormat="1" x14ac:dyDescent="0.4">
      <c r="A368" s="177" t="s">
        <v>738</v>
      </c>
      <c r="B368" s="151" t="s">
        <v>2</v>
      </c>
      <c r="C368" s="30" t="str">
        <f>VLOOKUP(B368,'112年全品項生產鍋數'!A:H,2,0)</f>
        <v>草莓醬(1*6kg)</v>
      </c>
      <c r="D368" s="285">
        <v>36</v>
      </c>
      <c r="E368" s="48">
        <f>VLOOKUP(B368,'112年全品項生產鍋數'!A:H,3,0)</f>
        <v>6</v>
      </c>
      <c r="F368" s="45">
        <f>VLOOKUP(B368,'112年全品項生產鍋數'!A:H,7,0)</f>
        <v>26.6</v>
      </c>
      <c r="G368" s="49">
        <f t="shared" si="30"/>
        <v>957.6</v>
      </c>
      <c r="H368" s="153">
        <v>944</v>
      </c>
      <c r="I368" s="46">
        <f t="shared" si="31"/>
        <v>5664</v>
      </c>
      <c r="J368" s="100">
        <f t="shared" si="32"/>
        <v>0.98579782790309101</v>
      </c>
      <c r="K368" s="51">
        <f>VLOOKUP(B:B,'生產達成率(目標)'!A:C,3,0)</f>
        <v>1</v>
      </c>
      <c r="L368" s="20">
        <f t="shared" si="35"/>
        <v>-1.4E-2</v>
      </c>
      <c r="M368" s="235"/>
      <c r="N368" s="41"/>
      <c r="O368" s="150">
        <f t="shared" si="33"/>
        <v>2</v>
      </c>
      <c r="P368" s="41">
        <v>942</v>
      </c>
      <c r="Q368" s="27">
        <f t="shared" si="34"/>
        <v>0.9978813559322034</v>
      </c>
      <c r="R368" s="23"/>
      <c r="S368" s="173"/>
      <c r="T368" s="30"/>
      <c r="U368" s="23"/>
      <c r="V368" s="458"/>
      <c r="W368" s="421"/>
      <c r="X368" s="458"/>
      <c r="Y368" s="421"/>
      <c r="Z368" s="421"/>
      <c r="AA368" s="421"/>
      <c r="AB368" s="421"/>
      <c r="AC368" s="421"/>
      <c r="AD368" s="421"/>
    </row>
    <row r="369" spans="1:30" s="22" customFormat="1" x14ac:dyDescent="0.4">
      <c r="A369" s="177" t="s">
        <v>738</v>
      </c>
      <c r="B369" s="149" t="s">
        <v>139</v>
      </c>
      <c r="C369" s="30" t="str">
        <f>VLOOKUP(B369,'112年全品項生產鍋數'!A:H,2,0)</f>
        <v>草莓餡42°(1*6KG)</v>
      </c>
      <c r="D369" s="285">
        <v>20</v>
      </c>
      <c r="E369" s="48">
        <f>VLOOKUP(B369,'112年全品項生產鍋數'!A:H,3,0)</f>
        <v>6</v>
      </c>
      <c r="F369" s="45">
        <f>VLOOKUP(B369,'112年全品項生產鍋數'!A:H,7,0)</f>
        <v>25.2</v>
      </c>
      <c r="G369" s="49">
        <f t="shared" si="30"/>
        <v>504</v>
      </c>
      <c r="H369" s="153">
        <v>508</v>
      </c>
      <c r="I369" s="46">
        <f t="shared" si="31"/>
        <v>3048</v>
      </c>
      <c r="J369" s="100">
        <f t="shared" si="32"/>
        <v>1.0079365079365079</v>
      </c>
      <c r="K369" s="51">
        <f>VLOOKUP(B:B,'生產達成率(目標)'!A:C,3,0)</f>
        <v>1</v>
      </c>
      <c r="L369" s="20">
        <f t="shared" si="35"/>
        <v>8.0000000000000002E-3</v>
      </c>
      <c r="M369" s="235"/>
      <c r="N369" s="41"/>
      <c r="O369" s="150">
        <f t="shared" si="33"/>
        <v>1</v>
      </c>
      <c r="P369" s="41">
        <v>507</v>
      </c>
      <c r="Q369" s="27">
        <f t="shared" si="34"/>
        <v>0.99803149606299213</v>
      </c>
      <c r="R369" s="23"/>
      <c r="S369" s="173"/>
      <c r="T369" s="30"/>
      <c r="U369" s="23"/>
      <c r="V369" s="458"/>
      <c r="W369" s="421"/>
      <c r="X369" s="458"/>
      <c r="Y369" s="421"/>
      <c r="Z369" s="421"/>
      <c r="AA369" s="421"/>
      <c r="AB369" s="421"/>
      <c r="AC369" s="421"/>
      <c r="AD369" s="421"/>
    </row>
    <row r="370" spans="1:30" s="22" customFormat="1" x14ac:dyDescent="0.4">
      <c r="A370" s="177" t="s">
        <v>738</v>
      </c>
      <c r="B370" s="149" t="s">
        <v>8</v>
      </c>
      <c r="C370" s="30" t="str">
        <f>VLOOKUP(B370,'112年全品項生產鍋數'!A:H,2,0)</f>
        <v>藍莓餡(1*6KG)</v>
      </c>
      <c r="D370" s="285">
        <v>20</v>
      </c>
      <c r="E370" s="48">
        <f>VLOOKUP(B370,'112年全品項生產鍋數'!A:H,3,0)</f>
        <v>6</v>
      </c>
      <c r="F370" s="45">
        <f>VLOOKUP(B370,'112年全品項生產鍋數'!A:H,7,0)</f>
        <v>25.4</v>
      </c>
      <c r="G370" s="49">
        <f t="shared" si="30"/>
        <v>508</v>
      </c>
      <c r="H370" s="153">
        <v>515</v>
      </c>
      <c r="I370" s="46">
        <f t="shared" si="31"/>
        <v>3090</v>
      </c>
      <c r="J370" s="100">
        <f t="shared" si="32"/>
        <v>1.0137795275590551</v>
      </c>
      <c r="K370" s="51">
        <f>VLOOKUP(B:B,'生產達成率(目標)'!A:C,3,0)</f>
        <v>1</v>
      </c>
      <c r="L370" s="20">
        <f t="shared" si="35"/>
        <v>1.4E-2</v>
      </c>
      <c r="M370" s="235"/>
      <c r="N370" s="41"/>
      <c r="O370" s="150">
        <f t="shared" si="33"/>
        <v>3</v>
      </c>
      <c r="P370" s="41">
        <v>512</v>
      </c>
      <c r="Q370" s="27">
        <f t="shared" si="34"/>
        <v>0.99417475728155336</v>
      </c>
      <c r="R370" s="23"/>
      <c r="S370" s="173"/>
      <c r="T370" s="30"/>
      <c r="U370" s="23"/>
      <c r="V370" s="458"/>
      <c r="W370" s="421"/>
      <c r="X370" s="458"/>
      <c r="Y370" s="421"/>
      <c r="Z370" s="421"/>
      <c r="AA370" s="421"/>
      <c r="AB370" s="421"/>
      <c r="AC370" s="421"/>
      <c r="AD370" s="421"/>
    </row>
    <row r="371" spans="1:30" s="22" customFormat="1" x14ac:dyDescent="0.4">
      <c r="A371" s="177" t="s">
        <v>738</v>
      </c>
      <c r="B371" s="149" t="s">
        <v>142</v>
      </c>
      <c r="C371" s="30" t="str">
        <f>VLOOKUP(B371,'112年全品項生產鍋數'!A:H,2,0)</f>
        <v>顆粒花生醬(1*12KG)</v>
      </c>
      <c r="D371" s="285">
        <v>18</v>
      </c>
      <c r="E371" s="48">
        <f>VLOOKUP(B371,'112年全品項生產鍋數'!A:H,3,0)</f>
        <v>3</v>
      </c>
      <c r="F371" s="45">
        <f>VLOOKUP(B371,'112年全品項生產鍋數'!A:H,7,0)</f>
        <v>31.6</v>
      </c>
      <c r="G371" s="49">
        <f t="shared" si="30"/>
        <v>568.80000000000007</v>
      </c>
      <c r="H371" s="153">
        <v>568</v>
      </c>
      <c r="I371" s="46">
        <f t="shared" si="31"/>
        <v>1704</v>
      </c>
      <c r="J371" s="100">
        <f t="shared" si="32"/>
        <v>0.99859353023909969</v>
      </c>
      <c r="K371" s="51">
        <f>VLOOKUP(B:B,'生產達成率(目標)'!A:C,3,0)</f>
        <v>1</v>
      </c>
      <c r="L371" s="20">
        <f t="shared" si="35"/>
        <v>-1E-3</v>
      </c>
      <c r="M371" s="235"/>
      <c r="N371" s="41"/>
      <c r="O371" s="150">
        <f t="shared" si="33"/>
        <v>0</v>
      </c>
      <c r="P371" s="41">
        <v>568</v>
      </c>
      <c r="Q371" s="27">
        <f t="shared" si="34"/>
        <v>1</v>
      </c>
      <c r="R371" s="23"/>
      <c r="S371" s="173"/>
      <c r="T371" s="30"/>
      <c r="U371" s="23"/>
      <c r="V371" s="458"/>
      <c r="W371" s="421"/>
      <c r="X371" s="458"/>
      <c r="Y371" s="421"/>
      <c r="Z371" s="421"/>
      <c r="AA371" s="421"/>
      <c r="AB371" s="421"/>
      <c r="AC371" s="421"/>
      <c r="AD371" s="421"/>
    </row>
    <row r="372" spans="1:30" s="22" customFormat="1" x14ac:dyDescent="0.4">
      <c r="A372" s="177" t="s">
        <v>739</v>
      </c>
      <c r="B372" s="149" t="s">
        <v>35</v>
      </c>
      <c r="C372" s="30" t="str">
        <f>VLOOKUP(B372,'112年全品項生產鍋數'!A:H,2,0)</f>
        <v>小圓草莓(1*170g)</v>
      </c>
      <c r="D372" s="285">
        <v>8</v>
      </c>
      <c r="E372" s="48">
        <f>VLOOKUP(B372,'112年全品項生產鍋數'!A:H,3,0)</f>
        <v>0.17</v>
      </c>
      <c r="F372" s="45">
        <f>VLOOKUP(B372,'112年全品項生產鍋數'!A:H,7,0)</f>
        <v>912.6</v>
      </c>
      <c r="G372" s="49">
        <f t="shared" si="30"/>
        <v>7300.8</v>
      </c>
      <c r="H372" s="153">
        <v>7047</v>
      </c>
      <c r="I372" s="46">
        <f t="shared" si="31"/>
        <v>1197.99</v>
      </c>
      <c r="J372" s="100">
        <f t="shared" si="32"/>
        <v>0.96523668639053251</v>
      </c>
      <c r="K372" s="51">
        <f>VLOOKUP(B:B,'生產達成率(目標)'!A:C,3,0)</f>
        <v>1</v>
      </c>
      <c r="L372" s="20">
        <f t="shared" si="35"/>
        <v>-3.5000000000000003E-2</v>
      </c>
      <c r="M372" s="235"/>
      <c r="N372" s="41"/>
      <c r="O372" s="150">
        <f t="shared" si="33"/>
        <v>4</v>
      </c>
      <c r="P372" s="41">
        <v>7043</v>
      </c>
      <c r="Q372" s="27">
        <f t="shared" si="34"/>
        <v>0.99943238257414502</v>
      </c>
      <c r="R372" s="23"/>
      <c r="S372" s="173"/>
      <c r="T372" s="30"/>
      <c r="U372" s="23"/>
      <c r="V372" s="458"/>
      <c r="W372" s="421"/>
      <c r="X372" s="458"/>
      <c r="Y372" s="421"/>
      <c r="Z372" s="421"/>
      <c r="AA372" s="421"/>
      <c r="AB372" s="421"/>
      <c r="AC372" s="421"/>
      <c r="AD372" s="421"/>
    </row>
    <row r="373" spans="1:30" s="22" customFormat="1" x14ac:dyDescent="0.4">
      <c r="A373" s="177" t="s">
        <v>739</v>
      </c>
      <c r="B373" s="149" t="s">
        <v>24</v>
      </c>
      <c r="C373" s="30" t="str">
        <f>VLOOKUP(B373,'112年全品項生產鍋數'!A:H,2,0)</f>
        <v>小藍莓1*260G</v>
      </c>
      <c r="D373" s="285">
        <v>16</v>
      </c>
      <c r="E373" s="48">
        <f>VLOOKUP(B373,'112年全品項生產鍋數'!A:H,3,0)</f>
        <v>0.26</v>
      </c>
      <c r="F373" s="45">
        <f>VLOOKUP(B373,'112年全品項生產鍋數'!A:H,7,0)</f>
        <v>584.29999999999995</v>
      </c>
      <c r="G373" s="49">
        <f t="shared" si="30"/>
        <v>9348.7999999999993</v>
      </c>
      <c r="H373" s="153">
        <v>9318</v>
      </c>
      <c r="I373" s="46">
        <f t="shared" si="31"/>
        <v>2422.6800000000003</v>
      </c>
      <c r="J373" s="100">
        <f t="shared" si="32"/>
        <v>0.99670545952421707</v>
      </c>
      <c r="K373" s="51">
        <f>VLOOKUP(B:B,'生產達成率(目標)'!A:C,3,0)</f>
        <v>1</v>
      </c>
      <c r="L373" s="20">
        <f t="shared" si="35"/>
        <v>-3.0000000000000001E-3</v>
      </c>
      <c r="M373" s="235"/>
      <c r="N373" s="41"/>
      <c r="O373" s="150">
        <f t="shared" si="33"/>
        <v>75</v>
      </c>
      <c r="P373" s="41">
        <v>9243</v>
      </c>
      <c r="Q373" s="27">
        <f t="shared" si="34"/>
        <v>0.99195106245975528</v>
      </c>
      <c r="R373" s="23"/>
      <c r="S373" s="173"/>
      <c r="T373" s="30"/>
      <c r="U373" s="23"/>
      <c r="V373" s="458"/>
      <c r="W373" s="421"/>
      <c r="X373" s="458"/>
      <c r="Y373" s="421"/>
      <c r="Z373" s="421"/>
      <c r="AA373" s="421"/>
      <c r="AB373" s="421"/>
      <c r="AC373" s="421"/>
      <c r="AD373" s="421"/>
    </row>
    <row r="374" spans="1:30" s="22" customFormat="1" x14ac:dyDescent="0.4">
      <c r="A374" s="177" t="s">
        <v>739</v>
      </c>
      <c r="B374" s="149" t="s">
        <v>16</v>
      </c>
      <c r="C374" s="30" t="str">
        <f>VLOOKUP(B374,'112年全品項生產鍋數'!A:H,2,0)</f>
        <v>藍莓餡(1*6Kg)</v>
      </c>
      <c r="D374" s="285">
        <v>20</v>
      </c>
      <c r="E374" s="48">
        <f>VLOOKUP(B374,'112年全品項生產鍋數'!A:H,3,0)</f>
        <v>6</v>
      </c>
      <c r="F374" s="45">
        <f>VLOOKUP(B374,'112年全品項生產鍋數'!A:H,7,0)</f>
        <v>25.1</v>
      </c>
      <c r="G374" s="49">
        <f t="shared" si="30"/>
        <v>502</v>
      </c>
      <c r="H374" s="153">
        <v>503</v>
      </c>
      <c r="I374" s="46">
        <f t="shared" si="31"/>
        <v>3018</v>
      </c>
      <c r="J374" s="100">
        <f t="shared" si="32"/>
        <v>1.00199203187251</v>
      </c>
      <c r="K374" s="51">
        <f>VLOOKUP(B:B,'生產達成率(目標)'!A:C,3,0)</f>
        <v>1</v>
      </c>
      <c r="L374" s="20">
        <f t="shared" si="35"/>
        <v>2E-3</v>
      </c>
      <c r="M374" s="235"/>
      <c r="N374" s="41"/>
      <c r="O374" s="150">
        <f t="shared" si="33"/>
        <v>1</v>
      </c>
      <c r="P374" s="41">
        <v>502</v>
      </c>
      <c r="Q374" s="27">
        <f t="shared" si="34"/>
        <v>0.99801192842942343</v>
      </c>
      <c r="R374" s="23"/>
      <c r="S374" s="173"/>
      <c r="T374" s="30"/>
      <c r="U374" s="23"/>
      <c r="V374" s="458"/>
      <c r="W374" s="421"/>
      <c r="X374" s="458"/>
      <c r="Y374" s="421"/>
      <c r="Z374" s="421"/>
      <c r="AA374" s="421"/>
      <c r="AB374" s="421"/>
      <c r="AC374" s="421"/>
      <c r="AD374" s="421"/>
    </row>
    <row r="375" spans="1:30" s="22" customFormat="1" x14ac:dyDescent="0.4">
      <c r="A375" s="177" t="s">
        <v>739</v>
      </c>
      <c r="B375" s="149" t="s">
        <v>134</v>
      </c>
      <c r="C375" s="30" t="str">
        <f>VLOOKUP(B375,'112年全品項生產鍋數'!A:H,2,0)</f>
        <v>草莓椰果餡(1*6Kg)</v>
      </c>
      <c r="D375" s="285">
        <v>20</v>
      </c>
      <c r="E375" s="48">
        <f>VLOOKUP(B375,'112年全品項生產鍋數'!A:H,3,0)</f>
        <v>6</v>
      </c>
      <c r="F375" s="45">
        <f>VLOOKUP(B375,'112年全品項生產鍋數'!A:H,7,0)</f>
        <v>26.4</v>
      </c>
      <c r="G375" s="49">
        <f t="shared" si="30"/>
        <v>528</v>
      </c>
      <c r="H375" s="153">
        <v>536</v>
      </c>
      <c r="I375" s="46">
        <f t="shared" si="31"/>
        <v>3216</v>
      </c>
      <c r="J375" s="100">
        <f t="shared" si="32"/>
        <v>1.0151515151515151</v>
      </c>
      <c r="K375" s="51">
        <f>VLOOKUP(B:B,'生產達成率(目標)'!A:C,3,0)</f>
        <v>1</v>
      </c>
      <c r="L375" s="20">
        <f t="shared" si="35"/>
        <v>1.4999999999999999E-2</v>
      </c>
      <c r="M375" s="235"/>
      <c r="N375" s="41"/>
      <c r="O375" s="150">
        <f t="shared" si="33"/>
        <v>1</v>
      </c>
      <c r="P375" s="41">
        <v>535</v>
      </c>
      <c r="Q375" s="27">
        <f t="shared" si="34"/>
        <v>0.99813432835820892</v>
      </c>
      <c r="R375" s="23"/>
      <c r="S375" s="173"/>
      <c r="T375" s="30"/>
      <c r="U375" s="23"/>
      <c r="V375" s="458"/>
      <c r="W375" s="421"/>
      <c r="X375" s="458"/>
      <c r="Y375" s="421"/>
      <c r="Z375" s="421"/>
      <c r="AA375" s="421"/>
      <c r="AB375" s="421"/>
      <c r="AC375" s="421"/>
      <c r="AD375" s="421"/>
    </row>
    <row r="376" spans="1:30" s="22" customFormat="1" x14ac:dyDescent="0.4">
      <c r="A376" s="177" t="s">
        <v>739</v>
      </c>
      <c r="B376" s="149" t="s">
        <v>23</v>
      </c>
      <c r="C376" s="30" t="str">
        <f>VLOOKUP(B376,'112年全品項生產鍋數'!A:H,2,0)</f>
        <v>＃1花生(粒)(1*2.8kg)</v>
      </c>
      <c r="D376" s="285">
        <v>52</v>
      </c>
      <c r="E376" s="48">
        <f>VLOOKUP(B376,'112年全品項生產鍋數'!A:H,3,0)</f>
        <v>2.8</v>
      </c>
      <c r="F376" s="45">
        <f>VLOOKUP(B376,'112年全品項生產鍋數'!A:H,7,0)</f>
        <v>44.2</v>
      </c>
      <c r="G376" s="49">
        <f t="shared" si="30"/>
        <v>2298.4</v>
      </c>
      <c r="H376" s="153">
        <v>2183</v>
      </c>
      <c r="I376" s="46">
        <f t="shared" si="31"/>
        <v>6112.4</v>
      </c>
      <c r="J376" s="100">
        <f t="shared" si="32"/>
        <v>0.94979115906717715</v>
      </c>
      <c r="K376" s="51">
        <f>VLOOKUP(B:B,'生產達成率(目標)'!A:C,3,0)</f>
        <v>1</v>
      </c>
      <c r="L376" s="20">
        <f t="shared" si="35"/>
        <v>-0.05</v>
      </c>
      <c r="M376" s="235"/>
      <c r="N376" s="41"/>
      <c r="O376" s="150">
        <f t="shared" si="33"/>
        <v>1</v>
      </c>
      <c r="P376" s="41">
        <v>2182</v>
      </c>
      <c r="Q376" s="27">
        <f t="shared" si="34"/>
        <v>0.99954191479615206</v>
      </c>
      <c r="R376" s="23"/>
      <c r="S376" s="173"/>
      <c r="T376" s="30"/>
      <c r="U376" s="23"/>
      <c r="V376" s="458"/>
      <c r="W376" s="421"/>
      <c r="X376" s="458"/>
      <c r="Y376" s="421"/>
      <c r="Z376" s="421"/>
      <c r="AA376" s="421"/>
      <c r="AB376" s="421"/>
      <c r="AC376" s="421"/>
      <c r="AD376" s="421"/>
    </row>
    <row r="377" spans="1:30" s="22" customFormat="1" x14ac:dyDescent="0.4">
      <c r="A377" s="177" t="s">
        <v>740</v>
      </c>
      <c r="B377" s="149" t="s">
        <v>12</v>
      </c>
      <c r="C377" s="30" t="str">
        <f>VLOOKUP(B377,'112年全品項生產鍋數'!A:H,2,0)</f>
        <v>＃1草莓(1*3.2kg)</v>
      </c>
      <c r="D377" s="285">
        <v>60</v>
      </c>
      <c r="E377" s="48">
        <f>VLOOKUP(B377,'112年全品項生產鍋數'!A:H,3,0)</f>
        <v>3.2</v>
      </c>
      <c r="F377" s="45">
        <f>VLOOKUP(B377,'112年全品項生產鍋數'!A:H,7,0)</f>
        <v>46.8</v>
      </c>
      <c r="G377" s="49">
        <f t="shared" si="30"/>
        <v>2808</v>
      </c>
      <c r="H377" s="153">
        <v>2812</v>
      </c>
      <c r="I377" s="46">
        <f t="shared" si="31"/>
        <v>8998.4</v>
      </c>
      <c r="J377" s="100">
        <f t="shared" si="32"/>
        <v>1.0014245014245013</v>
      </c>
      <c r="K377" s="51">
        <f>VLOOKUP(B:B,'生產達成率(目標)'!A:C,3,0)</f>
        <v>1</v>
      </c>
      <c r="L377" s="20">
        <f t="shared" si="35"/>
        <v>1E-3</v>
      </c>
      <c r="M377" s="235"/>
      <c r="N377" s="41"/>
      <c r="O377" s="150">
        <f t="shared" si="33"/>
        <v>2</v>
      </c>
      <c r="P377" s="41">
        <v>2810</v>
      </c>
      <c r="Q377" s="27">
        <f t="shared" si="34"/>
        <v>0.99928876244665721</v>
      </c>
      <c r="R377" s="23"/>
      <c r="S377" s="173"/>
      <c r="T377" s="30"/>
      <c r="U377" s="23"/>
      <c r="V377" s="458"/>
      <c r="W377" s="421"/>
      <c r="X377" s="458"/>
      <c r="Y377" s="421"/>
      <c r="Z377" s="421"/>
      <c r="AA377" s="421"/>
      <c r="AB377" s="421"/>
      <c r="AC377" s="421"/>
      <c r="AD377" s="421"/>
    </row>
    <row r="378" spans="1:30" s="22" customFormat="1" x14ac:dyDescent="0.4">
      <c r="A378" s="177" t="s">
        <v>740</v>
      </c>
      <c r="B378" s="149" t="s">
        <v>16</v>
      </c>
      <c r="C378" s="30" t="str">
        <f>VLOOKUP(B378,'112年全品項生產鍋數'!A:H,2,0)</f>
        <v>藍莓餡(1*6Kg)</v>
      </c>
      <c r="D378" s="285">
        <v>16</v>
      </c>
      <c r="E378" s="48">
        <f>VLOOKUP(B378,'112年全品項生產鍋數'!A:H,3,0)</f>
        <v>6</v>
      </c>
      <c r="F378" s="45">
        <f>VLOOKUP(B378,'112年全品項生產鍋數'!A:H,7,0)</f>
        <v>25.1</v>
      </c>
      <c r="G378" s="49">
        <f t="shared" si="30"/>
        <v>401.6</v>
      </c>
      <c r="H378" s="153">
        <v>403</v>
      </c>
      <c r="I378" s="46">
        <f t="shared" si="31"/>
        <v>2418</v>
      </c>
      <c r="J378" s="100">
        <f t="shared" si="32"/>
        <v>1.0034860557768923</v>
      </c>
      <c r="K378" s="51">
        <f>VLOOKUP(B:B,'生產達成率(目標)'!A:C,3,0)</f>
        <v>1</v>
      </c>
      <c r="L378" s="20">
        <f t="shared" si="35"/>
        <v>3.0000000000000001E-3</v>
      </c>
      <c r="M378" s="235"/>
      <c r="N378" s="41"/>
      <c r="O378" s="150">
        <f t="shared" si="33"/>
        <v>1</v>
      </c>
      <c r="P378" s="41">
        <v>402</v>
      </c>
      <c r="Q378" s="27">
        <f t="shared" si="34"/>
        <v>0.9975186104218362</v>
      </c>
      <c r="R378" s="23"/>
      <c r="S378" s="173"/>
      <c r="T378" s="30"/>
      <c r="U378" s="23"/>
      <c r="V378" s="458"/>
      <c r="W378" s="421"/>
      <c r="X378" s="458"/>
      <c r="Y378" s="421"/>
      <c r="Z378" s="421"/>
      <c r="AA378" s="421"/>
      <c r="AB378" s="421"/>
      <c r="AC378" s="421"/>
      <c r="AD378" s="421"/>
    </row>
    <row r="379" spans="1:30" s="22" customFormat="1" x14ac:dyDescent="0.4">
      <c r="A379" s="177" t="s">
        <v>740</v>
      </c>
      <c r="B379" s="149" t="s">
        <v>8</v>
      </c>
      <c r="C379" s="30" t="str">
        <f>VLOOKUP(B379,'112年全品項生產鍋數'!A:H,2,0)</f>
        <v>藍莓餡(1*6KG)</v>
      </c>
      <c r="D379" s="285">
        <v>24</v>
      </c>
      <c r="E379" s="48">
        <f>VLOOKUP(B379,'112年全品項生產鍋數'!A:H,3,0)</f>
        <v>6</v>
      </c>
      <c r="F379" s="45">
        <f>VLOOKUP(B379,'112年全品項生產鍋數'!A:H,7,0)</f>
        <v>25.4</v>
      </c>
      <c r="G379" s="49">
        <f t="shared" si="30"/>
        <v>609.59999999999991</v>
      </c>
      <c r="H379" s="153">
        <v>619</v>
      </c>
      <c r="I379" s="46">
        <f t="shared" si="31"/>
        <v>3714</v>
      </c>
      <c r="J379" s="100">
        <f t="shared" si="32"/>
        <v>1.0154199475065617</v>
      </c>
      <c r="K379" s="51">
        <f>VLOOKUP(B:B,'生產達成率(目標)'!A:C,3,0)</f>
        <v>1</v>
      </c>
      <c r="L379" s="20">
        <f t="shared" si="35"/>
        <v>1.4999999999999999E-2</v>
      </c>
      <c r="M379" s="235"/>
      <c r="N379" s="41"/>
      <c r="O379" s="150">
        <f t="shared" si="33"/>
        <v>3</v>
      </c>
      <c r="P379" s="41">
        <v>616</v>
      </c>
      <c r="Q379" s="27">
        <f t="shared" si="34"/>
        <v>0.99515347334410342</v>
      </c>
      <c r="R379" s="23"/>
      <c r="S379" s="173"/>
      <c r="T379" s="30"/>
      <c r="U379" s="23"/>
      <c r="V379" s="458"/>
      <c r="W379" s="421"/>
      <c r="X379" s="458"/>
      <c r="Y379" s="421"/>
      <c r="Z379" s="421"/>
      <c r="AA379" s="421"/>
      <c r="AB379" s="421"/>
      <c r="AC379" s="421"/>
      <c r="AD379" s="421"/>
    </row>
    <row r="380" spans="1:30" s="22" customFormat="1" x14ac:dyDescent="0.4">
      <c r="A380" s="177" t="s">
        <v>740</v>
      </c>
      <c r="B380" s="149" t="s">
        <v>13</v>
      </c>
      <c r="C380" s="30" t="str">
        <f>VLOOKUP(B380,'112年全品項生產鍋數'!A:H,2,0)</f>
        <v>顆粒花生醬(1*12KG)</v>
      </c>
      <c r="D380" s="285">
        <v>18</v>
      </c>
      <c r="E380" s="48">
        <f>VLOOKUP(B380,'112年全品項生產鍋數'!A:H,3,0)</f>
        <v>3</v>
      </c>
      <c r="F380" s="45">
        <f>VLOOKUP(B380,'112年全品項生產鍋數'!A:H,7,0)</f>
        <v>29.7</v>
      </c>
      <c r="G380" s="49">
        <f t="shared" si="30"/>
        <v>534.6</v>
      </c>
      <c r="H380" s="153">
        <v>540</v>
      </c>
      <c r="I380" s="46">
        <f t="shared" si="31"/>
        <v>1620</v>
      </c>
      <c r="J380" s="100">
        <f t="shared" si="32"/>
        <v>1.0101010101010102</v>
      </c>
      <c r="K380" s="51">
        <f>VLOOKUP(B:B,'生產達成率(目標)'!A:C,3,0)</f>
        <v>1</v>
      </c>
      <c r="L380" s="20">
        <f t="shared" si="35"/>
        <v>0.01</v>
      </c>
      <c r="M380" s="235"/>
      <c r="N380" s="41"/>
      <c r="O380" s="150">
        <f t="shared" si="33"/>
        <v>0</v>
      </c>
      <c r="P380" s="41">
        <v>540</v>
      </c>
      <c r="Q380" s="27">
        <f t="shared" si="34"/>
        <v>1</v>
      </c>
      <c r="R380" s="23"/>
      <c r="S380" s="173"/>
      <c r="T380" s="30"/>
      <c r="U380" s="23"/>
      <c r="V380" s="458"/>
      <c r="W380" s="421"/>
      <c r="X380" s="458"/>
      <c r="Y380" s="421"/>
      <c r="Z380" s="421"/>
      <c r="AA380" s="421"/>
      <c r="AB380" s="421"/>
      <c r="AC380" s="421"/>
      <c r="AD380" s="421"/>
    </row>
    <row r="381" spans="1:30" s="22" customFormat="1" x14ac:dyDescent="0.4">
      <c r="A381" s="177" t="s">
        <v>741</v>
      </c>
      <c r="B381" s="151" t="s">
        <v>2</v>
      </c>
      <c r="C381" s="30" t="str">
        <f>VLOOKUP(B381,'112年全品項生產鍋數'!A:H,2,0)</f>
        <v>草莓醬(1*6kg)</v>
      </c>
      <c r="D381" s="285">
        <v>39</v>
      </c>
      <c r="E381" s="48">
        <f>VLOOKUP(B381,'112年全品項生產鍋數'!A:H,3,0)</f>
        <v>6</v>
      </c>
      <c r="F381" s="45">
        <f>VLOOKUP(B381,'112年全品項生產鍋數'!A:H,7,0)</f>
        <v>26.6</v>
      </c>
      <c r="G381" s="49">
        <f t="shared" si="30"/>
        <v>1037.4000000000001</v>
      </c>
      <c r="H381" s="153">
        <v>1033</v>
      </c>
      <c r="I381" s="46">
        <f t="shared" si="31"/>
        <v>6198</v>
      </c>
      <c r="J381" s="100">
        <f t="shared" si="32"/>
        <v>0.99575862733757459</v>
      </c>
      <c r="K381" s="51">
        <f>VLOOKUP(B:B,'生產達成率(目標)'!A:C,3,0)</f>
        <v>1</v>
      </c>
      <c r="L381" s="20">
        <f t="shared" si="35"/>
        <v>-4.0000000000000001E-3</v>
      </c>
      <c r="M381" s="235"/>
      <c r="N381" s="41"/>
      <c r="O381" s="150">
        <f t="shared" si="33"/>
        <v>1</v>
      </c>
      <c r="P381" s="41">
        <v>1032</v>
      </c>
      <c r="Q381" s="27">
        <f t="shared" si="34"/>
        <v>0.99903194578896415</v>
      </c>
      <c r="R381" s="23"/>
      <c r="S381" s="173"/>
      <c r="T381" s="30"/>
      <c r="U381" s="23"/>
      <c r="V381" s="458"/>
      <c r="W381" s="421"/>
      <c r="X381" s="458"/>
      <c r="Y381" s="421"/>
      <c r="Z381" s="421"/>
      <c r="AA381" s="421"/>
      <c r="AB381" s="421"/>
      <c r="AC381" s="421"/>
      <c r="AD381" s="421"/>
    </row>
    <row r="382" spans="1:30" s="22" customFormat="1" x14ac:dyDescent="0.4">
      <c r="A382" s="177" t="s">
        <v>741</v>
      </c>
      <c r="B382" s="149" t="s">
        <v>3</v>
      </c>
      <c r="C382" s="30" t="str">
        <f>VLOOKUP(B382,'112年全品項生產鍋數'!A:H,2,0)</f>
        <v>天天開心草莓餡4.5KG</v>
      </c>
      <c r="D382" s="285">
        <v>44</v>
      </c>
      <c r="E382" s="48">
        <f>VLOOKUP(B382,'112年全品項生產鍋數'!A:H,3,0)</f>
        <v>4.5</v>
      </c>
      <c r="F382" s="45">
        <f>VLOOKUP(B382,'112年全品項生產鍋數'!A:H,7,0)</f>
        <v>36.299999999999997</v>
      </c>
      <c r="G382" s="49">
        <f t="shared" si="30"/>
        <v>1597.1999999999998</v>
      </c>
      <c r="H382" s="153">
        <v>1677</v>
      </c>
      <c r="I382" s="46">
        <f t="shared" si="31"/>
        <v>7546.5</v>
      </c>
      <c r="J382" s="100">
        <f t="shared" si="32"/>
        <v>1.0499624342599549</v>
      </c>
      <c r="K382" s="51">
        <f>VLOOKUP(B:B,'生產達成率(目標)'!A:C,3,0)</f>
        <v>1</v>
      </c>
      <c r="L382" s="20">
        <f t="shared" si="35"/>
        <v>0.05</v>
      </c>
      <c r="M382" s="235"/>
      <c r="N382" s="41"/>
      <c r="O382" s="150">
        <f t="shared" si="33"/>
        <v>0</v>
      </c>
      <c r="P382" s="41">
        <v>1677</v>
      </c>
      <c r="Q382" s="27">
        <f t="shared" si="34"/>
        <v>1</v>
      </c>
      <c r="R382" s="23"/>
      <c r="S382" s="173">
        <v>200</v>
      </c>
      <c r="T382" s="30" t="s">
        <v>938</v>
      </c>
      <c r="U382" s="23"/>
      <c r="V382" s="458"/>
      <c r="W382" s="421"/>
      <c r="X382" s="458"/>
      <c r="Y382" s="421"/>
      <c r="Z382" s="421"/>
      <c r="AA382" s="421"/>
      <c r="AB382" s="421"/>
      <c r="AC382" s="421"/>
      <c r="AD382" s="421"/>
    </row>
    <row r="383" spans="1:30" s="22" customFormat="1" x14ac:dyDescent="0.4">
      <c r="A383" s="177" t="s">
        <v>741</v>
      </c>
      <c r="B383" s="149" t="s">
        <v>13</v>
      </c>
      <c r="C383" s="30" t="str">
        <f>VLOOKUP(B383,'112年全品項生產鍋數'!A:H,2,0)</f>
        <v>顆粒花生醬(1*12KG)</v>
      </c>
      <c r="D383" s="285">
        <v>18</v>
      </c>
      <c r="E383" s="48">
        <f>VLOOKUP(B383,'112年全品項生產鍋數'!A:H,3,0)</f>
        <v>3</v>
      </c>
      <c r="F383" s="45">
        <f>VLOOKUP(B383,'112年全品項生產鍋數'!A:H,7,0)</f>
        <v>29.7</v>
      </c>
      <c r="G383" s="49">
        <f t="shared" si="30"/>
        <v>534.6</v>
      </c>
      <c r="H383" s="153">
        <v>536</v>
      </c>
      <c r="I383" s="46">
        <f t="shared" si="31"/>
        <v>1608</v>
      </c>
      <c r="J383" s="100">
        <f t="shared" si="32"/>
        <v>1.0026187803965581</v>
      </c>
      <c r="K383" s="51">
        <f>VLOOKUP(B:B,'生產達成率(目標)'!A:C,3,0)</f>
        <v>1</v>
      </c>
      <c r="L383" s="20">
        <f t="shared" si="35"/>
        <v>3.0000000000000001E-3</v>
      </c>
      <c r="M383" s="235"/>
      <c r="N383" s="41"/>
      <c r="O383" s="150">
        <f t="shared" si="33"/>
        <v>0</v>
      </c>
      <c r="P383" s="41">
        <v>536</v>
      </c>
      <c r="Q383" s="27">
        <f t="shared" si="34"/>
        <v>1</v>
      </c>
      <c r="R383" s="23"/>
      <c r="S383" s="173"/>
      <c r="T383" s="30"/>
      <c r="U383" s="23"/>
      <c r="V383" s="458"/>
      <c r="W383" s="421"/>
      <c r="X383" s="458"/>
      <c r="Y383" s="421"/>
      <c r="Z383" s="421"/>
      <c r="AA383" s="421"/>
      <c r="AB383" s="421"/>
      <c r="AC383" s="421"/>
      <c r="AD383" s="421"/>
    </row>
    <row r="384" spans="1:30" s="22" customFormat="1" x14ac:dyDescent="0.4">
      <c r="A384" s="177" t="s">
        <v>742</v>
      </c>
      <c r="B384" s="149" t="s">
        <v>87</v>
      </c>
      <c r="C384" s="30" t="str">
        <f>VLOOKUP(B384,'112年全品項生產鍋數'!A:H,2,0)</f>
        <v>＃1藍莓(1*3.2kg)</v>
      </c>
      <c r="D384" s="285">
        <v>28</v>
      </c>
      <c r="E384" s="48">
        <f>VLOOKUP(B384,'112年全品項生產鍋數'!A:H,3,0)</f>
        <v>3.2</v>
      </c>
      <c r="F384" s="45">
        <f>VLOOKUP(B384,'112年全品項生產鍋數'!A:H,7,0)</f>
        <v>47.5</v>
      </c>
      <c r="G384" s="49">
        <f t="shared" si="30"/>
        <v>1330</v>
      </c>
      <c r="H384" s="153">
        <v>1328</v>
      </c>
      <c r="I384" s="46">
        <f t="shared" si="31"/>
        <v>4249.6000000000004</v>
      </c>
      <c r="J384" s="100">
        <f t="shared" si="32"/>
        <v>0.99849624060150377</v>
      </c>
      <c r="K384" s="51">
        <f>VLOOKUP(B:B,'生產達成率(目標)'!A:C,3,0)</f>
        <v>1</v>
      </c>
      <c r="L384" s="20">
        <f t="shared" si="35"/>
        <v>-2E-3</v>
      </c>
      <c r="M384" s="235"/>
      <c r="N384" s="41"/>
      <c r="O384" s="150">
        <f t="shared" si="33"/>
        <v>1</v>
      </c>
      <c r="P384" s="41">
        <v>1327</v>
      </c>
      <c r="Q384" s="27">
        <f t="shared" si="34"/>
        <v>0.99924698795180722</v>
      </c>
      <c r="R384" s="23"/>
      <c r="S384" s="173"/>
      <c r="T384" s="30"/>
      <c r="U384" s="23"/>
      <c r="V384" s="458"/>
      <c r="W384" s="421"/>
      <c r="X384" s="458"/>
      <c r="Y384" s="421"/>
      <c r="Z384" s="421"/>
      <c r="AA384" s="421"/>
      <c r="AB384" s="421"/>
      <c r="AC384" s="421"/>
      <c r="AD384" s="421"/>
    </row>
    <row r="385" spans="1:30" s="22" customFormat="1" x14ac:dyDescent="0.4">
      <c r="A385" s="177" t="s">
        <v>742</v>
      </c>
      <c r="B385" s="149" t="s">
        <v>15</v>
      </c>
      <c r="C385" s="30" t="str">
        <f>VLOOKUP(B385,'112年全品項生產鍋數'!A:H,2,0)</f>
        <v>＃1桔子(1*3.2kg)</v>
      </c>
      <c r="D385" s="285">
        <v>28</v>
      </c>
      <c r="E385" s="48">
        <f>VLOOKUP(B385,'112年全品項生產鍋數'!A:H,3,0)</f>
        <v>3.2</v>
      </c>
      <c r="F385" s="45">
        <f>VLOOKUP(B385,'112年全品項生產鍋數'!A:H,7,0)</f>
        <v>46.4</v>
      </c>
      <c r="G385" s="49">
        <f t="shared" si="30"/>
        <v>1299.2</v>
      </c>
      <c r="H385" s="153">
        <v>1298</v>
      </c>
      <c r="I385" s="46">
        <f t="shared" si="31"/>
        <v>4153.6000000000004</v>
      </c>
      <c r="J385" s="100">
        <f t="shared" si="32"/>
        <v>0.99907635467980294</v>
      </c>
      <c r="K385" s="51">
        <f>VLOOKUP(B:B,'生產達成率(目標)'!A:C,3,0)</f>
        <v>1</v>
      </c>
      <c r="L385" s="20">
        <f t="shared" si="35"/>
        <v>-1E-3</v>
      </c>
      <c r="M385" s="235"/>
      <c r="N385" s="41"/>
      <c r="O385" s="150">
        <f t="shared" si="33"/>
        <v>2</v>
      </c>
      <c r="P385" s="41">
        <v>1296</v>
      </c>
      <c r="Q385" s="27">
        <f t="shared" si="34"/>
        <v>0.99845916795069334</v>
      </c>
      <c r="R385" s="23"/>
      <c r="S385" s="173"/>
      <c r="T385" s="30"/>
      <c r="U385" s="23"/>
      <c r="V385" s="458"/>
      <c r="W385" s="421"/>
      <c r="X385" s="458"/>
      <c r="Y385" s="421"/>
      <c r="Z385" s="421"/>
      <c r="AA385" s="421"/>
      <c r="AB385" s="421"/>
      <c r="AC385" s="421"/>
      <c r="AD385" s="421"/>
    </row>
    <row r="386" spans="1:30" s="22" customFormat="1" x14ac:dyDescent="0.4">
      <c r="A386" s="177" t="s">
        <v>742</v>
      </c>
      <c r="B386" s="149" t="s">
        <v>8</v>
      </c>
      <c r="C386" s="30" t="str">
        <f>VLOOKUP(B386,'112年全品項生產鍋數'!A:H,2,0)</f>
        <v>藍莓餡(1*6KG)</v>
      </c>
      <c r="D386" s="285">
        <v>12</v>
      </c>
      <c r="E386" s="48">
        <f>VLOOKUP(B386,'112年全品項生產鍋數'!A:H,3,0)</f>
        <v>6</v>
      </c>
      <c r="F386" s="45">
        <f>VLOOKUP(B386,'112年全品項生產鍋數'!A:H,7,0)</f>
        <v>25.4</v>
      </c>
      <c r="G386" s="49">
        <f t="shared" ref="G386:G449" si="36">D386*F386</f>
        <v>304.79999999999995</v>
      </c>
      <c r="H386" s="153">
        <v>303</v>
      </c>
      <c r="I386" s="46">
        <f t="shared" ref="I386:I449" si="37">H386*E386</f>
        <v>1818</v>
      </c>
      <c r="J386" s="100">
        <f t="shared" ref="J386:J449" si="38">IF(G386=0,"無法預估數據",H386/G386)</f>
        <v>0.9940944881889765</v>
      </c>
      <c r="K386" s="51">
        <f>VLOOKUP(B:B,'生產達成率(目標)'!A:C,3,0)</f>
        <v>1</v>
      </c>
      <c r="L386" s="20">
        <f t="shared" si="35"/>
        <v>-6.0000000000000001E-3</v>
      </c>
      <c r="M386" s="235"/>
      <c r="N386" s="41"/>
      <c r="O386" s="150">
        <f t="shared" ref="O386:O449" si="39">H386-N386-P386</f>
        <v>2</v>
      </c>
      <c r="P386" s="41">
        <v>301</v>
      </c>
      <c r="Q386" s="27">
        <f t="shared" ref="Q386:Q449" si="40">P386/H386</f>
        <v>0.99339933993399343</v>
      </c>
      <c r="R386" s="23"/>
      <c r="S386" s="173"/>
      <c r="T386" s="30"/>
      <c r="U386" s="23"/>
      <c r="V386" s="458"/>
      <c r="W386" s="421"/>
      <c r="X386" s="458"/>
      <c r="Y386" s="421"/>
      <c r="Z386" s="421"/>
      <c r="AA386" s="421"/>
      <c r="AB386" s="421"/>
      <c r="AC386" s="421"/>
      <c r="AD386" s="421"/>
    </row>
    <row r="387" spans="1:30" s="22" customFormat="1" x14ac:dyDescent="0.4">
      <c r="A387" s="177" t="s">
        <v>742</v>
      </c>
      <c r="B387" s="149" t="s">
        <v>7</v>
      </c>
      <c r="C387" s="30" t="str">
        <f>VLOOKUP(B387,'112年全品項生產鍋數'!A:H,2,0)</f>
        <v>草莓蒟蒻餡(1*6kg)</v>
      </c>
      <c r="D387" s="285">
        <v>28</v>
      </c>
      <c r="E387" s="48">
        <f>VLOOKUP(B387,'112年全品項生產鍋數'!A:H,3,0)</f>
        <v>6</v>
      </c>
      <c r="F387" s="45">
        <f>VLOOKUP(B387,'112年全品項生產鍋數'!A:H,7,0)</f>
        <v>25.7</v>
      </c>
      <c r="G387" s="49">
        <f t="shared" si="36"/>
        <v>719.6</v>
      </c>
      <c r="H387" s="153">
        <v>717</v>
      </c>
      <c r="I387" s="46">
        <f t="shared" si="37"/>
        <v>4302</v>
      </c>
      <c r="J387" s="100">
        <f t="shared" si="38"/>
        <v>0.9963868816008894</v>
      </c>
      <c r="K387" s="51">
        <f>VLOOKUP(B:B,'生產達成率(目標)'!A:C,3,0)</f>
        <v>1</v>
      </c>
      <c r="L387" s="20">
        <f t="shared" ref="L387:L450" si="41">IF(G387=0,"無法預估數據",ROUND(J387-K387,3))</f>
        <v>-4.0000000000000001E-3</v>
      </c>
      <c r="M387" s="235"/>
      <c r="N387" s="41"/>
      <c r="O387" s="150">
        <f t="shared" si="39"/>
        <v>4</v>
      </c>
      <c r="P387" s="41">
        <v>713</v>
      </c>
      <c r="Q387" s="27">
        <f t="shared" si="40"/>
        <v>0.99442119944211993</v>
      </c>
      <c r="R387" s="23"/>
      <c r="S387" s="173"/>
      <c r="T387" s="30"/>
      <c r="U387" s="23"/>
      <c r="V387" s="458"/>
      <c r="W387" s="421"/>
      <c r="X387" s="458"/>
      <c r="Y387" s="421"/>
      <c r="Z387" s="421"/>
      <c r="AA387" s="421"/>
      <c r="AB387" s="421"/>
      <c r="AC387" s="421"/>
      <c r="AD387" s="421"/>
    </row>
    <row r="388" spans="1:30" s="22" customFormat="1" x14ac:dyDescent="0.4">
      <c r="A388" s="177" t="s">
        <v>742</v>
      </c>
      <c r="B388" s="149" t="s">
        <v>9</v>
      </c>
      <c r="C388" s="30" t="str">
        <f>VLOOKUP(B388,'112年全品項生產鍋數'!A:H,2,0)</f>
        <v>＃1花生(1*2.8kg)</v>
      </c>
      <c r="D388" s="285">
        <v>60</v>
      </c>
      <c r="E388" s="48">
        <f>VLOOKUP(B388,'112年全品項生產鍋數'!A:H,3,0)</f>
        <v>2.8</v>
      </c>
      <c r="F388" s="45">
        <f>VLOOKUP(B388,'112年全品項生產鍋數'!A:H,7,0)</f>
        <v>44.5</v>
      </c>
      <c r="G388" s="49">
        <f t="shared" si="36"/>
        <v>2670</v>
      </c>
      <c r="H388" s="153">
        <v>2682</v>
      </c>
      <c r="I388" s="46">
        <f t="shared" si="37"/>
        <v>7509.5999999999995</v>
      </c>
      <c r="J388" s="100">
        <f t="shared" si="38"/>
        <v>1.0044943820224719</v>
      </c>
      <c r="K388" s="51">
        <f>VLOOKUP(B:B,'生產達成率(目標)'!A:C,3,0)</f>
        <v>1</v>
      </c>
      <c r="L388" s="20">
        <f t="shared" si="41"/>
        <v>4.0000000000000001E-3</v>
      </c>
      <c r="M388" s="235"/>
      <c r="N388" s="41"/>
      <c r="O388" s="150">
        <f t="shared" si="39"/>
        <v>1</v>
      </c>
      <c r="P388" s="41">
        <v>2681</v>
      </c>
      <c r="Q388" s="27">
        <f t="shared" si="40"/>
        <v>0.99962714392244589</v>
      </c>
      <c r="R388" s="23"/>
      <c r="S388" s="173"/>
      <c r="T388" s="30"/>
      <c r="U388" s="23"/>
      <c r="V388" s="458"/>
      <c r="W388" s="421"/>
      <c r="X388" s="458"/>
      <c r="Y388" s="421"/>
      <c r="Z388" s="421"/>
      <c r="AA388" s="421"/>
      <c r="AB388" s="421"/>
      <c r="AC388" s="421"/>
      <c r="AD388" s="421"/>
    </row>
    <row r="389" spans="1:30" s="22" customFormat="1" x14ac:dyDescent="0.4">
      <c r="A389" s="177" t="s">
        <v>743</v>
      </c>
      <c r="B389" s="149" t="s">
        <v>6</v>
      </c>
      <c r="C389" s="30" t="str">
        <f>VLOOKUP(B389,'112年全品項生產鍋數'!A:H,2,0)</f>
        <v>大圓草莓-新</v>
      </c>
      <c r="D389" s="285">
        <v>40</v>
      </c>
      <c r="E389" s="48">
        <f>VLOOKUP(B389,'112年全品項生產鍋數'!A:H,3,0)</f>
        <v>0.44</v>
      </c>
      <c r="F389" s="45">
        <f>VLOOKUP(B389,'112年全品項生產鍋數'!A:H,7,0)</f>
        <v>344</v>
      </c>
      <c r="G389" s="49">
        <f t="shared" si="36"/>
        <v>13760</v>
      </c>
      <c r="H389" s="153">
        <v>13860</v>
      </c>
      <c r="I389" s="46">
        <f t="shared" si="37"/>
        <v>6098.4</v>
      </c>
      <c r="J389" s="100">
        <f t="shared" si="38"/>
        <v>1.007267441860465</v>
      </c>
      <c r="K389" s="51">
        <f>VLOOKUP(B:B,'生產達成率(目標)'!A:C,3,0)</f>
        <v>1</v>
      </c>
      <c r="L389" s="20">
        <f t="shared" si="41"/>
        <v>7.0000000000000001E-3</v>
      </c>
      <c r="M389" s="235"/>
      <c r="N389" s="41"/>
      <c r="O389" s="150">
        <f t="shared" si="39"/>
        <v>13</v>
      </c>
      <c r="P389" s="41">
        <v>13847</v>
      </c>
      <c r="Q389" s="27">
        <f t="shared" si="40"/>
        <v>0.9990620490620491</v>
      </c>
      <c r="R389" s="23"/>
      <c r="S389" s="173"/>
      <c r="T389" s="30"/>
      <c r="U389" s="23"/>
      <c r="V389" s="458"/>
      <c r="W389" s="421"/>
      <c r="X389" s="458"/>
      <c r="Y389" s="421"/>
      <c r="Z389" s="421"/>
      <c r="AA389" s="421"/>
      <c r="AB389" s="421"/>
      <c r="AC389" s="421"/>
      <c r="AD389" s="421"/>
    </row>
    <row r="390" spans="1:30" s="22" customFormat="1" x14ac:dyDescent="0.4">
      <c r="A390" s="177" t="s">
        <v>743</v>
      </c>
      <c r="B390" s="149" t="s">
        <v>355</v>
      </c>
      <c r="C390" s="30" t="str">
        <f>VLOOKUP(B390,'112年全品項生產鍋數'!A:H,2,0)</f>
        <v>蘋果餡(1*6Kg)</v>
      </c>
      <c r="D390" s="285">
        <v>8</v>
      </c>
      <c r="E390" s="48">
        <f>VLOOKUP(B390,'112年全品項生產鍋數'!A:H,3,0)</f>
        <v>6</v>
      </c>
      <c r="F390" s="45">
        <f>VLOOKUP(B390,'112年全品項生產鍋數'!A:H,7,0)</f>
        <v>25.3</v>
      </c>
      <c r="G390" s="49">
        <f t="shared" si="36"/>
        <v>202.4</v>
      </c>
      <c r="H390" s="153">
        <v>204</v>
      </c>
      <c r="I390" s="46">
        <f t="shared" si="37"/>
        <v>1224</v>
      </c>
      <c r="J390" s="100">
        <f t="shared" si="38"/>
        <v>1.0079051383399209</v>
      </c>
      <c r="K390" s="51">
        <f>VLOOKUP(B:B,'生產達成率(目標)'!A:C,3,0)</f>
        <v>1</v>
      </c>
      <c r="L390" s="20">
        <f t="shared" si="41"/>
        <v>8.0000000000000002E-3</v>
      </c>
      <c r="M390" s="235"/>
      <c r="N390" s="41"/>
      <c r="O390" s="150">
        <f t="shared" si="39"/>
        <v>1</v>
      </c>
      <c r="P390" s="41">
        <v>203</v>
      </c>
      <c r="Q390" s="27">
        <f t="shared" si="40"/>
        <v>0.99509803921568629</v>
      </c>
      <c r="R390" s="23"/>
      <c r="S390" s="173"/>
      <c r="T390" s="30"/>
      <c r="U390" s="23"/>
      <c r="V390" s="458"/>
      <c r="W390" s="421"/>
      <c r="X390" s="458"/>
      <c r="Y390" s="421"/>
      <c r="Z390" s="421"/>
      <c r="AA390" s="421"/>
      <c r="AB390" s="421"/>
      <c r="AC390" s="421"/>
      <c r="AD390" s="421"/>
    </row>
    <row r="391" spans="1:30" s="22" customFormat="1" x14ac:dyDescent="0.4">
      <c r="A391" s="177" t="s">
        <v>743</v>
      </c>
      <c r="B391" s="149" t="s">
        <v>7</v>
      </c>
      <c r="C391" s="30" t="str">
        <f>VLOOKUP(B391,'112年全品項生產鍋數'!A:H,2,0)</f>
        <v>草莓蒟蒻餡(1*6kg)</v>
      </c>
      <c r="D391" s="285">
        <v>32</v>
      </c>
      <c r="E391" s="48">
        <f>VLOOKUP(B391,'112年全品項生產鍋數'!A:H,3,0)</f>
        <v>6</v>
      </c>
      <c r="F391" s="45">
        <f>VLOOKUP(B391,'112年全品項生產鍋數'!A:H,7,0)</f>
        <v>25.7</v>
      </c>
      <c r="G391" s="49">
        <f t="shared" si="36"/>
        <v>822.4</v>
      </c>
      <c r="H391" s="153">
        <v>817</v>
      </c>
      <c r="I391" s="46">
        <f t="shared" si="37"/>
        <v>4902</v>
      </c>
      <c r="J391" s="100">
        <f t="shared" si="38"/>
        <v>0.99343385214007784</v>
      </c>
      <c r="K391" s="51">
        <f>VLOOKUP(B:B,'生產達成率(目標)'!A:C,3,0)</f>
        <v>1</v>
      </c>
      <c r="L391" s="20">
        <f t="shared" si="41"/>
        <v>-7.0000000000000001E-3</v>
      </c>
      <c r="M391" s="235"/>
      <c r="N391" s="41"/>
      <c r="O391" s="150">
        <f t="shared" si="39"/>
        <v>6</v>
      </c>
      <c r="P391" s="41">
        <v>811</v>
      </c>
      <c r="Q391" s="27">
        <f t="shared" si="40"/>
        <v>0.99265605875152996</v>
      </c>
      <c r="R391" s="23"/>
      <c r="S391" s="173"/>
      <c r="T391" s="30"/>
      <c r="U391" s="23"/>
      <c r="V391" s="458"/>
      <c r="W391" s="421"/>
      <c r="X391" s="458"/>
      <c r="Y391" s="421"/>
      <c r="Z391" s="421"/>
      <c r="AA391" s="421"/>
      <c r="AB391" s="421"/>
      <c r="AC391" s="421"/>
      <c r="AD391" s="421"/>
    </row>
    <row r="392" spans="1:30" s="22" customFormat="1" x14ac:dyDescent="0.4">
      <c r="A392" s="177" t="s">
        <v>743</v>
      </c>
      <c r="B392" s="149" t="s">
        <v>33</v>
      </c>
      <c r="C392" s="30" t="str">
        <f>VLOOKUP(B392,'112年全品項生產鍋數'!A:H,2,0)</f>
        <v>深烤焙花生醬(1*18KG)</v>
      </c>
      <c r="D392" s="285">
        <v>28</v>
      </c>
      <c r="E392" s="48">
        <f>VLOOKUP(B392,'112年全品項生產鍋數'!A:H,3,0)</f>
        <v>18</v>
      </c>
      <c r="F392" s="45">
        <f>VLOOKUP(B392,'112年全品項生產鍋數'!A:H,7,0)</f>
        <v>6.9</v>
      </c>
      <c r="G392" s="49">
        <f t="shared" si="36"/>
        <v>193.20000000000002</v>
      </c>
      <c r="H392" s="153">
        <v>200</v>
      </c>
      <c r="I392" s="46">
        <f t="shared" si="37"/>
        <v>3600</v>
      </c>
      <c r="J392" s="100">
        <f t="shared" si="38"/>
        <v>1.0351966873706002</v>
      </c>
      <c r="K392" s="51">
        <f>VLOOKUP(B:B,'生產達成率(目標)'!A:C,3,0)</f>
        <v>1</v>
      </c>
      <c r="L392" s="20">
        <f t="shared" si="41"/>
        <v>3.5000000000000003E-2</v>
      </c>
      <c r="M392" s="235"/>
      <c r="N392" s="41"/>
      <c r="O392" s="150">
        <f t="shared" si="39"/>
        <v>1</v>
      </c>
      <c r="P392" s="41">
        <v>199</v>
      </c>
      <c r="Q392" s="27">
        <f t="shared" si="40"/>
        <v>0.995</v>
      </c>
      <c r="R392" s="23"/>
      <c r="S392" s="173"/>
      <c r="T392" s="30"/>
      <c r="U392" s="23"/>
      <c r="V392" s="458"/>
      <c r="W392" s="421"/>
      <c r="X392" s="458"/>
      <c r="Y392" s="421"/>
      <c r="Z392" s="421"/>
      <c r="AA392" s="421"/>
      <c r="AB392" s="421"/>
      <c r="AC392" s="421"/>
      <c r="AD392" s="421"/>
    </row>
    <row r="393" spans="1:30" s="22" customFormat="1" x14ac:dyDescent="0.4">
      <c r="A393" s="177" t="s">
        <v>743</v>
      </c>
      <c r="B393" s="149" t="s">
        <v>34</v>
      </c>
      <c r="C393" s="30" t="str">
        <f>VLOOKUP(B393,'112年全品項生產鍋數'!A:H,2,0)</f>
        <v>花生醬(1*18KG)</v>
      </c>
      <c r="D393" s="285">
        <v>20</v>
      </c>
      <c r="E393" s="48">
        <f>VLOOKUP(B393,'112年全品項生產鍋數'!A:H,3,0)</f>
        <v>18</v>
      </c>
      <c r="F393" s="45">
        <f>VLOOKUP(B393,'112年全品項生產鍋數'!A:H,7,0)</f>
        <v>6.9</v>
      </c>
      <c r="G393" s="49">
        <f t="shared" si="36"/>
        <v>138</v>
      </c>
      <c r="H393" s="153">
        <v>139</v>
      </c>
      <c r="I393" s="46">
        <f t="shared" si="37"/>
        <v>2502</v>
      </c>
      <c r="J393" s="100">
        <f t="shared" si="38"/>
        <v>1.0072463768115942</v>
      </c>
      <c r="K393" s="51">
        <f>VLOOKUP(B:B,'生產達成率(目標)'!A:C,3,0)</f>
        <v>1</v>
      </c>
      <c r="L393" s="20">
        <f t="shared" si="41"/>
        <v>7.0000000000000001E-3</v>
      </c>
      <c r="M393" s="235"/>
      <c r="N393" s="41"/>
      <c r="O393" s="150">
        <f t="shared" si="39"/>
        <v>0</v>
      </c>
      <c r="P393" s="41">
        <v>139</v>
      </c>
      <c r="Q393" s="27">
        <f t="shared" si="40"/>
        <v>1</v>
      </c>
      <c r="R393" s="23"/>
      <c r="S393" s="173"/>
      <c r="T393" s="30"/>
      <c r="U393" s="23"/>
      <c r="V393" s="458"/>
      <c r="W393" s="421"/>
      <c r="X393" s="458"/>
      <c r="Y393" s="421"/>
      <c r="Z393" s="421"/>
      <c r="AA393" s="421"/>
      <c r="AB393" s="421"/>
      <c r="AC393" s="421"/>
      <c r="AD393" s="421"/>
    </row>
    <row r="394" spans="1:30" s="22" customFormat="1" x14ac:dyDescent="0.4">
      <c r="A394" s="177" t="s">
        <v>744</v>
      </c>
      <c r="B394" s="149" t="s">
        <v>1</v>
      </c>
      <c r="C394" s="30" t="str">
        <f>VLOOKUP(B394,'112年全品項生產鍋數'!A:H,2,0)</f>
        <v>藍莓醬(1*6kg)</v>
      </c>
      <c r="D394" s="285">
        <v>18</v>
      </c>
      <c r="E394" s="48">
        <f>VLOOKUP(B394,'112年全品項生產鍋數'!A:H,3,0)</f>
        <v>6</v>
      </c>
      <c r="F394" s="45">
        <f>VLOOKUP(B394,'112年全品項生產鍋數'!A:H,7,0)</f>
        <v>25.5</v>
      </c>
      <c r="G394" s="49">
        <f t="shared" si="36"/>
        <v>459</v>
      </c>
      <c r="H394" s="153">
        <v>467</v>
      </c>
      <c r="I394" s="46">
        <f t="shared" si="37"/>
        <v>2802</v>
      </c>
      <c r="J394" s="100">
        <f t="shared" si="38"/>
        <v>1.0174291938997821</v>
      </c>
      <c r="K394" s="51">
        <f>VLOOKUP(B:B,'生產達成率(目標)'!A:C,3,0)</f>
        <v>1</v>
      </c>
      <c r="L394" s="20">
        <f t="shared" si="41"/>
        <v>1.7000000000000001E-2</v>
      </c>
      <c r="M394" s="235"/>
      <c r="N394" s="41"/>
      <c r="O394" s="150">
        <f t="shared" si="39"/>
        <v>1</v>
      </c>
      <c r="P394" s="41">
        <v>466</v>
      </c>
      <c r="Q394" s="27">
        <f t="shared" si="40"/>
        <v>0.99785867237687365</v>
      </c>
      <c r="R394" s="23"/>
      <c r="S394" s="173"/>
      <c r="T394" s="30"/>
      <c r="U394" s="23"/>
      <c r="V394" s="458"/>
      <c r="W394" s="421"/>
      <c r="X394" s="458"/>
      <c r="Y394" s="421"/>
      <c r="Z394" s="421"/>
      <c r="AA394" s="421"/>
      <c r="AB394" s="421"/>
      <c r="AC394" s="421"/>
      <c r="AD394" s="421"/>
    </row>
    <row r="395" spans="1:30" s="22" customFormat="1" x14ac:dyDescent="0.4">
      <c r="A395" s="177" t="s">
        <v>744</v>
      </c>
      <c r="B395" s="149" t="s">
        <v>150</v>
      </c>
      <c r="C395" s="30" t="str">
        <f>VLOOKUP(B395,'112年全品項生產鍋數'!A:H,2,0)</f>
        <v>鳳梨芒果百香果醬(1*6KG)</v>
      </c>
      <c r="D395" s="285">
        <v>6</v>
      </c>
      <c r="E395" s="48">
        <f>VLOOKUP(B395,'112年全品項生產鍋數'!A:H,3,0)</f>
        <v>6</v>
      </c>
      <c r="F395" s="45">
        <f>VLOOKUP(B395,'112年全品項生產鍋數'!A:H,7,0)</f>
        <v>25.7</v>
      </c>
      <c r="G395" s="49">
        <f t="shared" si="36"/>
        <v>154.19999999999999</v>
      </c>
      <c r="H395" s="153">
        <v>149</v>
      </c>
      <c r="I395" s="46">
        <f t="shared" si="37"/>
        <v>894</v>
      </c>
      <c r="J395" s="100">
        <f t="shared" si="38"/>
        <v>0.96627756160830103</v>
      </c>
      <c r="K395" s="51">
        <f>VLOOKUP(B:B,'生產達成率(目標)'!A:C,3,0)</f>
        <v>1</v>
      </c>
      <c r="L395" s="20">
        <f t="shared" si="41"/>
        <v>-3.4000000000000002E-2</v>
      </c>
      <c r="M395" s="235"/>
      <c r="N395" s="41"/>
      <c r="O395" s="150">
        <f t="shared" si="39"/>
        <v>1</v>
      </c>
      <c r="P395" s="41">
        <v>148</v>
      </c>
      <c r="Q395" s="27">
        <f t="shared" si="40"/>
        <v>0.99328859060402686</v>
      </c>
      <c r="R395" s="23"/>
      <c r="S395" s="173"/>
      <c r="T395" s="30"/>
      <c r="U395" s="23"/>
      <c r="V395" s="458"/>
      <c r="W395" s="421"/>
      <c r="X395" s="458"/>
      <c r="Y395" s="421"/>
      <c r="Z395" s="421"/>
      <c r="AA395" s="421"/>
      <c r="AB395" s="421"/>
      <c r="AC395" s="421"/>
      <c r="AD395" s="421"/>
    </row>
    <row r="396" spans="1:30" s="22" customFormat="1" x14ac:dyDescent="0.4">
      <c r="A396" s="177" t="s">
        <v>744</v>
      </c>
      <c r="B396" s="149" t="s">
        <v>72</v>
      </c>
      <c r="C396" s="30" t="str">
        <f>VLOOKUP(B396,'112年全品項生產鍋數'!A:H,2,0)</f>
        <v>草莓餡45%(1*6Kg)</v>
      </c>
      <c r="D396" s="285">
        <v>12</v>
      </c>
      <c r="E396" s="48">
        <f>VLOOKUP(B396,'112年全品項生產鍋數'!A:H,3,0)</f>
        <v>6</v>
      </c>
      <c r="F396" s="45">
        <f>VLOOKUP(B396,'112年全品項生產鍋數'!A:H,7,0)</f>
        <v>26.1</v>
      </c>
      <c r="G396" s="49">
        <f t="shared" si="36"/>
        <v>313.20000000000005</v>
      </c>
      <c r="H396" s="153">
        <v>315</v>
      </c>
      <c r="I396" s="46">
        <f t="shared" si="37"/>
        <v>1890</v>
      </c>
      <c r="J396" s="100">
        <f t="shared" si="38"/>
        <v>1.0057471264367814</v>
      </c>
      <c r="K396" s="51">
        <f>VLOOKUP(B:B,'生產達成率(目標)'!A:C,3,0)</f>
        <v>1</v>
      </c>
      <c r="L396" s="20">
        <f t="shared" si="41"/>
        <v>6.0000000000000001E-3</v>
      </c>
      <c r="M396" s="235"/>
      <c r="N396" s="41"/>
      <c r="O396" s="150">
        <f t="shared" si="39"/>
        <v>1</v>
      </c>
      <c r="P396" s="41">
        <v>314</v>
      </c>
      <c r="Q396" s="27">
        <f t="shared" si="40"/>
        <v>0.99682539682539684</v>
      </c>
      <c r="R396" s="28"/>
      <c r="S396" s="173"/>
      <c r="T396" s="30"/>
      <c r="U396" s="23"/>
      <c r="V396" s="458"/>
      <c r="W396" s="421"/>
      <c r="X396" s="458"/>
      <c r="Y396" s="421"/>
      <c r="Z396" s="421"/>
      <c r="AA396" s="421"/>
      <c r="AB396" s="421"/>
      <c r="AC396" s="421"/>
      <c r="AD396" s="421"/>
    </row>
    <row r="397" spans="1:30" s="22" customFormat="1" x14ac:dyDescent="0.4">
      <c r="A397" s="177" t="s">
        <v>744</v>
      </c>
      <c r="B397" s="149" t="s">
        <v>140</v>
      </c>
      <c r="C397" s="30" t="str">
        <f>VLOOKUP(B397,'112年全品項生產鍋數'!A:H,2,0)</f>
        <v>草莓餡(1*6Kg)</v>
      </c>
      <c r="D397" s="285">
        <v>12</v>
      </c>
      <c r="E397" s="48">
        <f>VLOOKUP(B397,'112年全品項生產鍋數'!A:H,3,0)</f>
        <v>6</v>
      </c>
      <c r="F397" s="45">
        <f>VLOOKUP(B397,'112年全品項生產鍋數'!A:H,7,0)</f>
        <v>25.5</v>
      </c>
      <c r="G397" s="49">
        <f t="shared" si="36"/>
        <v>306</v>
      </c>
      <c r="H397" s="153">
        <v>309</v>
      </c>
      <c r="I397" s="46">
        <f t="shared" si="37"/>
        <v>1854</v>
      </c>
      <c r="J397" s="100">
        <f t="shared" si="38"/>
        <v>1.0098039215686274</v>
      </c>
      <c r="K397" s="51">
        <f>VLOOKUP(B:B,'生產達成率(目標)'!A:C,3,0)</f>
        <v>1</v>
      </c>
      <c r="L397" s="20">
        <f t="shared" si="41"/>
        <v>0.01</v>
      </c>
      <c r="M397" s="235"/>
      <c r="N397" s="41"/>
      <c r="O397" s="150">
        <f t="shared" si="39"/>
        <v>1</v>
      </c>
      <c r="P397" s="41">
        <v>308</v>
      </c>
      <c r="Q397" s="27">
        <f t="shared" si="40"/>
        <v>0.99676375404530748</v>
      </c>
      <c r="R397" s="23"/>
      <c r="S397" s="173"/>
      <c r="T397" s="30"/>
      <c r="U397" s="23"/>
      <c r="V397" s="458"/>
      <c r="W397" s="421"/>
      <c r="X397" s="458"/>
      <c r="Y397" s="421"/>
      <c r="Z397" s="421"/>
      <c r="AA397" s="421"/>
      <c r="AB397" s="421"/>
      <c r="AC397" s="421"/>
      <c r="AD397" s="421"/>
    </row>
    <row r="398" spans="1:30" s="22" customFormat="1" x14ac:dyDescent="0.4">
      <c r="A398" s="177" t="s">
        <v>744</v>
      </c>
      <c r="B398" s="149" t="s">
        <v>32</v>
      </c>
      <c r="C398" s="30" t="str">
        <f>VLOOKUP(B398,'112年全品項生產鍋數'!A:H,2,0)</f>
        <v>草莓醬(1*6Kg)</v>
      </c>
      <c r="D398" s="285">
        <v>12</v>
      </c>
      <c r="E398" s="48">
        <f>VLOOKUP(B398,'112年全品項生產鍋數'!A:H,3,0)</f>
        <v>6</v>
      </c>
      <c r="F398" s="45">
        <f>VLOOKUP(B398,'112年全品項生產鍋數'!A:H,7,0)</f>
        <v>25.5</v>
      </c>
      <c r="G398" s="49">
        <f t="shared" si="36"/>
        <v>306</v>
      </c>
      <c r="H398" s="153">
        <v>308</v>
      </c>
      <c r="I398" s="46">
        <f t="shared" si="37"/>
        <v>1848</v>
      </c>
      <c r="J398" s="100">
        <f t="shared" si="38"/>
        <v>1.0065359477124183</v>
      </c>
      <c r="K398" s="51">
        <f>VLOOKUP(B:B,'生產達成率(目標)'!A:C,3,0)</f>
        <v>1</v>
      </c>
      <c r="L398" s="20">
        <f t="shared" si="41"/>
        <v>7.0000000000000001E-3</v>
      </c>
      <c r="M398" s="235"/>
      <c r="N398" s="41"/>
      <c r="O398" s="150">
        <f t="shared" si="39"/>
        <v>1</v>
      </c>
      <c r="P398" s="41">
        <v>307</v>
      </c>
      <c r="Q398" s="27">
        <f t="shared" si="40"/>
        <v>0.99675324675324672</v>
      </c>
      <c r="R398" s="23"/>
      <c r="S398" s="173"/>
      <c r="T398" s="30"/>
      <c r="U398" s="23"/>
      <c r="V398" s="458"/>
      <c r="W398" s="421"/>
      <c r="X398" s="458"/>
      <c r="Y398" s="421"/>
      <c r="Z398" s="421"/>
      <c r="AA398" s="421"/>
      <c r="AB398" s="421"/>
      <c r="AC398" s="421"/>
      <c r="AD398" s="421"/>
    </row>
    <row r="399" spans="1:30" s="22" customFormat="1" x14ac:dyDescent="0.4">
      <c r="A399" s="177" t="s">
        <v>744</v>
      </c>
      <c r="B399" s="149" t="s">
        <v>146</v>
      </c>
      <c r="C399" s="30" t="str">
        <f>VLOOKUP(B399,'112年全品項生產鍋數'!A:H,2,0)</f>
        <v>草莓餡(1*4.5kg)</v>
      </c>
      <c r="D399" s="285">
        <v>4</v>
      </c>
      <c r="E399" s="48">
        <f>VLOOKUP(B399,'112年全品項生產鍋數'!A:H,3,0)</f>
        <v>4.5</v>
      </c>
      <c r="F399" s="45">
        <f>VLOOKUP(B399,'112年全品項生產鍋數'!A:H,7,0)</f>
        <v>34.5</v>
      </c>
      <c r="G399" s="49">
        <f t="shared" si="36"/>
        <v>138</v>
      </c>
      <c r="H399" s="153">
        <v>139</v>
      </c>
      <c r="I399" s="46">
        <f t="shared" si="37"/>
        <v>625.5</v>
      </c>
      <c r="J399" s="100">
        <f t="shared" si="38"/>
        <v>1.0072463768115942</v>
      </c>
      <c r="K399" s="51">
        <f>VLOOKUP(B:B,'生產達成率(目標)'!A:C,3,0)</f>
        <v>1</v>
      </c>
      <c r="L399" s="20">
        <f t="shared" si="41"/>
        <v>7.0000000000000001E-3</v>
      </c>
      <c r="M399" s="235"/>
      <c r="N399" s="41"/>
      <c r="O399" s="150">
        <f t="shared" si="39"/>
        <v>0</v>
      </c>
      <c r="P399" s="41">
        <v>139</v>
      </c>
      <c r="Q399" s="27">
        <f t="shared" si="40"/>
        <v>1</v>
      </c>
      <c r="R399" s="23"/>
      <c r="S399" s="173"/>
      <c r="T399" s="30"/>
      <c r="U399" s="23"/>
      <c r="V399" s="458"/>
      <c r="W399" s="421"/>
      <c r="X399" s="458"/>
      <c r="Y399" s="421"/>
      <c r="Z399" s="421"/>
      <c r="AA399" s="421"/>
      <c r="AB399" s="421"/>
      <c r="AC399" s="421"/>
      <c r="AD399" s="421"/>
    </row>
    <row r="400" spans="1:30" s="22" customFormat="1" x14ac:dyDescent="0.4">
      <c r="A400" s="177" t="s">
        <v>744</v>
      </c>
      <c r="B400" s="149" t="s">
        <v>22</v>
      </c>
      <c r="C400" s="30" t="str">
        <f>VLOOKUP(B400,'112年全品項生產鍋數'!A:H,2,0)</f>
        <v>PET瓶花生(1*340g)</v>
      </c>
      <c r="D400" s="285">
        <v>16</v>
      </c>
      <c r="E400" s="48">
        <f>VLOOKUP(B400,'112年全品項生產鍋數'!A:H,3,0)</f>
        <v>0.34</v>
      </c>
      <c r="F400" s="45">
        <f>VLOOKUP(B400,'112年全品項生產鍋數'!A:H,7,0)</f>
        <v>358.3</v>
      </c>
      <c r="G400" s="49">
        <f t="shared" si="36"/>
        <v>5732.8</v>
      </c>
      <c r="H400" s="153">
        <v>5665</v>
      </c>
      <c r="I400" s="46">
        <f t="shared" si="37"/>
        <v>1926.1000000000001</v>
      </c>
      <c r="J400" s="100">
        <f t="shared" si="38"/>
        <v>0.98817331844822776</v>
      </c>
      <c r="K400" s="51">
        <f>VLOOKUP(B:B,'生產達成率(目標)'!A:C,3,0)</f>
        <v>1</v>
      </c>
      <c r="L400" s="20">
        <f t="shared" si="41"/>
        <v>-1.2E-2</v>
      </c>
      <c r="M400" s="235"/>
      <c r="N400" s="41"/>
      <c r="O400" s="150">
        <f t="shared" si="39"/>
        <v>5</v>
      </c>
      <c r="P400" s="41">
        <v>5660</v>
      </c>
      <c r="Q400" s="27">
        <f t="shared" si="40"/>
        <v>0.99911738746690204</v>
      </c>
      <c r="R400" s="23"/>
      <c r="S400" s="173"/>
      <c r="T400" s="30"/>
      <c r="U400" s="23"/>
      <c r="V400" s="458"/>
      <c r="W400" s="421"/>
      <c r="X400" s="458"/>
      <c r="Y400" s="421"/>
      <c r="Z400" s="421"/>
      <c r="AA400" s="421"/>
      <c r="AB400" s="421"/>
      <c r="AC400" s="421"/>
      <c r="AD400" s="421"/>
    </row>
    <row r="401" spans="1:30" s="22" customFormat="1" x14ac:dyDescent="0.4">
      <c r="A401" s="177" t="s">
        <v>745</v>
      </c>
      <c r="B401" s="149" t="s">
        <v>12</v>
      </c>
      <c r="C401" s="30" t="str">
        <f>VLOOKUP(B401,'112年全品項生產鍋數'!A:H,2,0)</f>
        <v>＃1草莓(1*3.2kg)</v>
      </c>
      <c r="D401" s="285">
        <v>60</v>
      </c>
      <c r="E401" s="48">
        <f>VLOOKUP(B401,'112年全品項生產鍋數'!A:H,3,0)</f>
        <v>3.2</v>
      </c>
      <c r="F401" s="45">
        <f>VLOOKUP(B401,'112年全品項生產鍋數'!A:H,7,0)</f>
        <v>46.8</v>
      </c>
      <c r="G401" s="49">
        <f t="shared" si="36"/>
        <v>2808</v>
      </c>
      <c r="H401" s="153">
        <v>2838</v>
      </c>
      <c r="I401" s="46">
        <f t="shared" si="37"/>
        <v>9081.6</v>
      </c>
      <c r="J401" s="100">
        <f t="shared" si="38"/>
        <v>1.0106837606837606</v>
      </c>
      <c r="K401" s="51">
        <f>VLOOKUP(B:B,'生產達成率(目標)'!A:C,3,0)</f>
        <v>1</v>
      </c>
      <c r="L401" s="20">
        <f t="shared" si="41"/>
        <v>1.0999999999999999E-2</v>
      </c>
      <c r="M401" s="235"/>
      <c r="N401" s="41"/>
      <c r="O401" s="150">
        <f t="shared" si="39"/>
        <v>2</v>
      </c>
      <c r="P401" s="41">
        <v>2836</v>
      </c>
      <c r="Q401" s="27">
        <f t="shared" si="40"/>
        <v>0.99929527836504584</v>
      </c>
      <c r="R401" s="23"/>
      <c r="S401" s="173"/>
      <c r="T401" s="30"/>
      <c r="U401" s="23"/>
      <c r="V401" s="458"/>
      <c r="W401" s="421"/>
      <c r="X401" s="458"/>
      <c r="Y401" s="421"/>
      <c r="Z401" s="421"/>
      <c r="AA401" s="421"/>
      <c r="AB401" s="421"/>
      <c r="AC401" s="421"/>
      <c r="AD401" s="421"/>
    </row>
    <row r="402" spans="1:30" s="22" customFormat="1" x14ac:dyDescent="0.4">
      <c r="A402" s="177" t="s">
        <v>745</v>
      </c>
      <c r="B402" s="149" t="s">
        <v>8</v>
      </c>
      <c r="C402" s="30" t="str">
        <f>VLOOKUP(B402,'112年全品項生產鍋數'!A:H,2,0)</f>
        <v>藍莓餡(1*6KG)</v>
      </c>
      <c r="D402" s="285">
        <v>24</v>
      </c>
      <c r="E402" s="48">
        <f>VLOOKUP(B402,'112年全品項生產鍋數'!A:H,3,0)</f>
        <v>6</v>
      </c>
      <c r="F402" s="45">
        <f>VLOOKUP(B402,'112年全品項生產鍋數'!A:H,7,0)</f>
        <v>25.4</v>
      </c>
      <c r="G402" s="49">
        <f t="shared" si="36"/>
        <v>609.59999999999991</v>
      </c>
      <c r="H402" s="153">
        <v>619</v>
      </c>
      <c r="I402" s="46">
        <f t="shared" si="37"/>
        <v>3714</v>
      </c>
      <c r="J402" s="100">
        <f t="shared" si="38"/>
        <v>1.0154199475065617</v>
      </c>
      <c r="K402" s="51">
        <f>VLOOKUP(B:B,'生產達成率(目標)'!A:C,3,0)</f>
        <v>1</v>
      </c>
      <c r="L402" s="20">
        <f t="shared" si="41"/>
        <v>1.4999999999999999E-2</v>
      </c>
      <c r="M402" s="235"/>
      <c r="N402" s="41"/>
      <c r="O402" s="150">
        <f t="shared" si="39"/>
        <v>3</v>
      </c>
      <c r="P402" s="41">
        <v>616</v>
      </c>
      <c r="Q402" s="27">
        <f t="shared" si="40"/>
        <v>0.99515347334410342</v>
      </c>
      <c r="R402" s="23"/>
      <c r="S402" s="173"/>
      <c r="T402" s="30"/>
      <c r="U402" s="23"/>
      <c r="V402" s="458"/>
      <c r="W402" s="421"/>
      <c r="X402" s="458"/>
      <c r="Y402" s="421"/>
      <c r="Z402" s="421"/>
      <c r="AA402" s="421"/>
      <c r="AB402" s="421"/>
      <c r="AC402" s="421"/>
      <c r="AD402" s="421"/>
    </row>
    <row r="403" spans="1:30" s="22" customFormat="1" x14ac:dyDescent="0.4">
      <c r="A403" s="177" t="s">
        <v>745</v>
      </c>
      <c r="B403" s="149" t="s">
        <v>7</v>
      </c>
      <c r="C403" s="30" t="str">
        <f>VLOOKUP(B403,'112年全品項生產鍋數'!A:H,2,0)</f>
        <v>草莓蒟蒻餡(1*6kg)</v>
      </c>
      <c r="D403" s="285">
        <v>20</v>
      </c>
      <c r="E403" s="48">
        <f>VLOOKUP(B403,'112年全品項生產鍋數'!A:H,3,0)</f>
        <v>6</v>
      </c>
      <c r="F403" s="45">
        <f>VLOOKUP(B403,'112年全品項生產鍋數'!A:H,7,0)</f>
        <v>25.7</v>
      </c>
      <c r="G403" s="49">
        <f t="shared" si="36"/>
        <v>514</v>
      </c>
      <c r="H403" s="153">
        <v>515</v>
      </c>
      <c r="I403" s="46">
        <f t="shared" si="37"/>
        <v>3090</v>
      </c>
      <c r="J403" s="100">
        <f t="shared" si="38"/>
        <v>1.0019455252918288</v>
      </c>
      <c r="K403" s="51">
        <f>VLOOKUP(B:B,'生產達成率(目標)'!A:C,3,0)</f>
        <v>1</v>
      </c>
      <c r="L403" s="20">
        <f t="shared" si="41"/>
        <v>2E-3</v>
      </c>
      <c r="M403" s="235"/>
      <c r="N403" s="41"/>
      <c r="O403" s="150">
        <f t="shared" si="39"/>
        <v>3</v>
      </c>
      <c r="P403" s="41">
        <v>512</v>
      </c>
      <c r="Q403" s="27">
        <f t="shared" si="40"/>
        <v>0.99417475728155336</v>
      </c>
      <c r="R403" s="23"/>
      <c r="S403" s="173"/>
      <c r="T403" s="30"/>
      <c r="U403" s="23"/>
      <c r="V403" s="458"/>
      <c r="W403" s="421"/>
      <c r="X403" s="458"/>
      <c r="Y403" s="421"/>
      <c r="Z403" s="421"/>
      <c r="AA403" s="421"/>
      <c r="AB403" s="421"/>
      <c r="AC403" s="421"/>
      <c r="AD403" s="421"/>
    </row>
    <row r="404" spans="1:30" s="22" customFormat="1" x14ac:dyDescent="0.4">
      <c r="A404" s="177" t="s">
        <v>745</v>
      </c>
      <c r="B404" s="149" t="s">
        <v>17</v>
      </c>
      <c r="C404" s="30" t="str">
        <f>VLOOKUP(B404,'112年全品項生產鍋數'!A:H,2,0)</f>
        <v>顆粒花生醬(全)</v>
      </c>
      <c r="D404" s="285">
        <v>24</v>
      </c>
      <c r="E404" s="48">
        <f>VLOOKUP(B404,'112年全品項生產鍋數'!A:H,3,0)</f>
        <v>0.34</v>
      </c>
      <c r="F404" s="45">
        <f>VLOOKUP(B404,'112年全品項生產鍋數'!A:H,7,0)</f>
        <v>364.6</v>
      </c>
      <c r="G404" s="49">
        <f t="shared" si="36"/>
        <v>8750.4000000000015</v>
      </c>
      <c r="H404" s="153">
        <v>8731</v>
      </c>
      <c r="I404" s="46">
        <f t="shared" si="37"/>
        <v>2968.5400000000004</v>
      </c>
      <c r="J404" s="100">
        <f t="shared" si="38"/>
        <v>0.99778295849332588</v>
      </c>
      <c r="K404" s="51">
        <f>VLOOKUP(B:B,'生產達成率(目標)'!A:C,3,0)</f>
        <v>1</v>
      </c>
      <c r="L404" s="20">
        <f t="shared" si="41"/>
        <v>-2E-3</v>
      </c>
      <c r="M404" s="235"/>
      <c r="N404" s="41"/>
      <c r="O404" s="150">
        <f t="shared" si="39"/>
        <v>3</v>
      </c>
      <c r="P404" s="41">
        <v>8728</v>
      </c>
      <c r="Q404" s="27">
        <f t="shared" si="40"/>
        <v>0.99965639674722251</v>
      </c>
      <c r="R404" s="23"/>
      <c r="S404" s="173"/>
      <c r="T404" s="30"/>
      <c r="U404" s="23"/>
      <c r="V404" s="458"/>
      <c r="W404" s="421"/>
      <c r="X404" s="458"/>
      <c r="Y404" s="421"/>
      <c r="Z404" s="421"/>
      <c r="AA404" s="421"/>
      <c r="AB404" s="421"/>
      <c r="AC404" s="421"/>
      <c r="AD404" s="421"/>
    </row>
    <row r="405" spans="1:30" s="22" customFormat="1" x14ac:dyDescent="0.4">
      <c r="A405" s="177" t="s">
        <v>745</v>
      </c>
      <c r="B405" s="149" t="s">
        <v>23</v>
      </c>
      <c r="C405" s="30" t="str">
        <f>VLOOKUP(B405,'112年全品項生產鍋數'!A:H,2,0)</f>
        <v>＃1花生(粒)(1*2.8kg)</v>
      </c>
      <c r="D405" s="285">
        <v>20</v>
      </c>
      <c r="E405" s="48">
        <f>VLOOKUP(B405,'112年全品項生產鍋數'!A:H,3,0)</f>
        <v>2.8</v>
      </c>
      <c r="F405" s="45">
        <f>VLOOKUP(B405,'112年全品項生產鍋數'!A:H,7,0)</f>
        <v>44.2</v>
      </c>
      <c r="G405" s="49">
        <f t="shared" si="36"/>
        <v>884</v>
      </c>
      <c r="H405" s="153">
        <v>884</v>
      </c>
      <c r="I405" s="46">
        <f t="shared" si="37"/>
        <v>2475.1999999999998</v>
      </c>
      <c r="J405" s="100">
        <f t="shared" si="38"/>
        <v>1</v>
      </c>
      <c r="K405" s="51">
        <f>VLOOKUP(B:B,'生產達成率(目標)'!A:C,3,0)</f>
        <v>1</v>
      </c>
      <c r="L405" s="20">
        <f t="shared" si="41"/>
        <v>0</v>
      </c>
      <c r="M405" s="235"/>
      <c r="N405" s="41"/>
      <c r="O405" s="150">
        <f t="shared" si="39"/>
        <v>1</v>
      </c>
      <c r="P405" s="41">
        <v>883</v>
      </c>
      <c r="Q405" s="27">
        <f t="shared" si="40"/>
        <v>0.99886877828054299</v>
      </c>
      <c r="R405" s="23"/>
      <c r="S405" s="173"/>
      <c r="T405" s="30"/>
      <c r="U405" s="23"/>
      <c r="V405" s="458"/>
      <c r="W405" s="421"/>
      <c r="X405" s="458"/>
      <c r="Y405" s="421"/>
      <c r="Z405" s="421"/>
      <c r="AA405" s="421"/>
      <c r="AB405" s="421"/>
      <c r="AC405" s="421"/>
      <c r="AD405" s="421"/>
    </row>
    <row r="406" spans="1:30" s="22" customFormat="1" x14ac:dyDescent="0.4">
      <c r="A406" s="177" t="s">
        <v>746</v>
      </c>
      <c r="B406" s="151" t="s">
        <v>2</v>
      </c>
      <c r="C406" s="30" t="str">
        <f>VLOOKUP(B406,'112年全品項生產鍋數'!A:H,2,0)</f>
        <v>草莓醬(1*6kg)</v>
      </c>
      <c r="D406" s="285">
        <v>24</v>
      </c>
      <c r="E406" s="48">
        <f>VLOOKUP(B406,'112年全品項生產鍋數'!A:H,3,0)</f>
        <v>6</v>
      </c>
      <c r="F406" s="45">
        <f>VLOOKUP(B406,'112年全品項生產鍋數'!A:H,7,0)</f>
        <v>26.6</v>
      </c>
      <c r="G406" s="49">
        <f t="shared" si="36"/>
        <v>638.40000000000009</v>
      </c>
      <c r="H406" s="153">
        <v>645</v>
      </c>
      <c r="I406" s="46">
        <f t="shared" si="37"/>
        <v>3870</v>
      </c>
      <c r="J406" s="100">
        <f t="shared" si="38"/>
        <v>1.0103383458646615</v>
      </c>
      <c r="K406" s="51">
        <f>VLOOKUP(B:B,'生產達成率(目標)'!A:C,3,0)</f>
        <v>1</v>
      </c>
      <c r="L406" s="20">
        <f t="shared" si="41"/>
        <v>0.01</v>
      </c>
      <c r="M406" s="235"/>
      <c r="N406" s="41"/>
      <c r="O406" s="150">
        <f t="shared" si="39"/>
        <v>1</v>
      </c>
      <c r="P406" s="41">
        <v>644</v>
      </c>
      <c r="Q406" s="27">
        <f t="shared" si="40"/>
        <v>0.99844961240310082</v>
      </c>
      <c r="R406" s="23"/>
      <c r="S406" s="173"/>
      <c r="T406" s="30"/>
      <c r="U406" s="23"/>
      <c r="V406" s="458"/>
      <c r="W406" s="421"/>
      <c r="X406" s="458"/>
      <c r="Y406" s="421"/>
      <c r="Z406" s="421"/>
      <c r="AA406" s="421"/>
      <c r="AB406" s="421"/>
      <c r="AC406" s="421"/>
      <c r="AD406" s="421"/>
    </row>
    <row r="407" spans="1:30" s="22" customFormat="1" x14ac:dyDescent="0.4">
      <c r="A407" s="177" t="s">
        <v>746</v>
      </c>
      <c r="B407" s="149" t="s">
        <v>363</v>
      </c>
      <c r="C407" s="30" t="str">
        <f>VLOOKUP(B407,'112年全品項生產鍋數'!A:H,2,0)</f>
        <v>水蜜桃醬(1*6kg)</v>
      </c>
      <c r="D407" s="285">
        <v>6</v>
      </c>
      <c r="E407" s="48">
        <f>VLOOKUP(B407,'112年全品項生產鍋數'!A:H,3,0)</f>
        <v>6</v>
      </c>
      <c r="F407" s="45">
        <f>VLOOKUP(B407,'112年全品項生產鍋數'!A:H,7,0)</f>
        <v>24.5</v>
      </c>
      <c r="G407" s="49">
        <f t="shared" si="36"/>
        <v>147</v>
      </c>
      <c r="H407" s="153">
        <v>144</v>
      </c>
      <c r="I407" s="46">
        <f t="shared" si="37"/>
        <v>864</v>
      </c>
      <c r="J407" s="100">
        <f t="shared" si="38"/>
        <v>0.97959183673469385</v>
      </c>
      <c r="K407" s="51">
        <f>VLOOKUP(B:B,'生產達成率(目標)'!A:C,3,0)</f>
        <v>1</v>
      </c>
      <c r="L407" s="20">
        <f t="shared" si="41"/>
        <v>-0.02</v>
      </c>
      <c r="M407" s="235"/>
      <c r="N407" s="41"/>
      <c r="O407" s="150">
        <f t="shared" si="39"/>
        <v>1</v>
      </c>
      <c r="P407" s="41">
        <v>143</v>
      </c>
      <c r="Q407" s="27">
        <f t="shared" si="40"/>
        <v>0.99305555555555558</v>
      </c>
      <c r="R407" s="23"/>
      <c r="S407" s="173"/>
      <c r="T407" s="30"/>
      <c r="U407" s="23"/>
      <c r="V407" s="458"/>
      <c r="W407" s="421"/>
      <c r="X407" s="458"/>
      <c r="Y407" s="421"/>
      <c r="Z407" s="421"/>
      <c r="AA407" s="421"/>
      <c r="AB407" s="421"/>
      <c r="AC407" s="421"/>
      <c r="AD407" s="421"/>
    </row>
    <row r="408" spans="1:30" s="22" customFormat="1" x14ac:dyDescent="0.4">
      <c r="A408" s="177" t="s">
        <v>746</v>
      </c>
      <c r="B408" s="149" t="s">
        <v>138</v>
      </c>
      <c r="C408" s="30" t="str">
        <f>VLOOKUP(B408,'112年全品項生產鍋數'!A:H,2,0)</f>
        <v>芒果蜜桃醬(1*6kg)</v>
      </c>
      <c r="D408" s="285">
        <v>6</v>
      </c>
      <c r="E408" s="48">
        <f>VLOOKUP(B408,'112年全品項生產鍋數'!A:H,3,0)</f>
        <v>6</v>
      </c>
      <c r="F408" s="45">
        <f>VLOOKUP(B408,'112年全品項生產鍋數'!A:H,7,0)</f>
        <v>25.6</v>
      </c>
      <c r="G408" s="49">
        <f t="shared" si="36"/>
        <v>153.60000000000002</v>
      </c>
      <c r="H408" s="153">
        <v>155</v>
      </c>
      <c r="I408" s="46">
        <f t="shared" si="37"/>
        <v>930</v>
      </c>
      <c r="J408" s="100">
        <f t="shared" si="38"/>
        <v>1.0091145833333333</v>
      </c>
      <c r="K408" s="51">
        <f>VLOOKUP(B:B,'生產達成率(目標)'!A:C,3,0)</f>
        <v>1</v>
      </c>
      <c r="L408" s="20">
        <f t="shared" si="41"/>
        <v>8.9999999999999993E-3</v>
      </c>
      <c r="M408" s="235"/>
      <c r="N408" s="41"/>
      <c r="O408" s="150">
        <f t="shared" si="39"/>
        <v>2</v>
      </c>
      <c r="P408" s="41">
        <v>153</v>
      </c>
      <c r="Q408" s="27">
        <f t="shared" si="40"/>
        <v>0.98709677419354835</v>
      </c>
      <c r="R408" s="23"/>
      <c r="S408" s="173"/>
      <c r="T408" s="30"/>
      <c r="U408" s="23"/>
      <c r="V408" s="458"/>
      <c r="W408" s="421"/>
      <c r="X408" s="458"/>
      <c r="Y408" s="421"/>
      <c r="Z408" s="421"/>
      <c r="AA408" s="421"/>
      <c r="AB408" s="421"/>
      <c r="AC408" s="421"/>
      <c r="AD408" s="421"/>
    </row>
    <row r="409" spans="1:30" s="22" customFormat="1" x14ac:dyDescent="0.4">
      <c r="A409" s="177" t="s">
        <v>746</v>
      </c>
      <c r="B409" s="149" t="s">
        <v>26</v>
      </c>
      <c r="C409" s="30" t="str">
        <f>VLOOKUP(B409,'112年全品項生產鍋數'!A:H,2,0)</f>
        <v>蔓越莓醬(1*6KG)</v>
      </c>
      <c r="D409" s="285">
        <v>6</v>
      </c>
      <c r="E409" s="48">
        <f>VLOOKUP(B409,'112年全品項生產鍋數'!A:H,3,0)</f>
        <v>6</v>
      </c>
      <c r="F409" s="45">
        <f>VLOOKUP(B409,'112年全品項生產鍋數'!A:H,7,0)</f>
        <v>25.6</v>
      </c>
      <c r="G409" s="49">
        <f t="shared" si="36"/>
        <v>153.60000000000002</v>
      </c>
      <c r="H409" s="153">
        <v>175</v>
      </c>
      <c r="I409" s="46">
        <f t="shared" si="37"/>
        <v>1050</v>
      </c>
      <c r="J409" s="100">
        <f t="shared" si="38"/>
        <v>1.1393229166666665</v>
      </c>
      <c r="K409" s="51">
        <f>VLOOKUP(B:B,'生產達成率(目標)'!A:C,3,0)</f>
        <v>1</v>
      </c>
      <c r="L409" s="20">
        <f t="shared" si="41"/>
        <v>0.13900000000000001</v>
      </c>
      <c r="M409" s="235"/>
      <c r="N409" s="41"/>
      <c r="O409" s="150">
        <f t="shared" si="39"/>
        <v>2</v>
      </c>
      <c r="P409" s="41">
        <v>173</v>
      </c>
      <c r="Q409" s="27">
        <f t="shared" si="40"/>
        <v>0.98857142857142855</v>
      </c>
      <c r="R409" s="23"/>
      <c r="S409" s="173">
        <f>24*6</f>
        <v>144</v>
      </c>
      <c r="T409" s="30" t="s">
        <v>932</v>
      </c>
      <c r="U409" s="23"/>
      <c r="V409" s="458"/>
      <c r="W409" s="421"/>
      <c r="X409" s="458"/>
      <c r="Y409" s="421"/>
      <c r="Z409" s="421"/>
      <c r="AA409" s="421"/>
      <c r="AB409" s="421"/>
      <c r="AC409" s="421"/>
      <c r="AD409" s="421"/>
    </row>
    <row r="410" spans="1:30" s="22" customFormat="1" x14ac:dyDescent="0.4">
      <c r="A410" s="177" t="s">
        <v>746</v>
      </c>
      <c r="B410" s="149" t="s">
        <v>3</v>
      </c>
      <c r="C410" s="30" t="str">
        <f>VLOOKUP(B410,'112年全品項生產鍋數'!A:H,2,0)</f>
        <v>天天開心草莓餡4.5KG</v>
      </c>
      <c r="D410" s="285">
        <v>24</v>
      </c>
      <c r="E410" s="48">
        <f>VLOOKUP(B410,'112年全品項生產鍋數'!A:H,3,0)</f>
        <v>4.5</v>
      </c>
      <c r="F410" s="45">
        <f>VLOOKUP(B410,'112年全品項生產鍋數'!A:H,7,0)</f>
        <v>36.299999999999997</v>
      </c>
      <c r="G410" s="49">
        <f t="shared" si="36"/>
        <v>871.19999999999993</v>
      </c>
      <c r="H410" s="153">
        <v>904</v>
      </c>
      <c r="I410" s="46">
        <f t="shared" si="37"/>
        <v>4068</v>
      </c>
      <c r="J410" s="100">
        <f t="shared" si="38"/>
        <v>1.0376492194674014</v>
      </c>
      <c r="K410" s="51">
        <f>VLOOKUP(B:B,'生產達成率(目標)'!A:C,3,0)</f>
        <v>1</v>
      </c>
      <c r="L410" s="20">
        <f t="shared" si="41"/>
        <v>3.7999999999999999E-2</v>
      </c>
      <c r="M410" s="235"/>
      <c r="N410" s="41"/>
      <c r="O410" s="150">
        <f t="shared" si="39"/>
        <v>0</v>
      </c>
      <c r="P410" s="41">
        <v>904</v>
      </c>
      <c r="Q410" s="27">
        <f t="shared" si="40"/>
        <v>1</v>
      </c>
      <c r="R410" s="23"/>
      <c r="S410" s="173">
        <v>180</v>
      </c>
      <c r="T410" s="30" t="s">
        <v>938</v>
      </c>
      <c r="U410" s="23"/>
      <c r="V410" s="458"/>
      <c r="W410" s="421"/>
      <c r="X410" s="458"/>
      <c r="Y410" s="421"/>
      <c r="Z410" s="421"/>
      <c r="AA410" s="421"/>
      <c r="AB410" s="421"/>
      <c r="AC410" s="421"/>
      <c r="AD410" s="421"/>
    </row>
    <row r="411" spans="1:30" s="22" customFormat="1" x14ac:dyDescent="0.4">
      <c r="A411" s="177" t="s">
        <v>746</v>
      </c>
      <c r="B411" s="149" t="s">
        <v>137</v>
      </c>
      <c r="C411" s="30" t="str">
        <f>VLOOKUP(B411,'112年全品項生產鍋數'!A:H,2,0)</f>
        <v>耐烤草莓餡(1*4.5KG)</v>
      </c>
      <c r="D411" s="285">
        <v>12</v>
      </c>
      <c r="E411" s="48">
        <f>VLOOKUP(B411,'112年全品項生產鍋數'!A:H,3,0)</f>
        <v>4.5</v>
      </c>
      <c r="F411" s="45">
        <f>VLOOKUP(B411,'112年全品項生產鍋數'!A:H,7,0)</f>
        <v>36</v>
      </c>
      <c r="G411" s="49">
        <f t="shared" si="36"/>
        <v>432</v>
      </c>
      <c r="H411" s="153">
        <v>455</v>
      </c>
      <c r="I411" s="46">
        <f t="shared" si="37"/>
        <v>2047.5</v>
      </c>
      <c r="J411" s="100">
        <f t="shared" si="38"/>
        <v>1.0532407407407407</v>
      </c>
      <c r="K411" s="51">
        <f>VLOOKUP(B:B,'生產達成率(目標)'!A:C,3,0)</f>
        <v>1</v>
      </c>
      <c r="L411" s="20">
        <f t="shared" si="41"/>
        <v>5.2999999999999999E-2</v>
      </c>
      <c r="M411" s="235"/>
      <c r="N411" s="41"/>
      <c r="O411" s="150">
        <f t="shared" si="39"/>
        <v>0</v>
      </c>
      <c r="P411" s="41">
        <v>455</v>
      </c>
      <c r="Q411" s="27">
        <f t="shared" si="40"/>
        <v>1</v>
      </c>
      <c r="R411" s="23"/>
      <c r="S411" s="173"/>
      <c r="T411" s="30" t="s">
        <v>371</v>
      </c>
      <c r="U411" s="23"/>
      <c r="V411" s="458"/>
      <c r="W411" s="421"/>
      <c r="X411" s="458"/>
      <c r="Y411" s="421"/>
      <c r="Z411" s="421"/>
      <c r="AA411" s="421"/>
      <c r="AB411" s="421"/>
      <c r="AC411" s="421"/>
      <c r="AD411" s="421"/>
    </row>
    <row r="412" spans="1:30" s="22" customFormat="1" x14ac:dyDescent="0.4">
      <c r="A412" s="177" t="s">
        <v>746</v>
      </c>
      <c r="B412" s="149" t="s">
        <v>42</v>
      </c>
      <c r="C412" s="30" t="str">
        <f>VLOOKUP(B412,'112年全品項生產鍋數'!A:H,2,0)</f>
        <v>天天開心柳橙餡4.5KG</v>
      </c>
      <c r="D412" s="285">
        <v>8</v>
      </c>
      <c r="E412" s="48">
        <f>VLOOKUP(B412,'112年全品項生產鍋數'!A:H,3,0)</f>
        <v>4.5</v>
      </c>
      <c r="F412" s="45">
        <f>VLOOKUP(B412,'112年全品項生產鍋數'!A:H,7,0)</f>
        <v>34.9</v>
      </c>
      <c r="G412" s="49">
        <f t="shared" si="36"/>
        <v>279.2</v>
      </c>
      <c r="H412" s="153">
        <v>273</v>
      </c>
      <c r="I412" s="46">
        <f t="shared" si="37"/>
        <v>1228.5</v>
      </c>
      <c r="J412" s="100">
        <f t="shared" si="38"/>
        <v>0.97779369627507162</v>
      </c>
      <c r="K412" s="51">
        <f>VLOOKUP(B:B,'生產達成率(目標)'!A:C,3,0)</f>
        <v>1</v>
      </c>
      <c r="L412" s="20">
        <f t="shared" si="41"/>
        <v>-2.1999999999999999E-2</v>
      </c>
      <c r="M412" s="235"/>
      <c r="N412" s="41"/>
      <c r="O412" s="150">
        <f t="shared" si="39"/>
        <v>0</v>
      </c>
      <c r="P412" s="41">
        <v>273</v>
      </c>
      <c r="Q412" s="27">
        <f t="shared" si="40"/>
        <v>1</v>
      </c>
      <c r="R412" s="23"/>
      <c r="S412" s="173"/>
      <c r="T412" s="30"/>
      <c r="U412" s="23"/>
      <c r="V412" s="458"/>
      <c r="W412" s="421"/>
      <c r="X412" s="458"/>
      <c r="Y412" s="421"/>
      <c r="Z412" s="421"/>
      <c r="AA412" s="421"/>
      <c r="AB412" s="421"/>
      <c r="AC412" s="421"/>
      <c r="AD412" s="421"/>
    </row>
    <row r="413" spans="1:30" s="22" customFormat="1" x14ac:dyDescent="0.4">
      <c r="A413" s="177" t="s">
        <v>746</v>
      </c>
      <c r="B413" s="149" t="s">
        <v>9</v>
      </c>
      <c r="C413" s="30" t="str">
        <f>VLOOKUP(B413,'112年全品項生產鍋數'!A:H,2,0)</f>
        <v>＃1花生(1*2.8kg)</v>
      </c>
      <c r="D413" s="285">
        <v>60</v>
      </c>
      <c r="E413" s="48">
        <f>VLOOKUP(B413,'112年全品項生產鍋數'!A:H,3,0)</f>
        <v>2.8</v>
      </c>
      <c r="F413" s="45">
        <f>VLOOKUP(B413,'112年全品項生產鍋數'!A:H,7,0)</f>
        <v>44.5</v>
      </c>
      <c r="G413" s="49">
        <f t="shared" si="36"/>
        <v>2670</v>
      </c>
      <c r="H413" s="153">
        <v>2665</v>
      </c>
      <c r="I413" s="46">
        <f t="shared" si="37"/>
        <v>7461.9999999999991</v>
      </c>
      <c r="J413" s="100">
        <f t="shared" si="38"/>
        <v>0.99812734082397003</v>
      </c>
      <c r="K413" s="51">
        <f>VLOOKUP(B:B,'生產達成率(目標)'!A:C,3,0)</f>
        <v>1</v>
      </c>
      <c r="L413" s="20">
        <f t="shared" si="41"/>
        <v>-2E-3</v>
      </c>
      <c r="M413" s="235"/>
      <c r="N413" s="41"/>
      <c r="O413" s="150">
        <f t="shared" si="39"/>
        <v>1</v>
      </c>
      <c r="P413" s="41">
        <v>2664</v>
      </c>
      <c r="Q413" s="27">
        <f t="shared" si="40"/>
        <v>0.99962476547842405</v>
      </c>
      <c r="R413" s="23"/>
      <c r="S413" s="173"/>
      <c r="T413" s="30"/>
      <c r="U413" s="23"/>
      <c r="V413" s="458"/>
      <c r="W413" s="421"/>
      <c r="X413" s="458"/>
      <c r="Y413" s="421"/>
      <c r="Z413" s="421"/>
      <c r="AA413" s="421"/>
      <c r="AB413" s="421"/>
      <c r="AC413" s="421"/>
      <c r="AD413" s="421"/>
    </row>
    <row r="414" spans="1:30" s="22" customFormat="1" x14ac:dyDescent="0.4">
      <c r="A414" s="177" t="s">
        <v>747</v>
      </c>
      <c r="B414" s="149" t="s">
        <v>36</v>
      </c>
      <c r="C414" s="30" t="str">
        <f>VLOOKUP(B414,'112年全品項生產鍋數'!A:H,2,0)</f>
        <v>開心草莓果醬(1*430g)</v>
      </c>
      <c r="D414" s="285">
        <v>15</v>
      </c>
      <c r="E414" s="48">
        <f>VLOOKUP(B414,'112年全品項生產鍋數'!A:H,3,0)</f>
        <v>0.43</v>
      </c>
      <c r="F414" s="45">
        <f>VLOOKUP(B414,'112年全品項生產鍋數'!A:H,7,0)</f>
        <v>364</v>
      </c>
      <c r="G414" s="49">
        <f t="shared" si="36"/>
        <v>5460</v>
      </c>
      <c r="H414" s="153">
        <v>5289</v>
      </c>
      <c r="I414" s="46">
        <f t="shared" si="37"/>
        <v>2274.27</v>
      </c>
      <c r="J414" s="100">
        <f t="shared" si="38"/>
        <v>0.96868131868131868</v>
      </c>
      <c r="K414" s="51">
        <f>VLOOKUP(B:B,'生產達成率(目標)'!A:C,3,0)</f>
        <v>1</v>
      </c>
      <c r="L414" s="20">
        <f t="shared" si="41"/>
        <v>-3.1E-2</v>
      </c>
      <c r="M414" s="235"/>
      <c r="N414" s="41"/>
      <c r="O414" s="150">
        <f t="shared" si="39"/>
        <v>5</v>
      </c>
      <c r="P414" s="41">
        <v>5284</v>
      </c>
      <c r="Q414" s="27">
        <f t="shared" si="40"/>
        <v>0.99905464170920777</v>
      </c>
      <c r="R414" s="23"/>
      <c r="S414" s="173"/>
      <c r="T414" s="30"/>
      <c r="U414" s="23"/>
      <c r="V414" s="458"/>
      <c r="W414" s="421"/>
      <c r="X414" s="458"/>
      <c r="Y414" s="421"/>
      <c r="Z414" s="421"/>
      <c r="AA414" s="421"/>
      <c r="AB414" s="421"/>
      <c r="AC414" s="421"/>
      <c r="AD414" s="421"/>
    </row>
    <row r="415" spans="1:30" s="22" customFormat="1" x14ac:dyDescent="0.4">
      <c r="A415" s="177" t="s">
        <v>747</v>
      </c>
      <c r="B415" s="149" t="s">
        <v>19</v>
      </c>
      <c r="C415" s="30" t="str">
        <f>VLOOKUP(B415,'112年全品項生產鍋數'!A:H,2,0)</f>
        <v>＃2藍莓(1*900g)</v>
      </c>
      <c r="D415" s="285">
        <v>20</v>
      </c>
      <c r="E415" s="48">
        <f>VLOOKUP(B415,'112年全品項生產鍋數'!A:H,3,0)</f>
        <v>0.9</v>
      </c>
      <c r="F415" s="45">
        <f>VLOOKUP(B415,'112年全品項生產鍋數'!A:H,7,0)</f>
        <v>163</v>
      </c>
      <c r="G415" s="49">
        <f t="shared" si="36"/>
        <v>3260</v>
      </c>
      <c r="H415" s="153">
        <v>3311</v>
      </c>
      <c r="I415" s="46">
        <f t="shared" si="37"/>
        <v>2979.9</v>
      </c>
      <c r="J415" s="100">
        <f t="shared" si="38"/>
        <v>1.0156441717791411</v>
      </c>
      <c r="K415" s="51">
        <f>VLOOKUP(B:B,'生產達成率(目標)'!A:C,3,0)</f>
        <v>1</v>
      </c>
      <c r="L415" s="20">
        <f t="shared" si="41"/>
        <v>1.6E-2</v>
      </c>
      <c r="M415" s="235"/>
      <c r="N415" s="41"/>
      <c r="O415" s="150">
        <f t="shared" si="39"/>
        <v>5</v>
      </c>
      <c r="P415" s="41">
        <v>3306</v>
      </c>
      <c r="Q415" s="27">
        <f t="shared" si="40"/>
        <v>0.99848988221081247</v>
      </c>
      <c r="R415" s="23"/>
      <c r="S415" s="173"/>
      <c r="T415" s="30"/>
      <c r="U415" s="23"/>
      <c r="V415" s="458"/>
      <c r="W415" s="421"/>
      <c r="X415" s="458"/>
      <c r="Y415" s="421"/>
      <c r="Z415" s="421"/>
      <c r="AA415" s="421"/>
      <c r="AB415" s="421"/>
      <c r="AC415" s="421"/>
      <c r="AD415" s="421"/>
    </row>
    <row r="416" spans="1:30" s="22" customFormat="1" x14ac:dyDescent="0.4">
      <c r="A416" s="177" t="s">
        <v>747</v>
      </c>
      <c r="B416" s="149" t="s">
        <v>8</v>
      </c>
      <c r="C416" s="30" t="str">
        <f>VLOOKUP(B416,'112年全品項生產鍋數'!A:H,2,0)</f>
        <v>藍莓餡(1*6KG)</v>
      </c>
      <c r="D416" s="285">
        <v>20</v>
      </c>
      <c r="E416" s="48">
        <f>VLOOKUP(B416,'112年全品項生產鍋數'!A:H,3,0)</f>
        <v>6</v>
      </c>
      <c r="F416" s="45">
        <f>VLOOKUP(B416,'112年全品項生產鍋數'!A:H,7,0)</f>
        <v>25.4</v>
      </c>
      <c r="G416" s="49">
        <f t="shared" si="36"/>
        <v>508</v>
      </c>
      <c r="H416" s="153">
        <v>517</v>
      </c>
      <c r="I416" s="46">
        <f t="shared" si="37"/>
        <v>3102</v>
      </c>
      <c r="J416" s="100">
        <f t="shared" si="38"/>
        <v>1.0177165354330708</v>
      </c>
      <c r="K416" s="51">
        <f>VLOOKUP(B:B,'生產達成率(目標)'!A:C,3,0)</f>
        <v>1</v>
      </c>
      <c r="L416" s="20">
        <f t="shared" si="41"/>
        <v>1.7999999999999999E-2</v>
      </c>
      <c r="M416" s="235"/>
      <c r="N416" s="41"/>
      <c r="O416" s="150">
        <f t="shared" si="39"/>
        <v>5</v>
      </c>
      <c r="P416" s="41">
        <v>512</v>
      </c>
      <c r="Q416" s="27">
        <f t="shared" si="40"/>
        <v>0.99032882011605416</v>
      </c>
      <c r="R416" s="23"/>
      <c r="S416" s="173"/>
      <c r="T416" s="30"/>
      <c r="U416" s="23"/>
      <c r="V416" s="458"/>
      <c r="W416" s="421"/>
      <c r="X416" s="458"/>
      <c r="Y416" s="421"/>
      <c r="Z416" s="421"/>
      <c r="AA416" s="421"/>
      <c r="AB416" s="421"/>
      <c r="AC416" s="421"/>
      <c r="AD416" s="421"/>
    </row>
    <row r="417" spans="1:30" s="22" customFormat="1" x14ac:dyDescent="0.4">
      <c r="A417" s="177" t="s">
        <v>747</v>
      </c>
      <c r="B417" s="149" t="s">
        <v>145</v>
      </c>
      <c r="C417" s="30" t="str">
        <f>VLOOKUP(B417,'112年全品項生產鍋數'!A:H,2,0)</f>
        <v>藍莓餡(1*6kg)</v>
      </c>
      <c r="D417" s="285">
        <v>8</v>
      </c>
      <c r="E417" s="48">
        <f>VLOOKUP(B417,'112年全品項生產鍋數'!A:H,3,0)</f>
        <v>6</v>
      </c>
      <c r="F417" s="45">
        <f>VLOOKUP(B417,'112年全品項生產鍋數'!A:H,7,0)</f>
        <v>26.4</v>
      </c>
      <c r="G417" s="49">
        <f t="shared" si="36"/>
        <v>211.2</v>
      </c>
      <c r="H417" s="153">
        <v>210</v>
      </c>
      <c r="I417" s="46">
        <f t="shared" si="37"/>
        <v>1260</v>
      </c>
      <c r="J417" s="100">
        <f t="shared" si="38"/>
        <v>0.99431818181818188</v>
      </c>
      <c r="K417" s="51">
        <f>VLOOKUP(B:B,'生產達成率(目標)'!A:C,3,0)</f>
        <v>1</v>
      </c>
      <c r="L417" s="20">
        <f t="shared" si="41"/>
        <v>-6.0000000000000001E-3</v>
      </c>
      <c r="M417" s="235"/>
      <c r="N417" s="41"/>
      <c r="O417" s="150">
        <f t="shared" si="39"/>
        <v>6</v>
      </c>
      <c r="P417" s="41">
        <v>204</v>
      </c>
      <c r="Q417" s="27">
        <f t="shared" si="40"/>
        <v>0.97142857142857142</v>
      </c>
      <c r="R417" s="23"/>
      <c r="S417" s="173"/>
      <c r="T417" s="30"/>
      <c r="U417" s="23"/>
      <c r="V417" s="458"/>
      <c r="W417" s="421"/>
      <c r="X417" s="458"/>
      <c r="Y417" s="421"/>
      <c r="Z417" s="421"/>
      <c r="AA417" s="421"/>
      <c r="AB417" s="421"/>
      <c r="AC417" s="421"/>
      <c r="AD417" s="421"/>
    </row>
    <row r="418" spans="1:30" s="22" customFormat="1" x14ac:dyDescent="0.4">
      <c r="A418" s="177" t="s">
        <v>747</v>
      </c>
      <c r="B418" s="149" t="s">
        <v>355</v>
      </c>
      <c r="C418" s="30" t="str">
        <f>VLOOKUP(B418,'112年全品項生產鍋數'!A:H,2,0)</f>
        <v>蘋果餡(1*6Kg)</v>
      </c>
      <c r="D418" s="285">
        <v>12</v>
      </c>
      <c r="E418" s="48">
        <f>VLOOKUP(B418,'112年全品項生產鍋數'!A:H,3,0)</f>
        <v>6</v>
      </c>
      <c r="F418" s="45">
        <f>VLOOKUP(B418,'112年全品項生產鍋數'!A:H,7,0)</f>
        <v>25.3</v>
      </c>
      <c r="G418" s="49">
        <f t="shared" si="36"/>
        <v>303.60000000000002</v>
      </c>
      <c r="H418" s="153">
        <v>306</v>
      </c>
      <c r="I418" s="46">
        <f t="shared" si="37"/>
        <v>1836</v>
      </c>
      <c r="J418" s="100">
        <f t="shared" si="38"/>
        <v>1.0079051383399209</v>
      </c>
      <c r="K418" s="51">
        <f>VLOOKUP(B:B,'生產達成率(目標)'!A:C,3,0)</f>
        <v>1</v>
      </c>
      <c r="L418" s="20">
        <f t="shared" si="41"/>
        <v>8.0000000000000002E-3</v>
      </c>
      <c r="M418" s="235"/>
      <c r="N418" s="41"/>
      <c r="O418" s="150">
        <f t="shared" si="39"/>
        <v>4</v>
      </c>
      <c r="P418" s="41">
        <v>302</v>
      </c>
      <c r="Q418" s="27">
        <f t="shared" si="40"/>
        <v>0.98692810457516345</v>
      </c>
      <c r="R418" s="23"/>
      <c r="S418" s="173"/>
      <c r="T418" s="30"/>
      <c r="U418" s="23"/>
      <c r="V418" s="458"/>
      <c r="W418" s="421"/>
      <c r="X418" s="458"/>
      <c r="Y418" s="421"/>
      <c r="Z418" s="421"/>
      <c r="AA418" s="421"/>
      <c r="AB418" s="421"/>
      <c r="AC418" s="421"/>
      <c r="AD418" s="421"/>
    </row>
    <row r="419" spans="1:30" s="22" customFormat="1" x14ac:dyDescent="0.4">
      <c r="A419" s="177" t="s">
        <v>747</v>
      </c>
      <c r="B419" s="149" t="s">
        <v>5</v>
      </c>
      <c r="C419" s="30" t="str">
        <f>VLOOKUP(B419,'112年全品項生產鍋數'!A:H,2,0)</f>
        <v>＃2花生（粒）(1*900g)</v>
      </c>
      <c r="D419" s="285">
        <v>20</v>
      </c>
      <c r="E419" s="48">
        <f>VLOOKUP(B419,'112年全品項生產鍋數'!A:H,3,0)</f>
        <v>0.9</v>
      </c>
      <c r="F419" s="45">
        <f>VLOOKUP(B419,'112年全品項生產鍋數'!A:H,7,0)</f>
        <v>139.30000000000001</v>
      </c>
      <c r="G419" s="49">
        <f t="shared" si="36"/>
        <v>2786</v>
      </c>
      <c r="H419" s="153">
        <v>2846</v>
      </c>
      <c r="I419" s="46">
        <f t="shared" si="37"/>
        <v>2561.4</v>
      </c>
      <c r="J419" s="100">
        <f t="shared" si="38"/>
        <v>1.0215362526920315</v>
      </c>
      <c r="K419" s="51">
        <f>VLOOKUP(B:B,'生產達成率(目標)'!A:C,3,0)</f>
        <v>1</v>
      </c>
      <c r="L419" s="20">
        <f t="shared" si="41"/>
        <v>2.1999999999999999E-2</v>
      </c>
      <c r="M419" s="235"/>
      <c r="N419" s="41"/>
      <c r="O419" s="150">
        <f t="shared" si="39"/>
        <v>2</v>
      </c>
      <c r="P419" s="41">
        <v>2844</v>
      </c>
      <c r="Q419" s="27">
        <f t="shared" si="40"/>
        <v>0.99929725931131408</v>
      </c>
      <c r="R419" s="23"/>
      <c r="S419" s="173"/>
      <c r="T419" s="30"/>
      <c r="U419" s="23"/>
      <c r="V419" s="458"/>
      <c r="W419" s="421"/>
      <c r="X419" s="458"/>
      <c r="Y419" s="421"/>
      <c r="Z419" s="421"/>
      <c r="AA419" s="421"/>
      <c r="AB419" s="421"/>
      <c r="AC419" s="421"/>
      <c r="AD419" s="421"/>
    </row>
    <row r="420" spans="1:30" s="22" customFormat="1" x14ac:dyDescent="0.4">
      <c r="A420" s="177" t="s">
        <v>747</v>
      </c>
      <c r="B420" s="149" t="s">
        <v>10</v>
      </c>
      <c r="C420" s="30" t="str">
        <f>VLOOKUP(B420,'112年全品項生產鍋數'!A:H,2,0)</f>
        <v>＃2花生(1*800g)</v>
      </c>
      <c r="D420" s="285">
        <v>20</v>
      </c>
      <c r="E420" s="48">
        <f>VLOOKUP(B420,'112年全品項生產鍋數'!A:H,3,0)</f>
        <v>0.8</v>
      </c>
      <c r="F420" s="45">
        <f>VLOOKUP(B420,'112年全品項生產鍋數'!A:H,7,0)</f>
        <v>157.69999999999999</v>
      </c>
      <c r="G420" s="49">
        <f t="shared" si="36"/>
        <v>3154</v>
      </c>
      <c r="H420" s="153">
        <v>3114</v>
      </c>
      <c r="I420" s="46">
        <f t="shared" si="37"/>
        <v>2491.2000000000003</v>
      </c>
      <c r="J420" s="100">
        <f t="shared" si="38"/>
        <v>0.98731769181991125</v>
      </c>
      <c r="K420" s="51">
        <f>VLOOKUP(B:B,'生產達成率(目標)'!A:C,3,0)</f>
        <v>1</v>
      </c>
      <c r="L420" s="20">
        <f t="shared" si="41"/>
        <v>-1.2999999999999999E-2</v>
      </c>
      <c r="M420" s="235"/>
      <c r="N420" s="41"/>
      <c r="O420" s="150">
        <f t="shared" si="39"/>
        <v>2</v>
      </c>
      <c r="P420" s="41">
        <v>3112</v>
      </c>
      <c r="Q420" s="27">
        <f t="shared" si="40"/>
        <v>0.99935773924213234</v>
      </c>
      <c r="R420" s="23"/>
      <c r="S420" s="173"/>
      <c r="T420" s="30"/>
      <c r="U420" s="23"/>
      <c r="V420" s="458"/>
      <c r="W420" s="421"/>
      <c r="X420" s="458"/>
      <c r="Y420" s="421"/>
      <c r="Z420" s="421"/>
      <c r="AA420" s="421"/>
      <c r="AB420" s="421"/>
      <c r="AC420" s="421"/>
      <c r="AD420" s="421"/>
    </row>
    <row r="421" spans="1:30" s="22" customFormat="1" x14ac:dyDescent="0.4">
      <c r="A421" s="177" t="s">
        <v>748</v>
      </c>
      <c r="B421" s="149" t="s">
        <v>11</v>
      </c>
      <c r="C421" s="30" t="str">
        <f>VLOOKUP(B421,'112年全品項生產鍋數'!A:H,2,0)</f>
        <v>#2草莓果醬(1*900g)</v>
      </c>
      <c r="D421" s="285">
        <v>20</v>
      </c>
      <c r="E421" s="48">
        <f>VLOOKUP(B421,'112年全品項生產鍋數'!A:H,3,0)</f>
        <v>0.9</v>
      </c>
      <c r="F421" s="45">
        <f>VLOOKUP(B421,'112年全品項生產鍋數'!A:H,7,0)</f>
        <v>160.5</v>
      </c>
      <c r="G421" s="49">
        <f t="shared" si="36"/>
        <v>3210</v>
      </c>
      <c r="H421" s="153">
        <v>3240</v>
      </c>
      <c r="I421" s="46">
        <f t="shared" si="37"/>
        <v>2916</v>
      </c>
      <c r="J421" s="100">
        <f t="shared" si="38"/>
        <v>1.0093457943925233</v>
      </c>
      <c r="K421" s="51">
        <f>VLOOKUP(B:B,'生產達成率(目標)'!A:C,3,0)</f>
        <v>1</v>
      </c>
      <c r="L421" s="20">
        <f t="shared" si="41"/>
        <v>8.9999999999999993E-3</v>
      </c>
      <c r="M421" s="235"/>
      <c r="N421" s="41"/>
      <c r="O421" s="150">
        <f t="shared" si="39"/>
        <v>2</v>
      </c>
      <c r="P421" s="41">
        <v>3238</v>
      </c>
      <c r="Q421" s="27">
        <f t="shared" si="40"/>
        <v>0.99938271604938267</v>
      </c>
      <c r="R421" s="23"/>
      <c r="S421" s="173"/>
      <c r="T421" s="30"/>
      <c r="U421" s="23"/>
      <c r="V421" s="458"/>
      <c r="W421" s="421"/>
      <c r="X421" s="458"/>
      <c r="Y421" s="421"/>
      <c r="Z421" s="421"/>
      <c r="AA421" s="421"/>
      <c r="AB421" s="421"/>
      <c r="AC421" s="421"/>
      <c r="AD421" s="421"/>
    </row>
    <row r="422" spans="1:30" s="22" customFormat="1" x14ac:dyDescent="0.4">
      <c r="A422" s="177" t="s">
        <v>748</v>
      </c>
      <c r="B422" s="149" t="s">
        <v>26</v>
      </c>
      <c r="C422" s="30" t="str">
        <f>VLOOKUP(B422,'112年全品項生產鍋數'!A:H,2,0)</f>
        <v>蔓越莓醬(1*6KG)</v>
      </c>
      <c r="D422" s="285">
        <v>16</v>
      </c>
      <c r="E422" s="48">
        <f>VLOOKUP(B422,'112年全品項生產鍋數'!A:H,3,0)</f>
        <v>6</v>
      </c>
      <c r="F422" s="45">
        <f>VLOOKUP(B422,'112年全品項生產鍋數'!A:H,7,0)</f>
        <v>25.6</v>
      </c>
      <c r="G422" s="49">
        <f t="shared" si="36"/>
        <v>409.6</v>
      </c>
      <c r="H422" s="153">
        <v>480</v>
      </c>
      <c r="I422" s="46">
        <f t="shared" si="37"/>
        <v>2880</v>
      </c>
      <c r="J422" s="100">
        <f t="shared" si="38"/>
        <v>1.171875</v>
      </c>
      <c r="K422" s="51">
        <f>VLOOKUP(B:B,'生產達成率(目標)'!A:C,3,0)</f>
        <v>1</v>
      </c>
      <c r="L422" s="20">
        <f t="shared" si="41"/>
        <v>0.17199999999999999</v>
      </c>
      <c r="M422" s="235"/>
      <c r="N422" s="41"/>
      <c r="O422" s="150">
        <f t="shared" si="39"/>
        <v>3</v>
      </c>
      <c r="P422" s="41">
        <v>477</v>
      </c>
      <c r="Q422" s="27">
        <f t="shared" si="40"/>
        <v>0.99375000000000002</v>
      </c>
      <c r="R422" s="23"/>
      <c r="S422" s="173">
        <f>64*6</f>
        <v>384</v>
      </c>
      <c r="T422" s="30" t="s">
        <v>933</v>
      </c>
      <c r="U422" s="23"/>
      <c r="V422" s="458"/>
      <c r="W422" s="421"/>
      <c r="X422" s="458"/>
      <c r="Y422" s="421"/>
      <c r="Z422" s="421"/>
      <c r="AA422" s="421"/>
      <c r="AB422" s="421"/>
      <c r="AC422" s="421"/>
      <c r="AD422" s="421"/>
    </row>
    <row r="423" spans="1:30" s="22" customFormat="1" x14ac:dyDescent="0.4">
      <c r="A423" s="177" t="s">
        <v>748</v>
      </c>
      <c r="B423" s="149" t="s">
        <v>72</v>
      </c>
      <c r="C423" s="30" t="str">
        <f>VLOOKUP(B423,'112年全品項生產鍋數'!A:H,2,0)</f>
        <v>草莓餡45%(1*6Kg)</v>
      </c>
      <c r="D423" s="285">
        <v>18</v>
      </c>
      <c r="E423" s="48">
        <f>VLOOKUP(B423,'112年全品項生產鍋數'!A:H,3,0)</f>
        <v>6</v>
      </c>
      <c r="F423" s="45">
        <f>VLOOKUP(B423,'112年全品項生產鍋數'!A:H,7,0)</f>
        <v>26.1</v>
      </c>
      <c r="G423" s="49">
        <f t="shared" si="36"/>
        <v>469.8</v>
      </c>
      <c r="H423" s="153">
        <v>465</v>
      </c>
      <c r="I423" s="46">
        <f t="shared" si="37"/>
        <v>2790</v>
      </c>
      <c r="J423" s="100">
        <f t="shared" si="38"/>
        <v>0.98978288633461042</v>
      </c>
      <c r="K423" s="51">
        <f>VLOOKUP(B:B,'生產達成率(目標)'!A:C,3,0)</f>
        <v>1</v>
      </c>
      <c r="L423" s="20">
        <f t="shared" si="41"/>
        <v>-0.01</v>
      </c>
      <c r="M423" s="235"/>
      <c r="N423" s="41"/>
      <c r="O423" s="150">
        <f t="shared" si="39"/>
        <v>1</v>
      </c>
      <c r="P423" s="41">
        <v>464</v>
      </c>
      <c r="Q423" s="27">
        <f t="shared" si="40"/>
        <v>0.99784946236559136</v>
      </c>
      <c r="R423" s="28"/>
      <c r="S423" s="173"/>
      <c r="T423" s="30"/>
      <c r="U423" s="23"/>
      <c r="V423" s="458"/>
      <c r="W423" s="421"/>
      <c r="X423" s="458"/>
      <c r="Y423" s="421"/>
      <c r="Z423" s="421"/>
      <c r="AA423" s="421"/>
      <c r="AB423" s="421"/>
      <c r="AC423" s="421"/>
      <c r="AD423" s="421"/>
    </row>
    <row r="424" spans="1:30" s="22" customFormat="1" x14ac:dyDescent="0.4">
      <c r="A424" s="177" t="s">
        <v>748</v>
      </c>
      <c r="B424" s="149" t="s">
        <v>40</v>
      </c>
      <c r="C424" s="30" t="str">
        <f>VLOOKUP(B424,'112年全品項生產鍋數'!A:H,2,0)</f>
        <v>蜂蜜蘋果醬(1*6KG)</v>
      </c>
      <c r="D424" s="285">
        <v>6</v>
      </c>
      <c r="E424" s="48">
        <f>VLOOKUP(B424,'112年全品項生產鍋數'!A:H,3,0)</f>
        <v>6</v>
      </c>
      <c r="F424" s="45">
        <f>VLOOKUP(B424,'112年全品項生產鍋數'!A:H,7,0)</f>
        <v>25.2</v>
      </c>
      <c r="G424" s="49">
        <f t="shared" si="36"/>
        <v>151.19999999999999</v>
      </c>
      <c r="H424" s="153">
        <v>154</v>
      </c>
      <c r="I424" s="46">
        <f t="shared" si="37"/>
        <v>924</v>
      </c>
      <c r="J424" s="100">
        <f t="shared" si="38"/>
        <v>1.0185185185185186</v>
      </c>
      <c r="K424" s="51">
        <f>VLOOKUP(B:B,'生產達成率(目標)'!A:C,3,0)</f>
        <v>1</v>
      </c>
      <c r="L424" s="20">
        <f t="shared" si="41"/>
        <v>1.9E-2</v>
      </c>
      <c r="M424" s="235"/>
      <c r="N424" s="41"/>
      <c r="O424" s="150">
        <f t="shared" si="39"/>
        <v>1</v>
      </c>
      <c r="P424" s="41">
        <v>153</v>
      </c>
      <c r="Q424" s="27">
        <f t="shared" si="40"/>
        <v>0.99350649350649356</v>
      </c>
      <c r="R424" s="23"/>
      <c r="S424" s="173"/>
      <c r="T424" s="30"/>
      <c r="U424" s="23"/>
      <c r="V424" s="458"/>
      <c r="W424" s="421"/>
      <c r="X424" s="458"/>
      <c r="Y424" s="421"/>
      <c r="Z424" s="421"/>
      <c r="AA424" s="421"/>
      <c r="AB424" s="421"/>
      <c r="AC424" s="421"/>
      <c r="AD424" s="421"/>
    </row>
    <row r="425" spans="1:30" s="22" customFormat="1" x14ac:dyDescent="0.4">
      <c r="A425" s="177" t="s">
        <v>748</v>
      </c>
      <c r="B425" s="149" t="s">
        <v>16</v>
      </c>
      <c r="C425" s="30" t="str">
        <f>VLOOKUP(B425,'112年全品項生產鍋數'!A:H,2,0)</f>
        <v>藍莓餡(1*6Kg)</v>
      </c>
      <c r="D425" s="285">
        <v>20</v>
      </c>
      <c r="E425" s="48">
        <f>VLOOKUP(B425,'112年全品項生產鍋數'!A:H,3,0)</f>
        <v>6</v>
      </c>
      <c r="F425" s="45">
        <f>VLOOKUP(B425,'112年全品項生產鍋數'!A:H,7,0)</f>
        <v>25.1</v>
      </c>
      <c r="G425" s="49">
        <f t="shared" si="36"/>
        <v>502</v>
      </c>
      <c r="H425" s="153">
        <v>508</v>
      </c>
      <c r="I425" s="46">
        <f t="shared" si="37"/>
        <v>3048</v>
      </c>
      <c r="J425" s="100">
        <f t="shared" si="38"/>
        <v>1.0119521912350598</v>
      </c>
      <c r="K425" s="51">
        <f>VLOOKUP(B:B,'生產達成率(目標)'!A:C,3,0)</f>
        <v>1</v>
      </c>
      <c r="L425" s="20">
        <f t="shared" si="41"/>
        <v>1.2E-2</v>
      </c>
      <c r="M425" s="235"/>
      <c r="N425" s="41"/>
      <c r="O425" s="150">
        <f t="shared" si="39"/>
        <v>3</v>
      </c>
      <c r="P425" s="41">
        <v>505</v>
      </c>
      <c r="Q425" s="27">
        <f t="shared" si="40"/>
        <v>0.99409448818897639</v>
      </c>
      <c r="R425" s="23"/>
      <c r="S425" s="173"/>
      <c r="T425" s="30"/>
      <c r="U425" s="23"/>
      <c r="V425" s="458"/>
      <c r="W425" s="421"/>
      <c r="X425" s="458"/>
      <c r="Y425" s="421"/>
      <c r="Z425" s="421"/>
      <c r="AA425" s="421"/>
      <c r="AB425" s="421"/>
      <c r="AC425" s="421"/>
      <c r="AD425" s="421"/>
    </row>
    <row r="426" spans="1:30" s="22" customFormat="1" x14ac:dyDescent="0.4">
      <c r="A426" s="177" t="s">
        <v>749</v>
      </c>
      <c r="B426" s="149" t="s">
        <v>12</v>
      </c>
      <c r="C426" s="30" t="str">
        <f>VLOOKUP(B426,'112年全品項生產鍋數'!A:H,2,0)</f>
        <v>＃1草莓(1*3.2kg)</v>
      </c>
      <c r="D426" s="285">
        <v>60</v>
      </c>
      <c r="E426" s="48">
        <f>VLOOKUP(B426,'112年全品項生產鍋數'!A:H,3,0)</f>
        <v>3.2</v>
      </c>
      <c r="F426" s="45">
        <f>VLOOKUP(B426,'112年全品項生產鍋數'!A:H,7,0)</f>
        <v>46.8</v>
      </c>
      <c r="G426" s="49">
        <f t="shared" si="36"/>
        <v>2808</v>
      </c>
      <c r="H426" s="153">
        <v>2852</v>
      </c>
      <c r="I426" s="46">
        <f t="shared" si="37"/>
        <v>9126.4</v>
      </c>
      <c r="J426" s="100">
        <f t="shared" si="38"/>
        <v>1.0156695156695157</v>
      </c>
      <c r="K426" s="51">
        <f>VLOOKUP(B:B,'生產達成率(目標)'!A:C,3,0)</f>
        <v>1</v>
      </c>
      <c r="L426" s="20">
        <f t="shared" si="41"/>
        <v>1.6E-2</v>
      </c>
      <c r="M426" s="235"/>
      <c r="N426" s="41"/>
      <c r="O426" s="150">
        <f t="shared" si="39"/>
        <v>2</v>
      </c>
      <c r="P426" s="41">
        <v>2850</v>
      </c>
      <c r="Q426" s="27">
        <f t="shared" si="40"/>
        <v>0.99929873772791022</v>
      </c>
      <c r="R426" s="23"/>
      <c r="S426" s="173"/>
      <c r="T426" s="30"/>
      <c r="U426" s="23"/>
      <c r="V426" s="458"/>
      <c r="W426" s="421"/>
      <c r="X426" s="458"/>
      <c r="Y426" s="421"/>
      <c r="Z426" s="421"/>
      <c r="AA426" s="421"/>
      <c r="AB426" s="421"/>
      <c r="AC426" s="421"/>
      <c r="AD426" s="421"/>
    </row>
    <row r="427" spans="1:30" s="22" customFormat="1" x14ac:dyDescent="0.4">
      <c r="A427" s="177" t="s">
        <v>749</v>
      </c>
      <c r="B427" s="149" t="s">
        <v>7</v>
      </c>
      <c r="C427" s="30" t="str">
        <f>VLOOKUP(B427,'112年全品項生產鍋數'!A:H,2,0)</f>
        <v>草莓蒟蒻餡(1*6kg)</v>
      </c>
      <c r="D427" s="285">
        <v>28</v>
      </c>
      <c r="E427" s="48">
        <f>VLOOKUP(B427,'112年全品項生產鍋數'!A:H,3,0)</f>
        <v>6</v>
      </c>
      <c r="F427" s="45">
        <f>VLOOKUP(B427,'112年全品項生產鍋數'!A:H,7,0)</f>
        <v>25.7</v>
      </c>
      <c r="G427" s="49">
        <f t="shared" si="36"/>
        <v>719.6</v>
      </c>
      <c r="H427" s="153">
        <v>734</v>
      </c>
      <c r="I427" s="46">
        <f t="shared" si="37"/>
        <v>4404</v>
      </c>
      <c r="J427" s="100">
        <f t="shared" si="38"/>
        <v>1.0200111172873818</v>
      </c>
      <c r="K427" s="51">
        <f>VLOOKUP(B:B,'生產達成率(目標)'!A:C,3,0)</f>
        <v>1</v>
      </c>
      <c r="L427" s="20">
        <f t="shared" si="41"/>
        <v>0.02</v>
      </c>
      <c r="M427" s="235"/>
      <c r="N427" s="41"/>
      <c r="O427" s="150">
        <f t="shared" si="39"/>
        <v>8</v>
      </c>
      <c r="P427" s="41">
        <v>726</v>
      </c>
      <c r="Q427" s="27">
        <f t="shared" si="40"/>
        <v>0.98910081743869205</v>
      </c>
      <c r="R427" s="23"/>
      <c r="S427" s="173"/>
      <c r="T427" s="30"/>
      <c r="U427" s="23"/>
      <c r="V427" s="458"/>
      <c r="W427" s="421"/>
      <c r="X427" s="458"/>
      <c r="Y427" s="421"/>
      <c r="Z427" s="421"/>
      <c r="AA427" s="421"/>
      <c r="AB427" s="421"/>
      <c r="AC427" s="421"/>
      <c r="AD427" s="421"/>
    </row>
    <row r="428" spans="1:30" s="22" customFormat="1" x14ac:dyDescent="0.4">
      <c r="A428" s="177" t="s">
        <v>749</v>
      </c>
      <c r="B428" s="149" t="s">
        <v>364</v>
      </c>
      <c r="C428" s="30" t="str">
        <f>VLOOKUP(B428,'112年全品項生產鍋數'!A:H,2,0)</f>
        <v>蜜桃餡(1*6Kg)</v>
      </c>
      <c r="D428" s="285">
        <v>16</v>
      </c>
      <c r="E428" s="48">
        <f>VLOOKUP(B428,'112年全品項生產鍋數'!A:H,3,0)</f>
        <v>6</v>
      </c>
      <c r="F428" s="45">
        <f>VLOOKUP(B428,'112年全品項生產鍋數'!A:H,7,0)</f>
        <v>25.8</v>
      </c>
      <c r="G428" s="49">
        <f t="shared" si="36"/>
        <v>412.8</v>
      </c>
      <c r="H428" s="153">
        <v>416</v>
      </c>
      <c r="I428" s="46">
        <f t="shared" si="37"/>
        <v>2496</v>
      </c>
      <c r="J428" s="100">
        <f t="shared" si="38"/>
        <v>1.0077519379844961</v>
      </c>
      <c r="K428" s="51">
        <f>VLOOKUP(B:B,'生產達成率(目標)'!A:C,3,0)</f>
        <v>1</v>
      </c>
      <c r="L428" s="20">
        <f t="shared" si="41"/>
        <v>8.0000000000000002E-3</v>
      </c>
      <c r="M428" s="235"/>
      <c r="N428" s="41"/>
      <c r="O428" s="150">
        <f t="shared" si="39"/>
        <v>1</v>
      </c>
      <c r="P428" s="41">
        <v>415</v>
      </c>
      <c r="Q428" s="27">
        <f t="shared" si="40"/>
        <v>0.99759615384615385</v>
      </c>
      <c r="R428" s="23"/>
      <c r="S428" s="173"/>
      <c r="T428" s="30"/>
      <c r="U428" s="23"/>
      <c r="V428" s="458"/>
      <c r="W428" s="421"/>
      <c r="X428" s="458"/>
      <c r="Y428" s="421"/>
      <c r="Z428" s="421"/>
      <c r="AA428" s="421"/>
      <c r="AB428" s="421"/>
      <c r="AC428" s="421"/>
      <c r="AD428" s="421"/>
    </row>
    <row r="429" spans="1:30" s="22" customFormat="1" x14ac:dyDescent="0.4">
      <c r="A429" s="177" t="s">
        <v>749</v>
      </c>
      <c r="B429" s="149" t="s">
        <v>9</v>
      </c>
      <c r="C429" s="30" t="str">
        <f>VLOOKUP(B429,'112年全品項生產鍋數'!A:H,2,0)</f>
        <v>＃1花生(1*2.8kg)</v>
      </c>
      <c r="D429" s="285">
        <v>72</v>
      </c>
      <c r="E429" s="48">
        <f>VLOOKUP(B429,'112年全品項生產鍋數'!A:H,3,0)</f>
        <v>2.8</v>
      </c>
      <c r="F429" s="45">
        <f>VLOOKUP(B429,'112年全品項生產鍋數'!A:H,7,0)</f>
        <v>44.5</v>
      </c>
      <c r="G429" s="49">
        <f t="shared" si="36"/>
        <v>3204</v>
      </c>
      <c r="H429" s="153">
        <v>3203</v>
      </c>
      <c r="I429" s="46">
        <f t="shared" si="37"/>
        <v>8968.4</v>
      </c>
      <c r="J429" s="100">
        <f t="shared" si="38"/>
        <v>0.99968789013732839</v>
      </c>
      <c r="K429" s="51">
        <f>VLOOKUP(B:B,'生產達成率(目標)'!A:C,3,0)</f>
        <v>1</v>
      </c>
      <c r="L429" s="20">
        <f t="shared" si="41"/>
        <v>0</v>
      </c>
      <c r="M429" s="235"/>
      <c r="N429" s="41"/>
      <c r="O429" s="150">
        <f t="shared" si="39"/>
        <v>1</v>
      </c>
      <c r="P429" s="41">
        <v>3202</v>
      </c>
      <c r="Q429" s="27">
        <f t="shared" si="40"/>
        <v>0.99968779269434904</v>
      </c>
      <c r="R429" s="23"/>
      <c r="S429" s="173"/>
      <c r="T429" s="30"/>
      <c r="U429" s="23"/>
      <c r="V429" s="458"/>
      <c r="W429" s="421"/>
      <c r="X429" s="458"/>
      <c r="Y429" s="421"/>
      <c r="Z429" s="421"/>
      <c r="AA429" s="421"/>
      <c r="AB429" s="421"/>
      <c r="AC429" s="421"/>
      <c r="AD429" s="421"/>
    </row>
    <row r="430" spans="1:30" s="22" customFormat="1" x14ac:dyDescent="0.4">
      <c r="A430" s="177" t="s">
        <v>750</v>
      </c>
      <c r="B430" s="149" t="s">
        <v>21</v>
      </c>
      <c r="C430" s="30" t="str">
        <f>VLOOKUP(B430,'112年全品項生產鍋數'!A:H,2,0)</f>
        <v>梨山草莓果醬(1*430g)</v>
      </c>
      <c r="D430" s="285">
        <v>8</v>
      </c>
      <c r="E430" s="48">
        <f>VLOOKUP(B430,'112年全品項生產鍋數'!A:H,3,0)</f>
        <v>0.43</v>
      </c>
      <c r="F430" s="45">
        <f>VLOOKUP(B430,'112年全品項生產鍋數'!A:H,7,0)</f>
        <v>340.4</v>
      </c>
      <c r="G430" s="49">
        <f t="shared" si="36"/>
        <v>2723.2</v>
      </c>
      <c r="H430" s="153">
        <v>2722</v>
      </c>
      <c r="I430" s="46">
        <f t="shared" si="37"/>
        <v>1170.46</v>
      </c>
      <c r="J430" s="100">
        <f t="shared" si="38"/>
        <v>0.99955934195064633</v>
      </c>
      <c r="K430" s="51">
        <f>VLOOKUP(B:B,'生產達成率(目標)'!A:C,3,0)</f>
        <v>1</v>
      </c>
      <c r="L430" s="20">
        <f t="shared" si="41"/>
        <v>0</v>
      </c>
      <c r="M430" s="235"/>
      <c r="N430" s="41"/>
      <c r="O430" s="150">
        <f t="shared" si="39"/>
        <v>4</v>
      </c>
      <c r="P430" s="41">
        <v>2718</v>
      </c>
      <c r="Q430" s="27">
        <f t="shared" si="40"/>
        <v>0.9985304922850845</v>
      </c>
      <c r="R430" s="23"/>
      <c r="S430" s="173"/>
      <c r="T430" s="30"/>
      <c r="U430" s="23"/>
      <c r="V430" s="458"/>
      <c r="W430" s="421"/>
      <c r="X430" s="458"/>
      <c r="Y430" s="421"/>
      <c r="Z430" s="421"/>
      <c r="AA430" s="421"/>
      <c r="AB430" s="421"/>
      <c r="AC430" s="421"/>
      <c r="AD430" s="421"/>
    </row>
    <row r="431" spans="1:30" s="22" customFormat="1" x14ac:dyDescent="0.4">
      <c r="A431" s="177" t="s">
        <v>750</v>
      </c>
      <c r="B431" s="149" t="s">
        <v>24</v>
      </c>
      <c r="C431" s="30" t="str">
        <f>VLOOKUP(B431,'112年全品項生產鍋數'!A:H,2,0)</f>
        <v>小藍莓1*260G</v>
      </c>
      <c r="D431" s="285">
        <v>12</v>
      </c>
      <c r="E431" s="48">
        <f>VLOOKUP(B431,'112年全品項生產鍋數'!A:H,3,0)</f>
        <v>0.26</v>
      </c>
      <c r="F431" s="45">
        <f>VLOOKUP(B431,'112年全品項生產鍋數'!A:H,7,0)</f>
        <v>584.29999999999995</v>
      </c>
      <c r="G431" s="49">
        <f t="shared" si="36"/>
        <v>7011.5999999999995</v>
      </c>
      <c r="H431" s="153">
        <v>6981</v>
      </c>
      <c r="I431" s="46">
        <f t="shared" si="37"/>
        <v>1815.0600000000002</v>
      </c>
      <c r="J431" s="100">
        <f t="shared" si="38"/>
        <v>0.99563580352558623</v>
      </c>
      <c r="K431" s="51">
        <f>VLOOKUP(B:B,'生產達成率(目標)'!A:C,3,0)</f>
        <v>1</v>
      </c>
      <c r="L431" s="20">
        <f t="shared" si="41"/>
        <v>-4.0000000000000001E-3</v>
      </c>
      <c r="M431" s="235"/>
      <c r="N431" s="41"/>
      <c r="O431" s="150">
        <f t="shared" si="39"/>
        <v>5</v>
      </c>
      <c r="P431" s="41">
        <v>6976</v>
      </c>
      <c r="Q431" s="27">
        <f t="shared" si="40"/>
        <v>0.99928377023349091</v>
      </c>
      <c r="R431" s="23"/>
      <c r="S431" s="173"/>
      <c r="T431" s="30"/>
      <c r="U431" s="23"/>
      <c r="V431" s="458"/>
      <c r="W431" s="421"/>
      <c r="X431" s="458"/>
      <c r="Y431" s="421"/>
      <c r="Z431" s="421"/>
      <c r="AA431" s="421"/>
      <c r="AB431" s="421"/>
      <c r="AC431" s="421"/>
      <c r="AD431" s="421"/>
    </row>
    <row r="432" spans="1:30" s="22" customFormat="1" x14ac:dyDescent="0.4">
      <c r="A432" s="177" t="s">
        <v>750</v>
      </c>
      <c r="B432" s="149" t="s">
        <v>25</v>
      </c>
      <c r="C432" s="30" t="str">
        <f>VLOOKUP(B432,'112年全品項生產鍋數'!A:H,2,0)</f>
        <v>小藍莓1*260G</v>
      </c>
      <c r="D432" s="285">
        <v>4</v>
      </c>
      <c r="E432" s="48">
        <f>VLOOKUP(B432,'112年全品項生產鍋數'!A:H,3,0)</f>
        <v>0.26</v>
      </c>
      <c r="F432" s="45">
        <f>VLOOKUP(B432,'112年全品項生產鍋數'!A:H,7,0)</f>
        <v>592</v>
      </c>
      <c r="G432" s="49">
        <f t="shared" si="36"/>
        <v>2368</v>
      </c>
      <c r="H432" s="153">
        <v>2474</v>
      </c>
      <c r="I432" s="46">
        <f t="shared" si="37"/>
        <v>643.24</v>
      </c>
      <c r="J432" s="100">
        <f t="shared" si="38"/>
        <v>1.0447635135135136</v>
      </c>
      <c r="K432" s="51">
        <f>VLOOKUP(B:B,'生產達成率(目標)'!A:C,3,0)</f>
        <v>1</v>
      </c>
      <c r="L432" s="20">
        <f t="shared" si="41"/>
        <v>4.4999999999999998E-2</v>
      </c>
      <c r="M432" s="235"/>
      <c r="N432" s="41"/>
      <c r="O432" s="150">
        <f t="shared" si="39"/>
        <v>6</v>
      </c>
      <c r="P432" s="41">
        <v>2468</v>
      </c>
      <c r="Q432" s="27">
        <f t="shared" si="40"/>
        <v>0.99757477768795477</v>
      </c>
      <c r="R432" s="23"/>
      <c r="S432" s="173"/>
      <c r="T432" s="30"/>
      <c r="U432" s="23"/>
      <c r="V432" s="458"/>
      <c r="W432" s="421"/>
      <c r="X432" s="458"/>
      <c r="Y432" s="421"/>
      <c r="Z432" s="421"/>
      <c r="AA432" s="421"/>
      <c r="AB432" s="421"/>
      <c r="AC432" s="421"/>
      <c r="AD432" s="421"/>
    </row>
    <row r="433" spans="1:30" s="22" customFormat="1" x14ac:dyDescent="0.4">
      <c r="A433" s="177" t="s">
        <v>750</v>
      </c>
      <c r="B433" s="149" t="s">
        <v>16</v>
      </c>
      <c r="C433" s="30" t="str">
        <f>VLOOKUP(B433,'112年全品項生產鍋數'!A:H,2,0)</f>
        <v>藍莓餡(1*6Kg)</v>
      </c>
      <c r="D433" s="285">
        <v>16</v>
      </c>
      <c r="E433" s="48">
        <f>VLOOKUP(B433,'112年全品項生產鍋數'!A:H,3,0)</f>
        <v>6</v>
      </c>
      <c r="F433" s="45">
        <f>VLOOKUP(B433,'112年全品項生產鍋數'!A:H,7,0)</f>
        <v>25.1</v>
      </c>
      <c r="G433" s="49">
        <f t="shared" si="36"/>
        <v>401.6</v>
      </c>
      <c r="H433" s="153">
        <v>408</v>
      </c>
      <c r="I433" s="46">
        <f t="shared" si="37"/>
        <v>2448</v>
      </c>
      <c r="J433" s="100">
        <f t="shared" si="38"/>
        <v>1.0159362549800797</v>
      </c>
      <c r="K433" s="51">
        <f>VLOOKUP(B:B,'生產達成率(目標)'!A:C,3,0)</f>
        <v>1</v>
      </c>
      <c r="L433" s="20">
        <f t="shared" si="41"/>
        <v>1.6E-2</v>
      </c>
      <c r="M433" s="235"/>
      <c r="N433" s="41"/>
      <c r="O433" s="150">
        <f t="shared" si="39"/>
        <v>1</v>
      </c>
      <c r="P433" s="41">
        <v>407</v>
      </c>
      <c r="Q433" s="27">
        <f t="shared" si="40"/>
        <v>0.99754901960784315</v>
      </c>
      <c r="R433" s="23"/>
      <c r="S433" s="173"/>
      <c r="T433" s="30"/>
      <c r="U433" s="23"/>
      <c r="V433" s="458"/>
      <c r="W433" s="421"/>
      <c r="X433" s="458"/>
      <c r="Y433" s="421"/>
      <c r="Z433" s="421"/>
      <c r="AA433" s="421"/>
      <c r="AB433" s="421"/>
      <c r="AC433" s="421"/>
      <c r="AD433" s="421"/>
    </row>
    <row r="434" spans="1:30" s="22" customFormat="1" x14ac:dyDescent="0.4">
      <c r="A434" s="177" t="s">
        <v>750</v>
      </c>
      <c r="B434" s="149" t="s">
        <v>7</v>
      </c>
      <c r="C434" s="30" t="str">
        <f>VLOOKUP(B434,'112年全品項生產鍋數'!A:H,2,0)</f>
        <v>草莓蒟蒻餡(1*6kg)</v>
      </c>
      <c r="D434" s="285">
        <v>28</v>
      </c>
      <c r="E434" s="48">
        <f>VLOOKUP(B434,'112年全品項生產鍋數'!A:H,3,0)</f>
        <v>6</v>
      </c>
      <c r="F434" s="45">
        <f>VLOOKUP(B434,'112年全品項生產鍋數'!A:H,7,0)</f>
        <v>25.7</v>
      </c>
      <c r="G434" s="49">
        <f t="shared" si="36"/>
        <v>719.6</v>
      </c>
      <c r="H434" s="153">
        <v>726</v>
      </c>
      <c r="I434" s="46">
        <f t="shared" si="37"/>
        <v>4356</v>
      </c>
      <c r="J434" s="100">
        <f t="shared" si="38"/>
        <v>1.008893829905503</v>
      </c>
      <c r="K434" s="51">
        <f>VLOOKUP(B:B,'生產達成率(目標)'!A:C,3,0)</f>
        <v>1</v>
      </c>
      <c r="L434" s="20">
        <f t="shared" si="41"/>
        <v>8.9999999999999993E-3</v>
      </c>
      <c r="M434" s="235"/>
      <c r="N434" s="41"/>
      <c r="O434" s="150">
        <f t="shared" si="39"/>
        <v>3</v>
      </c>
      <c r="P434" s="41">
        <v>723</v>
      </c>
      <c r="Q434" s="27">
        <f t="shared" si="40"/>
        <v>0.99586776859504134</v>
      </c>
      <c r="R434" s="23"/>
      <c r="S434" s="173"/>
      <c r="T434" s="30"/>
      <c r="U434" s="23"/>
      <c r="V434" s="458"/>
      <c r="W434" s="421"/>
      <c r="X434" s="458"/>
      <c r="Y434" s="421"/>
      <c r="Z434" s="421"/>
      <c r="AA434" s="421"/>
      <c r="AB434" s="421"/>
      <c r="AC434" s="421"/>
      <c r="AD434" s="421"/>
    </row>
    <row r="435" spans="1:30" s="22" customFormat="1" x14ac:dyDescent="0.4">
      <c r="A435" s="177" t="s">
        <v>750</v>
      </c>
      <c r="B435" s="149" t="s">
        <v>34</v>
      </c>
      <c r="C435" s="30" t="str">
        <f>VLOOKUP(B435,'112年全品項生產鍋數'!A:H,2,0)</f>
        <v>花生醬(1*18KG)</v>
      </c>
      <c r="D435" s="285">
        <v>24</v>
      </c>
      <c r="E435" s="48">
        <f>VLOOKUP(B435,'112年全品項生產鍋數'!A:H,3,0)</f>
        <v>18</v>
      </c>
      <c r="F435" s="45">
        <f>VLOOKUP(B435,'112年全品項生產鍋數'!A:H,7,0)</f>
        <v>6.9</v>
      </c>
      <c r="G435" s="49">
        <f t="shared" si="36"/>
        <v>165.60000000000002</v>
      </c>
      <c r="H435" s="153">
        <v>164</v>
      </c>
      <c r="I435" s="46">
        <f t="shared" si="37"/>
        <v>2952</v>
      </c>
      <c r="J435" s="100">
        <f t="shared" si="38"/>
        <v>0.99033816425120758</v>
      </c>
      <c r="K435" s="51">
        <f>VLOOKUP(B:B,'生產達成率(目標)'!A:C,3,0)</f>
        <v>1</v>
      </c>
      <c r="L435" s="20">
        <f t="shared" si="41"/>
        <v>-0.01</v>
      </c>
      <c r="M435" s="235"/>
      <c r="N435" s="41"/>
      <c r="O435" s="150">
        <f t="shared" si="39"/>
        <v>0</v>
      </c>
      <c r="P435" s="41">
        <v>164</v>
      </c>
      <c r="Q435" s="27">
        <f t="shared" si="40"/>
        <v>1</v>
      </c>
      <c r="R435" s="23"/>
      <c r="S435" s="173"/>
      <c r="T435" s="30"/>
      <c r="U435" s="23"/>
      <c r="V435" s="458"/>
      <c r="W435" s="421"/>
      <c r="X435" s="458"/>
      <c r="Y435" s="421"/>
      <c r="Z435" s="421"/>
      <c r="AA435" s="421"/>
      <c r="AB435" s="421"/>
      <c r="AC435" s="421"/>
      <c r="AD435" s="421"/>
    </row>
    <row r="436" spans="1:30" s="22" customFormat="1" x14ac:dyDescent="0.4">
      <c r="A436" s="177" t="s">
        <v>750</v>
      </c>
      <c r="B436" s="149" t="s">
        <v>9</v>
      </c>
      <c r="C436" s="30" t="str">
        <f>VLOOKUP(B436,'112年全品項生產鍋數'!A:H,2,0)</f>
        <v>＃1花生(1*2.8kg)</v>
      </c>
      <c r="D436" s="285">
        <v>28</v>
      </c>
      <c r="E436" s="48">
        <f>VLOOKUP(B436,'112年全品項生產鍋數'!A:H,3,0)</f>
        <v>2.8</v>
      </c>
      <c r="F436" s="45">
        <f>VLOOKUP(B436,'112年全品項生產鍋數'!A:H,7,0)</f>
        <v>44.5</v>
      </c>
      <c r="G436" s="49">
        <f t="shared" si="36"/>
        <v>1246</v>
      </c>
      <c r="H436" s="153">
        <v>1251</v>
      </c>
      <c r="I436" s="46">
        <f t="shared" si="37"/>
        <v>3502.7999999999997</v>
      </c>
      <c r="J436" s="100">
        <f t="shared" si="38"/>
        <v>1.0040128410914928</v>
      </c>
      <c r="K436" s="51">
        <f>VLOOKUP(B:B,'生產達成率(目標)'!A:C,3,0)</f>
        <v>1</v>
      </c>
      <c r="L436" s="20">
        <f t="shared" si="41"/>
        <v>4.0000000000000001E-3</v>
      </c>
      <c r="M436" s="235"/>
      <c r="N436" s="41"/>
      <c r="O436" s="150">
        <f t="shared" si="39"/>
        <v>1</v>
      </c>
      <c r="P436" s="41">
        <v>1250</v>
      </c>
      <c r="Q436" s="27">
        <f t="shared" si="40"/>
        <v>0.99920063948840931</v>
      </c>
      <c r="R436" s="23"/>
      <c r="S436" s="173"/>
      <c r="T436" s="30"/>
      <c r="U436" s="23"/>
      <c r="V436" s="458"/>
      <c r="W436" s="421"/>
      <c r="X436" s="458"/>
      <c r="Y436" s="421"/>
      <c r="Z436" s="421"/>
      <c r="AA436" s="421"/>
      <c r="AB436" s="421"/>
      <c r="AC436" s="421"/>
      <c r="AD436" s="421"/>
    </row>
    <row r="437" spans="1:30" s="22" customFormat="1" x14ac:dyDescent="0.4">
      <c r="A437" s="177" t="s">
        <v>751</v>
      </c>
      <c r="B437" s="149" t="s">
        <v>87</v>
      </c>
      <c r="C437" s="30" t="str">
        <f>VLOOKUP(B437,'112年全品項生產鍋數'!A:H,2,0)</f>
        <v>＃1藍莓(1*3.2kg)</v>
      </c>
      <c r="D437" s="285">
        <v>32</v>
      </c>
      <c r="E437" s="48">
        <f>VLOOKUP(B437,'112年全品項生產鍋數'!A:H,3,0)</f>
        <v>3.2</v>
      </c>
      <c r="F437" s="45">
        <f>VLOOKUP(B437,'112年全品項生產鍋數'!A:H,7,0)</f>
        <v>47.5</v>
      </c>
      <c r="G437" s="49">
        <f t="shared" si="36"/>
        <v>1520</v>
      </c>
      <c r="H437" s="153">
        <v>1533</v>
      </c>
      <c r="I437" s="46">
        <f t="shared" si="37"/>
        <v>4905.6000000000004</v>
      </c>
      <c r="J437" s="100">
        <f t="shared" si="38"/>
        <v>1.0085526315789475</v>
      </c>
      <c r="K437" s="51">
        <f>VLOOKUP(B:B,'生產達成率(目標)'!A:C,3,0)</f>
        <v>1</v>
      </c>
      <c r="L437" s="20">
        <f t="shared" si="41"/>
        <v>8.9999999999999993E-3</v>
      </c>
      <c r="M437" s="235"/>
      <c r="N437" s="41"/>
      <c r="O437" s="150">
        <f t="shared" si="39"/>
        <v>1</v>
      </c>
      <c r="P437" s="41">
        <v>1532</v>
      </c>
      <c r="Q437" s="27">
        <f t="shared" si="40"/>
        <v>0.99934768427919107</v>
      </c>
      <c r="R437" s="23"/>
      <c r="S437" s="173"/>
      <c r="T437" s="30"/>
      <c r="U437" s="23"/>
      <c r="V437" s="458"/>
      <c r="W437" s="421"/>
      <c r="X437" s="458"/>
      <c r="Y437" s="421"/>
      <c r="Z437" s="421"/>
      <c r="AA437" s="421"/>
      <c r="AB437" s="421"/>
      <c r="AC437" s="421"/>
      <c r="AD437" s="421"/>
    </row>
    <row r="438" spans="1:30" s="22" customFormat="1" x14ac:dyDescent="0.4">
      <c r="A438" s="177" t="s">
        <v>751</v>
      </c>
      <c r="B438" s="149" t="s">
        <v>15</v>
      </c>
      <c r="C438" s="30" t="str">
        <f>VLOOKUP(B438,'112年全品項生產鍋數'!A:H,2,0)</f>
        <v>＃1桔子(1*3.2kg)</v>
      </c>
      <c r="D438" s="285">
        <v>32</v>
      </c>
      <c r="E438" s="48">
        <f>VLOOKUP(B438,'112年全品項生產鍋數'!A:H,3,0)</f>
        <v>3.2</v>
      </c>
      <c r="F438" s="45">
        <f>VLOOKUP(B438,'112年全品項生產鍋數'!A:H,7,0)</f>
        <v>46.4</v>
      </c>
      <c r="G438" s="49">
        <f t="shared" si="36"/>
        <v>1484.8</v>
      </c>
      <c r="H438" s="153">
        <v>1493</v>
      </c>
      <c r="I438" s="46">
        <f t="shared" si="37"/>
        <v>4777.6000000000004</v>
      </c>
      <c r="J438" s="100">
        <f t="shared" si="38"/>
        <v>1.0055226293103448</v>
      </c>
      <c r="K438" s="51">
        <f>VLOOKUP(B:B,'生產達成率(目標)'!A:C,3,0)</f>
        <v>1</v>
      </c>
      <c r="L438" s="20">
        <f t="shared" si="41"/>
        <v>6.0000000000000001E-3</v>
      </c>
      <c r="M438" s="235"/>
      <c r="N438" s="41"/>
      <c r="O438" s="150">
        <f t="shared" si="39"/>
        <v>1</v>
      </c>
      <c r="P438" s="41">
        <v>1492</v>
      </c>
      <c r="Q438" s="27">
        <f t="shared" si="40"/>
        <v>0.99933020763563296</v>
      </c>
      <c r="R438" s="23"/>
      <c r="S438" s="173"/>
      <c r="T438" s="30"/>
      <c r="U438" s="23"/>
      <c r="V438" s="458"/>
      <c r="W438" s="421"/>
      <c r="X438" s="458"/>
      <c r="Y438" s="421"/>
      <c r="Z438" s="421"/>
      <c r="AA438" s="421"/>
      <c r="AB438" s="421"/>
      <c r="AC438" s="421"/>
      <c r="AD438" s="421"/>
    </row>
    <row r="439" spans="1:30" s="22" customFormat="1" x14ac:dyDescent="0.4">
      <c r="A439" s="177" t="s">
        <v>751</v>
      </c>
      <c r="B439" s="149" t="s">
        <v>31</v>
      </c>
      <c r="C439" s="30" t="str">
        <f>VLOOKUP(B439,'112年全品項生產鍋數'!A:H,2,0)</f>
        <v>天天開心芒果餡4.5KG</v>
      </c>
      <c r="D439" s="285">
        <v>24</v>
      </c>
      <c r="E439" s="48">
        <f>VLOOKUP(B439,'112年全品項生產鍋數'!A:H,3,0)</f>
        <v>4.5</v>
      </c>
      <c r="F439" s="45">
        <f>VLOOKUP(B439,'112年全品項生產鍋數'!A:H,7,0)</f>
        <v>33.200000000000003</v>
      </c>
      <c r="G439" s="49">
        <f t="shared" si="36"/>
        <v>796.80000000000007</v>
      </c>
      <c r="H439" s="153">
        <v>814</v>
      </c>
      <c r="I439" s="46">
        <f t="shared" si="37"/>
        <v>3663</v>
      </c>
      <c r="J439" s="100">
        <f t="shared" si="38"/>
        <v>1.0215863453815259</v>
      </c>
      <c r="K439" s="51">
        <f>VLOOKUP(B:B,'生產達成率(目標)'!A:C,3,0)</f>
        <v>1</v>
      </c>
      <c r="L439" s="20">
        <f t="shared" si="41"/>
        <v>2.1999999999999999E-2</v>
      </c>
      <c r="M439" s="235"/>
      <c r="N439" s="41"/>
      <c r="O439" s="150">
        <f t="shared" si="39"/>
        <v>0</v>
      </c>
      <c r="P439" s="41">
        <v>814</v>
      </c>
      <c r="Q439" s="27">
        <f t="shared" si="40"/>
        <v>1</v>
      </c>
      <c r="R439" s="23"/>
      <c r="S439" s="173"/>
      <c r="T439" s="30"/>
      <c r="U439" s="23"/>
      <c r="V439" s="458"/>
      <c r="W439" s="421"/>
      <c r="X439" s="458"/>
      <c r="Y439" s="421"/>
      <c r="Z439" s="421"/>
      <c r="AA439" s="421"/>
      <c r="AB439" s="421"/>
      <c r="AC439" s="421"/>
      <c r="AD439" s="421"/>
    </row>
    <row r="440" spans="1:30" s="22" customFormat="1" x14ac:dyDescent="0.4">
      <c r="A440" s="177" t="s">
        <v>751</v>
      </c>
      <c r="B440" s="149" t="s">
        <v>41</v>
      </c>
      <c r="C440" s="30" t="str">
        <f>VLOOKUP(B440,'112年全品項生產鍋數'!A:H,2,0)</f>
        <v>天天開心藍莓餡4.5KG</v>
      </c>
      <c r="D440" s="285">
        <v>20</v>
      </c>
      <c r="E440" s="48">
        <f>VLOOKUP(B440,'112年全品項生產鍋數'!A:H,3,0)</f>
        <v>4.5</v>
      </c>
      <c r="F440" s="45">
        <f>VLOOKUP(B440,'112年全品項生產鍋數'!A:H,7,0)</f>
        <v>36.799999999999997</v>
      </c>
      <c r="G440" s="49">
        <f t="shared" si="36"/>
        <v>736</v>
      </c>
      <c r="H440" s="153">
        <v>753</v>
      </c>
      <c r="I440" s="46">
        <f t="shared" si="37"/>
        <v>3388.5</v>
      </c>
      <c r="J440" s="100">
        <f t="shared" si="38"/>
        <v>1.0230978260869565</v>
      </c>
      <c r="K440" s="51">
        <f>VLOOKUP(B:B,'生產達成率(目標)'!A:C,3,0)</f>
        <v>1</v>
      </c>
      <c r="L440" s="20">
        <f t="shared" si="41"/>
        <v>2.3E-2</v>
      </c>
      <c r="M440" s="235"/>
      <c r="N440" s="41"/>
      <c r="O440" s="150">
        <f t="shared" si="39"/>
        <v>0</v>
      </c>
      <c r="P440" s="41">
        <v>753</v>
      </c>
      <c r="Q440" s="27">
        <f t="shared" si="40"/>
        <v>1</v>
      </c>
      <c r="R440" s="23"/>
      <c r="S440" s="173"/>
      <c r="T440" s="30"/>
      <c r="U440" s="23"/>
      <c r="V440" s="458"/>
      <c r="W440" s="421"/>
      <c r="X440" s="458"/>
      <c r="Y440" s="421"/>
      <c r="Z440" s="421"/>
      <c r="AA440" s="421"/>
      <c r="AB440" s="421"/>
      <c r="AC440" s="421"/>
      <c r="AD440" s="421"/>
    </row>
    <row r="441" spans="1:30" s="22" customFormat="1" x14ac:dyDescent="0.4">
      <c r="A441" s="177" t="s">
        <v>751</v>
      </c>
      <c r="B441" s="149" t="s">
        <v>39</v>
      </c>
      <c r="C441" s="30" t="str">
        <f>VLOOKUP(B441,'112年全品項生產鍋數'!A:H,2,0)</f>
        <v>藍莓餡（大）(1*9.08kg)</v>
      </c>
      <c r="D441" s="285">
        <v>8</v>
      </c>
      <c r="E441" s="48">
        <f>VLOOKUP(B441,'112年全品項生產鍋數'!A:H,3,0)</f>
        <v>9.08</v>
      </c>
      <c r="F441" s="45">
        <f>VLOOKUP(B441,'112年全品項生產鍋數'!A:H,7,0)</f>
        <v>17.8</v>
      </c>
      <c r="G441" s="49">
        <f t="shared" si="36"/>
        <v>142.4</v>
      </c>
      <c r="H441" s="153">
        <v>146</v>
      </c>
      <c r="I441" s="46">
        <f t="shared" si="37"/>
        <v>1325.68</v>
      </c>
      <c r="J441" s="100">
        <f t="shared" si="38"/>
        <v>1.0252808988764044</v>
      </c>
      <c r="K441" s="51">
        <f>VLOOKUP(B:B,'生產達成率(目標)'!A:C,3,0)</f>
        <v>1</v>
      </c>
      <c r="L441" s="20">
        <f t="shared" si="41"/>
        <v>2.5000000000000001E-2</v>
      </c>
      <c r="M441" s="235"/>
      <c r="N441" s="41"/>
      <c r="O441" s="150">
        <f t="shared" si="39"/>
        <v>0</v>
      </c>
      <c r="P441" s="41">
        <v>146</v>
      </c>
      <c r="Q441" s="27">
        <f t="shared" si="40"/>
        <v>1</v>
      </c>
      <c r="R441" s="23"/>
      <c r="S441" s="173"/>
      <c r="T441" s="30"/>
      <c r="U441" s="23"/>
      <c r="V441" s="458"/>
      <c r="W441" s="421"/>
      <c r="X441" s="458"/>
      <c r="Y441" s="421"/>
      <c r="Z441" s="421"/>
      <c r="AA441" s="421"/>
      <c r="AB441" s="421"/>
      <c r="AC441" s="421"/>
      <c r="AD441" s="421"/>
    </row>
    <row r="442" spans="1:30" s="22" customFormat="1" x14ac:dyDescent="0.4">
      <c r="A442" s="177" t="s">
        <v>751</v>
      </c>
      <c r="B442" s="149" t="s">
        <v>9</v>
      </c>
      <c r="C442" s="30" t="str">
        <f>VLOOKUP(B442,'112年全品項生產鍋數'!A:H,2,0)</f>
        <v>＃1花生(1*2.8kg)</v>
      </c>
      <c r="D442" s="285">
        <v>60</v>
      </c>
      <c r="E442" s="48">
        <f>VLOOKUP(B442,'112年全品項生產鍋數'!A:H,3,0)</f>
        <v>2.8</v>
      </c>
      <c r="F442" s="45">
        <f>VLOOKUP(B442,'112年全品項生產鍋數'!A:H,7,0)</f>
        <v>44.5</v>
      </c>
      <c r="G442" s="49">
        <f t="shared" si="36"/>
        <v>2670</v>
      </c>
      <c r="H442" s="153">
        <v>2681</v>
      </c>
      <c r="I442" s="46">
        <f t="shared" si="37"/>
        <v>7506.7999999999993</v>
      </c>
      <c r="J442" s="100">
        <f t="shared" si="38"/>
        <v>1.0041198501872659</v>
      </c>
      <c r="K442" s="51">
        <f>VLOOKUP(B:B,'生產達成率(目標)'!A:C,3,0)</f>
        <v>1</v>
      </c>
      <c r="L442" s="20">
        <f t="shared" si="41"/>
        <v>4.0000000000000001E-3</v>
      </c>
      <c r="M442" s="235"/>
      <c r="N442" s="41"/>
      <c r="O442" s="150">
        <f t="shared" si="39"/>
        <v>1</v>
      </c>
      <c r="P442" s="41">
        <v>2680</v>
      </c>
      <c r="Q442" s="27">
        <f t="shared" si="40"/>
        <v>0.99962700484893696</v>
      </c>
      <c r="R442" s="23"/>
      <c r="S442" s="173"/>
      <c r="T442" s="30"/>
      <c r="U442" s="23"/>
      <c r="V442" s="458"/>
      <c r="W442" s="421"/>
      <c r="X442" s="458"/>
      <c r="Y442" s="421"/>
      <c r="Z442" s="421"/>
      <c r="AA442" s="421"/>
      <c r="AB442" s="421"/>
      <c r="AC442" s="421"/>
      <c r="AD442" s="421"/>
    </row>
    <row r="443" spans="1:30" s="22" customFormat="1" x14ac:dyDescent="0.4">
      <c r="A443" s="177" t="s">
        <v>752</v>
      </c>
      <c r="B443" s="149" t="s">
        <v>145</v>
      </c>
      <c r="C443" s="30" t="str">
        <f>VLOOKUP(B443,'112年全品項生產鍋數'!A:H,2,0)</f>
        <v>藍莓餡(1*6kg)</v>
      </c>
      <c r="D443" s="285">
        <v>8</v>
      </c>
      <c r="E443" s="48">
        <f>VLOOKUP(B443,'112年全品項生產鍋數'!A:H,3,0)</f>
        <v>6</v>
      </c>
      <c r="F443" s="45">
        <f>VLOOKUP(B443,'112年全品項生產鍋數'!A:H,7,0)</f>
        <v>26.4</v>
      </c>
      <c r="G443" s="49">
        <f t="shared" si="36"/>
        <v>211.2</v>
      </c>
      <c r="H443" s="153">
        <v>209</v>
      </c>
      <c r="I443" s="46">
        <f t="shared" si="37"/>
        <v>1254</v>
      </c>
      <c r="J443" s="100">
        <f t="shared" si="38"/>
        <v>0.98958333333333337</v>
      </c>
      <c r="K443" s="51">
        <f>VLOOKUP(B:B,'生產達成率(目標)'!A:C,3,0)</f>
        <v>1</v>
      </c>
      <c r="L443" s="20">
        <f t="shared" si="41"/>
        <v>-0.01</v>
      </c>
      <c r="M443" s="235"/>
      <c r="N443" s="41"/>
      <c r="O443" s="150">
        <f t="shared" si="39"/>
        <v>9</v>
      </c>
      <c r="P443" s="41">
        <v>200</v>
      </c>
      <c r="Q443" s="27">
        <f t="shared" si="40"/>
        <v>0.9569377990430622</v>
      </c>
      <c r="R443" s="23"/>
      <c r="S443" s="173"/>
      <c r="T443" s="30"/>
      <c r="U443" s="23"/>
      <c r="V443" s="458"/>
      <c r="W443" s="421"/>
      <c r="X443" s="458"/>
      <c r="Y443" s="421"/>
      <c r="Z443" s="421"/>
      <c r="AA443" s="421"/>
      <c r="AB443" s="421"/>
      <c r="AC443" s="421"/>
      <c r="AD443" s="421"/>
    </row>
    <row r="444" spans="1:30" s="22" customFormat="1" x14ac:dyDescent="0.4">
      <c r="A444" s="177" t="s">
        <v>752</v>
      </c>
      <c r="B444" s="149" t="s">
        <v>7</v>
      </c>
      <c r="C444" s="30" t="str">
        <f>VLOOKUP(B444,'112年全品項生產鍋數'!A:H,2,0)</f>
        <v>草莓蒟蒻餡(1*6kg)</v>
      </c>
      <c r="D444" s="285">
        <v>36</v>
      </c>
      <c r="E444" s="48">
        <f>VLOOKUP(B444,'112年全品項生產鍋數'!A:H,3,0)</f>
        <v>6</v>
      </c>
      <c r="F444" s="45">
        <f>VLOOKUP(B444,'112年全品項生產鍋數'!A:H,7,0)</f>
        <v>25.7</v>
      </c>
      <c r="G444" s="49">
        <f t="shared" si="36"/>
        <v>925.19999999999993</v>
      </c>
      <c r="H444" s="153">
        <v>936</v>
      </c>
      <c r="I444" s="46">
        <f t="shared" si="37"/>
        <v>5616</v>
      </c>
      <c r="J444" s="100">
        <f t="shared" si="38"/>
        <v>1.0116731517509729</v>
      </c>
      <c r="K444" s="51">
        <f>VLOOKUP(B:B,'生產達成率(目標)'!A:C,3,0)</f>
        <v>1</v>
      </c>
      <c r="L444" s="20">
        <f t="shared" si="41"/>
        <v>1.2E-2</v>
      </c>
      <c r="M444" s="235"/>
      <c r="N444" s="41"/>
      <c r="O444" s="150">
        <f t="shared" si="39"/>
        <v>2</v>
      </c>
      <c r="P444" s="41">
        <v>934</v>
      </c>
      <c r="Q444" s="27">
        <f t="shared" si="40"/>
        <v>0.99786324786324787</v>
      </c>
      <c r="R444" s="23"/>
      <c r="S444" s="173"/>
      <c r="T444" s="30"/>
      <c r="U444" s="23"/>
      <c r="V444" s="458"/>
      <c r="W444" s="421"/>
      <c r="X444" s="458"/>
      <c r="Y444" s="421"/>
      <c r="Z444" s="421"/>
      <c r="AA444" s="421"/>
      <c r="AB444" s="421"/>
      <c r="AC444" s="421"/>
      <c r="AD444" s="421"/>
    </row>
    <row r="445" spans="1:30" s="22" customFormat="1" x14ac:dyDescent="0.4">
      <c r="A445" s="177" t="s">
        <v>752</v>
      </c>
      <c r="B445" s="149" t="s">
        <v>142</v>
      </c>
      <c r="C445" s="30" t="str">
        <f>VLOOKUP(B445,'112年全品項生產鍋數'!A:H,2,0)</f>
        <v>顆粒花生醬(1*12KG)</v>
      </c>
      <c r="D445" s="285">
        <v>18</v>
      </c>
      <c r="E445" s="48">
        <f>VLOOKUP(B445,'112年全品項生產鍋數'!A:H,3,0)</f>
        <v>3</v>
      </c>
      <c r="F445" s="45">
        <f>VLOOKUP(B445,'112年全品項生產鍋數'!A:H,7,0)</f>
        <v>31.6</v>
      </c>
      <c r="G445" s="49">
        <f t="shared" si="36"/>
        <v>568.80000000000007</v>
      </c>
      <c r="H445" s="153">
        <v>572</v>
      </c>
      <c r="I445" s="46">
        <f t="shared" si="37"/>
        <v>1716</v>
      </c>
      <c r="J445" s="100">
        <f t="shared" si="38"/>
        <v>1.0056258790436003</v>
      </c>
      <c r="K445" s="51">
        <f>VLOOKUP(B:B,'生產達成率(目標)'!A:C,3,0)</f>
        <v>1</v>
      </c>
      <c r="L445" s="20">
        <f t="shared" si="41"/>
        <v>6.0000000000000001E-3</v>
      </c>
      <c r="M445" s="235"/>
      <c r="N445" s="41"/>
      <c r="O445" s="150">
        <f t="shared" si="39"/>
        <v>0</v>
      </c>
      <c r="P445" s="41">
        <v>572</v>
      </c>
      <c r="Q445" s="27">
        <f t="shared" si="40"/>
        <v>1</v>
      </c>
      <c r="R445" s="23"/>
      <c r="S445" s="173"/>
      <c r="T445" s="30"/>
      <c r="U445" s="23"/>
      <c r="V445" s="458"/>
      <c r="W445" s="421"/>
      <c r="X445" s="458"/>
      <c r="Y445" s="421"/>
      <c r="Z445" s="421"/>
      <c r="AA445" s="421"/>
      <c r="AB445" s="421"/>
      <c r="AC445" s="421"/>
      <c r="AD445" s="421"/>
    </row>
    <row r="446" spans="1:30" s="22" customFormat="1" x14ac:dyDescent="0.4">
      <c r="A446" s="177" t="s">
        <v>752</v>
      </c>
      <c r="B446" s="149" t="s">
        <v>9</v>
      </c>
      <c r="C446" s="30" t="str">
        <f>VLOOKUP(B446,'112年全品項生產鍋數'!A:H,2,0)</f>
        <v>＃1花生(1*2.8kg)</v>
      </c>
      <c r="D446" s="285">
        <v>48</v>
      </c>
      <c r="E446" s="48">
        <f>VLOOKUP(B446,'112年全品項生產鍋數'!A:H,3,0)</f>
        <v>2.8</v>
      </c>
      <c r="F446" s="45">
        <f>VLOOKUP(B446,'112年全品項生產鍋數'!A:H,7,0)</f>
        <v>44.5</v>
      </c>
      <c r="G446" s="49">
        <f t="shared" si="36"/>
        <v>2136</v>
      </c>
      <c r="H446" s="153">
        <v>2162</v>
      </c>
      <c r="I446" s="46">
        <f t="shared" si="37"/>
        <v>6053.5999999999995</v>
      </c>
      <c r="J446" s="100">
        <f t="shared" si="38"/>
        <v>1.0121722846441947</v>
      </c>
      <c r="K446" s="51">
        <f>VLOOKUP(B:B,'生產達成率(目標)'!A:C,3,0)</f>
        <v>1</v>
      </c>
      <c r="L446" s="20">
        <f t="shared" si="41"/>
        <v>1.2E-2</v>
      </c>
      <c r="M446" s="235"/>
      <c r="N446" s="41"/>
      <c r="O446" s="150">
        <f t="shared" si="39"/>
        <v>1</v>
      </c>
      <c r="P446" s="41">
        <v>2161</v>
      </c>
      <c r="Q446" s="27">
        <f t="shared" si="40"/>
        <v>0.99953746530989829</v>
      </c>
      <c r="R446" s="23"/>
      <c r="S446" s="173"/>
      <c r="T446" s="30"/>
      <c r="U446" s="23"/>
      <c r="V446" s="458"/>
      <c r="W446" s="421"/>
      <c r="X446" s="458"/>
      <c r="Y446" s="421"/>
      <c r="Z446" s="421"/>
      <c r="AA446" s="421"/>
      <c r="AB446" s="421"/>
      <c r="AC446" s="421"/>
      <c r="AD446" s="421"/>
    </row>
    <row r="447" spans="1:30" s="22" customFormat="1" x14ac:dyDescent="0.4">
      <c r="A447" s="177" t="s">
        <v>752</v>
      </c>
      <c r="B447" s="149" t="s">
        <v>356</v>
      </c>
      <c r="C447" s="30" t="str">
        <f>VLOOKUP(B447,'112年全品項生產鍋數'!A:H,2,0)</f>
        <v>花生醬(1*18KG)</v>
      </c>
      <c r="D447" s="285">
        <v>8</v>
      </c>
      <c r="E447" s="48">
        <f>VLOOKUP(B447,'112年全品項生產鍋數'!A:H,3,0)</f>
        <v>18</v>
      </c>
      <c r="F447" s="45">
        <f>VLOOKUP(B447,'112年全品項生產鍋數'!A:H,7,0)</f>
        <v>6.6</v>
      </c>
      <c r="G447" s="49">
        <f t="shared" si="36"/>
        <v>52.8</v>
      </c>
      <c r="H447" s="153">
        <v>52</v>
      </c>
      <c r="I447" s="46">
        <f t="shared" si="37"/>
        <v>936</v>
      </c>
      <c r="J447" s="100">
        <f t="shared" si="38"/>
        <v>0.98484848484848486</v>
      </c>
      <c r="K447" s="51">
        <f>VLOOKUP(B:B,'生產達成率(目標)'!A:C,3,0)</f>
        <v>1</v>
      </c>
      <c r="L447" s="20">
        <f t="shared" si="41"/>
        <v>-1.4999999999999999E-2</v>
      </c>
      <c r="M447" s="235"/>
      <c r="N447" s="41"/>
      <c r="O447" s="150">
        <f t="shared" si="39"/>
        <v>0</v>
      </c>
      <c r="P447" s="41">
        <v>52</v>
      </c>
      <c r="Q447" s="27">
        <f t="shared" si="40"/>
        <v>1</v>
      </c>
      <c r="R447" s="23"/>
      <c r="S447" s="173"/>
      <c r="T447" s="30"/>
      <c r="U447" s="23"/>
      <c r="V447" s="458"/>
      <c r="W447" s="421"/>
      <c r="X447" s="458"/>
      <c r="Y447" s="421"/>
      <c r="Z447" s="421"/>
      <c r="AA447" s="421"/>
      <c r="AB447" s="421"/>
      <c r="AC447" s="421"/>
      <c r="AD447" s="421"/>
    </row>
    <row r="448" spans="1:30" s="22" customFormat="1" x14ac:dyDescent="0.4">
      <c r="A448" s="177" t="s">
        <v>753</v>
      </c>
      <c r="B448" s="151" t="s">
        <v>2</v>
      </c>
      <c r="C448" s="30" t="str">
        <f>VLOOKUP(B448,'112年全品項生產鍋數'!A:H,2,0)</f>
        <v>草莓醬(1*6kg)</v>
      </c>
      <c r="D448" s="285">
        <v>39</v>
      </c>
      <c r="E448" s="48">
        <f>VLOOKUP(B448,'112年全品項生產鍋數'!A:H,3,0)</f>
        <v>6</v>
      </c>
      <c r="F448" s="45">
        <f>VLOOKUP(B448,'112年全品項生產鍋數'!A:H,7,0)</f>
        <v>26.6</v>
      </c>
      <c r="G448" s="49">
        <f t="shared" si="36"/>
        <v>1037.4000000000001</v>
      </c>
      <c r="H448" s="153">
        <v>1032</v>
      </c>
      <c r="I448" s="46">
        <f t="shared" si="37"/>
        <v>6192</v>
      </c>
      <c r="J448" s="100">
        <f t="shared" si="38"/>
        <v>0.99479467900520524</v>
      </c>
      <c r="K448" s="51">
        <f>VLOOKUP(B:B,'生產達成率(目標)'!A:C,3,0)</f>
        <v>1</v>
      </c>
      <c r="L448" s="20">
        <f t="shared" si="41"/>
        <v>-5.0000000000000001E-3</v>
      </c>
      <c r="M448" s="235"/>
      <c r="N448" s="41"/>
      <c r="O448" s="150">
        <f t="shared" si="39"/>
        <v>1</v>
      </c>
      <c r="P448" s="41">
        <v>1031</v>
      </c>
      <c r="Q448" s="27">
        <f t="shared" si="40"/>
        <v>0.99903100775193798</v>
      </c>
      <c r="R448" s="23"/>
      <c r="S448" s="173"/>
      <c r="T448" s="30"/>
      <c r="U448" s="23"/>
      <c r="V448" s="458"/>
      <c r="W448" s="421"/>
      <c r="X448" s="458"/>
      <c r="Y448" s="421"/>
      <c r="Z448" s="421"/>
      <c r="AA448" s="421"/>
      <c r="AB448" s="421"/>
      <c r="AC448" s="421"/>
      <c r="AD448" s="421"/>
    </row>
    <row r="449" spans="1:30" s="22" customFormat="1" x14ac:dyDescent="0.4">
      <c r="A449" s="177" t="s">
        <v>753</v>
      </c>
      <c r="B449" s="149" t="s">
        <v>72</v>
      </c>
      <c r="C449" s="30" t="str">
        <f>VLOOKUP(B449,'112年全品項生產鍋數'!A:H,2,0)</f>
        <v>草莓餡45%(1*6Kg)</v>
      </c>
      <c r="D449" s="285">
        <v>16</v>
      </c>
      <c r="E449" s="48">
        <f>VLOOKUP(B449,'112年全品項生產鍋數'!A:H,3,0)</f>
        <v>6</v>
      </c>
      <c r="F449" s="45">
        <f>VLOOKUP(B449,'112年全品項生產鍋數'!A:H,7,0)</f>
        <v>26.1</v>
      </c>
      <c r="G449" s="49">
        <f t="shared" si="36"/>
        <v>417.6</v>
      </c>
      <c r="H449" s="153">
        <v>415</v>
      </c>
      <c r="I449" s="46">
        <f t="shared" si="37"/>
        <v>2490</v>
      </c>
      <c r="J449" s="100">
        <f t="shared" si="38"/>
        <v>0.99377394636015315</v>
      </c>
      <c r="K449" s="51">
        <f>VLOOKUP(B:B,'生產達成率(目標)'!A:C,3,0)</f>
        <v>1</v>
      </c>
      <c r="L449" s="20">
        <f t="shared" si="41"/>
        <v>-6.0000000000000001E-3</v>
      </c>
      <c r="M449" s="235"/>
      <c r="N449" s="41"/>
      <c r="O449" s="150">
        <f t="shared" si="39"/>
        <v>1</v>
      </c>
      <c r="P449" s="41">
        <v>414</v>
      </c>
      <c r="Q449" s="27">
        <f t="shared" si="40"/>
        <v>0.99759036144578317</v>
      </c>
      <c r="R449" s="28"/>
      <c r="S449" s="173"/>
      <c r="T449" s="30"/>
      <c r="U449" s="23"/>
      <c r="V449" s="458"/>
      <c r="W449" s="421"/>
      <c r="X449" s="458"/>
      <c r="Y449" s="421"/>
      <c r="Z449" s="421"/>
      <c r="AA449" s="421"/>
      <c r="AB449" s="421"/>
      <c r="AC449" s="421"/>
      <c r="AD449" s="421"/>
    </row>
    <row r="450" spans="1:30" s="22" customFormat="1" x14ac:dyDescent="0.4">
      <c r="A450" s="177" t="s">
        <v>753</v>
      </c>
      <c r="B450" s="149" t="s">
        <v>8</v>
      </c>
      <c r="C450" s="30" t="str">
        <f>VLOOKUP(B450,'112年全品項生產鍋數'!A:H,2,0)</f>
        <v>藍莓餡(1*6KG)</v>
      </c>
      <c r="D450" s="285">
        <v>16</v>
      </c>
      <c r="E450" s="48">
        <f>VLOOKUP(B450,'112年全品項生產鍋數'!A:H,3,0)</f>
        <v>6</v>
      </c>
      <c r="F450" s="45">
        <f>VLOOKUP(B450,'112年全品項生產鍋數'!A:H,7,0)</f>
        <v>25.4</v>
      </c>
      <c r="G450" s="49">
        <f t="shared" ref="G450:G513" si="42">D450*F450</f>
        <v>406.4</v>
      </c>
      <c r="H450" s="153">
        <v>406</v>
      </c>
      <c r="I450" s="46">
        <f t="shared" ref="I450:I513" si="43">H450*E450</f>
        <v>2436</v>
      </c>
      <c r="J450" s="100">
        <f t="shared" ref="J450:J513" si="44">IF(G450=0,"無法預估數據",H450/G450)</f>
        <v>0.99901574803149606</v>
      </c>
      <c r="K450" s="51">
        <f>VLOOKUP(B:B,'生產達成率(目標)'!A:C,3,0)</f>
        <v>1</v>
      </c>
      <c r="L450" s="20">
        <f t="shared" si="41"/>
        <v>-1E-3</v>
      </c>
      <c r="M450" s="235"/>
      <c r="N450" s="41"/>
      <c r="O450" s="150">
        <f t="shared" ref="O450:O513" si="45">H450-N450-P450</f>
        <v>1</v>
      </c>
      <c r="P450" s="41">
        <v>405</v>
      </c>
      <c r="Q450" s="27">
        <f t="shared" ref="Q450:Q513" si="46">P450/H450</f>
        <v>0.99753694581280783</v>
      </c>
      <c r="R450" s="23"/>
      <c r="S450" s="173"/>
      <c r="T450" s="30"/>
      <c r="U450" s="23"/>
      <c r="V450" s="458"/>
      <c r="W450" s="421"/>
      <c r="X450" s="458"/>
      <c r="Y450" s="421"/>
      <c r="Z450" s="421"/>
      <c r="AA450" s="421"/>
      <c r="AB450" s="421"/>
      <c r="AC450" s="421"/>
      <c r="AD450" s="421"/>
    </row>
    <row r="451" spans="1:30" s="22" customFormat="1" x14ac:dyDescent="0.4">
      <c r="A451" s="177" t="s">
        <v>753</v>
      </c>
      <c r="B451" s="149" t="s">
        <v>32</v>
      </c>
      <c r="C451" s="30" t="str">
        <f>VLOOKUP(B451,'112年全品項生產鍋數'!A:H,2,0)</f>
        <v>草莓醬(1*6Kg)</v>
      </c>
      <c r="D451" s="285">
        <v>12</v>
      </c>
      <c r="E451" s="48">
        <f>VLOOKUP(B451,'112年全品項生產鍋數'!A:H,3,0)</f>
        <v>6</v>
      </c>
      <c r="F451" s="45">
        <f>VLOOKUP(B451,'112年全品項生產鍋數'!A:H,7,0)</f>
        <v>25.5</v>
      </c>
      <c r="G451" s="49">
        <f t="shared" si="42"/>
        <v>306</v>
      </c>
      <c r="H451" s="153">
        <v>306</v>
      </c>
      <c r="I451" s="46">
        <f t="shared" si="43"/>
        <v>1836</v>
      </c>
      <c r="J451" s="100">
        <f t="shared" si="44"/>
        <v>1</v>
      </c>
      <c r="K451" s="51">
        <f>VLOOKUP(B:B,'生產達成率(目標)'!A:C,3,0)</f>
        <v>1</v>
      </c>
      <c r="L451" s="20">
        <f t="shared" ref="L451:L514" si="47">IF(G451=0,"無法預估數據",ROUND(J451-K451,3))</f>
        <v>0</v>
      </c>
      <c r="M451" s="235"/>
      <c r="N451" s="41"/>
      <c r="O451" s="150">
        <f t="shared" si="45"/>
        <v>1</v>
      </c>
      <c r="P451" s="41">
        <v>305</v>
      </c>
      <c r="Q451" s="27">
        <f t="shared" si="46"/>
        <v>0.99673202614379086</v>
      </c>
      <c r="R451" s="23"/>
      <c r="S451" s="173"/>
      <c r="T451" s="30"/>
      <c r="U451" s="23"/>
      <c r="V451" s="458"/>
      <c r="W451" s="421"/>
      <c r="X451" s="458"/>
      <c r="Y451" s="421"/>
      <c r="Z451" s="421"/>
      <c r="AA451" s="421"/>
      <c r="AB451" s="421"/>
      <c r="AC451" s="421"/>
      <c r="AD451" s="421"/>
    </row>
    <row r="452" spans="1:30" s="22" customFormat="1" x14ac:dyDescent="0.4">
      <c r="A452" s="177" t="s">
        <v>753</v>
      </c>
      <c r="B452" s="149" t="s">
        <v>33</v>
      </c>
      <c r="C452" s="30" t="str">
        <f>VLOOKUP(B452,'112年全品項生產鍋數'!A:H,2,0)</f>
        <v>深烤焙花生醬(1*18KG)</v>
      </c>
      <c r="D452" s="285">
        <v>40</v>
      </c>
      <c r="E452" s="48">
        <f>VLOOKUP(B452,'112年全品項生產鍋數'!A:H,3,0)</f>
        <v>18</v>
      </c>
      <c r="F452" s="45">
        <f>VLOOKUP(B452,'112年全品項生產鍋數'!A:H,7,0)</f>
        <v>6.9</v>
      </c>
      <c r="G452" s="49">
        <f t="shared" si="42"/>
        <v>276</v>
      </c>
      <c r="H452" s="153">
        <v>280</v>
      </c>
      <c r="I452" s="46">
        <f t="shared" si="43"/>
        <v>5040</v>
      </c>
      <c r="J452" s="100">
        <f t="shared" si="44"/>
        <v>1.0144927536231885</v>
      </c>
      <c r="K452" s="51">
        <f>VLOOKUP(B:B,'生產達成率(目標)'!A:C,3,0)</f>
        <v>1</v>
      </c>
      <c r="L452" s="20">
        <f t="shared" si="47"/>
        <v>1.4E-2</v>
      </c>
      <c r="M452" s="235"/>
      <c r="N452" s="41"/>
      <c r="O452" s="150">
        <f t="shared" si="45"/>
        <v>0</v>
      </c>
      <c r="P452" s="41">
        <v>280</v>
      </c>
      <c r="Q452" s="27">
        <f t="shared" si="46"/>
        <v>1</v>
      </c>
      <c r="R452" s="23"/>
      <c r="S452" s="173"/>
      <c r="T452" s="30"/>
      <c r="U452" s="23"/>
      <c r="V452" s="458"/>
      <c r="W452" s="421"/>
      <c r="X452" s="458"/>
      <c r="Y452" s="421"/>
      <c r="Z452" s="421"/>
      <c r="AA452" s="421"/>
      <c r="AB452" s="421"/>
      <c r="AC452" s="421"/>
      <c r="AD452" s="421"/>
    </row>
    <row r="453" spans="1:30" s="22" customFormat="1" x14ac:dyDescent="0.4">
      <c r="A453" s="177" t="s">
        <v>754</v>
      </c>
      <c r="B453" s="149" t="s">
        <v>8</v>
      </c>
      <c r="C453" s="30" t="str">
        <f>VLOOKUP(B453,'112年全品項生產鍋數'!A:H,2,0)</f>
        <v>藍莓餡(1*6KG)</v>
      </c>
      <c r="D453" s="285">
        <v>16</v>
      </c>
      <c r="E453" s="48">
        <f>VLOOKUP(B453,'112年全品項生產鍋數'!A:H,3,0)</f>
        <v>6</v>
      </c>
      <c r="F453" s="45">
        <f>VLOOKUP(B453,'112年全品項生產鍋數'!A:H,7,0)</f>
        <v>25.4</v>
      </c>
      <c r="G453" s="49">
        <f t="shared" si="42"/>
        <v>406.4</v>
      </c>
      <c r="H453" s="153">
        <v>407</v>
      </c>
      <c r="I453" s="46">
        <f t="shared" si="43"/>
        <v>2442</v>
      </c>
      <c r="J453" s="100">
        <f t="shared" si="44"/>
        <v>1.001476377952756</v>
      </c>
      <c r="K453" s="51">
        <f>VLOOKUP(B:B,'生產達成率(目標)'!A:C,3,0)</f>
        <v>1</v>
      </c>
      <c r="L453" s="20">
        <f t="shared" si="47"/>
        <v>1E-3</v>
      </c>
      <c r="M453" s="235"/>
      <c r="N453" s="41"/>
      <c r="O453" s="150">
        <f t="shared" si="45"/>
        <v>1</v>
      </c>
      <c r="P453" s="41">
        <v>406</v>
      </c>
      <c r="Q453" s="27">
        <f t="shared" si="46"/>
        <v>0.99754299754299758</v>
      </c>
      <c r="R453" s="23"/>
      <c r="S453" s="173"/>
      <c r="T453" s="30"/>
      <c r="U453" s="23"/>
      <c r="V453" s="458"/>
      <c r="W453" s="421"/>
      <c r="X453" s="458"/>
      <c r="Y453" s="421"/>
      <c r="Z453" s="421"/>
      <c r="AA453" s="421"/>
      <c r="AB453" s="421"/>
      <c r="AC453" s="421"/>
      <c r="AD453" s="421"/>
    </row>
    <row r="454" spans="1:30" s="22" customFormat="1" x14ac:dyDescent="0.4">
      <c r="A454" s="177" t="s">
        <v>754</v>
      </c>
      <c r="B454" s="149" t="s">
        <v>7</v>
      </c>
      <c r="C454" s="30" t="str">
        <f>VLOOKUP(B454,'112年全品項生產鍋數'!A:H,2,0)</f>
        <v>草莓蒟蒻餡(1*6kg)</v>
      </c>
      <c r="D454" s="285">
        <v>28</v>
      </c>
      <c r="E454" s="48">
        <f>VLOOKUP(B454,'112年全品項生產鍋數'!A:H,3,0)</f>
        <v>6</v>
      </c>
      <c r="F454" s="45">
        <f>VLOOKUP(B454,'112年全品項生產鍋數'!A:H,7,0)</f>
        <v>25.7</v>
      </c>
      <c r="G454" s="49">
        <f t="shared" si="42"/>
        <v>719.6</v>
      </c>
      <c r="H454" s="153">
        <v>727</v>
      </c>
      <c r="I454" s="46">
        <f t="shared" si="43"/>
        <v>4362</v>
      </c>
      <c r="J454" s="100">
        <f t="shared" si="44"/>
        <v>1.0102834908282379</v>
      </c>
      <c r="K454" s="51">
        <f>VLOOKUP(B:B,'生產達成率(目標)'!A:C,3,0)</f>
        <v>1</v>
      </c>
      <c r="L454" s="20">
        <f t="shared" si="47"/>
        <v>0.01</v>
      </c>
      <c r="M454" s="235"/>
      <c r="N454" s="41"/>
      <c r="O454" s="150">
        <f t="shared" si="45"/>
        <v>1</v>
      </c>
      <c r="P454" s="41">
        <v>726</v>
      </c>
      <c r="Q454" s="27">
        <f t="shared" si="46"/>
        <v>0.99862448418156813</v>
      </c>
      <c r="R454" s="23"/>
      <c r="S454" s="173"/>
      <c r="T454" s="30"/>
      <c r="U454" s="23"/>
      <c r="V454" s="458"/>
      <c r="W454" s="421"/>
      <c r="X454" s="458"/>
      <c r="Y454" s="421"/>
      <c r="Z454" s="421"/>
      <c r="AA454" s="421"/>
      <c r="AB454" s="421"/>
      <c r="AC454" s="421"/>
      <c r="AD454" s="421"/>
    </row>
    <row r="455" spans="1:30" s="22" customFormat="1" x14ac:dyDescent="0.4">
      <c r="A455" s="177" t="s">
        <v>754</v>
      </c>
      <c r="B455" s="149" t="s">
        <v>13</v>
      </c>
      <c r="C455" s="30" t="str">
        <f>VLOOKUP(B455,'112年全品項生產鍋數'!A:H,2,0)</f>
        <v>顆粒花生醬(1*12KG)</v>
      </c>
      <c r="D455" s="285">
        <v>18</v>
      </c>
      <c r="E455" s="48">
        <f>VLOOKUP(B455,'112年全品項生產鍋數'!A:H,3,0)</f>
        <v>3</v>
      </c>
      <c r="F455" s="45">
        <f>VLOOKUP(B455,'112年全品項生產鍋數'!A:H,7,0)</f>
        <v>29.7</v>
      </c>
      <c r="G455" s="49">
        <f t="shared" si="42"/>
        <v>534.6</v>
      </c>
      <c r="H455" s="153">
        <v>536</v>
      </c>
      <c r="I455" s="46">
        <f t="shared" si="43"/>
        <v>1608</v>
      </c>
      <c r="J455" s="100">
        <f t="shared" si="44"/>
        <v>1.0026187803965581</v>
      </c>
      <c r="K455" s="51">
        <f>VLOOKUP(B:B,'生產達成率(目標)'!A:C,3,0)</f>
        <v>1</v>
      </c>
      <c r="L455" s="20">
        <f t="shared" si="47"/>
        <v>3.0000000000000001E-3</v>
      </c>
      <c r="M455" s="235"/>
      <c r="N455" s="41"/>
      <c r="O455" s="150">
        <f t="shared" si="45"/>
        <v>0</v>
      </c>
      <c r="P455" s="41">
        <v>536</v>
      </c>
      <c r="Q455" s="27">
        <f t="shared" si="46"/>
        <v>1</v>
      </c>
      <c r="R455" s="23"/>
      <c r="S455" s="173"/>
      <c r="T455" s="30"/>
      <c r="U455" s="23"/>
      <c r="V455" s="458"/>
      <c r="W455" s="421"/>
      <c r="X455" s="458"/>
      <c r="Y455" s="421"/>
      <c r="Z455" s="421"/>
      <c r="AA455" s="421"/>
      <c r="AB455" s="421"/>
      <c r="AC455" s="421"/>
      <c r="AD455" s="421"/>
    </row>
    <row r="456" spans="1:30" s="22" customFormat="1" x14ac:dyDescent="0.4">
      <c r="A456" s="177" t="s">
        <v>754</v>
      </c>
      <c r="B456" s="149" t="s">
        <v>4</v>
      </c>
      <c r="C456" s="30" t="str">
        <f>VLOOKUP(B456,'112年全品項生產鍋數'!A:H,2,0)</f>
        <v>PET大花生(1*400g)</v>
      </c>
      <c r="D456" s="285">
        <v>24</v>
      </c>
      <c r="E456" s="48">
        <f>VLOOKUP(B456,'112年全品項生產鍋數'!A:H,3,0)</f>
        <v>0.4</v>
      </c>
      <c r="F456" s="45">
        <f>VLOOKUP(B456,'112年全品項生產鍋數'!A:H,7,0)</f>
        <v>309.2</v>
      </c>
      <c r="G456" s="49">
        <f t="shared" si="42"/>
        <v>7420.7999999999993</v>
      </c>
      <c r="H456" s="153">
        <v>7412</v>
      </c>
      <c r="I456" s="46">
        <f t="shared" si="43"/>
        <v>2964.8</v>
      </c>
      <c r="J456" s="100">
        <f t="shared" si="44"/>
        <v>0.99881414402759816</v>
      </c>
      <c r="K456" s="51">
        <f>VLOOKUP(B:B,'生產達成率(目標)'!A:C,3,0)</f>
        <v>1</v>
      </c>
      <c r="L456" s="20">
        <f t="shared" si="47"/>
        <v>-1E-3</v>
      </c>
      <c r="M456" s="235"/>
      <c r="N456" s="41"/>
      <c r="O456" s="150">
        <f t="shared" si="45"/>
        <v>3</v>
      </c>
      <c r="P456" s="41">
        <v>7409</v>
      </c>
      <c r="Q456" s="27">
        <f t="shared" si="46"/>
        <v>0.99959525094441448</v>
      </c>
      <c r="R456" s="23"/>
      <c r="S456" s="173"/>
      <c r="T456" s="30"/>
      <c r="U456" s="23"/>
      <c r="V456" s="458"/>
      <c r="W456" s="421"/>
      <c r="X456" s="458"/>
      <c r="Y456" s="421"/>
      <c r="Z456" s="421"/>
      <c r="AA456" s="421"/>
      <c r="AB456" s="421"/>
      <c r="AC456" s="421"/>
      <c r="AD456" s="421"/>
    </row>
    <row r="457" spans="1:30" s="22" customFormat="1" x14ac:dyDescent="0.4">
      <c r="A457" s="177" t="s">
        <v>754</v>
      </c>
      <c r="B457" s="149" t="s">
        <v>9</v>
      </c>
      <c r="C457" s="30" t="str">
        <f>VLOOKUP(B457,'112年全品項生產鍋數'!A:H,2,0)</f>
        <v>＃1花生(1*2.8kg)</v>
      </c>
      <c r="D457" s="285">
        <v>24</v>
      </c>
      <c r="E457" s="48">
        <f>VLOOKUP(B457,'112年全品項生產鍋數'!A:H,3,0)</f>
        <v>2.8</v>
      </c>
      <c r="F457" s="45">
        <f>VLOOKUP(B457,'112年全品項生產鍋數'!A:H,7,0)</f>
        <v>44.5</v>
      </c>
      <c r="G457" s="49">
        <f t="shared" si="42"/>
        <v>1068</v>
      </c>
      <c r="H457" s="153">
        <v>1073</v>
      </c>
      <c r="I457" s="46">
        <f t="shared" si="43"/>
        <v>3004.3999999999996</v>
      </c>
      <c r="J457" s="100">
        <f t="shared" si="44"/>
        <v>1.0046816479400749</v>
      </c>
      <c r="K457" s="51">
        <f>VLOOKUP(B:B,'生產達成率(目標)'!A:C,3,0)</f>
        <v>1</v>
      </c>
      <c r="L457" s="20">
        <f t="shared" si="47"/>
        <v>5.0000000000000001E-3</v>
      </c>
      <c r="M457" s="235"/>
      <c r="N457" s="41"/>
      <c r="O457" s="150">
        <f t="shared" si="45"/>
        <v>1</v>
      </c>
      <c r="P457" s="41">
        <v>1072</v>
      </c>
      <c r="Q457" s="27">
        <f t="shared" si="46"/>
        <v>0.99906803355079221</v>
      </c>
      <c r="R457" s="23"/>
      <c r="S457" s="173"/>
      <c r="T457" s="30"/>
      <c r="U457" s="23"/>
      <c r="V457" s="458"/>
      <c r="W457" s="421"/>
      <c r="X457" s="458"/>
      <c r="Y457" s="421"/>
      <c r="Z457" s="421"/>
      <c r="AA457" s="421"/>
      <c r="AB457" s="421"/>
      <c r="AC457" s="421"/>
      <c r="AD457" s="421"/>
    </row>
    <row r="458" spans="1:30" s="22" customFormat="1" x14ac:dyDescent="0.4">
      <c r="A458" s="177" t="s">
        <v>755</v>
      </c>
      <c r="B458" s="149" t="s">
        <v>1</v>
      </c>
      <c r="C458" s="30" t="str">
        <f>VLOOKUP(B458,'112年全品項生產鍋數'!A:H,2,0)</f>
        <v>藍莓醬(1*6kg)</v>
      </c>
      <c r="D458" s="285">
        <v>16</v>
      </c>
      <c r="E458" s="48">
        <f>VLOOKUP(B458,'112年全品項生產鍋數'!A:H,3,0)</f>
        <v>6</v>
      </c>
      <c r="F458" s="45">
        <f>VLOOKUP(B458,'112年全品項生產鍋數'!A:H,7,0)</f>
        <v>25.5</v>
      </c>
      <c r="G458" s="49">
        <f t="shared" si="42"/>
        <v>408</v>
      </c>
      <c r="H458" s="153">
        <v>413</v>
      </c>
      <c r="I458" s="46">
        <f t="shared" si="43"/>
        <v>2478</v>
      </c>
      <c r="J458" s="100">
        <f t="shared" si="44"/>
        <v>1.0122549019607843</v>
      </c>
      <c r="K458" s="51">
        <f>VLOOKUP(B:B,'生產達成率(目標)'!A:C,3,0)</f>
        <v>1</v>
      </c>
      <c r="L458" s="20">
        <f t="shared" si="47"/>
        <v>1.2E-2</v>
      </c>
      <c r="M458" s="235"/>
      <c r="N458" s="41"/>
      <c r="O458" s="150">
        <f t="shared" si="45"/>
        <v>1</v>
      </c>
      <c r="P458" s="41">
        <v>412</v>
      </c>
      <c r="Q458" s="27">
        <f t="shared" si="46"/>
        <v>0.99757869249394671</v>
      </c>
      <c r="R458" s="23"/>
      <c r="S458" s="173"/>
      <c r="T458" s="30"/>
      <c r="U458" s="23"/>
      <c r="V458" s="458"/>
      <c r="W458" s="421"/>
      <c r="X458" s="458"/>
      <c r="Y458" s="421"/>
      <c r="Z458" s="421"/>
      <c r="AA458" s="421"/>
      <c r="AB458" s="421"/>
      <c r="AC458" s="421"/>
      <c r="AD458" s="421"/>
    </row>
    <row r="459" spans="1:30" s="22" customFormat="1" x14ac:dyDescent="0.4">
      <c r="A459" s="177" t="s">
        <v>755</v>
      </c>
      <c r="B459" s="149" t="s">
        <v>150</v>
      </c>
      <c r="C459" s="30" t="str">
        <f>VLOOKUP(B459,'112年全品項生產鍋數'!A:H,2,0)</f>
        <v>鳳梨芒果百香果醬(1*6KG)</v>
      </c>
      <c r="D459" s="285">
        <v>12</v>
      </c>
      <c r="E459" s="48">
        <f>VLOOKUP(B459,'112年全品項生產鍋數'!A:H,3,0)</f>
        <v>6</v>
      </c>
      <c r="F459" s="45">
        <f>VLOOKUP(B459,'112年全品項生產鍋數'!A:H,7,0)</f>
        <v>25.7</v>
      </c>
      <c r="G459" s="49">
        <f t="shared" si="42"/>
        <v>308.39999999999998</v>
      </c>
      <c r="H459" s="153">
        <v>312</v>
      </c>
      <c r="I459" s="46">
        <f t="shared" si="43"/>
        <v>1872</v>
      </c>
      <c r="J459" s="100">
        <f t="shared" si="44"/>
        <v>1.0116731517509729</v>
      </c>
      <c r="K459" s="51">
        <f>VLOOKUP(B:B,'生產達成率(目標)'!A:C,3,0)</f>
        <v>1</v>
      </c>
      <c r="L459" s="20">
        <f t="shared" si="47"/>
        <v>1.2E-2</v>
      </c>
      <c r="M459" s="235"/>
      <c r="N459" s="41"/>
      <c r="O459" s="150">
        <f t="shared" si="45"/>
        <v>1</v>
      </c>
      <c r="P459" s="41">
        <v>311</v>
      </c>
      <c r="Q459" s="27">
        <f t="shared" si="46"/>
        <v>0.99679487179487181</v>
      </c>
      <c r="R459" s="23"/>
      <c r="S459" s="173"/>
      <c r="T459" s="30"/>
      <c r="U459" s="23"/>
      <c r="V459" s="458"/>
      <c r="W459" s="421"/>
      <c r="X459" s="458"/>
      <c r="Y459" s="421"/>
      <c r="Z459" s="421"/>
      <c r="AA459" s="421"/>
      <c r="AB459" s="421"/>
      <c r="AC459" s="421"/>
      <c r="AD459" s="421"/>
    </row>
    <row r="460" spans="1:30" s="22" customFormat="1" x14ac:dyDescent="0.4">
      <c r="A460" s="177" t="s">
        <v>755</v>
      </c>
      <c r="B460" s="149" t="s">
        <v>135</v>
      </c>
      <c r="C460" s="30" t="str">
        <f>VLOOKUP(B460,'112年全品項生產鍋數'!A:H,2,0)</f>
        <v>桑椹果醬(1*190g)</v>
      </c>
      <c r="D460" s="285">
        <v>3</v>
      </c>
      <c r="E460" s="48">
        <f>VLOOKUP(B460,'112年全品項生產鍋數'!A:H,3,0)</f>
        <v>0.19</v>
      </c>
      <c r="F460" s="45">
        <f>VLOOKUP(B460,'112年全品項生產鍋數'!A:H,7,0)</f>
        <v>759.3</v>
      </c>
      <c r="G460" s="49">
        <f t="shared" si="42"/>
        <v>2277.8999999999996</v>
      </c>
      <c r="H460" s="153">
        <v>2261</v>
      </c>
      <c r="I460" s="46">
        <f t="shared" si="43"/>
        <v>429.59000000000003</v>
      </c>
      <c r="J460" s="100">
        <f t="shared" si="44"/>
        <v>0.99258088590368343</v>
      </c>
      <c r="K460" s="51">
        <f>VLOOKUP(B:B,'生產達成率(目標)'!A:C,3,0)</f>
        <v>1</v>
      </c>
      <c r="L460" s="20">
        <f t="shared" si="47"/>
        <v>-7.0000000000000001E-3</v>
      </c>
      <c r="M460" s="235"/>
      <c r="N460" s="41"/>
      <c r="O460" s="150">
        <f t="shared" si="45"/>
        <v>7</v>
      </c>
      <c r="P460" s="41">
        <v>2254</v>
      </c>
      <c r="Q460" s="27">
        <f t="shared" si="46"/>
        <v>0.99690402476780182</v>
      </c>
      <c r="R460" s="23"/>
      <c r="S460" s="173"/>
      <c r="T460" s="30"/>
      <c r="U460" s="23"/>
      <c r="V460" s="458"/>
      <c r="W460" s="421"/>
      <c r="X460" s="458"/>
      <c r="Y460" s="421"/>
      <c r="Z460" s="421"/>
      <c r="AA460" s="421"/>
      <c r="AB460" s="421"/>
      <c r="AC460" s="421"/>
      <c r="AD460" s="421"/>
    </row>
    <row r="461" spans="1:30" s="22" customFormat="1" x14ac:dyDescent="0.4">
      <c r="A461" s="177" t="s">
        <v>755</v>
      </c>
      <c r="B461" s="149" t="s">
        <v>3</v>
      </c>
      <c r="C461" s="30" t="str">
        <f>VLOOKUP(B461,'112年全品項生產鍋數'!A:H,2,0)</f>
        <v>天天開心草莓餡4.5KG</v>
      </c>
      <c r="D461" s="285">
        <v>32</v>
      </c>
      <c r="E461" s="48">
        <f>VLOOKUP(B461,'112年全品項生產鍋數'!A:H,3,0)</f>
        <v>4.5</v>
      </c>
      <c r="F461" s="45">
        <f>VLOOKUP(B461,'112年全品項生產鍋數'!A:H,7,0)</f>
        <v>36.299999999999997</v>
      </c>
      <c r="G461" s="49">
        <f t="shared" si="42"/>
        <v>1161.5999999999999</v>
      </c>
      <c r="H461" s="153">
        <v>1225</v>
      </c>
      <c r="I461" s="46">
        <f t="shared" si="43"/>
        <v>5512.5</v>
      </c>
      <c r="J461" s="100">
        <f t="shared" si="44"/>
        <v>1.0545798898071626</v>
      </c>
      <c r="K461" s="51">
        <f>VLOOKUP(B:B,'生產達成率(目標)'!A:C,3,0)</f>
        <v>1</v>
      </c>
      <c r="L461" s="20">
        <f t="shared" si="47"/>
        <v>5.5E-2</v>
      </c>
      <c r="M461" s="235"/>
      <c r="N461" s="41"/>
      <c r="O461" s="150">
        <f t="shared" si="45"/>
        <v>0</v>
      </c>
      <c r="P461" s="41">
        <v>1225</v>
      </c>
      <c r="Q461" s="27">
        <f t="shared" si="46"/>
        <v>1</v>
      </c>
      <c r="R461" s="23"/>
      <c r="S461" s="173">
        <v>180</v>
      </c>
      <c r="T461" s="30" t="s">
        <v>938</v>
      </c>
      <c r="U461" s="23"/>
      <c r="V461" s="458"/>
      <c r="W461" s="421"/>
      <c r="X461" s="458"/>
      <c r="Y461" s="421"/>
      <c r="Z461" s="421"/>
      <c r="AA461" s="421"/>
      <c r="AB461" s="421"/>
      <c r="AC461" s="421"/>
      <c r="AD461" s="421"/>
    </row>
    <row r="462" spans="1:30" s="22" customFormat="1" x14ac:dyDescent="0.4">
      <c r="A462" s="177" t="s">
        <v>755</v>
      </c>
      <c r="B462" s="149" t="s">
        <v>29</v>
      </c>
      <c r="C462" s="30" t="str">
        <f>VLOOKUP(B462,'112年全品項生產鍋數'!A:H,2,0)</f>
        <v>草莓果醬(桶)(1*9.5KG)</v>
      </c>
      <c r="D462" s="285">
        <v>12</v>
      </c>
      <c r="E462" s="48">
        <f>VLOOKUP(B462,'112年全品項生產鍋數'!A:H,3,0)</f>
        <v>9.5</v>
      </c>
      <c r="F462" s="45">
        <f>VLOOKUP(B462,'112年全品項生產鍋數'!A:H,7,0)</f>
        <v>16.600000000000001</v>
      </c>
      <c r="G462" s="49">
        <f t="shared" si="42"/>
        <v>199.20000000000002</v>
      </c>
      <c r="H462" s="153">
        <v>202</v>
      </c>
      <c r="I462" s="46">
        <f t="shared" si="43"/>
        <v>1919</v>
      </c>
      <c r="J462" s="100">
        <f t="shared" si="44"/>
        <v>1.0140562248995983</v>
      </c>
      <c r="K462" s="51">
        <f>VLOOKUP(B:B,'生產達成率(目標)'!A:C,3,0)</f>
        <v>1</v>
      </c>
      <c r="L462" s="20">
        <f t="shared" si="47"/>
        <v>1.4E-2</v>
      </c>
      <c r="M462" s="235"/>
      <c r="N462" s="41"/>
      <c r="O462" s="150">
        <f t="shared" si="45"/>
        <v>0</v>
      </c>
      <c r="P462" s="41">
        <v>202</v>
      </c>
      <c r="Q462" s="27">
        <f t="shared" si="46"/>
        <v>1</v>
      </c>
      <c r="R462" s="23"/>
      <c r="S462" s="173"/>
      <c r="T462" s="30"/>
      <c r="U462" s="23"/>
      <c r="V462" s="458"/>
      <c r="W462" s="421"/>
      <c r="X462" s="458"/>
      <c r="Y462" s="421"/>
      <c r="Z462" s="421"/>
      <c r="AA462" s="421"/>
      <c r="AB462" s="421"/>
      <c r="AC462" s="421"/>
      <c r="AD462" s="421"/>
    </row>
    <row r="463" spans="1:30" s="22" customFormat="1" x14ac:dyDescent="0.4">
      <c r="A463" s="177" t="s">
        <v>755</v>
      </c>
      <c r="B463" s="149" t="s">
        <v>23</v>
      </c>
      <c r="C463" s="30" t="str">
        <f>VLOOKUP(B463,'112年全品項生產鍋數'!A:H,2,0)</f>
        <v>＃1花生(粒)(1*2.8kg)</v>
      </c>
      <c r="D463" s="285">
        <v>60</v>
      </c>
      <c r="E463" s="48">
        <f>VLOOKUP(B463,'112年全品項生產鍋數'!A:H,3,0)</f>
        <v>2.8</v>
      </c>
      <c r="F463" s="45">
        <f>VLOOKUP(B463,'112年全品項生產鍋數'!A:H,7,0)</f>
        <v>44.2</v>
      </c>
      <c r="G463" s="49">
        <f t="shared" si="42"/>
        <v>2652</v>
      </c>
      <c r="H463" s="153">
        <v>2676</v>
      </c>
      <c r="I463" s="46">
        <f t="shared" si="43"/>
        <v>7492.7999999999993</v>
      </c>
      <c r="J463" s="100">
        <f t="shared" si="44"/>
        <v>1.0090497737556561</v>
      </c>
      <c r="K463" s="51">
        <f>VLOOKUP(B:B,'生產達成率(目標)'!A:C,3,0)</f>
        <v>1</v>
      </c>
      <c r="L463" s="20">
        <f t="shared" si="47"/>
        <v>8.9999999999999993E-3</v>
      </c>
      <c r="M463" s="235"/>
      <c r="N463" s="41"/>
      <c r="O463" s="150">
        <f t="shared" si="45"/>
        <v>1</v>
      </c>
      <c r="P463" s="41">
        <v>2675</v>
      </c>
      <c r="Q463" s="27">
        <f t="shared" si="46"/>
        <v>0.99962630792227203</v>
      </c>
      <c r="R463" s="23"/>
      <c r="S463" s="173"/>
      <c r="T463" s="30"/>
      <c r="U463" s="23"/>
      <c r="V463" s="458"/>
      <c r="W463" s="421"/>
      <c r="X463" s="458"/>
      <c r="Y463" s="421"/>
      <c r="Z463" s="421"/>
      <c r="AA463" s="421"/>
      <c r="AB463" s="421"/>
      <c r="AC463" s="421"/>
      <c r="AD463" s="421"/>
    </row>
    <row r="464" spans="1:30" s="22" customFormat="1" x14ac:dyDescent="0.4">
      <c r="A464" s="177" t="s">
        <v>756</v>
      </c>
      <c r="B464" s="149" t="s">
        <v>6</v>
      </c>
      <c r="C464" s="30" t="str">
        <f>VLOOKUP(B464,'112年全品項生產鍋數'!A:H,2,0)</f>
        <v>大圓草莓-新</v>
      </c>
      <c r="D464" s="285">
        <v>40</v>
      </c>
      <c r="E464" s="48">
        <f>VLOOKUP(B464,'112年全品項生產鍋數'!A:H,3,0)</f>
        <v>0.44</v>
      </c>
      <c r="F464" s="45">
        <f>VLOOKUP(B464,'112年全品項生產鍋數'!A:H,7,0)</f>
        <v>344</v>
      </c>
      <c r="G464" s="49">
        <f t="shared" si="42"/>
        <v>13760</v>
      </c>
      <c r="H464" s="153">
        <v>13910</v>
      </c>
      <c r="I464" s="46">
        <f t="shared" si="43"/>
        <v>6120.4</v>
      </c>
      <c r="J464" s="100">
        <f t="shared" si="44"/>
        <v>1.0109011627906976</v>
      </c>
      <c r="K464" s="51">
        <f>VLOOKUP(B:B,'生產達成率(目標)'!A:C,3,0)</f>
        <v>1</v>
      </c>
      <c r="L464" s="20">
        <f t="shared" si="47"/>
        <v>1.0999999999999999E-2</v>
      </c>
      <c r="M464" s="235"/>
      <c r="N464" s="41"/>
      <c r="O464" s="150">
        <f t="shared" si="45"/>
        <v>5</v>
      </c>
      <c r="P464" s="41">
        <v>13905</v>
      </c>
      <c r="Q464" s="27">
        <f t="shared" si="46"/>
        <v>0.99964054636951838</v>
      </c>
      <c r="R464" s="23"/>
      <c r="S464" s="173"/>
      <c r="T464" s="30"/>
      <c r="U464" s="23"/>
      <c r="V464" s="458"/>
      <c r="W464" s="421"/>
      <c r="X464" s="458"/>
      <c r="Y464" s="421"/>
      <c r="Z464" s="421"/>
      <c r="AA464" s="421"/>
      <c r="AB464" s="421"/>
      <c r="AC464" s="421"/>
      <c r="AD464" s="421"/>
    </row>
    <row r="465" spans="1:30" s="22" customFormat="1" x14ac:dyDescent="0.4">
      <c r="A465" s="177" t="s">
        <v>756</v>
      </c>
      <c r="B465" s="149" t="s">
        <v>7</v>
      </c>
      <c r="C465" s="30" t="str">
        <f>VLOOKUP(B465,'112年全品項生產鍋數'!A:H,2,0)</f>
        <v>草莓蒟蒻餡(1*6kg)</v>
      </c>
      <c r="D465" s="285">
        <v>32</v>
      </c>
      <c r="E465" s="48">
        <f>VLOOKUP(B465,'112年全品項生產鍋數'!A:H,3,0)</f>
        <v>6</v>
      </c>
      <c r="F465" s="45">
        <f>VLOOKUP(B465,'112年全品項生產鍋數'!A:H,7,0)</f>
        <v>25.7</v>
      </c>
      <c r="G465" s="49">
        <f t="shared" si="42"/>
        <v>822.4</v>
      </c>
      <c r="H465" s="153">
        <v>828</v>
      </c>
      <c r="I465" s="46">
        <f t="shared" si="43"/>
        <v>4968</v>
      </c>
      <c r="J465" s="100">
        <f t="shared" si="44"/>
        <v>1.0068093385214008</v>
      </c>
      <c r="K465" s="51">
        <f>VLOOKUP(B:B,'生產達成率(目標)'!A:C,3,0)</f>
        <v>1</v>
      </c>
      <c r="L465" s="20">
        <f t="shared" si="47"/>
        <v>7.0000000000000001E-3</v>
      </c>
      <c r="M465" s="235"/>
      <c r="N465" s="41"/>
      <c r="O465" s="150">
        <f t="shared" si="45"/>
        <v>1</v>
      </c>
      <c r="P465" s="41">
        <v>827</v>
      </c>
      <c r="Q465" s="27">
        <f t="shared" si="46"/>
        <v>0.99879227053140096</v>
      </c>
      <c r="R465" s="23"/>
      <c r="S465" s="173"/>
      <c r="T465" s="30"/>
      <c r="U465" s="23"/>
      <c r="V465" s="458"/>
      <c r="W465" s="421"/>
      <c r="X465" s="458"/>
      <c r="Y465" s="421"/>
      <c r="Z465" s="421"/>
      <c r="AA465" s="421"/>
      <c r="AB465" s="421"/>
      <c r="AC465" s="421"/>
      <c r="AD465" s="421"/>
    </row>
    <row r="466" spans="1:30" s="22" customFormat="1" x14ac:dyDescent="0.4">
      <c r="A466" s="177" t="s">
        <v>756</v>
      </c>
      <c r="B466" s="149" t="s">
        <v>16</v>
      </c>
      <c r="C466" s="30" t="str">
        <f>VLOOKUP(B466,'112年全品項生產鍋數'!A:H,2,0)</f>
        <v>藍莓餡(1*6Kg)</v>
      </c>
      <c r="D466" s="285">
        <v>12</v>
      </c>
      <c r="E466" s="48">
        <f>VLOOKUP(B466,'112年全品項生產鍋數'!A:H,3,0)</f>
        <v>6</v>
      </c>
      <c r="F466" s="45">
        <f>VLOOKUP(B466,'112年全品項生產鍋數'!A:H,7,0)</f>
        <v>25.1</v>
      </c>
      <c r="G466" s="49">
        <f t="shared" si="42"/>
        <v>301.20000000000005</v>
      </c>
      <c r="H466" s="153">
        <v>302</v>
      </c>
      <c r="I466" s="46">
        <f t="shared" si="43"/>
        <v>1812</v>
      </c>
      <c r="J466" s="100">
        <f t="shared" si="44"/>
        <v>1.0026560424966797</v>
      </c>
      <c r="K466" s="51">
        <f>VLOOKUP(B:B,'生產達成率(目標)'!A:C,3,0)</f>
        <v>1</v>
      </c>
      <c r="L466" s="20">
        <f t="shared" si="47"/>
        <v>3.0000000000000001E-3</v>
      </c>
      <c r="M466" s="235"/>
      <c r="N466" s="41"/>
      <c r="O466" s="150">
        <f t="shared" si="45"/>
        <v>2</v>
      </c>
      <c r="P466" s="41">
        <v>300</v>
      </c>
      <c r="Q466" s="27">
        <f t="shared" si="46"/>
        <v>0.99337748344370858</v>
      </c>
      <c r="R466" s="23"/>
      <c r="S466" s="173"/>
      <c r="T466" s="30"/>
      <c r="U466" s="23"/>
      <c r="V466" s="458"/>
      <c r="W466" s="421"/>
      <c r="X466" s="458"/>
      <c r="Y466" s="421"/>
      <c r="Z466" s="421"/>
      <c r="AA466" s="421"/>
      <c r="AB466" s="421"/>
      <c r="AC466" s="421"/>
      <c r="AD466" s="421"/>
    </row>
    <row r="467" spans="1:30" s="22" customFormat="1" x14ac:dyDescent="0.4">
      <c r="A467" s="177" t="s">
        <v>756</v>
      </c>
      <c r="B467" s="149" t="s">
        <v>9</v>
      </c>
      <c r="C467" s="30" t="str">
        <f>VLOOKUP(B467,'112年全品項生產鍋數'!A:H,2,0)</f>
        <v>＃1花生(1*2.8kg)</v>
      </c>
      <c r="D467" s="285">
        <v>72</v>
      </c>
      <c r="E467" s="48">
        <f>VLOOKUP(B467,'112年全品項生產鍋數'!A:H,3,0)</f>
        <v>2.8</v>
      </c>
      <c r="F467" s="45">
        <f>VLOOKUP(B467,'112年全品項生產鍋數'!A:H,7,0)</f>
        <v>44.5</v>
      </c>
      <c r="G467" s="49">
        <f t="shared" si="42"/>
        <v>3204</v>
      </c>
      <c r="H467" s="153">
        <v>3213</v>
      </c>
      <c r="I467" s="46">
        <f t="shared" si="43"/>
        <v>8996.4</v>
      </c>
      <c r="J467" s="100">
        <f t="shared" si="44"/>
        <v>1.002808988764045</v>
      </c>
      <c r="K467" s="51">
        <f>VLOOKUP(B:B,'生產達成率(目標)'!A:C,3,0)</f>
        <v>1</v>
      </c>
      <c r="L467" s="20">
        <f t="shared" si="47"/>
        <v>3.0000000000000001E-3</v>
      </c>
      <c r="M467" s="235"/>
      <c r="N467" s="41"/>
      <c r="O467" s="150">
        <f t="shared" si="45"/>
        <v>1</v>
      </c>
      <c r="P467" s="41">
        <v>3212</v>
      </c>
      <c r="Q467" s="27">
        <f t="shared" si="46"/>
        <v>0.99968876439464671</v>
      </c>
      <c r="R467" s="23"/>
      <c r="S467" s="173"/>
      <c r="T467" s="30"/>
      <c r="U467" s="23"/>
      <c r="V467" s="458"/>
      <c r="W467" s="421"/>
      <c r="X467" s="458"/>
      <c r="Y467" s="421"/>
      <c r="Z467" s="421"/>
      <c r="AA467" s="421"/>
      <c r="AB467" s="421"/>
      <c r="AC467" s="421"/>
      <c r="AD467" s="421"/>
    </row>
    <row r="468" spans="1:30" s="22" customFormat="1" x14ac:dyDescent="0.4">
      <c r="A468" s="177" t="s">
        <v>757</v>
      </c>
      <c r="B468" s="149" t="s">
        <v>11</v>
      </c>
      <c r="C468" s="30" t="str">
        <f>VLOOKUP(B468,'112年全品項生產鍋數'!A:H,2,0)</f>
        <v>#2草莓果醬(1*900g)</v>
      </c>
      <c r="D468" s="285">
        <v>40</v>
      </c>
      <c r="E468" s="48">
        <f>VLOOKUP(B468,'112年全品項生產鍋數'!A:H,3,0)</f>
        <v>0.9</v>
      </c>
      <c r="F468" s="45">
        <f>VLOOKUP(B468,'112年全品項生產鍋數'!A:H,7,0)</f>
        <v>160.5</v>
      </c>
      <c r="G468" s="49">
        <f t="shared" si="42"/>
        <v>6420</v>
      </c>
      <c r="H468" s="153">
        <v>6574</v>
      </c>
      <c r="I468" s="46">
        <f t="shared" si="43"/>
        <v>5916.6</v>
      </c>
      <c r="J468" s="100">
        <f t="shared" si="44"/>
        <v>1.02398753894081</v>
      </c>
      <c r="K468" s="51">
        <f>VLOOKUP(B:B,'生產達成率(目標)'!A:C,3,0)</f>
        <v>1</v>
      </c>
      <c r="L468" s="20">
        <f t="shared" si="47"/>
        <v>2.4E-2</v>
      </c>
      <c r="M468" s="235"/>
      <c r="N468" s="41"/>
      <c r="O468" s="150">
        <f t="shared" si="45"/>
        <v>2</v>
      </c>
      <c r="P468" s="41">
        <v>6572</v>
      </c>
      <c r="Q468" s="27">
        <f t="shared" si="46"/>
        <v>0.99969577121995745</v>
      </c>
      <c r="R468" s="23"/>
      <c r="S468" s="173"/>
      <c r="T468" s="30"/>
      <c r="U468" s="23"/>
      <c r="V468" s="458"/>
      <c r="W468" s="421"/>
      <c r="X468" s="458"/>
      <c r="Y468" s="421"/>
      <c r="Z468" s="421"/>
      <c r="AA468" s="421"/>
      <c r="AB468" s="421"/>
      <c r="AC468" s="421"/>
      <c r="AD468" s="421"/>
    </row>
    <row r="469" spans="1:30" s="22" customFormat="1" x14ac:dyDescent="0.4">
      <c r="A469" s="177" t="s">
        <v>757</v>
      </c>
      <c r="B469" s="149" t="s">
        <v>140</v>
      </c>
      <c r="C469" s="30" t="str">
        <f>VLOOKUP(B469,'112年全品項生產鍋數'!A:H,2,0)</f>
        <v>草莓餡(1*6Kg)</v>
      </c>
      <c r="D469" s="285">
        <v>16</v>
      </c>
      <c r="E469" s="48">
        <f>VLOOKUP(B469,'112年全品項生產鍋數'!A:H,3,0)</f>
        <v>6</v>
      </c>
      <c r="F469" s="45">
        <f>VLOOKUP(B469,'112年全品項生產鍋數'!A:H,7,0)</f>
        <v>25.5</v>
      </c>
      <c r="G469" s="49">
        <f t="shared" si="42"/>
        <v>408</v>
      </c>
      <c r="H469" s="153">
        <v>419</v>
      </c>
      <c r="I469" s="46">
        <f t="shared" si="43"/>
        <v>2514</v>
      </c>
      <c r="J469" s="100">
        <f t="shared" si="44"/>
        <v>1.0269607843137254</v>
      </c>
      <c r="K469" s="51">
        <f>VLOOKUP(B:B,'生產達成率(目標)'!A:C,3,0)</f>
        <v>1</v>
      </c>
      <c r="L469" s="20">
        <f t="shared" si="47"/>
        <v>2.7E-2</v>
      </c>
      <c r="M469" s="235"/>
      <c r="N469" s="41"/>
      <c r="O469" s="150">
        <f t="shared" si="45"/>
        <v>1</v>
      </c>
      <c r="P469" s="41">
        <v>418</v>
      </c>
      <c r="Q469" s="27">
        <f t="shared" si="46"/>
        <v>0.99761336515513122</v>
      </c>
      <c r="R469" s="23"/>
      <c r="S469" s="173"/>
      <c r="T469" s="30"/>
      <c r="U469" s="23"/>
      <c r="V469" s="458"/>
      <c r="W469" s="421"/>
      <c r="X469" s="458"/>
      <c r="Y469" s="421"/>
      <c r="Z469" s="421"/>
      <c r="AA469" s="421"/>
      <c r="AB469" s="421"/>
      <c r="AC469" s="421"/>
      <c r="AD469" s="421"/>
    </row>
    <row r="470" spans="1:30" s="22" customFormat="1" x14ac:dyDescent="0.4">
      <c r="A470" s="177" t="s">
        <v>757</v>
      </c>
      <c r="B470" s="149" t="s">
        <v>134</v>
      </c>
      <c r="C470" s="30" t="str">
        <f>VLOOKUP(B470,'112年全品項生產鍋數'!A:H,2,0)</f>
        <v>草莓椰果餡(1*6Kg)</v>
      </c>
      <c r="D470" s="285">
        <v>16</v>
      </c>
      <c r="E470" s="48">
        <f>VLOOKUP(B470,'112年全品項生產鍋數'!A:H,3,0)</f>
        <v>6</v>
      </c>
      <c r="F470" s="45">
        <f>VLOOKUP(B470,'112年全品項生產鍋數'!A:H,7,0)</f>
        <v>26.4</v>
      </c>
      <c r="G470" s="49">
        <f t="shared" si="42"/>
        <v>422.4</v>
      </c>
      <c r="H470" s="153">
        <v>434</v>
      </c>
      <c r="I470" s="46">
        <f t="shared" si="43"/>
        <v>2604</v>
      </c>
      <c r="J470" s="100">
        <f t="shared" si="44"/>
        <v>1.0274621212121213</v>
      </c>
      <c r="K470" s="51">
        <f>VLOOKUP(B:B,'生產達成率(目標)'!A:C,3,0)</f>
        <v>1</v>
      </c>
      <c r="L470" s="20">
        <f t="shared" si="47"/>
        <v>2.7E-2</v>
      </c>
      <c r="M470" s="235"/>
      <c r="N470" s="41"/>
      <c r="O470" s="150">
        <f t="shared" si="45"/>
        <v>1</v>
      </c>
      <c r="P470" s="41">
        <v>433</v>
      </c>
      <c r="Q470" s="27">
        <f t="shared" si="46"/>
        <v>0.99769585253456217</v>
      </c>
      <c r="R470" s="23"/>
      <c r="S470" s="173"/>
      <c r="T470" s="30"/>
      <c r="U470" s="23"/>
      <c r="V470" s="458"/>
      <c r="W470" s="421"/>
      <c r="X470" s="458"/>
      <c r="Y470" s="421"/>
      <c r="Z470" s="421"/>
      <c r="AA470" s="421"/>
      <c r="AB470" s="421"/>
      <c r="AC470" s="421"/>
      <c r="AD470" s="421"/>
    </row>
    <row r="471" spans="1:30" s="22" customFormat="1" x14ac:dyDescent="0.4">
      <c r="A471" s="177" t="s">
        <v>757</v>
      </c>
      <c r="B471" s="149" t="s">
        <v>72</v>
      </c>
      <c r="C471" s="30" t="str">
        <f>VLOOKUP(B471,'112年全品項生產鍋數'!A:H,2,0)</f>
        <v>草莓餡45%(1*6Kg)</v>
      </c>
      <c r="D471" s="285">
        <v>12</v>
      </c>
      <c r="E471" s="48">
        <f>VLOOKUP(B471,'112年全品項生產鍋數'!A:H,3,0)</f>
        <v>6</v>
      </c>
      <c r="F471" s="45">
        <f>VLOOKUP(B471,'112年全品項生產鍋數'!A:H,7,0)</f>
        <v>26.1</v>
      </c>
      <c r="G471" s="49">
        <f t="shared" si="42"/>
        <v>313.20000000000005</v>
      </c>
      <c r="H471" s="153">
        <v>316</v>
      </c>
      <c r="I471" s="46">
        <f t="shared" si="43"/>
        <v>1896</v>
      </c>
      <c r="J471" s="100">
        <f t="shared" si="44"/>
        <v>1.0089399744572156</v>
      </c>
      <c r="K471" s="51">
        <f>VLOOKUP(B:B,'生產達成率(目標)'!A:C,3,0)</f>
        <v>1</v>
      </c>
      <c r="L471" s="20">
        <f t="shared" si="47"/>
        <v>8.9999999999999993E-3</v>
      </c>
      <c r="M471" s="235"/>
      <c r="N471" s="41"/>
      <c r="O471" s="150">
        <f t="shared" si="45"/>
        <v>1</v>
      </c>
      <c r="P471" s="41">
        <v>315</v>
      </c>
      <c r="Q471" s="27">
        <f t="shared" si="46"/>
        <v>0.99683544303797467</v>
      </c>
      <c r="R471" s="28"/>
      <c r="S471" s="173"/>
      <c r="T471" s="30"/>
      <c r="U471" s="23"/>
      <c r="V471" s="458"/>
      <c r="W471" s="421"/>
      <c r="X471" s="458"/>
      <c r="Y471" s="421"/>
      <c r="Z471" s="421"/>
      <c r="AA471" s="421"/>
      <c r="AB471" s="421"/>
      <c r="AC471" s="421"/>
      <c r="AD471" s="421"/>
    </row>
    <row r="472" spans="1:30" s="22" customFormat="1" x14ac:dyDescent="0.4">
      <c r="A472" s="177" t="s">
        <v>757</v>
      </c>
      <c r="B472" s="149" t="s">
        <v>373</v>
      </c>
      <c r="C472" s="30" t="str">
        <f>VLOOKUP(B472,'112年全品項生產鍋數'!A:H,2,0)</f>
        <v>花生醬(1*3.5KG)</v>
      </c>
      <c r="D472" s="285">
        <v>9</v>
      </c>
      <c r="E472" s="48">
        <f>VLOOKUP(B472,'112年全品項生產鍋數'!A:H,3,0)</f>
        <v>3.5</v>
      </c>
      <c r="F472" s="45">
        <f>VLOOKUP(B472,'112年全品項生產鍋數'!A:H,7,0)</f>
        <v>25.4</v>
      </c>
      <c r="G472" s="49">
        <f t="shared" si="42"/>
        <v>228.6</v>
      </c>
      <c r="H472" s="153">
        <v>228</v>
      </c>
      <c r="I472" s="46">
        <f t="shared" si="43"/>
        <v>798</v>
      </c>
      <c r="J472" s="100">
        <f t="shared" si="44"/>
        <v>0.99737532808398954</v>
      </c>
      <c r="K472" s="51">
        <f>VLOOKUP(B:B,'生產達成率(目標)'!A:C,3,0)</f>
        <v>1</v>
      </c>
      <c r="L472" s="20">
        <f t="shared" si="47"/>
        <v>-3.0000000000000001E-3</v>
      </c>
      <c r="M472" s="235"/>
      <c r="N472" s="41"/>
      <c r="O472" s="150">
        <f t="shared" si="45"/>
        <v>0</v>
      </c>
      <c r="P472" s="41">
        <v>228</v>
      </c>
      <c r="Q472" s="27">
        <f t="shared" si="46"/>
        <v>1</v>
      </c>
      <c r="R472" s="23"/>
      <c r="S472" s="173"/>
      <c r="T472" s="30"/>
      <c r="U472" s="23"/>
      <c r="V472" s="458"/>
      <c r="W472" s="421"/>
      <c r="X472" s="458"/>
      <c r="Y472" s="421"/>
      <c r="Z472" s="421"/>
      <c r="AA472" s="421"/>
      <c r="AB472" s="421"/>
      <c r="AC472" s="421"/>
      <c r="AD472" s="421"/>
    </row>
    <row r="473" spans="1:30" s="22" customFormat="1" x14ac:dyDescent="0.4">
      <c r="A473" s="177" t="s">
        <v>757</v>
      </c>
      <c r="B473" s="149" t="s">
        <v>148</v>
      </c>
      <c r="C473" s="30" t="str">
        <f>VLOOKUP(B473,'112年全品項生產鍋數'!A:H,2,0)</f>
        <v>無加糖花生醬(1*290g)</v>
      </c>
      <c r="D473" s="285">
        <v>8</v>
      </c>
      <c r="E473" s="48">
        <f>VLOOKUP(B473,'112年全品項生產鍋數'!A:H,3,0)</f>
        <v>0.28999999999999998</v>
      </c>
      <c r="F473" s="45">
        <f>VLOOKUP(B473,'112年全品項生產鍋數'!A:H,7,0)</f>
        <v>388</v>
      </c>
      <c r="G473" s="49">
        <f t="shared" si="42"/>
        <v>3104</v>
      </c>
      <c r="H473" s="153">
        <v>3183</v>
      </c>
      <c r="I473" s="46">
        <f t="shared" si="43"/>
        <v>923.06999999999994</v>
      </c>
      <c r="J473" s="100">
        <f t="shared" si="44"/>
        <v>1.0254510309278351</v>
      </c>
      <c r="K473" s="51">
        <f>VLOOKUP(B:B,'生產達成率(目標)'!A:C,3,0)</f>
        <v>1</v>
      </c>
      <c r="L473" s="20">
        <f t="shared" si="47"/>
        <v>2.5000000000000001E-2</v>
      </c>
      <c r="M473" s="235"/>
      <c r="N473" s="41"/>
      <c r="O473" s="150">
        <f t="shared" si="45"/>
        <v>6</v>
      </c>
      <c r="P473" s="41">
        <v>3177</v>
      </c>
      <c r="Q473" s="27">
        <f t="shared" si="46"/>
        <v>0.998114985862394</v>
      </c>
      <c r="R473" s="23"/>
      <c r="S473" s="173"/>
      <c r="T473" s="30"/>
      <c r="U473" s="23"/>
      <c r="V473" s="458"/>
      <c r="W473" s="421"/>
      <c r="X473" s="458"/>
      <c r="Y473" s="421"/>
      <c r="Z473" s="421"/>
      <c r="AA473" s="421"/>
      <c r="AB473" s="421"/>
      <c r="AC473" s="421"/>
      <c r="AD473" s="421"/>
    </row>
    <row r="474" spans="1:30" s="22" customFormat="1" x14ac:dyDescent="0.4">
      <c r="A474" s="177" t="s">
        <v>758</v>
      </c>
      <c r="B474" s="149" t="s">
        <v>374</v>
      </c>
      <c r="C474" s="30" t="str">
        <f>VLOOKUP(B474,'112年全品項生產鍋數'!A:H,2,0)</f>
        <v>上好佳草莓餡(1*900g)</v>
      </c>
      <c r="D474" s="285">
        <v>4</v>
      </c>
      <c r="E474" s="48">
        <f>VLOOKUP(B474,'112年全品項生產鍋數'!A:H,3,0)</f>
        <v>0.9</v>
      </c>
      <c r="F474" s="45">
        <f>VLOOKUP(B474,'112年全品項生產鍋數'!A:H,7,0)</f>
        <v>173</v>
      </c>
      <c r="G474" s="49">
        <f t="shared" si="42"/>
        <v>692</v>
      </c>
      <c r="H474" s="153">
        <v>700</v>
      </c>
      <c r="I474" s="46">
        <f t="shared" si="43"/>
        <v>630</v>
      </c>
      <c r="J474" s="100">
        <f t="shared" si="44"/>
        <v>1.0115606936416186</v>
      </c>
      <c r="K474" s="51">
        <f>VLOOKUP(B:B,'生產達成率(目標)'!A:C,3,0)</f>
        <v>1</v>
      </c>
      <c r="L474" s="20">
        <f t="shared" si="47"/>
        <v>1.2E-2</v>
      </c>
      <c r="M474" s="235"/>
      <c r="N474" s="41"/>
      <c r="O474" s="150">
        <f t="shared" si="45"/>
        <v>2</v>
      </c>
      <c r="P474" s="41">
        <v>698</v>
      </c>
      <c r="Q474" s="27">
        <f t="shared" si="46"/>
        <v>0.99714285714285711</v>
      </c>
      <c r="R474" s="23"/>
      <c r="S474" s="173"/>
      <c r="T474" s="30"/>
      <c r="U474" s="23"/>
      <c r="V474" s="458"/>
      <c r="W474" s="421"/>
      <c r="X474" s="458"/>
      <c r="Y474" s="421"/>
      <c r="Z474" s="421"/>
      <c r="AA474" s="421"/>
      <c r="AB474" s="421"/>
      <c r="AC474" s="421"/>
      <c r="AD474" s="421"/>
    </row>
    <row r="475" spans="1:30" s="22" customFormat="1" x14ac:dyDescent="0.4">
      <c r="A475" s="177" t="s">
        <v>758</v>
      </c>
      <c r="B475" s="149" t="s">
        <v>375</v>
      </c>
      <c r="C475" s="30" t="str">
        <f>VLOOKUP(B475,'112年全品項生產鍋數'!A:H,2,0)</f>
        <v>上好佳綜合莓餡4.5KG</v>
      </c>
      <c r="D475" s="285">
        <v>3</v>
      </c>
      <c r="E475" s="48">
        <f>VLOOKUP(B475,'112年全品項生產鍋數'!A:H,3,0)</f>
        <v>4.5</v>
      </c>
      <c r="F475" s="45">
        <f>VLOOKUP(B475,'112年全品項生產鍋數'!A:H,7,0)</f>
        <v>32.799999999999997</v>
      </c>
      <c r="G475" s="49">
        <f t="shared" si="42"/>
        <v>98.399999999999991</v>
      </c>
      <c r="H475" s="153">
        <v>97</v>
      </c>
      <c r="I475" s="46">
        <f t="shared" si="43"/>
        <v>436.5</v>
      </c>
      <c r="J475" s="100">
        <f t="shared" si="44"/>
        <v>0.9857723577235773</v>
      </c>
      <c r="K475" s="51">
        <f>VLOOKUP(B:B,'生產達成率(目標)'!A:C,3,0)</f>
        <v>1</v>
      </c>
      <c r="L475" s="20">
        <f t="shared" si="47"/>
        <v>-1.4E-2</v>
      </c>
      <c r="M475" s="235"/>
      <c r="N475" s="41"/>
      <c r="O475" s="150">
        <f t="shared" si="45"/>
        <v>0</v>
      </c>
      <c r="P475" s="41">
        <v>97</v>
      </c>
      <c r="Q475" s="27">
        <f t="shared" si="46"/>
        <v>1</v>
      </c>
      <c r="R475" s="23"/>
      <c r="S475" s="173"/>
      <c r="T475" s="30"/>
      <c r="U475" s="23"/>
      <c r="V475" s="458"/>
      <c r="W475" s="421"/>
      <c r="X475" s="458"/>
      <c r="Y475" s="421"/>
      <c r="Z475" s="421"/>
      <c r="AA475" s="421"/>
      <c r="AB475" s="421"/>
      <c r="AC475" s="421"/>
      <c r="AD475" s="421"/>
    </row>
    <row r="476" spans="1:30" s="22" customFormat="1" x14ac:dyDescent="0.4">
      <c r="A476" s="177" t="s">
        <v>758</v>
      </c>
      <c r="B476" s="149" t="s">
        <v>38</v>
      </c>
      <c r="C476" s="30" t="str">
        <f>VLOOKUP(B476,'112年全品項生產鍋數'!A:H,2,0)</f>
        <v>藍莓餡（小）(1*4.5kg)</v>
      </c>
      <c r="D476" s="285">
        <v>4</v>
      </c>
      <c r="E476" s="48">
        <f>VLOOKUP(B476,'112年全品項生產鍋數'!A:H,3,0)</f>
        <v>4.5</v>
      </c>
      <c r="F476" s="45">
        <f>VLOOKUP(B476,'112年全品項生產鍋數'!A:H,7,0)</f>
        <v>35</v>
      </c>
      <c r="G476" s="49">
        <f t="shared" si="42"/>
        <v>140</v>
      </c>
      <c r="H476" s="153">
        <v>132</v>
      </c>
      <c r="I476" s="46">
        <f t="shared" si="43"/>
        <v>594</v>
      </c>
      <c r="J476" s="100">
        <f t="shared" si="44"/>
        <v>0.94285714285714284</v>
      </c>
      <c r="K476" s="51">
        <f>VLOOKUP(B:B,'生產達成率(目標)'!A:C,3,0)</f>
        <v>1</v>
      </c>
      <c r="L476" s="20">
        <f t="shared" si="47"/>
        <v>-5.7000000000000002E-2</v>
      </c>
      <c r="M476" s="235"/>
      <c r="N476" s="41"/>
      <c r="O476" s="150">
        <f t="shared" si="45"/>
        <v>0</v>
      </c>
      <c r="P476" s="41">
        <v>132</v>
      </c>
      <c r="Q476" s="27">
        <f t="shared" si="46"/>
        <v>1</v>
      </c>
      <c r="R476" s="23"/>
      <c r="S476" s="173"/>
      <c r="T476" s="30"/>
      <c r="U476" s="23"/>
      <c r="V476" s="458"/>
      <c r="W476" s="421"/>
      <c r="X476" s="458"/>
      <c r="Y476" s="421"/>
      <c r="Z476" s="421"/>
      <c r="AA476" s="421"/>
      <c r="AB476" s="421"/>
      <c r="AC476" s="421"/>
      <c r="AD476" s="421"/>
    </row>
    <row r="477" spans="1:30" s="22" customFormat="1" x14ac:dyDescent="0.4">
      <c r="A477" s="177" t="s">
        <v>758</v>
      </c>
      <c r="B477" s="149" t="s">
        <v>39</v>
      </c>
      <c r="C477" s="30" t="str">
        <f>VLOOKUP(B477,'112年全品項生產鍋數'!A:H,2,0)</f>
        <v>藍莓餡（大）(1*9.08kg)</v>
      </c>
      <c r="D477" s="285">
        <v>8</v>
      </c>
      <c r="E477" s="48">
        <f>VLOOKUP(B477,'112年全品項生產鍋數'!A:H,3,0)</f>
        <v>9.08</v>
      </c>
      <c r="F477" s="45">
        <f>VLOOKUP(B477,'112年全品項生產鍋數'!A:H,7,0)</f>
        <v>17.8</v>
      </c>
      <c r="G477" s="49">
        <f t="shared" si="42"/>
        <v>142.4</v>
      </c>
      <c r="H477" s="153">
        <v>145</v>
      </c>
      <c r="I477" s="46">
        <f t="shared" si="43"/>
        <v>1316.6</v>
      </c>
      <c r="J477" s="100">
        <f t="shared" si="44"/>
        <v>1.018258426966292</v>
      </c>
      <c r="K477" s="51">
        <f>VLOOKUP(B:B,'生產達成率(目標)'!A:C,3,0)</f>
        <v>1</v>
      </c>
      <c r="L477" s="20">
        <f t="shared" si="47"/>
        <v>1.7999999999999999E-2</v>
      </c>
      <c r="M477" s="235"/>
      <c r="N477" s="41"/>
      <c r="O477" s="150">
        <f t="shared" si="45"/>
        <v>1</v>
      </c>
      <c r="P477" s="41">
        <v>144</v>
      </c>
      <c r="Q477" s="27">
        <f t="shared" si="46"/>
        <v>0.99310344827586206</v>
      </c>
      <c r="R477" s="23"/>
      <c r="S477" s="173"/>
      <c r="T477" s="30" t="s">
        <v>378</v>
      </c>
      <c r="U477" s="23"/>
      <c r="V477" s="458"/>
      <c r="W477" s="421"/>
      <c r="X477" s="458"/>
      <c r="Y477" s="421"/>
      <c r="Z477" s="421"/>
      <c r="AA477" s="421"/>
      <c r="AB477" s="421"/>
      <c r="AC477" s="421"/>
      <c r="AD477" s="421"/>
    </row>
    <row r="478" spans="1:30" s="22" customFormat="1" x14ac:dyDescent="0.4">
      <c r="A478" s="177" t="s">
        <v>758</v>
      </c>
      <c r="B478" s="149" t="s">
        <v>376</v>
      </c>
      <c r="C478" s="30" t="str">
        <f>VLOOKUP(B478,'112年全品項生產鍋數'!A:H,2,0)</f>
        <v>蘋果藍莓餡(1*9.08kg)</v>
      </c>
      <c r="D478" s="285">
        <v>12</v>
      </c>
      <c r="E478" s="48">
        <f>VLOOKUP(B478,'112年全品項生產鍋數'!A:H,3,0)</f>
        <v>9.08</v>
      </c>
      <c r="F478" s="45">
        <f>VLOOKUP(B478,'112年全品項生產鍋數'!A:H,7,0)</f>
        <v>17.3</v>
      </c>
      <c r="G478" s="49">
        <f t="shared" si="42"/>
        <v>207.60000000000002</v>
      </c>
      <c r="H478" s="153">
        <v>208</v>
      </c>
      <c r="I478" s="46">
        <f t="shared" si="43"/>
        <v>1888.64</v>
      </c>
      <c r="J478" s="100">
        <f t="shared" si="44"/>
        <v>1.0019267822736029</v>
      </c>
      <c r="K478" s="51">
        <f>VLOOKUP(B:B,'生產達成率(目標)'!A:C,3,0)</f>
        <v>1</v>
      </c>
      <c r="L478" s="20">
        <f t="shared" si="47"/>
        <v>2E-3</v>
      </c>
      <c r="M478" s="235"/>
      <c r="N478" s="41"/>
      <c r="O478" s="150">
        <f t="shared" si="45"/>
        <v>0</v>
      </c>
      <c r="P478" s="41">
        <v>208</v>
      </c>
      <c r="Q478" s="27">
        <f t="shared" si="46"/>
        <v>1</v>
      </c>
      <c r="R478" s="23"/>
      <c r="S478" s="173"/>
      <c r="T478" s="30"/>
      <c r="U478" s="23"/>
      <c r="V478" s="458"/>
      <c r="W478" s="421"/>
      <c r="X478" s="458"/>
      <c r="Y478" s="421"/>
      <c r="Z478" s="421"/>
      <c r="AA478" s="421"/>
      <c r="AB478" s="421"/>
      <c r="AC478" s="421"/>
      <c r="AD478" s="421"/>
    </row>
    <row r="479" spans="1:30" s="22" customFormat="1" x14ac:dyDescent="0.4">
      <c r="A479" s="177" t="s">
        <v>758</v>
      </c>
      <c r="B479" s="149" t="s">
        <v>13</v>
      </c>
      <c r="C479" s="30" t="str">
        <f>VLOOKUP(B479,'112年全品項生產鍋數'!A:H,2,0)</f>
        <v>顆粒花生醬(1*12KG)</v>
      </c>
      <c r="D479" s="285">
        <v>18</v>
      </c>
      <c r="E479" s="48">
        <f>VLOOKUP(B479,'112年全品項生產鍋數'!A:H,3,0)</f>
        <v>3</v>
      </c>
      <c r="F479" s="45">
        <f>VLOOKUP(B479,'112年全品項生產鍋數'!A:H,7,0)</f>
        <v>29.7</v>
      </c>
      <c r="G479" s="49">
        <f t="shared" si="42"/>
        <v>534.6</v>
      </c>
      <c r="H479" s="153">
        <v>532</v>
      </c>
      <c r="I479" s="46">
        <f t="shared" si="43"/>
        <v>1596</v>
      </c>
      <c r="J479" s="100">
        <f t="shared" si="44"/>
        <v>0.99513655069210616</v>
      </c>
      <c r="K479" s="51">
        <f>VLOOKUP(B:B,'生產達成率(目標)'!A:C,3,0)</f>
        <v>1</v>
      </c>
      <c r="L479" s="20">
        <f t="shared" si="47"/>
        <v>-5.0000000000000001E-3</v>
      </c>
      <c r="M479" s="235"/>
      <c r="N479" s="41"/>
      <c r="O479" s="150">
        <f t="shared" si="45"/>
        <v>0</v>
      </c>
      <c r="P479" s="41">
        <v>532</v>
      </c>
      <c r="Q479" s="27">
        <f t="shared" si="46"/>
        <v>1</v>
      </c>
      <c r="R479" s="23"/>
      <c r="S479" s="173"/>
      <c r="T479" s="30"/>
      <c r="U479" s="23"/>
      <c r="V479" s="458"/>
      <c r="W479" s="421"/>
      <c r="X479" s="458"/>
      <c r="Y479" s="421"/>
      <c r="Z479" s="421"/>
      <c r="AA479" s="421"/>
      <c r="AB479" s="421"/>
      <c r="AC479" s="421"/>
      <c r="AD479" s="421"/>
    </row>
    <row r="480" spans="1:30" s="22" customFormat="1" x14ac:dyDescent="0.4">
      <c r="A480" s="177" t="s">
        <v>758</v>
      </c>
      <c r="B480" s="149" t="s">
        <v>17</v>
      </c>
      <c r="C480" s="30" t="str">
        <f>VLOOKUP(B480,'112年全品項生產鍋數'!A:H,2,0)</f>
        <v>顆粒花生醬(全)</v>
      </c>
      <c r="D480" s="285">
        <v>24</v>
      </c>
      <c r="E480" s="48">
        <f>VLOOKUP(B480,'112年全品項生產鍋數'!A:H,3,0)</f>
        <v>0.34</v>
      </c>
      <c r="F480" s="45">
        <f>VLOOKUP(B480,'112年全品項生產鍋數'!A:H,7,0)</f>
        <v>364.6</v>
      </c>
      <c r="G480" s="49">
        <f t="shared" si="42"/>
        <v>8750.4000000000015</v>
      </c>
      <c r="H480" s="153">
        <v>8743</v>
      </c>
      <c r="I480" s="46">
        <f t="shared" si="43"/>
        <v>2972.6200000000003</v>
      </c>
      <c r="J480" s="100">
        <f t="shared" si="44"/>
        <v>0.99915432437374274</v>
      </c>
      <c r="K480" s="51">
        <f>VLOOKUP(B:B,'生產達成率(目標)'!A:C,3,0)</f>
        <v>1</v>
      </c>
      <c r="L480" s="20">
        <f t="shared" si="47"/>
        <v>-1E-3</v>
      </c>
      <c r="M480" s="235"/>
      <c r="N480" s="41"/>
      <c r="O480" s="150">
        <f t="shared" si="45"/>
        <v>3</v>
      </c>
      <c r="P480" s="41">
        <v>8740</v>
      </c>
      <c r="Q480" s="27">
        <f t="shared" si="46"/>
        <v>0.99965686835182432</v>
      </c>
      <c r="R480" s="23"/>
      <c r="S480" s="173"/>
      <c r="T480" s="30"/>
      <c r="U480" s="23"/>
      <c r="V480" s="458"/>
      <c r="W480" s="421"/>
      <c r="X480" s="458"/>
      <c r="Y480" s="421"/>
      <c r="Z480" s="421"/>
      <c r="AA480" s="421"/>
      <c r="AB480" s="421"/>
      <c r="AC480" s="421"/>
      <c r="AD480" s="421"/>
    </row>
    <row r="481" spans="1:30" s="22" customFormat="1" x14ac:dyDescent="0.4">
      <c r="A481" s="177" t="s">
        <v>758</v>
      </c>
      <c r="B481" s="149" t="s">
        <v>9</v>
      </c>
      <c r="C481" s="30" t="str">
        <f>VLOOKUP(B481,'112年全品項生產鍋數'!A:H,2,0)</f>
        <v>＃1花生(1*2.8kg)</v>
      </c>
      <c r="D481" s="285">
        <v>24</v>
      </c>
      <c r="E481" s="48">
        <f>VLOOKUP(B481,'112年全品項生產鍋數'!A:H,3,0)</f>
        <v>2.8</v>
      </c>
      <c r="F481" s="45">
        <f>VLOOKUP(B481,'112年全品項生產鍋數'!A:H,7,0)</f>
        <v>44.5</v>
      </c>
      <c r="G481" s="49">
        <f t="shared" si="42"/>
        <v>1068</v>
      </c>
      <c r="H481" s="153">
        <v>1083</v>
      </c>
      <c r="I481" s="46">
        <f t="shared" si="43"/>
        <v>3032.3999999999996</v>
      </c>
      <c r="J481" s="100">
        <f t="shared" si="44"/>
        <v>1.0140449438202248</v>
      </c>
      <c r="K481" s="51">
        <f>VLOOKUP(B:B,'生產達成率(目標)'!A:C,3,0)</f>
        <v>1</v>
      </c>
      <c r="L481" s="20">
        <f t="shared" si="47"/>
        <v>1.4E-2</v>
      </c>
      <c r="M481" s="235"/>
      <c r="N481" s="41"/>
      <c r="O481" s="150">
        <f t="shared" si="45"/>
        <v>1</v>
      </c>
      <c r="P481" s="41">
        <v>1082</v>
      </c>
      <c r="Q481" s="27">
        <f t="shared" si="46"/>
        <v>0.99907663896583565</v>
      </c>
      <c r="R481" s="23"/>
      <c r="S481" s="173"/>
      <c r="T481" s="30"/>
      <c r="U481" s="23"/>
      <c r="V481" s="458"/>
      <c r="W481" s="421"/>
      <c r="X481" s="458"/>
      <c r="Y481" s="421"/>
      <c r="Z481" s="421"/>
      <c r="AA481" s="421"/>
      <c r="AB481" s="421"/>
      <c r="AC481" s="421"/>
      <c r="AD481" s="421"/>
    </row>
    <row r="482" spans="1:30" s="22" customFormat="1" x14ac:dyDescent="0.4">
      <c r="A482" s="177" t="s">
        <v>759</v>
      </c>
      <c r="B482" s="149" t="s">
        <v>7</v>
      </c>
      <c r="C482" s="30" t="str">
        <f>VLOOKUP(B482,'112年全品項生產鍋數'!A:H,2,0)</f>
        <v>草莓蒟蒻餡(1*6kg)</v>
      </c>
      <c r="D482" s="285">
        <v>20</v>
      </c>
      <c r="E482" s="48">
        <f>VLOOKUP(B482,'112年全品項生產鍋數'!A:H,3,0)</f>
        <v>6</v>
      </c>
      <c r="F482" s="45">
        <f>VLOOKUP(B482,'112年全品項生產鍋數'!A:H,7,0)</f>
        <v>25.7</v>
      </c>
      <c r="G482" s="49">
        <f t="shared" si="42"/>
        <v>514</v>
      </c>
      <c r="H482" s="153">
        <v>519</v>
      </c>
      <c r="I482" s="46">
        <f t="shared" si="43"/>
        <v>3114</v>
      </c>
      <c r="J482" s="100">
        <f t="shared" si="44"/>
        <v>1.0097276264591439</v>
      </c>
      <c r="K482" s="51">
        <f>VLOOKUP(B:B,'生產達成率(目標)'!A:C,3,0)</f>
        <v>1</v>
      </c>
      <c r="L482" s="20">
        <f t="shared" si="47"/>
        <v>0.01</v>
      </c>
      <c r="M482" s="235"/>
      <c r="N482" s="41"/>
      <c r="O482" s="150">
        <f t="shared" si="45"/>
        <v>3</v>
      </c>
      <c r="P482" s="41">
        <v>516</v>
      </c>
      <c r="Q482" s="27">
        <f t="shared" si="46"/>
        <v>0.9942196531791907</v>
      </c>
      <c r="R482" s="23"/>
      <c r="S482" s="173"/>
      <c r="T482" s="30"/>
      <c r="U482" s="23"/>
      <c r="V482" s="458"/>
      <c r="W482" s="421"/>
      <c r="X482" s="458"/>
      <c r="Y482" s="421"/>
      <c r="Z482" s="421"/>
      <c r="AA482" s="421"/>
      <c r="AB482" s="421"/>
      <c r="AC482" s="421"/>
      <c r="AD482" s="421"/>
    </row>
    <row r="483" spans="1:30" s="22" customFormat="1" x14ac:dyDescent="0.4">
      <c r="A483" s="177" t="s">
        <v>759</v>
      </c>
      <c r="B483" s="149" t="s">
        <v>139</v>
      </c>
      <c r="C483" s="30" t="str">
        <f>VLOOKUP(B483,'112年全品項生產鍋數'!A:H,2,0)</f>
        <v>草莓餡42°(1*6KG)</v>
      </c>
      <c r="D483" s="285">
        <v>16</v>
      </c>
      <c r="E483" s="48">
        <f>VLOOKUP(B483,'112年全品項生產鍋數'!A:H,3,0)</f>
        <v>6</v>
      </c>
      <c r="F483" s="45">
        <f>VLOOKUP(B483,'112年全品項生產鍋數'!A:H,7,0)</f>
        <v>25.2</v>
      </c>
      <c r="G483" s="49">
        <f t="shared" si="42"/>
        <v>403.2</v>
      </c>
      <c r="H483" s="153">
        <v>409</v>
      </c>
      <c r="I483" s="46">
        <f t="shared" si="43"/>
        <v>2454</v>
      </c>
      <c r="J483" s="100">
        <f t="shared" si="44"/>
        <v>1.0143849206349207</v>
      </c>
      <c r="K483" s="51">
        <f>VLOOKUP(B:B,'生產達成率(目標)'!A:C,3,0)</f>
        <v>1</v>
      </c>
      <c r="L483" s="20">
        <f t="shared" si="47"/>
        <v>1.4E-2</v>
      </c>
      <c r="M483" s="235"/>
      <c r="N483" s="41"/>
      <c r="O483" s="150">
        <f t="shared" si="45"/>
        <v>1</v>
      </c>
      <c r="P483" s="41">
        <v>408</v>
      </c>
      <c r="Q483" s="27">
        <f t="shared" si="46"/>
        <v>0.99755501222493892</v>
      </c>
      <c r="R483" s="23"/>
      <c r="S483" s="173"/>
      <c r="T483" s="30"/>
      <c r="U483" s="23"/>
      <c r="V483" s="458"/>
      <c r="W483" s="421"/>
      <c r="X483" s="458"/>
      <c r="Y483" s="421"/>
      <c r="Z483" s="421"/>
      <c r="AA483" s="421"/>
      <c r="AB483" s="421"/>
      <c r="AC483" s="421"/>
      <c r="AD483" s="421"/>
    </row>
    <row r="484" spans="1:30" s="22" customFormat="1" x14ac:dyDescent="0.4">
      <c r="A484" s="177" t="s">
        <v>759</v>
      </c>
      <c r="B484" s="149" t="s">
        <v>377</v>
      </c>
      <c r="C484" s="30" t="str">
        <f>VLOOKUP(B484,'112年全品項生產鍋數'!A:H,2,0)</f>
        <v>藍莓餡(1*6KG)</v>
      </c>
      <c r="D484" s="285">
        <v>6</v>
      </c>
      <c r="E484" s="48">
        <f>VLOOKUP(B484,'112年全品項生產鍋數'!A:H,3,0)</f>
        <v>6</v>
      </c>
      <c r="F484" s="45">
        <f>VLOOKUP(B484,'112年全品項生產鍋數'!A:H,7,0)</f>
        <v>25.5</v>
      </c>
      <c r="G484" s="49">
        <f t="shared" si="42"/>
        <v>153</v>
      </c>
      <c r="H484" s="153">
        <v>155</v>
      </c>
      <c r="I484" s="46">
        <f t="shared" si="43"/>
        <v>930</v>
      </c>
      <c r="J484" s="100">
        <f t="shared" si="44"/>
        <v>1.0130718954248366</v>
      </c>
      <c r="K484" s="51">
        <f>VLOOKUP(B:B,'生產達成率(目標)'!A:C,3,0)</f>
        <v>1</v>
      </c>
      <c r="L484" s="20">
        <f t="shared" si="47"/>
        <v>1.2999999999999999E-2</v>
      </c>
      <c r="M484" s="235"/>
      <c r="N484" s="41"/>
      <c r="O484" s="150">
        <f t="shared" si="45"/>
        <v>1</v>
      </c>
      <c r="P484" s="41">
        <v>154</v>
      </c>
      <c r="Q484" s="27">
        <f t="shared" si="46"/>
        <v>0.99354838709677418</v>
      </c>
      <c r="R484" s="23"/>
      <c r="S484" s="173"/>
      <c r="T484" s="30"/>
      <c r="U484" s="23"/>
      <c r="V484" s="458"/>
      <c r="W484" s="421"/>
      <c r="X484" s="458"/>
      <c r="Y484" s="421"/>
      <c r="Z484" s="421"/>
      <c r="AA484" s="421"/>
      <c r="AB484" s="421"/>
      <c r="AC484" s="421"/>
      <c r="AD484" s="421"/>
    </row>
    <row r="485" spans="1:30" s="22" customFormat="1" x14ac:dyDescent="0.4">
      <c r="A485" s="177" t="s">
        <v>759</v>
      </c>
      <c r="B485" s="149" t="s">
        <v>141</v>
      </c>
      <c r="C485" s="30" t="str">
        <f>VLOOKUP(B485,'112年全品項生產鍋數'!A:H,2,0)</f>
        <v>顆粒花生醬(1*12KG)</v>
      </c>
      <c r="D485" s="285">
        <v>18</v>
      </c>
      <c r="E485" s="48">
        <f>VLOOKUP(B485,'112年全品項生產鍋數'!A:H,3,0)</f>
        <v>3</v>
      </c>
      <c r="F485" s="45">
        <f>VLOOKUP(B485,'112年全品項生產鍋數'!A:H,7,0)</f>
        <v>30.8</v>
      </c>
      <c r="G485" s="49">
        <f t="shared" si="42"/>
        <v>554.4</v>
      </c>
      <c r="H485" s="153">
        <v>556</v>
      </c>
      <c r="I485" s="46">
        <f t="shared" si="43"/>
        <v>1668</v>
      </c>
      <c r="J485" s="100">
        <f t="shared" si="44"/>
        <v>1.0028860028860029</v>
      </c>
      <c r="K485" s="51">
        <f>VLOOKUP(B:B,'生產達成率(目標)'!A:C,3,0)</f>
        <v>1</v>
      </c>
      <c r="L485" s="20">
        <f t="shared" si="47"/>
        <v>3.0000000000000001E-3</v>
      </c>
      <c r="M485" s="235"/>
      <c r="N485" s="41"/>
      <c r="O485" s="150">
        <f t="shared" si="45"/>
        <v>0</v>
      </c>
      <c r="P485" s="41">
        <v>556</v>
      </c>
      <c r="Q485" s="27">
        <f t="shared" si="46"/>
        <v>1</v>
      </c>
      <c r="R485" s="23"/>
      <c r="S485" s="173"/>
      <c r="T485" s="30"/>
      <c r="U485" s="23"/>
      <c r="V485" s="458"/>
      <c r="W485" s="421"/>
      <c r="X485" s="458"/>
      <c r="Y485" s="421"/>
      <c r="Z485" s="421"/>
      <c r="AA485" s="421"/>
      <c r="AB485" s="421"/>
      <c r="AC485" s="421"/>
      <c r="AD485" s="421"/>
    </row>
    <row r="486" spans="1:30" s="22" customFormat="1" x14ac:dyDescent="0.4">
      <c r="A486" s="177" t="s">
        <v>759</v>
      </c>
      <c r="B486" s="149" t="s">
        <v>9</v>
      </c>
      <c r="C486" s="30" t="str">
        <f>VLOOKUP(B486,'112年全品項生產鍋數'!A:H,2,0)</f>
        <v>＃1花生(1*2.8kg)</v>
      </c>
      <c r="D486" s="285">
        <v>72</v>
      </c>
      <c r="E486" s="48">
        <f>VLOOKUP(B486,'112年全品項生產鍋數'!A:H,3,0)</f>
        <v>2.8</v>
      </c>
      <c r="F486" s="45">
        <f>VLOOKUP(B486,'112年全品項生產鍋數'!A:H,7,0)</f>
        <v>44.5</v>
      </c>
      <c r="G486" s="49">
        <f t="shared" si="42"/>
        <v>3204</v>
      </c>
      <c r="H486" s="153">
        <v>3219</v>
      </c>
      <c r="I486" s="46">
        <f t="shared" si="43"/>
        <v>9013.1999999999989</v>
      </c>
      <c r="J486" s="100">
        <f t="shared" si="44"/>
        <v>1.0046816479400749</v>
      </c>
      <c r="K486" s="51">
        <f>VLOOKUP(B:B,'生產達成率(目標)'!A:C,3,0)</f>
        <v>1</v>
      </c>
      <c r="L486" s="20">
        <f t="shared" si="47"/>
        <v>5.0000000000000001E-3</v>
      </c>
      <c r="M486" s="235"/>
      <c r="N486" s="41"/>
      <c r="O486" s="150">
        <f t="shared" si="45"/>
        <v>1</v>
      </c>
      <c r="P486" s="41">
        <v>3218</v>
      </c>
      <c r="Q486" s="27">
        <f t="shared" si="46"/>
        <v>0.9996893445169307</v>
      </c>
      <c r="R486" s="23"/>
      <c r="S486" s="173"/>
      <c r="T486" s="30"/>
      <c r="U486" s="23"/>
      <c r="V486" s="458"/>
      <c r="W486" s="421"/>
      <c r="X486" s="458"/>
      <c r="Y486" s="421"/>
      <c r="Z486" s="421"/>
      <c r="AA486" s="421"/>
      <c r="AB486" s="421"/>
      <c r="AC486" s="421"/>
      <c r="AD486" s="421"/>
    </row>
    <row r="487" spans="1:30" s="22" customFormat="1" x14ac:dyDescent="0.4">
      <c r="A487" s="177" t="s">
        <v>760</v>
      </c>
      <c r="B487" s="151" t="s">
        <v>2</v>
      </c>
      <c r="C487" s="30" t="str">
        <f>VLOOKUP(B487,'112年全品項生產鍋數'!A:H,2,0)</f>
        <v>草莓醬(1*6kg)</v>
      </c>
      <c r="D487" s="285">
        <v>30</v>
      </c>
      <c r="E487" s="48">
        <f>VLOOKUP(B487,'112年全品項生產鍋數'!A:H,3,0)</f>
        <v>6</v>
      </c>
      <c r="F487" s="45">
        <f>VLOOKUP(B487,'112年全品項生產鍋數'!A:H,7,0)</f>
        <v>26.6</v>
      </c>
      <c r="G487" s="49">
        <f t="shared" si="42"/>
        <v>798</v>
      </c>
      <c r="H487" s="153">
        <v>808</v>
      </c>
      <c r="I487" s="46">
        <f t="shared" si="43"/>
        <v>4848</v>
      </c>
      <c r="J487" s="100">
        <f t="shared" si="44"/>
        <v>1.0125313283208019</v>
      </c>
      <c r="K487" s="51">
        <f>VLOOKUP(B:B,'生產達成率(目標)'!A:C,3,0)</f>
        <v>1</v>
      </c>
      <c r="L487" s="20">
        <f t="shared" si="47"/>
        <v>1.2999999999999999E-2</v>
      </c>
      <c r="M487" s="235"/>
      <c r="N487" s="41"/>
      <c r="O487" s="150">
        <f t="shared" si="45"/>
        <v>2</v>
      </c>
      <c r="P487" s="41">
        <v>806</v>
      </c>
      <c r="Q487" s="27">
        <f t="shared" si="46"/>
        <v>0.99752475247524752</v>
      </c>
      <c r="R487" s="23"/>
      <c r="S487" s="173"/>
      <c r="T487" s="30"/>
      <c r="U487" s="23"/>
      <c r="V487" s="458"/>
      <c r="W487" s="421"/>
      <c r="X487" s="458"/>
      <c r="Y487" s="421"/>
      <c r="Z487" s="421"/>
      <c r="AA487" s="421"/>
      <c r="AB487" s="421"/>
      <c r="AC487" s="421"/>
      <c r="AD487" s="421"/>
    </row>
    <row r="488" spans="1:30" s="22" customFormat="1" x14ac:dyDescent="0.4">
      <c r="A488" s="177" t="s">
        <v>760</v>
      </c>
      <c r="B488" s="149" t="s">
        <v>149</v>
      </c>
      <c r="C488" s="30" t="str">
        <f>VLOOKUP(B488,'112年全品項生產鍋數'!A:H,2,0)</f>
        <v>葡萄奇異果醬(1*6kg)</v>
      </c>
      <c r="D488" s="285">
        <v>6</v>
      </c>
      <c r="E488" s="48">
        <f>VLOOKUP(B488,'112年全品項生產鍋數'!A:H,3,0)</f>
        <v>6</v>
      </c>
      <c r="F488" s="45">
        <f>VLOOKUP(B488,'112年全品項生產鍋數'!A:H,7,0)</f>
        <v>24.3</v>
      </c>
      <c r="G488" s="49">
        <f t="shared" si="42"/>
        <v>145.80000000000001</v>
      </c>
      <c r="H488" s="153">
        <v>149</v>
      </c>
      <c r="I488" s="46">
        <f t="shared" si="43"/>
        <v>894</v>
      </c>
      <c r="J488" s="100">
        <f t="shared" si="44"/>
        <v>1.0219478737997256</v>
      </c>
      <c r="K488" s="51">
        <f>VLOOKUP(B:B,'生產達成率(目標)'!A:C,3,0)</f>
        <v>1</v>
      </c>
      <c r="L488" s="20">
        <f t="shared" si="47"/>
        <v>2.1999999999999999E-2</v>
      </c>
      <c r="M488" s="235"/>
      <c r="N488" s="41"/>
      <c r="O488" s="150">
        <f t="shared" si="45"/>
        <v>1</v>
      </c>
      <c r="P488" s="41">
        <v>148</v>
      </c>
      <c r="Q488" s="27">
        <f t="shared" si="46"/>
        <v>0.99328859060402686</v>
      </c>
      <c r="R488" s="23"/>
      <c r="S488" s="173"/>
      <c r="T488" s="30"/>
      <c r="U488" s="23"/>
      <c r="V488" s="458"/>
      <c r="W488" s="421"/>
      <c r="X488" s="458"/>
      <c r="Y488" s="421"/>
      <c r="Z488" s="421"/>
      <c r="AA488" s="421"/>
      <c r="AB488" s="421"/>
      <c r="AC488" s="421"/>
      <c r="AD488" s="421"/>
    </row>
    <row r="489" spans="1:30" s="22" customFormat="1" x14ac:dyDescent="0.4">
      <c r="A489" s="177" t="s">
        <v>760</v>
      </c>
      <c r="B489" s="149" t="s">
        <v>31</v>
      </c>
      <c r="C489" s="30" t="str">
        <f>VLOOKUP(B489,'112年全品項生產鍋數'!A:H,2,0)</f>
        <v>天天開心芒果餡4.5KG</v>
      </c>
      <c r="D489" s="285">
        <v>12</v>
      </c>
      <c r="E489" s="48">
        <f>VLOOKUP(B489,'112年全品項生產鍋數'!A:H,3,0)</f>
        <v>4.5</v>
      </c>
      <c r="F489" s="45">
        <f>VLOOKUP(B489,'112年全品項生產鍋數'!A:H,7,0)</f>
        <v>33.200000000000003</v>
      </c>
      <c r="G489" s="49">
        <f t="shared" si="42"/>
        <v>398.40000000000003</v>
      </c>
      <c r="H489" s="153">
        <v>406</v>
      </c>
      <c r="I489" s="46">
        <f t="shared" si="43"/>
        <v>1827</v>
      </c>
      <c r="J489" s="100">
        <f t="shared" si="44"/>
        <v>1.0190763052208835</v>
      </c>
      <c r="K489" s="51">
        <f>VLOOKUP(B:B,'生產達成率(目標)'!A:C,3,0)</f>
        <v>1</v>
      </c>
      <c r="L489" s="20">
        <f t="shared" si="47"/>
        <v>1.9E-2</v>
      </c>
      <c r="M489" s="235"/>
      <c r="N489" s="41"/>
      <c r="O489" s="150">
        <f t="shared" si="45"/>
        <v>0</v>
      </c>
      <c r="P489" s="41">
        <v>406</v>
      </c>
      <c r="Q489" s="27">
        <f t="shared" si="46"/>
        <v>1</v>
      </c>
      <c r="R489" s="23"/>
      <c r="S489" s="173"/>
      <c r="T489" s="30"/>
      <c r="U489" s="23"/>
      <c r="V489" s="458"/>
      <c r="W489" s="421"/>
      <c r="X489" s="458"/>
      <c r="Y489" s="421"/>
      <c r="Z489" s="421"/>
      <c r="AA489" s="421"/>
      <c r="AB489" s="421"/>
      <c r="AC489" s="421"/>
      <c r="AD489" s="421"/>
    </row>
    <row r="490" spans="1:30" s="22" customFormat="1" x14ac:dyDescent="0.4">
      <c r="A490" s="177" t="s">
        <v>760</v>
      </c>
      <c r="B490" s="149" t="s">
        <v>41</v>
      </c>
      <c r="C490" s="30" t="str">
        <f>VLOOKUP(B490,'112年全品項生產鍋數'!A:H,2,0)</f>
        <v>天天開心藍莓餡4.5KG</v>
      </c>
      <c r="D490" s="285">
        <v>12</v>
      </c>
      <c r="E490" s="48">
        <f>VLOOKUP(B490,'112年全品項生產鍋數'!A:H,3,0)</f>
        <v>4.5</v>
      </c>
      <c r="F490" s="45">
        <f>VLOOKUP(B490,'112年全品項生產鍋數'!A:H,7,0)</f>
        <v>36.799999999999997</v>
      </c>
      <c r="G490" s="49">
        <f t="shared" si="42"/>
        <v>441.59999999999997</v>
      </c>
      <c r="H490" s="153">
        <v>445</v>
      </c>
      <c r="I490" s="46">
        <f t="shared" si="43"/>
        <v>2002.5</v>
      </c>
      <c r="J490" s="100">
        <f t="shared" si="44"/>
        <v>1.0076992753623188</v>
      </c>
      <c r="K490" s="51">
        <f>VLOOKUP(B:B,'生產達成率(目標)'!A:C,3,0)</f>
        <v>1</v>
      </c>
      <c r="L490" s="20">
        <f t="shared" si="47"/>
        <v>8.0000000000000002E-3</v>
      </c>
      <c r="M490" s="235"/>
      <c r="N490" s="41"/>
      <c r="O490" s="150">
        <f t="shared" si="45"/>
        <v>0</v>
      </c>
      <c r="P490" s="41">
        <v>445</v>
      </c>
      <c r="Q490" s="27">
        <f t="shared" si="46"/>
        <v>1</v>
      </c>
      <c r="R490" s="23"/>
      <c r="S490" s="173"/>
      <c r="T490" s="30"/>
      <c r="U490" s="23"/>
      <c r="V490" s="458"/>
      <c r="W490" s="421"/>
      <c r="X490" s="458"/>
      <c r="Y490" s="421"/>
      <c r="Z490" s="421"/>
      <c r="AA490" s="421"/>
      <c r="AB490" s="421"/>
      <c r="AC490" s="421"/>
      <c r="AD490" s="421"/>
    </row>
    <row r="491" spans="1:30" s="22" customFormat="1" x14ac:dyDescent="0.4">
      <c r="A491" s="177" t="s">
        <v>760</v>
      </c>
      <c r="B491" s="149" t="s">
        <v>7</v>
      </c>
      <c r="C491" s="30" t="str">
        <f>VLOOKUP(B491,'112年全品項生產鍋數'!A:H,2,0)</f>
        <v>草莓蒟蒻餡(1*6kg)</v>
      </c>
      <c r="D491" s="285">
        <v>20</v>
      </c>
      <c r="E491" s="48">
        <f>VLOOKUP(B491,'112年全品項生產鍋數'!A:H,3,0)</f>
        <v>6</v>
      </c>
      <c r="F491" s="45">
        <f>VLOOKUP(B491,'112年全品項生產鍋數'!A:H,7,0)</f>
        <v>25.7</v>
      </c>
      <c r="G491" s="49">
        <f t="shared" si="42"/>
        <v>514</v>
      </c>
      <c r="H491" s="153">
        <v>515</v>
      </c>
      <c r="I491" s="46">
        <f t="shared" si="43"/>
        <v>3090</v>
      </c>
      <c r="J491" s="100">
        <f t="shared" si="44"/>
        <v>1.0019455252918288</v>
      </c>
      <c r="K491" s="51">
        <f>VLOOKUP(B:B,'生產達成率(目標)'!A:C,3,0)</f>
        <v>1</v>
      </c>
      <c r="L491" s="20">
        <f t="shared" si="47"/>
        <v>2E-3</v>
      </c>
      <c r="M491" s="235"/>
      <c r="N491" s="41"/>
      <c r="O491" s="150">
        <f t="shared" si="45"/>
        <v>1</v>
      </c>
      <c r="P491" s="41">
        <v>514</v>
      </c>
      <c r="Q491" s="27">
        <f t="shared" si="46"/>
        <v>0.99805825242718449</v>
      </c>
      <c r="R491" s="23"/>
      <c r="S491" s="173"/>
      <c r="T491" s="30"/>
      <c r="U491" s="23"/>
      <c r="V491" s="458"/>
      <c r="W491" s="421"/>
      <c r="X491" s="458"/>
      <c r="Y491" s="421"/>
      <c r="Z491" s="421"/>
      <c r="AA491" s="421"/>
      <c r="AB491" s="421"/>
      <c r="AC491" s="421"/>
      <c r="AD491" s="421"/>
    </row>
    <row r="492" spans="1:30" s="22" customFormat="1" x14ac:dyDescent="0.4">
      <c r="A492" s="177" t="s">
        <v>760</v>
      </c>
      <c r="B492" s="149" t="s">
        <v>4</v>
      </c>
      <c r="C492" s="30" t="str">
        <f>VLOOKUP(B492,'112年全品項生產鍋數'!A:H,2,0)</f>
        <v>PET大花生(1*400g)</v>
      </c>
      <c r="D492" s="285">
        <v>24</v>
      </c>
      <c r="E492" s="48">
        <f>VLOOKUP(B492,'112年全品項生產鍋數'!A:H,3,0)</f>
        <v>0.4</v>
      </c>
      <c r="F492" s="45">
        <f>VLOOKUP(B492,'112年全品項生產鍋數'!A:H,7,0)</f>
        <v>309.2</v>
      </c>
      <c r="G492" s="49">
        <f t="shared" si="42"/>
        <v>7420.7999999999993</v>
      </c>
      <c r="H492" s="153">
        <v>7663</v>
      </c>
      <c r="I492" s="46">
        <f t="shared" si="43"/>
        <v>3065.2000000000003</v>
      </c>
      <c r="J492" s="100">
        <f t="shared" si="44"/>
        <v>1.0326379905131524</v>
      </c>
      <c r="K492" s="51">
        <f>VLOOKUP(B:B,'生產達成率(目標)'!A:C,3,0)</f>
        <v>1</v>
      </c>
      <c r="L492" s="20">
        <f t="shared" si="47"/>
        <v>3.3000000000000002E-2</v>
      </c>
      <c r="M492" s="235"/>
      <c r="N492" s="41"/>
      <c r="O492" s="150">
        <f t="shared" si="45"/>
        <v>3</v>
      </c>
      <c r="P492" s="41">
        <v>7660</v>
      </c>
      <c r="Q492" s="27">
        <f t="shared" si="46"/>
        <v>0.99960850841706905</v>
      </c>
      <c r="R492" s="23"/>
      <c r="S492" s="173"/>
      <c r="T492" s="30"/>
      <c r="U492" s="23"/>
      <c r="V492" s="458"/>
      <c r="W492" s="421"/>
      <c r="X492" s="458"/>
      <c r="Y492" s="421"/>
      <c r="Z492" s="421"/>
      <c r="AA492" s="421"/>
      <c r="AB492" s="421"/>
      <c r="AC492" s="421"/>
      <c r="AD492" s="421"/>
    </row>
    <row r="493" spans="1:30" s="22" customFormat="1" x14ac:dyDescent="0.4">
      <c r="A493" s="177" t="s">
        <v>760</v>
      </c>
      <c r="B493" s="149" t="s">
        <v>22</v>
      </c>
      <c r="C493" s="30" t="str">
        <f>VLOOKUP(B493,'112年全品項生產鍋數'!A:H,2,0)</f>
        <v>PET瓶花生(1*340g)</v>
      </c>
      <c r="D493" s="285">
        <v>16</v>
      </c>
      <c r="E493" s="48">
        <f>VLOOKUP(B493,'112年全品項生產鍋數'!A:H,3,0)</f>
        <v>0.34</v>
      </c>
      <c r="F493" s="45">
        <f>VLOOKUP(B493,'112年全品項生產鍋數'!A:H,7,0)</f>
        <v>358.3</v>
      </c>
      <c r="G493" s="49">
        <f t="shared" si="42"/>
        <v>5732.8</v>
      </c>
      <c r="H493" s="153">
        <v>5635</v>
      </c>
      <c r="I493" s="46">
        <f t="shared" si="43"/>
        <v>1915.9</v>
      </c>
      <c r="J493" s="100">
        <f t="shared" si="44"/>
        <v>0.98294027351381519</v>
      </c>
      <c r="K493" s="51">
        <f>VLOOKUP(B:B,'生產達成率(目標)'!A:C,3,0)</f>
        <v>1</v>
      </c>
      <c r="L493" s="20">
        <f t="shared" si="47"/>
        <v>-1.7000000000000001E-2</v>
      </c>
      <c r="M493" s="235"/>
      <c r="N493" s="41"/>
      <c r="O493" s="150">
        <f t="shared" si="45"/>
        <v>3</v>
      </c>
      <c r="P493" s="41">
        <v>5632</v>
      </c>
      <c r="Q493" s="27">
        <f t="shared" si="46"/>
        <v>0.99946761313220944</v>
      </c>
      <c r="R493" s="23"/>
      <c r="S493" s="173"/>
      <c r="T493" s="30"/>
      <c r="U493" s="23"/>
      <c r="V493" s="458"/>
      <c r="W493" s="421"/>
      <c r="X493" s="458"/>
      <c r="Y493" s="421"/>
      <c r="Z493" s="421"/>
      <c r="AA493" s="421"/>
      <c r="AB493" s="421"/>
      <c r="AC493" s="421"/>
      <c r="AD493" s="421"/>
    </row>
    <row r="494" spans="1:30" s="22" customFormat="1" x14ac:dyDescent="0.4">
      <c r="A494" s="177" t="s">
        <v>761</v>
      </c>
      <c r="B494" s="149" t="s">
        <v>12</v>
      </c>
      <c r="C494" s="30" t="str">
        <f>VLOOKUP(B494,'112年全品項生產鍋數'!A:H,2,0)</f>
        <v>＃1草莓(1*3.2kg)</v>
      </c>
      <c r="D494" s="285">
        <v>64</v>
      </c>
      <c r="E494" s="48">
        <f>VLOOKUP(B494,'112年全品項生產鍋數'!A:H,3,0)</f>
        <v>3.2</v>
      </c>
      <c r="F494" s="45">
        <f>VLOOKUP(B494,'112年全品項生產鍋數'!A:H,7,0)</f>
        <v>46.8</v>
      </c>
      <c r="G494" s="49">
        <f t="shared" si="42"/>
        <v>2995.2</v>
      </c>
      <c r="H494" s="153">
        <v>3033</v>
      </c>
      <c r="I494" s="46">
        <f t="shared" si="43"/>
        <v>9705.6</v>
      </c>
      <c r="J494" s="100">
        <f t="shared" si="44"/>
        <v>1.0126201923076923</v>
      </c>
      <c r="K494" s="51">
        <f>VLOOKUP(B:B,'生產達成率(目標)'!A:C,3,0)</f>
        <v>1</v>
      </c>
      <c r="L494" s="20">
        <f t="shared" si="47"/>
        <v>1.2999999999999999E-2</v>
      </c>
      <c r="M494" s="235"/>
      <c r="N494" s="41"/>
      <c r="O494" s="150">
        <f t="shared" si="45"/>
        <v>2</v>
      </c>
      <c r="P494" s="41">
        <v>3031</v>
      </c>
      <c r="Q494" s="27">
        <f t="shared" si="46"/>
        <v>0.9993405868776789</v>
      </c>
      <c r="R494" s="23"/>
      <c r="S494" s="173"/>
      <c r="T494" s="30"/>
      <c r="U494" s="23"/>
      <c r="V494" s="458"/>
      <c r="W494" s="421"/>
      <c r="X494" s="458"/>
      <c r="Y494" s="421"/>
      <c r="Z494" s="421"/>
      <c r="AA494" s="421"/>
      <c r="AB494" s="421"/>
      <c r="AC494" s="421"/>
      <c r="AD494" s="421"/>
    </row>
    <row r="495" spans="1:30" s="22" customFormat="1" x14ac:dyDescent="0.4">
      <c r="A495" s="177" t="s">
        <v>761</v>
      </c>
      <c r="B495" s="149" t="s">
        <v>16</v>
      </c>
      <c r="C495" s="30" t="str">
        <f>VLOOKUP(B495,'112年全品項生產鍋數'!A:H,2,0)</f>
        <v>藍莓餡(1*6Kg)</v>
      </c>
      <c r="D495" s="285">
        <v>40</v>
      </c>
      <c r="E495" s="48">
        <f>VLOOKUP(B495,'112年全品項生產鍋數'!A:H,3,0)</f>
        <v>6</v>
      </c>
      <c r="F495" s="45">
        <f>VLOOKUP(B495,'112年全品項生產鍋數'!A:H,7,0)</f>
        <v>25.1</v>
      </c>
      <c r="G495" s="49">
        <f t="shared" si="42"/>
        <v>1004</v>
      </c>
      <c r="H495" s="153">
        <v>1039</v>
      </c>
      <c r="I495" s="46">
        <f t="shared" si="43"/>
        <v>6234</v>
      </c>
      <c r="J495" s="100">
        <f t="shared" si="44"/>
        <v>1.0348605577689243</v>
      </c>
      <c r="K495" s="51">
        <f>VLOOKUP(B:B,'生產達成率(目標)'!A:C,3,0)</f>
        <v>1</v>
      </c>
      <c r="L495" s="20">
        <f t="shared" si="47"/>
        <v>3.5000000000000003E-2</v>
      </c>
      <c r="M495" s="235"/>
      <c r="N495" s="41"/>
      <c r="O495" s="150">
        <f t="shared" si="45"/>
        <v>1</v>
      </c>
      <c r="P495" s="41">
        <v>1038</v>
      </c>
      <c r="Q495" s="27">
        <f t="shared" si="46"/>
        <v>0.99903753609239654</v>
      </c>
      <c r="R495" s="23"/>
      <c r="S495" s="173"/>
      <c r="T495" s="30"/>
      <c r="U495" s="23"/>
      <c r="V495" s="458"/>
      <c r="W495" s="421"/>
      <c r="X495" s="458"/>
      <c r="Y495" s="421"/>
      <c r="Z495" s="421"/>
      <c r="AA495" s="421"/>
      <c r="AB495" s="421"/>
      <c r="AC495" s="421"/>
      <c r="AD495" s="421"/>
    </row>
    <row r="496" spans="1:30" s="22" customFormat="1" x14ac:dyDescent="0.4">
      <c r="A496" s="177" t="s">
        <v>761</v>
      </c>
      <c r="B496" s="149" t="s">
        <v>9</v>
      </c>
      <c r="C496" s="30" t="str">
        <f>VLOOKUP(B496,'112年全品項生產鍋數'!A:H,2,0)</f>
        <v>＃1花生(1*2.8kg)</v>
      </c>
      <c r="D496" s="285">
        <v>28</v>
      </c>
      <c r="E496" s="48">
        <f>VLOOKUP(B496,'112年全品項生產鍋數'!A:H,3,0)</f>
        <v>2.8</v>
      </c>
      <c r="F496" s="45">
        <f>VLOOKUP(B496,'112年全品項生產鍋數'!A:H,7,0)</f>
        <v>44.5</v>
      </c>
      <c r="G496" s="49">
        <f t="shared" si="42"/>
        <v>1246</v>
      </c>
      <c r="H496" s="153">
        <v>1264</v>
      </c>
      <c r="I496" s="46">
        <f t="shared" si="43"/>
        <v>3539.2</v>
      </c>
      <c r="J496" s="100">
        <f t="shared" si="44"/>
        <v>1.014446227929374</v>
      </c>
      <c r="K496" s="51">
        <f>VLOOKUP(B:B,'生產達成率(目標)'!A:C,3,0)</f>
        <v>1</v>
      </c>
      <c r="L496" s="20">
        <f t="shared" si="47"/>
        <v>1.4E-2</v>
      </c>
      <c r="M496" s="235"/>
      <c r="N496" s="41"/>
      <c r="O496" s="150">
        <f t="shared" si="45"/>
        <v>1</v>
      </c>
      <c r="P496" s="41">
        <v>1263</v>
      </c>
      <c r="Q496" s="27">
        <f t="shared" si="46"/>
        <v>0.99920886075949367</v>
      </c>
      <c r="R496" s="23"/>
      <c r="S496" s="173"/>
      <c r="T496" s="30"/>
      <c r="U496" s="23"/>
      <c r="V496" s="458"/>
      <c r="W496" s="421"/>
      <c r="X496" s="458"/>
      <c r="Y496" s="421"/>
      <c r="Z496" s="421"/>
      <c r="AA496" s="421"/>
      <c r="AB496" s="421"/>
      <c r="AC496" s="421"/>
      <c r="AD496" s="421"/>
    </row>
    <row r="497" spans="1:30" s="22" customFormat="1" x14ac:dyDescent="0.4">
      <c r="A497" s="177" t="s">
        <v>761</v>
      </c>
      <c r="B497" s="149" t="s">
        <v>23</v>
      </c>
      <c r="C497" s="30" t="str">
        <f>VLOOKUP(B497,'112年全品項生產鍋數'!A:H,2,0)</f>
        <v>＃1花生(粒)(1*2.8kg)</v>
      </c>
      <c r="D497" s="285">
        <v>28</v>
      </c>
      <c r="E497" s="48">
        <f>VLOOKUP(B497,'112年全品項生產鍋數'!A:H,3,0)</f>
        <v>2.8</v>
      </c>
      <c r="F497" s="45">
        <f>VLOOKUP(B497,'112年全品項生產鍋數'!A:H,7,0)</f>
        <v>44.2</v>
      </c>
      <c r="G497" s="49">
        <f t="shared" si="42"/>
        <v>1237.6000000000001</v>
      </c>
      <c r="H497" s="153">
        <v>1240</v>
      </c>
      <c r="I497" s="46">
        <f t="shared" si="43"/>
        <v>3472</v>
      </c>
      <c r="J497" s="100">
        <f t="shared" si="44"/>
        <v>1.0019392372333549</v>
      </c>
      <c r="K497" s="51">
        <f>VLOOKUP(B:B,'生產達成率(目標)'!A:C,3,0)</f>
        <v>1</v>
      </c>
      <c r="L497" s="20">
        <f t="shared" si="47"/>
        <v>2E-3</v>
      </c>
      <c r="M497" s="235"/>
      <c r="N497" s="41"/>
      <c r="O497" s="150">
        <f t="shared" si="45"/>
        <v>1</v>
      </c>
      <c r="P497" s="41">
        <v>1239</v>
      </c>
      <c r="Q497" s="27">
        <f t="shared" si="46"/>
        <v>0.99919354838709673</v>
      </c>
      <c r="R497" s="23"/>
      <c r="S497" s="173"/>
      <c r="T497" s="30"/>
      <c r="U497" s="23"/>
      <c r="V497" s="458"/>
      <c r="W497" s="421"/>
      <c r="X497" s="458"/>
      <c r="Y497" s="421"/>
      <c r="Z497" s="421"/>
      <c r="AA497" s="421"/>
      <c r="AB497" s="421"/>
      <c r="AC497" s="421"/>
      <c r="AD497" s="421"/>
    </row>
    <row r="498" spans="1:30" s="22" customFormat="1" x14ac:dyDescent="0.4">
      <c r="A498" s="177" t="s">
        <v>762</v>
      </c>
      <c r="B498" s="149" t="s">
        <v>7</v>
      </c>
      <c r="C498" s="30" t="str">
        <f>VLOOKUP(B498,'112年全品項生產鍋數'!A:H,2,0)</f>
        <v>草莓蒟蒻餡(1*6kg)</v>
      </c>
      <c r="D498" s="285">
        <v>32</v>
      </c>
      <c r="E498" s="48">
        <f>VLOOKUP(B498,'112年全品項生產鍋數'!A:H,3,0)</f>
        <v>6</v>
      </c>
      <c r="F498" s="45">
        <f>VLOOKUP(B498,'112年全品項生產鍋數'!A:H,7,0)</f>
        <v>25.7</v>
      </c>
      <c r="G498" s="49">
        <f t="shared" si="42"/>
        <v>822.4</v>
      </c>
      <c r="H498" s="153">
        <v>840</v>
      </c>
      <c r="I498" s="46">
        <f t="shared" si="43"/>
        <v>5040</v>
      </c>
      <c r="J498" s="100">
        <f t="shared" si="44"/>
        <v>1.0214007782101167</v>
      </c>
      <c r="K498" s="51">
        <f>VLOOKUP(B:B,'生產達成率(目標)'!A:C,3,0)</f>
        <v>1</v>
      </c>
      <c r="L498" s="20">
        <f t="shared" si="47"/>
        <v>2.1000000000000001E-2</v>
      </c>
      <c r="M498" s="235"/>
      <c r="N498" s="41"/>
      <c r="O498" s="150">
        <f t="shared" si="45"/>
        <v>8</v>
      </c>
      <c r="P498" s="41">
        <v>832</v>
      </c>
      <c r="Q498" s="27">
        <f t="shared" si="46"/>
        <v>0.99047619047619051</v>
      </c>
      <c r="R498" s="23"/>
      <c r="S498" s="173"/>
      <c r="T498" s="30"/>
      <c r="U498" s="23"/>
      <c r="V498" s="458"/>
      <c r="W498" s="421"/>
      <c r="X498" s="458"/>
      <c r="Y498" s="421"/>
      <c r="Z498" s="421"/>
      <c r="AA498" s="421"/>
      <c r="AB498" s="421"/>
      <c r="AC498" s="421"/>
      <c r="AD498" s="421"/>
    </row>
    <row r="499" spans="1:30" s="22" customFormat="1" x14ac:dyDescent="0.4">
      <c r="A499" s="177" t="s">
        <v>762</v>
      </c>
      <c r="B499" s="149" t="s">
        <v>355</v>
      </c>
      <c r="C499" s="30" t="str">
        <f>VLOOKUP(B499,'112年全品項生產鍋數'!A:H,2,0)</f>
        <v>蘋果餡(1*6Kg)</v>
      </c>
      <c r="D499" s="285">
        <v>8</v>
      </c>
      <c r="E499" s="48">
        <f>VLOOKUP(B499,'112年全品項生產鍋數'!A:H,3,0)</f>
        <v>6</v>
      </c>
      <c r="F499" s="45">
        <f>VLOOKUP(B499,'112年全品項生產鍋數'!A:H,7,0)</f>
        <v>25.3</v>
      </c>
      <c r="G499" s="49">
        <f t="shared" si="42"/>
        <v>202.4</v>
      </c>
      <c r="H499" s="153">
        <v>199</v>
      </c>
      <c r="I499" s="46">
        <f t="shared" si="43"/>
        <v>1194</v>
      </c>
      <c r="J499" s="100">
        <f t="shared" si="44"/>
        <v>0.98320158102766797</v>
      </c>
      <c r="K499" s="51">
        <f>VLOOKUP(B:B,'生產達成率(目標)'!A:C,3,0)</f>
        <v>1</v>
      </c>
      <c r="L499" s="20">
        <f t="shared" si="47"/>
        <v>-1.7000000000000001E-2</v>
      </c>
      <c r="M499" s="235"/>
      <c r="N499" s="41"/>
      <c r="O499" s="150">
        <f t="shared" si="45"/>
        <v>1</v>
      </c>
      <c r="P499" s="41">
        <v>198</v>
      </c>
      <c r="Q499" s="27">
        <f t="shared" si="46"/>
        <v>0.99497487437185927</v>
      </c>
      <c r="R499" s="23"/>
      <c r="S499" s="173"/>
      <c r="T499" s="30"/>
      <c r="U499" s="23"/>
      <c r="V499" s="458"/>
      <c r="W499" s="421"/>
      <c r="X499" s="458"/>
      <c r="Y499" s="421"/>
      <c r="Z499" s="421"/>
      <c r="AA499" s="421"/>
      <c r="AB499" s="421"/>
      <c r="AC499" s="421"/>
      <c r="AD499" s="421"/>
    </row>
    <row r="500" spans="1:30" s="22" customFormat="1" x14ac:dyDescent="0.4">
      <c r="A500" s="177" t="s">
        <v>762</v>
      </c>
      <c r="B500" s="149" t="s">
        <v>142</v>
      </c>
      <c r="C500" s="30" t="str">
        <f>VLOOKUP(B500,'112年全品項生產鍋數'!A:H,2,0)</f>
        <v>顆粒花生醬(1*12KG)</v>
      </c>
      <c r="D500" s="285">
        <v>18</v>
      </c>
      <c r="E500" s="48">
        <f>VLOOKUP(B500,'112年全品項生產鍋數'!A:H,3,0)</f>
        <v>3</v>
      </c>
      <c r="F500" s="45">
        <f>VLOOKUP(B500,'112年全品項生產鍋數'!A:H,7,0)</f>
        <v>31.6</v>
      </c>
      <c r="G500" s="49">
        <f t="shared" si="42"/>
        <v>568.80000000000007</v>
      </c>
      <c r="H500" s="153">
        <v>572</v>
      </c>
      <c r="I500" s="46">
        <f t="shared" si="43"/>
        <v>1716</v>
      </c>
      <c r="J500" s="100">
        <f t="shared" si="44"/>
        <v>1.0056258790436003</v>
      </c>
      <c r="K500" s="51">
        <f>VLOOKUP(B:B,'生產達成率(目標)'!A:C,3,0)</f>
        <v>1</v>
      </c>
      <c r="L500" s="20">
        <f t="shared" si="47"/>
        <v>6.0000000000000001E-3</v>
      </c>
      <c r="M500" s="235"/>
      <c r="N500" s="41"/>
      <c r="O500" s="150">
        <f t="shared" si="45"/>
        <v>0</v>
      </c>
      <c r="P500" s="41">
        <v>572</v>
      </c>
      <c r="Q500" s="27">
        <f t="shared" si="46"/>
        <v>1</v>
      </c>
      <c r="R500" s="23"/>
      <c r="S500" s="173"/>
      <c r="T500" s="30"/>
      <c r="U500" s="23"/>
      <c r="V500" s="458"/>
      <c r="W500" s="421"/>
      <c r="X500" s="458"/>
      <c r="Y500" s="421"/>
      <c r="Z500" s="421"/>
      <c r="AA500" s="421"/>
      <c r="AB500" s="421"/>
      <c r="AC500" s="421"/>
      <c r="AD500" s="421"/>
    </row>
    <row r="501" spans="1:30" s="22" customFormat="1" x14ac:dyDescent="0.4">
      <c r="A501" s="177" t="s">
        <v>762</v>
      </c>
      <c r="B501" s="151" t="s">
        <v>18</v>
      </c>
      <c r="C501" s="30" t="str">
        <f>VLOOKUP(B501,'112年全品項生產鍋數'!A:H,2,0)</f>
        <v>PET瓶花生(粒)(1*340g)</v>
      </c>
      <c r="D501" s="285">
        <v>12</v>
      </c>
      <c r="E501" s="48">
        <f>VLOOKUP(B501,'112年全品項生產鍋數'!A:H,3,0)</f>
        <v>0.34</v>
      </c>
      <c r="F501" s="45">
        <f>VLOOKUP(B501,'112年全品項生產鍋數'!A:H,7,0)</f>
        <v>366</v>
      </c>
      <c r="G501" s="49">
        <f t="shared" si="42"/>
        <v>4392</v>
      </c>
      <c r="H501" s="153">
        <v>4497</v>
      </c>
      <c r="I501" s="46">
        <f t="shared" si="43"/>
        <v>1528.98</v>
      </c>
      <c r="J501" s="100">
        <f t="shared" si="44"/>
        <v>1.0239071038251366</v>
      </c>
      <c r="K501" s="51">
        <f>VLOOKUP(B:B,'生產達成率(目標)'!A:C,3,0)</f>
        <v>1</v>
      </c>
      <c r="L501" s="20">
        <f t="shared" si="47"/>
        <v>2.4E-2</v>
      </c>
      <c r="M501" s="235"/>
      <c r="N501" s="41"/>
      <c r="O501" s="150">
        <f t="shared" si="45"/>
        <v>3</v>
      </c>
      <c r="P501" s="41">
        <v>4494</v>
      </c>
      <c r="Q501" s="27">
        <f t="shared" si="46"/>
        <v>0.99933288859239489</v>
      </c>
      <c r="R501" s="23"/>
      <c r="S501" s="173"/>
      <c r="T501" s="30"/>
      <c r="U501" s="23"/>
      <c r="V501" s="458"/>
      <c r="W501" s="421"/>
      <c r="X501" s="458"/>
      <c r="Y501" s="421"/>
      <c r="Z501" s="421"/>
      <c r="AA501" s="421"/>
      <c r="AB501" s="421"/>
      <c r="AC501" s="421"/>
      <c r="AD501" s="421"/>
    </row>
    <row r="502" spans="1:30" s="22" customFormat="1" x14ac:dyDescent="0.4">
      <c r="A502" s="177" t="s">
        <v>762</v>
      </c>
      <c r="B502" s="149" t="s">
        <v>34</v>
      </c>
      <c r="C502" s="30" t="str">
        <f>VLOOKUP(B502,'112年全品項生產鍋數'!A:H,2,0)</f>
        <v>花生醬(1*18KG)</v>
      </c>
      <c r="D502" s="285">
        <v>20</v>
      </c>
      <c r="E502" s="48">
        <f>VLOOKUP(B502,'112年全品項生產鍋數'!A:H,3,0)</f>
        <v>18</v>
      </c>
      <c r="F502" s="45">
        <f>VLOOKUP(B502,'112年全品項生產鍋數'!A:H,7,0)</f>
        <v>6.9</v>
      </c>
      <c r="G502" s="49">
        <f t="shared" si="42"/>
        <v>138</v>
      </c>
      <c r="H502" s="153">
        <v>137</v>
      </c>
      <c r="I502" s="46">
        <f t="shared" si="43"/>
        <v>2466</v>
      </c>
      <c r="J502" s="100">
        <f t="shared" si="44"/>
        <v>0.99275362318840576</v>
      </c>
      <c r="K502" s="51">
        <f>VLOOKUP(B:B,'生產達成率(目標)'!A:C,3,0)</f>
        <v>1</v>
      </c>
      <c r="L502" s="20">
        <f t="shared" si="47"/>
        <v>-7.0000000000000001E-3</v>
      </c>
      <c r="M502" s="235"/>
      <c r="N502" s="41"/>
      <c r="O502" s="150">
        <f t="shared" si="45"/>
        <v>0</v>
      </c>
      <c r="P502" s="41">
        <v>137</v>
      </c>
      <c r="Q502" s="27">
        <f t="shared" si="46"/>
        <v>1</v>
      </c>
      <c r="R502" s="23"/>
      <c r="S502" s="173"/>
      <c r="T502" s="30"/>
      <c r="U502" s="23"/>
      <c r="V502" s="458"/>
      <c r="W502" s="421"/>
      <c r="X502" s="458"/>
      <c r="Y502" s="421"/>
      <c r="Z502" s="421"/>
      <c r="AA502" s="421"/>
      <c r="AB502" s="421"/>
      <c r="AC502" s="421"/>
      <c r="AD502" s="421"/>
    </row>
    <row r="503" spans="1:30" s="22" customFormat="1" x14ac:dyDescent="0.4">
      <c r="A503" s="177" t="s">
        <v>763</v>
      </c>
      <c r="B503" s="149" t="s">
        <v>6</v>
      </c>
      <c r="C503" s="30" t="str">
        <f>VLOOKUP(B503,'112年全品項生產鍋數'!A:H,2,0)</f>
        <v>大圓草莓-新</v>
      </c>
      <c r="D503" s="285">
        <v>24</v>
      </c>
      <c r="E503" s="48">
        <f>VLOOKUP(B503,'112年全品項生產鍋數'!A:H,3,0)</f>
        <v>0.44</v>
      </c>
      <c r="F503" s="45">
        <f>VLOOKUP(B503,'112年全品項生產鍋數'!A:H,7,0)</f>
        <v>344</v>
      </c>
      <c r="G503" s="49">
        <f t="shared" si="42"/>
        <v>8256</v>
      </c>
      <c r="H503" s="153">
        <v>8302</v>
      </c>
      <c r="I503" s="46">
        <f t="shared" si="43"/>
        <v>3652.88</v>
      </c>
      <c r="J503" s="100">
        <f t="shared" si="44"/>
        <v>1.0055717054263567</v>
      </c>
      <c r="K503" s="51">
        <f>VLOOKUP(B:B,'生產達成率(目標)'!A:C,3,0)</f>
        <v>1</v>
      </c>
      <c r="L503" s="20">
        <f t="shared" si="47"/>
        <v>6.0000000000000001E-3</v>
      </c>
      <c r="M503" s="235"/>
      <c r="N503" s="41"/>
      <c r="O503" s="150">
        <f>H503-N503-P503</f>
        <v>11</v>
      </c>
      <c r="P503" s="41">
        <v>8291</v>
      </c>
      <c r="Q503" s="27">
        <f t="shared" si="46"/>
        <v>0.99867501806793546</v>
      </c>
      <c r="R503" s="23"/>
      <c r="S503" s="173"/>
      <c r="T503" s="30"/>
      <c r="U503" s="23"/>
      <c r="V503" s="458"/>
      <c r="W503" s="421"/>
      <c r="X503" s="458"/>
      <c r="Y503" s="421"/>
      <c r="Z503" s="421"/>
      <c r="AA503" s="421"/>
      <c r="AB503" s="421"/>
      <c r="AC503" s="421"/>
      <c r="AD503" s="421"/>
    </row>
    <row r="504" spans="1:30" s="22" customFormat="1" x14ac:dyDescent="0.4">
      <c r="A504" s="177" t="s">
        <v>763</v>
      </c>
      <c r="B504" s="149" t="s">
        <v>35</v>
      </c>
      <c r="C504" s="30" t="str">
        <f>VLOOKUP(B504,'112年全品項生產鍋數'!A:H,2,0)</f>
        <v>小圓草莓(1*170g)</v>
      </c>
      <c r="D504" s="285">
        <v>8</v>
      </c>
      <c r="E504" s="48">
        <f>VLOOKUP(B504,'112年全品項生產鍋數'!A:H,3,0)</f>
        <v>0.17</v>
      </c>
      <c r="F504" s="45">
        <f>VLOOKUP(B504,'112年全品項生產鍋數'!A:H,7,0)</f>
        <v>912.6</v>
      </c>
      <c r="G504" s="49">
        <f t="shared" si="42"/>
        <v>7300.8</v>
      </c>
      <c r="H504" s="153">
        <v>7366</v>
      </c>
      <c r="I504" s="46">
        <f t="shared" si="43"/>
        <v>1252.22</v>
      </c>
      <c r="J504" s="100">
        <f t="shared" si="44"/>
        <v>1.0089305281612975</v>
      </c>
      <c r="K504" s="51">
        <f>VLOOKUP(B:B,'生產達成率(目標)'!A:C,3,0)</f>
        <v>1</v>
      </c>
      <c r="L504" s="20">
        <f t="shared" si="47"/>
        <v>8.9999999999999993E-3</v>
      </c>
      <c r="M504" s="235"/>
      <c r="N504" s="41"/>
      <c r="O504" s="150">
        <f t="shared" si="45"/>
        <v>9</v>
      </c>
      <c r="P504" s="41">
        <v>7357</v>
      </c>
      <c r="Q504" s="27">
        <f t="shared" si="46"/>
        <v>0.99877816997013302</v>
      </c>
      <c r="R504" s="23"/>
      <c r="S504" s="173"/>
      <c r="T504" s="30"/>
      <c r="U504" s="23"/>
      <c r="V504" s="458"/>
      <c r="W504" s="421"/>
      <c r="X504" s="458"/>
      <c r="Y504" s="421"/>
      <c r="Z504" s="421"/>
      <c r="AA504" s="421"/>
      <c r="AB504" s="421"/>
      <c r="AC504" s="421"/>
      <c r="AD504" s="421"/>
    </row>
    <row r="505" spans="1:30" s="22" customFormat="1" x14ac:dyDescent="0.4">
      <c r="A505" s="177" t="s">
        <v>763</v>
      </c>
      <c r="B505" s="149" t="s">
        <v>140</v>
      </c>
      <c r="C505" s="30" t="str">
        <f>VLOOKUP(B505,'112年全品項生產鍋數'!A:H,2,0)</f>
        <v>草莓餡(1*6Kg)</v>
      </c>
      <c r="D505" s="285">
        <v>16</v>
      </c>
      <c r="E505" s="48">
        <f>VLOOKUP(B505,'112年全品項生產鍋數'!A:H,3,0)</f>
        <v>6</v>
      </c>
      <c r="F505" s="45">
        <f>VLOOKUP(B505,'112年全品項生產鍋數'!A:H,7,0)</f>
        <v>25.5</v>
      </c>
      <c r="G505" s="49">
        <f t="shared" si="42"/>
        <v>408</v>
      </c>
      <c r="H505" s="153">
        <v>418</v>
      </c>
      <c r="I505" s="46">
        <f t="shared" si="43"/>
        <v>2508</v>
      </c>
      <c r="J505" s="100">
        <f t="shared" si="44"/>
        <v>1.0245098039215685</v>
      </c>
      <c r="K505" s="51">
        <f>VLOOKUP(B:B,'生產達成率(目標)'!A:C,3,0)</f>
        <v>1</v>
      </c>
      <c r="L505" s="20">
        <f t="shared" si="47"/>
        <v>2.5000000000000001E-2</v>
      </c>
      <c r="M505" s="235"/>
      <c r="N505" s="41"/>
      <c r="O505" s="150">
        <f t="shared" si="45"/>
        <v>1</v>
      </c>
      <c r="P505" s="41">
        <v>417</v>
      </c>
      <c r="Q505" s="27">
        <f t="shared" si="46"/>
        <v>0.99760765550239239</v>
      </c>
      <c r="R505" s="23"/>
      <c r="S505" s="173"/>
      <c r="T505" s="30"/>
      <c r="U505" s="23"/>
      <c r="V505" s="458"/>
      <c r="W505" s="421"/>
      <c r="X505" s="458"/>
      <c r="Y505" s="421"/>
      <c r="Z505" s="421"/>
      <c r="AA505" s="421"/>
      <c r="AB505" s="421"/>
      <c r="AC505" s="421"/>
      <c r="AD505" s="421"/>
    </row>
    <row r="506" spans="1:30" s="22" customFormat="1" x14ac:dyDescent="0.4">
      <c r="A506" s="177" t="s">
        <v>763</v>
      </c>
      <c r="B506" s="149" t="s">
        <v>72</v>
      </c>
      <c r="C506" s="30" t="str">
        <f>VLOOKUP(B506,'112年全品項生產鍋數'!A:H,2,0)</f>
        <v>草莓餡45%(1*6Kg)</v>
      </c>
      <c r="D506" s="285">
        <v>20</v>
      </c>
      <c r="E506" s="48">
        <f>VLOOKUP(B506,'112年全品項生產鍋數'!A:H,3,0)</f>
        <v>6</v>
      </c>
      <c r="F506" s="45">
        <f>VLOOKUP(B506,'112年全品項生產鍋數'!A:H,7,0)</f>
        <v>26.1</v>
      </c>
      <c r="G506" s="49">
        <f t="shared" si="42"/>
        <v>522</v>
      </c>
      <c r="H506" s="153">
        <v>533</v>
      </c>
      <c r="I506" s="46">
        <f t="shared" si="43"/>
        <v>3198</v>
      </c>
      <c r="J506" s="100">
        <f t="shared" si="44"/>
        <v>1.0210727969348659</v>
      </c>
      <c r="K506" s="51">
        <f>VLOOKUP(B:B,'生產達成率(目標)'!A:C,3,0)</f>
        <v>1</v>
      </c>
      <c r="L506" s="20">
        <f t="shared" si="47"/>
        <v>2.1000000000000001E-2</v>
      </c>
      <c r="M506" s="235"/>
      <c r="N506" s="41"/>
      <c r="O506" s="150">
        <f t="shared" si="45"/>
        <v>1</v>
      </c>
      <c r="P506" s="41">
        <v>532</v>
      </c>
      <c r="Q506" s="27">
        <f t="shared" si="46"/>
        <v>0.99812382739212002</v>
      </c>
      <c r="R506" s="28"/>
      <c r="S506" s="173"/>
      <c r="T506" s="30"/>
      <c r="U506" s="23"/>
      <c r="V506" s="458"/>
      <c r="W506" s="421"/>
      <c r="X506" s="458"/>
      <c r="Y506" s="421"/>
      <c r="Z506" s="421"/>
      <c r="AA506" s="421"/>
      <c r="AB506" s="421"/>
      <c r="AC506" s="421"/>
      <c r="AD506" s="421"/>
    </row>
    <row r="507" spans="1:30" s="22" customFormat="1" x14ac:dyDescent="0.4">
      <c r="A507" s="177" t="s">
        <v>763</v>
      </c>
      <c r="B507" s="149" t="s">
        <v>14</v>
      </c>
      <c r="C507" s="30" t="str">
        <f>VLOOKUP(B507,'112年全品項生產鍋數'!A:H,2,0)</f>
        <v>草莓餡50°(1*6Kg)</v>
      </c>
      <c r="D507" s="285">
        <v>8</v>
      </c>
      <c r="E507" s="48">
        <f>VLOOKUP(B507,'112年全品項生產鍋數'!A:H,3,0)</f>
        <v>6</v>
      </c>
      <c r="F507" s="45">
        <f>VLOOKUP(B507,'112年全品項生產鍋數'!A:H,7,0)</f>
        <v>25</v>
      </c>
      <c r="G507" s="49">
        <f t="shared" si="42"/>
        <v>200</v>
      </c>
      <c r="H507" s="153">
        <v>205</v>
      </c>
      <c r="I507" s="46">
        <f t="shared" si="43"/>
        <v>1230</v>
      </c>
      <c r="J507" s="100">
        <f t="shared" si="44"/>
        <v>1.0249999999999999</v>
      </c>
      <c r="K507" s="51">
        <f>VLOOKUP(B:B,'生產達成率(目標)'!A:C,3,0)</f>
        <v>1</v>
      </c>
      <c r="L507" s="20">
        <f t="shared" si="47"/>
        <v>2.5000000000000001E-2</v>
      </c>
      <c r="M507" s="235"/>
      <c r="N507" s="41"/>
      <c r="O507" s="150">
        <f t="shared" si="45"/>
        <v>1</v>
      </c>
      <c r="P507" s="41">
        <v>204</v>
      </c>
      <c r="Q507" s="27">
        <f t="shared" si="46"/>
        <v>0.99512195121951219</v>
      </c>
      <c r="R507" s="23"/>
      <c r="S507" s="173"/>
      <c r="T507" s="30"/>
      <c r="U507" s="23"/>
      <c r="V507" s="458"/>
      <c r="W507" s="421"/>
      <c r="X507" s="458"/>
      <c r="Y507" s="421"/>
      <c r="Z507" s="421"/>
      <c r="AA507" s="421"/>
      <c r="AB507" s="421"/>
      <c r="AC507" s="421"/>
      <c r="AD507" s="421"/>
    </row>
    <row r="508" spans="1:30" s="22" customFormat="1" x14ac:dyDescent="0.4">
      <c r="A508" s="177" t="s">
        <v>763</v>
      </c>
      <c r="B508" s="149" t="s">
        <v>9</v>
      </c>
      <c r="C508" s="30" t="str">
        <f>VLOOKUP(B508,'112年全品項生產鍋數'!A:H,2,0)</f>
        <v>＃1花生(1*2.8kg)</v>
      </c>
      <c r="D508" s="285">
        <v>60</v>
      </c>
      <c r="E508" s="48">
        <f>VLOOKUP(B508,'112年全品項生產鍋數'!A:H,3,0)</f>
        <v>2.8</v>
      </c>
      <c r="F508" s="45">
        <f>VLOOKUP(B508,'112年全品項生產鍋數'!A:H,7,0)</f>
        <v>44.5</v>
      </c>
      <c r="G508" s="49">
        <f t="shared" si="42"/>
        <v>2670</v>
      </c>
      <c r="H508" s="153">
        <v>2693</v>
      </c>
      <c r="I508" s="46">
        <f t="shared" si="43"/>
        <v>7540.4</v>
      </c>
      <c r="J508" s="100">
        <f t="shared" si="44"/>
        <v>1.0086142322097378</v>
      </c>
      <c r="K508" s="51">
        <f>VLOOKUP(B:B,'生產達成率(目標)'!A:C,3,0)</f>
        <v>1</v>
      </c>
      <c r="L508" s="20">
        <f t="shared" si="47"/>
        <v>8.9999999999999993E-3</v>
      </c>
      <c r="M508" s="235"/>
      <c r="N508" s="41"/>
      <c r="O508" s="150">
        <f t="shared" si="45"/>
        <v>1</v>
      </c>
      <c r="P508" s="41">
        <v>2692</v>
      </c>
      <c r="Q508" s="27">
        <f t="shared" si="46"/>
        <v>0.99962866691422203</v>
      </c>
      <c r="R508" s="23"/>
      <c r="S508" s="173"/>
      <c r="T508" s="30"/>
      <c r="U508" s="23"/>
      <c r="V508" s="458"/>
      <c r="W508" s="421"/>
      <c r="X508" s="458"/>
      <c r="Y508" s="421"/>
      <c r="Z508" s="421"/>
      <c r="AA508" s="421"/>
      <c r="AB508" s="421"/>
      <c r="AC508" s="421"/>
      <c r="AD508" s="421"/>
    </row>
    <row r="509" spans="1:30" s="22" customFormat="1" x14ac:dyDescent="0.4">
      <c r="A509" s="177" t="s">
        <v>764</v>
      </c>
      <c r="B509" s="149" t="s">
        <v>12</v>
      </c>
      <c r="C509" s="30" t="str">
        <f>VLOOKUP(B509,'112年全品項生產鍋數'!A:H,2,0)</f>
        <v>＃1草莓(1*3.2kg)</v>
      </c>
      <c r="D509" s="285">
        <v>64</v>
      </c>
      <c r="E509" s="48">
        <f>VLOOKUP(B509,'112年全品項生產鍋數'!A:H,3,0)</f>
        <v>3.2</v>
      </c>
      <c r="F509" s="45">
        <f>VLOOKUP(B509,'112年全品項生產鍋數'!A:H,7,0)</f>
        <v>46.8</v>
      </c>
      <c r="G509" s="49">
        <f t="shared" si="42"/>
        <v>2995.2</v>
      </c>
      <c r="H509" s="153">
        <v>3041</v>
      </c>
      <c r="I509" s="46">
        <f t="shared" si="43"/>
        <v>9731.2000000000007</v>
      </c>
      <c r="J509" s="100">
        <f t="shared" si="44"/>
        <v>1.0152911324786325</v>
      </c>
      <c r="K509" s="51">
        <f>VLOOKUP(B:B,'生產達成率(目標)'!A:C,3,0)</f>
        <v>1</v>
      </c>
      <c r="L509" s="20">
        <f t="shared" si="47"/>
        <v>1.4999999999999999E-2</v>
      </c>
      <c r="M509" s="235"/>
      <c r="N509" s="41"/>
      <c r="O509" s="150">
        <f t="shared" si="45"/>
        <v>7</v>
      </c>
      <c r="P509" s="41">
        <v>3034</v>
      </c>
      <c r="Q509" s="27">
        <f t="shared" si="46"/>
        <v>0.99769812561657345</v>
      </c>
      <c r="R509" s="23"/>
      <c r="S509" s="173"/>
      <c r="T509" s="30"/>
      <c r="U509" s="23"/>
      <c r="V509" s="458"/>
      <c r="W509" s="421"/>
      <c r="X509" s="458"/>
      <c r="Y509" s="421"/>
      <c r="Z509" s="421"/>
      <c r="AA509" s="421"/>
      <c r="AB509" s="421"/>
      <c r="AC509" s="421"/>
      <c r="AD509" s="421"/>
    </row>
    <row r="510" spans="1:30" s="22" customFormat="1" x14ac:dyDescent="0.4">
      <c r="A510" s="177" t="s">
        <v>764</v>
      </c>
      <c r="B510" s="149" t="s">
        <v>134</v>
      </c>
      <c r="C510" s="30" t="str">
        <f>VLOOKUP(B510,'112年全品項生產鍋數'!A:H,2,0)</f>
        <v>草莓椰果餡(1*6Kg)</v>
      </c>
      <c r="D510" s="285">
        <v>16</v>
      </c>
      <c r="E510" s="48">
        <f>VLOOKUP(B510,'112年全品項生產鍋數'!A:H,3,0)</f>
        <v>6</v>
      </c>
      <c r="F510" s="45">
        <f>VLOOKUP(B510,'112年全品項生產鍋數'!A:H,7,0)</f>
        <v>26.4</v>
      </c>
      <c r="G510" s="49">
        <f t="shared" si="42"/>
        <v>422.4</v>
      </c>
      <c r="H510" s="153">
        <v>427</v>
      </c>
      <c r="I510" s="46">
        <f t="shared" si="43"/>
        <v>2562</v>
      </c>
      <c r="J510" s="100">
        <f t="shared" si="44"/>
        <v>1.0108901515151516</v>
      </c>
      <c r="K510" s="51">
        <f>VLOOKUP(B:B,'生產達成率(目標)'!A:C,3,0)</f>
        <v>1</v>
      </c>
      <c r="L510" s="20">
        <f t="shared" si="47"/>
        <v>1.0999999999999999E-2</v>
      </c>
      <c r="M510" s="235"/>
      <c r="N510" s="41"/>
      <c r="O510" s="150">
        <f t="shared" si="45"/>
        <v>2</v>
      </c>
      <c r="P510" s="41">
        <v>425</v>
      </c>
      <c r="Q510" s="27">
        <f t="shared" si="46"/>
        <v>0.99531615925058547</v>
      </c>
      <c r="R510" s="23"/>
      <c r="S510" s="173"/>
      <c r="T510" s="30"/>
      <c r="U510" s="23"/>
      <c r="V510" s="458"/>
      <c r="W510" s="421"/>
      <c r="X510" s="458"/>
      <c r="Y510" s="421"/>
      <c r="Z510" s="421"/>
      <c r="AA510" s="421"/>
      <c r="AB510" s="421"/>
      <c r="AC510" s="421"/>
      <c r="AD510" s="421"/>
    </row>
    <row r="511" spans="1:30" s="22" customFormat="1" x14ac:dyDescent="0.4">
      <c r="A511" s="177" t="s">
        <v>764</v>
      </c>
      <c r="B511" s="149" t="s">
        <v>32</v>
      </c>
      <c r="C511" s="30" t="str">
        <f>VLOOKUP(B511,'112年全品項生產鍋數'!A:H,2,0)</f>
        <v>草莓醬(1*6Kg)</v>
      </c>
      <c r="D511" s="285">
        <v>12</v>
      </c>
      <c r="E511" s="48">
        <f>VLOOKUP(B511,'112年全品項生產鍋數'!A:H,3,0)</f>
        <v>6</v>
      </c>
      <c r="F511" s="45">
        <f>VLOOKUP(B511,'112年全品項生產鍋數'!A:H,7,0)</f>
        <v>25.5</v>
      </c>
      <c r="G511" s="49">
        <f t="shared" si="42"/>
        <v>306</v>
      </c>
      <c r="H511" s="153">
        <v>307</v>
      </c>
      <c r="I511" s="46">
        <f t="shared" si="43"/>
        <v>1842</v>
      </c>
      <c r="J511" s="100">
        <f t="shared" si="44"/>
        <v>1.0032679738562091</v>
      </c>
      <c r="K511" s="51">
        <f>VLOOKUP(B:B,'生產達成率(目標)'!A:C,3,0)</f>
        <v>1</v>
      </c>
      <c r="L511" s="20">
        <f t="shared" si="47"/>
        <v>3.0000000000000001E-3</v>
      </c>
      <c r="M511" s="235"/>
      <c r="N511" s="41"/>
      <c r="O511" s="150">
        <f t="shared" si="45"/>
        <v>1</v>
      </c>
      <c r="P511" s="41">
        <v>306</v>
      </c>
      <c r="Q511" s="27">
        <f t="shared" si="46"/>
        <v>0.99674267100977199</v>
      </c>
      <c r="R511" s="23"/>
      <c r="S511" s="173"/>
      <c r="T511" s="30"/>
      <c r="U511" s="23"/>
      <c r="V511" s="458"/>
      <c r="W511" s="421"/>
      <c r="X511" s="458"/>
      <c r="Y511" s="421"/>
      <c r="Z511" s="421"/>
      <c r="AA511" s="421"/>
      <c r="AB511" s="421"/>
      <c r="AC511" s="421"/>
      <c r="AD511" s="421"/>
    </row>
    <row r="512" spans="1:30" s="22" customFormat="1" x14ac:dyDescent="0.4">
      <c r="A512" s="177" t="s">
        <v>764</v>
      </c>
      <c r="B512" s="149" t="s">
        <v>7</v>
      </c>
      <c r="C512" s="30" t="str">
        <f>VLOOKUP(B512,'112年全品項生產鍋數'!A:H,2,0)</f>
        <v>草莓蒟蒻餡(1*6kg)</v>
      </c>
      <c r="D512" s="285">
        <v>16</v>
      </c>
      <c r="E512" s="48">
        <f>VLOOKUP(B512,'112年全品項生產鍋數'!A:H,3,0)</f>
        <v>6</v>
      </c>
      <c r="F512" s="45">
        <f>VLOOKUP(B512,'112年全品項生產鍋數'!A:H,7,0)</f>
        <v>25.7</v>
      </c>
      <c r="G512" s="49">
        <f t="shared" si="42"/>
        <v>411.2</v>
      </c>
      <c r="H512" s="153">
        <v>415</v>
      </c>
      <c r="I512" s="46">
        <f t="shared" si="43"/>
        <v>2490</v>
      </c>
      <c r="J512" s="100">
        <f t="shared" si="44"/>
        <v>1.0092412451361867</v>
      </c>
      <c r="K512" s="51">
        <f>VLOOKUP(B:B,'生產達成率(目標)'!A:C,3,0)</f>
        <v>1</v>
      </c>
      <c r="L512" s="20">
        <f t="shared" si="47"/>
        <v>8.9999999999999993E-3</v>
      </c>
      <c r="M512" s="235"/>
      <c r="N512" s="41"/>
      <c r="O512" s="150">
        <f t="shared" si="45"/>
        <v>1</v>
      </c>
      <c r="P512" s="41">
        <v>414</v>
      </c>
      <c r="Q512" s="27">
        <f t="shared" si="46"/>
        <v>0.99759036144578317</v>
      </c>
      <c r="R512" s="23"/>
      <c r="S512" s="173"/>
      <c r="T512" s="30"/>
      <c r="U512" s="23"/>
      <c r="V512" s="458"/>
      <c r="W512" s="421"/>
      <c r="X512" s="458"/>
      <c r="Y512" s="421"/>
      <c r="Z512" s="421"/>
      <c r="AA512" s="421"/>
      <c r="AB512" s="421"/>
      <c r="AC512" s="421"/>
      <c r="AD512" s="421"/>
    </row>
    <row r="513" spans="1:30" s="22" customFormat="1" x14ac:dyDescent="0.4">
      <c r="A513" s="177" t="s">
        <v>764</v>
      </c>
      <c r="B513" s="149" t="s">
        <v>17</v>
      </c>
      <c r="C513" s="30" t="str">
        <f>VLOOKUP(B513,'112年全品項生產鍋數'!A:H,2,0)</f>
        <v>顆粒花生醬(全)</v>
      </c>
      <c r="D513" s="285">
        <v>36</v>
      </c>
      <c r="E513" s="48">
        <f>VLOOKUP(B513,'112年全品項生產鍋數'!A:H,3,0)</f>
        <v>0.34</v>
      </c>
      <c r="F513" s="45">
        <f>VLOOKUP(B513,'112年全品項生產鍋數'!A:H,7,0)</f>
        <v>364.6</v>
      </c>
      <c r="G513" s="49">
        <f t="shared" si="42"/>
        <v>13125.6</v>
      </c>
      <c r="H513" s="153">
        <v>12923</v>
      </c>
      <c r="I513" s="46">
        <f t="shared" si="43"/>
        <v>4393.8200000000006</v>
      </c>
      <c r="J513" s="100">
        <f t="shared" si="44"/>
        <v>0.98456451514597421</v>
      </c>
      <c r="K513" s="51">
        <f>VLOOKUP(B:B,'生產達成率(目標)'!A:C,3,0)</f>
        <v>1</v>
      </c>
      <c r="L513" s="20">
        <f t="shared" si="47"/>
        <v>-1.4999999999999999E-2</v>
      </c>
      <c r="M513" s="235"/>
      <c r="N513" s="41"/>
      <c r="O513" s="150">
        <f t="shared" si="45"/>
        <v>3</v>
      </c>
      <c r="P513" s="41">
        <v>12920</v>
      </c>
      <c r="Q513" s="27">
        <f t="shared" si="46"/>
        <v>0.99976785576104621</v>
      </c>
      <c r="R513" s="23"/>
      <c r="S513" s="173"/>
      <c r="T513" s="30"/>
      <c r="U513" s="23"/>
      <c r="V513" s="458"/>
      <c r="W513" s="421"/>
      <c r="X513" s="458"/>
      <c r="Y513" s="421"/>
      <c r="Z513" s="421"/>
      <c r="AA513" s="421"/>
      <c r="AB513" s="421"/>
      <c r="AC513" s="421"/>
      <c r="AD513" s="421"/>
    </row>
    <row r="514" spans="1:30" s="22" customFormat="1" x14ac:dyDescent="0.4">
      <c r="A514" s="177" t="s">
        <v>765</v>
      </c>
      <c r="B514" s="149" t="s">
        <v>36</v>
      </c>
      <c r="C514" s="30" t="str">
        <f>VLOOKUP(B514,'112年全品項生產鍋數'!A:H,2,0)</f>
        <v>開心草莓果醬(1*430g)</v>
      </c>
      <c r="D514" s="285">
        <v>15</v>
      </c>
      <c r="E514" s="48">
        <f>VLOOKUP(B514,'112年全品項生產鍋數'!A:H,3,0)</f>
        <v>0.43</v>
      </c>
      <c r="F514" s="45">
        <f>VLOOKUP(B514,'112年全品項生產鍋數'!A:H,7,0)</f>
        <v>364</v>
      </c>
      <c r="G514" s="49">
        <f t="shared" ref="G514:G577" si="48">D514*F514</f>
        <v>5460</v>
      </c>
      <c r="H514" s="153">
        <v>5524</v>
      </c>
      <c r="I514" s="46">
        <f t="shared" ref="I514:I577" si="49">H514*E514</f>
        <v>2375.3200000000002</v>
      </c>
      <c r="J514" s="100">
        <f t="shared" ref="J514:J577" si="50">IF(G514=0,"無法預估數據",H514/G514)</f>
        <v>1.0117216117216117</v>
      </c>
      <c r="K514" s="51">
        <f>VLOOKUP(B:B,'生產達成率(目標)'!A:C,3,0)</f>
        <v>1</v>
      </c>
      <c r="L514" s="20">
        <f t="shared" si="47"/>
        <v>1.2E-2</v>
      </c>
      <c r="M514" s="235"/>
      <c r="N514" s="41"/>
      <c r="O514" s="150">
        <f t="shared" ref="O514:O577" si="51">H514-N514-P514</f>
        <v>7</v>
      </c>
      <c r="P514" s="41">
        <v>5517</v>
      </c>
      <c r="Q514" s="27">
        <f t="shared" ref="Q514:Q577" si="52">P514/H514</f>
        <v>0.99873280231716144</v>
      </c>
      <c r="R514" s="23"/>
      <c r="S514" s="173"/>
      <c r="T514" s="30"/>
      <c r="U514" s="23"/>
      <c r="V514" s="458"/>
      <c r="W514" s="421"/>
      <c r="X514" s="458"/>
      <c r="Y514" s="421"/>
      <c r="Z514" s="421"/>
      <c r="AA514" s="421"/>
      <c r="AB514" s="421"/>
      <c r="AC514" s="421"/>
      <c r="AD514" s="421"/>
    </row>
    <row r="515" spans="1:30" s="22" customFormat="1" x14ac:dyDescent="0.4">
      <c r="A515" s="177" t="s">
        <v>765</v>
      </c>
      <c r="B515" s="149" t="s">
        <v>24</v>
      </c>
      <c r="C515" s="30" t="str">
        <f>VLOOKUP(B515,'112年全品項生產鍋數'!A:H,2,0)</f>
        <v>小藍莓1*260G</v>
      </c>
      <c r="D515" s="285">
        <v>16</v>
      </c>
      <c r="E515" s="48">
        <f>VLOOKUP(B515,'112年全品項生產鍋數'!A:H,3,0)</f>
        <v>0.26</v>
      </c>
      <c r="F515" s="45">
        <f>VLOOKUP(B515,'112年全品項生產鍋數'!A:H,7,0)</f>
        <v>584.29999999999995</v>
      </c>
      <c r="G515" s="49">
        <f t="shared" si="48"/>
        <v>9348.7999999999993</v>
      </c>
      <c r="H515" s="153">
        <v>9436</v>
      </c>
      <c r="I515" s="46">
        <f t="shared" si="49"/>
        <v>2453.36</v>
      </c>
      <c r="J515" s="100">
        <f t="shared" si="50"/>
        <v>1.009327400308061</v>
      </c>
      <c r="K515" s="51">
        <f>VLOOKUP(B:B,'生產達成率(目標)'!A:C,3,0)</f>
        <v>1</v>
      </c>
      <c r="L515" s="20">
        <f t="shared" ref="L515:L578" si="53">IF(G515=0,"無法預估數據",ROUND(J515-K515,3))</f>
        <v>8.9999999999999993E-3</v>
      </c>
      <c r="M515" s="235"/>
      <c r="N515" s="41"/>
      <c r="O515" s="150">
        <f t="shared" si="51"/>
        <v>13</v>
      </c>
      <c r="P515" s="41">
        <v>9423</v>
      </c>
      <c r="Q515" s="27">
        <f t="shared" si="52"/>
        <v>0.9986222975837219</v>
      </c>
      <c r="R515" s="23"/>
      <c r="S515" s="173"/>
      <c r="T515" s="30"/>
      <c r="U515" s="23"/>
      <c r="V515" s="458"/>
      <c r="W515" s="421"/>
      <c r="X515" s="458"/>
      <c r="Y515" s="421"/>
      <c r="Z515" s="421"/>
      <c r="AA515" s="421"/>
      <c r="AB515" s="421"/>
      <c r="AC515" s="421"/>
      <c r="AD515" s="421"/>
    </row>
    <row r="516" spans="1:30" s="22" customFormat="1" x14ac:dyDescent="0.4">
      <c r="A516" s="177" t="s">
        <v>765</v>
      </c>
      <c r="B516" s="149" t="s">
        <v>7</v>
      </c>
      <c r="C516" s="30" t="str">
        <f>VLOOKUP(B516,'112年全品項生產鍋數'!A:H,2,0)</f>
        <v>草莓蒟蒻餡(1*6kg)</v>
      </c>
      <c r="D516" s="285">
        <v>28</v>
      </c>
      <c r="E516" s="48">
        <f>VLOOKUP(B516,'112年全品項生產鍋數'!A:H,3,0)</f>
        <v>6</v>
      </c>
      <c r="F516" s="45">
        <f>VLOOKUP(B516,'112年全品項生產鍋數'!A:H,7,0)</f>
        <v>25.7</v>
      </c>
      <c r="G516" s="49">
        <f t="shared" si="48"/>
        <v>719.6</v>
      </c>
      <c r="H516" s="153">
        <v>733</v>
      </c>
      <c r="I516" s="46">
        <f t="shared" si="49"/>
        <v>4398</v>
      </c>
      <c r="J516" s="100">
        <f t="shared" si="50"/>
        <v>1.018621456364647</v>
      </c>
      <c r="K516" s="51">
        <f>VLOOKUP(B:B,'生產達成率(目標)'!A:C,3,0)</f>
        <v>1</v>
      </c>
      <c r="L516" s="20">
        <f t="shared" si="53"/>
        <v>1.9E-2</v>
      </c>
      <c r="M516" s="235"/>
      <c r="N516" s="41"/>
      <c r="O516" s="150">
        <f t="shared" si="51"/>
        <v>1</v>
      </c>
      <c r="P516" s="41">
        <v>732</v>
      </c>
      <c r="Q516" s="27">
        <f t="shared" si="52"/>
        <v>0.99863574351978168</v>
      </c>
      <c r="R516" s="23"/>
      <c r="S516" s="173"/>
      <c r="T516" s="30"/>
      <c r="U516" s="23"/>
      <c r="V516" s="458"/>
      <c r="W516" s="421"/>
      <c r="X516" s="458"/>
      <c r="Y516" s="421"/>
      <c r="Z516" s="421"/>
      <c r="AA516" s="421"/>
      <c r="AB516" s="421"/>
      <c r="AC516" s="421"/>
      <c r="AD516" s="421"/>
    </row>
    <row r="517" spans="1:30" s="22" customFormat="1" x14ac:dyDescent="0.4">
      <c r="A517" s="177" t="s">
        <v>765</v>
      </c>
      <c r="B517" s="149" t="s">
        <v>9</v>
      </c>
      <c r="C517" s="30" t="str">
        <f>VLOOKUP(B517,'112年全品項生產鍋數'!A:H,2,0)</f>
        <v>＃1花生(1*2.8kg)</v>
      </c>
      <c r="D517" s="285">
        <v>60</v>
      </c>
      <c r="E517" s="48">
        <f>VLOOKUP(B517,'112年全品項生產鍋數'!A:H,3,0)</f>
        <v>2.8</v>
      </c>
      <c r="F517" s="45">
        <f>VLOOKUP(B517,'112年全品項生產鍋數'!A:H,7,0)</f>
        <v>44.5</v>
      </c>
      <c r="G517" s="49">
        <f t="shared" si="48"/>
        <v>2670</v>
      </c>
      <c r="H517" s="153">
        <v>2667</v>
      </c>
      <c r="I517" s="46">
        <f t="shared" si="49"/>
        <v>7467.5999999999995</v>
      </c>
      <c r="J517" s="100">
        <f t="shared" si="50"/>
        <v>0.99887640449438198</v>
      </c>
      <c r="K517" s="51">
        <f>VLOOKUP(B:B,'生產達成率(目標)'!A:C,3,0)</f>
        <v>1</v>
      </c>
      <c r="L517" s="20">
        <f t="shared" si="53"/>
        <v>-1E-3</v>
      </c>
      <c r="M517" s="235"/>
      <c r="N517" s="41"/>
      <c r="O517" s="150">
        <f t="shared" si="51"/>
        <v>1</v>
      </c>
      <c r="P517" s="41">
        <v>2666</v>
      </c>
      <c r="Q517" s="27">
        <f t="shared" si="52"/>
        <v>0.99962504686914133</v>
      </c>
      <c r="R517" s="23"/>
      <c r="S517" s="173"/>
      <c r="T517" s="30"/>
      <c r="U517" s="23"/>
      <c r="V517" s="458"/>
      <c r="W517" s="421"/>
      <c r="X517" s="458"/>
      <c r="Y517" s="421"/>
      <c r="Z517" s="421"/>
      <c r="AA517" s="421"/>
      <c r="AB517" s="421"/>
      <c r="AC517" s="421"/>
      <c r="AD517" s="421"/>
    </row>
    <row r="518" spans="1:30" s="22" customFormat="1" x14ac:dyDescent="0.4">
      <c r="A518" s="177" t="s">
        <v>766</v>
      </c>
      <c r="B518" s="151" t="s">
        <v>2</v>
      </c>
      <c r="C518" s="30" t="str">
        <f>VLOOKUP(B518,'112年全品項生產鍋數'!A:H,2,0)</f>
        <v>草莓醬(1*6kg)</v>
      </c>
      <c r="D518" s="285">
        <v>30</v>
      </c>
      <c r="E518" s="48">
        <f>VLOOKUP(B518,'112年全品項生產鍋數'!A:H,3,0)</f>
        <v>6</v>
      </c>
      <c r="F518" s="45">
        <f>VLOOKUP(B518,'112年全品項生產鍋數'!A:H,7,0)</f>
        <v>26.6</v>
      </c>
      <c r="G518" s="49">
        <f t="shared" si="48"/>
        <v>798</v>
      </c>
      <c r="H518" s="153">
        <v>814</v>
      </c>
      <c r="I518" s="46">
        <f t="shared" si="49"/>
        <v>4884</v>
      </c>
      <c r="J518" s="100">
        <f t="shared" si="50"/>
        <v>1.0200501253132832</v>
      </c>
      <c r="K518" s="51">
        <f>VLOOKUP(B:B,'生產達成率(目標)'!A:C,3,0)</f>
        <v>1</v>
      </c>
      <c r="L518" s="20">
        <f t="shared" si="53"/>
        <v>0.02</v>
      </c>
      <c r="M518" s="235"/>
      <c r="N518" s="41"/>
      <c r="O518" s="150">
        <f t="shared" si="51"/>
        <v>1</v>
      </c>
      <c r="P518" s="41">
        <v>813</v>
      </c>
      <c r="Q518" s="27">
        <f t="shared" si="52"/>
        <v>0.99877149877149873</v>
      </c>
      <c r="R518" s="23"/>
      <c r="S518" s="173"/>
      <c r="T518" s="30"/>
      <c r="U518" s="23"/>
      <c r="V518" s="458"/>
      <c r="W518" s="421"/>
      <c r="X518" s="458"/>
      <c r="Y518" s="421"/>
      <c r="Z518" s="421"/>
      <c r="AA518" s="421"/>
      <c r="AB518" s="421"/>
      <c r="AC518" s="421"/>
      <c r="AD518" s="421"/>
    </row>
    <row r="519" spans="1:30" s="22" customFormat="1" x14ac:dyDescent="0.4">
      <c r="A519" s="177" t="s">
        <v>766</v>
      </c>
      <c r="B519" s="149" t="s">
        <v>40</v>
      </c>
      <c r="C519" s="30" t="str">
        <f>VLOOKUP(B519,'112年全品項生產鍋數'!A:H,2,0)</f>
        <v>蜂蜜蘋果醬(1*6KG)</v>
      </c>
      <c r="D519" s="285">
        <v>6</v>
      </c>
      <c r="E519" s="48">
        <f>VLOOKUP(B519,'112年全品項生產鍋數'!A:H,3,0)</f>
        <v>6</v>
      </c>
      <c r="F519" s="45">
        <f>VLOOKUP(B519,'112年全品項生產鍋數'!A:H,7,0)</f>
        <v>25.2</v>
      </c>
      <c r="G519" s="49">
        <f t="shared" si="48"/>
        <v>151.19999999999999</v>
      </c>
      <c r="H519" s="153">
        <v>144</v>
      </c>
      <c r="I519" s="46">
        <f t="shared" si="49"/>
        <v>864</v>
      </c>
      <c r="J519" s="100">
        <f t="shared" si="50"/>
        <v>0.95238095238095244</v>
      </c>
      <c r="K519" s="51">
        <f>VLOOKUP(B:B,'生產達成率(目標)'!A:C,3,0)</f>
        <v>1</v>
      </c>
      <c r="L519" s="20">
        <f t="shared" si="53"/>
        <v>-4.8000000000000001E-2</v>
      </c>
      <c r="M519" s="235"/>
      <c r="N519" s="41"/>
      <c r="O519" s="150">
        <f t="shared" si="51"/>
        <v>1</v>
      </c>
      <c r="P519" s="41">
        <v>143</v>
      </c>
      <c r="Q519" s="27">
        <f t="shared" si="52"/>
        <v>0.99305555555555558</v>
      </c>
      <c r="R519" s="23"/>
      <c r="S519" s="173"/>
      <c r="T519" s="44" t="s">
        <v>382</v>
      </c>
      <c r="U519" s="23"/>
      <c r="V519" s="458"/>
      <c r="W519" s="421"/>
      <c r="X519" s="458"/>
      <c r="Y519" s="421"/>
      <c r="Z519" s="421"/>
      <c r="AA519" s="421"/>
      <c r="AB519" s="421"/>
      <c r="AC519" s="421"/>
      <c r="AD519" s="421"/>
    </row>
    <row r="520" spans="1:30" s="22" customFormat="1" x14ac:dyDescent="0.4">
      <c r="A520" s="177" t="s">
        <v>766</v>
      </c>
      <c r="B520" s="149" t="s">
        <v>151</v>
      </c>
      <c r="C520" s="30" t="str">
        <f>VLOOKUP(B520,'112年全品項生產鍋數'!A:H,2,0)</f>
        <v>草莓餡(1*4.5Kg)</v>
      </c>
      <c r="D520" s="285">
        <v>6</v>
      </c>
      <c r="E520" s="48">
        <f>VLOOKUP(B520,'112年全品項生產鍋數'!A:H,3,0)</f>
        <v>4.5</v>
      </c>
      <c r="F520" s="45">
        <f>VLOOKUP(B520,'112年全品項生產鍋數'!A:H,7,0)</f>
        <v>35.6</v>
      </c>
      <c r="G520" s="49">
        <f t="shared" si="48"/>
        <v>213.60000000000002</v>
      </c>
      <c r="H520" s="153">
        <v>216</v>
      </c>
      <c r="I520" s="46">
        <f t="shared" si="49"/>
        <v>972</v>
      </c>
      <c r="J520" s="100">
        <f t="shared" si="50"/>
        <v>1.0112359550561796</v>
      </c>
      <c r="K520" s="51">
        <f>VLOOKUP(B:B,'生產達成率(目標)'!A:C,3,0)</f>
        <v>1</v>
      </c>
      <c r="L520" s="20">
        <f t="shared" si="53"/>
        <v>1.0999999999999999E-2</v>
      </c>
      <c r="M520" s="235"/>
      <c r="N520" s="41"/>
      <c r="O520" s="150">
        <f t="shared" si="51"/>
        <v>0</v>
      </c>
      <c r="P520" s="41">
        <v>216</v>
      </c>
      <c r="Q520" s="27">
        <f t="shared" si="52"/>
        <v>1</v>
      </c>
      <c r="R520" s="23"/>
      <c r="S520" s="173"/>
      <c r="T520" s="30"/>
      <c r="U520" s="23"/>
      <c r="V520" s="458"/>
      <c r="W520" s="421"/>
      <c r="X520" s="458"/>
      <c r="Y520" s="421"/>
      <c r="Z520" s="421"/>
      <c r="AA520" s="421"/>
      <c r="AB520" s="421"/>
      <c r="AC520" s="421"/>
      <c r="AD520" s="421"/>
    </row>
    <row r="521" spans="1:30" s="22" customFormat="1" x14ac:dyDescent="0.4">
      <c r="A521" s="177" t="s">
        <v>766</v>
      </c>
      <c r="B521" s="149" t="s">
        <v>31</v>
      </c>
      <c r="C521" s="30" t="str">
        <f>VLOOKUP(B521,'112年全品項生產鍋數'!A:H,2,0)</f>
        <v>天天開心芒果餡4.5KG</v>
      </c>
      <c r="D521" s="285">
        <v>24</v>
      </c>
      <c r="E521" s="48">
        <f>VLOOKUP(B521,'112年全品項生產鍋數'!A:H,3,0)</f>
        <v>4.5</v>
      </c>
      <c r="F521" s="45">
        <f>VLOOKUP(B521,'112年全品項生產鍋數'!A:H,7,0)</f>
        <v>33.200000000000003</v>
      </c>
      <c r="G521" s="49">
        <f t="shared" si="48"/>
        <v>796.80000000000007</v>
      </c>
      <c r="H521" s="153">
        <v>805</v>
      </c>
      <c r="I521" s="46">
        <f t="shared" si="49"/>
        <v>3622.5</v>
      </c>
      <c r="J521" s="100">
        <f t="shared" si="50"/>
        <v>1.0102911646586346</v>
      </c>
      <c r="K521" s="51">
        <f>VLOOKUP(B:B,'生產達成率(目標)'!A:C,3,0)</f>
        <v>1</v>
      </c>
      <c r="L521" s="20">
        <f t="shared" si="53"/>
        <v>0.01</v>
      </c>
      <c r="M521" s="235"/>
      <c r="N521" s="41"/>
      <c r="O521" s="150">
        <f t="shared" si="51"/>
        <v>0</v>
      </c>
      <c r="P521" s="41">
        <v>805</v>
      </c>
      <c r="Q521" s="27">
        <f t="shared" si="52"/>
        <v>1</v>
      </c>
      <c r="R521" s="23"/>
      <c r="S521" s="173"/>
      <c r="T521" s="30"/>
      <c r="U521" s="23"/>
      <c r="V521" s="458"/>
      <c r="W521" s="421"/>
      <c r="X521" s="458"/>
      <c r="Y521" s="421"/>
      <c r="Z521" s="421"/>
      <c r="AA521" s="421"/>
      <c r="AB521" s="421"/>
      <c r="AC521" s="421"/>
      <c r="AD521" s="421"/>
    </row>
    <row r="522" spans="1:30" s="22" customFormat="1" x14ac:dyDescent="0.4">
      <c r="A522" s="177" t="s">
        <v>766</v>
      </c>
      <c r="B522" s="149" t="s">
        <v>16</v>
      </c>
      <c r="C522" s="30" t="str">
        <f>VLOOKUP(B522,'112年全品項生產鍋數'!A:H,2,0)</f>
        <v>藍莓餡(1*6Kg)</v>
      </c>
      <c r="D522" s="285">
        <v>12</v>
      </c>
      <c r="E522" s="48">
        <f>VLOOKUP(B522,'112年全品項生產鍋數'!A:H,3,0)</f>
        <v>6</v>
      </c>
      <c r="F522" s="45">
        <f>VLOOKUP(B522,'112年全品項生產鍋數'!A:H,7,0)</f>
        <v>25.1</v>
      </c>
      <c r="G522" s="49">
        <f t="shared" si="48"/>
        <v>301.20000000000005</v>
      </c>
      <c r="H522" s="153">
        <v>305</v>
      </c>
      <c r="I522" s="46">
        <f t="shared" si="49"/>
        <v>1830</v>
      </c>
      <c r="J522" s="100">
        <f t="shared" si="50"/>
        <v>1.0126162018592295</v>
      </c>
      <c r="K522" s="51">
        <f>VLOOKUP(B:B,'生產達成率(目標)'!A:C,3,0)</f>
        <v>1</v>
      </c>
      <c r="L522" s="20">
        <f t="shared" si="53"/>
        <v>1.2999999999999999E-2</v>
      </c>
      <c r="M522" s="235"/>
      <c r="N522" s="41"/>
      <c r="O522" s="150">
        <f t="shared" si="51"/>
        <v>1</v>
      </c>
      <c r="P522" s="41">
        <v>304</v>
      </c>
      <c r="Q522" s="27">
        <f t="shared" si="52"/>
        <v>0.99672131147540988</v>
      </c>
      <c r="R522" s="23"/>
      <c r="S522" s="173"/>
      <c r="T522" s="30"/>
      <c r="U522" s="23"/>
      <c r="V522" s="458"/>
      <c r="W522" s="421"/>
      <c r="X522" s="458"/>
      <c r="Y522" s="421"/>
      <c r="Z522" s="421"/>
      <c r="AA522" s="421"/>
      <c r="AB522" s="421"/>
      <c r="AC522" s="421"/>
      <c r="AD522" s="421"/>
    </row>
    <row r="523" spans="1:30" s="22" customFormat="1" x14ac:dyDescent="0.4">
      <c r="A523" s="177" t="s">
        <v>766</v>
      </c>
      <c r="B523" s="149" t="s">
        <v>13</v>
      </c>
      <c r="C523" s="30" t="str">
        <f>VLOOKUP(B523,'112年全品項生產鍋數'!A:H,2,0)</f>
        <v>顆粒花生醬(1*12KG)</v>
      </c>
      <c r="D523" s="285">
        <v>18</v>
      </c>
      <c r="E523" s="48">
        <f>VLOOKUP(B523,'112年全品項生產鍋數'!A:H,3,0)</f>
        <v>3</v>
      </c>
      <c r="F523" s="45">
        <f>VLOOKUP(B523,'112年全品項生產鍋數'!A:H,7,0)</f>
        <v>29.7</v>
      </c>
      <c r="G523" s="49">
        <f t="shared" si="48"/>
        <v>534.6</v>
      </c>
      <c r="H523" s="153">
        <v>540</v>
      </c>
      <c r="I523" s="46">
        <f t="shared" si="49"/>
        <v>1620</v>
      </c>
      <c r="J523" s="100">
        <f t="shared" si="50"/>
        <v>1.0101010101010102</v>
      </c>
      <c r="K523" s="51">
        <f>VLOOKUP(B:B,'生產達成率(目標)'!A:C,3,0)</f>
        <v>1</v>
      </c>
      <c r="L523" s="20">
        <f t="shared" si="53"/>
        <v>0.01</v>
      </c>
      <c r="M523" s="235"/>
      <c r="N523" s="41"/>
      <c r="O523" s="150">
        <f t="shared" si="51"/>
        <v>0</v>
      </c>
      <c r="P523" s="41">
        <v>540</v>
      </c>
      <c r="Q523" s="27">
        <f t="shared" si="52"/>
        <v>1</v>
      </c>
      <c r="R523" s="23"/>
      <c r="S523" s="173"/>
      <c r="T523" s="30"/>
      <c r="U523" s="23"/>
      <c r="V523" s="458"/>
      <c r="W523" s="421"/>
      <c r="X523" s="458"/>
      <c r="Y523" s="421"/>
      <c r="Z523" s="421"/>
      <c r="AA523" s="421"/>
      <c r="AB523" s="421"/>
      <c r="AC523" s="421"/>
      <c r="AD523" s="421"/>
    </row>
    <row r="524" spans="1:30" s="22" customFormat="1" x14ac:dyDescent="0.4">
      <c r="A524" s="177" t="s">
        <v>767</v>
      </c>
      <c r="B524" s="149" t="s">
        <v>15</v>
      </c>
      <c r="C524" s="30" t="str">
        <f>VLOOKUP(B524,'112年全品項生產鍋數'!A:H,2,0)</f>
        <v>＃1桔子(1*3.2kg)</v>
      </c>
      <c r="D524" s="285">
        <v>32</v>
      </c>
      <c r="E524" s="48">
        <f>VLOOKUP(B524,'112年全品項生產鍋數'!A:H,3,0)</f>
        <v>3.2</v>
      </c>
      <c r="F524" s="45">
        <f>VLOOKUP(B524,'112年全品項生產鍋數'!A:H,7,0)</f>
        <v>46.4</v>
      </c>
      <c r="G524" s="49">
        <f t="shared" si="48"/>
        <v>1484.8</v>
      </c>
      <c r="H524" s="153">
        <v>1501</v>
      </c>
      <c r="I524" s="46">
        <f t="shared" si="49"/>
        <v>4803.2</v>
      </c>
      <c r="J524" s="100">
        <f t="shared" si="50"/>
        <v>1.0109105603448276</v>
      </c>
      <c r="K524" s="51">
        <f>VLOOKUP(B:B,'生產達成率(目標)'!A:C,3,0)</f>
        <v>1</v>
      </c>
      <c r="L524" s="20">
        <f t="shared" si="53"/>
        <v>1.0999999999999999E-2</v>
      </c>
      <c r="M524" s="235"/>
      <c r="N524" s="41"/>
      <c r="O524" s="150">
        <f t="shared" si="51"/>
        <v>1</v>
      </c>
      <c r="P524" s="41">
        <v>1500</v>
      </c>
      <c r="Q524" s="27">
        <f t="shared" si="52"/>
        <v>0.99933377748167884</v>
      </c>
      <c r="R524" s="23"/>
      <c r="S524" s="173"/>
      <c r="T524" s="30"/>
      <c r="U524" s="23"/>
      <c r="V524" s="458"/>
      <c r="W524" s="421"/>
      <c r="X524" s="458"/>
      <c r="Y524" s="421"/>
      <c r="Z524" s="421"/>
      <c r="AA524" s="421"/>
      <c r="AB524" s="421"/>
      <c r="AC524" s="421"/>
      <c r="AD524" s="421"/>
    </row>
    <row r="525" spans="1:30" s="22" customFormat="1" x14ac:dyDescent="0.4">
      <c r="A525" s="177" t="s">
        <v>767</v>
      </c>
      <c r="B525" s="149" t="s">
        <v>12</v>
      </c>
      <c r="C525" s="30" t="str">
        <f>VLOOKUP(B525,'112年全品項生產鍋數'!A:H,2,0)</f>
        <v>＃1草莓(1*3.2kg)</v>
      </c>
      <c r="D525" s="285">
        <v>32</v>
      </c>
      <c r="E525" s="48">
        <f>VLOOKUP(B525,'112年全品項生產鍋數'!A:H,3,0)</f>
        <v>3.2</v>
      </c>
      <c r="F525" s="45">
        <f>VLOOKUP(B525,'112年全品項生產鍋數'!A:H,7,0)</f>
        <v>46.8</v>
      </c>
      <c r="G525" s="49">
        <f t="shared" si="48"/>
        <v>1497.6</v>
      </c>
      <c r="H525" s="153">
        <v>1506</v>
      </c>
      <c r="I525" s="46">
        <f t="shared" si="49"/>
        <v>4819.2</v>
      </c>
      <c r="J525" s="100">
        <f t="shared" si="50"/>
        <v>1.0056089743589745</v>
      </c>
      <c r="K525" s="51">
        <f>VLOOKUP(B:B,'生產達成率(目標)'!A:C,3,0)</f>
        <v>1</v>
      </c>
      <c r="L525" s="20">
        <f t="shared" si="53"/>
        <v>6.0000000000000001E-3</v>
      </c>
      <c r="M525" s="235"/>
      <c r="N525" s="41"/>
      <c r="O525" s="150">
        <f t="shared" si="51"/>
        <v>1</v>
      </c>
      <c r="P525" s="41">
        <v>1505</v>
      </c>
      <c r="Q525" s="27">
        <f t="shared" si="52"/>
        <v>0.99933598937583001</v>
      </c>
      <c r="R525" s="23"/>
      <c r="S525" s="173"/>
      <c r="T525" s="30"/>
      <c r="U525" s="23"/>
      <c r="V525" s="458"/>
      <c r="W525" s="421"/>
      <c r="X525" s="458"/>
      <c r="Y525" s="421"/>
      <c r="Z525" s="421"/>
      <c r="AA525" s="421"/>
      <c r="AB525" s="421"/>
      <c r="AC525" s="421"/>
      <c r="AD525" s="421"/>
    </row>
    <row r="526" spans="1:30" s="22" customFormat="1" x14ac:dyDescent="0.4">
      <c r="A526" s="177" t="s">
        <v>767</v>
      </c>
      <c r="B526" s="149" t="s">
        <v>13</v>
      </c>
      <c r="C526" s="30" t="str">
        <f>VLOOKUP(B526,'112年全品項生產鍋數'!A:H,2,0)</f>
        <v>顆粒花生醬(1*12KG)</v>
      </c>
      <c r="D526" s="285">
        <v>18</v>
      </c>
      <c r="E526" s="48">
        <f>VLOOKUP(B526,'112年全品項生產鍋數'!A:H,3,0)</f>
        <v>3</v>
      </c>
      <c r="F526" s="45">
        <f>VLOOKUP(B526,'112年全品項生產鍋數'!A:H,7,0)</f>
        <v>29.7</v>
      </c>
      <c r="G526" s="49">
        <f t="shared" si="48"/>
        <v>534.6</v>
      </c>
      <c r="H526" s="153">
        <v>534</v>
      </c>
      <c r="I526" s="46">
        <f t="shared" si="49"/>
        <v>1602</v>
      </c>
      <c r="J526" s="100">
        <f t="shared" si="50"/>
        <v>0.99887766554433222</v>
      </c>
      <c r="K526" s="51">
        <f>VLOOKUP(B:B,'生產達成率(目標)'!A:C,3,0)</f>
        <v>1</v>
      </c>
      <c r="L526" s="20">
        <f t="shared" si="53"/>
        <v>-1E-3</v>
      </c>
      <c r="M526" s="235"/>
      <c r="N526" s="41"/>
      <c r="O526" s="150">
        <f t="shared" si="51"/>
        <v>0</v>
      </c>
      <c r="P526" s="41">
        <v>534</v>
      </c>
      <c r="Q526" s="27">
        <f t="shared" si="52"/>
        <v>1</v>
      </c>
      <c r="R526" s="23"/>
      <c r="S526" s="173"/>
      <c r="T526" s="30"/>
      <c r="U526" s="23"/>
      <c r="V526" s="458"/>
      <c r="W526" s="421"/>
      <c r="X526" s="458"/>
      <c r="Y526" s="421"/>
      <c r="Z526" s="421"/>
      <c r="AA526" s="421"/>
      <c r="AB526" s="421"/>
      <c r="AC526" s="421"/>
      <c r="AD526" s="421"/>
    </row>
    <row r="527" spans="1:30" s="22" customFormat="1" x14ac:dyDescent="0.4">
      <c r="A527" s="177" t="s">
        <v>768</v>
      </c>
      <c r="B527" s="149" t="s">
        <v>19</v>
      </c>
      <c r="C527" s="30" t="str">
        <f>VLOOKUP(B527,'112年全品項生產鍋數'!A:H,2,0)</f>
        <v>＃2藍莓(1*900g)</v>
      </c>
      <c r="D527" s="285">
        <v>16</v>
      </c>
      <c r="E527" s="48">
        <f>VLOOKUP(B527,'112年全品項生產鍋數'!A:H,3,0)</f>
        <v>0.9</v>
      </c>
      <c r="F527" s="45">
        <f>VLOOKUP(B527,'112年全品項生產鍋數'!A:H,7,0)</f>
        <v>163</v>
      </c>
      <c r="G527" s="49">
        <f t="shared" si="48"/>
        <v>2608</v>
      </c>
      <c r="H527" s="153">
        <v>2613</v>
      </c>
      <c r="I527" s="46">
        <f t="shared" si="49"/>
        <v>2351.7000000000003</v>
      </c>
      <c r="J527" s="100">
        <f t="shared" si="50"/>
        <v>1.0019171779141105</v>
      </c>
      <c r="K527" s="51">
        <f>VLOOKUP(B:B,'生產達成率(目標)'!A:C,3,0)</f>
        <v>1</v>
      </c>
      <c r="L527" s="20">
        <f t="shared" si="53"/>
        <v>2E-3</v>
      </c>
      <c r="M527" s="235"/>
      <c r="N527" s="41"/>
      <c r="O527" s="150">
        <f t="shared" si="51"/>
        <v>11</v>
      </c>
      <c r="P527" s="41">
        <v>2602</v>
      </c>
      <c r="Q527" s="27">
        <f t="shared" si="52"/>
        <v>0.99579027937236897</v>
      </c>
      <c r="R527" s="23"/>
      <c r="S527" s="173"/>
      <c r="T527" s="30"/>
      <c r="U527" s="23"/>
      <c r="V527" s="458"/>
      <c r="W527" s="421"/>
      <c r="X527" s="458"/>
      <c r="Y527" s="421"/>
      <c r="Z527" s="421"/>
      <c r="AA527" s="421"/>
      <c r="AB527" s="421"/>
      <c r="AC527" s="421"/>
      <c r="AD527" s="421"/>
    </row>
    <row r="528" spans="1:30" s="22" customFormat="1" x14ac:dyDescent="0.4">
      <c r="A528" s="177" t="s">
        <v>768</v>
      </c>
      <c r="B528" s="149" t="s">
        <v>87</v>
      </c>
      <c r="C528" s="30" t="str">
        <f>VLOOKUP(B528,'112年全品項生產鍋數'!A:H,2,0)</f>
        <v>＃1藍莓(1*3.2kg)</v>
      </c>
      <c r="D528" s="285">
        <v>36</v>
      </c>
      <c r="E528" s="48">
        <f>VLOOKUP(B528,'112年全品項生產鍋數'!A:H,3,0)</f>
        <v>3.2</v>
      </c>
      <c r="F528" s="45">
        <f>VLOOKUP(B528,'112年全品項生產鍋數'!A:H,7,0)</f>
        <v>47.5</v>
      </c>
      <c r="G528" s="49">
        <f t="shared" si="48"/>
        <v>1710</v>
      </c>
      <c r="H528" s="153">
        <v>1755</v>
      </c>
      <c r="I528" s="46">
        <f t="shared" si="49"/>
        <v>5616</v>
      </c>
      <c r="J528" s="100">
        <f t="shared" si="50"/>
        <v>1.0263157894736843</v>
      </c>
      <c r="K528" s="51">
        <f>VLOOKUP(B:B,'生產達成率(目標)'!A:C,3,0)</f>
        <v>1</v>
      </c>
      <c r="L528" s="20">
        <f t="shared" si="53"/>
        <v>2.5999999999999999E-2</v>
      </c>
      <c r="M528" s="235"/>
      <c r="N528" s="41"/>
      <c r="O528" s="150">
        <f t="shared" si="51"/>
        <v>2</v>
      </c>
      <c r="P528" s="41">
        <v>1753</v>
      </c>
      <c r="Q528" s="27">
        <f t="shared" si="52"/>
        <v>0.9988603988603989</v>
      </c>
      <c r="R528" s="23"/>
      <c r="S528" s="173"/>
      <c r="T528" s="30"/>
      <c r="U528" s="23"/>
      <c r="V528" s="458"/>
      <c r="W528" s="421"/>
      <c r="X528" s="458"/>
      <c r="Y528" s="421"/>
      <c r="Z528" s="421"/>
      <c r="AA528" s="421"/>
      <c r="AB528" s="421"/>
      <c r="AC528" s="421"/>
      <c r="AD528" s="421"/>
    </row>
    <row r="529" spans="1:30" s="22" customFormat="1" x14ac:dyDescent="0.4">
      <c r="A529" s="177" t="s">
        <v>768</v>
      </c>
      <c r="B529" s="149" t="s">
        <v>72</v>
      </c>
      <c r="C529" s="30" t="str">
        <f>VLOOKUP(B529,'112年全品項生產鍋數'!A:H,2,0)</f>
        <v>草莓餡45%(1*6Kg)</v>
      </c>
      <c r="D529" s="285">
        <v>20</v>
      </c>
      <c r="E529" s="48">
        <f>VLOOKUP(B529,'112年全品項生產鍋數'!A:H,3,0)</f>
        <v>6</v>
      </c>
      <c r="F529" s="45">
        <f>VLOOKUP(B529,'112年全品項生產鍋數'!A:H,7,0)</f>
        <v>26.1</v>
      </c>
      <c r="G529" s="49">
        <f t="shared" si="48"/>
        <v>522</v>
      </c>
      <c r="H529" s="153">
        <v>528</v>
      </c>
      <c r="I529" s="46">
        <f t="shared" si="49"/>
        <v>3168</v>
      </c>
      <c r="J529" s="100">
        <f t="shared" si="50"/>
        <v>1.0114942528735633</v>
      </c>
      <c r="K529" s="51">
        <f>VLOOKUP(B:B,'生產達成率(目標)'!A:C,3,0)</f>
        <v>1</v>
      </c>
      <c r="L529" s="20">
        <f t="shared" si="53"/>
        <v>1.0999999999999999E-2</v>
      </c>
      <c r="M529" s="235"/>
      <c r="N529" s="41"/>
      <c r="O529" s="150">
        <f t="shared" si="51"/>
        <v>1</v>
      </c>
      <c r="P529" s="41">
        <v>527</v>
      </c>
      <c r="Q529" s="27">
        <f t="shared" si="52"/>
        <v>0.99810606060606055</v>
      </c>
      <c r="R529" s="28"/>
      <c r="S529" s="173"/>
      <c r="T529" s="30"/>
      <c r="U529" s="23"/>
      <c r="V529" s="458"/>
      <c r="W529" s="421"/>
      <c r="X529" s="458"/>
      <c r="Y529" s="421"/>
      <c r="Z529" s="421"/>
      <c r="AA529" s="421"/>
      <c r="AB529" s="421"/>
      <c r="AC529" s="421"/>
      <c r="AD529" s="421"/>
    </row>
    <row r="530" spans="1:30" s="22" customFormat="1" x14ac:dyDescent="0.4">
      <c r="A530" s="177" t="s">
        <v>768</v>
      </c>
      <c r="B530" s="149" t="s">
        <v>7</v>
      </c>
      <c r="C530" s="30" t="str">
        <f>VLOOKUP(B530,'112年全品項生產鍋數'!A:H,2,0)</f>
        <v>草莓蒟蒻餡(1*6kg)</v>
      </c>
      <c r="D530" s="285">
        <v>20</v>
      </c>
      <c r="E530" s="48">
        <f>VLOOKUP(B530,'112年全品項生產鍋數'!A:H,3,0)</f>
        <v>6</v>
      </c>
      <c r="F530" s="45">
        <f>VLOOKUP(B530,'112年全品項生產鍋數'!A:H,7,0)</f>
        <v>25.7</v>
      </c>
      <c r="G530" s="49">
        <f t="shared" si="48"/>
        <v>514</v>
      </c>
      <c r="H530" s="153">
        <v>518</v>
      </c>
      <c r="I530" s="46">
        <f t="shared" si="49"/>
        <v>3108</v>
      </c>
      <c r="J530" s="100">
        <f t="shared" si="50"/>
        <v>1.0077821011673151</v>
      </c>
      <c r="K530" s="51">
        <f>VLOOKUP(B:B,'生產達成率(目標)'!A:C,3,0)</f>
        <v>1</v>
      </c>
      <c r="L530" s="20">
        <f t="shared" si="53"/>
        <v>8.0000000000000002E-3</v>
      </c>
      <c r="M530" s="235"/>
      <c r="N530" s="41"/>
      <c r="O530" s="150">
        <f t="shared" si="51"/>
        <v>1</v>
      </c>
      <c r="P530" s="41">
        <v>517</v>
      </c>
      <c r="Q530" s="27">
        <f t="shared" si="52"/>
        <v>0.99806949806949807</v>
      </c>
      <c r="R530" s="23"/>
      <c r="S530" s="173"/>
      <c r="T530" s="30"/>
      <c r="U530" s="23"/>
      <c r="V530" s="458"/>
      <c r="W530" s="421"/>
      <c r="X530" s="458"/>
      <c r="Y530" s="421"/>
      <c r="Z530" s="421"/>
      <c r="AA530" s="421"/>
      <c r="AB530" s="421"/>
      <c r="AC530" s="421"/>
      <c r="AD530" s="421"/>
    </row>
    <row r="531" spans="1:30" s="22" customFormat="1" x14ac:dyDescent="0.4">
      <c r="A531" s="177" t="s">
        <v>769</v>
      </c>
      <c r="B531" s="149" t="s">
        <v>12</v>
      </c>
      <c r="C531" s="30" t="str">
        <f>VLOOKUP(B531,'112年全品項生產鍋數'!A:H,2,0)</f>
        <v>＃1草莓(1*3.2kg)</v>
      </c>
      <c r="D531" s="285">
        <v>60</v>
      </c>
      <c r="E531" s="48">
        <f>VLOOKUP(B531,'112年全品項生產鍋數'!A:H,3,0)</f>
        <v>3.2</v>
      </c>
      <c r="F531" s="45">
        <f>VLOOKUP(B531,'112年全品項生產鍋數'!A:H,7,0)</f>
        <v>46.8</v>
      </c>
      <c r="G531" s="49">
        <f t="shared" si="48"/>
        <v>2808</v>
      </c>
      <c r="H531" s="153">
        <v>2839</v>
      </c>
      <c r="I531" s="46">
        <f t="shared" si="49"/>
        <v>9084.8000000000011</v>
      </c>
      <c r="J531" s="100">
        <f t="shared" si="50"/>
        <v>1.0110398860398861</v>
      </c>
      <c r="K531" s="51">
        <f>VLOOKUP(B:B,'生產達成率(目標)'!A:C,3,0)</f>
        <v>1</v>
      </c>
      <c r="L531" s="20">
        <f t="shared" si="53"/>
        <v>1.0999999999999999E-2</v>
      </c>
      <c r="M531" s="235"/>
      <c r="N531" s="41"/>
      <c r="O531" s="150">
        <f t="shared" si="51"/>
        <v>2</v>
      </c>
      <c r="P531" s="41">
        <v>2837</v>
      </c>
      <c r="Q531" s="27">
        <f t="shared" si="52"/>
        <v>0.99929552659387111</v>
      </c>
      <c r="R531" s="23"/>
      <c r="S531" s="173"/>
      <c r="T531" s="30"/>
      <c r="U531" s="23"/>
      <c r="V531" s="458"/>
      <c r="W531" s="421"/>
      <c r="X531" s="458"/>
      <c r="Y531" s="421"/>
      <c r="Z531" s="421"/>
      <c r="AA531" s="421"/>
      <c r="AB531" s="421"/>
      <c r="AC531" s="421"/>
      <c r="AD531" s="421"/>
    </row>
    <row r="532" spans="1:30" s="22" customFormat="1" x14ac:dyDescent="0.4">
      <c r="A532" s="177" t="s">
        <v>769</v>
      </c>
      <c r="B532" s="149" t="s">
        <v>8</v>
      </c>
      <c r="C532" s="30" t="str">
        <f>VLOOKUP(B532,'112年全品項生產鍋數'!A:H,2,0)</f>
        <v>藍莓餡(1*6KG)</v>
      </c>
      <c r="D532" s="285">
        <v>28</v>
      </c>
      <c r="E532" s="48">
        <f>VLOOKUP(B532,'112年全品項生產鍋數'!A:H,3,0)</f>
        <v>6</v>
      </c>
      <c r="F532" s="45">
        <f>VLOOKUP(B532,'112年全品項生產鍋數'!A:H,7,0)</f>
        <v>25.4</v>
      </c>
      <c r="G532" s="49">
        <f t="shared" si="48"/>
        <v>711.19999999999993</v>
      </c>
      <c r="H532" s="153">
        <v>723</v>
      </c>
      <c r="I532" s="46">
        <f t="shared" si="49"/>
        <v>4338</v>
      </c>
      <c r="J532" s="100">
        <f t="shared" si="50"/>
        <v>1.0165916760404949</v>
      </c>
      <c r="K532" s="51">
        <f>VLOOKUP(B:B,'生產達成率(目標)'!A:C,3,0)</f>
        <v>1</v>
      </c>
      <c r="L532" s="20">
        <f t="shared" si="53"/>
        <v>1.7000000000000001E-2</v>
      </c>
      <c r="M532" s="235"/>
      <c r="N532" s="41"/>
      <c r="O532" s="150">
        <f t="shared" si="51"/>
        <v>1</v>
      </c>
      <c r="P532" s="41">
        <v>722</v>
      </c>
      <c r="Q532" s="27">
        <f t="shared" si="52"/>
        <v>0.99861687413554634</v>
      </c>
      <c r="R532" s="23"/>
      <c r="S532" s="173"/>
      <c r="T532" s="30"/>
      <c r="U532" s="23"/>
      <c r="V532" s="458"/>
      <c r="W532" s="421"/>
      <c r="X532" s="458"/>
      <c r="Y532" s="421"/>
      <c r="Z532" s="421"/>
      <c r="AA532" s="421"/>
      <c r="AB532" s="421"/>
      <c r="AC532" s="421"/>
      <c r="AD532" s="421"/>
    </row>
    <row r="533" spans="1:30" s="22" customFormat="1" x14ac:dyDescent="0.4">
      <c r="A533" s="177" t="s">
        <v>769</v>
      </c>
      <c r="B533" s="149" t="s">
        <v>139</v>
      </c>
      <c r="C533" s="30" t="str">
        <f>VLOOKUP(B533,'112年全品項生產鍋數'!A:H,2,0)</f>
        <v>草莓餡42°(1*6KG)</v>
      </c>
      <c r="D533" s="285">
        <v>16</v>
      </c>
      <c r="E533" s="48">
        <f>VLOOKUP(B533,'112年全品項生產鍋數'!A:H,3,0)</f>
        <v>6</v>
      </c>
      <c r="F533" s="45">
        <f>VLOOKUP(B533,'112年全品項生產鍋數'!A:H,7,0)</f>
        <v>25.2</v>
      </c>
      <c r="G533" s="49">
        <f t="shared" si="48"/>
        <v>403.2</v>
      </c>
      <c r="H533" s="153">
        <v>409</v>
      </c>
      <c r="I533" s="46">
        <f t="shared" si="49"/>
        <v>2454</v>
      </c>
      <c r="J533" s="100">
        <f t="shared" si="50"/>
        <v>1.0143849206349207</v>
      </c>
      <c r="K533" s="51">
        <f>VLOOKUP(B:B,'生產達成率(目標)'!A:C,3,0)</f>
        <v>1</v>
      </c>
      <c r="L533" s="20">
        <f t="shared" si="53"/>
        <v>1.4E-2</v>
      </c>
      <c r="M533" s="235"/>
      <c r="N533" s="41"/>
      <c r="O533" s="150">
        <f t="shared" si="51"/>
        <v>0</v>
      </c>
      <c r="P533" s="41">
        <v>409</v>
      </c>
      <c r="Q533" s="27">
        <f t="shared" si="52"/>
        <v>1</v>
      </c>
      <c r="R533" s="23"/>
      <c r="S533" s="173"/>
      <c r="T533" s="30"/>
      <c r="U533" s="23"/>
      <c r="V533" s="458"/>
      <c r="W533" s="421"/>
      <c r="X533" s="458"/>
      <c r="Y533" s="421"/>
      <c r="Z533" s="421"/>
      <c r="AA533" s="421"/>
      <c r="AB533" s="421"/>
      <c r="AC533" s="421"/>
      <c r="AD533" s="421"/>
    </row>
    <row r="534" spans="1:30" s="22" customFormat="1" x14ac:dyDescent="0.4">
      <c r="A534" s="177" t="s">
        <v>769</v>
      </c>
      <c r="B534" s="149" t="s">
        <v>142</v>
      </c>
      <c r="C534" s="30" t="str">
        <f>VLOOKUP(B534,'112年全品項生產鍋數'!A:H,2,0)</f>
        <v>顆粒花生醬(1*12KG)</v>
      </c>
      <c r="D534" s="285">
        <v>18</v>
      </c>
      <c r="E534" s="48">
        <f>VLOOKUP(B534,'112年全品項生產鍋數'!A:H,3,0)</f>
        <v>3</v>
      </c>
      <c r="F534" s="45">
        <f>VLOOKUP(B534,'112年全品項生產鍋數'!A:H,7,0)</f>
        <v>31.6</v>
      </c>
      <c r="G534" s="49">
        <f t="shared" si="48"/>
        <v>568.80000000000007</v>
      </c>
      <c r="H534" s="153">
        <v>572</v>
      </c>
      <c r="I534" s="46">
        <f t="shared" si="49"/>
        <v>1716</v>
      </c>
      <c r="J534" s="100">
        <f t="shared" si="50"/>
        <v>1.0056258790436003</v>
      </c>
      <c r="K534" s="51">
        <f>VLOOKUP(B:B,'生產達成率(目標)'!A:C,3,0)</f>
        <v>1</v>
      </c>
      <c r="L534" s="20">
        <f t="shared" si="53"/>
        <v>6.0000000000000001E-3</v>
      </c>
      <c r="M534" s="235"/>
      <c r="N534" s="41"/>
      <c r="O534" s="150">
        <f t="shared" si="51"/>
        <v>0</v>
      </c>
      <c r="P534" s="41">
        <v>572</v>
      </c>
      <c r="Q534" s="27">
        <f t="shared" si="52"/>
        <v>1</v>
      </c>
      <c r="R534" s="23"/>
      <c r="S534" s="173"/>
      <c r="T534" s="30"/>
      <c r="U534" s="23"/>
      <c r="V534" s="458"/>
      <c r="W534" s="421"/>
      <c r="X534" s="458"/>
      <c r="Y534" s="421"/>
      <c r="Z534" s="421"/>
      <c r="AA534" s="421"/>
      <c r="AB534" s="421"/>
      <c r="AC534" s="421"/>
      <c r="AD534" s="421"/>
    </row>
    <row r="535" spans="1:30" s="22" customFormat="1" x14ac:dyDescent="0.4">
      <c r="A535" s="177" t="s">
        <v>770</v>
      </c>
      <c r="B535" s="149" t="s">
        <v>363</v>
      </c>
      <c r="C535" s="30" t="str">
        <f>VLOOKUP(B535,'112年全品項生產鍋數'!A:H,2,0)</f>
        <v>水蜜桃醬(1*6kg)</v>
      </c>
      <c r="D535" s="285">
        <v>6</v>
      </c>
      <c r="E535" s="48">
        <f>VLOOKUP(B535,'112年全品項生產鍋數'!A:H,3,0)</f>
        <v>6</v>
      </c>
      <c r="F535" s="45">
        <f>VLOOKUP(B535,'112年全品項生產鍋數'!A:H,7,0)</f>
        <v>24.5</v>
      </c>
      <c r="G535" s="49">
        <f t="shared" si="48"/>
        <v>147</v>
      </c>
      <c r="H535" s="153">
        <v>141</v>
      </c>
      <c r="I535" s="46">
        <f t="shared" si="49"/>
        <v>846</v>
      </c>
      <c r="J535" s="100">
        <f t="shared" si="50"/>
        <v>0.95918367346938771</v>
      </c>
      <c r="K535" s="51">
        <f>VLOOKUP(B:B,'生產達成率(目標)'!A:C,3,0)</f>
        <v>1</v>
      </c>
      <c r="L535" s="20">
        <f t="shared" si="53"/>
        <v>-4.1000000000000002E-2</v>
      </c>
      <c r="M535" s="235"/>
      <c r="N535" s="41"/>
      <c r="O535" s="150">
        <f t="shared" si="51"/>
        <v>1</v>
      </c>
      <c r="P535" s="41">
        <v>140</v>
      </c>
      <c r="Q535" s="27">
        <f t="shared" si="52"/>
        <v>0.99290780141843971</v>
      </c>
      <c r="R535" s="23"/>
      <c r="S535" s="173"/>
      <c r="T535" s="30" t="s">
        <v>383</v>
      </c>
      <c r="U535" s="23"/>
      <c r="V535" s="458"/>
      <c r="W535" s="421"/>
      <c r="X535" s="458"/>
      <c r="Y535" s="421"/>
      <c r="Z535" s="421"/>
      <c r="AA535" s="421"/>
      <c r="AB535" s="421"/>
      <c r="AC535" s="421"/>
      <c r="AD535" s="421"/>
    </row>
    <row r="536" spans="1:30" s="22" customFormat="1" x14ac:dyDescent="0.4">
      <c r="A536" s="177" t="s">
        <v>770</v>
      </c>
      <c r="B536" s="149" t="s">
        <v>26</v>
      </c>
      <c r="C536" s="30" t="str">
        <f>VLOOKUP(B536,'112年全品項生產鍋數'!A:H,2,0)</f>
        <v>蔓越莓醬(1*6KG)</v>
      </c>
      <c r="D536" s="285">
        <v>12</v>
      </c>
      <c r="E536" s="48">
        <f>VLOOKUP(B536,'112年全品項生產鍋數'!A:H,3,0)</f>
        <v>6</v>
      </c>
      <c r="F536" s="45">
        <f>VLOOKUP(B536,'112年全品項生產鍋數'!A:H,7,0)</f>
        <v>25.6</v>
      </c>
      <c r="G536" s="49">
        <f t="shared" si="48"/>
        <v>307.20000000000005</v>
      </c>
      <c r="H536" s="153">
        <v>357</v>
      </c>
      <c r="I536" s="46">
        <f t="shared" si="49"/>
        <v>2142</v>
      </c>
      <c r="J536" s="100">
        <f t="shared" si="50"/>
        <v>1.1621093749999998</v>
      </c>
      <c r="K536" s="51">
        <f>VLOOKUP(B:B,'生產達成率(目標)'!A:C,3,0)</f>
        <v>1</v>
      </c>
      <c r="L536" s="20">
        <f t="shared" si="53"/>
        <v>0.16200000000000001</v>
      </c>
      <c r="M536" s="235"/>
      <c r="N536" s="41"/>
      <c r="O536" s="150">
        <f t="shared" si="51"/>
        <v>1</v>
      </c>
      <c r="P536" s="41">
        <v>356</v>
      </c>
      <c r="Q536" s="27">
        <f t="shared" si="52"/>
        <v>0.99719887955182074</v>
      </c>
      <c r="R536" s="23"/>
      <c r="S536" s="173">
        <f>48*6</f>
        <v>288</v>
      </c>
      <c r="T536" s="30" t="s">
        <v>934</v>
      </c>
      <c r="U536" s="23"/>
      <c r="V536" s="458"/>
      <c r="W536" s="421"/>
      <c r="X536" s="458"/>
      <c r="Y536" s="421"/>
      <c r="Z536" s="421"/>
      <c r="AA536" s="421"/>
      <c r="AB536" s="421"/>
      <c r="AC536" s="421"/>
      <c r="AD536" s="421"/>
    </row>
    <row r="537" spans="1:30" s="22" customFormat="1" x14ac:dyDescent="0.4">
      <c r="A537" s="177" t="s">
        <v>770</v>
      </c>
      <c r="B537" s="149" t="s">
        <v>3</v>
      </c>
      <c r="C537" s="30" t="str">
        <f>VLOOKUP(B537,'112年全品項生產鍋數'!A:H,2,0)</f>
        <v>天天開心草莓餡4.5KG</v>
      </c>
      <c r="D537" s="285">
        <v>40</v>
      </c>
      <c r="E537" s="48">
        <f>VLOOKUP(B537,'112年全品項生產鍋數'!A:H,3,0)</f>
        <v>4.5</v>
      </c>
      <c r="F537" s="45">
        <f>VLOOKUP(B537,'112年全品項生產鍋數'!A:H,7,0)</f>
        <v>36.299999999999997</v>
      </c>
      <c r="G537" s="49">
        <f t="shared" si="48"/>
        <v>1452</v>
      </c>
      <c r="H537" s="153">
        <v>1466</v>
      </c>
      <c r="I537" s="46">
        <f t="shared" si="49"/>
        <v>6597</v>
      </c>
      <c r="J537" s="100">
        <f t="shared" si="50"/>
        <v>1.0096418732782368</v>
      </c>
      <c r="K537" s="51">
        <f>VLOOKUP(B:B,'生產達成率(目標)'!A:C,3,0)</f>
        <v>1</v>
      </c>
      <c r="L537" s="20">
        <f t="shared" si="53"/>
        <v>0.01</v>
      </c>
      <c r="M537" s="235"/>
      <c r="N537" s="41"/>
      <c r="O537" s="150">
        <f t="shared" si="51"/>
        <v>0</v>
      </c>
      <c r="P537" s="41">
        <v>1466</v>
      </c>
      <c r="Q537" s="27">
        <f t="shared" si="52"/>
        <v>1</v>
      </c>
      <c r="R537" s="23"/>
      <c r="S537" s="173"/>
      <c r="T537" s="30"/>
      <c r="U537" s="23"/>
      <c r="V537" s="458"/>
      <c r="W537" s="421"/>
      <c r="X537" s="458"/>
      <c r="Y537" s="421"/>
      <c r="Z537" s="421"/>
      <c r="AA537" s="421"/>
      <c r="AB537" s="421"/>
      <c r="AC537" s="421"/>
      <c r="AD537" s="421"/>
    </row>
    <row r="538" spans="1:30" s="22" customFormat="1" x14ac:dyDescent="0.4">
      <c r="A538" s="177" t="s">
        <v>770</v>
      </c>
      <c r="B538" s="149" t="s">
        <v>141</v>
      </c>
      <c r="C538" s="30" t="str">
        <f>VLOOKUP(B538,'112年全品項生產鍋數'!A:H,2,0)</f>
        <v>顆粒花生醬(1*12KG)</v>
      </c>
      <c r="D538" s="285">
        <v>18</v>
      </c>
      <c r="E538" s="48">
        <f>VLOOKUP(B538,'112年全品項生產鍋數'!A:H,3,0)</f>
        <v>3</v>
      </c>
      <c r="F538" s="45">
        <f>VLOOKUP(B538,'112年全品項生產鍋數'!A:H,7,0)</f>
        <v>30.8</v>
      </c>
      <c r="G538" s="49">
        <f t="shared" si="48"/>
        <v>554.4</v>
      </c>
      <c r="H538" s="153">
        <v>556</v>
      </c>
      <c r="I538" s="46">
        <f t="shared" si="49"/>
        <v>1668</v>
      </c>
      <c r="J538" s="100">
        <f t="shared" si="50"/>
        <v>1.0028860028860029</v>
      </c>
      <c r="K538" s="51">
        <f>VLOOKUP(B:B,'生產達成率(目標)'!A:C,3,0)</f>
        <v>1</v>
      </c>
      <c r="L538" s="20">
        <f t="shared" si="53"/>
        <v>3.0000000000000001E-3</v>
      </c>
      <c r="M538" s="235"/>
      <c r="N538" s="41"/>
      <c r="O538" s="150">
        <f t="shared" si="51"/>
        <v>0</v>
      </c>
      <c r="P538" s="41">
        <v>556</v>
      </c>
      <c r="Q538" s="27">
        <f t="shared" si="52"/>
        <v>1</v>
      </c>
      <c r="R538" s="23"/>
      <c r="S538" s="173"/>
      <c r="T538" s="30"/>
      <c r="U538" s="23"/>
      <c r="V538" s="458"/>
      <c r="W538" s="421"/>
      <c r="X538" s="458"/>
      <c r="Y538" s="421"/>
      <c r="Z538" s="421"/>
      <c r="AA538" s="421"/>
      <c r="AB538" s="421"/>
      <c r="AC538" s="421"/>
      <c r="AD538" s="421"/>
    </row>
    <row r="539" spans="1:30" s="22" customFormat="1" x14ac:dyDescent="0.4">
      <c r="A539" s="177" t="s">
        <v>771</v>
      </c>
      <c r="B539" s="149" t="s">
        <v>6</v>
      </c>
      <c r="C539" s="30" t="str">
        <f>VLOOKUP(B539,'112年全品項生產鍋數'!A:H,2,0)</f>
        <v>大圓草莓-新</v>
      </c>
      <c r="D539" s="285">
        <v>24</v>
      </c>
      <c r="E539" s="48">
        <f>VLOOKUP(B539,'112年全品項生產鍋數'!A:H,3,0)</f>
        <v>0.44</v>
      </c>
      <c r="F539" s="45">
        <f>VLOOKUP(B539,'112年全品項生產鍋數'!A:H,7,0)</f>
        <v>344</v>
      </c>
      <c r="G539" s="49">
        <f t="shared" si="48"/>
        <v>8256</v>
      </c>
      <c r="H539" s="153">
        <v>8200</v>
      </c>
      <c r="I539" s="46">
        <f t="shared" si="49"/>
        <v>3608</v>
      </c>
      <c r="J539" s="100">
        <f t="shared" si="50"/>
        <v>0.99321705426356588</v>
      </c>
      <c r="K539" s="51">
        <f>VLOOKUP(B:B,'生產達成率(目標)'!A:C,3,0)</f>
        <v>1</v>
      </c>
      <c r="L539" s="20">
        <f t="shared" si="53"/>
        <v>-7.0000000000000001E-3</v>
      </c>
      <c r="M539" s="235"/>
      <c r="N539" s="41"/>
      <c r="O539" s="150">
        <f t="shared" si="51"/>
        <v>10</v>
      </c>
      <c r="P539" s="41">
        <v>8190</v>
      </c>
      <c r="Q539" s="27">
        <f t="shared" si="52"/>
        <v>0.99878048780487805</v>
      </c>
      <c r="R539" s="23"/>
      <c r="S539" s="173"/>
      <c r="T539" s="30"/>
      <c r="U539" s="23"/>
      <c r="V539" s="458"/>
      <c r="W539" s="421"/>
      <c r="X539" s="458"/>
      <c r="Y539" s="421"/>
      <c r="Z539" s="421"/>
      <c r="AA539" s="421"/>
      <c r="AB539" s="421"/>
      <c r="AC539" s="421"/>
      <c r="AD539" s="421"/>
    </row>
    <row r="540" spans="1:30" s="22" customFormat="1" x14ac:dyDescent="0.4">
      <c r="A540" s="177" t="s">
        <v>771</v>
      </c>
      <c r="B540" s="149" t="s">
        <v>11</v>
      </c>
      <c r="C540" s="30" t="str">
        <f>VLOOKUP(B540,'112年全品項生產鍋數'!A:H,2,0)</f>
        <v>#2草莓果醬(1*900g)</v>
      </c>
      <c r="D540" s="285">
        <v>20</v>
      </c>
      <c r="E540" s="48">
        <f>VLOOKUP(B540,'112年全品項生產鍋數'!A:H,3,0)</f>
        <v>0.9</v>
      </c>
      <c r="F540" s="45">
        <f>VLOOKUP(B540,'112年全品項生產鍋數'!A:H,7,0)</f>
        <v>160.5</v>
      </c>
      <c r="G540" s="49">
        <f t="shared" si="48"/>
        <v>3210</v>
      </c>
      <c r="H540" s="153">
        <v>3217</v>
      </c>
      <c r="I540" s="46">
        <f t="shared" si="49"/>
        <v>2895.3</v>
      </c>
      <c r="J540" s="100">
        <f t="shared" si="50"/>
        <v>1.0021806853582556</v>
      </c>
      <c r="K540" s="51">
        <f>VLOOKUP(B:B,'生產達成率(目標)'!A:C,3,0)</f>
        <v>1</v>
      </c>
      <c r="L540" s="20">
        <f t="shared" si="53"/>
        <v>2E-3</v>
      </c>
      <c r="M540" s="235"/>
      <c r="N540" s="41"/>
      <c r="O540" s="150">
        <f t="shared" si="51"/>
        <v>2</v>
      </c>
      <c r="P540" s="41">
        <v>3215</v>
      </c>
      <c r="Q540" s="27">
        <f t="shared" si="52"/>
        <v>0.99937830276655271</v>
      </c>
      <c r="R540" s="23"/>
      <c r="S540" s="173"/>
      <c r="T540" s="30"/>
      <c r="U540" s="23"/>
      <c r="V540" s="458"/>
      <c r="W540" s="421"/>
      <c r="X540" s="458"/>
      <c r="Y540" s="421"/>
      <c r="Z540" s="421"/>
      <c r="AA540" s="421"/>
      <c r="AB540" s="421"/>
      <c r="AC540" s="421"/>
      <c r="AD540" s="421"/>
    </row>
    <row r="541" spans="1:30" s="22" customFormat="1" x14ac:dyDescent="0.4">
      <c r="A541" s="177" t="s">
        <v>771</v>
      </c>
      <c r="B541" s="149" t="s">
        <v>361</v>
      </c>
      <c r="C541" s="30" t="str">
        <f>VLOOKUP(B541,'112年全品項生產鍋數'!A:H,2,0)</f>
        <v>天天熱帶水果餡 4.5KG</v>
      </c>
      <c r="D541" s="285">
        <v>8</v>
      </c>
      <c r="E541" s="48">
        <f>VLOOKUP(B541,'112年全品項生產鍋數'!A:H,3,0)</f>
        <v>4.5</v>
      </c>
      <c r="F541" s="45">
        <f>VLOOKUP(B541,'112年全品項生產鍋數'!A:H,7,0)</f>
        <v>34.5</v>
      </c>
      <c r="G541" s="49">
        <f t="shared" si="48"/>
        <v>276</v>
      </c>
      <c r="H541" s="153">
        <v>285</v>
      </c>
      <c r="I541" s="46">
        <f t="shared" si="49"/>
        <v>1282.5</v>
      </c>
      <c r="J541" s="100">
        <f t="shared" si="50"/>
        <v>1.0326086956521738</v>
      </c>
      <c r="K541" s="51">
        <f>VLOOKUP(B:B,'生產達成率(目標)'!A:C,3,0)</f>
        <v>1</v>
      </c>
      <c r="L541" s="20">
        <f t="shared" si="53"/>
        <v>3.3000000000000002E-2</v>
      </c>
      <c r="M541" s="235"/>
      <c r="N541" s="41"/>
      <c r="O541" s="150">
        <f t="shared" si="51"/>
        <v>0</v>
      </c>
      <c r="P541" s="41">
        <v>285</v>
      </c>
      <c r="Q541" s="27">
        <f t="shared" si="52"/>
        <v>1</v>
      </c>
      <c r="R541" s="23"/>
      <c r="S541" s="173"/>
      <c r="T541" s="30"/>
      <c r="U541" s="23"/>
      <c r="V541" s="458"/>
      <c r="W541" s="421"/>
      <c r="X541" s="458"/>
      <c r="Y541" s="421"/>
      <c r="Z541" s="421"/>
      <c r="AA541" s="421"/>
      <c r="AB541" s="421"/>
      <c r="AC541" s="421"/>
      <c r="AD541" s="421"/>
    </row>
    <row r="542" spans="1:30" s="22" customFormat="1" x14ac:dyDescent="0.4">
      <c r="A542" s="177" t="s">
        <v>771</v>
      </c>
      <c r="B542" s="149" t="s">
        <v>42</v>
      </c>
      <c r="C542" s="30" t="str">
        <f>VLOOKUP(B542,'112年全品項生產鍋數'!A:H,2,0)</f>
        <v>天天開心柳橙餡4.5KG</v>
      </c>
      <c r="D542" s="285">
        <v>8</v>
      </c>
      <c r="E542" s="48">
        <f>VLOOKUP(B542,'112年全品項生產鍋數'!A:H,3,0)</f>
        <v>4.5</v>
      </c>
      <c r="F542" s="45">
        <f>VLOOKUP(B542,'112年全品項生產鍋數'!A:H,7,0)</f>
        <v>34.9</v>
      </c>
      <c r="G542" s="49">
        <f t="shared" si="48"/>
        <v>279.2</v>
      </c>
      <c r="H542" s="153">
        <v>284</v>
      </c>
      <c r="I542" s="46">
        <f t="shared" si="49"/>
        <v>1278</v>
      </c>
      <c r="J542" s="100">
        <f t="shared" si="50"/>
        <v>1.0171919770773639</v>
      </c>
      <c r="K542" s="51">
        <f>VLOOKUP(B:B,'生產達成率(目標)'!A:C,3,0)</f>
        <v>1</v>
      </c>
      <c r="L542" s="20">
        <f t="shared" si="53"/>
        <v>1.7000000000000001E-2</v>
      </c>
      <c r="M542" s="235"/>
      <c r="N542" s="41"/>
      <c r="O542" s="150">
        <f t="shared" si="51"/>
        <v>0</v>
      </c>
      <c r="P542" s="41">
        <v>284</v>
      </c>
      <c r="Q542" s="27">
        <f t="shared" si="52"/>
        <v>1</v>
      </c>
      <c r="R542" s="23"/>
      <c r="S542" s="173"/>
      <c r="T542" s="30"/>
      <c r="U542" s="23"/>
      <c r="V542" s="458"/>
      <c r="W542" s="421"/>
      <c r="X542" s="458"/>
      <c r="Y542" s="421"/>
      <c r="Z542" s="421"/>
      <c r="AA542" s="421"/>
      <c r="AB542" s="421"/>
      <c r="AC542" s="421"/>
      <c r="AD542" s="421"/>
    </row>
    <row r="543" spans="1:30" s="22" customFormat="1" x14ac:dyDescent="0.4">
      <c r="A543" s="177" t="s">
        <v>771</v>
      </c>
      <c r="B543" s="149" t="s">
        <v>7</v>
      </c>
      <c r="C543" s="30" t="str">
        <f>VLOOKUP(B543,'112年全品項生產鍋數'!A:H,2,0)</f>
        <v>草莓蒟蒻餡(1*6kg)</v>
      </c>
      <c r="D543" s="285">
        <v>24</v>
      </c>
      <c r="E543" s="48">
        <f>VLOOKUP(B543,'112年全品項生產鍋數'!A:H,3,0)</f>
        <v>6</v>
      </c>
      <c r="F543" s="45">
        <f>VLOOKUP(B543,'112年全品項生產鍋數'!A:H,7,0)</f>
        <v>25.7</v>
      </c>
      <c r="G543" s="49">
        <f t="shared" si="48"/>
        <v>616.79999999999995</v>
      </c>
      <c r="H543" s="153">
        <v>629</v>
      </c>
      <c r="I543" s="46">
        <f t="shared" si="49"/>
        <v>3774</v>
      </c>
      <c r="J543" s="100">
        <f t="shared" si="50"/>
        <v>1.0197795071335929</v>
      </c>
      <c r="K543" s="51">
        <f>VLOOKUP(B:B,'生產達成率(目標)'!A:C,3,0)</f>
        <v>1</v>
      </c>
      <c r="L543" s="20">
        <f t="shared" si="53"/>
        <v>0.02</v>
      </c>
      <c r="M543" s="235"/>
      <c r="N543" s="41"/>
      <c r="O543" s="150">
        <f t="shared" si="51"/>
        <v>4</v>
      </c>
      <c r="P543" s="41">
        <v>625</v>
      </c>
      <c r="Q543" s="27">
        <f t="shared" si="52"/>
        <v>0.99364069952305245</v>
      </c>
      <c r="R543" s="23"/>
      <c r="S543" s="173"/>
      <c r="T543" s="30"/>
      <c r="U543" s="23"/>
      <c r="V543" s="458"/>
      <c r="W543" s="421"/>
      <c r="X543" s="458"/>
      <c r="Y543" s="421"/>
      <c r="Z543" s="421"/>
      <c r="AA543" s="421"/>
      <c r="AB543" s="421"/>
      <c r="AC543" s="421"/>
      <c r="AD543" s="421"/>
    </row>
    <row r="544" spans="1:30" s="22" customFormat="1" x14ac:dyDescent="0.4">
      <c r="A544" s="177" t="s">
        <v>772</v>
      </c>
      <c r="B544" s="149" t="s">
        <v>145</v>
      </c>
      <c r="C544" s="30" t="str">
        <f>VLOOKUP(B544,'112年全品項生產鍋數'!A:H,2,0)</f>
        <v>藍莓餡(1*6kg)</v>
      </c>
      <c r="D544" s="285">
        <v>16</v>
      </c>
      <c r="E544" s="48">
        <f>VLOOKUP(B544,'112年全品項生產鍋數'!A:H,3,0)</f>
        <v>6</v>
      </c>
      <c r="F544" s="45">
        <f>VLOOKUP(B544,'112年全品項生產鍋數'!A:H,7,0)</f>
        <v>26.4</v>
      </c>
      <c r="G544" s="49">
        <f t="shared" si="48"/>
        <v>422.4</v>
      </c>
      <c r="H544" s="153">
        <v>422</v>
      </c>
      <c r="I544" s="46">
        <f t="shared" si="49"/>
        <v>2532</v>
      </c>
      <c r="J544" s="100">
        <f t="shared" si="50"/>
        <v>0.99905303030303039</v>
      </c>
      <c r="K544" s="51">
        <f>VLOOKUP(B:B,'生產達成率(目標)'!A:C,3,0)</f>
        <v>1</v>
      </c>
      <c r="L544" s="20">
        <f t="shared" si="53"/>
        <v>-1E-3</v>
      </c>
      <c r="M544" s="235"/>
      <c r="N544" s="41"/>
      <c r="O544" s="150">
        <f t="shared" si="51"/>
        <v>1</v>
      </c>
      <c r="P544" s="41">
        <v>421</v>
      </c>
      <c r="Q544" s="27">
        <f t="shared" si="52"/>
        <v>0.99763033175355453</v>
      </c>
      <c r="R544" s="23"/>
      <c r="S544" s="173"/>
      <c r="T544" s="30"/>
      <c r="U544" s="23"/>
      <c r="V544" s="458"/>
      <c r="W544" s="421"/>
      <c r="X544" s="458"/>
      <c r="Y544" s="421"/>
      <c r="Z544" s="421"/>
      <c r="AA544" s="421"/>
      <c r="AB544" s="421"/>
      <c r="AC544" s="421"/>
      <c r="AD544" s="421"/>
    </row>
    <row r="545" spans="1:30" s="22" customFormat="1" x14ac:dyDescent="0.4">
      <c r="A545" s="177" t="s">
        <v>772</v>
      </c>
      <c r="B545" s="149" t="s">
        <v>8</v>
      </c>
      <c r="C545" s="30" t="str">
        <f>VLOOKUP(B545,'112年全品項生產鍋數'!A:H,2,0)</f>
        <v>藍莓餡(1*6KG)</v>
      </c>
      <c r="D545" s="285">
        <v>24</v>
      </c>
      <c r="E545" s="48">
        <f>VLOOKUP(B545,'112年全品項生產鍋數'!A:H,3,0)</f>
        <v>6</v>
      </c>
      <c r="F545" s="45">
        <f>VLOOKUP(B545,'112年全品項生產鍋數'!A:H,7,0)</f>
        <v>25.4</v>
      </c>
      <c r="G545" s="49">
        <f t="shared" si="48"/>
        <v>609.59999999999991</v>
      </c>
      <c r="H545" s="153">
        <v>623</v>
      </c>
      <c r="I545" s="46">
        <f t="shared" si="49"/>
        <v>3738</v>
      </c>
      <c r="J545" s="100">
        <f t="shared" si="50"/>
        <v>1.021981627296588</v>
      </c>
      <c r="K545" s="51">
        <f>VLOOKUP(B:B,'生產達成率(目標)'!A:C,3,0)</f>
        <v>1</v>
      </c>
      <c r="L545" s="20">
        <f t="shared" si="53"/>
        <v>2.1999999999999999E-2</v>
      </c>
      <c r="M545" s="235"/>
      <c r="N545" s="41"/>
      <c r="O545" s="150">
        <f t="shared" si="51"/>
        <v>1</v>
      </c>
      <c r="P545" s="41">
        <v>622</v>
      </c>
      <c r="Q545" s="27">
        <f t="shared" si="52"/>
        <v>0.9983948635634029</v>
      </c>
      <c r="R545" s="23"/>
      <c r="S545" s="173"/>
      <c r="T545" s="30"/>
      <c r="U545" s="23"/>
      <c r="V545" s="458"/>
      <c r="W545" s="421"/>
      <c r="X545" s="458"/>
      <c r="Y545" s="421"/>
      <c r="Z545" s="421"/>
      <c r="AA545" s="421"/>
      <c r="AB545" s="421"/>
      <c r="AC545" s="421"/>
      <c r="AD545" s="421"/>
    </row>
    <row r="546" spans="1:30" s="22" customFormat="1" x14ac:dyDescent="0.4">
      <c r="A546" s="177" t="s">
        <v>772</v>
      </c>
      <c r="B546" s="149" t="s">
        <v>23</v>
      </c>
      <c r="C546" s="30" t="str">
        <f>VLOOKUP(B546,'112年全品項生產鍋數'!A:H,2,0)</f>
        <v>＃1花生(粒)(1*2.8kg)</v>
      </c>
      <c r="D546" s="285">
        <v>60</v>
      </c>
      <c r="E546" s="48">
        <f>VLOOKUP(B546,'112年全品項生產鍋數'!A:H,3,0)</f>
        <v>2.8</v>
      </c>
      <c r="F546" s="45">
        <f>VLOOKUP(B546,'112年全品項生產鍋數'!A:H,7,0)</f>
        <v>44.2</v>
      </c>
      <c r="G546" s="49">
        <f t="shared" si="48"/>
        <v>2652</v>
      </c>
      <c r="H546" s="153">
        <v>2677</v>
      </c>
      <c r="I546" s="46">
        <f t="shared" si="49"/>
        <v>7495.5999999999995</v>
      </c>
      <c r="J546" s="100">
        <f t="shared" si="50"/>
        <v>1.0094268476621417</v>
      </c>
      <c r="K546" s="51">
        <f>VLOOKUP(B:B,'生產達成率(目標)'!A:C,3,0)</f>
        <v>1</v>
      </c>
      <c r="L546" s="20">
        <f t="shared" si="53"/>
        <v>8.9999999999999993E-3</v>
      </c>
      <c r="M546" s="235"/>
      <c r="N546" s="41"/>
      <c r="O546" s="150">
        <f t="shared" si="51"/>
        <v>5</v>
      </c>
      <c r="P546" s="41">
        <v>2672</v>
      </c>
      <c r="Q546" s="27">
        <f t="shared" si="52"/>
        <v>0.99813223757937986</v>
      </c>
      <c r="R546" s="23"/>
      <c r="S546" s="173"/>
      <c r="T546" s="30"/>
      <c r="U546" s="23"/>
      <c r="V546" s="458"/>
      <c r="W546" s="421"/>
      <c r="X546" s="458"/>
      <c r="Y546" s="421"/>
      <c r="Z546" s="421"/>
      <c r="AA546" s="421"/>
      <c r="AB546" s="421"/>
      <c r="AC546" s="421"/>
      <c r="AD546" s="421"/>
    </row>
    <row r="547" spans="1:30" s="22" customFormat="1" x14ac:dyDescent="0.4">
      <c r="A547" s="177" t="s">
        <v>773</v>
      </c>
      <c r="B547" s="149" t="s">
        <v>24</v>
      </c>
      <c r="C547" s="30" t="str">
        <f>VLOOKUP(B547,'112年全品項生產鍋數'!A:H,2,0)</f>
        <v>小藍莓1*260G</v>
      </c>
      <c r="D547" s="285">
        <v>24</v>
      </c>
      <c r="E547" s="48">
        <f>VLOOKUP(B547,'112年全品項生產鍋數'!A:H,3,0)</f>
        <v>0.26</v>
      </c>
      <c r="F547" s="45">
        <f>VLOOKUP(B547,'112年全品項生產鍋數'!A:H,7,0)</f>
        <v>584.29999999999995</v>
      </c>
      <c r="G547" s="49">
        <f t="shared" si="48"/>
        <v>14023.199999999999</v>
      </c>
      <c r="H547" s="153">
        <v>14116</v>
      </c>
      <c r="I547" s="46">
        <f t="shared" si="49"/>
        <v>3670.1600000000003</v>
      </c>
      <c r="J547" s="100">
        <f t="shared" si="50"/>
        <v>1.0066176051115296</v>
      </c>
      <c r="K547" s="51">
        <f>VLOOKUP(B:B,'生產達成率(目標)'!A:C,3,0)</f>
        <v>1</v>
      </c>
      <c r="L547" s="20">
        <f t="shared" si="53"/>
        <v>7.0000000000000001E-3</v>
      </c>
      <c r="M547" s="235"/>
      <c r="N547" s="41"/>
      <c r="O547" s="150">
        <f t="shared" si="51"/>
        <v>26</v>
      </c>
      <c r="P547" s="41">
        <v>14090</v>
      </c>
      <c r="Q547" s="27">
        <f t="shared" si="52"/>
        <v>0.99815811844715219</v>
      </c>
      <c r="R547" s="23"/>
      <c r="S547" s="173"/>
      <c r="T547" s="30"/>
      <c r="U547" s="23"/>
      <c r="V547" s="458"/>
      <c r="W547" s="421"/>
      <c r="X547" s="458"/>
      <c r="Y547" s="421"/>
      <c r="Z547" s="421"/>
      <c r="AA547" s="421"/>
      <c r="AB547" s="421"/>
      <c r="AC547" s="421"/>
      <c r="AD547" s="421"/>
    </row>
    <row r="548" spans="1:30" s="22" customFormat="1" x14ac:dyDescent="0.4">
      <c r="A548" s="177" t="s">
        <v>773</v>
      </c>
      <c r="B548" s="149" t="s">
        <v>25</v>
      </c>
      <c r="C548" s="30" t="str">
        <f>VLOOKUP(B548,'112年全品項生產鍋數'!A:H,2,0)</f>
        <v>小藍莓1*260G</v>
      </c>
      <c r="D548" s="285">
        <v>4</v>
      </c>
      <c r="E548" s="48">
        <f>VLOOKUP(B548,'112年全品項生產鍋數'!A:H,3,0)</f>
        <v>0.26</v>
      </c>
      <c r="F548" s="45">
        <f>VLOOKUP(B548,'112年全品項生產鍋數'!A:H,7,0)</f>
        <v>592</v>
      </c>
      <c r="G548" s="49">
        <f t="shared" si="48"/>
        <v>2368</v>
      </c>
      <c r="H548" s="153">
        <v>2367</v>
      </c>
      <c r="I548" s="46">
        <f t="shared" si="49"/>
        <v>615.42000000000007</v>
      </c>
      <c r="J548" s="100">
        <f t="shared" si="50"/>
        <v>0.99957770270270274</v>
      </c>
      <c r="K548" s="51">
        <f>VLOOKUP(B:B,'生產達成率(目標)'!A:C,3,0)</f>
        <v>1</v>
      </c>
      <c r="L548" s="20">
        <f t="shared" si="53"/>
        <v>0</v>
      </c>
      <c r="M548" s="235"/>
      <c r="N548" s="41"/>
      <c r="O548" s="150">
        <f t="shared" si="51"/>
        <v>6</v>
      </c>
      <c r="P548" s="41">
        <v>2361</v>
      </c>
      <c r="Q548" s="27">
        <f t="shared" si="52"/>
        <v>0.99746514575411915</v>
      </c>
      <c r="R548" s="23"/>
      <c r="S548" s="173"/>
      <c r="T548" s="30"/>
      <c r="U548" s="23"/>
      <c r="V548" s="458"/>
      <c r="W548" s="421"/>
      <c r="X548" s="458"/>
      <c r="Y548" s="421"/>
      <c r="Z548" s="421"/>
      <c r="AA548" s="421"/>
      <c r="AB548" s="421"/>
      <c r="AC548" s="421"/>
      <c r="AD548" s="421"/>
    </row>
    <row r="549" spans="1:30" s="22" customFormat="1" x14ac:dyDescent="0.4">
      <c r="A549" s="177" t="s">
        <v>773</v>
      </c>
      <c r="B549" s="149" t="s">
        <v>355</v>
      </c>
      <c r="C549" s="30" t="str">
        <f>VLOOKUP(B549,'112年全品項生產鍋數'!A:H,2,0)</f>
        <v>蘋果餡(1*6Kg)</v>
      </c>
      <c r="D549" s="285">
        <v>8</v>
      </c>
      <c r="E549" s="48">
        <f>VLOOKUP(B549,'112年全品項生產鍋數'!A:H,3,0)</f>
        <v>6</v>
      </c>
      <c r="F549" s="45">
        <f>VLOOKUP(B549,'112年全品項生產鍋數'!A:H,7,0)</f>
        <v>25.3</v>
      </c>
      <c r="G549" s="49">
        <f t="shared" si="48"/>
        <v>202.4</v>
      </c>
      <c r="H549" s="153">
        <v>210</v>
      </c>
      <c r="I549" s="46">
        <f t="shared" si="49"/>
        <v>1260</v>
      </c>
      <c r="J549" s="100">
        <f t="shared" si="50"/>
        <v>1.0375494071146245</v>
      </c>
      <c r="K549" s="51">
        <f>VLOOKUP(B:B,'生產達成率(目標)'!A:C,3,0)</f>
        <v>1</v>
      </c>
      <c r="L549" s="20">
        <f t="shared" si="53"/>
        <v>3.7999999999999999E-2</v>
      </c>
      <c r="M549" s="235"/>
      <c r="N549" s="41"/>
      <c r="O549" s="150">
        <f t="shared" si="51"/>
        <v>2</v>
      </c>
      <c r="P549" s="41">
        <v>208</v>
      </c>
      <c r="Q549" s="27">
        <f t="shared" si="52"/>
        <v>0.99047619047619051</v>
      </c>
      <c r="R549" s="23"/>
      <c r="S549" s="173"/>
      <c r="T549" s="30"/>
      <c r="U549" s="23"/>
      <c r="V549" s="458"/>
      <c r="W549" s="421"/>
      <c r="X549" s="458"/>
      <c r="Y549" s="421"/>
      <c r="Z549" s="421"/>
      <c r="AA549" s="421"/>
      <c r="AB549" s="421"/>
      <c r="AC549" s="421"/>
      <c r="AD549" s="421"/>
    </row>
    <row r="550" spans="1:30" s="22" customFormat="1" x14ac:dyDescent="0.4">
      <c r="A550" s="177" t="s">
        <v>773</v>
      </c>
      <c r="B550" s="149" t="s">
        <v>7</v>
      </c>
      <c r="C550" s="30" t="str">
        <f>VLOOKUP(B550,'112年全品項生產鍋數'!A:H,2,0)</f>
        <v>草莓蒟蒻餡(1*6kg)</v>
      </c>
      <c r="D550" s="285">
        <v>32</v>
      </c>
      <c r="E550" s="48">
        <f>VLOOKUP(B550,'112年全品項生產鍋數'!A:H,3,0)</f>
        <v>6</v>
      </c>
      <c r="F550" s="45">
        <f>VLOOKUP(B550,'112年全品項生產鍋數'!A:H,7,0)</f>
        <v>25.7</v>
      </c>
      <c r="G550" s="49">
        <f t="shared" si="48"/>
        <v>822.4</v>
      </c>
      <c r="H550" s="153">
        <v>834</v>
      </c>
      <c r="I550" s="46">
        <f t="shared" si="49"/>
        <v>5004</v>
      </c>
      <c r="J550" s="100">
        <f t="shared" si="50"/>
        <v>1.0141050583657587</v>
      </c>
      <c r="K550" s="51">
        <f>VLOOKUP(B:B,'生產達成率(目標)'!A:C,3,0)</f>
        <v>1</v>
      </c>
      <c r="L550" s="20">
        <f t="shared" si="53"/>
        <v>1.4E-2</v>
      </c>
      <c r="M550" s="235"/>
      <c r="N550" s="41"/>
      <c r="O550" s="150">
        <f t="shared" si="51"/>
        <v>2</v>
      </c>
      <c r="P550" s="41">
        <v>832</v>
      </c>
      <c r="Q550" s="27">
        <f t="shared" si="52"/>
        <v>0.99760191846522783</v>
      </c>
      <c r="R550" s="23"/>
      <c r="S550" s="173"/>
      <c r="T550" s="30"/>
      <c r="U550" s="23"/>
      <c r="V550" s="458"/>
      <c r="W550" s="421"/>
      <c r="X550" s="458"/>
      <c r="Y550" s="421"/>
      <c r="Z550" s="421"/>
      <c r="AA550" s="421"/>
      <c r="AB550" s="421"/>
      <c r="AC550" s="421"/>
      <c r="AD550" s="421"/>
    </row>
    <row r="551" spans="1:30" s="22" customFormat="1" x14ac:dyDescent="0.4">
      <c r="A551" s="177" t="s">
        <v>774</v>
      </c>
      <c r="B551" s="149" t="s">
        <v>33</v>
      </c>
      <c r="C551" s="30" t="str">
        <f>VLOOKUP(B551,'112年全品項生產鍋數'!A:H,2,0)</f>
        <v>深烤焙花生醬(1*18KG)</v>
      </c>
      <c r="D551" s="285">
        <v>40</v>
      </c>
      <c r="E551" s="48">
        <f>VLOOKUP(B551,'112年全品項生產鍋數'!A:H,3,0)</f>
        <v>18</v>
      </c>
      <c r="F551" s="45">
        <f>VLOOKUP(B551,'112年全品項生產鍋數'!A:H,7,0)</f>
        <v>6.9</v>
      </c>
      <c r="G551" s="49">
        <f t="shared" si="48"/>
        <v>276</v>
      </c>
      <c r="H551" s="153">
        <v>280</v>
      </c>
      <c r="I551" s="46">
        <f t="shared" si="49"/>
        <v>5040</v>
      </c>
      <c r="J551" s="100">
        <f t="shared" si="50"/>
        <v>1.0144927536231885</v>
      </c>
      <c r="K551" s="51">
        <f>VLOOKUP(B:B,'生產達成率(目標)'!A:C,3,0)</f>
        <v>1</v>
      </c>
      <c r="L551" s="20">
        <f t="shared" si="53"/>
        <v>1.4E-2</v>
      </c>
      <c r="M551" s="235"/>
      <c r="N551" s="41"/>
      <c r="O551" s="150">
        <f t="shared" si="51"/>
        <v>0</v>
      </c>
      <c r="P551" s="41">
        <v>280</v>
      </c>
      <c r="Q551" s="27">
        <f t="shared" si="52"/>
        <v>1</v>
      </c>
      <c r="R551" s="23"/>
      <c r="S551" s="173"/>
      <c r="T551" s="30"/>
      <c r="U551" s="23"/>
      <c r="V551" s="458"/>
      <c r="W551" s="421"/>
      <c r="X551" s="458"/>
      <c r="Y551" s="421"/>
      <c r="Z551" s="421"/>
      <c r="AA551" s="421"/>
      <c r="AB551" s="421"/>
      <c r="AC551" s="421"/>
      <c r="AD551" s="421"/>
    </row>
    <row r="552" spans="1:30" s="22" customFormat="1" x14ac:dyDescent="0.4">
      <c r="A552" s="177" t="s">
        <v>775</v>
      </c>
      <c r="B552" s="149" t="s">
        <v>12</v>
      </c>
      <c r="C552" s="30" t="str">
        <f>VLOOKUP(B552,'112年全品項生產鍋數'!A:H,2,0)</f>
        <v>＃1草莓(1*3.2kg)</v>
      </c>
      <c r="D552" s="285">
        <v>60</v>
      </c>
      <c r="E552" s="48">
        <f>VLOOKUP(B552,'112年全品項生產鍋數'!A:H,3,0)</f>
        <v>3.2</v>
      </c>
      <c r="F552" s="45">
        <f>VLOOKUP(B552,'112年全品項生產鍋數'!A:H,7,0)</f>
        <v>46.8</v>
      </c>
      <c r="G552" s="49">
        <f t="shared" si="48"/>
        <v>2808</v>
      </c>
      <c r="H552" s="153">
        <v>2851</v>
      </c>
      <c r="I552" s="46">
        <f t="shared" si="49"/>
        <v>9123.2000000000007</v>
      </c>
      <c r="J552" s="100">
        <f t="shared" si="50"/>
        <v>1.0153133903133904</v>
      </c>
      <c r="K552" s="51">
        <f>VLOOKUP(B:B,'生產達成率(目標)'!A:C,3,0)</f>
        <v>1</v>
      </c>
      <c r="L552" s="20">
        <f t="shared" si="53"/>
        <v>1.4999999999999999E-2</v>
      </c>
      <c r="M552" s="235"/>
      <c r="N552" s="41"/>
      <c r="O552" s="150">
        <f t="shared" si="51"/>
        <v>2</v>
      </c>
      <c r="P552" s="41">
        <v>2849</v>
      </c>
      <c r="Q552" s="27">
        <f t="shared" si="52"/>
        <v>0.99929849175727814</v>
      </c>
      <c r="R552" s="23"/>
      <c r="S552" s="173"/>
      <c r="T552" s="30"/>
      <c r="U552" s="23"/>
      <c r="V552" s="458"/>
      <c r="W552" s="421"/>
      <c r="X552" s="458"/>
      <c r="Y552" s="421"/>
      <c r="Z552" s="421"/>
      <c r="AA552" s="421"/>
      <c r="AB552" s="421"/>
      <c r="AC552" s="421"/>
      <c r="AD552" s="421"/>
    </row>
    <row r="553" spans="1:30" s="22" customFormat="1" x14ac:dyDescent="0.4">
      <c r="A553" s="177" t="s">
        <v>775</v>
      </c>
      <c r="B553" s="149" t="s">
        <v>72</v>
      </c>
      <c r="C553" s="30" t="str">
        <f>VLOOKUP(B553,'112年全品項生產鍋數'!A:H,2,0)</f>
        <v>草莓餡45%(1*6Kg)</v>
      </c>
      <c r="D553" s="285">
        <v>16</v>
      </c>
      <c r="E553" s="48">
        <f>VLOOKUP(B553,'112年全品項生產鍋數'!A:H,3,0)</f>
        <v>6</v>
      </c>
      <c r="F553" s="45">
        <f>VLOOKUP(B553,'112年全品項生產鍋數'!A:H,7,0)</f>
        <v>26.1</v>
      </c>
      <c r="G553" s="49">
        <f t="shared" si="48"/>
        <v>417.6</v>
      </c>
      <c r="H553" s="153">
        <v>426</v>
      </c>
      <c r="I553" s="46">
        <f t="shared" si="49"/>
        <v>2556</v>
      </c>
      <c r="J553" s="100">
        <f t="shared" si="50"/>
        <v>1.0201149425287355</v>
      </c>
      <c r="K553" s="51">
        <f>VLOOKUP(B:B,'生產達成率(目標)'!A:C,3,0)</f>
        <v>1</v>
      </c>
      <c r="L553" s="20">
        <f t="shared" si="53"/>
        <v>0.02</v>
      </c>
      <c r="M553" s="235"/>
      <c r="N553" s="41"/>
      <c r="O553" s="150">
        <f t="shared" si="51"/>
        <v>1</v>
      </c>
      <c r="P553" s="41">
        <v>425</v>
      </c>
      <c r="Q553" s="27">
        <f t="shared" si="52"/>
        <v>0.99765258215962438</v>
      </c>
      <c r="R553" s="28"/>
      <c r="S553" s="173"/>
      <c r="T553" s="30"/>
      <c r="U553" s="23"/>
      <c r="V553" s="458"/>
      <c r="W553" s="421"/>
      <c r="X553" s="458"/>
      <c r="Y553" s="421"/>
      <c r="Z553" s="421"/>
      <c r="AA553" s="421"/>
      <c r="AB553" s="421"/>
      <c r="AC553" s="421"/>
      <c r="AD553" s="421"/>
    </row>
    <row r="554" spans="1:30" s="22" customFormat="1" x14ac:dyDescent="0.4">
      <c r="A554" s="177" t="s">
        <v>775</v>
      </c>
      <c r="B554" s="149" t="s">
        <v>31</v>
      </c>
      <c r="C554" s="30" t="str">
        <f>VLOOKUP(B554,'112年全品項生產鍋數'!A:H,2,0)</f>
        <v>天天開心芒果餡4.5KG</v>
      </c>
      <c r="D554" s="285">
        <v>8</v>
      </c>
      <c r="E554" s="48">
        <f>VLOOKUP(B554,'112年全品項生產鍋數'!A:H,3,0)</f>
        <v>4.5</v>
      </c>
      <c r="F554" s="45">
        <f>VLOOKUP(B554,'112年全品項生產鍋數'!A:H,7,0)</f>
        <v>33.200000000000003</v>
      </c>
      <c r="G554" s="49">
        <f t="shared" si="48"/>
        <v>265.60000000000002</v>
      </c>
      <c r="H554" s="153">
        <v>264</v>
      </c>
      <c r="I554" s="46">
        <f t="shared" si="49"/>
        <v>1188</v>
      </c>
      <c r="J554" s="100">
        <f t="shared" si="50"/>
        <v>0.99397590361445776</v>
      </c>
      <c r="K554" s="51">
        <f>VLOOKUP(B:B,'生產達成率(目標)'!A:C,3,0)</f>
        <v>1</v>
      </c>
      <c r="L554" s="20">
        <f t="shared" si="53"/>
        <v>-6.0000000000000001E-3</v>
      </c>
      <c r="M554" s="235"/>
      <c r="N554" s="41"/>
      <c r="O554" s="150">
        <f t="shared" si="51"/>
        <v>0</v>
      </c>
      <c r="P554" s="41">
        <v>264</v>
      </c>
      <c r="Q554" s="27">
        <f t="shared" si="52"/>
        <v>1</v>
      </c>
      <c r="R554" s="23"/>
      <c r="S554" s="173"/>
      <c r="T554" s="30"/>
      <c r="U554" s="23"/>
      <c r="V554" s="458"/>
      <c r="W554" s="421"/>
      <c r="X554" s="458"/>
      <c r="Y554" s="421"/>
      <c r="Z554" s="421"/>
      <c r="AA554" s="421"/>
      <c r="AB554" s="421"/>
      <c r="AC554" s="421"/>
      <c r="AD554" s="421"/>
    </row>
    <row r="555" spans="1:30" s="22" customFormat="1" x14ac:dyDescent="0.4">
      <c r="A555" s="177" t="s">
        <v>775</v>
      </c>
      <c r="B555" s="149" t="s">
        <v>32</v>
      </c>
      <c r="C555" s="30" t="str">
        <f>VLOOKUP(B555,'112年全品項生產鍋數'!A:H,2,0)</f>
        <v>草莓醬(1*6Kg)</v>
      </c>
      <c r="D555" s="285">
        <v>16</v>
      </c>
      <c r="E555" s="48">
        <f>VLOOKUP(B555,'112年全品項生產鍋數'!A:H,3,0)</f>
        <v>6</v>
      </c>
      <c r="F555" s="45">
        <f>VLOOKUP(B555,'112年全品項生產鍋數'!A:H,7,0)</f>
        <v>25.5</v>
      </c>
      <c r="G555" s="49">
        <f t="shared" si="48"/>
        <v>408</v>
      </c>
      <c r="H555" s="153">
        <v>406</v>
      </c>
      <c r="I555" s="46">
        <f t="shared" si="49"/>
        <v>2436</v>
      </c>
      <c r="J555" s="100">
        <f t="shared" si="50"/>
        <v>0.99509803921568629</v>
      </c>
      <c r="K555" s="51">
        <f>VLOOKUP(B:B,'生產達成率(目標)'!A:C,3,0)</f>
        <v>1</v>
      </c>
      <c r="L555" s="20">
        <f t="shared" si="53"/>
        <v>-5.0000000000000001E-3</v>
      </c>
      <c r="M555" s="235"/>
      <c r="N555" s="41"/>
      <c r="O555" s="150">
        <f t="shared" si="51"/>
        <v>2</v>
      </c>
      <c r="P555" s="41">
        <v>404</v>
      </c>
      <c r="Q555" s="27">
        <f t="shared" si="52"/>
        <v>0.99507389162561577</v>
      </c>
      <c r="R555" s="23"/>
      <c r="S555" s="173"/>
      <c r="T555" s="30"/>
      <c r="U555" s="23"/>
      <c r="V555" s="458"/>
      <c r="W555" s="421"/>
      <c r="X555" s="458"/>
      <c r="Y555" s="421"/>
      <c r="Z555" s="421"/>
      <c r="AA555" s="421"/>
      <c r="AB555" s="421"/>
      <c r="AC555" s="421"/>
      <c r="AD555" s="421"/>
    </row>
    <row r="556" spans="1:30" s="22" customFormat="1" x14ac:dyDescent="0.4">
      <c r="A556" s="177" t="s">
        <v>775</v>
      </c>
      <c r="B556" s="149" t="s">
        <v>9</v>
      </c>
      <c r="C556" s="30" t="str">
        <f>VLOOKUP(B556,'112年全品項生產鍋數'!A:H,2,0)</f>
        <v>＃1花生(1*2.8kg)</v>
      </c>
      <c r="D556" s="285">
        <v>60</v>
      </c>
      <c r="E556" s="48">
        <f>VLOOKUP(B556,'112年全品項生產鍋數'!A:H,3,0)</f>
        <v>2.8</v>
      </c>
      <c r="F556" s="45">
        <f>VLOOKUP(B556,'112年全品項生產鍋數'!A:H,7,0)</f>
        <v>44.5</v>
      </c>
      <c r="G556" s="49">
        <f t="shared" si="48"/>
        <v>2670</v>
      </c>
      <c r="H556" s="153">
        <v>2675</v>
      </c>
      <c r="I556" s="46">
        <f t="shared" si="49"/>
        <v>7489.9999999999991</v>
      </c>
      <c r="J556" s="100">
        <f t="shared" si="50"/>
        <v>1.0018726591760299</v>
      </c>
      <c r="K556" s="51">
        <f>VLOOKUP(B:B,'生產達成率(目標)'!A:C,3,0)</f>
        <v>1</v>
      </c>
      <c r="L556" s="20">
        <f t="shared" si="53"/>
        <v>2E-3</v>
      </c>
      <c r="M556" s="235"/>
      <c r="N556" s="41"/>
      <c r="O556" s="150">
        <f t="shared" si="51"/>
        <v>5</v>
      </c>
      <c r="P556" s="41">
        <v>2670</v>
      </c>
      <c r="Q556" s="27">
        <f t="shared" si="52"/>
        <v>0.9981308411214953</v>
      </c>
      <c r="R556" s="23"/>
      <c r="S556" s="173"/>
      <c r="T556" s="30"/>
      <c r="U556" s="23"/>
      <c r="V556" s="458"/>
      <c r="W556" s="421"/>
      <c r="X556" s="458"/>
      <c r="Y556" s="421"/>
      <c r="Z556" s="421"/>
      <c r="AA556" s="421"/>
      <c r="AB556" s="421"/>
      <c r="AC556" s="421"/>
      <c r="AD556" s="421"/>
    </row>
    <row r="557" spans="1:30" s="22" customFormat="1" x14ac:dyDescent="0.4">
      <c r="A557" s="177" t="s">
        <v>776</v>
      </c>
      <c r="B557" s="149" t="s">
        <v>6</v>
      </c>
      <c r="C557" s="30" t="str">
        <f>VLOOKUP(B557,'112年全品項生產鍋數'!A:H,2,0)</f>
        <v>大圓草莓-新</v>
      </c>
      <c r="D557" s="285">
        <v>40</v>
      </c>
      <c r="E557" s="48">
        <f>VLOOKUP(B557,'112年全品項生產鍋數'!A:H,3,0)</f>
        <v>0.44</v>
      </c>
      <c r="F557" s="45">
        <f>VLOOKUP(B557,'112年全品項生產鍋數'!A:H,7,0)</f>
        <v>344</v>
      </c>
      <c r="G557" s="49">
        <f t="shared" si="48"/>
        <v>13760</v>
      </c>
      <c r="H557" s="153">
        <v>13881</v>
      </c>
      <c r="I557" s="46">
        <f t="shared" si="49"/>
        <v>6107.64</v>
      </c>
      <c r="J557" s="100">
        <f t="shared" si="50"/>
        <v>1.0087936046511627</v>
      </c>
      <c r="K557" s="51">
        <f>VLOOKUP(B:B,'生產達成率(目標)'!A:C,3,0)</f>
        <v>1</v>
      </c>
      <c r="L557" s="20">
        <f t="shared" si="53"/>
        <v>8.9999999999999993E-3</v>
      </c>
      <c r="M557" s="235"/>
      <c r="N557" s="41"/>
      <c r="O557" s="150">
        <f t="shared" si="51"/>
        <v>6</v>
      </c>
      <c r="P557" s="41">
        <v>13875</v>
      </c>
      <c r="Q557" s="27">
        <f t="shared" si="52"/>
        <v>0.99956775448454727</v>
      </c>
      <c r="R557" s="23"/>
      <c r="S557" s="173"/>
      <c r="T557" s="30"/>
      <c r="U557" s="23"/>
      <c r="V557" s="458"/>
      <c r="W557" s="421"/>
      <c r="X557" s="458"/>
      <c r="Y557" s="421"/>
      <c r="Z557" s="421"/>
      <c r="AA557" s="421"/>
      <c r="AB557" s="421"/>
      <c r="AC557" s="421"/>
      <c r="AD557" s="421"/>
    </row>
    <row r="558" spans="1:30" s="22" customFormat="1" x14ac:dyDescent="0.4">
      <c r="A558" s="177" t="s">
        <v>776</v>
      </c>
      <c r="B558" s="149" t="s">
        <v>16</v>
      </c>
      <c r="C558" s="30" t="str">
        <f>VLOOKUP(B558,'112年全品項生產鍋數'!A:H,2,0)</f>
        <v>藍莓餡(1*6Kg)</v>
      </c>
      <c r="D558" s="285">
        <v>16</v>
      </c>
      <c r="E558" s="48">
        <f>VLOOKUP(B558,'112年全品項生產鍋數'!A:H,3,0)</f>
        <v>6</v>
      </c>
      <c r="F558" s="45">
        <f>VLOOKUP(B558,'112年全品項生產鍋數'!A:H,7,0)</f>
        <v>25.1</v>
      </c>
      <c r="G558" s="49">
        <f t="shared" si="48"/>
        <v>401.6</v>
      </c>
      <c r="H558" s="153">
        <v>410</v>
      </c>
      <c r="I558" s="46">
        <f t="shared" si="49"/>
        <v>2460</v>
      </c>
      <c r="J558" s="100">
        <f t="shared" si="50"/>
        <v>1.0209163346613546</v>
      </c>
      <c r="K558" s="51">
        <f>VLOOKUP(B:B,'生產達成率(目標)'!A:C,3,0)</f>
        <v>1</v>
      </c>
      <c r="L558" s="20">
        <f t="shared" si="53"/>
        <v>2.1000000000000001E-2</v>
      </c>
      <c r="M558" s="235"/>
      <c r="N558" s="41"/>
      <c r="O558" s="150">
        <f t="shared" si="51"/>
        <v>1</v>
      </c>
      <c r="P558" s="41">
        <v>409</v>
      </c>
      <c r="Q558" s="27">
        <f t="shared" si="52"/>
        <v>0.9975609756097561</v>
      </c>
      <c r="R558" s="23"/>
      <c r="S558" s="173"/>
      <c r="T558" s="30"/>
      <c r="U558" s="23"/>
      <c r="V558" s="458"/>
      <c r="W558" s="421"/>
      <c r="X558" s="458"/>
      <c r="Y558" s="421"/>
      <c r="Z558" s="421"/>
      <c r="AA558" s="421"/>
      <c r="AB558" s="421"/>
      <c r="AC558" s="421"/>
      <c r="AD558" s="421"/>
    </row>
    <row r="559" spans="1:30" s="22" customFormat="1" x14ac:dyDescent="0.4">
      <c r="A559" s="177" t="s">
        <v>776</v>
      </c>
      <c r="B559" s="149" t="s">
        <v>7</v>
      </c>
      <c r="C559" s="30" t="str">
        <f>VLOOKUP(B559,'112年全品項生產鍋數'!A:H,2,0)</f>
        <v>草莓蒟蒻餡(1*6kg)</v>
      </c>
      <c r="D559" s="285">
        <v>24</v>
      </c>
      <c r="E559" s="48">
        <f>VLOOKUP(B559,'112年全品項生產鍋數'!A:H,3,0)</f>
        <v>6</v>
      </c>
      <c r="F559" s="45">
        <f>VLOOKUP(B559,'112年全品項生產鍋數'!A:H,7,0)</f>
        <v>25.7</v>
      </c>
      <c r="G559" s="49">
        <f t="shared" si="48"/>
        <v>616.79999999999995</v>
      </c>
      <c r="H559" s="153">
        <v>623</v>
      </c>
      <c r="I559" s="46">
        <f t="shared" si="49"/>
        <v>3738</v>
      </c>
      <c r="J559" s="100">
        <f t="shared" si="50"/>
        <v>1.0100518806744487</v>
      </c>
      <c r="K559" s="51">
        <f>VLOOKUP(B:B,'生產達成率(目標)'!A:C,3,0)</f>
        <v>1</v>
      </c>
      <c r="L559" s="20">
        <f t="shared" si="53"/>
        <v>0.01</v>
      </c>
      <c r="M559" s="235"/>
      <c r="N559" s="41"/>
      <c r="O559" s="150">
        <f t="shared" si="51"/>
        <v>0</v>
      </c>
      <c r="P559" s="41">
        <v>623</v>
      </c>
      <c r="Q559" s="27">
        <f t="shared" si="52"/>
        <v>1</v>
      </c>
      <c r="R559" s="23"/>
      <c r="S559" s="173"/>
      <c r="T559" s="30"/>
      <c r="U559" s="23"/>
      <c r="V559" s="458"/>
      <c r="W559" s="421"/>
      <c r="X559" s="458"/>
      <c r="Y559" s="421"/>
      <c r="Z559" s="421"/>
      <c r="AA559" s="421"/>
      <c r="AB559" s="421"/>
      <c r="AC559" s="421"/>
      <c r="AD559" s="421"/>
    </row>
    <row r="560" spans="1:30" s="22" customFormat="1" x14ac:dyDescent="0.4">
      <c r="A560" s="177" t="s">
        <v>776</v>
      </c>
      <c r="B560" s="149" t="s">
        <v>9</v>
      </c>
      <c r="C560" s="30" t="str">
        <f>VLOOKUP(B560,'112年全品項生產鍋數'!A:H,2,0)</f>
        <v>＃1花生(1*2.8kg)</v>
      </c>
      <c r="D560" s="285">
        <v>60</v>
      </c>
      <c r="E560" s="48">
        <f>VLOOKUP(B560,'112年全品項生產鍋數'!A:H,3,0)</f>
        <v>2.8</v>
      </c>
      <c r="F560" s="45">
        <f>VLOOKUP(B560,'112年全品項生產鍋數'!A:H,7,0)</f>
        <v>44.5</v>
      </c>
      <c r="G560" s="49">
        <f t="shared" si="48"/>
        <v>2670</v>
      </c>
      <c r="H560" s="153">
        <v>2678</v>
      </c>
      <c r="I560" s="46">
        <f t="shared" si="49"/>
        <v>7498.4</v>
      </c>
      <c r="J560" s="100">
        <f t="shared" si="50"/>
        <v>1.002996254681648</v>
      </c>
      <c r="K560" s="51">
        <f>VLOOKUP(B:B,'生產達成率(目標)'!A:C,3,0)</f>
        <v>1</v>
      </c>
      <c r="L560" s="20">
        <f t="shared" si="53"/>
        <v>3.0000000000000001E-3</v>
      </c>
      <c r="M560" s="235"/>
      <c r="N560" s="41"/>
      <c r="O560" s="150">
        <f t="shared" si="51"/>
        <v>1</v>
      </c>
      <c r="P560" s="41">
        <v>2677</v>
      </c>
      <c r="Q560" s="27">
        <f t="shared" si="52"/>
        <v>0.99962658700522777</v>
      </c>
      <c r="R560" s="23"/>
      <c r="S560" s="173"/>
      <c r="T560" s="30"/>
      <c r="U560" s="23"/>
      <c r="V560" s="458"/>
      <c r="W560" s="421"/>
      <c r="X560" s="458"/>
      <c r="Y560" s="421"/>
      <c r="Z560" s="421"/>
      <c r="AA560" s="421"/>
      <c r="AB560" s="421"/>
      <c r="AC560" s="421"/>
      <c r="AD560" s="421"/>
    </row>
    <row r="561" spans="1:30" s="22" customFormat="1" x14ac:dyDescent="0.4">
      <c r="A561" s="177" t="s">
        <v>777</v>
      </c>
      <c r="B561" s="149" t="s">
        <v>12</v>
      </c>
      <c r="C561" s="30" t="str">
        <f>VLOOKUP(B561,'112年全品項生產鍋數'!A:H,2,0)</f>
        <v>＃1草莓(1*3.2kg)</v>
      </c>
      <c r="D561" s="285">
        <v>60</v>
      </c>
      <c r="E561" s="48">
        <f>VLOOKUP(B561,'112年全品項生產鍋數'!A:H,3,0)</f>
        <v>3.2</v>
      </c>
      <c r="F561" s="45">
        <f>VLOOKUP(B561,'112年全品項生產鍋數'!A:H,7,0)</f>
        <v>46.8</v>
      </c>
      <c r="G561" s="49">
        <f t="shared" si="48"/>
        <v>2808</v>
      </c>
      <c r="H561" s="153">
        <v>2839</v>
      </c>
      <c r="I561" s="46">
        <f t="shared" si="49"/>
        <v>9084.8000000000011</v>
      </c>
      <c r="J561" s="100">
        <f t="shared" si="50"/>
        <v>1.0110398860398861</v>
      </c>
      <c r="K561" s="51">
        <f>VLOOKUP(B:B,'生產達成率(目標)'!A:C,3,0)</f>
        <v>1</v>
      </c>
      <c r="L561" s="20">
        <f t="shared" si="53"/>
        <v>1.0999999999999999E-2</v>
      </c>
      <c r="M561" s="235"/>
      <c r="N561" s="41"/>
      <c r="O561" s="150">
        <f t="shared" si="51"/>
        <v>2</v>
      </c>
      <c r="P561" s="41">
        <v>2837</v>
      </c>
      <c r="Q561" s="27">
        <f t="shared" si="52"/>
        <v>0.99929552659387111</v>
      </c>
      <c r="R561" s="23"/>
      <c r="S561" s="173"/>
      <c r="T561" s="30"/>
      <c r="U561" s="23"/>
      <c r="V561" s="458"/>
      <c r="W561" s="421"/>
      <c r="X561" s="458"/>
      <c r="Y561" s="421"/>
      <c r="Z561" s="421"/>
      <c r="AA561" s="421"/>
      <c r="AB561" s="421"/>
      <c r="AC561" s="421"/>
      <c r="AD561" s="421"/>
    </row>
    <row r="562" spans="1:30" s="22" customFormat="1" x14ac:dyDescent="0.4">
      <c r="A562" s="177" t="s">
        <v>777</v>
      </c>
      <c r="B562" s="149" t="s">
        <v>8</v>
      </c>
      <c r="C562" s="30" t="str">
        <f>VLOOKUP(B562,'112年全品項生產鍋數'!A:H,2,0)</f>
        <v>藍莓餡(1*6KG)</v>
      </c>
      <c r="D562" s="285">
        <v>20</v>
      </c>
      <c r="E562" s="48">
        <f>VLOOKUP(B562,'112年全品項生產鍋數'!A:H,3,0)</f>
        <v>6</v>
      </c>
      <c r="F562" s="45">
        <f>VLOOKUP(B562,'112年全品項生產鍋數'!A:H,7,0)</f>
        <v>25.4</v>
      </c>
      <c r="G562" s="49">
        <f t="shared" si="48"/>
        <v>508</v>
      </c>
      <c r="H562" s="153">
        <v>515</v>
      </c>
      <c r="I562" s="46">
        <f t="shared" si="49"/>
        <v>3090</v>
      </c>
      <c r="J562" s="100">
        <f t="shared" si="50"/>
        <v>1.0137795275590551</v>
      </c>
      <c r="K562" s="51">
        <f>VLOOKUP(B:B,'生產達成率(目標)'!A:C,3,0)</f>
        <v>1</v>
      </c>
      <c r="L562" s="20">
        <f t="shared" si="53"/>
        <v>1.4E-2</v>
      </c>
      <c r="M562" s="235"/>
      <c r="N562" s="41"/>
      <c r="O562" s="150">
        <f t="shared" si="51"/>
        <v>1</v>
      </c>
      <c r="P562" s="41">
        <v>514</v>
      </c>
      <c r="Q562" s="27">
        <f t="shared" si="52"/>
        <v>0.99805825242718449</v>
      </c>
      <c r="R562" s="23"/>
      <c r="S562" s="173"/>
      <c r="T562" s="30"/>
      <c r="U562" s="23"/>
      <c r="V562" s="458"/>
      <c r="W562" s="421"/>
      <c r="X562" s="458"/>
      <c r="Y562" s="421"/>
      <c r="Z562" s="421"/>
      <c r="AA562" s="421"/>
      <c r="AB562" s="421"/>
      <c r="AC562" s="421"/>
      <c r="AD562" s="421"/>
    </row>
    <row r="563" spans="1:30" s="22" customFormat="1" x14ac:dyDescent="0.4">
      <c r="A563" s="177" t="s">
        <v>777</v>
      </c>
      <c r="B563" s="149" t="s">
        <v>7</v>
      </c>
      <c r="C563" s="30" t="str">
        <f>VLOOKUP(B563,'112年全品項生產鍋數'!A:H,2,0)</f>
        <v>草莓蒟蒻餡(1*6kg)</v>
      </c>
      <c r="D563" s="285">
        <v>20</v>
      </c>
      <c r="E563" s="48">
        <f>VLOOKUP(B563,'112年全品項生產鍋數'!A:H,3,0)</f>
        <v>6</v>
      </c>
      <c r="F563" s="45">
        <f>VLOOKUP(B563,'112年全品項生產鍋數'!A:H,7,0)</f>
        <v>25.7</v>
      </c>
      <c r="G563" s="49">
        <f t="shared" si="48"/>
        <v>514</v>
      </c>
      <c r="H563" s="153">
        <v>517</v>
      </c>
      <c r="I563" s="46">
        <f t="shared" si="49"/>
        <v>3102</v>
      </c>
      <c r="J563" s="100">
        <f t="shared" si="50"/>
        <v>1.0058365758754864</v>
      </c>
      <c r="K563" s="51">
        <f>VLOOKUP(B:B,'生產達成率(目標)'!A:C,3,0)</f>
        <v>1</v>
      </c>
      <c r="L563" s="20">
        <f t="shared" si="53"/>
        <v>6.0000000000000001E-3</v>
      </c>
      <c r="M563" s="235"/>
      <c r="N563" s="41"/>
      <c r="O563" s="150">
        <f t="shared" si="51"/>
        <v>2</v>
      </c>
      <c r="P563" s="41">
        <v>515</v>
      </c>
      <c r="Q563" s="27">
        <f t="shared" si="52"/>
        <v>0.99613152804642169</v>
      </c>
      <c r="R563" s="23"/>
      <c r="S563" s="173"/>
      <c r="T563" s="30"/>
      <c r="U563" s="23"/>
      <c r="V563" s="458"/>
      <c r="W563" s="421"/>
      <c r="X563" s="458"/>
      <c r="Y563" s="421"/>
      <c r="Z563" s="421"/>
      <c r="AA563" s="421"/>
      <c r="AB563" s="421"/>
      <c r="AC563" s="421"/>
      <c r="AD563" s="421"/>
    </row>
    <row r="564" spans="1:30" s="22" customFormat="1" x14ac:dyDescent="0.4">
      <c r="A564" s="177" t="s">
        <v>777</v>
      </c>
      <c r="B564" s="149" t="s">
        <v>34</v>
      </c>
      <c r="C564" s="30" t="str">
        <f>VLOOKUP(B564,'112年全品項生產鍋數'!A:H,2,0)</f>
        <v>花生醬(1*18KG)</v>
      </c>
      <c r="D564" s="285">
        <v>40</v>
      </c>
      <c r="E564" s="48">
        <f>VLOOKUP(B564,'112年全品項生產鍋數'!A:H,3,0)</f>
        <v>18</v>
      </c>
      <c r="F564" s="45">
        <f>VLOOKUP(B564,'112年全品項生產鍋數'!A:H,7,0)</f>
        <v>6.9</v>
      </c>
      <c r="G564" s="49">
        <f t="shared" si="48"/>
        <v>276</v>
      </c>
      <c r="H564" s="153">
        <v>279</v>
      </c>
      <c r="I564" s="46">
        <f t="shared" si="49"/>
        <v>5022</v>
      </c>
      <c r="J564" s="100">
        <f t="shared" si="50"/>
        <v>1.0108695652173914</v>
      </c>
      <c r="K564" s="51">
        <f>VLOOKUP(B:B,'生產達成率(目標)'!A:C,3,0)</f>
        <v>1</v>
      </c>
      <c r="L564" s="20">
        <f t="shared" si="53"/>
        <v>1.0999999999999999E-2</v>
      </c>
      <c r="M564" s="235"/>
      <c r="N564" s="41"/>
      <c r="O564" s="150">
        <f t="shared" si="51"/>
        <v>0</v>
      </c>
      <c r="P564" s="41">
        <v>279</v>
      </c>
      <c r="Q564" s="27">
        <f t="shared" si="52"/>
        <v>1</v>
      </c>
      <c r="R564" s="23"/>
      <c r="S564" s="173"/>
      <c r="T564" s="30"/>
      <c r="U564" s="23"/>
      <c r="V564" s="458"/>
      <c r="W564" s="421"/>
      <c r="X564" s="458"/>
      <c r="Y564" s="421"/>
      <c r="Z564" s="421"/>
      <c r="AA564" s="421"/>
      <c r="AB564" s="421"/>
      <c r="AC564" s="421"/>
      <c r="AD564" s="421"/>
    </row>
    <row r="565" spans="1:30" s="22" customFormat="1" x14ac:dyDescent="0.4">
      <c r="A565" s="177" t="s">
        <v>778</v>
      </c>
      <c r="B565" s="149" t="s">
        <v>1</v>
      </c>
      <c r="C565" s="30" t="str">
        <f>VLOOKUP(B565,'112年全品項生產鍋數'!A:H,2,0)</f>
        <v>藍莓醬(1*6kg)</v>
      </c>
      <c r="D565" s="285">
        <v>12</v>
      </c>
      <c r="E565" s="48">
        <f>VLOOKUP(B565,'112年全品項生產鍋數'!A:H,3,0)</f>
        <v>6</v>
      </c>
      <c r="F565" s="45">
        <f>VLOOKUP(B565,'112年全品項生產鍋數'!A:H,7,0)</f>
        <v>25.5</v>
      </c>
      <c r="G565" s="49">
        <f t="shared" si="48"/>
        <v>306</v>
      </c>
      <c r="H565" s="153">
        <v>307</v>
      </c>
      <c r="I565" s="46">
        <f t="shared" si="49"/>
        <v>1842</v>
      </c>
      <c r="J565" s="100">
        <f t="shared" si="50"/>
        <v>1.0032679738562091</v>
      </c>
      <c r="K565" s="51">
        <f>VLOOKUP(B:B,'生產達成率(目標)'!A:C,3,0)</f>
        <v>1</v>
      </c>
      <c r="L565" s="20">
        <f t="shared" si="53"/>
        <v>3.0000000000000001E-3</v>
      </c>
      <c r="M565" s="235"/>
      <c r="N565" s="41"/>
      <c r="O565" s="150">
        <f t="shared" si="51"/>
        <v>1</v>
      </c>
      <c r="P565" s="41">
        <v>306</v>
      </c>
      <c r="Q565" s="27">
        <f t="shared" si="52"/>
        <v>0.99674267100977199</v>
      </c>
      <c r="R565" s="23"/>
      <c r="S565" s="173"/>
      <c r="T565" s="30"/>
      <c r="U565" s="23"/>
      <c r="V565" s="458"/>
      <c r="W565" s="421"/>
      <c r="X565" s="458"/>
      <c r="Y565" s="421"/>
      <c r="Z565" s="421"/>
      <c r="AA565" s="421"/>
      <c r="AB565" s="421"/>
      <c r="AC565" s="421"/>
      <c r="AD565" s="421"/>
    </row>
    <row r="566" spans="1:30" s="22" customFormat="1" x14ac:dyDescent="0.4">
      <c r="A566" s="177" t="s">
        <v>778</v>
      </c>
      <c r="B566" s="151" t="s">
        <v>2</v>
      </c>
      <c r="C566" s="30" t="str">
        <f>VLOOKUP(B566,'112年全品項生產鍋數'!A:H,2,0)</f>
        <v>草莓醬(1*6kg)</v>
      </c>
      <c r="D566" s="285">
        <v>24</v>
      </c>
      <c r="E566" s="48">
        <f>VLOOKUP(B566,'112年全品項生產鍋數'!A:H,3,0)</f>
        <v>6</v>
      </c>
      <c r="F566" s="45">
        <f>VLOOKUP(B566,'112年全品項生產鍋數'!A:H,7,0)</f>
        <v>26.6</v>
      </c>
      <c r="G566" s="49">
        <f t="shared" si="48"/>
        <v>638.40000000000009</v>
      </c>
      <c r="H566" s="153">
        <v>650</v>
      </c>
      <c r="I566" s="46">
        <f t="shared" si="49"/>
        <v>3900</v>
      </c>
      <c r="J566" s="100">
        <f t="shared" si="50"/>
        <v>1.0181704260651627</v>
      </c>
      <c r="K566" s="51">
        <f>VLOOKUP(B:B,'生產達成率(目標)'!A:C,3,0)</f>
        <v>1</v>
      </c>
      <c r="L566" s="20">
        <f t="shared" si="53"/>
        <v>1.7999999999999999E-2</v>
      </c>
      <c r="M566" s="235"/>
      <c r="N566" s="41"/>
      <c r="O566" s="150">
        <f t="shared" si="51"/>
        <v>2</v>
      </c>
      <c r="P566" s="41">
        <v>648</v>
      </c>
      <c r="Q566" s="27">
        <f t="shared" si="52"/>
        <v>0.99692307692307691</v>
      </c>
      <c r="R566" s="23"/>
      <c r="S566" s="173"/>
      <c r="T566" s="30"/>
      <c r="U566" s="23"/>
      <c r="V566" s="458"/>
      <c r="W566" s="421"/>
      <c r="X566" s="458"/>
      <c r="Y566" s="421"/>
      <c r="Z566" s="421"/>
      <c r="AA566" s="421"/>
      <c r="AB566" s="421"/>
      <c r="AC566" s="421"/>
      <c r="AD566" s="421"/>
    </row>
    <row r="567" spans="1:30" s="22" customFormat="1" x14ac:dyDescent="0.4">
      <c r="A567" s="177" t="s">
        <v>778</v>
      </c>
      <c r="B567" s="149" t="s">
        <v>7</v>
      </c>
      <c r="C567" s="30" t="str">
        <f>VLOOKUP(B567,'112年全品項生產鍋數'!A:H,2,0)</f>
        <v>草莓蒟蒻餡(1*6kg)</v>
      </c>
      <c r="D567" s="285">
        <v>20</v>
      </c>
      <c r="E567" s="48">
        <f>VLOOKUP(B567,'112年全品項生產鍋數'!A:H,3,0)</f>
        <v>6</v>
      </c>
      <c r="F567" s="45">
        <f>VLOOKUP(B567,'112年全品項生產鍋數'!A:H,7,0)</f>
        <v>25.7</v>
      </c>
      <c r="G567" s="49">
        <f t="shared" si="48"/>
        <v>514</v>
      </c>
      <c r="H567" s="153">
        <v>528</v>
      </c>
      <c r="I567" s="46">
        <f t="shared" si="49"/>
        <v>3168</v>
      </c>
      <c r="J567" s="100">
        <f t="shared" si="50"/>
        <v>1.027237354085603</v>
      </c>
      <c r="K567" s="51">
        <f>VLOOKUP(B:B,'生產達成率(目標)'!A:C,3,0)</f>
        <v>1</v>
      </c>
      <c r="L567" s="20">
        <f t="shared" si="53"/>
        <v>2.7E-2</v>
      </c>
      <c r="M567" s="235"/>
      <c r="N567" s="41"/>
      <c r="O567" s="150">
        <f t="shared" si="51"/>
        <v>1</v>
      </c>
      <c r="P567" s="41">
        <v>527</v>
      </c>
      <c r="Q567" s="27">
        <f t="shared" si="52"/>
        <v>0.99810606060606055</v>
      </c>
      <c r="R567" s="23"/>
      <c r="S567" s="173"/>
      <c r="T567" s="30"/>
      <c r="U567" s="23"/>
      <c r="V567" s="458"/>
      <c r="W567" s="421"/>
      <c r="X567" s="458"/>
      <c r="Y567" s="421"/>
      <c r="Z567" s="421"/>
      <c r="AA567" s="421"/>
      <c r="AB567" s="421"/>
      <c r="AC567" s="421"/>
      <c r="AD567" s="421"/>
    </row>
    <row r="568" spans="1:30" s="22" customFormat="1" x14ac:dyDescent="0.4">
      <c r="A568" s="177" t="s">
        <v>778</v>
      </c>
      <c r="B568" s="149" t="s">
        <v>140</v>
      </c>
      <c r="C568" s="30" t="str">
        <f>VLOOKUP(B568,'112年全品項生產鍋數'!A:H,2,0)</f>
        <v>草莓餡(1*6Kg)</v>
      </c>
      <c r="D568" s="285">
        <v>16</v>
      </c>
      <c r="E568" s="48">
        <f>VLOOKUP(B568,'112年全品項生產鍋數'!A:H,3,0)</f>
        <v>6</v>
      </c>
      <c r="F568" s="45">
        <f>VLOOKUP(B568,'112年全品項生產鍋數'!A:H,7,0)</f>
        <v>25.5</v>
      </c>
      <c r="G568" s="49">
        <f t="shared" si="48"/>
        <v>408</v>
      </c>
      <c r="H568" s="153">
        <v>414</v>
      </c>
      <c r="I568" s="46">
        <f t="shared" si="49"/>
        <v>2484</v>
      </c>
      <c r="J568" s="100">
        <f t="shared" si="50"/>
        <v>1.0147058823529411</v>
      </c>
      <c r="K568" s="51">
        <f>VLOOKUP(B:B,'生產達成率(目標)'!A:C,3,0)</f>
        <v>1</v>
      </c>
      <c r="L568" s="20">
        <f t="shared" si="53"/>
        <v>1.4999999999999999E-2</v>
      </c>
      <c r="M568" s="235"/>
      <c r="N568" s="41"/>
      <c r="O568" s="150">
        <f t="shared" si="51"/>
        <v>1</v>
      </c>
      <c r="P568" s="41">
        <v>413</v>
      </c>
      <c r="Q568" s="27">
        <f t="shared" si="52"/>
        <v>0.99758454106280192</v>
      </c>
      <c r="R568" s="23"/>
      <c r="S568" s="173"/>
      <c r="T568" s="30"/>
      <c r="U568" s="23"/>
      <c r="V568" s="458"/>
      <c r="W568" s="421"/>
      <c r="X568" s="458"/>
      <c r="Y568" s="421"/>
      <c r="Z568" s="421"/>
      <c r="AA568" s="421"/>
      <c r="AB568" s="421"/>
      <c r="AC568" s="421"/>
      <c r="AD568" s="421"/>
    </row>
    <row r="569" spans="1:30" s="22" customFormat="1" x14ac:dyDescent="0.4">
      <c r="A569" s="177" t="s">
        <v>778</v>
      </c>
      <c r="B569" s="149" t="s">
        <v>22</v>
      </c>
      <c r="C569" s="30" t="str">
        <f>VLOOKUP(B569,'112年全品項生產鍋數'!A:H,2,0)</f>
        <v>PET瓶花生(1*340g)</v>
      </c>
      <c r="D569" s="285">
        <v>20</v>
      </c>
      <c r="E569" s="48">
        <f>VLOOKUP(B569,'112年全品項生產鍋數'!A:H,3,0)</f>
        <v>0.34</v>
      </c>
      <c r="F569" s="45">
        <f>VLOOKUP(B569,'112年全品項生產鍋數'!A:H,7,0)</f>
        <v>358.3</v>
      </c>
      <c r="G569" s="49">
        <f t="shared" si="48"/>
        <v>7166</v>
      </c>
      <c r="H569" s="153">
        <v>7256</v>
      </c>
      <c r="I569" s="46">
        <f t="shared" si="49"/>
        <v>2467.04</v>
      </c>
      <c r="J569" s="100">
        <f t="shared" si="50"/>
        <v>1.0125593078425901</v>
      </c>
      <c r="K569" s="51">
        <f>VLOOKUP(B:B,'生產達成率(目標)'!A:C,3,0)</f>
        <v>1</v>
      </c>
      <c r="L569" s="20">
        <f t="shared" si="53"/>
        <v>1.2999999999999999E-2</v>
      </c>
      <c r="M569" s="235"/>
      <c r="N569" s="41"/>
      <c r="O569" s="150">
        <f t="shared" si="51"/>
        <v>5</v>
      </c>
      <c r="P569" s="41">
        <v>7251</v>
      </c>
      <c r="Q569" s="27">
        <f t="shared" si="52"/>
        <v>0.9993109151047409</v>
      </c>
      <c r="R569" s="23"/>
      <c r="S569" s="173"/>
      <c r="T569" s="30"/>
      <c r="U569" s="23"/>
      <c r="V569" s="458"/>
      <c r="W569" s="421"/>
      <c r="X569" s="458"/>
      <c r="Y569" s="421"/>
      <c r="Z569" s="421"/>
      <c r="AA569" s="421"/>
      <c r="AB569" s="421"/>
      <c r="AC569" s="421"/>
      <c r="AD569" s="421"/>
    </row>
    <row r="570" spans="1:30" s="22" customFormat="1" x14ac:dyDescent="0.4">
      <c r="A570" s="177" t="s">
        <v>778</v>
      </c>
      <c r="B570" s="149" t="s">
        <v>17</v>
      </c>
      <c r="C570" s="30" t="str">
        <f>VLOOKUP(B570,'112年全品項生產鍋數'!A:H,2,0)</f>
        <v>顆粒花生醬(全)</v>
      </c>
      <c r="D570" s="285">
        <v>12</v>
      </c>
      <c r="E570" s="48">
        <f>VLOOKUP(B570,'112年全品項生產鍋數'!A:H,3,0)</f>
        <v>0.34</v>
      </c>
      <c r="F570" s="45">
        <f>VLOOKUP(B570,'112年全品項生產鍋數'!A:H,7,0)</f>
        <v>364.6</v>
      </c>
      <c r="G570" s="49">
        <f t="shared" si="48"/>
        <v>4375.2000000000007</v>
      </c>
      <c r="H570" s="153">
        <v>4526</v>
      </c>
      <c r="I570" s="46">
        <f t="shared" si="49"/>
        <v>1538.8400000000001</v>
      </c>
      <c r="J570" s="100">
        <f t="shared" si="50"/>
        <v>1.0344669957944779</v>
      </c>
      <c r="K570" s="51">
        <f>VLOOKUP(B:B,'生產達成率(目標)'!A:C,3,0)</f>
        <v>1</v>
      </c>
      <c r="L570" s="20">
        <f t="shared" si="53"/>
        <v>3.4000000000000002E-2</v>
      </c>
      <c r="M570" s="235"/>
      <c r="N570" s="41"/>
      <c r="O570" s="150">
        <f t="shared" si="51"/>
        <v>4</v>
      </c>
      <c r="P570" s="41">
        <v>4522</v>
      </c>
      <c r="Q570" s="27">
        <f t="shared" si="52"/>
        <v>0.99911621741051704</v>
      </c>
      <c r="R570" s="23"/>
      <c r="S570" s="173"/>
      <c r="T570" s="30"/>
      <c r="U570" s="23"/>
      <c r="V570" s="458"/>
      <c r="W570" s="421"/>
      <c r="X570" s="458"/>
      <c r="Y570" s="421"/>
      <c r="Z570" s="421"/>
      <c r="AA570" s="421"/>
      <c r="AB570" s="421"/>
      <c r="AC570" s="421"/>
      <c r="AD570" s="421"/>
    </row>
    <row r="571" spans="1:30" s="22" customFormat="1" x14ac:dyDescent="0.4">
      <c r="A571" s="177" t="s">
        <v>779</v>
      </c>
      <c r="B571" s="149" t="s">
        <v>134</v>
      </c>
      <c r="C571" s="30" t="str">
        <f>VLOOKUP(B571,'112年全品項生產鍋數'!A:H,2,0)</f>
        <v>草莓椰果餡(1*6Kg)</v>
      </c>
      <c r="D571" s="285">
        <v>8</v>
      </c>
      <c r="E571" s="48">
        <f>VLOOKUP(B571,'112年全品項生產鍋數'!A:H,3,0)</f>
        <v>6</v>
      </c>
      <c r="F571" s="45">
        <f>VLOOKUP(B571,'112年全品項生產鍋數'!A:H,7,0)</f>
        <v>26.4</v>
      </c>
      <c r="G571" s="49">
        <f t="shared" si="48"/>
        <v>211.2</v>
      </c>
      <c r="H571" s="153">
        <v>206</v>
      </c>
      <c r="I571" s="46">
        <f t="shared" si="49"/>
        <v>1236</v>
      </c>
      <c r="J571" s="100">
        <f t="shared" si="50"/>
        <v>0.97537878787878796</v>
      </c>
      <c r="K571" s="51">
        <f>VLOOKUP(B:B,'生產達成率(目標)'!A:C,3,0)</f>
        <v>1</v>
      </c>
      <c r="L571" s="20">
        <f t="shared" si="53"/>
        <v>-2.5000000000000001E-2</v>
      </c>
      <c r="M571" s="235"/>
      <c r="N571" s="41"/>
      <c r="O571" s="150">
        <f t="shared" si="51"/>
        <v>1</v>
      </c>
      <c r="P571" s="41">
        <v>205</v>
      </c>
      <c r="Q571" s="27">
        <f t="shared" si="52"/>
        <v>0.99514563106796117</v>
      </c>
      <c r="R571" s="23"/>
      <c r="S571" s="173"/>
      <c r="T571" s="30"/>
      <c r="U571" s="23"/>
      <c r="V571" s="458"/>
      <c r="W571" s="421"/>
      <c r="X571" s="458"/>
      <c r="Y571" s="421"/>
      <c r="Z571" s="421"/>
      <c r="AA571" s="421"/>
      <c r="AB571" s="421"/>
      <c r="AC571" s="421"/>
      <c r="AD571" s="421"/>
    </row>
    <row r="572" spans="1:30" s="22" customFormat="1" x14ac:dyDescent="0.4">
      <c r="A572" s="177" t="s">
        <v>779</v>
      </c>
      <c r="B572" s="149" t="s">
        <v>13</v>
      </c>
      <c r="C572" s="30" t="str">
        <f>VLOOKUP(B572,'112年全品項生產鍋數'!A:H,2,0)</f>
        <v>顆粒花生醬(1*12KG)</v>
      </c>
      <c r="D572" s="285">
        <v>18</v>
      </c>
      <c r="E572" s="48">
        <f>VLOOKUP(B572,'112年全品項生產鍋數'!A:H,3,0)</f>
        <v>3</v>
      </c>
      <c r="F572" s="45">
        <f>VLOOKUP(B572,'112年全品項生產鍋數'!A:H,7,0)</f>
        <v>29.7</v>
      </c>
      <c r="G572" s="49">
        <f t="shared" si="48"/>
        <v>534.6</v>
      </c>
      <c r="H572" s="153">
        <v>540</v>
      </c>
      <c r="I572" s="46">
        <f t="shared" si="49"/>
        <v>1620</v>
      </c>
      <c r="J572" s="100">
        <f t="shared" si="50"/>
        <v>1.0101010101010102</v>
      </c>
      <c r="K572" s="51">
        <f>VLOOKUP(B:B,'生產達成率(目標)'!A:C,3,0)</f>
        <v>1</v>
      </c>
      <c r="L572" s="20">
        <f t="shared" si="53"/>
        <v>0.01</v>
      </c>
      <c r="M572" s="235"/>
      <c r="N572" s="41"/>
      <c r="O572" s="150">
        <f t="shared" si="51"/>
        <v>0</v>
      </c>
      <c r="P572" s="41">
        <v>540</v>
      </c>
      <c r="Q572" s="27">
        <f t="shared" si="52"/>
        <v>1</v>
      </c>
      <c r="R572" s="23"/>
      <c r="S572" s="173"/>
      <c r="T572" s="30"/>
      <c r="U572" s="23"/>
      <c r="V572" s="458"/>
      <c r="W572" s="421"/>
      <c r="X572" s="458"/>
      <c r="Y572" s="421"/>
      <c r="Z572" s="421"/>
      <c r="AA572" s="421"/>
      <c r="AB572" s="421"/>
      <c r="AC572" s="421"/>
      <c r="AD572" s="421"/>
    </row>
    <row r="573" spans="1:30" s="22" customFormat="1" x14ac:dyDescent="0.4">
      <c r="A573" s="177" t="s">
        <v>779</v>
      </c>
      <c r="B573" s="149" t="s">
        <v>356</v>
      </c>
      <c r="C573" s="30" t="str">
        <f>VLOOKUP(B573,'112年全品項生產鍋數'!A:H,2,0)</f>
        <v>花生醬(1*18KG)</v>
      </c>
      <c r="D573" s="285">
        <v>8</v>
      </c>
      <c r="E573" s="48">
        <f>VLOOKUP(B573,'112年全品項生產鍋數'!A:H,3,0)</f>
        <v>18</v>
      </c>
      <c r="F573" s="45">
        <f>VLOOKUP(B573,'112年全品項生產鍋數'!A:H,7,0)</f>
        <v>6.6</v>
      </c>
      <c r="G573" s="49">
        <f t="shared" si="48"/>
        <v>52.8</v>
      </c>
      <c r="H573" s="153">
        <v>51</v>
      </c>
      <c r="I573" s="46">
        <f t="shared" si="49"/>
        <v>918</v>
      </c>
      <c r="J573" s="100">
        <f t="shared" si="50"/>
        <v>0.96590909090909094</v>
      </c>
      <c r="K573" s="51">
        <f>VLOOKUP(B:B,'生產達成率(目標)'!A:C,3,0)</f>
        <v>1</v>
      </c>
      <c r="L573" s="20">
        <f t="shared" si="53"/>
        <v>-3.4000000000000002E-2</v>
      </c>
      <c r="M573" s="235"/>
      <c r="N573" s="41"/>
      <c r="O573" s="150">
        <f t="shared" si="51"/>
        <v>0</v>
      </c>
      <c r="P573" s="41">
        <v>51</v>
      </c>
      <c r="Q573" s="27">
        <f t="shared" si="52"/>
        <v>1</v>
      </c>
      <c r="R573" s="23"/>
      <c r="S573" s="173"/>
      <c r="T573" s="30" t="s">
        <v>385</v>
      </c>
      <c r="U573" s="23"/>
      <c r="V573" s="458"/>
      <c r="W573" s="421"/>
      <c r="X573" s="458"/>
      <c r="Y573" s="421"/>
      <c r="Z573" s="421"/>
      <c r="AA573" s="421"/>
      <c r="AB573" s="421"/>
      <c r="AC573" s="421"/>
      <c r="AD573" s="421"/>
    </row>
    <row r="574" spans="1:30" s="22" customFormat="1" x14ac:dyDescent="0.4">
      <c r="A574" s="177" t="s">
        <v>779</v>
      </c>
      <c r="B574" s="149" t="s">
        <v>23</v>
      </c>
      <c r="C574" s="30" t="str">
        <f>VLOOKUP(B574,'112年全品項生產鍋數'!A:H,2,0)</f>
        <v>＃1花生(粒)(1*2.8kg)</v>
      </c>
      <c r="D574" s="285">
        <v>48</v>
      </c>
      <c r="E574" s="48">
        <f>VLOOKUP(B574,'112年全品項生產鍋數'!A:H,3,0)</f>
        <v>2.8</v>
      </c>
      <c r="F574" s="45">
        <f>VLOOKUP(B574,'112年全品項生產鍋數'!A:H,7,0)</f>
        <v>44.2</v>
      </c>
      <c r="G574" s="49">
        <f t="shared" si="48"/>
        <v>2121.6000000000004</v>
      </c>
      <c r="H574" s="153">
        <v>2126</v>
      </c>
      <c r="I574" s="46">
        <f t="shared" si="49"/>
        <v>5952.7999999999993</v>
      </c>
      <c r="J574" s="100">
        <f t="shared" si="50"/>
        <v>1.002073906485671</v>
      </c>
      <c r="K574" s="51">
        <f>VLOOKUP(B:B,'生產達成率(目標)'!A:C,3,0)</f>
        <v>1</v>
      </c>
      <c r="L574" s="20">
        <f t="shared" si="53"/>
        <v>2E-3</v>
      </c>
      <c r="M574" s="235"/>
      <c r="N574" s="41"/>
      <c r="O574" s="150">
        <f t="shared" si="51"/>
        <v>1</v>
      </c>
      <c r="P574" s="41">
        <v>2125</v>
      </c>
      <c r="Q574" s="27">
        <f t="shared" si="52"/>
        <v>0.99952963311382881</v>
      </c>
      <c r="R574" s="23"/>
      <c r="S574" s="173"/>
      <c r="T574" s="30"/>
      <c r="U574" s="23"/>
      <c r="V574" s="458"/>
      <c r="W574" s="421"/>
      <c r="X574" s="458"/>
      <c r="Y574" s="421"/>
      <c r="Z574" s="421"/>
      <c r="AA574" s="421"/>
      <c r="AB574" s="421"/>
      <c r="AC574" s="421"/>
      <c r="AD574" s="421"/>
    </row>
    <row r="575" spans="1:30" s="22" customFormat="1" x14ac:dyDescent="0.4">
      <c r="A575" s="177" t="s">
        <v>780</v>
      </c>
      <c r="B575" s="149" t="s">
        <v>21</v>
      </c>
      <c r="C575" s="30" t="str">
        <f>VLOOKUP(B575,'112年全品項生產鍋數'!A:H,2,0)</f>
        <v>梨山草莓果醬(1*430g)</v>
      </c>
      <c r="D575" s="285">
        <v>8</v>
      </c>
      <c r="E575" s="48">
        <f>VLOOKUP(B575,'112年全品項生產鍋數'!A:H,3,0)</f>
        <v>0.43</v>
      </c>
      <c r="F575" s="45">
        <f>VLOOKUP(B575,'112年全品項生產鍋數'!A:H,7,0)</f>
        <v>340.4</v>
      </c>
      <c r="G575" s="49">
        <f t="shared" si="48"/>
        <v>2723.2</v>
      </c>
      <c r="H575" s="153">
        <v>2717</v>
      </c>
      <c r="I575" s="46">
        <f t="shared" si="49"/>
        <v>1168.31</v>
      </c>
      <c r="J575" s="100">
        <f t="shared" si="50"/>
        <v>0.99772326674500589</v>
      </c>
      <c r="K575" s="51">
        <f>VLOOKUP(B:B,'生產達成率(目標)'!A:C,3,0)</f>
        <v>1</v>
      </c>
      <c r="L575" s="20">
        <f t="shared" si="53"/>
        <v>-2E-3</v>
      </c>
      <c r="M575" s="235"/>
      <c r="N575" s="41"/>
      <c r="O575" s="150">
        <f t="shared" si="51"/>
        <v>6</v>
      </c>
      <c r="P575" s="41">
        <v>2711</v>
      </c>
      <c r="Q575" s="27">
        <f t="shared" si="52"/>
        <v>0.99779168200220836</v>
      </c>
      <c r="R575" s="23"/>
      <c r="S575" s="173"/>
      <c r="T575" s="30"/>
      <c r="U575" s="23"/>
      <c r="V575" s="458"/>
      <c r="W575" s="421"/>
      <c r="X575" s="458"/>
      <c r="Y575" s="421"/>
      <c r="Z575" s="421"/>
      <c r="AA575" s="421"/>
      <c r="AB575" s="421"/>
      <c r="AC575" s="421"/>
      <c r="AD575" s="421"/>
    </row>
    <row r="576" spans="1:30" s="22" customFormat="1" x14ac:dyDescent="0.4">
      <c r="A576" s="177" t="s">
        <v>780</v>
      </c>
      <c r="B576" s="149" t="s">
        <v>27</v>
      </c>
      <c r="C576" s="30" t="str">
        <f>VLOOKUP(B576,'112年全品項生產鍋數'!A:H,2,0)</f>
        <v>藍莓果醬(1*210G)</v>
      </c>
      <c r="D576" s="285">
        <v>4</v>
      </c>
      <c r="E576" s="48">
        <f>VLOOKUP(B576,'112年全品項生產鍋數'!A:H,3,0)</f>
        <v>0.21</v>
      </c>
      <c r="F576" s="45">
        <f>VLOOKUP(B576,'112年全品項生產鍋數'!A:H,7,0)</f>
        <v>698.4</v>
      </c>
      <c r="G576" s="49">
        <f t="shared" si="48"/>
        <v>2793.6</v>
      </c>
      <c r="H576" s="153">
        <v>2829</v>
      </c>
      <c r="I576" s="46">
        <f t="shared" si="49"/>
        <v>594.09</v>
      </c>
      <c r="J576" s="100">
        <f t="shared" si="50"/>
        <v>1.0126718213058419</v>
      </c>
      <c r="K576" s="51">
        <f>VLOOKUP(B:B,'生產達成率(目標)'!A:C,3,0)</f>
        <v>1</v>
      </c>
      <c r="L576" s="20">
        <f t="shared" si="53"/>
        <v>1.2999999999999999E-2</v>
      </c>
      <c r="M576" s="235"/>
      <c r="N576" s="41"/>
      <c r="O576" s="150">
        <f t="shared" si="51"/>
        <v>11</v>
      </c>
      <c r="P576" s="41">
        <v>2818</v>
      </c>
      <c r="Q576" s="27">
        <f t="shared" si="52"/>
        <v>0.99611170024743723</v>
      </c>
      <c r="R576" s="23"/>
      <c r="S576" s="173"/>
      <c r="T576" s="30" t="s">
        <v>507</v>
      </c>
      <c r="U576" s="23"/>
      <c r="V576" s="458"/>
      <c r="W576" s="421"/>
      <c r="X576" s="458"/>
      <c r="Y576" s="421"/>
      <c r="Z576" s="421"/>
      <c r="AA576" s="421"/>
      <c r="AB576" s="421"/>
      <c r="AC576" s="421"/>
      <c r="AD576" s="421"/>
    </row>
    <row r="577" spans="1:30" s="22" customFormat="1" x14ac:dyDescent="0.4">
      <c r="A577" s="177" t="s">
        <v>780</v>
      </c>
      <c r="B577" s="149" t="s">
        <v>16</v>
      </c>
      <c r="C577" s="30" t="str">
        <f>VLOOKUP(B577,'112年全品項生產鍋數'!A:H,2,0)</f>
        <v>藍莓餡(1*6Kg)</v>
      </c>
      <c r="D577" s="285">
        <v>16</v>
      </c>
      <c r="E577" s="48">
        <f>VLOOKUP(B577,'112年全品項生產鍋數'!A:H,3,0)</f>
        <v>6</v>
      </c>
      <c r="F577" s="45">
        <f>VLOOKUP(B577,'112年全品項生產鍋數'!A:H,7,0)</f>
        <v>25.1</v>
      </c>
      <c r="G577" s="49">
        <f t="shared" si="48"/>
        <v>401.6</v>
      </c>
      <c r="H577" s="153">
        <v>409</v>
      </c>
      <c r="I577" s="46">
        <f t="shared" si="49"/>
        <v>2454</v>
      </c>
      <c r="J577" s="100">
        <f t="shared" si="50"/>
        <v>1.018426294820717</v>
      </c>
      <c r="K577" s="51">
        <f>VLOOKUP(B:B,'生產達成率(目標)'!A:C,3,0)</f>
        <v>1</v>
      </c>
      <c r="L577" s="20">
        <f t="shared" si="53"/>
        <v>1.7999999999999999E-2</v>
      </c>
      <c r="M577" s="235"/>
      <c r="N577" s="41"/>
      <c r="O577" s="150">
        <f t="shared" si="51"/>
        <v>2</v>
      </c>
      <c r="P577" s="41">
        <v>407</v>
      </c>
      <c r="Q577" s="27">
        <f t="shared" si="52"/>
        <v>0.99511002444987773</v>
      </c>
      <c r="R577" s="23"/>
      <c r="S577" s="173"/>
      <c r="T577" s="30"/>
      <c r="U577" s="23"/>
      <c r="V577" s="458"/>
      <c r="W577" s="421"/>
      <c r="X577" s="458"/>
      <c r="Y577" s="421"/>
      <c r="Z577" s="421"/>
      <c r="AA577" s="421"/>
      <c r="AB577" s="421"/>
      <c r="AC577" s="421"/>
      <c r="AD577" s="421"/>
    </row>
    <row r="578" spans="1:30" s="22" customFormat="1" x14ac:dyDescent="0.4">
      <c r="A578" s="177" t="s">
        <v>780</v>
      </c>
      <c r="B578" s="149" t="s">
        <v>72</v>
      </c>
      <c r="C578" s="30" t="str">
        <f>VLOOKUP(B578,'112年全品項生產鍋數'!A:H,2,0)</f>
        <v>草莓餡45%(1*6Kg)</v>
      </c>
      <c r="D578" s="285">
        <v>20</v>
      </c>
      <c r="E578" s="48">
        <f>VLOOKUP(B578,'112年全品項生產鍋數'!A:H,3,0)</f>
        <v>6</v>
      </c>
      <c r="F578" s="45">
        <f>VLOOKUP(B578,'112年全品項生產鍋數'!A:H,7,0)</f>
        <v>26.1</v>
      </c>
      <c r="G578" s="49">
        <f t="shared" ref="G578:G641" si="54">D578*F578</f>
        <v>522</v>
      </c>
      <c r="H578" s="153">
        <v>527</v>
      </c>
      <c r="I578" s="46">
        <f t="shared" ref="I578:I641" si="55">H578*E578</f>
        <v>3162</v>
      </c>
      <c r="J578" s="100">
        <f t="shared" ref="J578:J641" si="56">IF(G578=0,"無法預估數據",H578/G578)</f>
        <v>1.0095785440613028</v>
      </c>
      <c r="K578" s="51">
        <f>VLOOKUP(B:B,'生產達成率(目標)'!A:C,3,0)</f>
        <v>1</v>
      </c>
      <c r="L578" s="20">
        <f t="shared" si="53"/>
        <v>0.01</v>
      </c>
      <c r="M578" s="235"/>
      <c r="N578" s="41"/>
      <c r="O578" s="150">
        <f t="shared" ref="O578:O641" si="57">H578-N578-P578</f>
        <v>2</v>
      </c>
      <c r="P578" s="41">
        <v>525</v>
      </c>
      <c r="Q578" s="27">
        <f t="shared" ref="Q578:Q641" si="58">P578/H578</f>
        <v>0.99620493358633777</v>
      </c>
      <c r="R578" s="28"/>
      <c r="S578" s="173"/>
      <c r="T578" s="30"/>
      <c r="U578" s="23"/>
      <c r="V578" s="458"/>
      <c r="W578" s="421"/>
      <c r="X578" s="458"/>
      <c r="Y578" s="421"/>
      <c r="Z578" s="421"/>
      <c r="AA578" s="421"/>
      <c r="AB578" s="421"/>
      <c r="AC578" s="421"/>
      <c r="AD578" s="421"/>
    </row>
    <row r="579" spans="1:30" s="22" customFormat="1" x14ac:dyDescent="0.4">
      <c r="A579" s="177" t="s">
        <v>780</v>
      </c>
      <c r="B579" s="149" t="s">
        <v>9</v>
      </c>
      <c r="C579" s="30" t="str">
        <f>VLOOKUP(B579,'112年全品項生產鍋數'!A:H,2,0)</f>
        <v>＃1花生(1*2.8kg)</v>
      </c>
      <c r="D579" s="285">
        <v>72</v>
      </c>
      <c r="E579" s="48">
        <f>VLOOKUP(B579,'112年全品項生產鍋數'!A:H,3,0)</f>
        <v>2.8</v>
      </c>
      <c r="F579" s="45">
        <f>VLOOKUP(B579,'112年全品項生產鍋數'!A:H,7,0)</f>
        <v>44.5</v>
      </c>
      <c r="G579" s="49">
        <f t="shared" si="54"/>
        <v>3204</v>
      </c>
      <c r="H579" s="153">
        <v>3255</v>
      </c>
      <c r="I579" s="46">
        <f t="shared" si="55"/>
        <v>9114</v>
      </c>
      <c r="J579" s="100">
        <f t="shared" si="56"/>
        <v>1.0159176029962547</v>
      </c>
      <c r="K579" s="51">
        <f>VLOOKUP(B:B,'生產達成率(目標)'!A:C,3,0)</f>
        <v>1</v>
      </c>
      <c r="L579" s="20">
        <f t="shared" ref="L579:L642" si="59">IF(G579=0,"無法預估數據",ROUND(J579-K579,3))</f>
        <v>1.6E-2</v>
      </c>
      <c r="M579" s="235"/>
      <c r="N579" s="41"/>
      <c r="O579" s="150">
        <f t="shared" si="57"/>
        <v>1</v>
      </c>
      <c r="P579" s="41">
        <v>3254</v>
      </c>
      <c r="Q579" s="27">
        <f t="shared" si="58"/>
        <v>0.99969278033794162</v>
      </c>
      <c r="R579" s="23"/>
      <c r="S579" s="173"/>
      <c r="T579" s="30"/>
      <c r="U579" s="23"/>
      <c r="V579" s="458"/>
      <c r="W579" s="421"/>
      <c r="X579" s="458"/>
      <c r="Y579" s="421"/>
      <c r="Z579" s="421"/>
      <c r="AA579" s="421"/>
      <c r="AB579" s="421"/>
      <c r="AC579" s="421"/>
      <c r="AD579" s="421"/>
    </row>
    <row r="580" spans="1:30" s="22" customFormat="1" x14ac:dyDescent="0.4">
      <c r="A580" s="177" t="s">
        <v>781</v>
      </c>
      <c r="B580" s="149" t="s">
        <v>87</v>
      </c>
      <c r="C580" s="30" t="str">
        <f>VLOOKUP(B580,'112年全品項生產鍋數'!A:H,2,0)</f>
        <v>＃1藍莓(1*3.2kg)</v>
      </c>
      <c r="D580" s="285">
        <v>36</v>
      </c>
      <c r="E580" s="48">
        <f>VLOOKUP(B580,'112年全品項生產鍋數'!A:H,3,0)</f>
        <v>3.2</v>
      </c>
      <c r="F580" s="45">
        <f>VLOOKUP(B580,'112年全品項生產鍋數'!A:H,7,0)</f>
        <v>47.5</v>
      </c>
      <c r="G580" s="49">
        <f t="shared" si="54"/>
        <v>1710</v>
      </c>
      <c r="H580" s="153">
        <v>1725</v>
      </c>
      <c r="I580" s="46">
        <f t="shared" si="55"/>
        <v>5520</v>
      </c>
      <c r="J580" s="100">
        <f t="shared" si="56"/>
        <v>1.0087719298245614</v>
      </c>
      <c r="K580" s="51">
        <f>VLOOKUP(B:B,'生產達成率(目標)'!A:C,3,0)</f>
        <v>1</v>
      </c>
      <c r="L580" s="20">
        <f t="shared" si="59"/>
        <v>8.9999999999999993E-3</v>
      </c>
      <c r="M580" s="235"/>
      <c r="N580" s="41"/>
      <c r="O580" s="150">
        <f t="shared" si="57"/>
        <v>1</v>
      </c>
      <c r="P580" s="41">
        <v>1724</v>
      </c>
      <c r="Q580" s="27">
        <f t="shared" si="58"/>
        <v>0.99942028985507247</v>
      </c>
      <c r="R580" s="23"/>
      <c r="S580" s="173"/>
      <c r="T580" s="30"/>
      <c r="U580" s="23"/>
      <c r="V580" s="458"/>
      <c r="W580" s="421"/>
      <c r="X580" s="458"/>
      <c r="Y580" s="421"/>
      <c r="Z580" s="421"/>
      <c r="AA580" s="421"/>
      <c r="AB580" s="421"/>
      <c r="AC580" s="421"/>
      <c r="AD580" s="421"/>
    </row>
    <row r="581" spans="1:30" s="22" customFormat="1" x14ac:dyDescent="0.4">
      <c r="A581" s="177" t="s">
        <v>781</v>
      </c>
      <c r="B581" s="149" t="s">
        <v>15</v>
      </c>
      <c r="C581" s="30" t="str">
        <f>VLOOKUP(B581,'112年全品項生產鍋數'!A:H,2,0)</f>
        <v>＃1桔子(1*3.2kg)</v>
      </c>
      <c r="D581" s="285">
        <v>36</v>
      </c>
      <c r="E581" s="48">
        <f>VLOOKUP(B581,'112年全品項生產鍋數'!A:H,3,0)</f>
        <v>3.2</v>
      </c>
      <c r="F581" s="45">
        <f>VLOOKUP(B581,'112年全品項生產鍋數'!A:H,7,0)</f>
        <v>46.4</v>
      </c>
      <c r="G581" s="49">
        <f t="shared" si="54"/>
        <v>1670.3999999999999</v>
      </c>
      <c r="H581" s="153">
        <v>1675</v>
      </c>
      <c r="I581" s="46">
        <f t="shared" si="55"/>
        <v>5360</v>
      </c>
      <c r="J581" s="100">
        <f t="shared" si="56"/>
        <v>1.0027538314176245</v>
      </c>
      <c r="K581" s="51">
        <f>VLOOKUP(B:B,'生產達成率(目標)'!A:C,3,0)</f>
        <v>1</v>
      </c>
      <c r="L581" s="20">
        <f t="shared" si="59"/>
        <v>3.0000000000000001E-3</v>
      </c>
      <c r="M581" s="235"/>
      <c r="N581" s="41"/>
      <c r="O581" s="150">
        <f t="shared" si="57"/>
        <v>1</v>
      </c>
      <c r="P581" s="41">
        <v>1674</v>
      </c>
      <c r="Q581" s="27">
        <f t="shared" si="58"/>
        <v>0.99940298507462688</v>
      </c>
      <c r="R581" s="23"/>
      <c r="S581" s="173"/>
      <c r="T581" s="30"/>
      <c r="U581" s="23"/>
      <c r="V581" s="458"/>
      <c r="W581" s="421"/>
      <c r="X581" s="458"/>
      <c r="Y581" s="421"/>
      <c r="Z581" s="421"/>
      <c r="AA581" s="421"/>
      <c r="AB581" s="421"/>
      <c r="AC581" s="421"/>
      <c r="AD581" s="421"/>
    </row>
    <row r="582" spans="1:30" s="22" customFormat="1" x14ac:dyDescent="0.4">
      <c r="A582" s="177" t="s">
        <v>781</v>
      </c>
      <c r="B582" s="149" t="s">
        <v>134</v>
      </c>
      <c r="C582" s="30" t="str">
        <f>VLOOKUP(B582,'112年全品項生產鍋數'!A:H,2,0)</f>
        <v>草莓椰果餡(1*6Kg)</v>
      </c>
      <c r="D582" s="285">
        <v>16</v>
      </c>
      <c r="E582" s="48">
        <f>VLOOKUP(B582,'112年全品項生產鍋數'!A:H,3,0)</f>
        <v>6</v>
      </c>
      <c r="F582" s="45">
        <f>VLOOKUP(B582,'112年全品項生產鍋數'!A:H,7,0)</f>
        <v>26.4</v>
      </c>
      <c r="G582" s="49">
        <f t="shared" si="54"/>
        <v>422.4</v>
      </c>
      <c r="H582" s="153">
        <v>429</v>
      </c>
      <c r="I582" s="46">
        <f t="shared" si="55"/>
        <v>2574</v>
      </c>
      <c r="J582" s="100">
        <f t="shared" si="56"/>
        <v>1.015625</v>
      </c>
      <c r="K582" s="51">
        <f>VLOOKUP(B:B,'生產達成率(目標)'!A:C,3,0)</f>
        <v>1</v>
      </c>
      <c r="L582" s="20">
        <f t="shared" si="59"/>
        <v>1.6E-2</v>
      </c>
      <c r="M582" s="235"/>
      <c r="N582" s="41"/>
      <c r="O582" s="150">
        <f t="shared" si="57"/>
        <v>1</v>
      </c>
      <c r="P582" s="41">
        <v>428</v>
      </c>
      <c r="Q582" s="27">
        <f t="shared" si="58"/>
        <v>0.99766899766899764</v>
      </c>
      <c r="R582" s="23"/>
      <c r="S582" s="173"/>
      <c r="T582" s="30"/>
      <c r="U582" s="23"/>
      <c r="V582" s="458"/>
      <c r="W582" s="421"/>
      <c r="X582" s="458"/>
      <c r="Y582" s="421"/>
      <c r="Z582" s="421"/>
      <c r="AA582" s="421"/>
      <c r="AB582" s="421"/>
      <c r="AC582" s="421"/>
      <c r="AD582" s="421"/>
    </row>
    <row r="583" spans="1:30" s="22" customFormat="1" x14ac:dyDescent="0.4">
      <c r="A583" s="177" t="s">
        <v>781</v>
      </c>
      <c r="B583" s="149" t="s">
        <v>39</v>
      </c>
      <c r="C583" s="30" t="str">
        <f>VLOOKUP(B583,'112年全品項生產鍋數'!A:H,2,0)</f>
        <v>藍莓餡（大）(1*9.08kg)</v>
      </c>
      <c r="D583" s="285">
        <v>8</v>
      </c>
      <c r="E583" s="48">
        <f>VLOOKUP(B583,'112年全品項生產鍋數'!A:H,3,0)</f>
        <v>9.08</v>
      </c>
      <c r="F583" s="45">
        <f>VLOOKUP(B583,'112年全品項生產鍋數'!A:H,7,0)</f>
        <v>17.8</v>
      </c>
      <c r="G583" s="49">
        <f t="shared" si="54"/>
        <v>142.4</v>
      </c>
      <c r="H583" s="153">
        <v>143</v>
      </c>
      <c r="I583" s="46">
        <f t="shared" si="55"/>
        <v>1298.44</v>
      </c>
      <c r="J583" s="100">
        <f t="shared" si="56"/>
        <v>1.0042134831460674</v>
      </c>
      <c r="K583" s="51">
        <f>VLOOKUP(B:B,'生產達成率(目標)'!A:C,3,0)</f>
        <v>1</v>
      </c>
      <c r="L583" s="20">
        <f t="shared" si="59"/>
        <v>4.0000000000000001E-3</v>
      </c>
      <c r="M583" s="235"/>
      <c r="N583" s="41"/>
      <c r="O583" s="150">
        <f t="shared" si="57"/>
        <v>0</v>
      </c>
      <c r="P583" s="41">
        <v>143</v>
      </c>
      <c r="Q583" s="27">
        <f t="shared" si="58"/>
        <v>1</v>
      </c>
      <c r="R583" s="23"/>
      <c r="S583" s="173"/>
      <c r="T583" s="30"/>
      <c r="U583" s="23"/>
      <c r="V583" s="458"/>
      <c r="W583" s="421"/>
      <c r="X583" s="458"/>
      <c r="Y583" s="421"/>
      <c r="Z583" s="421"/>
      <c r="AA583" s="421"/>
      <c r="AB583" s="421"/>
      <c r="AC583" s="421"/>
      <c r="AD583" s="421"/>
    </row>
    <row r="584" spans="1:30" s="22" customFormat="1" x14ac:dyDescent="0.4">
      <c r="A584" s="177" t="s">
        <v>781</v>
      </c>
      <c r="B584" s="149" t="s">
        <v>38</v>
      </c>
      <c r="C584" s="30" t="str">
        <f>VLOOKUP(B584,'112年全品項生產鍋數'!A:H,2,0)</f>
        <v>藍莓餡（小）(1*4.5kg)</v>
      </c>
      <c r="D584" s="285">
        <v>4</v>
      </c>
      <c r="E584" s="48">
        <f>VLOOKUP(B584,'112年全品項生產鍋數'!A:H,3,0)</f>
        <v>4.5</v>
      </c>
      <c r="F584" s="45">
        <f>VLOOKUP(B584,'112年全品項生產鍋數'!A:H,7,0)</f>
        <v>35</v>
      </c>
      <c r="G584" s="49">
        <f t="shared" si="54"/>
        <v>140</v>
      </c>
      <c r="H584" s="153">
        <v>148</v>
      </c>
      <c r="I584" s="46">
        <f t="shared" si="55"/>
        <v>666</v>
      </c>
      <c r="J584" s="100">
        <f t="shared" si="56"/>
        <v>1.0571428571428572</v>
      </c>
      <c r="K584" s="51">
        <f>VLOOKUP(B:B,'生產達成率(目標)'!A:C,3,0)</f>
        <v>1</v>
      </c>
      <c r="L584" s="20">
        <f t="shared" si="59"/>
        <v>5.7000000000000002E-2</v>
      </c>
      <c r="M584" s="235"/>
      <c r="N584" s="41"/>
      <c r="O584" s="150">
        <f t="shared" si="57"/>
        <v>0</v>
      </c>
      <c r="P584" s="41">
        <v>148</v>
      </c>
      <c r="Q584" s="27">
        <f t="shared" si="58"/>
        <v>1</v>
      </c>
      <c r="R584" s="23"/>
      <c r="S584" s="173"/>
      <c r="T584" s="30"/>
      <c r="U584" s="23"/>
      <c r="V584" s="458"/>
      <c r="W584" s="421"/>
      <c r="X584" s="458"/>
      <c r="Y584" s="421"/>
      <c r="Z584" s="421"/>
      <c r="AA584" s="421"/>
      <c r="AB584" s="421"/>
      <c r="AC584" s="421"/>
      <c r="AD584" s="421"/>
    </row>
    <row r="585" spans="1:30" s="22" customFormat="1" x14ac:dyDescent="0.4">
      <c r="A585" s="177" t="s">
        <v>781</v>
      </c>
      <c r="B585" s="149" t="s">
        <v>4</v>
      </c>
      <c r="C585" s="30" t="str">
        <f>VLOOKUP(B585,'112年全品項生產鍋數'!A:H,2,0)</f>
        <v>PET大花生(1*400g)</v>
      </c>
      <c r="D585" s="285">
        <v>36</v>
      </c>
      <c r="E585" s="48">
        <f>VLOOKUP(B585,'112年全品項生產鍋數'!A:H,3,0)</f>
        <v>0.4</v>
      </c>
      <c r="F585" s="45">
        <f>VLOOKUP(B585,'112年全品項生產鍋數'!A:H,7,0)</f>
        <v>309.2</v>
      </c>
      <c r="G585" s="49">
        <f t="shared" si="54"/>
        <v>11131.199999999999</v>
      </c>
      <c r="H585" s="153">
        <v>11193</v>
      </c>
      <c r="I585" s="46">
        <f t="shared" si="55"/>
        <v>4477.2</v>
      </c>
      <c r="J585" s="100">
        <f t="shared" si="56"/>
        <v>1.005551962052609</v>
      </c>
      <c r="K585" s="51">
        <f>VLOOKUP(B:B,'生產達成率(目標)'!A:C,3,0)</f>
        <v>1</v>
      </c>
      <c r="L585" s="20">
        <f t="shared" si="59"/>
        <v>6.0000000000000001E-3</v>
      </c>
      <c r="M585" s="235"/>
      <c r="N585" s="41"/>
      <c r="O585" s="150">
        <f t="shared" si="57"/>
        <v>3</v>
      </c>
      <c r="P585" s="41">
        <v>11190</v>
      </c>
      <c r="Q585" s="27">
        <f t="shared" si="58"/>
        <v>0.99973197534173142</v>
      </c>
      <c r="R585" s="23"/>
      <c r="S585" s="173"/>
      <c r="T585" s="30"/>
      <c r="U585" s="23"/>
      <c r="V585" s="458"/>
      <c r="W585" s="421"/>
      <c r="X585" s="458"/>
      <c r="Y585" s="421"/>
      <c r="Z585" s="421"/>
      <c r="AA585" s="421"/>
      <c r="AB585" s="421"/>
      <c r="AC585" s="421"/>
      <c r="AD585" s="421"/>
    </row>
    <row r="586" spans="1:30" s="22" customFormat="1" x14ac:dyDescent="0.4">
      <c r="A586" s="177" t="s">
        <v>782</v>
      </c>
      <c r="B586" s="149" t="s">
        <v>150</v>
      </c>
      <c r="C586" s="30" t="str">
        <f>VLOOKUP(B586,'112年全品項生產鍋數'!A:H,2,0)</f>
        <v>鳳梨芒果百香果醬(1*6KG)</v>
      </c>
      <c r="D586" s="285">
        <v>12</v>
      </c>
      <c r="E586" s="48">
        <f>VLOOKUP(B586,'112年全品項生產鍋數'!A:H,3,0)</f>
        <v>6</v>
      </c>
      <c r="F586" s="45">
        <f>VLOOKUP(B586,'112年全品項生產鍋數'!A:H,7,0)</f>
        <v>25.7</v>
      </c>
      <c r="G586" s="49">
        <f t="shared" si="54"/>
        <v>308.39999999999998</v>
      </c>
      <c r="H586" s="153">
        <v>303</v>
      </c>
      <c r="I586" s="46">
        <f t="shared" si="55"/>
        <v>1818</v>
      </c>
      <c r="J586" s="100">
        <f t="shared" si="56"/>
        <v>0.98249027237354092</v>
      </c>
      <c r="K586" s="51">
        <f>VLOOKUP(B:B,'生產達成率(目標)'!A:C,3,0)</f>
        <v>1</v>
      </c>
      <c r="L586" s="20">
        <f t="shared" si="59"/>
        <v>-1.7999999999999999E-2</v>
      </c>
      <c r="M586" s="235"/>
      <c r="N586" s="41"/>
      <c r="O586" s="150">
        <f t="shared" si="57"/>
        <v>1</v>
      </c>
      <c r="P586" s="41">
        <v>302</v>
      </c>
      <c r="Q586" s="27">
        <f t="shared" si="58"/>
        <v>0.99669966996699666</v>
      </c>
      <c r="R586" s="23"/>
      <c r="S586" s="173"/>
      <c r="T586" s="30"/>
      <c r="U586" s="23"/>
      <c r="V586" s="458"/>
      <c r="W586" s="421"/>
      <c r="X586" s="458"/>
      <c r="Y586" s="421"/>
      <c r="Z586" s="421"/>
      <c r="AA586" s="421"/>
      <c r="AB586" s="421"/>
      <c r="AC586" s="421"/>
      <c r="AD586" s="421"/>
    </row>
    <row r="587" spans="1:30" s="22" customFormat="1" x14ac:dyDescent="0.4">
      <c r="A587" s="177" t="s">
        <v>782</v>
      </c>
      <c r="B587" s="149" t="s">
        <v>138</v>
      </c>
      <c r="C587" s="30" t="str">
        <f>VLOOKUP(B587,'112年全品項生產鍋數'!A:H,2,0)</f>
        <v>芒果蜜桃醬(1*6kg)</v>
      </c>
      <c r="D587" s="285">
        <v>6</v>
      </c>
      <c r="E587" s="48">
        <f>VLOOKUP(B587,'112年全品項生產鍋數'!A:H,3,0)</f>
        <v>6</v>
      </c>
      <c r="F587" s="45">
        <f>VLOOKUP(B587,'112年全品項生產鍋數'!A:H,7,0)</f>
        <v>25.6</v>
      </c>
      <c r="G587" s="49">
        <f t="shared" si="54"/>
        <v>153.60000000000002</v>
      </c>
      <c r="H587" s="153">
        <v>149</v>
      </c>
      <c r="I587" s="46">
        <f t="shared" si="55"/>
        <v>894</v>
      </c>
      <c r="J587" s="100">
        <f t="shared" si="56"/>
        <v>0.97005208333333315</v>
      </c>
      <c r="K587" s="51">
        <f>VLOOKUP(B:B,'生產達成率(目標)'!A:C,3,0)</f>
        <v>1</v>
      </c>
      <c r="L587" s="20">
        <f t="shared" si="59"/>
        <v>-0.03</v>
      </c>
      <c r="M587" s="235"/>
      <c r="N587" s="41"/>
      <c r="O587" s="150">
        <f t="shared" si="57"/>
        <v>0</v>
      </c>
      <c r="P587" s="41">
        <v>149</v>
      </c>
      <c r="Q587" s="27">
        <f t="shared" si="58"/>
        <v>1</v>
      </c>
      <c r="R587" s="23"/>
      <c r="S587" s="173"/>
      <c r="T587" s="30"/>
      <c r="U587" s="23"/>
      <c r="V587" s="458"/>
      <c r="W587" s="421"/>
      <c r="X587" s="458"/>
      <c r="Y587" s="421"/>
      <c r="Z587" s="421"/>
      <c r="AA587" s="421"/>
      <c r="AB587" s="421"/>
      <c r="AC587" s="421"/>
      <c r="AD587" s="421"/>
    </row>
    <row r="588" spans="1:30" s="22" customFormat="1" x14ac:dyDescent="0.4">
      <c r="A588" s="177" t="s">
        <v>782</v>
      </c>
      <c r="B588" s="149" t="s">
        <v>40</v>
      </c>
      <c r="C588" s="30" t="str">
        <f>VLOOKUP(B588,'112年全品項生產鍋數'!A:H,2,0)</f>
        <v>蜂蜜蘋果醬(1*6KG)</v>
      </c>
      <c r="D588" s="285">
        <v>6</v>
      </c>
      <c r="E588" s="48">
        <f>VLOOKUP(B588,'112年全品項生產鍋數'!A:H,3,0)</f>
        <v>6</v>
      </c>
      <c r="F588" s="45">
        <f>VLOOKUP(B588,'112年全品項生產鍋數'!A:H,7,0)</f>
        <v>25.2</v>
      </c>
      <c r="G588" s="49">
        <f t="shared" si="54"/>
        <v>151.19999999999999</v>
      </c>
      <c r="H588" s="153">
        <v>152</v>
      </c>
      <c r="I588" s="46">
        <f t="shared" si="55"/>
        <v>912</v>
      </c>
      <c r="J588" s="100">
        <f t="shared" si="56"/>
        <v>1.0052910052910053</v>
      </c>
      <c r="K588" s="51">
        <f>VLOOKUP(B:B,'生產達成率(目標)'!A:C,3,0)</f>
        <v>1</v>
      </c>
      <c r="L588" s="20">
        <f t="shared" si="59"/>
        <v>5.0000000000000001E-3</v>
      </c>
      <c r="M588" s="235"/>
      <c r="N588" s="41"/>
      <c r="O588" s="150">
        <f t="shared" si="57"/>
        <v>1</v>
      </c>
      <c r="P588" s="41">
        <v>151</v>
      </c>
      <c r="Q588" s="27">
        <f t="shared" si="58"/>
        <v>0.99342105263157898</v>
      </c>
      <c r="R588" s="23"/>
      <c r="S588" s="173"/>
      <c r="T588" s="30"/>
      <c r="U588" s="23"/>
      <c r="V588" s="458"/>
      <c r="W588" s="421"/>
      <c r="X588" s="458"/>
      <c r="Y588" s="421"/>
      <c r="Z588" s="421"/>
      <c r="AA588" s="421"/>
      <c r="AB588" s="421"/>
      <c r="AC588" s="421"/>
      <c r="AD588" s="421"/>
    </row>
    <row r="589" spans="1:30" s="22" customFormat="1" x14ac:dyDescent="0.4">
      <c r="A589" s="177" t="s">
        <v>782</v>
      </c>
      <c r="B589" s="149" t="s">
        <v>8</v>
      </c>
      <c r="C589" s="30" t="str">
        <f>VLOOKUP(B589,'112年全品項生產鍋數'!A:H,2,0)</f>
        <v>藍莓餡(1*6KG)</v>
      </c>
      <c r="D589" s="285">
        <v>16</v>
      </c>
      <c r="E589" s="48">
        <f>VLOOKUP(B589,'112年全品項生產鍋數'!A:H,3,0)</f>
        <v>6</v>
      </c>
      <c r="F589" s="45">
        <f>VLOOKUP(B589,'112年全品項生產鍋數'!A:H,7,0)</f>
        <v>25.4</v>
      </c>
      <c r="G589" s="49">
        <f t="shared" si="54"/>
        <v>406.4</v>
      </c>
      <c r="H589" s="153">
        <v>409</v>
      </c>
      <c r="I589" s="46">
        <f t="shared" si="55"/>
        <v>2454</v>
      </c>
      <c r="J589" s="100">
        <f t="shared" si="56"/>
        <v>1.0063976377952757</v>
      </c>
      <c r="K589" s="51">
        <f>VLOOKUP(B:B,'生產達成率(目標)'!A:C,3,0)</f>
        <v>1</v>
      </c>
      <c r="L589" s="20">
        <f t="shared" si="59"/>
        <v>6.0000000000000001E-3</v>
      </c>
      <c r="M589" s="235"/>
      <c r="N589" s="41"/>
      <c r="O589" s="150">
        <f t="shared" si="57"/>
        <v>1</v>
      </c>
      <c r="P589" s="41">
        <v>408</v>
      </c>
      <c r="Q589" s="27">
        <f t="shared" si="58"/>
        <v>0.99755501222493892</v>
      </c>
      <c r="R589" s="23"/>
      <c r="S589" s="173"/>
      <c r="T589" s="30"/>
      <c r="U589" s="23"/>
      <c r="V589" s="458"/>
      <c r="W589" s="421"/>
      <c r="X589" s="458"/>
      <c r="Y589" s="421"/>
      <c r="Z589" s="421"/>
      <c r="AA589" s="421"/>
      <c r="AB589" s="421"/>
      <c r="AC589" s="421"/>
      <c r="AD589" s="421"/>
    </row>
    <row r="590" spans="1:30" s="22" customFormat="1" x14ac:dyDescent="0.4">
      <c r="A590" s="177" t="s">
        <v>782</v>
      </c>
      <c r="B590" s="149" t="s">
        <v>7</v>
      </c>
      <c r="C590" s="30" t="str">
        <f>VLOOKUP(B590,'112年全品項生產鍋數'!A:H,2,0)</f>
        <v>草莓蒟蒻餡(1*6kg)</v>
      </c>
      <c r="D590" s="285">
        <v>24</v>
      </c>
      <c r="E590" s="48">
        <f>VLOOKUP(B590,'112年全品項生產鍋數'!A:H,3,0)</f>
        <v>6</v>
      </c>
      <c r="F590" s="45">
        <f>VLOOKUP(B590,'112年全品項生產鍋數'!A:H,7,0)</f>
        <v>25.7</v>
      </c>
      <c r="G590" s="49">
        <f t="shared" si="54"/>
        <v>616.79999999999995</v>
      </c>
      <c r="H590" s="153">
        <v>624</v>
      </c>
      <c r="I590" s="46">
        <f t="shared" si="55"/>
        <v>3744</v>
      </c>
      <c r="J590" s="100">
        <f t="shared" si="56"/>
        <v>1.0116731517509729</v>
      </c>
      <c r="K590" s="51">
        <f>VLOOKUP(B:B,'生產達成率(目標)'!A:C,3,0)</f>
        <v>1</v>
      </c>
      <c r="L590" s="20">
        <f t="shared" si="59"/>
        <v>1.2E-2</v>
      </c>
      <c r="M590" s="235"/>
      <c r="N590" s="41"/>
      <c r="O590" s="150">
        <f t="shared" si="57"/>
        <v>1</v>
      </c>
      <c r="P590" s="41">
        <v>623</v>
      </c>
      <c r="Q590" s="27">
        <f t="shared" si="58"/>
        <v>0.9983974358974359</v>
      </c>
      <c r="R590" s="23"/>
      <c r="S590" s="173"/>
      <c r="T590" s="30"/>
      <c r="U590" s="23"/>
      <c r="V590" s="458"/>
      <c r="W590" s="421"/>
      <c r="X590" s="458"/>
      <c r="Y590" s="421"/>
      <c r="Z590" s="421"/>
      <c r="AA590" s="421"/>
      <c r="AB590" s="421"/>
      <c r="AC590" s="421"/>
      <c r="AD590" s="421"/>
    </row>
    <row r="591" spans="1:30" s="22" customFormat="1" x14ac:dyDescent="0.4">
      <c r="A591" s="177" t="s">
        <v>782</v>
      </c>
      <c r="B591" s="149" t="s">
        <v>9</v>
      </c>
      <c r="C591" s="30" t="str">
        <f>VLOOKUP(B591,'112年全品項生產鍋數'!A:H,2,0)</f>
        <v>＃1花生(1*2.8kg)</v>
      </c>
      <c r="D591" s="285">
        <v>72</v>
      </c>
      <c r="E591" s="48">
        <f>VLOOKUP(B591,'112年全品項生產鍋數'!A:H,3,0)</f>
        <v>2.8</v>
      </c>
      <c r="F591" s="45">
        <f>VLOOKUP(B591,'112年全品項生產鍋數'!A:H,7,0)</f>
        <v>44.5</v>
      </c>
      <c r="G591" s="49">
        <f t="shared" si="54"/>
        <v>3204</v>
      </c>
      <c r="H591" s="153">
        <v>3223</v>
      </c>
      <c r="I591" s="46">
        <f t="shared" si="55"/>
        <v>9024.4</v>
      </c>
      <c r="J591" s="100">
        <f t="shared" si="56"/>
        <v>1.0059300873907615</v>
      </c>
      <c r="K591" s="51">
        <f>VLOOKUP(B:B,'生產達成率(目標)'!A:C,3,0)</f>
        <v>1</v>
      </c>
      <c r="L591" s="20">
        <f t="shared" si="59"/>
        <v>6.0000000000000001E-3</v>
      </c>
      <c r="M591" s="235"/>
      <c r="N591" s="41"/>
      <c r="O591" s="150">
        <f t="shared" si="57"/>
        <v>1</v>
      </c>
      <c r="P591" s="41">
        <v>3222</v>
      </c>
      <c r="Q591" s="27">
        <f t="shared" si="58"/>
        <v>0.99968973006515671</v>
      </c>
      <c r="R591" s="23"/>
      <c r="S591" s="173"/>
      <c r="T591" s="30"/>
      <c r="U591" s="23"/>
      <c r="V591" s="458"/>
      <c r="W591" s="421"/>
      <c r="X591" s="458"/>
      <c r="Y591" s="421"/>
      <c r="Z591" s="421"/>
      <c r="AA591" s="421"/>
      <c r="AB591" s="421"/>
      <c r="AC591" s="421"/>
      <c r="AD591" s="421"/>
    </row>
    <row r="592" spans="1:30" s="22" customFormat="1" x14ac:dyDescent="0.4">
      <c r="A592" s="177" t="s">
        <v>783</v>
      </c>
      <c r="B592" s="149" t="s">
        <v>7</v>
      </c>
      <c r="C592" s="30" t="str">
        <f>VLOOKUP(B592,'112年全品項生產鍋數'!A:H,2,0)</f>
        <v>草莓蒟蒻餡(1*6kg)</v>
      </c>
      <c r="D592" s="285">
        <v>24</v>
      </c>
      <c r="E592" s="48">
        <f>VLOOKUP(B592,'112年全品項生產鍋數'!A:H,3,0)</f>
        <v>6</v>
      </c>
      <c r="F592" s="45">
        <f>VLOOKUP(B592,'112年全品項生產鍋數'!A:H,7,0)</f>
        <v>25.7</v>
      </c>
      <c r="G592" s="49">
        <f t="shared" si="54"/>
        <v>616.79999999999995</v>
      </c>
      <c r="H592" s="153">
        <v>619</v>
      </c>
      <c r="I592" s="46">
        <f t="shared" si="55"/>
        <v>3714</v>
      </c>
      <c r="J592" s="100">
        <f t="shared" si="56"/>
        <v>1.0035667963683528</v>
      </c>
      <c r="K592" s="51">
        <f>VLOOKUP(B:B,'生產達成率(目標)'!A:C,3,0)</f>
        <v>1</v>
      </c>
      <c r="L592" s="20">
        <f t="shared" si="59"/>
        <v>4.0000000000000001E-3</v>
      </c>
      <c r="M592" s="235"/>
      <c r="N592" s="41"/>
      <c r="O592" s="150">
        <f t="shared" si="57"/>
        <v>2</v>
      </c>
      <c r="P592" s="41">
        <v>617</v>
      </c>
      <c r="Q592" s="27">
        <f t="shared" si="58"/>
        <v>0.99676898222940225</v>
      </c>
      <c r="R592" s="23"/>
      <c r="S592" s="173"/>
      <c r="T592" s="30"/>
      <c r="U592" s="23"/>
      <c r="V592" s="458"/>
      <c r="W592" s="421"/>
      <c r="X592" s="458"/>
      <c r="Y592" s="421"/>
      <c r="Z592" s="421"/>
      <c r="AA592" s="421"/>
      <c r="AB592" s="421"/>
      <c r="AC592" s="421"/>
      <c r="AD592" s="421"/>
    </row>
    <row r="593" spans="1:30" s="22" customFormat="1" x14ac:dyDescent="0.4">
      <c r="A593" s="177" t="s">
        <v>783</v>
      </c>
      <c r="B593" s="149" t="s">
        <v>31</v>
      </c>
      <c r="C593" s="30" t="str">
        <f>VLOOKUP(B593,'112年全品項生產鍋數'!A:H,2,0)</f>
        <v>天天開心芒果餡4.5KG</v>
      </c>
      <c r="D593" s="285">
        <v>12</v>
      </c>
      <c r="E593" s="48">
        <f>VLOOKUP(B593,'112年全品項生產鍋數'!A:H,3,0)</f>
        <v>4.5</v>
      </c>
      <c r="F593" s="45">
        <f>VLOOKUP(B593,'112年全品項生產鍋數'!A:H,7,0)</f>
        <v>33.200000000000003</v>
      </c>
      <c r="G593" s="49">
        <f t="shared" si="54"/>
        <v>398.40000000000003</v>
      </c>
      <c r="H593" s="153">
        <v>400</v>
      </c>
      <c r="I593" s="46">
        <f t="shared" si="55"/>
        <v>1800</v>
      </c>
      <c r="J593" s="100">
        <f t="shared" si="56"/>
        <v>1.0040160642570279</v>
      </c>
      <c r="K593" s="51">
        <f>VLOOKUP(B:B,'生產達成率(目標)'!A:C,3,0)</f>
        <v>1</v>
      </c>
      <c r="L593" s="20">
        <f t="shared" si="59"/>
        <v>4.0000000000000001E-3</v>
      </c>
      <c r="M593" s="235"/>
      <c r="N593" s="41"/>
      <c r="O593" s="150">
        <f t="shared" si="57"/>
        <v>0</v>
      </c>
      <c r="P593" s="41">
        <v>400</v>
      </c>
      <c r="Q593" s="27">
        <f t="shared" si="58"/>
        <v>1</v>
      </c>
      <c r="R593" s="23"/>
      <c r="S593" s="173"/>
      <c r="T593" s="30"/>
      <c r="U593" s="23"/>
      <c r="V593" s="458"/>
      <c r="W593" s="421"/>
      <c r="X593" s="458"/>
      <c r="Y593" s="421"/>
      <c r="Z593" s="421"/>
      <c r="AA593" s="421"/>
      <c r="AB593" s="421"/>
      <c r="AC593" s="421"/>
      <c r="AD593" s="421"/>
    </row>
    <row r="594" spans="1:30" s="22" customFormat="1" x14ac:dyDescent="0.4">
      <c r="A594" s="177" t="s">
        <v>783</v>
      </c>
      <c r="B594" s="149" t="s">
        <v>141</v>
      </c>
      <c r="C594" s="30" t="str">
        <f>VLOOKUP(B594,'112年全品項生產鍋數'!A:H,2,0)</f>
        <v>顆粒花生醬(1*12KG)</v>
      </c>
      <c r="D594" s="285">
        <v>18</v>
      </c>
      <c r="E594" s="48">
        <f>VLOOKUP(B594,'112年全品項生產鍋數'!A:H,3,0)</f>
        <v>3</v>
      </c>
      <c r="F594" s="45">
        <f>VLOOKUP(B594,'112年全品項生產鍋數'!A:H,7,0)</f>
        <v>30.8</v>
      </c>
      <c r="G594" s="49">
        <f t="shared" si="54"/>
        <v>554.4</v>
      </c>
      <c r="H594" s="153">
        <v>556</v>
      </c>
      <c r="I594" s="46">
        <f t="shared" si="55"/>
        <v>1668</v>
      </c>
      <c r="J594" s="100">
        <f t="shared" si="56"/>
        <v>1.0028860028860029</v>
      </c>
      <c r="K594" s="51">
        <f>VLOOKUP(B:B,'生產達成率(目標)'!A:C,3,0)</f>
        <v>1</v>
      </c>
      <c r="L594" s="20">
        <f t="shared" si="59"/>
        <v>3.0000000000000001E-3</v>
      </c>
      <c r="M594" s="235"/>
      <c r="N594" s="41"/>
      <c r="O594" s="150">
        <f t="shared" si="57"/>
        <v>0</v>
      </c>
      <c r="P594" s="41">
        <v>556</v>
      </c>
      <c r="Q594" s="27">
        <f t="shared" si="58"/>
        <v>1</v>
      </c>
      <c r="R594" s="23"/>
      <c r="S594" s="173"/>
      <c r="T594" s="30"/>
      <c r="U594" s="23"/>
      <c r="V594" s="458"/>
      <c r="W594" s="421"/>
      <c r="X594" s="458"/>
      <c r="Y594" s="421"/>
      <c r="Z594" s="421"/>
      <c r="AA594" s="421"/>
      <c r="AB594" s="421"/>
      <c r="AC594" s="421"/>
      <c r="AD594" s="421"/>
    </row>
    <row r="595" spans="1:30" s="22" customFormat="1" x14ac:dyDescent="0.4">
      <c r="A595" s="177" t="s">
        <v>783</v>
      </c>
      <c r="B595" s="149" t="s">
        <v>33</v>
      </c>
      <c r="C595" s="30" t="str">
        <f>VLOOKUP(B595,'112年全品項生產鍋數'!A:H,2,0)</f>
        <v>深烤焙花生醬(1*18KG)</v>
      </c>
      <c r="D595" s="285">
        <v>60</v>
      </c>
      <c r="E595" s="48">
        <f>VLOOKUP(B595,'112年全品項生產鍋數'!A:H,3,0)</f>
        <v>18</v>
      </c>
      <c r="F595" s="45">
        <f>VLOOKUP(B595,'112年全品項生產鍋數'!A:H,7,0)</f>
        <v>6.9</v>
      </c>
      <c r="G595" s="49">
        <f t="shared" si="54"/>
        <v>414</v>
      </c>
      <c r="H595" s="153">
        <v>419</v>
      </c>
      <c r="I595" s="46">
        <f t="shared" si="55"/>
        <v>7542</v>
      </c>
      <c r="J595" s="100">
        <f t="shared" si="56"/>
        <v>1.0120772946859904</v>
      </c>
      <c r="K595" s="51">
        <f>VLOOKUP(B:B,'生產達成率(目標)'!A:C,3,0)</f>
        <v>1</v>
      </c>
      <c r="L595" s="20">
        <f t="shared" si="59"/>
        <v>1.2E-2</v>
      </c>
      <c r="M595" s="235"/>
      <c r="N595" s="41"/>
      <c r="O595" s="150">
        <f t="shared" si="57"/>
        <v>0</v>
      </c>
      <c r="P595" s="41">
        <v>419</v>
      </c>
      <c r="Q595" s="27">
        <f t="shared" si="58"/>
        <v>1</v>
      </c>
      <c r="R595" s="23"/>
      <c r="S595" s="173"/>
      <c r="T595" s="30"/>
      <c r="U595" s="23"/>
      <c r="V595" s="458"/>
      <c r="W595" s="421"/>
      <c r="X595" s="458"/>
      <c r="Y595" s="421"/>
      <c r="Z595" s="421"/>
      <c r="AA595" s="421"/>
      <c r="AB595" s="421"/>
      <c r="AC595" s="421"/>
      <c r="AD595" s="421"/>
    </row>
    <row r="596" spans="1:30" s="22" customFormat="1" x14ac:dyDescent="0.4">
      <c r="A596" s="177" t="s">
        <v>784</v>
      </c>
      <c r="B596" s="149" t="s">
        <v>12</v>
      </c>
      <c r="C596" s="30" t="str">
        <f>VLOOKUP(B596,'112年全品項生產鍋數'!A:H,2,0)</f>
        <v>＃1草莓(1*3.2kg)</v>
      </c>
      <c r="D596" s="285">
        <v>64</v>
      </c>
      <c r="E596" s="48">
        <f>VLOOKUP(B596,'112年全品項生產鍋數'!A:H,3,0)</f>
        <v>3.2</v>
      </c>
      <c r="F596" s="45">
        <f>VLOOKUP(B596,'112年全品項生產鍋數'!A:H,7,0)</f>
        <v>46.8</v>
      </c>
      <c r="G596" s="49">
        <f t="shared" si="54"/>
        <v>2995.2</v>
      </c>
      <c r="H596" s="153">
        <v>3043</v>
      </c>
      <c r="I596" s="46">
        <f t="shared" si="55"/>
        <v>9737.6</v>
      </c>
      <c r="J596" s="100">
        <f t="shared" si="56"/>
        <v>1.0159588675213675</v>
      </c>
      <c r="K596" s="51">
        <f>VLOOKUP(B:B,'生產達成率(目標)'!A:C,3,0)</f>
        <v>1</v>
      </c>
      <c r="L596" s="20">
        <f t="shared" si="59"/>
        <v>1.6E-2</v>
      </c>
      <c r="M596" s="235"/>
      <c r="N596" s="41"/>
      <c r="O596" s="150">
        <f t="shared" si="57"/>
        <v>4</v>
      </c>
      <c r="P596" s="41">
        <v>3039</v>
      </c>
      <c r="Q596" s="27">
        <f t="shared" si="58"/>
        <v>0.99868550772264209</v>
      </c>
      <c r="R596" s="23"/>
      <c r="S596" s="173"/>
      <c r="T596" s="30"/>
      <c r="U596" s="23"/>
      <c r="V596" s="458"/>
      <c r="W596" s="421"/>
      <c r="X596" s="458"/>
      <c r="Y596" s="421"/>
      <c r="Z596" s="421"/>
      <c r="AA596" s="421"/>
      <c r="AB596" s="421"/>
      <c r="AC596" s="421"/>
      <c r="AD596" s="421"/>
    </row>
    <row r="597" spans="1:30" s="22" customFormat="1" x14ac:dyDescent="0.4">
      <c r="A597" s="177" t="s">
        <v>784</v>
      </c>
      <c r="B597" s="149" t="s">
        <v>7</v>
      </c>
      <c r="C597" s="30" t="str">
        <f>VLOOKUP(B597,'112年全品項生產鍋數'!A:H,2,0)</f>
        <v>草莓蒟蒻餡(1*6kg)</v>
      </c>
      <c r="D597" s="285">
        <v>16</v>
      </c>
      <c r="E597" s="48">
        <f>VLOOKUP(B597,'112年全品項生產鍋數'!A:H,3,0)</f>
        <v>6</v>
      </c>
      <c r="F597" s="45">
        <f>VLOOKUP(B597,'112年全品項生產鍋數'!A:H,7,0)</f>
        <v>25.7</v>
      </c>
      <c r="G597" s="49">
        <f t="shared" si="54"/>
        <v>411.2</v>
      </c>
      <c r="H597" s="153">
        <v>415</v>
      </c>
      <c r="I597" s="46">
        <f t="shared" si="55"/>
        <v>2490</v>
      </c>
      <c r="J597" s="100">
        <f t="shared" si="56"/>
        <v>1.0092412451361867</v>
      </c>
      <c r="K597" s="51">
        <f>VLOOKUP(B:B,'生產達成率(目標)'!A:C,3,0)</f>
        <v>1</v>
      </c>
      <c r="L597" s="20">
        <f t="shared" si="59"/>
        <v>8.9999999999999993E-3</v>
      </c>
      <c r="M597" s="235"/>
      <c r="N597" s="41"/>
      <c r="O597" s="150">
        <f t="shared" si="57"/>
        <v>2</v>
      </c>
      <c r="P597" s="41">
        <v>413</v>
      </c>
      <c r="Q597" s="27">
        <f t="shared" si="58"/>
        <v>0.99518072289156623</v>
      </c>
      <c r="R597" s="23"/>
      <c r="S597" s="173"/>
      <c r="T597" s="30"/>
      <c r="U597" s="23"/>
      <c r="V597" s="458"/>
      <c r="W597" s="421"/>
      <c r="X597" s="458"/>
      <c r="Y597" s="421"/>
      <c r="Z597" s="421"/>
      <c r="AA597" s="421"/>
      <c r="AB597" s="421"/>
      <c r="AC597" s="421"/>
      <c r="AD597" s="421"/>
    </row>
    <row r="598" spans="1:30" s="22" customFormat="1" x14ac:dyDescent="0.4">
      <c r="A598" s="177" t="s">
        <v>784</v>
      </c>
      <c r="B598" s="149" t="s">
        <v>387</v>
      </c>
      <c r="C598" s="30" t="str">
        <f>VLOOKUP(B598,'112年全品項生產鍋數'!A:H,2,0)</f>
        <v>開心草莓餡P(1*6KG)</v>
      </c>
      <c r="D598" s="285">
        <v>6</v>
      </c>
      <c r="E598" s="48">
        <f>VLOOKUP(B598,'112年全品項生產鍋數'!A:H,3,0)</f>
        <v>6</v>
      </c>
      <c r="F598" s="45">
        <f>VLOOKUP(B598,'112年全品項生產鍋數'!A:H,7,0)</f>
        <v>25.3</v>
      </c>
      <c r="G598" s="49">
        <f t="shared" si="54"/>
        <v>151.80000000000001</v>
      </c>
      <c r="H598" s="153">
        <v>150</v>
      </c>
      <c r="I598" s="46">
        <f t="shared" si="55"/>
        <v>900</v>
      </c>
      <c r="J598" s="100">
        <f t="shared" si="56"/>
        <v>0.98814229249011853</v>
      </c>
      <c r="K598" s="51">
        <f>VLOOKUP(B:B,'生產達成率(目標)'!A:C,3,0)</f>
        <v>1</v>
      </c>
      <c r="L598" s="20">
        <f t="shared" si="59"/>
        <v>-1.2E-2</v>
      </c>
      <c r="M598" s="235"/>
      <c r="N598" s="41"/>
      <c r="O598" s="150">
        <f t="shared" si="57"/>
        <v>1</v>
      </c>
      <c r="P598" s="41">
        <v>149</v>
      </c>
      <c r="Q598" s="27">
        <f t="shared" si="58"/>
        <v>0.99333333333333329</v>
      </c>
      <c r="R598" s="23"/>
      <c r="S598" s="173"/>
      <c r="T598" s="30"/>
      <c r="U598" s="23"/>
      <c r="V598" s="458"/>
      <c r="W598" s="421"/>
      <c r="X598" s="458"/>
      <c r="Y598" s="421"/>
      <c r="Z598" s="421"/>
      <c r="AA598" s="421"/>
      <c r="AB598" s="421"/>
      <c r="AC598" s="421"/>
      <c r="AD598" s="421"/>
    </row>
    <row r="599" spans="1:30" s="22" customFormat="1" x14ac:dyDescent="0.4">
      <c r="A599" s="177" t="s">
        <v>784</v>
      </c>
      <c r="B599" s="149" t="s">
        <v>1</v>
      </c>
      <c r="C599" s="30" t="str">
        <f>VLOOKUP(B599,'112年全品項生產鍋數'!A:H,2,0)</f>
        <v>藍莓醬(1*6kg)</v>
      </c>
      <c r="D599" s="285">
        <v>20</v>
      </c>
      <c r="E599" s="48">
        <f>VLOOKUP(B599,'112年全品項生產鍋數'!A:H,3,0)</f>
        <v>6</v>
      </c>
      <c r="F599" s="45">
        <f>VLOOKUP(B599,'112年全品項生產鍋數'!A:H,7,0)</f>
        <v>25.5</v>
      </c>
      <c r="G599" s="49">
        <f t="shared" si="54"/>
        <v>510</v>
      </c>
      <c r="H599" s="153">
        <v>514</v>
      </c>
      <c r="I599" s="46">
        <f t="shared" si="55"/>
        <v>3084</v>
      </c>
      <c r="J599" s="100">
        <f t="shared" si="56"/>
        <v>1.0078431372549019</v>
      </c>
      <c r="K599" s="51">
        <f>VLOOKUP(B:B,'生產達成率(目標)'!A:C,3,0)</f>
        <v>1</v>
      </c>
      <c r="L599" s="20">
        <f t="shared" si="59"/>
        <v>8.0000000000000002E-3</v>
      </c>
      <c r="M599" s="235"/>
      <c r="N599" s="41"/>
      <c r="O599" s="150">
        <f t="shared" si="57"/>
        <v>3</v>
      </c>
      <c r="P599" s="41">
        <v>511</v>
      </c>
      <c r="Q599" s="27">
        <f t="shared" si="58"/>
        <v>0.99416342412451364</v>
      </c>
      <c r="R599" s="23"/>
      <c r="S599" s="173"/>
      <c r="T599" s="30"/>
      <c r="U599" s="23"/>
      <c r="V599" s="458"/>
      <c r="W599" s="421"/>
      <c r="X599" s="458"/>
      <c r="Y599" s="421"/>
      <c r="Z599" s="421"/>
      <c r="AA599" s="421"/>
      <c r="AB599" s="421"/>
      <c r="AC599" s="421"/>
      <c r="AD599" s="421"/>
    </row>
    <row r="600" spans="1:30" s="22" customFormat="1" x14ac:dyDescent="0.4">
      <c r="A600" s="177" t="s">
        <v>784</v>
      </c>
      <c r="B600" s="149" t="s">
        <v>9</v>
      </c>
      <c r="C600" s="30" t="str">
        <f>VLOOKUP(B600,'112年全品項生產鍋數'!A:H,2,0)</f>
        <v>＃1花生(1*2.8kg)</v>
      </c>
      <c r="D600" s="285">
        <v>72</v>
      </c>
      <c r="E600" s="48">
        <f>VLOOKUP(B600,'112年全品項生產鍋數'!A:H,3,0)</f>
        <v>2.8</v>
      </c>
      <c r="F600" s="45">
        <f>VLOOKUP(B600,'112年全品項生產鍋數'!A:H,7,0)</f>
        <v>44.5</v>
      </c>
      <c r="G600" s="49">
        <f t="shared" si="54"/>
        <v>3204</v>
      </c>
      <c r="H600" s="153">
        <v>3223</v>
      </c>
      <c r="I600" s="46">
        <f t="shared" si="55"/>
        <v>9024.4</v>
      </c>
      <c r="J600" s="100">
        <f t="shared" si="56"/>
        <v>1.0059300873907615</v>
      </c>
      <c r="K600" s="51">
        <f>VLOOKUP(B:B,'生產達成率(目標)'!A:C,3,0)</f>
        <v>1</v>
      </c>
      <c r="L600" s="20">
        <f t="shared" si="59"/>
        <v>6.0000000000000001E-3</v>
      </c>
      <c r="M600" s="235"/>
      <c r="N600" s="41"/>
      <c r="O600" s="150">
        <f t="shared" si="57"/>
        <v>1</v>
      </c>
      <c r="P600" s="41">
        <v>3222</v>
      </c>
      <c r="Q600" s="27">
        <f t="shared" si="58"/>
        <v>0.99968973006515671</v>
      </c>
      <c r="R600" s="23"/>
      <c r="S600" s="173"/>
      <c r="T600" s="30"/>
      <c r="U600" s="23"/>
      <c r="V600" s="458"/>
      <c r="W600" s="421"/>
      <c r="X600" s="458"/>
      <c r="Y600" s="421"/>
      <c r="Z600" s="421"/>
      <c r="AA600" s="421"/>
      <c r="AB600" s="421"/>
      <c r="AC600" s="421"/>
      <c r="AD600" s="421"/>
    </row>
    <row r="601" spans="1:30" s="22" customFormat="1" x14ac:dyDescent="0.4">
      <c r="A601" s="177" t="s">
        <v>785</v>
      </c>
      <c r="B601" s="149" t="s">
        <v>19</v>
      </c>
      <c r="C601" s="30" t="str">
        <f>VLOOKUP(B601,'112年全品項生產鍋數'!A:H,2,0)</f>
        <v>＃2藍莓(1*900g)</v>
      </c>
      <c r="D601" s="285">
        <v>20</v>
      </c>
      <c r="E601" s="48">
        <f>VLOOKUP(B601,'112年全品項生產鍋數'!A:H,3,0)</f>
        <v>0.9</v>
      </c>
      <c r="F601" s="45">
        <f>VLOOKUP(B601,'112年全品項生產鍋數'!A:H,7,0)</f>
        <v>163</v>
      </c>
      <c r="G601" s="49">
        <f t="shared" si="54"/>
        <v>3260</v>
      </c>
      <c r="H601" s="153">
        <v>3304</v>
      </c>
      <c r="I601" s="46">
        <f t="shared" si="55"/>
        <v>2973.6</v>
      </c>
      <c r="J601" s="100">
        <f t="shared" si="56"/>
        <v>1.0134969325153373</v>
      </c>
      <c r="K601" s="51">
        <f>VLOOKUP(B:B,'生產達成率(目標)'!A:C,3,0)</f>
        <v>1</v>
      </c>
      <c r="L601" s="20">
        <f t="shared" si="59"/>
        <v>1.2999999999999999E-2</v>
      </c>
      <c r="M601" s="235"/>
      <c r="N601" s="41"/>
      <c r="O601" s="150">
        <f t="shared" si="57"/>
        <v>7</v>
      </c>
      <c r="P601" s="41">
        <v>3297</v>
      </c>
      <c r="Q601" s="27">
        <f t="shared" si="58"/>
        <v>0.9978813559322034</v>
      </c>
      <c r="R601" s="23"/>
      <c r="S601" s="173"/>
      <c r="T601" s="30"/>
      <c r="U601" s="23"/>
      <c r="V601" s="458"/>
      <c r="W601" s="421"/>
      <c r="X601" s="458"/>
      <c r="Y601" s="421"/>
      <c r="Z601" s="421"/>
      <c r="AA601" s="421"/>
      <c r="AB601" s="421"/>
      <c r="AC601" s="421"/>
      <c r="AD601" s="421"/>
    </row>
    <row r="602" spans="1:30" s="22" customFormat="1" x14ac:dyDescent="0.4">
      <c r="A602" s="177" t="s">
        <v>785</v>
      </c>
      <c r="B602" s="149" t="s">
        <v>11</v>
      </c>
      <c r="C602" s="30" t="str">
        <f>VLOOKUP(B602,'112年全品項生產鍋數'!A:H,2,0)</f>
        <v>#2草莓果醬(1*900g)</v>
      </c>
      <c r="D602" s="285">
        <v>20</v>
      </c>
      <c r="E602" s="48">
        <f>VLOOKUP(B602,'112年全品項生產鍋數'!A:H,3,0)</f>
        <v>0.9</v>
      </c>
      <c r="F602" s="45">
        <f>VLOOKUP(B602,'112年全品項生產鍋數'!A:H,7,0)</f>
        <v>160.5</v>
      </c>
      <c r="G602" s="49">
        <f t="shared" si="54"/>
        <v>3210</v>
      </c>
      <c r="H602" s="153">
        <v>3207</v>
      </c>
      <c r="I602" s="46">
        <f t="shared" si="55"/>
        <v>2886.3</v>
      </c>
      <c r="J602" s="100">
        <f t="shared" si="56"/>
        <v>0.99906542056074765</v>
      </c>
      <c r="K602" s="51">
        <f>VLOOKUP(B:B,'生產達成率(目標)'!A:C,3,0)</f>
        <v>1</v>
      </c>
      <c r="L602" s="20">
        <f t="shared" si="59"/>
        <v>-1E-3</v>
      </c>
      <c r="M602" s="235"/>
      <c r="N602" s="41"/>
      <c r="O602" s="150">
        <f t="shared" si="57"/>
        <v>7</v>
      </c>
      <c r="P602" s="41">
        <v>3200</v>
      </c>
      <c r="Q602" s="27">
        <f t="shared" si="58"/>
        <v>0.99781727471156845</v>
      </c>
      <c r="R602" s="23"/>
      <c r="S602" s="173"/>
      <c r="T602" s="30"/>
      <c r="U602" s="23"/>
      <c r="V602" s="458"/>
      <c r="W602" s="421"/>
      <c r="X602" s="458"/>
      <c r="Y602" s="421"/>
      <c r="Z602" s="421"/>
      <c r="AA602" s="421"/>
      <c r="AB602" s="421"/>
      <c r="AC602" s="421"/>
      <c r="AD602" s="421"/>
    </row>
    <row r="603" spans="1:30" s="22" customFormat="1" x14ac:dyDescent="0.4">
      <c r="A603" s="177" t="s">
        <v>785</v>
      </c>
      <c r="B603" s="149" t="s">
        <v>355</v>
      </c>
      <c r="C603" s="30" t="str">
        <f>VLOOKUP(B603,'112年全品項生產鍋數'!A:H,2,0)</f>
        <v>蘋果餡(1*6Kg)</v>
      </c>
      <c r="D603" s="285">
        <v>6</v>
      </c>
      <c r="E603" s="48">
        <f>VLOOKUP(B603,'112年全品項生產鍋數'!A:H,3,0)</f>
        <v>6</v>
      </c>
      <c r="F603" s="45">
        <f>VLOOKUP(B603,'112年全品項生產鍋數'!A:H,7,0)</f>
        <v>25.3</v>
      </c>
      <c r="G603" s="49">
        <f t="shared" si="54"/>
        <v>151.80000000000001</v>
      </c>
      <c r="H603" s="153">
        <v>153</v>
      </c>
      <c r="I603" s="46">
        <f t="shared" si="55"/>
        <v>918</v>
      </c>
      <c r="J603" s="100">
        <f t="shared" si="56"/>
        <v>1.0079051383399209</v>
      </c>
      <c r="K603" s="51">
        <f>VLOOKUP(B:B,'生產達成率(目標)'!A:C,3,0)</f>
        <v>1</v>
      </c>
      <c r="L603" s="20">
        <f t="shared" si="59"/>
        <v>8.0000000000000002E-3</v>
      </c>
      <c r="M603" s="235"/>
      <c r="N603" s="41"/>
      <c r="O603" s="150">
        <f t="shared" si="57"/>
        <v>2</v>
      </c>
      <c r="P603" s="41">
        <v>151</v>
      </c>
      <c r="Q603" s="27">
        <f t="shared" si="58"/>
        <v>0.98692810457516345</v>
      </c>
      <c r="R603" s="23"/>
      <c r="S603" s="173"/>
      <c r="T603" s="30"/>
      <c r="U603" s="23"/>
      <c r="V603" s="458"/>
      <c r="W603" s="421"/>
      <c r="X603" s="458"/>
      <c r="Y603" s="421"/>
      <c r="Z603" s="421"/>
      <c r="AA603" s="421"/>
      <c r="AB603" s="421"/>
      <c r="AC603" s="421"/>
      <c r="AD603" s="421"/>
    </row>
    <row r="604" spans="1:30" s="22" customFormat="1" x14ac:dyDescent="0.4">
      <c r="A604" s="177" t="s">
        <v>785</v>
      </c>
      <c r="B604" s="149" t="s">
        <v>380</v>
      </c>
      <c r="C604" s="30" t="str">
        <f>VLOOKUP(B604,'112年全品項生產鍋數'!A:H,2,0)</f>
        <v>金桔檸檬餡(福)(1*6Kg)</v>
      </c>
      <c r="D604" s="285">
        <v>8</v>
      </c>
      <c r="E604" s="48">
        <f>VLOOKUP(B604,'112年全品項生產鍋數'!A:H,3,0)</f>
        <v>6</v>
      </c>
      <c r="F604" s="45">
        <f>VLOOKUP(B604,'112年全品項生產鍋數'!A:H,7,0)</f>
        <v>26</v>
      </c>
      <c r="G604" s="49">
        <f t="shared" si="54"/>
        <v>208</v>
      </c>
      <c r="H604" s="153">
        <v>209</v>
      </c>
      <c r="I604" s="46">
        <f t="shared" si="55"/>
        <v>1254</v>
      </c>
      <c r="J604" s="100">
        <f t="shared" si="56"/>
        <v>1.0048076923076923</v>
      </c>
      <c r="K604" s="51">
        <v>1</v>
      </c>
      <c r="L604" s="20">
        <f t="shared" si="59"/>
        <v>5.0000000000000001E-3</v>
      </c>
      <c r="M604" s="235"/>
      <c r="N604" s="41"/>
      <c r="O604" s="150">
        <f t="shared" si="57"/>
        <v>1</v>
      </c>
      <c r="P604" s="41">
        <v>208</v>
      </c>
      <c r="Q604" s="27">
        <f t="shared" si="58"/>
        <v>0.99521531100478466</v>
      </c>
      <c r="R604" s="23"/>
      <c r="S604" s="173"/>
      <c r="T604" s="30" t="s">
        <v>381</v>
      </c>
      <c r="U604" s="23"/>
      <c r="V604" s="458"/>
      <c r="W604" s="421"/>
      <c r="X604" s="458"/>
      <c r="Y604" s="421"/>
      <c r="Z604" s="421"/>
      <c r="AA604" s="421"/>
      <c r="AB604" s="421"/>
      <c r="AC604" s="421"/>
      <c r="AD604" s="421"/>
    </row>
    <row r="605" spans="1:30" s="22" customFormat="1" x14ac:dyDescent="0.4">
      <c r="A605" s="177" t="s">
        <v>785</v>
      </c>
      <c r="B605" s="149" t="s">
        <v>16</v>
      </c>
      <c r="C605" s="30" t="str">
        <f>VLOOKUP(B605,'112年全品項生產鍋數'!A:H,2,0)</f>
        <v>藍莓餡(1*6Kg)</v>
      </c>
      <c r="D605" s="285">
        <v>24</v>
      </c>
      <c r="E605" s="48">
        <f>VLOOKUP(B605,'112年全品項生產鍋數'!A:H,3,0)</f>
        <v>6</v>
      </c>
      <c r="F605" s="45">
        <f>VLOOKUP(B605,'112年全品項生產鍋數'!A:H,7,0)</f>
        <v>25.1</v>
      </c>
      <c r="G605" s="49">
        <f t="shared" si="54"/>
        <v>602.40000000000009</v>
      </c>
      <c r="H605" s="153">
        <v>621</v>
      </c>
      <c r="I605" s="46">
        <f t="shared" si="55"/>
        <v>3726</v>
      </c>
      <c r="J605" s="100">
        <f t="shared" si="56"/>
        <v>1.0308764940239041</v>
      </c>
      <c r="K605" s="51">
        <f>VLOOKUP(B:B,'生產達成率(目標)'!A:C,3,0)</f>
        <v>1</v>
      </c>
      <c r="L605" s="20">
        <f t="shared" si="59"/>
        <v>3.1E-2</v>
      </c>
      <c r="M605" s="235"/>
      <c r="N605" s="41"/>
      <c r="O605" s="150">
        <f t="shared" si="57"/>
        <v>2</v>
      </c>
      <c r="P605" s="41">
        <v>619</v>
      </c>
      <c r="Q605" s="27">
        <f t="shared" si="58"/>
        <v>0.9967793880837359</v>
      </c>
      <c r="R605" s="23"/>
      <c r="S605" s="173"/>
      <c r="T605" s="30"/>
      <c r="U605" s="23"/>
      <c r="V605" s="458"/>
      <c r="W605" s="421"/>
      <c r="X605" s="458"/>
      <c r="Y605" s="421"/>
      <c r="Z605" s="421"/>
      <c r="AA605" s="421"/>
      <c r="AB605" s="421"/>
      <c r="AC605" s="421"/>
      <c r="AD605" s="421"/>
    </row>
    <row r="606" spans="1:30" s="22" customFormat="1" x14ac:dyDescent="0.4">
      <c r="A606" s="177" t="s">
        <v>785</v>
      </c>
      <c r="B606" s="149" t="s">
        <v>148</v>
      </c>
      <c r="C606" s="30" t="str">
        <f>VLOOKUP(B606,'112年全品項生產鍋數'!A:H,2,0)</f>
        <v>無加糖花生醬(1*290g)</v>
      </c>
      <c r="D606" s="285">
        <v>8</v>
      </c>
      <c r="E606" s="48">
        <f>VLOOKUP(B606,'112年全品項生產鍋數'!A:H,3,0)</f>
        <v>0.28999999999999998</v>
      </c>
      <c r="F606" s="45">
        <f>VLOOKUP(B606,'112年全品項生產鍋數'!A:H,7,0)</f>
        <v>388</v>
      </c>
      <c r="G606" s="49">
        <f t="shared" si="54"/>
        <v>3104</v>
      </c>
      <c r="H606" s="153">
        <v>3084</v>
      </c>
      <c r="I606" s="46">
        <f t="shared" si="55"/>
        <v>894.3599999999999</v>
      </c>
      <c r="J606" s="100">
        <f t="shared" si="56"/>
        <v>0.99355670103092786</v>
      </c>
      <c r="K606" s="51">
        <f>VLOOKUP(B:B,'生產達成率(目標)'!A:C,3,0)</f>
        <v>1</v>
      </c>
      <c r="L606" s="20">
        <f t="shared" si="59"/>
        <v>-6.0000000000000001E-3</v>
      </c>
      <c r="M606" s="235"/>
      <c r="N606" s="41"/>
      <c r="O606" s="150">
        <f t="shared" si="57"/>
        <v>4</v>
      </c>
      <c r="P606" s="41">
        <v>3080</v>
      </c>
      <c r="Q606" s="27">
        <f t="shared" si="58"/>
        <v>0.99870298313878081</v>
      </c>
      <c r="R606" s="23"/>
      <c r="S606" s="173"/>
      <c r="T606" s="30"/>
      <c r="U606" s="23"/>
      <c r="V606" s="458"/>
      <c r="W606" s="421"/>
      <c r="X606" s="458"/>
      <c r="Y606" s="421"/>
      <c r="Z606" s="421"/>
      <c r="AA606" s="421"/>
      <c r="AB606" s="421"/>
      <c r="AC606" s="421"/>
      <c r="AD606" s="421"/>
    </row>
    <row r="607" spans="1:30" s="22" customFormat="1" x14ac:dyDescent="0.4">
      <c r="A607" s="177" t="s">
        <v>785</v>
      </c>
      <c r="B607" s="149" t="s">
        <v>17</v>
      </c>
      <c r="C607" s="30" t="str">
        <f>VLOOKUP(B607,'112年全品項生產鍋數'!A:H,2,0)</f>
        <v>顆粒花生醬(全)</v>
      </c>
      <c r="D607" s="285">
        <v>24</v>
      </c>
      <c r="E607" s="48">
        <f>VLOOKUP(B607,'112年全品項生產鍋數'!A:H,3,0)</f>
        <v>0.34</v>
      </c>
      <c r="F607" s="45">
        <f>VLOOKUP(B607,'112年全品項生產鍋數'!A:H,7,0)</f>
        <v>364.6</v>
      </c>
      <c r="G607" s="49">
        <f t="shared" si="54"/>
        <v>8750.4000000000015</v>
      </c>
      <c r="H607" s="153">
        <v>8785</v>
      </c>
      <c r="I607" s="46">
        <f t="shared" si="55"/>
        <v>2986.9</v>
      </c>
      <c r="J607" s="100">
        <f t="shared" si="56"/>
        <v>1.0039541049552019</v>
      </c>
      <c r="K607" s="51">
        <f>VLOOKUP(B:B,'生產達成率(目標)'!A:C,3,0)</f>
        <v>1</v>
      </c>
      <c r="L607" s="20">
        <f t="shared" si="59"/>
        <v>4.0000000000000001E-3</v>
      </c>
      <c r="M607" s="235"/>
      <c r="N607" s="41"/>
      <c r="O607" s="150">
        <f t="shared" si="57"/>
        <v>3</v>
      </c>
      <c r="P607" s="41">
        <v>8782</v>
      </c>
      <c r="Q607" s="27">
        <f t="shared" si="58"/>
        <v>0.99965850882185547</v>
      </c>
      <c r="R607" s="23"/>
      <c r="S607" s="173"/>
      <c r="T607" s="30"/>
      <c r="U607" s="23"/>
      <c r="V607" s="458"/>
      <c r="W607" s="421"/>
      <c r="X607" s="458"/>
      <c r="Y607" s="421"/>
      <c r="Z607" s="421"/>
      <c r="AA607" s="421"/>
      <c r="AB607" s="421"/>
      <c r="AC607" s="421"/>
      <c r="AD607" s="421"/>
    </row>
    <row r="608" spans="1:30" s="22" customFormat="1" x14ac:dyDescent="0.4">
      <c r="A608" s="177" t="s">
        <v>786</v>
      </c>
      <c r="B608" s="149" t="s">
        <v>12</v>
      </c>
      <c r="C608" s="30" t="str">
        <f>VLOOKUP(B608,'112年全品項生產鍋數'!A:H,2,0)</f>
        <v>＃1草莓(1*3.2kg)</v>
      </c>
      <c r="D608" s="285">
        <v>64</v>
      </c>
      <c r="E608" s="48">
        <f>VLOOKUP(B608,'112年全品項生產鍋數'!A:H,3,0)</f>
        <v>3.2</v>
      </c>
      <c r="F608" s="45">
        <f>VLOOKUP(B608,'112年全品項生產鍋數'!A:H,7,0)</f>
        <v>46.8</v>
      </c>
      <c r="G608" s="49">
        <f t="shared" si="54"/>
        <v>2995.2</v>
      </c>
      <c r="H608" s="153">
        <v>3057</v>
      </c>
      <c r="I608" s="46">
        <f t="shared" si="55"/>
        <v>9782.4</v>
      </c>
      <c r="J608" s="100">
        <f t="shared" si="56"/>
        <v>1.0206330128205128</v>
      </c>
      <c r="K608" s="51">
        <f>VLOOKUP(B:B,'生產達成率(目標)'!A:C,3,0)</f>
        <v>1</v>
      </c>
      <c r="L608" s="20">
        <f t="shared" si="59"/>
        <v>2.1000000000000001E-2</v>
      </c>
      <c r="M608" s="235"/>
      <c r="N608" s="41"/>
      <c r="O608" s="150">
        <f t="shared" si="57"/>
        <v>2</v>
      </c>
      <c r="P608" s="41">
        <v>3055</v>
      </c>
      <c r="Q608" s="27">
        <f t="shared" si="58"/>
        <v>0.99934576382073925</v>
      </c>
      <c r="R608" s="23"/>
      <c r="S608" s="173"/>
      <c r="T608" s="30"/>
      <c r="U608" s="23"/>
      <c r="V608" s="458"/>
      <c r="W608" s="421"/>
      <c r="X608" s="458"/>
      <c r="Y608" s="421"/>
      <c r="Z608" s="421"/>
      <c r="AA608" s="421"/>
      <c r="AB608" s="421"/>
      <c r="AC608" s="421"/>
      <c r="AD608" s="421"/>
    </row>
    <row r="609" spans="1:30" s="22" customFormat="1" x14ac:dyDescent="0.4">
      <c r="A609" s="177" t="s">
        <v>786</v>
      </c>
      <c r="B609" s="149" t="s">
        <v>7</v>
      </c>
      <c r="C609" s="30" t="str">
        <f>VLOOKUP(B609,'112年全品項生產鍋數'!A:H,2,0)</f>
        <v>草莓蒟蒻餡(1*6kg)</v>
      </c>
      <c r="D609" s="285">
        <v>24</v>
      </c>
      <c r="E609" s="48">
        <f>VLOOKUP(B609,'112年全品項生產鍋數'!A:H,3,0)</f>
        <v>6</v>
      </c>
      <c r="F609" s="45">
        <f>VLOOKUP(B609,'112年全品項生產鍋數'!A:H,7,0)</f>
        <v>25.7</v>
      </c>
      <c r="G609" s="49">
        <f t="shared" si="54"/>
        <v>616.79999999999995</v>
      </c>
      <c r="H609" s="153">
        <v>622</v>
      </c>
      <c r="I609" s="46">
        <f t="shared" si="55"/>
        <v>3732</v>
      </c>
      <c r="J609" s="100">
        <f t="shared" si="56"/>
        <v>1.0084306095979247</v>
      </c>
      <c r="K609" s="51">
        <f>VLOOKUP(B:B,'生產達成率(目標)'!A:C,3,0)</f>
        <v>1</v>
      </c>
      <c r="L609" s="20">
        <f t="shared" si="59"/>
        <v>8.0000000000000002E-3</v>
      </c>
      <c r="M609" s="235"/>
      <c r="N609" s="41"/>
      <c r="O609" s="150">
        <f t="shared" si="57"/>
        <v>2</v>
      </c>
      <c r="P609" s="41">
        <v>620</v>
      </c>
      <c r="Q609" s="27">
        <f t="shared" si="58"/>
        <v>0.99678456591639875</v>
      </c>
      <c r="R609" s="23"/>
      <c r="S609" s="173"/>
      <c r="T609" s="30"/>
      <c r="U609" s="23"/>
      <c r="V609" s="458"/>
      <c r="W609" s="421"/>
      <c r="X609" s="458"/>
      <c r="Y609" s="421"/>
      <c r="Z609" s="421"/>
      <c r="AA609" s="421"/>
      <c r="AB609" s="421"/>
      <c r="AC609" s="421"/>
      <c r="AD609" s="421"/>
    </row>
    <row r="610" spans="1:30" s="22" customFormat="1" x14ac:dyDescent="0.4">
      <c r="A610" s="177" t="s">
        <v>786</v>
      </c>
      <c r="B610" s="149" t="s">
        <v>8</v>
      </c>
      <c r="C610" s="30" t="str">
        <f>VLOOKUP(B610,'112年全品項生產鍋數'!A:H,2,0)</f>
        <v>藍莓餡(1*6KG)</v>
      </c>
      <c r="D610" s="285">
        <v>20</v>
      </c>
      <c r="E610" s="48">
        <f>VLOOKUP(B610,'112年全品項生產鍋數'!A:H,3,0)</f>
        <v>6</v>
      </c>
      <c r="F610" s="45">
        <f>VLOOKUP(B610,'112年全品項生產鍋數'!A:H,7,0)</f>
        <v>25.4</v>
      </c>
      <c r="G610" s="49">
        <f t="shared" si="54"/>
        <v>508</v>
      </c>
      <c r="H610" s="153">
        <v>514</v>
      </c>
      <c r="I610" s="46">
        <f t="shared" si="55"/>
        <v>3084</v>
      </c>
      <c r="J610" s="100">
        <f t="shared" si="56"/>
        <v>1.0118110236220472</v>
      </c>
      <c r="K610" s="51">
        <f>VLOOKUP(B:B,'生產達成率(目標)'!A:C,3,0)</f>
        <v>1</v>
      </c>
      <c r="L610" s="20">
        <f t="shared" si="59"/>
        <v>1.2E-2</v>
      </c>
      <c r="M610" s="235"/>
      <c r="N610" s="41"/>
      <c r="O610" s="150">
        <f t="shared" si="57"/>
        <v>1</v>
      </c>
      <c r="P610" s="41">
        <v>513</v>
      </c>
      <c r="Q610" s="27">
        <f t="shared" si="58"/>
        <v>0.99805447470817121</v>
      </c>
      <c r="R610" s="23"/>
      <c r="S610" s="173"/>
      <c r="T610" s="30"/>
      <c r="U610" s="23"/>
      <c r="V610" s="458"/>
      <c r="W610" s="421"/>
      <c r="X610" s="458"/>
      <c r="Y610" s="421"/>
      <c r="Z610" s="421"/>
      <c r="AA610" s="421"/>
      <c r="AB610" s="421"/>
      <c r="AC610" s="421"/>
      <c r="AD610" s="421"/>
    </row>
    <row r="611" spans="1:30" s="22" customFormat="1" x14ac:dyDescent="0.4">
      <c r="A611" s="177" t="s">
        <v>786</v>
      </c>
      <c r="B611" s="149" t="s">
        <v>9</v>
      </c>
      <c r="C611" s="30" t="str">
        <f>VLOOKUP(B611,'112年全品項生產鍋數'!A:H,2,0)</f>
        <v>＃1花生(1*2.8kg)</v>
      </c>
      <c r="D611" s="285">
        <v>72</v>
      </c>
      <c r="E611" s="48">
        <f>VLOOKUP(B611,'112年全品項生產鍋數'!A:H,3,0)</f>
        <v>2.8</v>
      </c>
      <c r="F611" s="45">
        <f>VLOOKUP(B611,'112年全品項生產鍋數'!A:H,7,0)</f>
        <v>44.5</v>
      </c>
      <c r="G611" s="49">
        <f t="shared" si="54"/>
        <v>3204</v>
      </c>
      <c r="H611" s="153">
        <v>3224</v>
      </c>
      <c r="I611" s="46">
        <f t="shared" si="55"/>
        <v>9027.1999999999989</v>
      </c>
      <c r="J611" s="100">
        <f t="shared" si="56"/>
        <v>1.0062421972534332</v>
      </c>
      <c r="K611" s="51">
        <f>VLOOKUP(B:B,'生產達成率(目標)'!A:C,3,0)</f>
        <v>1</v>
      </c>
      <c r="L611" s="20">
        <f t="shared" si="59"/>
        <v>6.0000000000000001E-3</v>
      </c>
      <c r="M611" s="235"/>
      <c r="N611" s="41"/>
      <c r="O611" s="150">
        <f t="shared" si="57"/>
        <v>1</v>
      </c>
      <c r="P611" s="41">
        <v>3223</v>
      </c>
      <c r="Q611" s="27">
        <f t="shared" si="58"/>
        <v>0.99968982630272951</v>
      </c>
      <c r="R611" s="23"/>
      <c r="S611" s="173"/>
      <c r="T611" s="30"/>
      <c r="U611" s="23"/>
      <c r="V611" s="458"/>
      <c r="W611" s="421"/>
      <c r="X611" s="458"/>
      <c r="Y611" s="421"/>
      <c r="Z611" s="421"/>
      <c r="AA611" s="421"/>
      <c r="AB611" s="421"/>
      <c r="AC611" s="421"/>
      <c r="AD611" s="421"/>
    </row>
    <row r="612" spans="1:30" s="22" customFormat="1" x14ac:dyDescent="0.4">
      <c r="A612" s="177" t="s">
        <v>787</v>
      </c>
      <c r="B612" s="149" t="s">
        <v>6</v>
      </c>
      <c r="C612" s="30" t="str">
        <f>VLOOKUP(B612,'112年全品項生產鍋數'!A:H,2,0)</f>
        <v>大圓草莓-新</v>
      </c>
      <c r="D612" s="285">
        <v>24</v>
      </c>
      <c r="E612" s="48">
        <f>VLOOKUP(B612,'112年全品項生產鍋數'!A:H,3,0)</f>
        <v>0.44</v>
      </c>
      <c r="F612" s="45">
        <f>VLOOKUP(B612,'112年全品項生產鍋數'!A:H,7,0)</f>
        <v>344</v>
      </c>
      <c r="G612" s="49">
        <f t="shared" si="54"/>
        <v>8256</v>
      </c>
      <c r="H612" s="153">
        <v>8267</v>
      </c>
      <c r="I612" s="46">
        <f t="shared" si="55"/>
        <v>3637.48</v>
      </c>
      <c r="J612" s="100">
        <f t="shared" si="56"/>
        <v>1.0013323643410852</v>
      </c>
      <c r="K612" s="51">
        <f>VLOOKUP(B:B,'生產達成率(目標)'!A:C,3,0)</f>
        <v>1</v>
      </c>
      <c r="L612" s="20">
        <f t="shared" si="59"/>
        <v>1E-3</v>
      </c>
      <c r="M612" s="235"/>
      <c r="N612" s="41"/>
      <c r="O612" s="150">
        <f t="shared" si="57"/>
        <v>4</v>
      </c>
      <c r="P612" s="41">
        <v>8263</v>
      </c>
      <c r="Q612" s="27">
        <f t="shared" si="58"/>
        <v>0.99951614854239745</v>
      </c>
      <c r="R612" s="23"/>
      <c r="S612" s="173"/>
      <c r="T612" s="30"/>
      <c r="U612" s="23"/>
      <c r="V612" s="458"/>
      <c r="W612" s="421"/>
      <c r="X612" s="458"/>
      <c r="Y612" s="421"/>
      <c r="Z612" s="421"/>
      <c r="AA612" s="421"/>
      <c r="AB612" s="421"/>
      <c r="AC612" s="421"/>
      <c r="AD612" s="421"/>
    </row>
    <row r="613" spans="1:30" s="22" customFormat="1" x14ac:dyDescent="0.4">
      <c r="A613" s="177" t="s">
        <v>787</v>
      </c>
      <c r="B613" s="149" t="s">
        <v>24</v>
      </c>
      <c r="C613" s="30" t="str">
        <f>VLOOKUP(B613,'112年全品項生產鍋數'!A:H,2,0)</f>
        <v>小藍莓1*260G</v>
      </c>
      <c r="D613" s="285">
        <v>16</v>
      </c>
      <c r="E613" s="48">
        <f>VLOOKUP(B613,'112年全品項生產鍋數'!A:H,3,0)</f>
        <v>0.26</v>
      </c>
      <c r="F613" s="45">
        <f>VLOOKUP(B613,'112年全品項生產鍋數'!A:H,7,0)</f>
        <v>584.29999999999995</v>
      </c>
      <c r="G613" s="49">
        <f t="shared" si="54"/>
        <v>9348.7999999999993</v>
      </c>
      <c r="H613" s="153">
        <v>9440</v>
      </c>
      <c r="I613" s="46">
        <f t="shared" si="55"/>
        <v>2454.4</v>
      </c>
      <c r="J613" s="100">
        <f t="shared" si="56"/>
        <v>1.0097552627075133</v>
      </c>
      <c r="K613" s="51">
        <f>VLOOKUP(B:B,'生產達成率(目標)'!A:C,3,0)</f>
        <v>1</v>
      </c>
      <c r="L613" s="20">
        <f t="shared" si="59"/>
        <v>0.01</v>
      </c>
      <c r="M613" s="235"/>
      <c r="N613" s="41"/>
      <c r="O613" s="150">
        <f t="shared" si="57"/>
        <v>12</v>
      </c>
      <c r="P613" s="41">
        <v>9428</v>
      </c>
      <c r="Q613" s="27">
        <f t="shared" si="58"/>
        <v>0.99872881355932208</v>
      </c>
      <c r="R613" s="23"/>
      <c r="S613" s="173"/>
      <c r="T613" s="30"/>
      <c r="U613" s="23"/>
      <c r="V613" s="458"/>
      <c r="W613" s="421"/>
      <c r="X613" s="458"/>
      <c r="Y613" s="421"/>
      <c r="Z613" s="421"/>
      <c r="AA613" s="421"/>
      <c r="AB613" s="421"/>
      <c r="AC613" s="421"/>
      <c r="AD613" s="421"/>
    </row>
    <row r="614" spans="1:30" s="22" customFormat="1" x14ac:dyDescent="0.4">
      <c r="A614" s="177" t="s">
        <v>787</v>
      </c>
      <c r="B614" s="149" t="s">
        <v>72</v>
      </c>
      <c r="C614" s="30" t="str">
        <f>VLOOKUP(B614,'112年全品項生產鍋數'!A:H,2,0)</f>
        <v>草莓餡45%(1*6Kg)</v>
      </c>
      <c r="D614" s="285">
        <v>16</v>
      </c>
      <c r="E614" s="48">
        <f>VLOOKUP(B614,'112年全品項生產鍋數'!A:H,3,0)</f>
        <v>6</v>
      </c>
      <c r="F614" s="45">
        <f>VLOOKUP(B614,'112年全品項生產鍋數'!A:H,7,0)</f>
        <v>26.1</v>
      </c>
      <c r="G614" s="49">
        <f t="shared" si="54"/>
        <v>417.6</v>
      </c>
      <c r="H614" s="153">
        <v>419</v>
      </c>
      <c r="I614" s="46">
        <f t="shared" si="55"/>
        <v>2514</v>
      </c>
      <c r="J614" s="100">
        <f t="shared" si="56"/>
        <v>1.0033524904214559</v>
      </c>
      <c r="K614" s="51">
        <f>VLOOKUP(B:B,'生產達成率(目標)'!A:C,3,0)</f>
        <v>1</v>
      </c>
      <c r="L614" s="20">
        <f t="shared" si="59"/>
        <v>3.0000000000000001E-3</v>
      </c>
      <c r="M614" s="235"/>
      <c r="N614" s="41"/>
      <c r="O614" s="150">
        <f t="shared" si="57"/>
        <v>2</v>
      </c>
      <c r="P614" s="41">
        <v>417</v>
      </c>
      <c r="Q614" s="27">
        <f t="shared" si="58"/>
        <v>0.99522673031026254</v>
      </c>
      <c r="R614" s="28"/>
      <c r="S614" s="173"/>
      <c r="T614" s="30"/>
      <c r="U614" s="23"/>
      <c r="V614" s="458"/>
      <c r="W614" s="421"/>
      <c r="X614" s="458"/>
      <c r="Y614" s="421"/>
      <c r="Z614" s="421"/>
      <c r="AA614" s="421"/>
      <c r="AB614" s="421"/>
      <c r="AC614" s="421"/>
      <c r="AD614" s="421"/>
    </row>
    <row r="615" spans="1:30" s="22" customFormat="1" x14ac:dyDescent="0.4">
      <c r="A615" s="177" t="s">
        <v>787</v>
      </c>
      <c r="B615" s="149" t="s">
        <v>7</v>
      </c>
      <c r="C615" s="30" t="str">
        <f>VLOOKUP(B615,'112年全品項生產鍋數'!A:H,2,0)</f>
        <v>草莓蒟蒻餡(1*6kg)</v>
      </c>
      <c r="D615" s="285">
        <v>28</v>
      </c>
      <c r="E615" s="48">
        <f>VLOOKUP(B615,'112年全品項生產鍋數'!A:H,3,0)</f>
        <v>6</v>
      </c>
      <c r="F615" s="45">
        <f>VLOOKUP(B615,'112年全品項生產鍋數'!A:H,7,0)</f>
        <v>25.7</v>
      </c>
      <c r="G615" s="49">
        <f t="shared" si="54"/>
        <v>719.6</v>
      </c>
      <c r="H615" s="153">
        <v>730</v>
      </c>
      <c r="I615" s="46">
        <f t="shared" si="55"/>
        <v>4380</v>
      </c>
      <c r="J615" s="100">
        <f t="shared" si="56"/>
        <v>1.0144524735964424</v>
      </c>
      <c r="K615" s="51">
        <f>VLOOKUP(B:B,'生產達成率(目標)'!A:C,3,0)</f>
        <v>1</v>
      </c>
      <c r="L615" s="20">
        <f t="shared" si="59"/>
        <v>1.4E-2</v>
      </c>
      <c r="M615" s="235"/>
      <c r="N615" s="41"/>
      <c r="O615" s="150">
        <f t="shared" si="57"/>
        <v>1</v>
      </c>
      <c r="P615" s="41">
        <v>729</v>
      </c>
      <c r="Q615" s="27">
        <f t="shared" si="58"/>
        <v>0.99863013698630132</v>
      </c>
      <c r="R615" s="23"/>
      <c r="S615" s="173"/>
      <c r="T615" s="30"/>
      <c r="U615" s="23"/>
      <c r="V615" s="458"/>
      <c r="W615" s="421"/>
      <c r="X615" s="458"/>
      <c r="Y615" s="421"/>
      <c r="Z615" s="421"/>
      <c r="AA615" s="421"/>
      <c r="AB615" s="421"/>
      <c r="AC615" s="421"/>
      <c r="AD615" s="421"/>
    </row>
    <row r="616" spans="1:30" s="22" customFormat="1" x14ac:dyDescent="0.4">
      <c r="A616" s="177" t="s">
        <v>787</v>
      </c>
      <c r="B616" s="149" t="s">
        <v>9</v>
      </c>
      <c r="C616" s="30" t="str">
        <f>VLOOKUP(B616,'112年全品項生產鍋數'!A:H,2,0)</f>
        <v>＃1花生(1*2.8kg)</v>
      </c>
      <c r="D616" s="285">
        <v>72</v>
      </c>
      <c r="E616" s="48">
        <f>VLOOKUP(B616,'112年全品項生產鍋數'!A:H,3,0)</f>
        <v>2.8</v>
      </c>
      <c r="F616" s="45">
        <f>VLOOKUP(B616,'112年全品項生產鍋數'!A:H,7,0)</f>
        <v>44.5</v>
      </c>
      <c r="G616" s="49">
        <f t="shared" si="54"/>
        <v>3204</v>
      </c>
      <c r="H616" s="153">
        <v>3212</v>
      </c>
      <c r="I616" s="46">
        <f t="shared" si="55"/>
        <v>8993.5999999999985</v>
      </c>
      <c r="J616" s="100">
        <f t="shared" si="56"/>
        <v>1.0024968789013733</v>
      </c>
      <c r="K616" s="51">
        <f>VLOOKUP(B:B,'生產達成率(目標)'!A:C,3,0)</f>
        <v>1</v>
      </c>
      <c r="L616" s="20">
        <f t="shared" si="59"/>
        <v>2E-3</v>
      </c>
      <c r="M616" s="235"/>
      <c r="N616" s="41"/>
      <c r="O616" s="150">
        <f t="shared" si="57"/>
        <v>1</v>
      </c>
      <c r="P616" s="41">
        <v>3211</v>
      </c>
      <c r="Q616" s="27">
        <f t="shared" si="58"/>
        <v>0.99968866749688667</v>
      </c>
      <c r="R616" s="23"/>
      <c r="S616" s="173"/>
      <c r="T616" s="30"/>
      <c r="U616" s="23"/>
      <c r="V616" s="458"/>
      <c r="W616" s="421"/>
      <c r="X616" s="458"/>
      <c r="Y616" s="421"/>
      <c r="Z616" s="421"/>
      <c r="AA616" s="421"/>
      <c r="AB616" s="421"/>
      <c r="AC616" s="421"/>
      <c r="AD616" s="421"/>
    </row>
    <row r="617" spans="1:30" s="22" customFormat="1" x14ac:dyDescent="0.4">
      <c r="A617" s="177" t="s">
        <v>788</v>
      </c>
      <c r="B617" s="149" t="s">
        <v>149</v>
      </c>
      <c r="C617" s="30" t="str">
        <f>VLOOKUP(B617,'112年全品項生產鍋數'!A:H,2,0)</f>
        <v>葡萄奇異果醬(1*6kg)</v>
      </c>
      <c r="D617" s="285">
        <v>6</v>
      </c>
      <c r="E617" s="48">
        <f>VLOOKUP(B617,'112年全品項生產鍋數'!A:H,3,0)</f>
        <v>6</v>
      </c>
      <c r="F617" s="45">
        <f>VLOOKUP(B617,'112年全品項生產鍋數'!A:H,7,0)</f>
        <v>24.3</v>
      </c>
      <c r="G617" s="49">
        <f t="shared" si="54"/>
        <v>145.80000000000001</v>
      </c>
      <c r="H617" s="153">
        <v>147</v>
      </c>
      <c r="I617" s="46">
        <f t="shared" si="55"/>
        <v>882</v>
      </c>
      <c r="J617" s="100">
        <f t="shared" si="56"/>
        <v>1.0082304526748971</v>
      </c>
      <c r="K617" s="51">
        <f>VLOOKUP(B:B,'生產達成率(目標)'!A:C,3,0)</f>
        <v>1</v>
      </c>
      <c r="L617" s="20">
        <f t="shared" si="59"/>
        <v>8.0000000000000002E-3</v>
      </c>
      <c r="M617" s="235"/>
      <c r="N617" s="41"/>
      <c r="O617" s="150">
        <f t="shared" si="57"/>
        <v>2</v>
      </c>
      <c r="P617" s="41">
        <v>145</v>
      </c>
      <c r="Q617" s="27">
        <f t="shared" si="58"/>
        <v>0.98639455782312924</v>
      </c>
      <c r="R617" s="23"/>
      <c r="S617" s="173"/>
      <c r="T617" s="30"/>
      <c r="U617" s="23"/>
      <c r="V617" s="458"/>
      <c r="W617" s="421"/>
      <c r="X617" s="458"/>
      <c r="Y617" s="421"/>
      <c r="Z617" s="421"/>
      <c r="AA617" s="421"/>
      <c r="AB617" s="421"/>
      <c r="AC617" s="421"/>
      <c r="AD617" s="421"/>
    </row>
    <row r="618" spans="1:30" s="22" customFormat="1" x14ac:dyDescent="0.4">
      <c r="A618" s="177" t="s">
        <v>788</v>
      </c>
      <c r="B618" s="151" t="s">
        <v>2</v>
      </c>
      <c r="C618" s="30" t="str">
        <f>VLOOKUP(B618,'112年全品項生產鍋數'!A:H,2,0)</f>
        <v>草莓醬(1*6kg)</v>
      </c>
      <c r="D618" s="285">
        <v>32</v>
      </c>
      <c r="E618" s="48">
        <f>VLOOKUP(B618,'112年全品項生產鍋數'!A:H,3,0)</f>
        <v>6</v>
      </c>
      <c r="F618" s="45">
        <f>VLOOKUP(B618,'112年全品項生產鍋數'!A:H,7,0)</f>
        <v>26.6</v>
      </c>
      <c r="G618" s="49">
        <f t="shared" si="54"/>
        <v>851.2</v>
      </c>
      <c r="H618" s="153">
        <v>850</v>
      </c>
      <c r="I618" s="46">
        <f t="shared" si="55"/>
        <v>5100</v>
      </c>
      <c r="J618" s="100">
        <f t="shared" si="56"/>
        <v>0.99859022556390975</v>
      </c>
      <c r="K618" s="51">
        <f>VLOOKUP(B:B,'生產達成率(目標)'!A:C,3,0)</f>
        <v>1</v>
      </c>
      <c r="L618" s="20">
        <f t="shared" si="59"/>
        <v>-1E-3</v>
      </c>
      <c r="M618" s="235"/>
      <c r="N618" s="41"/>
      <c r="O618" s="150">
        <f t="shared" si="57"/>
        <v>3</v>
      </c>
      <c r="P618" s="41">
        <v>847</v>
      </c>
      <c r="Q618" s="27">
        <f t="shared" si="58"/>
        <v>0.99647058823529411</v>
      </c>
      <c r="R618" s="23"/>
      <c r="S618" s="173"/>
      <c r="T618" s="30"/>
      <c r="U618" s="23"/>
      <c r="V618" s="458"/>
      <c r="W618" s="421"/>
      <c r="X618" s="458"/>
      <c r="Y618" s="421"/>
      <c r="Z618" s="421"/>
      <c r="AA618" s="421"/>
      <c r="AB618" s="421"/>
      <c r="AC618" s="421"/>
      <c r="AD618" s="421"/>
    </row>
    <row r="619" spans="1:30" s="22" customFormat="1" x14ac:dyDescent="0.4">
      <c r="A619" s="177" t="s">
        <v>788</v>
      </c>
      <c r="B619" s="149" t="s">
        <v>29</v>
      </c>
      <c r="C619" s="30" t="str">
        <f>VLOOKUP(B619,'112年全品項生產鍋數'!A:H,2,0)</f>
        <v>草莓果醬(桶)(1*9.5KG)</v>
      </c>
      <c r="D619" s="285">
        <v>12</v>
      </c>
      <c r="E619" s="48">
        <f>VLOOKUP(B619,'112年全品項生產鍋數'!A:H,3,0)</f>
        <v>9.5</v>
      </c>
      <c r="F619" s="45">
        <f>VLOOKUP(B619,'112年全品項生產鍋數'!A:H,7,0)</f>
        <v>16.600000000000001</v>
      </c>
      <c r="G619" s="49">
        <f t="shared" si="54"/>
        <v>199.20000000000002</v>
      </c>
      <c r="H619" s="153">
        <v>198</v>
      </c>
      <c r="I619" s="46">
        <f t="shared" si="55"/>
        <v>1881</v>
      </c>
      <c r="J619" s="100">
        <f t="shared" si="56"/>
        <v>0.99397590361445776</v>
      </c>
      <c r="K619" s="51">
        <f>VLOOKUP(B:B,'生產達成率(目標)'!A:C,3,0)</f>
        <v>1</v>
      </c>
      <c r="L619" s="20">
        <f t="shared" si="59"/>
        <v>-6.0000000000000001E-3</v>
      </c>
      <c r="M619" s="235"/>
      <c r="N619" s="41"/>
      <c r="O619" s="150">
        <f t="shared" si="57"/>
        <v>0</v>
      </c>
      <c r="P619" s="41">
        <v>198</v>
      </c>
      <c r="Q619" s="27">
        <f t="shared" si="58"/>
        <v>1</v>
      </c>
      <c r="R619" s="23"/>
      <c r="S619" s="173"/>
      <c r="T619" s="30"/>
      <c r="U619" s="23"/>
      <c r="V619" s="458"/>
      <c r="W619" s="421"/>
      <c r="X619" s="458"/>
      <c r="Y619" s="421"/>
      <c r="Z619" s="421"/>
      <c r="AA619" s="421"/>
      <c r="AB619" s="421"/>
      <c r="AC619" s="421"/>
      <c r="AD619" s="421"/>
    </row>
    <row r="620" spans="1:30" s="22" customFormat="1" x14ac:dyDescent="0.4">
      <c r="A620" s="177" t="s">
        <v>788</v>
      </c>
      <c r="B620" s="149" t="s">
        <v>39</v>
      </c>
      <c r="C620" s="30" t="str">
        <f>VLOOKUP(B620,'112年全品項生產鍋數'!A:H,2,0)</f>
        <v>藍莓餡（大）(1*9.08kg)</v>
      </c>
      <c r="D620" s="285">
        <v>12</v>
      </c>
      <c r="E620" s="48">
        <f>VLOOKUP(B620,'112年全品項生產鍋數'!A:H,3,0)</f>
        <v>9.08</v>
      </c>
      <c r="F620" s="45">
        <f>VLOOKUP(B620,'112年全品項生產鍋數'!A:H,7,0)</f>
        <v>17.8</v>
      </c>
      <c r="G620" s="49">
        <f t="shared" si="54"/>
        <v>213.60000000000002</v>
      </c>
      <c r="H620" s="153">
        <v>219</v>
      </c>
      <c r="I620" s="46">
        <f t="shared" si="55"/>
        <v>1988.52</v>
      </c>
      <c r="J620" s="100">
        <f t="shared" si="56"/>
        <v>1.0252808988764044</v>
      </c>
      <c r="K620" s="51">
        <f>VLOOKUP(B:B,'生產達成率(目標)'!A:C,3,0)</f>
        <v>1</v>
      </c>
      <c r="L620" s="20">
        <f t="shared" si="59"/>
        <v>2.5000000000000001E-2</v>
      </c>
      <c r="M620" s="235"/>
      <c r="N620" s="41"/>
      <c r="O620" s="150">
        <f t="shared" si="57"/>
        <v>0</v>
      </c>
      <c r="P620" s="41">
        <v>219</v>
      </c>
      <c r="Q620" s="27">
        <f t="shared" si="58"/>
        <v>1</v>
      </c>
      <c r="R620" s="23"/>
      <c r="S620" s="173"/>
      <c r="T620" s="30"/>
      <c r="U620" s="23"/>
      <c r="V620" s="458"/>
      <c r="W620" s="421"/>
      <c r="X620" s="458"/>
      <c r="Y620" s="421"/>
      <c r="Z620" s="421"/>
      <c r="AA620" s="421"/>
      <c r="AB620" s="421"/>
      <c r="AC620" s="421"/>
      <c r="AD620" s="421"/>
    </row>
    <row r="621" spans="1:30" s="22" customFormat="1" x14ac:dyDescent="0.4">
      <c r="A621" s="177" t="s">
        <v>788</v>
      </c>
      <c r="B621" s="149" t="s">
        <v>31</v>
      </c>
      <c r="C621" s="30" t="str">
        <f>VLOOKUP(B621,'112年全品項生產鍋數'!A:H,2,0)</f>
        <v>天天開心芒果餡4.5KG</v>
      </c>
      <c r="D621" s="285">
        <v>16</v>
      </c>
      <c r="E621" s="48">
        <f>VLOOKUP(B621,'112年全品項生產鍋數'!A:H,3,0)</f>
        <v>4.5</v>
      </c>
      <c r="F621" s="45">
        <f>VLOOKUP(B621,'112年全品項生產鍋數'!A:H,7,0)</f>
        <v>33.200000000000003</v>
      </c>
      <c r="G621" s="49">
        <f t="shared" si="54"/>
        <v>531.20000000000005</v>
      </c>
      <c r="H621" s="153">
        <v>539</v>
      </c>
      <c r="I621" s="46">
        <f t="shared" si="55"/>
        <v>2425.5</v>
      </c>
      <c r="J621" s="100">
        <f t="shared" si="56"/>
        <v>1.0146837349397591</v>
      </c>
      <c r="K621" s="51">
        <f>VLOOKUP(B:B,'生產達成率(目標)'!A:C,3,0)</f>
        <v>1</v>
      </c>
      <c r="L621" s="20">
        <f t="shared" si="59"/>
        <v>1.4999999999999999E-2</v>
      </c>
      <c r="M621" s="235"/>
      <c r="N621" s="41"/>
      <c r="O621" s="150">
        <f t="shared" si="57"/>
        <v>0</v>
      </c>
      <c r="P621" s="41">
        <v>539</v>
      </c>
      <c r="Q621" s="27">
        <f t="shared" si="58"/>
        <v>1</v>
      </c>
      <c r="R621" s="23"/>
      <c r="S621" s="173"/>
      <c r="T621" s="30"/>
      <c r="U621" s="23"/>
      <c r="V621" s="458"/>
      <c r="W621" s="421"/>
      <c r="X621" s="458"/>
      <c r="Y621" s="421"/>
      <c r="Z621" s="421"/>
      <c r="AA621" s="421"/>
      <c r="AB621" s="421"/>
      <c r="AC621" s="421"/>
      <c r="AD621" s="421"/>
    </row>
    <row r="622" spans="1:30" s="22" customFormat="1" x14ac:dyDescent="0.4">
      <c r="A622" s="177" t="s">
        <v>788</v>
      </c>
      <c r="B622" s="149" t="s">
        <v>28</v>
      </c>
      <c r="C622" s="30" t="str">
        <f>VLOOKUP(B622,'112年全品項生產鍋數'!A:H,2,0)</f>
        <v>花生醬(1*290g)</v>
      </c>
      <c r="D622" s="285">
        <v>8</v>
      </c>
      <c r="E622" s="48">
        <f>VLOOKUP(B622,'112年全品項生產鍋數'!A:H,3,0)</f>
        <v>0.28999999999999998</v>
      </c>
      <c r="F622" s="45">
        <f>VLOOKUP(B622,'112年全品項生產鍋數'!A:H,7,0)</f>
        <v>412.6</v>
      </c>
      <c r="G622" s="49">
        <f t="shared" si="54"/>
        <v>3300.8</v>
      </c>
      <c r="H622" s="153">
        <v>3245</v>
      </c>
      <c r="I622" s="46">
        <f t="shared" si="55"/>
        <v>941.05</v>
      </c>
      <c r="J622" s="100">
        <f t="shared" si="56"/>
        <v>0.98309500727096455</v>
      </c>
      <c r="K622" s="51">
        <f>VLOOKUP(B:B,'生產達成率(目標)'!A:C,3,0)</f>
        <v>1</v>
      </c>
      <c r="L622" s="20">
        <f t="shared" si="59"/>
        <v>-1.7000000000000001E-2</v>
      </c>
      <c r="M622" s="235"/>
      <c r="N622" s="41"/>
      <c r="O622" s="150">
        <f t="shared" si="57"/>
        <v>4</v>
      </c>
      <c r="P622" s="41">
        <v>3241</v>
      </c>
      <c r="Q622" s="27">
        <f t="shared" si="58"/>
        <v>0.99876733436055465</v>
      </c>
      <c r="R622" s="23"/>
      <c r="S622" s="173"/>
      <c r="T622" s="30"/>
      <c r="U622" s="23"/>
      <c r="V622" s="458"/>
      <c r="W622" s="421"/>
      <c r="X622" s="458"/>
      <c r="Y622" s="421"/>
      <c r="Z622" s="421"/>
      <c r="AA622" s="421"/>
      <c r="AB622" s="421"/>
      <c r="AC622" s="421"/>
      <c r="AD622" s="421"/>
    </row>
    <row r="623" spans="1:30" s="22" customFormat="1" x14ac:dyDescent="0.4">
      <c r="A623" s="177" t="s">
        <v>788</v>
      </c>
      <c r="B623" s="149" t="s">
        <v>23</v>
      </c>
      <c r="C623" s="30" t="str">
        <f>VLOOKUP(B623,'112年全品項生產鍋數'!A:H,2,0)</f>
        <v>＃1花生(粒)(1*2.8kg)</v>
      </c>
      <c r="D623" s="285">
        <v>28</v>
      </c>
      <c r="E623" s="48">
        <f>VLOOKUP(B623,'112年全品項生產鍋數'!A:H,3,0)</f>
        <v>2.8</v>
      </c>
      <c r="F623" s="45">
        <f>VLOOKUP(B623,'112年全品項生產鍋數'!A:H,7,0)</f>
        <v>44.2</v>
      </c>
      <c r="G623" s="49">
        <f t="shared" si="54"/>
        <v>1237.6000000000001</v>
      </c>
      <c r="H623" s="153">
        <v>1275</v>
      </c>
      <c r="I623" s="46">
        <f t="shared" si="55"/>
        <v>3570</v>
      </c>
      <c r="J623" s="100">
        <f t="shared" si="56"/>
        <v>1.0302197802197801</v>
      </c>
      <c r="K623" s="51">
        <f>VLOOKUP(B:B,'生產達成率(目標)'!A:C,3,0)</f>
        <v>1</v>
      </c>
      <c r="L623" s="20">
        <f t="shared" si="59"/>
        <v>0.03</v>
      </c>
      <c r="M623" s="235"/>
      <c r="N623" s="41"/>
      <c r="O623" s="150">
        <f t="shared" si="57"/>
        <v>1</v>
      </c>
      <c r="P623" s="41">
        <v>1274</v>
      </c>
      <c r="Q623" s="27">
        <f t="shared" si="58"/>
        <v>0.99921568627450985</v>
      </c>
      <c r="R623" s="23"/>
      <c r="S623" s="173"/>
      <c r="T623" s="30"/>
      <c r="U623" s="23"/>
      <c r="V623" s="458"/>
      <c r="W623" s="421"/>
      <c r="X623" s="458"/>
      <c r="Y623" s="421"/>
      <c r="Z623" s="421"/>
      <c r="AA623" s="421"/>
      <c r="AB623" s="421"/>
      <c r="AC623" s="421"/>
      <c r="AD623" s="421"/>
    </row>
    <row r="624" spans="1:30" s="22" customFormat="1" x14ac:dyDescent="0.4">
      <c r="A624" s="177" t="s">
        <v>789</v>
      </c>
      <c r="B624" s="149" t="s">
        <v>14</v>
      </c>
      <c r="C624" s="30" t="str">
        <f>VLOOKUP(B624,'112年全品項生產鍋數'!A:H,2,0)</f>
        <v>草莓餡50°(1*6Kg)</v>
      </c>
      <c r="D624" s="285">
        <v>8</v>
      </c>
      <c r="E624" s="48">
        <f>VLOOKUP(B624,'112年全品項生產鍋數'!A:H,3,0)</f>
        <v>6</v>
      </c>
      <c r="F624" s="45">
        <f>VLOOKUP(B624,'112年全品項生產鍋數'!A:H,7,0)</f>
        <v>25</v>
      </c>
      <c r="G624" s="49">
        <f t="shared" si="54"/>
        <v>200</v>
      </c>
      <c r="H624" s="153">
        <v>200</v>
      </c>
      <c r="I624" s="46">
        <f t="shared" si="55"/>
        <v>1200</v>
      </c>
      <c r="J624" s="100">
        <f t="shared" si="56"/>
        <v>1</v>
      </c>
      <c r="K624" s="51">
        <f>VLOOKUP(B:B,'生產達成率(目標)'!A:C,3,0)</f>
        <v>1</v>
      </c>
      <c r="L624" s="20">
        <f t="shared" si="59"/>
        <v>0</v>
      </c>
      <c r="M624" s="235"/>
      <c r="N624" s="41"/>
      <c r="O624" s="150">
        <f t="shared" si="57"/>
        <v>1</v>
      </c>
      <c r="P624" s="41">
        <v>199</v>
      </c>
      <c r="Q624" s="27">
        <f t="shared" si="58"/>
        <v>0.995</v>
      </c>
      <c r="R624" s="23"/>
      <c r="S624" s="173"/>
      <c r="T624" s="44"/>
      <c r="U624" s="23"/>
      <c r="V624" s="458"/>
      <c r="W624" s="421"/>
      <c r="X624" s="458"/>
      <c r="Y624" s="421"/>
      <c r="Z624" s="421"/>
      <c r="AA624" s="421"/>
      <c r="AB624" s="421"/>
      <c r="AC624" s="421"/>
      <c r="AD624" s="421"/>
    </row>
    <row r="625" spans="1:30" s="22" customFormat="1" x14ac:dyDescent="0.4">
      <c r="A625" s="177" t="s">
        <v>789</v>
      </c>
      <c r="B625" s="149" t="s">
        <v>32</v>
      </c>
      <c r="C625" s="30" t="str">
        <f>VLOOKUP(B625,'112年全品項生產鍋數'!A:H,2,0)</f>
        <v>草莓醬(1*6Kg)</v>
      </c>
      <c r="D625" s="285">
        <v>8</v>
      </c>
      <c r="E625" s="48">
        <f>VLOOKUP(B625,'112年全品項生產鍋數'!A:H,3,0)</f>
        <v>6</v>
      </c>
      <c r="F625" s="45">
        <f>VLOOKUP(B625,'112年全品項生產鍋數'!A:H,7,0)</f>
        <v>25.5</v>
      </c>
      <c r="G625" s="49">
        <f t="shared" si="54"/>
        <v>204</v>
      </c>
      <c r="H625" s="153">
        <v>208</v>
      </c>
      <c r="I625" s="46">
        <f t="shared" si="55"/>
        <v>1248</v>
      </c>
      <c r="J625" s="100">
        <f t="shared" si="56"/>
        <v>1.0196078431372548</v>
      </c>
      <c r="K625" s="51">
        <f>VLOOKUP(B:B,'生產達成率(目標)'!A:C,3,0)</f>
        <v>1</v>
      </c>
      <c r="L625" s="20">
        <f t="shared" si="59"/>
        <v>0.02</v>
      </c>
      <c r="M625" s="235"/>
      <c r="N625" s="41"/>
      <c r="O625" s="150">
        <f t="shared" si="57"/>
        <v>1</v>
      </c>
      <c r="P625" s="41">
        <v>207</v>
      </c>
      <c r="Q625" s="27">
        <f t="shared" si="58"/>
        <v>0.99519230769230771</v>
      </c>
      <c r="R625" s="23"/>
      <c r="S625" s="173"/>
      <c r="T625" s="44"/>
      <c r="U625" s="23"/>
      <c r="V625" s="458"/>
      <c r="W625" s="421"/>
      <c r="X625" s="458"/>
      <c r="Y625" s="421"/>
      <c r="Z625" s="421"/>
      <c r="AA625" s="421"/>
      <c r="AB625" s="421"/>
      <c r="AC625" s="421"/>
      <c r="AD625" s="421"/>
    </row>
    <row r="626" spans="1:30" s="22" customFormat="1" x14ac:dyDescent="0.4">
      <c r="A626" s="177" t="s">
        <v>789</v>
      </c>
      <c r="B626" s="149" t="s">
        <v>16</v>
      </c>
      <c r="C626" s="30" t="str">
        <f>VLOOKUP(B626,'112年全品項生產鍋數'!A:H,2,0)</f>
        <v>藍莓餡(1*6Kg)</v>
      </c>
      <c r="D626" s="285">
        <v>8</v>
      </c>
      <c r="E626" s="48">
        <f>VLOOKUP(B626,'112年全品項生產鍋數'!A:H,3,0)</f>
        <v>6</v>
      </c>
      <c r="F626" s="45">
        <f>VLOOKUP(B626,'112年全品項生產鍋數'!A:H,7,0)</f>
        <v>25.1</v>
      </c>
      <c r="G626" s="49">
        <f t="shared" si="54"/>
        <v>200.8</v>
      </c>
      <c r="H626" s="153">
        <v>194</v>
      </c>
      <c r="I626" s="46">
        <f t="shared" si="55"/>
        <v>1164</v>
      </c>
      <c r="J626" s="100">
        <f t="shared" si="56"/>
        <v>0.9661354581673306</v>
      </c>
      <c r="K626" s="51">
        <f>VLOOKUP(B:B,'生產達成率(目標)'!A:C,3,0)</f>
        <v>1</v>
      </c>
      <c r="L626" s="20">
        <f t="shared" si="59"/>
        <v>-3.4000000000000002E-2</v>
      </c>
      <c r="M626" s="235"/>
      <c r="N626" s="41"/>
      <c r="O626" s="150">
        <f t="shared" si="57"/>
        <v>1</v>
      </c>
      <c r="P626" s="41">
        <v>193</v>
      </c>
      <c r="Q626" s="27">
        <f t="shared" si="58"/>
        <v>0.99484536082474229</v>
      </c>
      <c r="R626" s="23"/>
      <c r="S626" s="173"/>
      <c r="T626" s="44"/>
      <c r="U626" s="23"/>
      <c r="V626" s="458"/>
      <c r="W626" s="421"/>
      <c r="X626" s="458"/>
      <c r="Y626" s="421"/>
      <c r="Z626" s="421"/>
      <c r="AA626" s="421"/>
      <c r="AB626" s="421"/>
      <c r="AC626" s="421"/>
      <c r="AD626" s="421"/>
    </row>
    <row r="627" spans="1:30" s="22" customFormat="1" x14ac:dyDescent="0.4">
      <c r="A627" s="177" t="s">
        <v>789</v>
      </c>
      <c r="B627" s="149" t="s">
        <v>377</v>
      </c>
      <c r="C627" s="30" t="str">
        <f>VLOOKUP(B627,'112年全品項生產鍋數'!A:H,2,0)</f>
        <v>藍莓餡(1*6KG)</v>
      </c>
      <c r="D627" s="285">
        <v>8</v>
      </c>
      <c r="E627" s="48">
        <f>VLOOKUP(B627,'112年全品項生產鍋數'!A:H,3,0)</f>
        <v>6</v>
      </c>
      <c r="F627" s="45">
        <f>VLOOKUP(B627,'112年全品項生產鍋數'!A:H,7,0)</f>
        <v>25.5</v>
      </c>
      <c r="G627" s="49">
        <f t="shared" si="54"/>
        <v>204</v>
      </c>
      <c r="H627" s="153">
        <v>199</v>
      </c>
      <c r="I627" s="46">
        <f t="shared" si="55"/>
        <v>1194</v>
      </c>
      <c r="J627" s="100">
        <f t="shared" si="56"/>
        <v>0.97549019607843135</v>
      </c>
      <c r="K627" s="51">
        <f>VLOOKUP(B:B,'生產達成率(目標)'!A:C,3,0)</f>
        <v>1</v>
      </c>
      <c r="L627" s="20">
        <f t="shared" si="59"/>
        <v>-2.5000000000000001E-2</v>
      </c>
      <c r="M627" s="235"/>
      <c r="N627" s="41"/>
      <c r="O627" s="150">
        <f t="shared" si="57"/>
        <v>1</v>
      </c>
      <c r="P627" s="41">
        <v>198</v>
      </c>
      <c r="Q627" s="27">
        <f t="shared" si="58"/>
        <v>0.99497487437185927</v>
      </c>
      <c r="R627" s="23"/>
      <c r="S627" s="173"/>
      <c r="T627" s="44"/>
      <c r="U627" s="23"/>
      <c r="V627" s="458"/>
      <c r="W627" s="421"/>
      <c r="X627" s="458"/>
      <c r="Y627" s="421"/>
      <c r="Z627" s="421"/>
      <c r="AA627" s="421"/>
      <c r="AB627" s="421"/>
      <c r="AC627" s="421"/>
      <c r="AD627" s="421"/>
    </row>
    <row r="628" spans="1:30" s="22" customFormat="1" x14ac:dyDescent="0.4">
      <c r="A628" s="177" t="s">
        <v>789</v>
      </c>
      <c r="B628" s="149" t="s">
        <v>142</v>
      </c>
      <c r="C628" s="30" t="str">
        <f>VLOOKUP(B628,'112年全品項生產鍋數'!A:H,2,0)</f>
        <v>顆粒花生醬(1*12KG)</v>
      </c>
      <c r="D628" s="285">
        <v>18</v>
      </c>
      <c r="E628" s="48">
        <f>VLOOKUP(B628,'112年全品項生產鍋數'!A:H,3,0)</f>
        <v>3</v>
      </c>
      <c r="F628" s="45">
        <f>VLOOKUP(B628,'112年全品項生產鍋數'!A:H,7,0)</f>
        <v>31.6</v>
      </c>
      <c r="G628" s="49">
        <f t="shared" si="54"/>
        <v>568.80000000000007</v>
      </c>
      <c r="H628" s="153">
        <v>572</v>
      </c>
      <c r="I628" s="46">
        <f t="shared" si="55"/>
        <v>1716</v>
      </c>
      <c r="J628" s="100">
        <f t="shared" si="56"/>
        <v>1.0056258790436003</v>
      </c>
      <c r="K628" s="51">
        <f>VLOOKUP(B:B,'生產達成率(目標)'!A:C,3,0)</f>
        <v>1</v>
      </c>
      <c r="L628" s="20">
        <f t="shared" si="59"/>
        <v>6.0000000000000001E-3</v>
      </c>
      <c r="M628" s="235"/>
      <c r="N628" s="41"/>
      <c r="O628" s="150">
        <f t="shared" si="57"/>
        <v>0</v>
      </c>
      <c r="P628" s="41">
        <v>572</v>
      </c>
      <c r="Q628" s="27">
        <f t="shared" si="58"/>
        <v>1</v>
      </c>
      <c r="R628" s="23"/>
      <c r="S628" s="173"/>
      <c r="T628" s="44"/>
      <c r="U628" s="23"/>
      <c r="V628" s="458"/>
      <c r="W628" s="421"/>
      <c r="X628" s="458"/>
      <c r="Y628" s="421"/>
      <c r="Z628" s="421"/>
      <c r="AA628" s="421"/>
      <c r="AB628" s="421"/>
      <c r="AC628" s="421"/>
      <c r="AD628" s="421"/>
    </row>
    <row r="629" spans="1:30" s="22" customFormat="1" x14ac:dyDescent="0.4">
      <c r="A629" s="177" t="s">
        <v>789</v>
      </c>
      <c r="B629" s="149" t="s">
        <v>9</v>
      </c>
      <c r="C629" s="30" t="str">
        <f>VLOOKUP(B629,'112年全品項生產鍋數'!A:H,2,0)</f>
        <v>＃1花生(1*2.8kg)</v>
      </c>
      <c r="D629" s="285">
        <v>72</v>
      </c>
      <c r="E629" s="48">
        <f>VLOOKUP(B629,'112年全品項生產鍋數'!A:H,3,0)</f>
        <v>2.8</v>
      </c>
      <c r="F629" s="45">
        <f>VLOOKUP(B629,'112年全品項生產鍋數'!A:H,7,0)</f>
        <v>44.5</v>
      </c>
      <c r="G629" s="49">
        <f t="shared" si="54"/>
        <v>3204</v>
      </c>
      <c r="H629" s="153">
        <v>3212</v>
      </c>
      <c r="I629" s="46">
        <f t="shared" si="55"/>
        <v>8993.5999999999985</v>
      </c>
      <c r="J629" s="100">
        <f t="shared" si="56"/>
        <v>1.0024968789013733</v>
      </c>
      <c r="K629" s="51">
        <f>VLOOKUP(B:B,'生產達成率(目標)'!A:C,3,0)</f>
        <v>1</v>
      </c>
      <c r="L629" s="20">
        <f t="shared" si="59"/>
        <v>2E-3</v>
      </c>
      <c r="M629" s="235"/>
      <c r="N629" s="41"/>
      <c r="O629" s="150">
        <f t="shared" si="57"/>
        <v>1</v>
      </c>
      <c r="P629" s="41">
        <v>3211</v>
      </c>
      <c r="Q629" s="27">
        <f t="shared" si="58"/>
        <v>0.99968866749688667</v>
      </c>
      <c r="R629" s="23"/>
      <c r="S629" s="173"/>
      <c r="T629" s="44"/>
      <c r="U629" s="23"/>
      <c r="V629" s="458"/>
      <c r="W629" s="421"/>
      <c r="X629" s="458"/>
      <c r="Y629" s="421"/>
      <c r="Z629" s="421"/>
      <c r="AA629" s="421"/>
      <c r="AB629" s="421"/>
      <c r="AC629" s="421"/>
      <c r="AD629" s="421"/>
    </row>
    <row r="630" spans="1:30" s="22" customFormat="1" x14ac:dyDescent="0.4">
      <c r="A630" s="177" t="s">
        <v>790</v>
      </c>
      <c r="B630" s="149" t="s">
        <v>12</v>
      </c>
      <c r="C630" s="30" t="str">
        <f>VLOOKUP(B630,'112年全品項生產鍋數'!A:H,2,0)</f>
        <v>＃1草莓(1*3.2kg)</v>
      </c>
      <c r="D630" s="285">
        <v>64</v>
      </c>
      <c r="E630" s="48">
        <f>VLOOKUP(B630,'112年全品項生產鍋數'!A:H,3,0)</f>
        <v>3.2</v>
      </c>
      <c r="F630" s="45">
        <f>VLOOKUP(B630,'112年全品項生產鍋數'!A:H,7,0)</f>
        <v>46.8</v>
      </c>
      <c r="G630" s="49">
        <f t="shared" si="54"/>
        <v>2995.2</v>
      </c>
      <c r="H630" s="153">
        <v>3031</v>
      </c>
      <c r="I630" s="46">
        <f t="shared" si="55"/>
        <v>9699.2000000000007</v>
      </c>
      <c r="J630" s="100">
        <f t="shared" si="56"/>
        <v>1.0119524572649574</v>
      </c>
      <c r="K630" s="51">
        <f>VLOOKUP(B:B,'生產達成率(目標)'!A:C,3,0)</f>
        <v>1</v>
      </c>
      <c r="L630" s="20">
        <f t="shared" si="59"/>
        <v>1.2E-2</v>
      </c>
      <c r="M630" s="235"/>
      <c r="N630" s="41"/>
      <c r="O630" s="150">
        <f t="shared" si="57"/>
        <v>2</v>
      </c>
      <c r="P630" s="41">
        <v>3029</v>
      </c>
      <c r="Q630" s="27">
        <f t="shared" si="58"/>
        <v>0.99934015176509405</v>
      </c>
      <c r="R630" s="23"/>
      <c r="S630" s="173"/>
      <c r="T630" s="44"/>
      <c r="U630" s="23"/>
      <c r="V630" s="458"/>
      <c r="W630" s="421"/>
      <c r="X630" s="458"/>
      <c r="Y630" s="421"/>
      <c r="Z630" s="421"/>
      <c r="AA630" s="421"/>
      <c r="AB630" s="421"/>
      <c r="AC630" s="421"/>
      <c r="AD630" s="421"/>
    </row>
    <row r="631" spans="1:30" s="22" customFormat="1" x14ac:dyDescent="0.4">
      <c r="A631" s="178" t="s">
        <v>790</v>
      </c>
      <c r="B631" s="151" t="s">
        <v>8</v>
      </c>
      <c r="C631" s="30" t="str">
        <f>VLOOKUP(B631,'112年全品項生產鍋數'!A:H,2,0)</f>
        <v>藍莓餡(1*6KG)</v>
      </c>
      <c r="D631" s="287">
        <v>20</v>
      </c>
      <c r="E631" s="48">
        <f>VLOOKUP(B631,'112年全品項生產鍋數'!A:H,3,0)</f>
        <v>6</v>
      </c>
      <c r="F631" s="45">
        <f>VLOOKUP(B631,'112年全品項生產鍋數'!A:H,7,0)</f>
        <v>25.4</v>
      </c>
      <c r="G631" s="49">
        <f t="shared" si="54"/>
        <v>508</v>
      </c>
      <c r="H631" s="154">
        <v>520</v>
      </c>
      <c r="I631" s="87">
        <f t="shared" si="55"/>
        <v>3120</v>
      </c>
      <c r="J631" s="100">
        <f t="shared" si="56"/>
        <v>1.0236220472440944</v>
      </c>
      <c r="K631" s="84">
        <f>VLOOKUP(B:B,'生產達成率(目標)'!A:C,3,0)</f>
        <v>1</v>
      </c>
      <c r="L631" s="20">
        <f t="shared" si="59"/>
        <v>2.4E-2</v>
      </c>
      <c r="M631" s="235"/>
      <c r="N631" s="40"/>
      <c r="O631" s="166">
        <f t="shared" si="57"/>
        <v>1</v>
      </c>
      <c r="P631" s="40">
        <v>519</v>
      </c>
      <c r="Q631" s="20">
        <f t="shared" si="58"/>
        <v>0.99807692307692308</v>
      </c>
      <c r="R631" s="38"/>
      <c r="S631" s="174"/>
      <c r="T631" s="88"/>
      <c r="U631" s="23"/>
      <c r="V631" s="458"/>
      <c r="W631" s="421"/>
      <c r="X631" s="458"/>
      <c r="Y631" s="421"/>
      <c r="Z631" s="421"/>
      <c r="AA631" s="421"/>
      <c r="AB631" s="421"/>
      <c r="AC631" s="421"/>
      <c r="AD631" s="421"/>
    </row>
    <row r="632" spans="1:30" s="22" customFormat="1" x14ac:dyDescent="0.4">
      <c r="A632" s="178" t="s">
        <v>790</v>
      </c>
      <c r="B632" s="151" t="s">
        <v>7</v>
      </c>
      <c r="C632" s="30" t="str">
        <f>VLOOKUP(B632,'112年全品項生產鍋數'!A:H,2,0)</f>
        <v>草莓蒟蒻餡(1*6kg)</v>
      </c>
      <c r="D632" s="287">
        <v>24</v>
      </c>
      <c r="E632" s="48">
        <f>VLOOKUP(B632,'112年全品項生產鍋數'!A:H,3,0)</f>
        <v>6</v>
      </c>
      <c r="F632" s="45">
        <f>VLOOKUP(B632,'112年全品項生產鍋數'!A:H,7,0)</f>
        <v>25.7</v>
      </c>
      <c r="G632" s="49">
        <f t="shared" si="54"/>
        <v>616.79999999999995</v>
      </c>
      <c r="H632" s="154">
        <v>622</v>
      </c>
      <c r="I632" s="87">
        <f t="shared" si="55"/>
        <v>3732</v>
      </c>
      <c r="J632" s="100">
        <f t="shared" si="56"/>
        <v>1.0084306095979247</v>
      </c>
      <c r="K632" s="84">
        <f>VLOOKUP(B:B,'生產達成率(目標)'!A:C,3,0)</f>
        <v>1</v>
      </c>
      <c r="L632" s="20">
        <f t="shared" si="59"/>
        <v>8.0000000000000002E-3</v>
      </c>
      <c r="M632" s="235"/>
      <c r="N632" s="40"/>
      <c r="O632" s="166">
        <f t="shared" si="57"/>
        <v>3</v>
      </c>
      <c r="P632" s="40">
        <v>619</v>
      </c>
      <c r="Q632" s="20">
        <f t="shared" si="58"/>
        <v>0.99517684887459812</v>
      </c>
      <c r="R632" s="38"/>
      <c r="S632" s="174"/>
      <c r="T632" s="88"/>
      <c r="U632" s="23"/>
      <c r="V632" s="458"/>
      <c r="W632" s="421"/>
      <c r="X632" s="458"/>
      <c r="Y632" s="421"/>
      <c r="Z632" s="421"/>
      <c r="AA632" s="421"/>
      <c r="AB632" s="421"/>
      <c r="AC632" s="421"/>
      <c r="AD632" s="421"/>
    </row>
    <row r="633" spans="1:30" s="22" customFormat="1" x14ac:dyDescent="0.4">
      <c r="A633" s="178" t="s">
        <v>790</v>
      </c>
      <c r="B633" s="149" t="s">
        <v>23</v>
      </c>
      <c r="C633" s="30" t="str">
        <f>VLOOKUP(B633,'112年全品項生產鍋數'!A:H,2,0)</f>
        <v>＃1花生(粒)(1*2.8kg)</v>
      </c>
      <c r="D633" s="287">
        <v>72</v>
      </c>
      <c r="E633" s="48">
        <f>VLOOKUP(B633,'112年全品項生產鍋數'!A:H,3,0)</f>
        <v>2.8</v>
      </c>
      <c r="F633" s="45">
        <f>VLOOKUP(B633,'112年全品項生產鍋數'!A:H,7,0)</f>
        <v>44.2</v>
      </c>
      <c r="G633" s="49">
        <f t="shared" si="54"/>
        <v>3182.4</v>
      </c>
      <c r="H633" s="154">
        <v>3205</v>
      </c>
      <c r="I633" s="87">
        <f t="shared" si="55"/>
        <v>8974</v>
      </c>
      <c r="J633" s="100">
        <f t="shared" si="56"/>
        <v>1.0071015585721468</v>
      </c>
      <c r="K633" s="84">
        <f>VLOOKUP(B:B,'生產達成率(目標)'!A:C,3,0)</f>
        <v>1</v>
      </c>
      <c r="L633" s="20">
        <f t="shared" si="59"/>
        <v>7.0000000000000001E-3</v>
      </c>
      <c r="M633" s="235"/>
      <c r="N633" s="40"/>
      <c r="O633" s="166">
        <f t="shared" si="57"/>
        <v>1</v>
      </c>
      <c r="P633" s="40">
        <v>3204</v>
      </c>
      <c r="Q633" s="20">
        <f t="shared" si="58"/>
        <v>0.99968798751950083</v>
      </c>
      <c r="R633" s="38"/>
      <c r="S633" s="174"/>
      <c r="T633" s="88"/>
      <c r="U633" s="23"/>
      <c r="V633" s="458"/>
      <c r="W633" s="421"/>
      <c r="X633" s="458"/>
      <c r="Y633" s="421"/>
      <c r="Z633" s="421"/>
      <c r="AA633" s="421"/>
      <c r="AB633" s="421"/>
      <c r="AC633" s="421"/>
      <c r="AD633" s="421"/>
    </row>
    <row r="634" spans="1:30" s="22" customFormat="1" x14ac:dyDescent="0.4">
      <c r="A634" s="178" t="s">
        <v>791</v>
      </c>
      <c r="B634" s="151" t="s">
        <v>2</v>
      </c>
      <c r="C634" s="30" t="str">
        <f>VLOOKUP(B634,'112年全品項生產鍋數'!A:H,2,0)</f>
        <v>草莓醬(1*6kg)</v>
      </c>
      <c r="D634" s="287">
        <v>40</v>
      </c>
      <c r="E634" s="48">
        <f>VLOOKUP(B634,'112年全品項生產鍋數'!A:H,3,0)</f>
        <v>6</v>
      </c>
      <c r="F634" s="45">
        <f>VLOOKUP(B634,'112年全品項生產鍋數'!A:H,7,0)</f>
        <v>26.6</v>
      </c>
      <c r="G634" s="49">
        <f t="shared" si="54"/>
        <v>1064</v>
      </c>
      <c r="H634" s="154">
        <v>1076</v>
      </c>
      <c r="I634" s="87">
        <f t="shared" si="55"/>
        <v>6456</v>
      </c>
      <c r="J634" s="100">
        <f t="shared" si="56"/>
        <v>1.0112781954887218</v>
      </c>
      <c r="K634" s="84">
        <f>VLOOKUP(B:B,'生產達成率(目標)'!A:C,3,0)</f>
        <v>1</v>
      </c>
      <c r="L634" s="20">
        <f t="shared" si="59"/>
        <v>1.0999999999999999E-2</v>
      </c>
      <c r="M634" s="235"/>
      <c r="N634" s="40"/>
      <c r="O634" s="166">
        <f t="shared" si="57"/>
        <v>1</v>
      </c>
      <c r="P634" s="40">
        <v>1075</v>
      </c>
      <c r="Q634" s="20">
        <f t="shared" si="58"/>
        <v>0.99907063197026025</v>
      </c>
      <c r="R634" s="38"/>
      <c r="S634" s="174"/>
      <c r="T634" s="88"/>
      <c r="U634" s="23"/>
      <c r="V634" s="458"/>
      <c r="W634" s="421"/>
      <c r="X634" s="458"/>
      <c r="Y634" s="421"/>
      <c r="Z634" s="421"/>
      <c r="AA634" s="421"/>
      <c r="AB634" s="421"/>
      <c r="AC634" s="421"/>
      <c r="AD634" s="421"/>
    </row>
    <row r="635" spans="1:30" s="22" customFormat="1" x14ac:dyDescent="0.4">
      <c r="A635" s="178" t="s">
        <v>791</v>
      </c>
      <c r="B635" s="151" t="s">
        <v>30</v>
      </c>
      <c r="C635" s="30" t="str">
        <f>VLOOKUP(B635,'112年全品項生產鍋數'!A:H,2,0)</f>
        <v>特殊藍莓餡(1*9.08kg)</v>
      </c>
      <c r="D635" s="287">
        <v>12</v>
      </c>
      <c r="E635" s="48">
        <f>VLOOKUP(B635,'112年全品項生產鍋數'!A:H,3,0)</f>
        <v>9.08</v>
      </c>
      <c r="F635" s="45">
        <f>VLOOKUP(B635,'112年全品項生產鍋數'!A:H,7,0)</f>
        <v>17.5</v>
      </c>
      <c r="G635" s="49">
        <f t="shared" si="54"/>
        <v>210</v>
      </c>
      <c r="H635" s="154">
        <v>214</v>
      </c>
      <c r="I635" s="87">
        <f t="shared" si="55"/>
        <v>1943.1200000000001</v>
      </c>
      <c r="J635" s="100">
        <f t="shared" si="56"/>
        <v>1.019047619047619</v>
      </c>
      <c r="K635" s="84">
        <f>VLOOKUP(B:B,'生產達成率(目標)'!A:C,3,0)</f>
        <v>1</v>
      </c>
      <c r="L635" s="20">
        <f t="shared" si="59"/>
        <v>1.9E-2</v>
      </c>
      <c r="M635" s="235"/>
      <c r="N635" s="40"/>
      <c r="O635" s="166">
        <f t="shared" si="57"/>
        <v>0</v>
      </c>
      <c r="P635" s="40">
        <v>214</v>
      </c>
      <c r="Q635" s="20">
        <f t="shared" si="58"/>
        <v>1</v>
      </c>
      <c r="R635" s="38"/>
      <c r="S635" s="174"/>
      <c r="T635" s="88"/>
      <c r="U635" s="23"/>
      <c r="V635" s="458"/>
      <c r="W635" s="421"/>
      <c r="X635" s="458"/>
      <c r="Y635" s="421"/>
      <c r="Z635" s="421"/>
      <c r="AA635" s="421"/>
      <c r="AB635" s="421"/>
      <c r="AC635" s="421"/>
      <c r="AD635" s="421"/>
    </row>
    <row r="636" spans="1:30" s="22" customFormat="1" x14ac:dyDescent="0.4">
      <c r="A636" s="178" t="s">
        <v>791</v>
      </c>
      <c r="B636" s="149" t="s">
        <v>41</v>
      </c>
      <c r="C636" s="30" t="str">
        <f>VLOOKUP(B636,'112年全品項生產鍋數'!A:H,2,0)</f>
        <v>天天開心藍莓餡4.5KG</v>
      </c>
      <c r="D636" s="287">
        <v>12</v>
      </c>
      <c r="E636" s="48">
        <f>VLOOKUP(B636,'112年全品項生產鍋數'!A:H,3,0)</f>
        <v>4.5</v>
      </c>
      <c r="F636" s="45">
        <f>VLOOKUP(B636,'112年全品項生產鍋數'!A:H,7,0)</f>
        <v>36.799999999999997</v>
      </c>
      <c r="G636" s="49">
        <f t="shared" si="54"/>
        <v>441.59999999999997</v>
      </c>
      <c r="H636" s="154">
        <v>444</v>
      </c>
      <c r="I636" s="87">
        <f t="shared" si="55"/>
        <v>1998</v>
      </c>
      <c r="J636" s="100">
        <f t="shared" si="56"/>
        <v>1.0054347826086958</v>
      </c>
      <c r="K636" s="84">
        <f>VLOOKUP(B:B,'生產達成率(目標)'!A:C,3,0)</f>
        <v>1</v>
      </c>
      <c r="L636" s="20">
        <f t="shared" si="59"/>
        <v>5.0000000000000001E-3</v>
      </c>
      <c r="M636" s="235"/>
      <c r="N636" s="40"/>
      <c r="O636" s="166">
        <f t="shared" si="57"/>
        <v>0</v>
      </c>
      <c r="P636" s="40">
        <v>444</v>
      </c>
      <c r="Q636" s="20">
        <f t="shared" si="58"/>
        <v>1</v>
      </c>
      <c r="R636" s="38"/>
      <c r="S636" s="174"/>
      <c r="T636" s="88"/>
      <c r="U636" s="23"/>
      <c r="V636" s="458"/>
      <c r="W636" s="421"/>
      <c r="X636" s="458"/>
      <c r="Y636" s="421"/>
      <c r="Z636" s="421"/>
      <c r="AA636" s="421"/>
      <c r="AB636" s="421"/>
      <c r="AC636" s="421"/>
      <c r="AD636" s="421"/>
    </row>
    <row r="637" spans="1:30" s="22" customFormat="1" x14ac:dyDescent="0.4">
      <c r="A637" s="178" t="s">
        <v>791</v>
      </c>
      <c r="B637" s="151" t="s">
        <v>7</v>
      </c>
      <c r="C637" s="30" t="str">
        <f>VLOOKUP(B637,'112年全品項生產鍋數'!A:H,2,0)</f>
        <v>草莓蒟蒻餡(1*6kg)</v>
      </c>
      <c r="D637" s="287">
        <v>16</v>
      </c>
      <c r="E637" s="48">
        <f>VLOOKUP(B637,'112年全品項生產鍋數'!A:H,3,0)</f>
        <v>6</v>
      </c>
      <c r="F637" s="45">
        <f>VLOOKUP(B637,'112年全品項生產鍋數'!A:H,7,0)</f>
        <v>25.7</v>
      </c>
      <c r="G637" s="49">
        <f t="shared" si="54"/>
        <v>411.2</v>
      </c>
      <c r="H637" s="154">
        <v>411</v>
      </c>
      <c r="I637" s="87">
        <f t="shared" si="55"/>
        <v>2466</v>
      </c>
      <c r="J637" s="100">
        <f t="shared" si="56"/>
        <v>0.9995136186770428</v>
      </c>
      <c r="K637" s="84">
        <f>VLOOKUP(B:B,'生產達成率(目標)'!A:C,3,0)</f>
        <v>1</v>
      </c>
      <c r="L637" s="20">
        <f t="shared" si="59"/>
        <v>0</v>
      </c>
      <c r="M637" s="235"/>
      <c r="N637" s="40"/>
      <c r="O637" s="166">
        <f t="shared" si="57"/>
        <v>1</v>
      </c>
      <c r="P637" s="40">
        <v>410</v>
      </c>
      <c r="Q637" s="20">
        <f t="shared" si="58"/>
        <v>0.9975669099756691</v>
      </c>
      <c r="R637" s="38"/>
      <c r="S637" s="174"/>
      <c r="T637" s="88"/>
      <c r="U637" s="23"/>
      <c r="V637" s="458"/>
      <c r="W637" s="421"/>
      <c r="X637" s="458"/>
      <c r="Y637" s="421"/>
      <c r="Z637" s="421"/>
      <c r="AA637" s="421"/>
      <c r="AB637" s="421"/>
      <c r="AC637" s="421"/>
      <c r="AD637" s="421"/>
    </row>
    <row r="638" spans="1:30" s="22" customFormat="1" x14ac:dyDescent="0.4">
      <c r="A638" s="178" t="s">
        <v>791</v>
      </c>
      <c r="B638" s="151" t="s">
        <v>356</v>
      </c>
      <c r="C638" s="30" t="str">
        <f>VLOOKUP(B638,'112年全品項生產鍋數'!A:H,2,0)</f>
        <v>花生醬(1*18KG)</v>
      </c>
      <c r="D638" s="287">
        <v>8</v>
      </c>
      <c r="E638" s="48">
        <f>VLOOKUP(B638,'112年全品項生產鍋數'!A:H,3,0)</f>
        <v>18</v>
      </c>
      <c r="F638" s="45">
        <f>VLOOKUP(B638,'112年全品項生產鍋數'!A:H,7,0)</f>
        <v>6.6</v>
      </c>
      <c r="G638" s="49">
        <f t="shared" si="54"/>
        <v>52.8</v>
      </c>
      <c r="H638" s="154">
        <v>50</v>
      </c>
      <c r="I638" s="87">
        <f t="shared" si="55"/>
        <v>900</v>
      </c>
      <c r="J638" s="100">
        <f t="shared" si="56"/>
        <v>0.94696969696969702</v>
      </c>
      <c r="K638" s="84">
        <f>VLOOKUP(B:B,'生產達成率(目標)'!A:C,3,0)</f>
        <v>1</v>
      </c>
      <c r="L638" s="20">
        <f t="shared" si="59"/>
        <v>-5.2999999999999999E-2</v>
      </c>
      <c r="M638" s="235"/>
      <c r="N638" s="40"/>
      <c r="O638" s="166">
        <f t="shared" si="57"/>
        <v>0</v>
      </c>
      <c r="P638" s="40">
        <v>50</v>
      </c>
      <c r="Q638" s="20">
        <f t="shared" si="58"/>
        <v>1</v>
      </c>
      <c r="R638" s="38"/>
      <c r="S638" s="174"/>
      <c r="T638" s="86" t="s">
        <v>385</v>
      </c>
      <c r="U638" s="23"/>
      <c r="V638" s="458"/>
      <c r="W638" s="421"/>
      <c r="X638" s="458"/>
      <c r="Y638" s="421"/>
      <c r="Z638" s="421"/>
      <c r="AA638" s="421"/>
      <c r="AB638" s="421"/>
      <c r="AC638" s="421"/>
      <c r="AD638" s="421"/>
    </row>
    <row r="639" spans="1:30" s="22" customFormat="1" x14ac:dyDescent="0.4">
      <c r="A639" s="178" t="s">
        <v>791</v>
      </c>
      <c r="B639" s="151" t="s">
        <v>9</v>
      </c>
      <c r="C639" s="30" t="str">
        <f>VLOOKUP(B639,'112年全品項生產鍋數'!A:H,2,0)</f>
        <v>＃1花生(1*2.8kg)</v>
      </c>
      <c r="D639" s="287">
        <v>60</v>
      </c>
      <c r="E639" s="48">
        <f>VLOOKUP(B639,'112年全品項生產鍋數'!A:H,3,0)</f>
        <v>2.8</v>
      </c>
      <c r="F639" s="45">
        <f>VLOOKUP(B639,'112年全品項生產鍋數'!A:H,7,0)</f>
        <v>44.5</v>
      </c>
      <c r="G639" s="49">
        <f t="shared" si="54"/>
        <v>2670</v>
      </c>
      <c r="H639" s="154">
        <v>2711</v>
      </c>
      <c r="I639" s="87">
        <f t="shared" si="55"/>
        <v>7590.7999999999993</v>
      </c>
      <c r="J639" s="100">
        <f t="shared" si="56"/>
        <v>1.0153558052434457</v>
      </c>
      <c r="K639" s="84">
        <f>VLOOKUP(B:B,'生產達成率(目標)'!A:C,3,0)</f>
        <v>1</v>
      </c>
      <c r="L639" s="20">
        <f t="shared" si="59"/>
        <v>1.4999999999999999E-2</v>
      </c>
      <c r="M639" s="235"/>
      <c r="N639" s="40"/>
      <c r="O639" s="166">
        <f t="shared" si="57"/>
        <v>1</v>
      </c>
      <c r="P639" s="40">
        <v>2710</v>
      </c>
      <c r="Q639" s="20">
        <f t="shared" si="58"/>
        <v>0.99963113242346002</v>
      </c>
      <c r="R639" s="38"/>
      <c r="S639" s="174"/>
      <c r="T639" s="88"/>
      <c r="U639" s="23"/>
      <c r="V639" s="458"/>
      <c r="W639" s="421"/>
      <c r="X639" s="458"/>
      <c r="Y639" s="421"/>
      <c r="Z639" s="421"/>
      <c r="AA639" s="421"/>
      <c r="AB639" s="421"/>
      <c r="AC639" s="421"/>
      <c r="AD639" s="421"/>
    </row>
    <row r="640" spans="1:30" s="22" customFormat="1" x14ac:dyDescent="0.4">
      <c r="A640" s="178" t="s">
        <v>792</v>
      </c>
      <c r="B640" s="149" t="s">
        <v>36</v>
      </c>
      <c r="C640" s="30" t="str">
        <f>VLOOKUP(B640,'112年全品項生產鍋數'!A:H,2,0)</f>
        <v>開心草莓果醬(1*430g)</v>
      </c>
      <c r="D640" s="287">
        <v>15</v>
      </c>
      <c r="E640" s="48">
        <f>VLOOKUP(B640,'112年全品項生產鍋數'!A:H,3,0)</f>
        <v>0.43</v>
      </c>
      <c r="F640" s="45">
        <f>VLOOKUP(B640,'112年全品項生產鍋數'!A:H,7,0)</f>
        <v>364</v>
      </c>
      <c r="G640" s="49">
        <f t="shared" si="54"/>
        <v>5460</v>
      </c>
      <c r="H640" s="154">
        <v>5574</v>
      </c>
      <c r="I640" s="87">
        <f t="shared" si="55"/>
        <v>2396.8200000000002</v>
      </c>
      <c r="J640" s="100">
        <f t="shared" si="56"/>
        <v>1.0208791208791208</v>
      </c>
      <c r="K640" s="84">
        <f>VLOOKUP(B:B,'生產達成率(目標)'!A:C,3,0)</f>
        <v>1</v>
      </c>
      <c r="L640" s="20">
        <f t="shared" si="59"/>
        <v>2.1000000000000001E-2</v>
      </c>
      <c r="M640" s="235"/>
      <c r="N640" s="40"/>
      <c r="O640" s="166">
        <f t="shared" si="57"/>
        <v>6</v>
      </c>
      <c r="P640" s="40">
        <v>5568</v>
      </c>
      <c r="Q640" s="20">
        <f t="shared" si="58"/>
        <v>0.99892357373519913</v>
      </c>
      <c r="R640" s="38"/>
      <c r="S640" s="174"/>
      <c r="T640" s="88"/>
      <c r="U640" s="23"/>
      <c r="V640" s="458"/>
      <c r="W640" s="421"/>
      <c r="X640" s="458"/>
      <c r="Y640" s="421"/>
      <c r="Z640" s="421"/>
      <c r="AA640" s="421"/>
      <c r="AB640" s="421"/>
      <c r="AC640" s="421"/>
      <c r="AD640" s="421"/>
    </row>
    <row r="641" spans="1:30" s="22" customFormat="1" x14ac:dyDescent="0.4">
      <c r="A641" s="178" t="s">
        <v>792</v>
      </c>
      <c r="B641" s="151" t="s">
        <v>21</v>
      </c>
      <c r="C641" s="30" t="str">
        <f>VLOOKUP(B641,'112年全品項生產鍋數'!A:H,2,0)</f>
        <v>梨山草莓果醬(1*430g)</v>
      </c>
      <c r="D641" s="287">
        <v>12</v>
      </c>
      <c r="E641" s="48">
        <f>VLOOKUP(B641,'112年全品項生產鍋數'!A:H,3,0)</f>
        <v>0.43</v>
      </c>
      <c r="F641" s="45">
        <f>VLOOKUP(B641,'112年全品項生產鍋數'!A:H,7,0)</f>
        <v>340.4</v>
      </c>
      <c r="G641" s="49">
        <f t="shared" si="54"/>
        <v>4084.7999999999997</v>
      </c>
      <c r="H641" s="154">
        <v>4120</v>
      </c>
      <c r="I641" s="87">
        <f t="shared" si="55"/>
        <v>1771.6</v>
      </c>
      <c r="J641" s="100">
        <f t="shared" si="56"/>
        <v>1.008617312965139</v>
      </c>
      <c r="K641" s="84">
        <f>VLOOKUP(B:B,'生產達成率(目標)'!A:C,3,0)</f>
        <v>1</v>
      </c>
      <c r="L641" s="20">
        <f t="shared" si="59"/>
        <v>8.9999999999999993E-3</v>
      </c>
      <c r="M641" s="235"/>
      <c r="N641" s="40"/>
      <c r="O641" s="166">
        <f t="shared" si="57"/>
        <v>8</v>
      </c>
      <c r="P641" s="40">
        <v>4112</v>
      </c>
      <c r="Q641" s="20">
        <f t="shared" si="58"/>
        <v>0.99805825242718449</v>
      </c>
      <c r="R641" s="38"/>
      <c r="S641" s="174"/>
      <c r="T641" s="88"/>
      <c r="U641" s="23"/>
      <c r="V641" s="458"/>
      <c r="W641" s="421"/>
      <c r="X641" s="458"/>
      <c r="Y641" s="421"/>
      <c r="Z641" s="421"/>
      <c r="AA641" s="421"/>
      <c r="AB641" s="421"/>
      <c r="AC641" s="421"/>
      <c r="AD641" s="421"/>
    </row>
    <row r="642" spans="1:30" s="22" customFormat="1" x14ac:dyDescent="0.4">
      <c r="A642" s="178" t="s">
        <v>792</v>
      </c>
      <c r="B642" s="151" t="s">
        <v>139</v>
      </c>
      <c r="C642" s="30" t="str">
        <f>VLOOKUP(B642,'112年全品項生產鍋數'!A:H,2,0)</f>
        <v>草莓餡42°(1*6KG)</v>
      </c>
      <c r="D642" s="287">
        <v>20</v>
      </c>
      <c r="E642" s="48">
        <f>VLOOKUP(B642,'112年全品項生產鍋數'!A:H,3,0)</f>
        <v>6</v>
      </c>
      <c r="F642" s="45">
        <f>VLOOKUP(B642,'112年全品項生產鍋數'!A:H,7,0)</f>
        <v>25.2</v>
      </c>
      <c r="G642" s="49">
        <f t="shared" ref="G642:G705" si="60">D642*F642</f>
        <v>504</v>
      </c>
      <c r="H642" s="154">
        <v>515</v>
      </c>
      <c r="I642" s="87">
        <f t="shared" ref="I642:I682" si="61">H642*E642</f>
        <v>3090</v>
      </c>
      <c r="J642" s="100">
        <f t="shared" ref="J642:J682" si="62">IF(G642=0,"無法預估數據",H642/G642)</f>
        <v>1.0218253968253967</v>
      </c>
      <c r="K642" s="84">
        <f>VLOOKUP(B:B,'生產達成率(目標)'!A:C,3,0)</f>
        <v>1</v>
      </c>
      <c r="L642" s="20">
        <f t="shared" si="59"/>
        <v>2.1999999999999999E-2</v>
      </c>
      <c r="M642" s="235"/>
      <c r="N642" s="40"/>
      <c r="O642" s="166">
        <f t="shared" ref="O642:O681" si="63">H642-N642-P642</f>
        <v>1</v>
      </c>
      <c r="P642" s="40">
        <v>514</v>
      </c>
      <c r="Q642" s="20">
        <f t="shared" ref="Q642:Q682" si="64">P642/H642</f>
        <v>0.99805825242718449</v>
      </c>
      <c r="R642" s="38"/>
      <c r="S642" s="174"/>
      <c r="T642" s="88"/>
      <c r="U642" s="23"/>
      <c r="V642" s="458"/>
      <c r="W642" s="421"/>
      <c r="X642" s="458"/>
      <c r="Y642" s="421"/>
      <c r="Z642" s="421"/>
      <c r="AA642" s="421"/>
      <c r="AB642" s="421"/>
      <c r="AC642" s="421"/>
      <c r="AD642" s="421"/>
    </row>
    <row r="643" spans="1:30" s="22" customFormat="1" x14ac:dyDescent="0.4">
      <c r="A643" s="178" t="s">
        <v>792</v>
      </c>
      <c r="B643" s="151" t="s">
        <v>7</v>
      </c>
      <c r="C643" s="30" t="str">
        <f>VLOOKUP(B643,'112年全品項生產鍋數'!A:H,2,0)</f>
        <v>草莓蒟蒻餡(1*6kg)</v>
      </c>
      <c r="D643" s="287">
        <v>24</v>
      </c>
      <c r="E643" s="48">
        <f>VLOOKUP(B643,'112年全品項生產鍋數'!A:H,3,0)</f>
        <v>6</v>
      </c>
      <c r="F643" s="45">
        <f>VLOOKUP(B643,'112年全品項生產鍋數'!A:H,7,0)</f>
        <v>25.7</v>
      </c>
      <c r="G643" s="49">
        <f t="shared" si="60"/>
        <v>616.79999999999995</v>
      </c>
      <c r="H643" s="154">
        <v>627</v>
      </c>
      <c r="I643" s="87">
        <f t="shared" si="61"/>
        <v>3762</v>
      </c>
      <c r="J643" s="100">
        <f t="shared" si="62"/>
        <v>1.0165369649805449</v>
      </c>
      <c r="K643" s="84">
        <f>VLOOKUP(B:B,'生產達成率(目標)'!A:C,3,0)</f>
        <v>1</v>
      </c>
      <c r="L643" s="20">
        <f t="shared" ref="L643:L706" si="65">IF(G643=0,"無法預估數據",ROUND(J643-K643,3))</f>
        <v>1.7000000000000001E-2</v>
      </c>
      <c r="M643" s="235"/>
      <c r="N643" s="40"/>
      <c r="O643" s="166">
        <f t="shared" si="63"/>
        <v>2</v>
      </c>
      <c r="P643" s="40">
        <v>625</v>
      </c>
      <c r="Q643" s="20">
        <f t="shared" si="64"/>
        <v>0.99681020733652315</v>
      </c>
      <c r="R643" s="38"/>
      <c r="S643" s="174"/>
      <c r="T643" s="88"/>
      <c r="U643" s="23"/>
      <c r="V643" s="458"/>
      <c r="W643" s="421"/>
      <c r="X643" s="458"/>
      <c r="Y643" s="421"/>
      <c r="Z643" s="421"/>
      <c r="AA643" s="421"/>
      <c r="AB643" s="421"/>
      <c r="AC643" s="421"/>
      <c r="AD643" s="421"/>
    </row>
    <row r="644" spans="1:30" s="22" customFormat="1" x14ac:dyDescent="0.4">
      <c r="A644" s="178" t="s">
        <v>792</v>
      </c>
      <c r="B644" s="151" t="s">
        <v>9</v>
      </c>
      <c r="C644" s="30" t="str">
        <f>VLOOKUP(B644,'112年全品項生產鍋數'!A:H,2,0)</f>
        <v>＃1花生(1*2.8kg)</v>
      </c>
      <c r="D644" s="287">
        <v>72</v>
      </c>
      <c r="E644" s="48">
        <f>VLOOKUP(B644,'112年全品項生產鍋數'!A:H,3,0)</f>
        <v>2.8</v>
      </c>
      <c r="F644" s="45">
        <f>VLOOKUP(B644,'112年全品項生產鍋數'!A:H,7,0)</f>
        <v>44.5</v>
      </c>
      <c r="G644" s="49">
        <f t="shared" si="60"/>
        <v>3204</v>
      </c>
      <c r="H644" s="154">
        <v>3210</v>
      </c>
      <c r="I644" s="87">
        <f t="shared" si="61"/>
        <v>8988</v>
      </c>
      <c r="J644" s="100">
        <f t="shared" si="62"/>
        <v>1.0018726591760299</v>
      </c>
      <c r="K644" s="84">
        <f>VLOOKUP(B:B,'生產達成率(目標)'!A:C,3,0)</f>
        <v>1</v>
      </c>
      <c r="L644" s="20">
        <f t="shared" si="65"/>
        <v>2E-3</v>
      </c>
      <c r="M644" s="235"/>
      <c r="N644" s="40"/>
      <c r="O644" s="166">
        <f t="shared" si="63"/>
        <v>1</v>
      </c>
      <c r="P644" s="40">
        <v>3209</v>
      </c>
      <c r="Q644" s="20">
        <f t="shared" si="64"/>
        <v>0.99968847352024925</v>
      </c>
      <c r="R644" s="38"/>
      <c r="S644" s="174"/>
      <c r="T644" s="88"/>
      <c r="U644" s="23"/>
      <c r="V644" s="458"/>
      <c r="W644" s="421"/>
      <c r="X644" s="458"/>
      <c r="Y644" s="421"/>
      <c r="Z644" s="421"/>
      <c r="AA644" s="421"/>
      <c r="AB644" s="421"/>
      <c r="AC644" s="421"/>
      <c r="AD644" s="421"/>
    </row>
    <row r="645" spans="1:30" s="22" customFormat="1" x14ac:dyDescent="0.4">
      <c r="A645" s="178" t="s">
        <v>793</v>
      </c>
      <c r="B645" s="151" t="s">
        <v>363</v>
      </c>
      <c r="C645" s="30" t="str">
        <f>VLOOKUP(B645,'112年全品項生產鍋數'!A:H,2,0)</f>
        <v>水蜜桃醬(1*6kg)</v>
      </c>
      <c r="D645" s="287">
        <v>6</v>
      </c>
      <c r="E645" s="48">
        <f>VLOOKUP(B645,'112年全品項生產鍋數'!A:H,3,0)</f>
        <v>6</v>
      </c>
      <c r="F645" s="45">
        <f>VLOOKUP(B645,'112年全品項生產鍋數'!A:H,7,0)</f>
        <v>24.5</v>
      </c>
      <c r="G645" s="49">
        <f t="shared" si="60"/>
        <v>147</v>
      </c>
      <c r="H645" s="154">
        <v>151</v>
      </c>
      <c r="I645" s="87">
        <f t="shared" si="61"/>
        <v>906</v>
      </c>
      <c r="J645" s="100">
        <f t="shared" si="62"/>
        <v>1.0272108843537415</v>
      </c>
      <c r="K645" s="84">
        <f>VLOOKUP(B:B,'生產達成率(目標)'!A:C,3,0)</f>
        <v>1</v>
      </c>
      <c r="L645" s="20">
        <f t="shared" si="65"/>
        <v>2.7E-2</v>
      </c>
      <c r="M645" s="235"/>
      <c r="N645" s="40"/>
      <c r="O645" s="166">
        <f t="shared" si="63"/>
        <v>1</v>
      </c>
      <c r="P645" s="40">
        <v>150</v>
      </c>
      <c r="Q645" s="20">
        <f t="shared" si="64"/>
        <v>0.99337748344370858</v>
      </c>
      <c r="R645" s="38"/>
      <c r="S645" s="174"/>
      <c r="T645" s="88"/>
      <c r="U645" s="23"/>
      <c r="V645" s="458"/>
      <c r="W645" s="421"/>
      <c r="X645" s="458"/>
      <c r="Y645" s="421"/>
      <c r="Z645" s="421"/>
      <c r="AA645" s="421"/>
      <c r="AB645" s="421"/>
      <c r="AC645" s="421"/>
      <c r="AD645" s="421"/>
    </row>
    <row r="646" spans="1:30" s="22" customFormat="1" x14ac:dyDescent="0.4">
      <c r="A646" s="178" t="s">
        <v>793</v>
      </c>
      <c r="B646" s="151" t="s">
        <v>40</v>
      </c>
      <c r="C646" s="30" t="str">
        <f>VLOOKUP(B646,'112年全品項生產鍋數'!A:H,2,0)</f>
        <v>蜂蜜蘋果醬(1*6KG)</v>
      </c>
      <c r="D646" s="287">
        <v>6</v>
      </c>
      <c r="E646" s="48">
        <f>VLOOKUP(B646,'112年全品項生產鍋數'!A:H,3,0)</f>
        <v>6</v>
      </c>
      <c r="F646" s="45">
        <f>VLOOKUP(B646,'112年全品項生產鍋數'!A:H,7,0)</f>
        <v>25.2</v>
      </c>
      <c r="G646" s="49">
        <f t="shared" si="60"/>
        <v>151.19999999999999</v>
      </c>
      <c r="H646" s="154">
        <v>156</v>
      </c>
      <c r="I646" s="87">
        <f t="shared" si="61"/>
        <v>936</v>
      </c>
      <c r="J646" s="100">
        <f t="shared" si="62"/>
        <v>1.0317460317460319</v>
      </c>
      <c r="K646" s="84">
        <f>VLOOKUP(B:B,'生產達成率(目標)'!A:C,3,0)</f>
        <v>1</v>
      </c>
      <c r="L646" s="20">
        <f t="shared" si="65"/>
        <v>3.2000000000000001E-2</v>
      </c>
      <c r="M646" s="235"/>
      <c r="N646" s="40"/>
      <c r="O646" s="166">
        <f t="shared" si="63"/>
        <v>1</v>
      </c>
      <c r="P646" s="40">
        <v>155</v>
      </c>
      <c r="Q646" s="20">
        <f t="shared" si="64"/>
        <v>0.99358974358974361</v>
      </c>
      <c r="R646" s="38"/>
      <c r="S646" s="174"/>
      <c r="T646" s="88"/>
      <c r="U646" s="23"/>
      <c r="V646" s="458"/>
      <c r="W646" s="421"/>
      <c r="X646" s="458"/>
      <c r="Y646" s="421"/>
      <c r="Z646" s="421"/>
      <c r="AA646" s="421"/>
      <c r="AB646" s="421"/>
      <c r="AC646" s="421"/>
      <c r="AD646" s="421"/>
    </row>
    <row r="647" spans="1:30" s="22" customFormat="1" x14ac:dyDescent="0.4">
      <c r="A647" s="178" t="s">
        <v>793</v>
      </c>
      <c r="B647" s="151" t="s">
        <v>1</v>
      </c>
      <c r="C647" s="30" t="str">
        <f>VLOOKUP(B647,'112年全品項生產鍋數'!A:H,2,0)</f>
        <v>藍莓醬(1*6kg)</v>
      </c>
      <c r="D647" s="287">
        <v>20</v>
      </c>
      <c r="E647" s="48">
        <f>VLOOKUP(B647,'112年全品項生產鍋數'!A:H,3,0)</f>
        <v>6</v>
      </c>
      <c r="F647" s="45">
        <f>VLOOKUP(B647,'112年全品項生產鍋數'!A:H,7,0)</f>
        <v>25.5</v>
      </c>
      <c r="G647" s="49">
        <f t="shared" si="60"/>
        <v>510</v>
      </c>
      <c r="H647" s="154">
        <v>520</v>
      </c>
      <c r="I647" s="87">
        <f t="shared" si="61"/>
        <v>3120</v>
      </c>
      <c r="J647" s="100">
        <f t="shared" si="62"/>
        <v>1.0196078431372548</v>
      </c>
      <c r="K647" s="84">
        <f>VLOOKUP(B:B,'生產達成率(目標)'!A:C,3,0)</f>
        <v>1</v>
      </c>
      <c r="L647" s="20">
        <f t="shared" si="65"/>
        <v>0.02</v>
      </c>
      <c r="M647" s="235"/>
      <c r="N647" s="40"/>
      <c r="O647" s="166">
        <f t="shared" si="63"/>
        <v>1</v>
      </c>
      <c r="P647" s="40">
        <v>519</v>
      </c>
      <c r="Q647" s="20">
        <f t="shared" si="64"/>
        <v>0.99807692307692308</v>
      </c>
      <c r="R647" s="38"/>
      <c r="S647" s="174"/>
      <c r="T647" s="88"/>
      <c r="U647" s="23"/>
      <c r="V647" s="458"/>
      <c r="W647" s="421"/>
      <c r="X647" s="458"/>
      <c r="Y647" s="421"/>
      <c r="Z647" s="421"/>
      <c r="AA647" s="421"/>
      <c r="AB647" s="421"/>
      <c r="AC647" s="421"/>
      <c r="AD647" s="421"/>
    </row>
    <row r="648" spans="1:30" s="22" customFormat="1" x14ac:dyDescent="0.4">
      <c r="A648" s="178" t="s">
        <v>793</v>
      </c>
      <c r="B648" s="151" t="s">
        <v>13</v>
      </c>
      <c r="C648" s="30" t="str">
        <f>VLOOKUP(B648,'112年全品項生產鍋數'!A:H,2,0)</f>
        <v>顆粒花生醬(1*12KG)</v>
      </c>
      <c r="D648" s="287">
        <v>18</v>
      </c>
      <c r="E648" s="48">
        <f>VLOOKUP(B648,'112年全品項生產鍋數'!A:H,3,0)</f>
        <v>3</v>
      </c>
      <c r="F648" s="45">
        <f>VLOOKUP(B648,'112年全品項生產鍋數'!A:H,7,0)</f>
        <v>29.7</v>
      </c>
      <c r="G648" s="49">
        <f t="shared" si="60"/>
        <v>534.6</v>
      </c>
      <c r="H648" s="154">
        <v>528</v>
      </c>
      <c r="I648" s="87">
        <f t="shared" si="61"/>
        <v>1584</v>
      </c>
      <c r="J648" s="100">
        <f t="shared" si="62"/>
        <v>0.98765432098765427</v>
      </c>
      <c r="K648" s="84">
        <f>VLOOKUP(B:B,'生產達成率(目標)'!A:C,3,0)</f>
        <v>1</v>
      </c>
      <c r="L648" s="20">
        <f t="shared" si="65"/>
        <v>-1.2E-2</v>
      </c>
      <c r="M648" s="235"/>
      <c r="N648" s="40"/>
      <c r="O648" s="166">
        <f t="shared" si="63"/>
        <v>0</v>
      </c>
      <c r="P648" s="40">
        <v>528</v>
      </c>
      <c r="Q648" s="20">
        <f t="shared" si="64"/>
        <v>1</v>
      </c>
      <c r="R648" s="38"/>
      <c r="S648" s="174"/>
      <c r="T648" s="86"/>
      <c r="U648" s="23"/>
      <c r="V648" s="458"/>
      <c r="W648" s="421"/>
      <c r="X648" s="458"/>
      <c r="Y648" s="421"/>
      <c r="Z648" s="421"/>
      <c r="AA648" s="421"/>
      <c r="AB648" s="421"/>
      <c r="AC648" s="421"/>
      <c r="AD648" s="421"/>
    </row>
    <row r="649" spans="1:30" s="22" customFormat="1" x14ac:dyDescent="0.4">
      <c r="A649" s="178" t="s">
        <v>793</v>
      </c>
      <c r="B649" s="151" t="s">
        <v>9</v>
      </c>
      <c r="C649" s="30" t="str">
        <f>VLOOKUP(B649,'112年全品項生產鍋數'!A:H,2,0)</f>
        <v>＃1花生(1*2.8kg)</v>
      </c>
      <c r="D649" s="287">
        <v>72</v>
      </c>
      <c r="E649" s="48">
        <f>VLOOKUP(B649,'112年全品項生產鍋數'!A:H,3,0)</f>
        <v>2.8</v>
      </c>
      <c r="F649" s="45">
        <f>VLOOKUP(B649,'112年全品項生產鍋數'!A:H,7,0)</f>
        <v>44.5</v>
      </c>
      <c r="G649" s="49">
        <f t="shared" si="60"/>
        <v>3204</v>
      </c>
      <c r="H649" s="154">
        <v>3227</v>
      </c>
      <c r="I649" s="87">
        <f t="shared" si="61"/>
        <v>9035.5999999999985</v>
      </c>
      <c r="J649" s="100">
        <f t="shared" si="62"/>
        <v>1.0071785268414482</v>
      </c>
      <c r="K649" s="84">
        <f>VLOOKUP(B:B,'生產達成率(目標)'!A:C,3,0)</f>
        <v>1</v>
      </c>
      <c r="L649" s="20">
        <f t="shared" si="65"/>
        <v>7.0000000000000001E-3</v>
      </c>
      <c r="M649" s="235"/>
      <c r="N649" s="40"/>
      <c r="O649" s="166">
        <f t="shared" si="63"/>
        <v>1</v>
      </c>
      <c r="P649" s="40">
        <v>3226</v>
      </c>
      <c r="Q649" s="20">
        <f t="shared" si="64"/>
        <v>0.99969011465757673</v>
      </c>
      <c r="R649" s="38"/>
      <c r="S649" s="174"/>
      <c r="T649" s="86"/>
      <c r="U649" s="23"/>
      <c r="V649" s="458"/>
      <c r="W649" s="421"/>
      <c r="X649" s="458"/>
      <c r="Y649" s="421"/>
      <c r="Z649" s="421"/>
      <c r="AA649" s="421"/>
      <c r="AB649" s="421"/>
      <c r="AC649" s="421"/>
      <c r="AD649" s="421"/>
    </row>
    <row r="650" spans="1:30" s="22" customFormat="1" x14ac:dyDescent="0.4">
      <c r="A650" s="178" t="s">
        <v>794</v>
      </c>
      <c r="B650" s="151" t="s">
        <v>12</v>
      </c>
      <c r="C650" s="30" t="str">
        <f>VLOOKUP(B650,'112年全品項生產鍋數'!A:H,2,0)</f>
        <v>＃1草莓(1*3.2kg)</v>
      </c>
      <c r="D650" s="287">
        <v>64</v>
      </c>
      <c r="E650" s="48">
        <f>VLOOKUP(B650,'112年全品項生產鍋數'!A:H,3,0)</f>
        <v>3.2</v>
      </c>
      <c r="F650" s="45">
        <f>VLOOKUP(B650,'112年全品項生產鍋數'!A:H,7,0)</f>
        <v>46.8</v>
      </c>
      <c r="G650" s="49">
        <f t="shared" si="60"/>
        <v>2995.2</v>
      </c>
      <c r="H650" s="154">
        <v>3040</v>
      </c>
      <c r="I650" s="87">
        <f t="shared" si="61"/>
        <v>9728</v>
      </c>
      <c r="J650" s="100">
        <f t="shared" si="62"/>
        <v>1.0149572649572651</v>
      </c>
      <c r="K650" s="84">
        <f>VLOOKUP(B:B,'生產達成率(目標)'!A:C,3,0)</f>
        <v>1</v>
      </c>
      <c r="L650" s="20">
        <f t="shared" si="65"/>
        <v>1.4999999999999999E-2</v>
      </c>
      <c r="M650" s="235"/>
      <c r="N650" s="40"/>
      <c r="O650" s="166">
        <f t="shared" si="63"/>
        <v>2</v>
      </c>
      <c r="P650" s="40">
        <v>3038</v>
      </c>
      <c r="Q650" s="20">
        <f t="shared" si="64"/>
        <v>0.99934210526315792</v>
      </c>
      <c r="R650" s="38"/>
      <c r="S650" s="174"/>
      <c r="T650" s="86"/>
      <c r="U650" s="23"/>
      <c r="V650" s="458"/>
      <c r="W650" s="421"/>
      <c r="X650" s="458"/>
      <c r="Y650" s="421"/>
      <c r="Z650" s="421"/>
      <c r="AA650" s="421"/>
      <c r="AB650" s="421"/>
      <c r="AC650" s="421"/>
      <c r="AD650" s="421"/>
    </row>
    <row r="651" spans="1:30" s="22" customFormat="1" x14ac:dyDescent="0.4">
      <c r="A651" s="178" t="s">
        <v>794</v>
      </c>
      <c r="B651" s="151" t="s">
        <v>145</v>
      </c>
      <c r="C651" s="30" t="str">
        <f>VLOOKUP(B651,'112年全品項生產鍋數'!A:H,2,0)</f>
        <v>藍莓餡(1*6kg)</v>
      </c>
      <c r="D651" s="287">
        <v>8</v>
      </c>
      <c r="E651" s="48">
        <f>VLOOKUP(B651,'112年全品項生產鍋數'!A:H,3,0)</f>
        <v>6</v>
      </c>
      <c r="F651" s="45">
        <f>VLOOKUP(B651,'112年全品項生產鍋數'!A:H,7,0)</f>
        <v>26.4</v>
      </c>
      <c r="G651" s="49">
        <f t="shared" si="60"/>
        <v>211.2</v>
      </c>
      <c r="H651" s="154">
        <v>224</v>
      </c>
      <c r="I651" s="87">
        <f t="shared" si="61"/>
        <v>1344</v>
      </c>
      <c r="J651" s="100">
        <f t="shared" si="62"/>
        <v>1.0606060606060606</v>
      </c>
      <c r="K651" s="84">
        <f>VLOOKUP(B:B,'生產達成率(目標)'!A:C,3,0)</f>
        <v>1</v>
      </c>
      <c r="L651" s="20">
        <f t="shared" si="65"/>
        <v>6.0999999999999999E-2</v>
      </c>
      <c r="M651" s="235"/>
      <c r="N651" s="40"/>
      <c r="O651" s="166">
        <f t="shared" si="63"/>
        <v>1</v>
      </c>
      <c r="P651" s="40">
        <v>223</v>
      </c>
      <c r="Q651" s="20">
        <f t="shared" si="64"/>
        <v>0.9955357142857143</v>
      </c>
      <c r="R651" s="38"/>
      <c r="S651" s="174"/>
      <c r="T651" s="86"/>
      <c r="U651" s="23"/>
      <c r="V651" s="458"/>
      <c r="W651" s="421"/>
      <c r="X651" s="458"/>
      <c r="Y651" s="421"/>
      <c r="Z651" s="421"/>
      <c r="AA651" s="421"/>
      <c r="AB651" s="421"/>
      <c r="AC651" s="421"/>
      <c r="AD651" s="421"/>
    </row>
    <row r="652" spans="1:30" s="22" customFormat="1" x14ac:dyDescent="0.4">
      <c r="A652" s="178" t="s">
        <v>794</v>
      </c>
      <c r="B652" s="151" t="s">
        <v>31</v>
      </c>
      <c r="C652" s="30" t="str">
        <f>VLOOKUP(B652,'112年全品項生產鍋數'!A:H,2,0)</f>
        <v>天天開心芒果餡4.5KG</v>
      </c>
      <c r="D652" s="287">
        <v>16</v>
      </c>
      <c r="E652" s="48">
        <f>VLOOKUP(B652,'112年全品項生產鍋數'!A:H,3,0)</f>
        <v>4.5</v>
      </c>
      <c r="F652" s="45">
        <f>VLOOKUP(B652,'112年全品項生產鍋數'!A:H,7,0)</f>
        <v>33.200000000000003</v>
      </c>
      <c r="G652" s="49">
        <f t="shared" si="60"/>
        <v>531.20000000000005</v>
      </c>
      <c r="H652" s="154">
        <v>530</v>
      </c>
      <c r="I652" s="87">
        <f t="shared" si="61"/>
        <v>2385</v>
      </c>
      <c r="J652" s="100">
        <f t="shared" si="62"/>
        <v>0.99774096385542155</v>
      </c>
      <c r="K652" s="84">
        <f>VLOOKUP(B:B,'生產達成率(目標)'!A:C,3,0)</f>
        <v>1</v>
      </c>
      <c r="L652" s="20">
        <f t="shared" si="65"/>
        <v>-2E-3</v>
      </c>
      <c r="M652" s="235"/>
      <c r="N652" s="40"/>
      <c r="O652" s="166">
        <f t="shared" si="63"/>
        <v>0</v>
      </c>
      <c r="P652" s="40">
        <v>530</v>
      </c>
      <c r="Q652" s="20">
        <f t="shared" si="64"/>
        <v>1</v>
      </c>
      <c r="R652" s="38"/>
      <c r="S652" s="174"/>
      <c r="T652" s="86"/>
      <c r="U652" s="23"/>
      <c r="V652" s="458"/>
      <c r="W652" s="421"/>
      <c r="X652" s="458"/>
      <c r="Y652" s="421"/>
      <c r="Z652" s="421"/>
      <c r="AA652" s="421"/>
      <c r="AB652" s="421"/>
      <c r="AC652" s="421"/>
      <c r="AD652" s="421"/>
    </row>
    <row r="653" spans="1:30" s="22" customFormat="1" x14ac:dyDescent="0.4">
      <c r="A653" s="178" t="s">
        <v>794</v>
      </c>
      <c r="B653" s="151" t="s">
        <v>8</v>
      </c>
      <c r="C653" s="30" t="str">
        <f>VLOOKUP(B653,'112年全品項生產鍋數'!A:H,2,0)</f>
        <v>藍莓餡(1*6KG)</v>
      </c>
      <c r="D653" s="287">
        <v>20</v>
      </c>
      <c r="E653" s="48">
        <f>VLOOKUP(B653,'112年全品項生產鍋數'!A:H,3,0)</f>
        <v>6</v>
      </c>
      <c r="F653" s="45">
        <f>VLOOKUP(B653,'112年全品項生產鍋數'!A:H,7,0)</f>
        <v>25.4</v>
      </c>
      <c r="G653" s="49">
        <f t="shared" si="60"/>
        <v>508</v>
      </c>
      <c r="H653" s="154">
        <v>514</v>
      </c>
      <c r="I653" s="87">
        <f t="shared" si="61"/>
        <v>3084</v>
      </c>
      <c r="J653" s="100">
        <f t="shared" si="62"/>
        <v>1.0118110236220472</v>
      </c>
      <c r="K653" s="84">
        <f>VLOOKUP(B:B,'生產達成率(目標)'!A:C,3,0)</f>
        <v>1</v>
      </c>
      <c r="L653" s="20">
        <f t="shared" si="65"/>
        <v>1.2E-2</v>
      </c>
      <c r="M653" s="235"/>
      <c r="N653" s="40"/>
      <c r="O653" s="166">
        <f t="shared" si="63"/>
        <v>1</v>
      </c>
      <c r="P653" s="40">
        <v>513</v>
      </c>
      <c r="Q653" s="20">
        <f t="shared" si="64"/>
        <v>0.99805447470817121</v>
      </c>
      <c r="R653" s="38"/>
      <c r="S653" s="174"/>
      <c r="T653" s="86"/>
      <c r="U653" s="23"/>
      <c r="V653" s="458"/>
      <c r="W653" s="421"/>
      <c r="X653" s="458"/>
      <c r="Y653" s="421"/>
      <c r="Z653" s="421"/>
      <c r="AA653" s="421"/>
      <c r="AB653" s="421"/>
      <c r="AC653" s="421"/>
      <c r="AD653" s="421"/>
    </row>
    <row r="654" spans="1:30" s="22" customFormat="1" x14ac:dyDescent="0.4">
      <c r="A654" s="178" t="s">
        <v>794</v>
      </c>
      <c r="B654" s="151" t="s">
        <v>9</v>
      </c>
      <c r="C654" s="30" t="str">
        <f>VLOOKUP(B654,'112年全品項生產鍋數'!A:H,2,0)</f>
        <v>＃1花生(1*2.8kg)</v>
      </c>
      <c r="D654" s="287">
        <v>72</v>
      </c>
      <c r="E654" s="48">
        <f>VLOOKUP(B654,'112年全品項生產鍋數'!A:H,3,0)</f>
        <v>2.8</v>
      </c>
      <c r="F654" s="45">
        <f>VLOOKUP(B654,'112年全品項生產鍋數'!A:H,7,0)</f>
        <v>44.5</v>
      </c>
      <c r="G654" s="49">
        <f t="shared" si="60"/>
        <v>3204</v>
      </c>
      <c r="H654" s="154">
        <v>3215</v>
      </c>
      <c r="I654" s="87">
        <f t="shared" si="61"/>
        <v>9002</v>
      </c>
      <c r="J654" s="100">
        <f t="shared" si="62"/>
        <v>1.0034332084893882</v>
      </c>
      <c r="K654" s="84">
        <f>VLOOKUP(B:B,'生產達成率(目標)'!A:C,3,0)</f>
        <v>1</v>
      </c>
      <c r="L654" s="20">
        <f t="shared" si="65"/>
        <v>3.0000000000000001E-3</v>
      </c>
      <c r="M654" s="235"/>
      <c r="N654" s="40"/>
      <c r="O654" s="166">
        <f t="shared" si="63"/>
        <v>1</v>
      </c>
      <c r="P654" s="40">
        <v>3214</v>
      </c>
      <c r="Q654" s="20">
        <f t="shared" si="64"/>
        <v>0.99968895800933122</v>
      </c>
      <c r="R654" s="38"/>
      <c r="S654" s="174"/>
      <c r="T654" s="86"/>
      <c r="U654" s="23"/>
      <c r="V654" s="458"/>
      <c r="W654" s="421"/>
      <c r="X654" s="458"/>
      <c r="Y654" s="421"/>
      <c r="Z654" s="421"/>
      <c r="AA654" s="421"/>
      <c r="AB654" s="421"/>
      <c r="AC654" s="421"/>
      <c r="AD654" s="421"/>
    </row>
    <row r="655" spans="1:30" s="22" customFormat="1" x14ac:dyDescent="0.4">
      <c r="A655" s="178" t="s">
        <v>795</v>
      </c>
      <c r="B655" s="151" t="s">
        <v>362</v>
      </c>
      <c r="C655" s="30" t="str">
        <f>VLOOKUP(B655,'112年全品項生產鍋數'!A:H,2,0)</f>
        <v>桑椹果粒茶(1*400G)</v>
      </c>
      <c r="D655" s="287">
        <v>6</v>
      </c>
      <c r="E655" s="48">
        <f>VLOOKUP(B655,'112年全品項生產鍋數'!A:H,3,0)</f>
        <v>0.4</v>
      </c>
      <c r="F655" s="45">
        <f>VLOOKUP(B655,'112年全品項生產鍋數'!A:H,7,0)</f>
        <v>366.4</v>
      </c>
      <c r="G655" s="49">
        <f t="shared" si="60"/>
        <v>2198.3999999999996</v>
      </c>
      <c r="H655" s="154">
        <v>2223</v>
      </c>
      <c r="I655" s="87">
        <f t="shared" si="61"/>
        <v>889.2</v>
      </c>
      <c r="J655" s="100">
        <f t="shared" si="62"/>
        <v>1.0111899563318778</v>
      </c>
      <c r="K655" s="84">
        <f>VLOOKUP(B:B,'生產達成率(目標)'!A:C,3,0)</f>
        <v>1</v>
      </c>
      <c r="L655" s="20">
        <f t="shared" si="65"/>
        <v>1.0999999999999999E-2</v>
      </c>
      <c r="M655" s="235"/>
      <c r="N655" s="40"/>
      <c r="O655" s="166">
        <f t="shared" si="63"/>
        <v>8</v>
      </c>
      <c r="P655" s="40">
        <v>2215</v>
      </c>
      <c r="Q655" s="20">
        <f t="shared" si="64"/>
        <v>0.99640125955915426</v>
      </c>
      <c r="R655" s="38"/>
      <c r="S655" s="174"/>
      <c r="T655" s="86" t="s">
        <v>386</v>
      </c>
      <c r="U655" s="23"/>
      <c r="V655" s="458"/>
      <c r="W655" s="421"/>
      <c r="X655" s="458"/>
      <c r="Y655" s="421"/>
      <c r="Z655" s="421"/>
      <c r="AA655" s="421"/>
      <c r="AB655" s="421"/>
      <c r="AC655" s="421"/>
      <c r="AD655" s="421"/>
    </row>
    <row r="656" spans="1:30" s="22" customFormat="1" x14ac:dyDescent="0.4">
      <c r="A656" s="178" t="s">
        <v>795</v>
      </c>
      <c r="B656" s="149" t="s">
        <v>11</v>
      </c>
      <c r="C656" s="30" t="str">
        <f>VLOOKUP(B656,'112年全品項生產鍋數'!A:H,2,0)</f>
        <v>#2草莓果醬(1*900g)</v>
      </c>
      <c r="D656" s="287">
        <v>20</v>
      </c>
      <c r="E656" s="48">
        <f>VLOOKUP(B656,'112年全品項生產鍋數'!A:H,3,0)</f>
        <v>0.9</v>
      </c>
      <c r="F656" s="45">
        <f>VLOOKUP(B656,'112年全品項生產鍋數'!A:H,7,0)</f>
        <v>160.5</v>
      </c>
      <c r="G656" s="49">
        <f t="shared" si="60"/>
        <v>3210</v>
      </c>
      <c r="H656" s="154">
        <v>3242</v>
      </c>
      <c r="I656" s="87">
        <f t="shared" si="61"/>
        <v>2917.8</v>
      </c>
      <c r="J656" s="100">
        <f t="shared" si="62"/>
        <v>1.009968847352025</v>
      </c>
      <c r="K656" s="84">
        <f>VLOOKUP(B:B,'生產達成率(目標)'!A:C,3,0)</f>
        <v>1</v>
      </c>
      <c r="L656" s="20">
        <f t="shared" si="65"/>
        <v>0.01</v>
      </c>
      <c r="M656" s="235"/>
      <c r="N656" s="40"/>
      <c r="O656" s="166">
        <f t="shared" si="63"/>
        <v>2</v>
      </c>
      <c r="P656" s="40">
        <v>3240</v>
      </c>
      <c r="Q656" s="20">
        <f t="shared" si="64"/>
        <v>0.99938309685379401</v>
      </c>
      <c r="R656" s="38"/>
      <c r="S656" s="174"/>
      <c r="T656" s="86"/>
      <c r="U656" s="23"/>
      <c r="V656" s="458"/>
      <c r="W656" s="421"/>
      <c r="X656" s="458"/>
      <c r="Y656" s="421"/>
      <c r="Z656" s="421"/>
      <c r="AA656" s="421"/>
      <c r="AB656" s="421"/>
      <c r="AC656" s="421"/>
      <c r="AD656" s="421"/>
    </row>
    <row r="657" spans="1:30" s="22" customFormat="1" x14ac:dyDescent="0.4">
      <c r="A657" s="178" t="s">
        <v>795</v>
      </c>
      <c r="B657" s="151" t="s">
        <v>2</v>
      </c>
      <c r="C657" s="30" t="str">
        <f>VLOOKUP(B657,'112年全品項生產鍋數'!A:H,2,0)</f>
        <v>草莓醬(1*6kg)</v>
      </c>
      <c r="D657" s="287">
        <v>40</v>
      </c>
      <c r="E657" s="48">
        <f>VLOOKUP(B657,'112年全品項生產鍋數'!A:H,3,0)</f>
        <v>6</v>
      </c>
      <c r="F657" s="45">
        <f>VLOOKUP(B657,'112年全品項生產鍋數'!A:H,7,0)</f>
        <v>26.6</v>
      </c>
      <c r="G657" s="49">
        <f t="shared" si="60"/>
        <v>1064</v>
      </c>
      <c r="H657" s="154">
        <v>1065</v>
      </c>
      <c r="I657" s="87">
        <f t="shared" si="61"/>
        <v>6390</v>
      </c>
      <c r="J657" s="100">
        <f t="shared" si="62"/>
        <v>1.0009398496240602</v>
      </c>
      <c r="K657" s="84">
        <f>VLOOKUP(B:B,'生產達成率(目標)'!A:C,3,0)</f>
        <v>1</v>
      </c>
      <c r="L657" s="20">
        <f t="shared" si="65"/>
        <v>1E-3</v>
      </c>
      <c r="M657" s="235"/>
      <c r="N657" s="40"/>
      <c r="O657" s="166">
        <f t="shared" si="63"/>
        <v>1</v>
      </c>
      <c r="P657" s="40">
        <v>1064</v>
      </c>
      <c r="Q657" s="20">
        <f t="shared" si="64"/>
        <v>0.99906103286384973</v>
      </c>
      <c r="R657" s="38"/>
      <c r="S657" s="174"/>
      <c r="T657" s="86"/>
      <c r="U657" s="23"/>
      <c r="V657" s="458"/>
      <c r="W657" s="421"/>
      <c r="X657" s="458"/>
      <c r="Y657" s="421"/>
      <c r="Z657" s="421"/>
      <c r="AA657" s="421"/>
      <c r="AB657" s="421"/>
      <c r="AC657" s="421"/>
      <c r="AD657" s="421"/>
    </row>
    <row r="658" spans="1:30" s="22" customFormat="1" x14ac:dyDescent="0.4">
      <c r="A658" s="178" t="s">
        <v>795</v>
      </c>
      <c r="B658" s="151" t="s">
        <v>34</v>
      </c>
      <c r="C658" s="30" t="str">
        <f>VLOOKUP(B658,'112年全品項生產鍋數'!A:H,2,0)</f>
        <v>花生醬(1*18KG)</v>
      </c>
      <c r="D658" s="287">
        <v>48</v>
      </c>
      <c r="E658" s="48">
        <f>VLOOKUP(B658,'112年全品項生產鍋數'!A:H,3,0)</f>
        <v>18</v>
      </c>
      <c r="F658" s="45">
        <f>VLOOKUP(B658,'112年全品項生產鍋數'!A:H,7,0)</f>
        <v>6.9</v>
      </c>
      <c r="G658" s="49">
        <f t="shared" si="60"/>
        <v>331.20000000000005</v>
      </c>
      <c r="H658" s="154">
        <v>337</v>
      </c>
      <c r="I658" s="87">
        <f t="shared" si="61"/>
        <v>6066</v>
      </c>
      <c r="J658" s="100">
        <f t="shared" si="62"/>
        <v>1.017512077294686</v>
      </c>
      <c r="K658" s="84">
        <f>VLOOKUP(B:B,'生產達成率(目標)'!A:C,3,0)</f>
        <v>1</v>
      </c>
      <c r="L658" s="20">
        <f t="shared" si="65"/>
        <v>1.7999999999999999E-2</v>
      </c>
      <c r="M658" s="235"/>
      <c r="N658" s="40"/>
      <c r="O658" s="166">
        <f t="shared" si="63"/>
        <v>0</v>
      </c>
      <c r="P658" s="40">
        <v>337</v>
      </c>
      <c r="Q658" s="20">
        <f t="shared" si="64"/>
        <v>1</v>
      </c>
      <c r="R658" s="38"/>
      <c r="S658" s="174"/>
      <c r="T658" s="86"/>
      <c r="U658" s="23"/>
      <c r="V658" s="458"/>
      <c r="W658" s="421"/>
      <c r="X658" s="458"/>
      <c r="Y658" s="421"/>
      <c r="Z658" s="421"/>
      <c r="AA658" s="421"/>
      <c r="AB658" s="421"/>
      <c r="AC658" s="421"/>
      <c r="AD658" s="421"/>
    </row>
    <row r="659" spans="1:30" s="22" customFormat="1" x14ac:dyDescent="0.4">
      <c r="A659" s="178" t="s">
        <v>796</v>
      </c>
      <c r="B659" s="149" t="s">
        <v>87</v>
      </c>
      <c r="C659" s="30" t="str">
        <f>VLOOKUP(B659,'112年全品項生產鍋數'!A:H,2,0)</f>
        <v>＃1藍莓(1*3.2kg)</v>
      </c>
      <c r="D659" s="287">
        <v>60</v>
      </c>
      <c r="E659" s="48">
        <f>VLOOKUP(B659,'112年全品項生產鍋數'!A:H,3,0)</f>
        <v>3.2</v>
      </c>
      <c r="F659" s="45">
        <f>VLOOKUP(B659,'112年全品項生產鍋數'!A:H,7,0)</f>
        <v>47.5</v>
      </c>
      <c r="G659" s="49">
        <f t="shared" si="60"/>
        <v>2850</v>
      </c>
      <c r="H659" s="154">
        <v>2901</v>
      </c>
      <c r="I659" s="87">
        <f t="shared" si="61"/>
        <v>9283.2000000000007</v>
      </c>
      <c r="J659" s="100">
        <f t="shared" si="62"/>
        <v>1.0178947368421052</v>
      </c>
      <c r="K659" s="84">
        <f>VLOOKUP(B:B,'生產達成率(目標)'!A:C,3,0)</f>
        <v>1</v>
      </c>
      <c r="L659" s="20">
        <f t="shared" si="65"/>
        <v>1.7999999999999999E-2</v>
      </c>
      <c r="M659" s="235"/>
      <c r="N659" s="40"/>
      <c r="O659" s="166">
        <f t="shared" si="63"/>
        <v>2</v>
      </c>
      <c r="P659" s="40">
        <v>2899</v>
      </c>
      <c r="Q659" s="20">
        <f t="shared" si="64"/>
        <v>0.99931058255773875</v>
      </c>
      <c r="R659" s="38"/>
      <c r="S659" s="174"/>
      <c r="T659" s="86"/>
      <c r="U659" s="23"/>
      <c r="V659" s="458"/>
      <c r="W659" s="421"/>
      <c r="X659" s="458"/>
      <c r="Y659" s="421"/>
      <c r="Z659" s="421"/>
      <c r="AA659" s="421"/>
      <c r="AB659" s="421"/>
      <c r="AC659" s="421"/>
      <c r="AD659" s="421"/>
    </row>
    <row r="660" spans="1:30" s="22" customFormat="1" x14ac:dyDescent="0.4">
      <c r="A660" s="178" t="s">
        <v>796</v>
      </c>
      <c r="B660" s="151" t="s">
        <v>17</v>
      </c>
      <c r="C660" s="30" t="str">
        <f>VLOOKUP(B660,'112年全品項生產鍋數'!A:H,2,0)</f>
        <v>顆粒花生醬(全)</v>
      </c>
      <c r="D660" s="287">
        <v>24</v>
      </c>
      <c r="E660" s="48">
        <f>VLOOKUP(B660,'112年全品項生產鍋數'!A:H,3,0)</f>
        <v>0.34</v>
      </c>
      <c r="F660" s="45">
        <f>VLOOKUP(B660,'112年全品項生產鍋數'!A:H,7,0)</f>
        <v>364.6</v>
      </c>
      <c r="G660" s="49">
        <f t="shared" si="60"/>
        <v>8750.4000000000015</v>
      </c>
      <c r="H660" s="154">
        <v>8759</v>
      </c>
      <c r="I660" s="87">
        <f t="shared" si="61"/>
        <v>2978.0600000000004</v>
      </c>
      <c r="J660" s="100">
        <f t="shared" si="62"/>
        <v>1.0009828122142985</v>
      </c>
      <c r="K660" s="84">
        <f>VLOOKUP(B:B,'生產達成率(目標)'!A:C,3,0)</f>
        <v>1</v>
      </c>
      <c r="L660" s="20">
        <f t="shared" si="65"/>
        <v>1E-3</v>
      </c>
      <c r="M660" s="235"/>
      <c r="N660" s="40"/>
      <c r="O660" s="166">
        <f t="shared" si="63"/>
        <v>3</v>
      </c>
      <c r="P660" s="40">
        <v>8756</v>
      </c>
      <c r="Q660" s="20">
        <f t="shared" si="64"/>
        <v>0.99965749514784796</v>
      </c>
      <c r="R660" s="38"/>
      <c r="S660" s="174"/>
      <c r="T660" s="86"/>
      <c r="U660" s="23"/>
      <c r="V660" s="458"/>
      <c r="W660" s="421"/>
      <c r="X660" s="458"/>
      <c r="Y660" s="421"/>
      <c r="Z660" s="421"/>
      <c r="AA660" s="421"/>
      <c r="AB660" s="421"/>
      <c r="AC660" s="421"/>
      <c r="AD660" s="421"/>
    </row>
    <row r="661" spans="1:30" s="22" customFormat="1" x14ac:dyDescent="0.4">
      <c r="A661" s="178" t="s">
        <v>797</v>
      </c>
      <c r="B661" s="151" t="s">
        <v>6</v>
      </c>
      <c r="C661" s="30" t="str">
        <f>VLOOKUP(B661,'112年全品項生產鍋數'!A:H,2,0)</f>
        <v>大圓草莓-新</v>
      </c>
      <c r="D661" s="287">
        <v>40</v>
      </c>
      <c r="E661" s="48">
        <f>VLOOKUP(B661,'112年全品項生產鍋數'!A:H,3,0)</f>
        <v>0.44</v>
      </c>
      <c r="F661" s="45">
        <f>VLOOKUP(B661,'112年全品項生產鍋數'!A:H,7,0)</f>
        <v>344</v>
      </c>
      <c r="G661" s="49">
        <f t="shared" si="60"/>
        <v>13760</v>
      </c>
      <c r="H661" s="154">
        <v>13966</v>
      </c>
      <c r="I661" s="87">
        <f t="shared" si="61"/>
        <v>6145.04</v>
      </c>
      <c r="J661" s="100">
        <f t="shared" si="62"/>
        <v>1.0149709302325582</v>
      </c>
      <c r="K661" s="84">
        <f>VLOOKUP(B:B,'生產達成率(目標)'!A:C,3,0)</f>
        <v>1</v>
      </c>
      <c r="L661" s="20">
        <f t="shared" si="65"/>
        <v>1.4999999999999999E-2</v>
      </c>
      <c r="M661" s="235"/>
      <c r="N661" s="40"/>
      <c r="O661" s="166">
        <f t="shared" si="63"/>
        <v>1</v>
      </c>
      <c r="P661" s="40">
        <v>13965</v>
      </c>
      <c r="Q661" s="20">
        <f t="shared" si="64"/>
        <v>0.99992839753687524</v>
      </c>
      <c r="R661" s="38"/>
      <c r="S661" s="174"/>
      <c r="T661" s="86"/>
      <c r="U661" s="23"/>
      <c r="V661" s="458"/>
      <c r="W661" s="421"/>
      <c r="X661" s="458"/>
      <c r="Y661" s="421"/>
      <c r="Z661" s="421"/>
      <c r="AA661" s="421"/>
      <c r="AB661" s="421"/>
      <c r="AC661" s="421"/>
      <c r="AD661" s="421"/>
    </row>
    <row r="662" spans="1:30" s="22" customFormat="1" x14ac:dyDescent="0.4">
      <c r="A662" s="178" t="s">
        <v>797</v>
      </c>
      <c r="B662" s="151" t="s">
        <v>151</v>
      </c>
      <c r="C662" s="30" t="str">
        <f>VLOOKUP(B662,'112年全品項生產鍋數'!A:H,2,0)</f>
        <v>草莓餡(1*4.5Kg)</v>
      </c>
      <c r="D662" s="287">
        <v>6</v>
      </c>
      <c r="E662" s="48">
        <f>VLOOKUP(B662,'112年全品項生產鍋數'!A:H,3,0)</f>
        <v>4.5</v>
      </c>
      <c r="F662" s="45">
        <f>VLOOKUP(B662,'112年全品項生產鍋數'!A:H,7,0)</f>
        <v>35.6</v>
      </c>
      <c r="G662" s="49">
        <f t="shared" si="60"/>
        <v>213.60000000000002</v>
      </c>
      <c r="H662" s="154">
        <v>207</v>
      </c>
      <c r="I662" s="87">
        <f t="shared" si="61"/>
        <v>931.5</v>
      </c>
      <c r="J662" s="100">
        <f t="shared" si="62"/>
        <v>0.96910112359550549</v>
      </c>
      <c r="K662" s="84">
        <f>VLOOKUP(B:B,'生產達成率(目標)'!A:C,3,0)</f>
        <v>1</v>
      </c>
      <c r="L662" s="20">
        <f t="shared" si="65"/>
        <v>-3.1E-2</v>
      </c>
      <c r="M662" s="235"/>
      <c r="N662" s="40"/>
      <c r="O662" s="166">
        <f t="shared" si="63"/>
        <v>0</v>
      </c>
      <c r="P662" s="40">
        <v>207</v>
      </c>
      <c r="Q662" s="20">
        <f t="shared" si="64"/>
        <v>1</v>
      </c>
      <c r="R662" s="38"/>
      <c r="S662" s="174"/>
      <c r="T662" s="86"/>
      <c r="U662" s="23"/>
      <c r="V662" s="458"/>
      <c r="W662" s="421"/>
      <c r="X662" s="458"/>
      <c r="Y662" s="421"/>
      <c r="Z662" s="421"/>
      <c r="AA662" s="421"/>
      <c r="AB662" s="421"/>
      <c r="AC662" s="421"/>
      <c r="AD662" s="421"/>
    </row>
    <row r="663" spans="1:30" s="22" customFormat="1" x14ac:dyDescent="0.4">
      <c r="A663" s="178" t="s">
        <v>797</v>
      </c>
      <c r="B663" s="151" t="s">
        <v>14</v>
      </c>
      <c r="C663" s="30" t="str">
        <f>VLOOKUP(B663,'112年全品項生產鍋數'!A:H,2,0)</f>
        <v>草莓餡50°(1*6Kg)</v>
      </c>
      <c r="D663" s="287">
        <v>8</v>
      </c>
      <c r="E663" s="48">
        <f>VLOOKUP(B663,'112年全品項生產鍋數'!A:H,3,0)</f>
        <v>6</v>
      </c>
      <c r="F663" s="45">
        <f>VLOOKUP(B663,'112年全品項生產鍋數'!A:H,7,0)</f>
        <v>25</v>
      </c>
      <c r="G663" s="49">
        <f t="shared" si="60"/>
        <v>200</v>
      </c>
      <c r="H663" s="154">
        <v>200</v>
      </c>
      <c r="I663" s="87">
        <f t="shared" si="61"/>
        <v>1200</v>
      </c>
      <c r="J663" s="100">
        <f t="shared" si="62"/>
        <v>1</v>
      </c>
      <c r="K663" s="84">
        <f>VLOOKUP(B:B,'生產達成率(目標)'!A:C,3,0)</f>
        <v>1</v>
      </c>
      <c r="L663" s="20">
        <f t="shared" si="65"/>
        <v>0</v>
      </c>
      <c r="M663" s="235"/>
      <c r="N663" s="40"/>
      <c r="O663" s="166">
        <f t="shared" si="63"/>
        <v>1</v>
      </c>
      <c r="P663" s="40">
        <v>199</v>
      </c>
      <c r="Q663" s="20">
        <f t="shared" si="64"/>
        <v>0.995</v>
      </c>
      <c r="R663" s="38"/>
      <c r="S663" s="174"/>
      <c r="T663" s="86"/>
      <c r="U663" s="23"/>
      <c r="V663" s="458"/>
      <c r="W663" s="421"/>
      <c r="X663" s="458"/>
      <c r="Y663" s="421"/>
      <c r="Z663" s="421"/>
      <c r="AA663" s="421"/>
      <c r="AB663" s="421"/>
      <c r="AC663" s="421"/>
      <c r="AD663" s="421"/>
    </row>
    <row r="664" spans="1:30" s="22" customFormat="1" x14ac:dyDescent="0.4">
      <c r="A664" s="178" t="s">
        <v>797</v>
      </c>
      <c r="B664" s="151" t="s">
        <v>7</v>
      </c>
      <c r="C664" s="30" t="str">
        <f>VLOOKUP(B664,'112年全品項生產鍋數'!A:H,2,0)</f>
        <v>草莓蒟蒻餡(1*6kg)</v>
      </c>
      <c r="D664" s="287">
        <v>24</v>
      </c>
      <c r="E664" s="48">
        <f>VLOOKUP(B664,'112年全品項生產鍋數'!A:H,3,0)</f>
        <v>6</v>
      </c>
      <c r="F664" s="45">
        <f>VLOOKUP(B664,'112年全品項生產鍋數'!A:H,7,0)</f>
        <v>25.7</v>
      </c>
      <c r="G664" s="49">
        <f t="shared" si="60"/>
        <v>616.79999999999995</v>
      </c>
      <c r="H664" s="154">
        <v>622</v>
      </c>
      <c r="I664" s="87">
        <f t="shared" si="61"/>
        <v>3732</v>
      </c>
      <c r="J664" s="100">
        <f t="shared" si="62"/>
        <v>1.0084306095979247</v>
      </c>
      <c r="K664" s="84">
        <f>VLOOKUP(B:B,'生產達成率(目標)'!A:C,3,0)</f>
        <v>1</v>
      </c>
      <c r="L664" s="20">
        <f t="shared" si="65"/>
        <v>8.0000000000000002E-3</v>
      </c>
      <c r="M664" s="235"/>
      <c r="N664" s="40"/>
      <c r="O664" s="166">
        <f t="shared" si="63"/>
        <v>1</v>
      </c>
      <c r="P664" s="40">
        <v>621</v>
      </c>
      <c r="Q664" s="20">
        <f t="shared" si="64"/>
        <v>0.99839228295819937</v>
      </c>
      <c r="R664" s="38"/>
      <c r="S664" s="174"/>
      <c r="T664" s="86"/>
      <c r="U664" s="23"/>
      <c r="V664" s="458"/>
      <c r="W664" s="421"/>
      <c r="X664" s="458"/>
      <c r="Y664" s="421"/>
      <c r="Z664" s="421"/>
      <c r="AA664" s="421"/>
      <c r="AB664" s="421"/>
      <c r="AC664" s="421"/>
      <c r="AD664" s="421"/>
    </row>
    <row r="665" spans="1:30" s="22" customFormat="1" x14ac:dyDescent="0.4">
      <c r="A665" s="178" t="s">
        <v>797</v>
      </c>
      <c r="B665" s="151" t="s">
        <v>33</v>
      </c>
      <c r="C665" s="30" t="str">
        <f>VLOOKUP(B665,'112年全品項生產鍋數'!A:H,2,0)</f>
        <v>深烤焙花生醬(1*18KG)</v>
      </c>
      <c r="D665" s="287">
        <v>44</v>
      </c>
      <c r="E665" s="48">
        <f>VLOOKUP(B665,'112年全品項生產鍋數'!A:H,3,0)</f>
        <v>18</v>
      </c>
      <c r="F665" s="45">
        <f>VLOOKUP(B665,'112年全品項生產鍋數'!A:H,7,0)</f>
        <v>6.9</v>
      </c>
      <c r="G665" s="49">
        <f t="shared" si="60"/>
        <v>303.60000000000002</v>
      </c>
      <c r="H665" s="154">
        <v>306</v>
      </c>
      <c r="I665" s="87">
        <f t="shared" si="61"/>
        <v>5508</v>
      </c>
      <c r="J665" s="100">
        <f t="shared" si="62"/>
        <v>1.0079051383399209</v>
      </c>
      <c r="K665" s="84">
        <f>VLOOKUP(B:B,'生產達成率(目標)'!A:C,3,0)</f>
        <v>1</v>
      </c>
      <c r="L665" s="20">
        <f t="shared" si="65"/>
        <v>8.0000000000000002E-3</v>
      </c>
      <c r="M665" s="235"/>
      <c r="N665" s="40"/>
      <c r="O665" s="166">
        <f t="shared" si="63"/>
        <v>0</v>
      </c>
      <c r="P665" s="40">
        <v>306</v>
      </c>
      <c r="Q665" s="20">
        <f t="shared" si="64"/>
        <v>1</v>
      </c>
      <c r="R665" s="38"/>
      <c r="S665" s="174"/>
      <c r="T665" s="86"/>
      <c r="U665" s="23"/>
      <c r="V665" s="458"/>
      <c r="W665" s="421"/>
      <c r="X665" s="458"/>
      <c r="Y665" s="421"/>
      <c r="Z665" s="421"/>
      <c r="AA665" s="421"/>
      <c r="AB665" s="421"/>
      <c r="AC665" s="421"/>
      <c r="AD665" s="421"/>
    </row>
    <row r="666" spans="1:30" s="22" customFormat="1" x14ac:dyDescent="0.4">
      <c r="A666" s="178" t="s">
        <v>798</v>
      </c>
      <c r="B666" s="151" t="s">
        <v>12</v>
      </c>
      <c r="C666" s="30" t="str">
        <f>VLOOKUP(B666,'112年全品項生產鍋數'!A:H,2,0)</f>
        <v>＃1草莓(1*3.2kg)</v>
      </c>
      <c r="D666" s="287">
        <v>64</v>
      </c>
      <c r="E666" s="48">
        <f>VLOOKUP(B666,'112年全品項生產鍋數'!A:H,3,0)</f>
        <v>3.2</v>
      </c>
      <c r="F666" s="45">
        <f>VLOOKUP(B666,'112年全品項生產鍋數'!A:H,7,0)</f>
        <v>46.8</v>
      </c>
      <c r="G666" s="49">
        <f t="shared" si="60"/>
        <v>2995.2</v>
      </c>
      <c r="H666" s="154">
        <v>3044</v>
      </c>
      <c r="I666" s="87">
        <f t="shared" si="61"/>
        <v>9740.8000000000011</v>
      </c>
      <c r="J666" s="100">
        <f t="shared" si="62"/>
        <v>1.0162927350427351</v>
      </c>
      <c r="K666" s="84">
        <f>VLOOKUP(B:B,'生產達成率(目標)'!A:C,3,0)</f>
        <v>1</v>
      </c>
      <c r="L666" s="20">
        <f t="shared" si="65"/>
        <v>1.6E-2</v>
      </c>
      <c r="M666" s="235"/>
      <c r="N666" s="40"/>
      <c r="O666" s="166">
        <f t="shared" si="63"/>
        <v>2</v>
      </c>
      <c r="P666" s="40">
        <v>3042</v>
      </c>
      <c r="Q666" s="20">
        <f t="shared" si="64"/>
        <v>0.99934296977660975</v>
      </c>
      <c r="R666" s="38"/>
      <c r="S666" s="174"/>
      <c r="T666" s="86"/>
      <c r="U666" s="23"/>
      <c r="V666" s="458"/>
      <c r="W666" s="421"/>
      <c r="X666" s="458"/>
      <c r="Y666" s="421"/>
      <c r="Z666" s="421"/>
      <c r="AA666" s="421"/>
      <c r="AB666" s="421"/>
      <c r="AC666" s="421"/>
      <c r="AD666" s="421"/>
    </row>
    <row r="667" spans="1:30" s="22" customFormat="1" x14ac:dyDescent="0.4">
      <c r="A667" s="178" t="s">
        <v>798</v>
      </c>
      <c r="B667" s="149" t="s">
        <v>140</v>
      </c>
      <c r="C667" s="30" t="str">
        <f>VLOOKUP(B667,'112年全品項生產鍋數'!A:H,2,0)</f>
        <v>草莓餡(1*6Kg)</v>
      </c>
      <c r="D667" s="287">
        <v>20</v>
      </c>
      <c r="E667" s="48">
        <f>VLOOKUP(B667,'112年全品項生產鍋數'!A:H,3,0)</f>
        <v>6</v>
      </c>
      <c r="F667" s="45">
        <f>VLOOKUP(B667,'112年全品項生產鍋數'!A:H,7,0)</f>
        <v>25.5</v>
      </c>
      <c r="G667" s="49">
        <f t="shared" si="60"/>
        <v>510</v>
      </c>
      <c r="H667" s="154">
        <v>513</v>
      </c>
      <c r="I667" s="87">
        <f t="shared" si="61"/>
        <v>3078</v>
      </c>
      <c r="J667" s="100">
        <f t="shared" si="62"/>
        <v>1.0058823529411764</v>
      </c>
      <c r="K667" s="84">
        <f>VLOOKUP(B:B,'生產達成率(目標)'!A:C,3,0)</f>
        <v>1</v>
      </c>
      <c r="L667" s="20">
        <f t="shared" si="65"/>
        <v>6.0000000000000001E-3</v>
      </c>
      <c r="M667" s="235"/>
      <c r="N667" s="40"/>
      <c r="O667" s="166">
        <f t="shared" si="63"/>
        <v>1</v>
      </c>
      <c r="P667" s="40">
        <v>512</v>
      </c>
      <c r="Q667" s="20">
        <f t="shared" si="64"/>
        <v>0.99805068226120852</v>
      </c>
      <c r="R667" s="38"/>
      <c r="S667" s="174"/>
      <c r="T667" s="86"/>
      <c r="U667" s="23"/>
      <c r="V667" s="458"/>
      <c r="W667" s="421"/>
      <c r="X667" s="458"/>
      <c r="Y667" s="421"/>
      <c r="Z667" s="421"/>
      <c r="AA667" s="421"/>
      <c r="AB667" s="421"/>
      <c r="AC667" s="421"/>
      <c r="AD667" s="421"/>
    </row>
    <row r="668" spans="1:30" s="22" customFormat="1" x14ac:dyDescent="0.4">
      <c r="A668" s="178" t="s">
        <v>798</v>
      </c>
      <c r="B668" s="151" t="s">
        <v>7</v>
      </c>
      <c r="C668" s="30" t="str">
        <f>VLOOKUP(B668,'112年全品項生產鍋數'!A:H,2,0)</f>
        <v>草莓蒟蒻餡(1*6kg)</v>
      </c>
      <c r="D668" s="287">
        <v>24</v>
      </c>
      <c r="E668" s="48">
        <f>VLOOKUP(B668,'112年全品項生產鍋數'!A:H,3,0)</f>
        <v>6</v>
      </c>
      <c r="F668" s="45">
        <f>VLOOKUP(B668,'112年全品項生產鍋數'!A:H,7,0)</f>
        <v>25.7</v>
      </c>
      <c r="G668" s="49">
        <f t="shared" si="60"/>
        <v>616.79999999999995</v>
      </c>
      <c r="H668" s="154">
        <v>631</v>
      </c>
      <c r="I668" s="87">
        <f t="shared" si="61"/>
        <v>3786</v>
      </c>
      <c r="J668" s="100">
        <f t="shared" si="62"/>
        <v>1.0230220492866409</v>
      </c>
      <c r="K668" s="84">
        <f>VLOOKUP(B:B,'生產達成率(目標)'!A:C,3,0)</f>
        <v>1</v>
      </c>
      <c r="L668" s="20">
        <f t="shared" si="65"/>
        <v>2.3E-2</v>
      </c>
      <c r="M668" s="235"/>
      <c r="N668" s="40"/>
      <c r="O668" s="166">
        <f t="shared" si="63"/>
        <v>2</v>
      </c>
      <c r="P668" s="40">
        <v>629</v>
      </c>
      <c r="Q668" s="20">
        <f t="shared" si="64"/>
        <v>0.99683042789223453</v>
      </c>
      <c r="R668" s="38"/>
      <c r="S668" s="174"/>
      <c r="T668" s="86"/>
      <c r="U668" s="23"/>
      <c r="V668" s="458"/>
      <c r="W668" s="421"/>
      <c r="X668" s="458"/>
      <c r="Y668" s="421"/>
      <c r="Z668" s="421"/>
      <c r="AA668" s="421"/>
      <c r="AB668" s="421"/>
      <c r="AC668" s="421"/>
      <c r="AD668" s="421"/>
    </row>
    <row r="669" spans="1:30" s="22" customFormat="1" x14ac:dyDescent="0.4">
      <c r="A669" s="178" t="s">
        <v>798</v>
      </c>
      <c r="B669" s="151" t="s">
        <v>4</v>
      </c>
      <c r="C669" s="30" t="str">
        <f>VLOOKUP(B669,'112年全品項生產鍋數'!A:H,2,0)</f>
        <v>PET大花生(1*400g)</v>
      </c>
      <c r="D669" s="287">
        <v>24</v>
      </c>
      <c r="E669" s="48">
        <f>VLOOKUP(B669,'112年全品項生產鍋數'!A:H,3,0)</f>
        <v>0.4</v>
      </c>
      <c r="F669" s="45">
        <f>VLOOKUP(B669,'112年全品項生產鍋數'!A:H,7,0)</f>
        <v>309.2</v>
      </c>
      <c r="G669" s="49">
        <f t="shared" si="60"/>
        <v>7420.7999999999993</v>
      </c>
      <c r="H669" s="154">
        <v>7389</v>
      </c>
      <c r="I669" s="87">
        <f t="shared" si="61"/>
        <v>2955.6000000000004</v>
      </c>
      <c r="J669" s="100">
        <f t="shared" si="62"/>
        <v>0.99571474773609325</v>
      </c>
      <c r="K669" s="84">
        <f>VLOOKUP(B:B,'生產達成率(目標)'!A:C,3,0)</f>
        <v>1</v>
      </c>
      <c r="L669" s="20">
        <f t="shared" si="65"/>
        <v>-4.0000000000000001E-3</v>
      </c>
      <c r="M669" s="235"/>
      <c r="N669" s="40"/>
      <c r="O669" s="166">
        <f t="shared" si="63"/>
        <v>4</v>
      </c>
      <c r="P669" s="40">
        <v>7385</v>
      </c>
      <c r="Q669" s="20">
        <f t="shared" si="64"/>
        <v>0.9994586547570713</v>
      </c>
      <c r="R669" s="38"/>
      <c r="S669" s="174"/>
      <c r="T669" s="86"/>
      <c r="U669" s="23"/>
      <c r="V669" s="458"/>
      <c r="W669" s="421"/>
      <c r="X669" s="458"/>
      <c r="Y669" s="421"/>
      <c r="Z669" s="421"/>
      <c r="AA669" s="421"/>
      <c r="AB669" s="421"/>
      <c r="AC669" s="421"/>
      <c r="AD669" s="421"/>
    </row>
    <row r="670" spans="1:30" s="22" customFormat="1" x14ac:dyDescent="0.4">
      <c r="A670" s="178" t="s">
        <v>798</v>
      </c>
      <c r="B670" s="151" t="s">
        <v>10</v>
      </c>
      <c r="C670" s="30" t="str">
        <f>VLOOKUP(B670,'112年全品項生產鍋數'!A:H,2,0)</f>
        <v>＃2花生(1*800g)</v>
      </c>
      <c r="D670" s="287">
        <v>16</v>
      </c>
      <c r="E670" s="48">
        <f>VLOOKUP(B670,'112年全品項生產鍋數'!A:H,3,0)</f>
        <v>0.8</v>
      </c>
      <c r="F670" s="45">
        <f>VLOOKUP(B670,'112年全品項生產鍋數'!A:H,7,0)</f>
        <v>157.69999999999999</v>
      </c>
      <c r="G670" s="49">
        <f t="shared" si="60"/>
        <v>2523.1999999999998</v>
      </c>
      <c r="H670" s="154">
        <v>2534</v>
      </c>
      <c r="I670" s="87">
        <f t="shared" si="61"/>
        <v>2027.2</v>
      </c>
      <c r="J670" s="100">
        <f t="shared" si="62"/>
        <v>1.0042802790107801</v>
      </c>
      <c r="K670" s="84">
        <f>VLOOKUP(B:B,'生產達成率(目標)'!A:C,3,0)</f>
        <v>1</v>
      </c>
      <c r="L670" s="20">
        <f t="shared" si="65"/>
        <v>4.0000000000000001E-3</v>
      </c>
      <c r="M670" s="235"/>
      <c r="N670" s="40"/>
      <c r="O670" s="166">
        <f t="shared" si="63"/>
        <v>1</v>
      </c>
      <c r="P670" s="40">
        <v>2533</v>
      </c>
      <c r="Q670" s="20">
        <f t="shared" si="64"/>
        <v>0.99960536700868197</v>
      </c>
      <c r="R670" s="38"/>
      <c r="S670" s="174"/>
      <c r="T670" s="86"/>
      <c r="U670" s="23"/>
      <c r="V670" s="458"/>
      <c r="W670" s="421"/>
      <c r="X670" s="458"/>
      <c r="Y670" s="421"/>
      <c r="Z670" s="421"/>
      <c r="AA670" s="421"/>
      <c r="AB670" s="421"/>
      <c r="AC670" s="421"/>
      <c r="AD670" s="421"/>
    </row>
    <row r="671" spans="1:30" s="22" customFormat="1" x14ac:dyDescent="0.4">
      <c r="A671" s="178" t="s">
        <v>799</v>
      </c>
      <c r="B671" s="151" t="s">
        <v>388</v>
      </c>
      <c r="C671" s="30" t="str">
        <f>VLOOKUP(B671,'112年全品項生產鍋數'!A:H,2,0)</f>
        <v>綜合莓果餡(1*6Kg)</v>
      </c>
      <c r="D671" s="287">
        <v>16</v>
      </c>
      <c r="E671" s="48">
        <f>VLOOKUP(B671,'112年全品項生產鍋數'!A:H,3,0)</f>
        <v>6</v>
      </c>
      <c r="F671" s="45">
        <f>VLOOKUP(B671,'112年全品項生產鍋數'!A:H,7,0)</f>
        <v>25.1</v>
      </c>
      <c r="G671" s="49">
        <f t="shared" si="60"/>
        <v>401.6</v>
      </c>
      <c r="H671" s="154">
        <v>410</v>
      </c>
      <c r="I671" s="87">
        <f t="shared" si="61"/>
        <v>2460</v>
      </c>
      <c r="J671" s="100">
        <f t="shared" si="62"/>
        <v>1.0209163346613546</v>
      </c>
      <c r="K671" s="84">
        <f>VLOOKUP(B:B,'生產達成率(目標)'!A:C,3,0)</f>
        <v>1</v>
      </c>
      <c r="L671" s="20">
        <f t="shared" si="65"/>
        <v>2.1000000000000001E-2</v>
      </c>
      <c r="M671" s="235"/>
      <c r="N671" s="40"/>
      <c r="O671" s="166">
        <f t="shared" si="63"/>
        <v>3</v>
      </c>
      <c r="P671" s="40">
        <v>407</v>
      </c>
      <c r="Q671" s="20">
        <f t="shared" si="64"/>
        <v>0.99268292682926829</v>
      </c>
      <c r="R671" s="38"/>
      <c r="S671" s="174"/>
      <c r="T671" s="86"/>
      <c r="U671" s="23"/>
      <c r="V671" s="458"/>
      <c r="W671" s="421"/>
      <c r="X671" s="458"/>
      <c r="Y671" s="421"/>
      <c r="Z671" s="421"/>
      <c r="AA671" s="421"/>
      <c r="AB671" s="421"/>
      <c r="AC671" s="421"/>
      <c r="AD671" s="421"/>
    </row>
    <row r="672" spans="1:30" s="22" customFormat="1" x14ac:dyDescent="0.4">
      <c r="A672" s="178" t="s">
        <v>799</v>
      </c>
      <c r="B672" s="151" t="s">
        <v>7</v>
      </c>
      <c r="C672" s="30" t="str">
        <f>VLOOKUP(B672,'112年全品項生產鍋數'!A:H,2,0)</f>
        <v>草莓蒟蒻餡(1*6kg)</v>
      </c>
      <c r="D672" s="287">
        <v>24</v>
      </c>
      <c r="E672" s="48">
        <f>VLOOKUP(B672,'112年全品項生產鍋數'!A:H,3,0)</f>
        <v>6</v>
      </c>
      <c r="F672" s="45">
        <f>VLOOKUP(B672,'112年全品項生產鍋數'!A:H,7,0)</f>
        <v>25.7</v>
      </c>
      <c r="G672" s="49">
        <f t="shared" si="60"/>
        <v>616.79999999999995</v>
      </c>
      <c r="H672" s="154">
        <v>631</v>
      </c>
      <c r="I672" s="87">
        <f t="shared" si="61"/>
        <v>3786</v>
      </c>
      <c r="J672" s="100">
        <f t="shared" si="62"/>
        <v>1.0230220492866409</v>
      </c>
      <c r="K672" s="84">
        <f>VLOOKUP(B:B,'生產達成率(目標)'!A:C,3,0)</f>
        <v>1</v>
      </c>
      <c r="L672" s="20">
        <f t="shared" si="65"/>
        <v>2.3E-2</v>
      </c>
      <c r="M672" s="235"/>
      <c r="N672" s="40"/>
      <c r="O672" s="166">
        <f t="shared" si="63"/>
        <v>2</v>
      </c>
      <c r="P672" s="40">
        <v>629</v>
      </c>
      <c r="Q672" s="20">
        <f t="shared" si="64"/>
        <v>0.99683042789223453</v>
      </c>
      <c r="R672" s="38"/>
      <c r="S672" s="174"/>
      <c r="T672" s="86"/>
      <c r="U672" s="23"/>
      <c r="V672" s="458"/>
      <c r="W672" s="421"/>
      <c r="X672" s="458"/>
      <c r="Y672" s="421"/>
      <c r="Z672" s="421"/>
      <c r="AA672" s="421"/>
      <c r="AB672" s="421"/>
      <c r="AC672" s="421"/>
      <c r="AD672" s="421"/>
    </row>
    <row r="673" spans="1:30" s="22" customFormat="1" x14ac:dyDescent="0.4">
      <c r="A673" s="178" t="s">
        <v>799</v>
      </c>
      <c r="B673" s="151" t="s">
        <v>13</v>
      </c>
      <c r="C673" s="30" t="str">
        <f>VLOOKUP(B673,'112年全品項生產鍋數'!A:H,2,0)</f>
        <v>顆粒花生醬(1*12KG)</v>
      </c>
      <c r="D673" s="287">
        <v>18</v>
      </c>
      <c r="E673" s="48">
        <f>VLOOKUP(B673,'112年全品項生產鍋數'!A:H,3,0)</f>
        <v>3</v>
      </c>
      <c r="F673" s="45">
        <f>VLOOKUP(B673,'112年全品項生產鍋數'!A:H,7,0)</f>
        <v>29.7</v>
      </c>
      <c r="G673" s="49">
        <f t="shared" si="60"/>
        <v>534.6</v>
      </c>
      <c r="H673" s="154">
        <v>532</v>
      </c>
      <c r="I673" s="87">
        <f t="shared" si="61"/>
        <v>1596</v>
      </c>
      <c r="J673" s="100">
        <f t="shared" si="62"/>
        <v>0.99513655069210616</v>
      </c>
      <c r="K673" s="84">
        <f>VLOOKUP(B:B,'生產達成率(目標)'!A:C,3,0)</f>
        <v>1</v>
      </c>
      <c r="L673" s="20">
        <f t="shared" si="65"/>
        <v>-5.0000000000000001E-3</v>
      </c>
      <c r="M673" s="235"/>
      <c r="N673" s="40"/>
      <c r="O673" s="166">
        <f t="shared" si="63"/>
        <v>0</v>
      </c>
      <c r="P673" s="40">
        <v>532</v>
      </c>
      <c r="Q673" s="20">
        <f t="shared" si="64"/>
        <v>1</v>
      </c>
      <c r="R673" s="38"/>
      <c r="S673" s="174"/>
      <c r="T673" s="86"/>
      <c r="U673" s="23"/>
      <c r="V673" s="458"/>
      <c r="W673" s="421"/>
      <c r="X673" s="458"/>
      <c r="Y673" s="421"/>
      <c r="Z673" s="421"/>
      <c r="AA673" s="421"/>
      <c r="AB673" s="421"/>
      <c r="AC673" s="421"/>
      <c r="AD673" s="421"/>
    </row>
    <row r="674" spans="1:30" s="22" customFormat="1" x14ac:dyDescent="0.4">
      <c r="A674" s="178" t="s">
        <v>799</v>
      </c>
      <c r="B674" s="151" t="s">
        <v>34</v>
      </c>
      <c r="C674" s="30" t="str">
        <f>VLOOKUP(B674,'112年全品項生產鍋數'!A:H,2,0)</f>
        <v>花生醬(1*18KG)</v>
      </c>
      <c r="D674" s="287">
        <v>40</v>
      </c>
      <c r="E674" s="48">
        <f>VLOOKUP(B674,'112年全品項生產鍋數'!A:H,3,0)</f>
        <v>18</v>
      </c>
      <c r="F674" s="45">
        <f>VLOOKUP(B674,'112年全品項生產鍋數'!A:H,7,0)</f>
        <v>6.9</v>
      </c>
      <c r="G674" s="49">
        <f t="shared" si="60"/>
        <v>276</v>
      </c>
      <c r="H674" s="154">
        <v>280</v>
      </c>
      <c r="I674" s="87">
        <f t="shared" si="61"/>
        <v>5040</v>
      </c>
      <c r="J674" s="100">
        <f t="shared" si="62"/>
        <v>1.0144927536231885</v>
      </c>
      <c r="K674" s="84">
        <f>VLOOKUP(B:B,'生產達成率(目標)'!A:C,3,0)</f>
        <v>1</v>
      </c>
      <c r="L674" s="20">
        <f t="shared" si="65"/>
        <v>1.4E-2</v>
      </c>
      <c r="M674" s="235"/>
      <c r="N674" s="40"/>
      <c r="O674" s="166">
        <f t="shared" si="63"/>
        <v>0</v>
      </c>
      <c r="P674" s="40">
        <v>280</v>
      </c>
      <c r="Q674" s="20">
        <f t="shared" si="64"/>
        <v>1</v>
      </c>
      <c r="R674" s="38"/>
      <c r="S674" s="174"/>
      <c r="T674" s="86"/>
      <c r="U674" s="23"/>
      <c r="V674" s="458"/>
      <c r="W674" s="421"/>
      <c r="X674" s="458"/>
      <c r="Y674" s="421"/>
      <c r="Z674" s="421"/>
      <c r="AA674" s="421"/>
      <c r="AB674" s="421"/>
      <c r="AC674" s="421"/>
      <c r="AD674" s="421"/>
    </row>
    <row r="675" spans="1:30" s="22" customFormat="1" x14ac:dyDescent="0.4">
      <c r="A675" s="178" t="s">
        <v>800</v>
      </c>
      <c r="B675" s="151" t="s">
        <v>138</v>
      </c>
      <c r="C675" s="30" t="str">
        <f>VLOOKUP(B675,'112年全品項生產鍋數'!A:H,2,0)</f>
        <v>芒果蜜桃醬(1*6kg)</v>
      </c>
      <c r="D675" s="287">
        <v>12</v>
      </c>
      <c r="E675" s="48">
        <f>VLOOKUP(B675,'112年全品項生產鍋數'!A:H,3,0)</f>
        <v>6</v>
      </c>
      <c r="F675" s="45">
        <f>VLOOKUP(B675,'112年全品項生產鍋數'!A:H,7,0)</f>
        <v>25.6</v>
      </c>
      <c r="G675" s="49">
        <f t="shared" si="60"/>
        <v>307.20000000000005</v>
      </c>
      <c r="H675" s="154">
        <v>317</v>
      </c>
      <c r="I675" s="87">
        <f t="shared" si="61"/>
        <v>1902</v>
      </c>
      <c r="J675" s="100">
        <f t="shared" si="62"/>
        <v>1.0319010416666665</v>
      </c>
      <c r="K675" s="84">
        <f>VLOOKUP(B:B,'生產達成率(目標)'!A:C,3,0)</f>
        <v>1</v>
      </c>
      <c r="L675" s="20">
        <f t="shared" si="65"/>
        <v>3.2000000000000001E-2</v>
      </c>
      <c r="M675" s="235"/>
      <c r="N675" s="40"/>
      <c r="O675" s="166">
        <f t="shared" si="63"/>
        <v>1</v>
      </c>
      <c r="P675" s="40">
        <v>316</v>
      </c>
      <c r="Q675" s="20">
        <f t="shared" si="64"/>
        <v>0.99684542586750791</v>
      </c>
      <c r="R675" s="38"/>
      <c r="S675" s="174"/>
      <c r="T675" s="86"/>
      <c r="U675" s="23"/>
      <c r="V675" s="458"/>
      <c r="W675" s="421"/>
      <c r="X675" s="458"/>
      <c r="Y675" s="421"/>
      <c r="Z675" s="421"/>
      <c r="AA675" s="421"/>
      <c r="AB675" s="421"/>
      <c r="AC675" s="421"/>
      <c r="AD675" s="421"/>
    </row>
    <row r="676" spans="1:30" s="22" customFormat="1" x14ac:dyDescent="0.4">
      <c r="A676" s="178" t="s">
        <v>800</v>
      </c>
      <c r="B676" s="151" t="s">
        <v>26</v>
      </c>
      <c r="C676" s="30" t="str">
        <f>VLOOKUP(B676,'112年全品項生產鍋數'!A:H,2,0)</f>
        <v>蔓越莓醬(1*6KG)</v>
      </c>
      <c r="D676" s="287">
        <v>12</v>
      </c>
      <c r="E676" s="48">
        <f>VLOOKUP(B676,'112年全品項生產鍋數'!A:H,3,0)</f>
        <v>6</v>
      </c>
      <c r="F676" s="45">
        <f>VLOOKUP(B676,'112年全品項生產鍋數'!A:H,7,0)</f>
        <v>25.6</v>
      </c>
      <c r="G676" s="49">
        <f t="shared" si="60"/>
        <v>307.20000000000005</v>
      </c>
      <c r="H676" s="154">
        <v>361</v>
      </c>
      <c r="I676" s="87">
        <f t="shared" si="61"/>
        <v>2166</v>
      </c>
      <c r="J676" s="100">
        <f t="shared" si="62"/>
        <v>1.1751302083333333</v>
      </c>
      <c r="K676" s="84">
        <f>VLOOKUP(B:B,'生產達成率(目標)'!A:C,3,0)</f>
        <v>1</v>
      </c>
      <c r="L676" s="20">
        <f t="shared" si="65"/>
        <v>0.17499999999999999</v>
      </c>
      <c r="M676" s="235"/>
      <c r="N676" s="40"/>
      <c r="O676" s="166">
        <f t="shared" si="63"/>
        <v>3</v>
      </c>
      <c r="P676" s="40">
        <v>358</v>
      </c>
      <c r="Q676" s="20">
        <f t="shared" si="64"/>
        <v>0.99168975069252074</v>
      </c>
      <c r="R676" s="38"/>
      <c r="S676" s="173">
        <f>48*6</f>
        <v>288</v>
      </c>
      <c r="T676" s="30" t="s">
        <v>934</v>
      </c>
      <c r="U676" s="23"/>
      <c r="V676" s="458"/>
      <c r="W676" s="421"/>
      <c r="X676" s="458"/>
      <c r="Y676" s="421"/>
      <c r="Z676" s="421"/>
      <c r="AA676" s="421"/>
      <c r="AB676" s="421"/>
      <c r="AC676" s="421"/>
      <c r="AD676" s="421"/>
    </row>
    <row r="677" spans="1:30" s="22" customFormat="1" x14ac:dyDescent="0.4">
      <c r="A677" s="178" t="s">
        <v>800</v>
      </c>
      <c r="B677" s="151" t="s">
        <v>16</v>
      </c>
      <c r="C677" s="30" t="str">
        <f>VLOOKUP(B677,'112年全品項生產鍋數'!A:H,2,0)</f>
        <v>藍莓餡(1*6Kg)</v>
      </c>
      <c r="D677" s="287">
        <v>16</v>
      </c>
      <c r="E677" s="48">
        <f>VLOOKUP(B677,'112年全品項生產鍋數'!A:H,3,0)</f>
        <v>6</v>
      </c>
      <c r="F677" s="45">
        <f>VLOOKUP(B677,'112年全品項生產鍋數'!A:H,7,0)</f>
        <v>25.1</v>
      </c>
      <c r="G677" s="49">
        <f t="shared" si="60"/>
        <v>401.6</v>
      </c>
      <c r="H677" s="154">
        <v>412</v>
      </c>
      <c r="I677" s="87">
        <f t="shared" si="61"/>
        <v>2472</v>
      </c>
      <c r="J677" s="100">
        <f t="shared" si="62"/>
        <v>1.0258964143426295</v>
      </c>
      <c r="K677" s="84">
        <f>VLOOKUP(B:B,'生產達成率(目標)'!A:C,3,0)</f>
        <v>1</v>
      </c>
      <c r="L677" s="20">
        <f t="shared" si="65"/>
        <v>2.5999999999999999E-2</v>
      </c>
      <c r="M677" s="235"/>
      <c r="N677" s="40"/>
      <c r="O677" s="166">
        <f t="shared" si="63"/>
        <v>1</v>
      </c>
      <c r="P677" s="40">
        <v>411</v>
      </c>
      <c r="Q677" s="20">
        <f t="shared" si="64"/>
        <v>0.99757281553398058</v>
      </c>
      <c r="R677" s="38"/>
      <c r="S677" s="174"/>
      <c r="T677" s="86"/>
      <c r="U677" s="23"/>
      <c r="V677" s="458"/>
      <c r="W677" s="421"/>
      <c r="X677" s="458"/>
      <c r="Y677" s="421"/>
      <c r="Z677" s="421"/>
      <c r="AA677" s="421"/>
      <c r="AB677" s="421"/>
      <c r="AC677" s="421"/>
      <c r="AD677" s="421"/>
    </row>
    <row r="678" spans="1:30" s="22" customFormat="1" x14ac:dyDescent="0.4">
      <c r="A678" s="178" t="s">
        <v>801</v>
      </c>
      <c r="B678" s="151" t="s">
        <v>12</v>
      </c>
      <c r="C678" s="30" t="str">
        <f>VLOOKUP(B678,'112年全品項生產鍋數'!A:H,2,0)</f>
        <v>＃1草莓(1*3.2kg)</v>
      </c>
      <c r="D678" s="287">
        <v>72</v>
      </c>
      <c r="E678" s="48">
        <f>VLOOKUP(B678,'112年全品項生產鍋數'!A:H,3,0)</f>
        <v>3.2</v>
      </c>
      <c r="F678" s="45">
        <f>VLOOKUP(B678,'112年全品項生產鍋數'!A:H,7,0)</f>
        <v>46.8</v>
      </c>
      <c r="G678" s="49">
        <f t="shared" si="60"/>
        <v>3369.6</v>
      </c>
      <c r="H678" s="154">
        <v>3390</v>
      </c>
      <c r="I678" s="87">
        <f t="shared" si="61"/>
        <v>10848</v>
      </c>
      <c r="J678" s="100">
        <f t="shared" si="62"/>
        <v>1.0060541310541311</v>
      </c>
      <c r="K678" s="84">
        <f>VLOOKUP(B:B,'生產達成率(目標)'!A:C,3,0)</f>
        <v>1</v>
      </c>
      <c r="L678" s="20">
        <f t="shared" si="65"/>
        <v>6.0000000000000001E-3</v>
      </c>
      <c r="M678" s="235"/>
      <c r="N678" s="40">
        <v>2</v>
      </c>
      <c r="O678" s="166">
        <f t="shared" si="63"/>
        <v>1</v>
      </c>
      <c r="P678" s="40">
        <v>3387</v>
      </c>
      <c r="Q678" s="85">
        <f t="shared" si="64"/>
        <v>0.99911504424778763</v>
      </c>
      <c r="R678" s="38"/>
      <c r="S678" s="174"/>
      <c r="T678" s="86" t="s">
        <v>438</v>
      </c>
      <c r="U678" s="23"/>
      <c r="V678" s="458"/>
      <c r="W678" s="421"/>
      <c r="X678" s="458"/>
      <c r="Y678" s="421"/>
      <c r="Z678" s="421"/>
      <c r="AA678" s="421"/>
      <c r="AB678" s="421"/>
      <c r="AC678" s="421"/>
      <c r="AD678" s="421"/>
    </row>
    <row r="679" spans="1:30" s="22" customFormat="1" x14ac:dyDescent="0.4">
      <c r="A679" s="178" t="s">
        <v>801</v>
      </c>
      <c r="B679" s="151" t="s">
        <v>150</v>
      </c>
      <c r="C679" s="30" t="str">
        <f>VLOOKUP(B679,'112年全品項生產鍋數'!A:H,2,0)</f>
        <v>鳳梨芒果百香果醬(1*6KG)</v>
      </c>
      <c r="D679" s="287">
        <v>12</v>
      </c>
      <c r="E679" s="48">
        <f>VLOOKUP(B679,'112年全品項生產鍋數'!A:H,3,0)</f>
        <v>6</v>
      </c>
      <c r="F679" s="45">
        <f>VLOOKUP(B679,'112年全品項生產鍋數'!A:H,7,0)</f>
        <v>25.7</v>
      </c>
      <c r="G679" s="49">
        <f t="shared" si="60"/>
        <v>308.39999999999998</v>
      </c>
      <c r="H679" s="154">
        <v>320</v>
      </c>
      <c r="I679" s="87">
        <f t="shared" si="61"/>
        <v>1920</v>
      </c>
      <c r="J679" s="100">
        <f t="shared" si="62"/>
        <v>1.0376134889753568</v>
      </c>
      <c r="K679" s="84">
        <f>VLOOKUP(B:B,'生產達成率(目標)'!A:C,3,0)</f>
        <v>1</v>
      </c>
      <c r="L679" s="20">
        <f t="shared" si="65"/>
        <v>3.7999999999999999E-2</v>
      </c>
      <c r="M679" s="235"/>
      <c r="N679" s="40">
        <v>1</v>
      </c>
      <c r="O679" s="166">
        <f t="shared" si="63"/>
        <v>2</v>
      </c>
      <c r="P679" s="40">
        <v>317</v>
      </c>
      <c r="Q679" s="85">
        <f t="shared" si="64"/>
        <v>0.99062499999999998</v>
      </c>
      <c r="R679" s="38"/>
      <c r="S679" s="174"/>
      <c r="T679" s="82" t="s">
        <v>589</v>
      </c>
      <c r="U679" s="23"/>
      <c r="V679" s="458"/>
      <c r="W679" s="421"/>
      <c r="X679" s="458"/>
      <c r="Y679" s="421"/>
      <c r="Z679" s="421"/>
      <c r="AA679" s="421"/>
      <c r="AB679" s="421"/>
      <c r="AC679" s="421"/>
      <c r="AD679" s="421"/>
    </row>
    <row r="680" spans="1:30" s="22" customFormat="1" x14ac:dyDescent="0.4">
      <c r="A680" s="178" t="s">
        <v>801</v>
      </c>
      <c r="B680" s="151" t="s">
        <v>145</v>
      </c>
      <c r="C680" s="30" t="str">
        <f>VLOOKUP(B680,'112年全品項生產鍋數'!A:H,2,0)</f>
        <v>藍莓餡(1*6kg)</v>
      </c>
      <c r="D680" s="287">
        <v>8</v>
      </c>
      <c r="E680" s="48">
        <f>VLOOKUP(B680,'112年全品項生產鍋數'!A:H,3,0)</f>
        <v>6</v>
      </c>
      <c r="F680" s="45">
        <f>VLOOKUP(B680,'112年全品項生產鍋數'!A:H,7,0)</f>
        <v>26.4</v>
      </c>
      <c r="G680" s="49">
        <f t="shared" si="60"/>
        <v>211.2</v>
      </c>
      <c r="H680" s="154">
        <v>208</v>
      </c>
      <c r="I680" s="87">
        <f t="shared" si="61"/>
        <v>1248</v>
      </c>
      <c r="J680" s="100">
        <f t="shared" si="62"/>
        <v>0.98484848484848486</v>
      </c>
      <c r="K680" s="84">
        <f>VLOOKUP(B:B,'生產達成率(目標)'!A:C,3,0)</f>
        <v>1</v>
      </c>
      <c r="L680" s="20">
        <f t="shared" si="65"/>
        <v>-1.4999999999999999E-2</v>
      </c>
      <c r="M680" s="235"/>
      <c r="N680" s="40">
        <v>1</v>
      </c>
      <c r="O680" s="166">
        <f t="shared" si="63"/>
        <v>0</v>
      </c>
      <c r="P680" s="40">
        <v>207</v>
      </c>
      <c r="Q680" s="85">
        <f t="shared" si="64"/>
        <v>0.99519230769230771</v>
      </c>
      <c r="R680" s="38"/>
      <c r="S680" s="174"/>
      <c r="T680" s="86"/>
      <c r="U680" s="23"/>
      <c r="V680" s="458"/>
      <c r="W680" s="421"/>
      <c r="X680" s="458"/>
      <c r="Y680" s="421"/>
      <c r="Z680" s="421"/>
      <c r="AA680" s="421"/>
      <c r="AB680" s="421"/>
      <c r="AC680" s="421"/>
      <c r="AD680" s="421"/>
    </row>
    <row r="681" spans="1:30" s="22" customFormat="1" x14ac:dyDescent="0.4">
      <c r="A681" s="178" t="s">
        <v>801</v>
      </c>
      <c r="B681" s="151" t="s">
        <v>3</v>
      </c>
      <c r="C681" s="30" t="str">
        <f>VLOOKUP(B681,'112年全品項生產鍋數'!A:H,2,0)</f>
        <v>天天開心草莓餡4.5KG</v>
      </c>
      <c r="D681" s="287">
        <v>20</v>
      </c>
      <c r="E681" s="48">
        <f>VLOOKUP(B681,'112年全品項生產鍋數'!A:H,3,0)</f>
        <v>4.5</v>
      </c>
      <c r="F681" s="45">
        <f>VLOOKUP(B681,'112年全品項生產鍋數'!A:H,7,0)</f>
        <v>36.299999999999997</v>
      </c>
      <c r="G681" s="49">
        <f t="shared" si="60"/>
        <v>726</v>
      </c>
      <c r="H681" s="154">
        <v>722</v>
      </c>
      <c r="I681" s="87">
        <f t="shared" si="61"/>
        <v>3249</v>
      </c>
      <c r="J681" s="100">
        <f t="shared" si="62"/>
        <v>0.99449035812672182</v>
      </c>
      <c r="K681" s="84">
        <f>VLOOKUP(B:B,'生產達成率(目標)'!A:C,3,0)</f>
        <v>1</v>
      </c>
      <c r="L681" s="20">
        <f t="shared" si="65"/>
        <v>-6.0000000000000001E-3</v>
      </c>
      <c r="M681" s="235"/>
      <c r="N681" s="40">
        <v>0</v>
      </c>
      <c r="O681" s="166">
        <f t="shared" si="63"/>
        <v>0</v>
      </c>
      <c r="P681" s="40">
        <v>722</v>
      </c>
      <c r="Q681" s="85">
        <f t="shared" si="64"/>
        <v>1</v>
      </c>
      <c r="R681" s="38"/>
      <c r="S681" s="174"/>
      <c r="T681" s="86"/>
      <c r="U681" s="23"/>
      <c r="V681" s="458"/>
      <c r="W681" s="421"/>
      <c r="X681" s="458"/>
      <c r="Y681" s="421"/>
      <c r="Z681" s="421"/>
      <c r="AA681" s="421"/>
      <c r="AB681" s="421"/>
      <c r="AC681" s="421"/>
      <c r="AD681" s="421"/>
    </row>
    <row r="682" spans="1:30" s="22" customFormat="1" ht="15" customHeight="1" x14ac:dyDescent="0.4">
      <c r="A682" s="178" t="s">
        <v>801</v>
      </c>
      <c r="B682" s="151" t="s">
        <v>9</v>
      </c>
      <c r="C682" s="30" t="str">
        <f>VLOOKUP(B682,'112年全品項生產鍋數'!A:H,2,0)</f>
        <v>＃1花生(1*2.8kg)</v>
      </c>
      <c r="D682" s="287">
        <v>72</v>
      </c>
      <c r="E682" s="48">
        <f>VLOOKUP(B682,'112年全品項生產鍋數'!A:H,3,0)</f>
        <v>2.8</v>
      </c>
      <c r="F682" s="45">
        <f>VLOOKUP(B682,'112年全品項生產鍋數'!A:H,7,0)</f>
        <v>44.5</v>
      </c>
      <c r="G682" s="49">
        <f t="shared" si="60"/>
        <v>3204</v>
      </c>
      <c r="H682" s="154">
        <f>2782+300</f>
        <v>3082</v>
      </c>
      <c r="I682" s="87">
        <f t="shared" si="61"/>
        <v>8629.5999999999985</v>
      </c>
      <c r="J682" s="100">
        <f t="shared" si="62"/>
        <v>0.96192259675405745</v>
      </c>
      <c r="K682" s="84">
        <f>VLOOKUP(B:B,'生產達成率(目標)'!A:C,3,0)</f>
        <v>1</v>
      </c>
      <c r="L682" s="20">
        <f t="shared" si="65"/>
        <v>-3.7999999999999999E-2</v>
      </c>
      <c r="M682" s="235"/>
      <c r="N682" s="40"/>
      <c r="O682" s="166">
        <f t="shared" ref="O682:O687" si="66">H682-N682-P682</f>
        <v>1</v>
      </c>
      <c r="P682" s="40">
        <f>2781+300</f>
        <v>3081</v>
      </c>
      <c r="Q682" s="85">
        <f t="shared" si="64"/>
        <v>0.999675535366645</v>
      </c>
      <c r="R682" s="38"/>
      <c r="S682" s="174"/>
      <c r="T682" s="86" t="s">
        <v>590</v>
      </c>
      <c r="U682" s="23"/>
      <c r="V682" s="458"/>
      <c r="W682" s="421"/>
      <c r="X682" s="458"/>
      <c r="Y682" s="421"/>
      <c r="Z682" s="421"/>
      <c r="AA682" s="421"/>
      <c r="AB682" s="421"/>
      <c r="AC682" s="421"/>
      <c r="AD682" s="421"/>
    </row>
    <row r="683" spans="1:30" s="22" customFormat="1" x14ac:dyDescent="0.4">
      <c r="A683" s="178" t="s">
        <v>801</v>
      </c>
      <c r="B683" s="151" t="s">
        <v>432</v>
      </c>
      <c r="C683" s="30" t="str">
        <f>VLOOKUP(B683,'112年全品項生產鍋數'!A:H,2,0)</f>
        <v>文旦丁</v>
      </c>
      <c r="D683" s="287">
        <v>2</v>
      </c>
      <c r="E683" s="48">
        <f>VLOOKUP(B683,'112年全品項生產鍋數'!A:H,3,0)</f>
        <v>1</v>
      </c>
      <c r="F683" s="45">
        <f>VLOOKUP(B683,'112年全品項生產鍋數'!A:H,7,0)</f>
        <v>243</v>
      </c>
      <c r="G683" s="49">
        <f t="shared" si="60"/>
        <v>486</v>
      </c>
      <c r="H683" s="154">
        <v>544</v>
      </c>
      <c r="I683" s="87">
        <f>H683*E683</f>
        <v>544</v>
      </c>
      <c r="J683" s="100">
        <f t="shared" ref="J683:J726" si="67">IF(G683=0,"無法預估數據",H683/G683)</f>
        <v>1.1193415637860082</v>
      </c>
      <c r="K683" s="84">
        <f>VLOOKUP(B:B,'生產達成率(目標)'!A:C,3,0)</f>
        <v>1</v>
      </c>
      <c r="L683" s="20">
        <f t="shared" si="65"/>
        <v>0.11899999999999999</v>
      </c>
      <c r="M683" s="235"/>
      <c r="N683" s="40">
        <v>0</v>
      </c>
      <c r="O683" s="166">
        <f>H683-N683-P683</f>
        <v>7</v>
      </c>
      <c r="P683" s="40">
        <v>537</v>
      </c>
      <c r="Q683" s="85">
        <f>P683/H683</f>
        <v>0.98713235294117652</v>
      </c>
      <c r="R683" s="38"/>
      <c r="S683" s="174"/>
      <c r="T683" s="86"/>
      <c r="U683" s="23"/>
      <c r="V683" s="458"/>
      <c r="W683" s="421"/>
      <c r="X683" s="458"/>
      <c r="Y683" s="421"/>
      <c r="Z683" s="421"/>
      <c r="AA683" s="421"/>
      <c r="AB683" s="421"/>
      <c r="AC683" s="421"/>
      <c r="AD683" s="421"/>
    </row>
    <row r="684" spans="1:30" s="22" customFormat="1" x14ac:dyDescent="0.4">
      <c r="A684" s="178" t="s">
        <v>802</v>
      </c>
      <c r="B684" s="151" t="s">
        <v>146</v>
      </c>
      <c r="C684" s="30" t="str">
        <f>VLOOKUP(B684,'112年全品項生產鍋數'!A:H,2,0)</f>
        <v>草莓餡(1*4.5kg)</v>
      </c>
      <c r="D684" s="287">
        <v>4</v>
      </c>
      <c r="E684" s="48">
        <f>VLOOKUP(B684,'112年全品項生產鍋數'!A:H,3,0)</f>
        <v>4.5</v>
      </c>
      <c r="F684" s="45">
        <f>VLOOKUP(B684,'112年全品項生產鍋數'!A:H,7,0)</f>
        <v>34.5</v>
      </c>
      <c r="G684" s="49">
        <f t="shared" si="60"/>
        <v>138</v>
      </c>
      <c r="H684" s="154">
        <v>138</v>
      </c>
      <c r="I684" s="87">
        <f t="shared" ref="I684:I687" si="68">H684*E684</f>
        <v>621</v>
      </c>
      <c r="J684" s="100">
        <f t="shared" si="67"/>
        <v>1</v>
      </c>
      <c r="K684" s="84">
        <f>VLOOKUP(B:B,'生產達成率(目標)'!A:C,3,0)</f>
        <v>1</v>
      </c>
      <c r="L684" s="20">
        <f t="shared" si="65"/>
        <v>0</v>
      </c>
      <c r="M684" s="235"/>
      <c r="N684" s="40"/>
      <c r="O684" s="166">
        <f t="shared" si="66"/>
        <v>0</v>
      </c>
      <c r="P684" s="40">
        <v>138</v>
      </c>
      <c r="Q684" s="85">
        <f t="shared" ref="Q684:Q687" si="69">P684/H684</f>
        <v>1</v>
      </c>
      <c r="R684" s="38"/>
      <c r="S684" s="174"/>
      <c r="T684" s="86"/>
      <c r="U684" s="23"/>
      <c r="V684" s="458"/>
      <c r="W684" s="421"/>
      <c r="X684" s="458"/>
      <c r="Y684" s="421"/>
      <c r="Z684" s="421"/>
      <c r="AA684" s="421"/>
      <c r="AB684" s="421"/>
      <c r="AC684" s="421"/>
      <c r="AD684" s="421"/>
    </row>
    <row r="685" spans="1:30" s="22" customFormat="1" x14ac:dyDescent="0.4">
      <c r="A685" s="178" t="s">
        <v>802</v>
      </c>
      <c r="B685" s="151" t="s">
        <v>31</v>
      </c>
      <c r="C685" s="30" t="str">
        <f>VLOOKUP(B685,'112年全品項生產鍋數'!A:H,2,0)</f>
        <v>天天開心芒果餡4.5KG</v>
      </c>
      <c r="D685" s="287">
        <v>8</v>
      </c>
      <c r="E685" s="48">
        <f>VLOOKUP(B685,'112年全品項生產鍋數'!A:H,3,0)</f>
        <v>4.5</v>
      </c>
      <c r="F685" s="45">
        <f>VLOOKUP(B685,'112年全品項生產鍋數'!A:H,7,0)</f>
        <v>33.200000000000003</v>
      </c>
      <c r="G685" s="49">
        <f t="shared" si="60"/>
        <v>265.60000000000002</v>
      </c>
      <c r="H685" s="154">
        <v>264</v>
      </c>
      <c r="I685" s="87">
        <f t="shared" si="68"/>
        <v>1188</v>
      </c>
      <c r="J685" s="100">
        <f t="shared" si="67"/>
        <v>0.99397590361445776</v>
      </c>
      <c r="K685" s="84">
        <f>VLOOKUP(B:B,'生產達成率(目標)'!A:C,3,0)</f>
        <v>1</v>
      </c>
      <c r="L685" s="20">
        <f t="shared" si="65"/>
        <v>-6.0000000000000001E-3</v>
      </c>
      <c r="M685" s="235"/>
      <c r="N685" s="40"/>
      <c r="O685" s="166">
        <f t="shared" si="66"/>
        <v>0</v>
      </c>
      <c r="P685" s="40">
        <v>264</v>
      </c>
      <c r="Q685" s="85">
        <f t="shared" si="69"/>
        <v>1</v>
      </c>
      <c r="R685" s="38"/>
      <c r="S685" s="174"/>
      <c r="T685" s="86"/>
      <c r="U685" s="23"/>
      <c r="V685" s="458"/>
      <c r="W685" s="421"/>
      <c r="X685" s="458"/>
      <c r="Y685" s="421"/>
      <c r="Z685" s="421"/>
      <c r="AA685" s="421"/>
      <c r="AB685" s="421"/>
      <c r="AC685" s="421"/>
      <c r="AD685" s="421"/>
    </row>
    <row r="686" spans="1:30" s="22" customFormat="1" x14ac:dyDescent="0.4">
      <c r="A686" s="178" t="s">
        <v>802</v>
      </c>
      <c r="B686" s="151" t="s">
        <v>3</v>
      </c>
      <c r="C686" s="30" t="str">
        <f>VLOOKUP(B686,'112年全品項生產鍋數'!A:H,2,0)</f>
        <v>天天開心草莓餡4.5KG</v>
      </c>
      <c r="D686" s="287">
        <v>24</v>
      </c>
      <c r="E686" s="48">
        <f>VLOOKUP(B686,'112年全品項生產鍋數'!A:H,3,0)</f>
        <v>4.5</v>
      </c>
      <c r="F686" s="45">
        <f>VLOOKUP(B686,'112年全品項生產鍋數'!A:H,7,0)</f>
        <v>36.299999999999997</v>
      </c>
      <c r="G686" s="49">
        <f t="shared" si="60"/>
        <v>871.19999999999993</v>
      </c>
      <c r="H686" s="154">
        <v>883</v>
      </c>
      <c r="I686" s="87">
        <f t="shared" si="68"/>
        <v>3973.5</v>
      </c>
      <c r="J686" s="100">
        <f t="shared" si="67"/>
        <v>1.0135445362718092</v>
      </c>
      <c r="K686" s="84">
        <f>VLOOKUP(B:B,'生產達成率(目標)'!A:C,3,0)</f>
        <v>1</v>
      </c>
      <c r="L686" s="20">
        <f t="shared" si="65"/>
        <v>1.4E-2</v>
      </c>
      <c r="M686" s="235"/>
      <c r="N686" s="40"/>
      <c r="O686" s="166">
        <f t="shared" si="66"/>
        <v>0</v>
      </c>
      <c r="P686" s="40">
        <v>883</v>
      </c>
      <c r="Q686" s="85">
        <f t="shared" si="69"/>
        <v>1</v>
      </c>
      <c r="R686" s="38"/>
      <c r="S686" s="174"/>
      <c r="T686" s="86"/>
      <c r="U686" s="23"/>
      <c r="V686" s="458"/>
      <c r="W686" s="421"/>
      <c r="X686" s="458"/>
      <c r="Y686" s="421"/>
      <c r="Z686" s="421"/>
      <c r="AA686" s="421"/>
      <c r="AB686" s="421"/>
      <c r="AC686" s="421"/>
      <c r="AD686" s="421"/>
    </row>
    <row r="687" spans="1:30" s="22" customFormat="1" x14ac:dyDescent="0.4">
      <c r="A687" s="178" t="s">
        <v>802</v>
      </c>
      <c r="B687" s="151" t="s">
        <v>9</v>
      </c>
      <c r="C687" s="30" t="str">
        <f>VLOOKUP(B687,'112年全品項生產鍋數'!A:H,2,0)</f>
        <v>＃1花生(1*2.8kg)</v>
      </c>
      <c r="D687" s="287">
        <v>72</v>
      </c>
      <c r="E687" s="48">
        <f>VLOOKUP(B687,'112年全品項生產鍋數'!A:H,3,0)</f>
        <v>2.8</v>
      </c>
      <c r="F687" s="45">
        <f>VLOOKUP(B687,'112年全品項生產鍋數'!A:H,7,0)</f>
        <v>44.5</v>
      </c>
      <c r="G687" s="49">
        <f t="shared" si="60"/>
        <v>3204</v>
      </c>
      <c r="H687" s="154">
        <v>3218</v>
      </c>
      <c r="I687" s="87">
        <f t="shared" si="68"/>
        <v>9010.4</v>
      </c>
      <c r="J687" s="100">
        <f t="shared" si="67"/>
        <v>1.0043695380774031</v>
      </c>
      <c r="K687" s="84">
        <f>VLOOKUP(B:B,'生產達成率(目標)'!A:C,3,0)</f>
        <v>1</v>
      </c>
      <c r="L687" s="20">
        <f t="shared" si="65"/>
        <v>4.0000000000000001E-3</v>
      </c>
      <c r="M687" s="235"/>
      <c r="N687" s="40">
        <v>1</v>
      </c>
      <c r="O687" s="166">
        <f t="shared" si="66"/>
        <v>1</v>
      </c>
      <c r="P687" s="40">
        <v>3216</v>
      </c>
      <c r="Q687" s="85">
        <f t="shared" si="69"/>
        <v>0.99937849596022377</v>
      </c>
      <c r="R687" s="38"/>
      <c r="S687" s="174"/>
      <c r="T687" s="86" t="s">
        <v>438</v>
      </c>
      <c r="U687" s="23"/>
      <c r="V687" s="458"/>
      <c r="W687" s="421"/>
      <c r="X687" s="458"/>
      <c r="Y687" s="421"/>
      <c r="Z687" s="421"/>
      <c r="AA687" s="421"/>
      <c r="AB687" s="421"/>
      <c r="AC687" s="421"/>
      <c r="AD687" s="421"/>
    </row>
    <row r="688" spans="1:30" s="22" customFormat="1" x14ac:dyDescent="0.4">
      <c r="A688" s="178" t="s">
        <v>803</v>
      </c>
      <c r="B688" s="151" t="s">
        <v>12</v>
      </c>
      <c r="C688" s="30" t="str">
        <f>VLOOKUP(B688,'112年全品項生產鍋數'!A:H,2,0)</f>
        <v>＃1草莓(1*3.2kg)</v>
      </c>
      <c r="D688" s="287">
        <v>72</v>
      </c>
      <c r="E688" s="48">
        <f>VLOOKUP(B688,'112年全品項生產鍋數'!A:H,3,0)</f>
        <v>3.2</v>
      </c>
      <c r="F688" s="45">
        <f>VLOOKUP(B688,'112年全品項生產鍋數'!A:H,7,0)</f>
        <v>46.8</v>
      </c>
      <c r="G688" s="49">
        <f t="shared" si="60"/>
        <v>3369.6</v>
      </c>
      <c r="H688" s="154">
        <v>3372</v>
      </c>
      <c r="I688" s="87">
        <f>H688*E688</f>
        <v>10790.400000000001</v>
      </c>
      <c r="J688" s="100">
        <f t="shared" si="67"/>
        <v>1.0007122507122508</v>
      </c>
      <c r="K688" s="84">
        <f>VLOOKUP(B:B,'生產達成率(目標)'!A:C,3,0)</f>
        <v>1</v>
      </c>
      <c r="L688" s="20">
        <f t="shared" si="65"/>
        <v>1E-3</v>
      </c>
      <c r="M688" s="235"/>
      <c r="N688" s="40">
        <v>2</v>
      </c>
      <c r="O688" s="166">
        <f>H688-N688-P688</f>
        <v>0</v>
      </c>
      <c r="P688" s="40">
        <v>3370</v>
      </c>
      <c r="Q688" s="85">
        <f>P688/H688</f>
        <v>0.99940688018979829</v>
      </c>
      <c r="R688" s="38"/>
      <c r="S688" s="174"/>
      <c r="T688" s="86"/>
      <c r="U688" s="23"/>
      <c r="V688" s="458"/>
      <c r="W688" s="421"/>
      <c r="X688" s="458"/>
      <c r="Y688" s="421"/>
      <c r="Z688" s="421"/>
      <c r="AA688" s="421"/>
      <c r="AB688" s="421"/>
      <c r="AC688" s="421"/>
      <c r="AD688" s="421"/>
    </row>
    <row r="689" spans="1:30" s="22" customFormat="1" x14ac:dyDescent="0.4">
      <c r="A689" s="178" t="s">
        <v>803</v>
      </c>
      <c r="B689" s="151" t="s">
        <v>7</v>
      </c>
      <c r="C689" s="30" t="str">
        <f>VLOOKUP(B689,'112年全品項生產鍋數'!A:H,2,0)</f>
        <v>草莓蒟蒻餡(1*6kg)</v>
      </c>
      <c r="D689" s="287">
        <v>20</v>
      </c>
      <c r="E689" s="48">
        <f>VLOOKUP(B689,'112年全品項生產鍋數'!A:H,3,0)</f>
        <v>6</v>
      </c>
      <c r="F689" s="45">
        <f>VLOOKUP(B689,'112年全品項生產鍋數'!A:H,7,0)</f>
        <v>25.7</v>
      </c>
      <c r="G689" s="49">
        <f t="shared" si="60"/>
        <v>514</v>
      </c>
      <c r="H689" s="154">
        <f>305+212</f>
        <v>517</v>
      </c>
      <c r="I689" s="87">
        <f t="shared" ref="I689:I693" si="70">H689*E689</f>
        <v>3102</v>
      </c>
      <c r="J689" s="100">
        <f t="shared" si="67"/>
        <v>1.0058365758754864</v>
      </c>
      <c r="K689" s="84">
        <f>VLOOKUP(B:B,'生產達成率(目標)'!A:C,3,0)</f>
        <v>1</v>
      </c>
      <c r="L689" s="20">
        <f t="shared" si="65"/>
        <v>6.0000000000000001E-3</v>
      </c>
      <c r="M689" s="235"/>
      <c r="N689" s="40">
        <v>1</v>
      </c>
      <c r="O689" s="166">
        <f t="shared" ref="O689:O693" si="71">H689-N689-P689</f>
        <v>0</v>
      </c>
      <c r="P689" s="40">
        <f>304+212</f>
        <v>516</v>
      </c>
      <c r="Q689" s="85">
        <f>P689/H689</f>
        <v>0.99806576402321079</v>
      </c>
      <c r="R689" s="38"/>
      <c r="S689" s="174"/>
      <c r="T689" s="86"/>
      <c r="U689" s="23"/>
      <c r="V689" s="458"/>
      <c r="W689" s="421"/>
      <c r="X689" s="458"/>
      <c r="Y689" s="421"/>
      <c r="Z689" s="421"/>
      <c r="AA689" s="421"/>
      <c r="AB689" s="421"/>
      <c r="AC689" s="421"/>
      <c r="AD689" s="421"/>
    </row>
    <row r="690" spans="1:30" s="22" customFormat="1" x14ac:dyDescent="0.4">
      <c r="A690" s="178" t="s">
        <v>803</v>
      </c>
      <c r="B690" s="151" t="s">
        <v>388</v>
      </c>
      <c r="C690" s="30" t="str">
        <f>VLOOKUP(B690,'112年全品項生產鍋數'!A:H,2,0)</f>
        <v>綜合莓果餡(1*6Kg)</v>
      </c>
      <c r="D690" s="287">
        <v>8</v>
      </c>
      <c r="E690" s="48">
        <f>VLOOKUP(B690,'112年全品項生產鍋數'!A:H,3,0)</f>
        <v>6</v>
      </c>
      <c r="F690" s="45">
        <f>VLOOKUP(B690,'112年全品項生產鍋數'!A:H,7,0)</f>
        <v>25.1</v>
      </c>
      <c r="G690" s="49">
        <f t="shared" si="60"/>
        <v>200.8</v>
      </c>
      <c r="H690" s="154">
        <v>206</v>
      </c>
      <c r="I690" s="87">
        <f t="shared" si="70"/>
        <v>1236</v>
      </c>
      <c r="J690" s="100">
        <f t="shared" si="67"/>
        <v>1.0258964143426295</v>
      </c>
      <c r="K690" s="84">
        <f>VLOOKUP(B:B,'生產達成率(目標)'!A:C,3,0)</f>
        <v>1</v>
      </c>
      <c r="L690" s="20">
        <f t="shared" si="65"/>
        <v>2.5999999999999999E-2</v>
      </c>
      <c r="M690" s="235"/>
      <c r="N690" s="40">
        <v>1</v>
      </c>
      <c r="O690" s="166">
        <f t="shared" si="71"/>
        <v>0</v>
      </c>
      <c r="P690" s="40">
        <v>205</v>
      </c>
      <c r="Q690" s="85">
        <f t="shared" ref="Q690:Q693" si="72">P690/H690</f>
        <v>0.99514563106796117</v>
      </c>
      <c r="R690" s="38"/>
      <c r="S690" s="174"/>
      <c r="T690" s="86"/>
      <c r="U690" s="23"/>
      <c r="V690" s="458"/>
      <c r="W690" s="421"/>
      <c r="X690" s="458"/>
      <c r="Y690" s="421"/>
      <c r="Z690" s="421"/>
      <c r="AA690" s="421"/>
      <c r="AB690" s="421"/>
      <c r="AC690" s="421"/>
      <c r="AD690" s="421"/>
    </row>
    <row r="691" spans="1:30" s="22" customFormat="1" x14ac:dyDescent="0.4">
      <c r="A691" s="178" t="s">
        <v>803</v>
      </c>
      <c r="B691" s="149" t="s">
        <v>72</v>
      </c>
      <c r="C691" s="30" t="str">
        <f>VLOOKUP(B691,'112年全品項生產鍋數'!A:H,2,0)</f>
        <v>草莓餡45%(1*6Kg)</v>
      </c>
      <c r="D691" s="287">
        <v>12</v>
      </c>
      <c r="E691" s="48">
        <f>VLOOKUP(B691,'112年全品項生產鍋數'!A:H,3,0)</f>
        <v>6</v>
      </c>
      <c r="F691" s="45">
        <f>VLOOKUP(B691,'112年全品項生產鍋數'!A:H,7,0)</f>
        <v>26.1</v>
      </c>
      <c r="G691" s="49">
        <f t="shared" si="60"/>
        <v>313.20000000000005</v>
      </c>
      <c r="H691" s="154">
        <v>307</v>
      </c>
      <c r="I691" s="87">
        <f t="shared" si="70"/>
        <v>1842</v>
      </c>
      <c r="J691" s="100">
        <f t="shared" si="67"/>
        <v>0.98020434227330766</v>
      </c>
      <c r="K691" s="84">
        <f>VLOOKUP(B:B,'生產達成率(目標)'!A:C,3,0)</f>
        <v>1</v>
      </c>
      <c r="L691" s="20">
        <f t="shared" si="65"/>
        <v>-0.02</v>
      </c>
      <c r="M691" s="235"/>
      <c r="N691" s="40">
        <v>1</v>
      </c>
      <c r="O691" s="166">
        <f t="shared" si="71"/>
        <v>1</v>
      </c>
      <c r="P691" s="40">
        <v>305</v>
      </c>
      <c r="Q691" s="85">
        <f t="shared" si="72"/>
        <v>0.99348534201954397</v>
      </c>
      <c r="R691" s="38"/>
      <c r="S691" s="174"/>
      <c r="T691" s="86" t="s">
        <v>439</v>
      </c>
      <c r="U691" s="23"/>
      <c r="V691" s="458"/>
      <c r="W691" s="421"/>
      <c r="X691" s="458"/>
      <c r="Y691" s="421"/>
      <c r="Z691" s="421"/>
      <c r="AA691" s="421"/>
      <c r="AB691" s="421"/>
      <c r="AC691" s="421"/>
      <c r="AD691" s="421"/>
    </row>
    <row r="692" spans="1:30" s="22" customFormat="1" x14ac:dyDescent="0.4">
      <c r="A692" s="178" t="s">
        <v>803</v>
      </c>
      <c r="B692" s="151" t="s">
        <v>18</v>
      </c>
      <c r="C692" s="30" t="str">
        <f>VLOOKUP(B692,'112年全品項生產鍋數'!A:H,2,0)</f>
        <v>PET瓶花生(粒)(1*340g)</v>
      </c>
      <c r="D692" s="287">
        <v>16</v>
      </c>
      <c r="E692" s="48">
        <f>VLOOKUP(B692,'112年全品項生產鍋數'!A:H,3,0)</f>
        <v>0.34</v>
      </c>
      <c r="F692" s="45">
        <f>VLOOKUP(B692,'112年全品項生產鍋數'!A:H,7,0)</f>
        <v>366</v>
      </c>
      <c r="G692" s="49">
        <f t="shared" si="60"/>
        <v>5856</v>
      </c>
      <c r="H692" s="154">
        <f>3194+2642</f>
        <v>5836</v>
      </c>
      <c r="I692" s="87">
        <f t="shared" si="70"/>
        <v>1984.2400000000002</v>
      </c>
      <c r="J692" s="100">
        <f t="shared" si="67"/>
        <v>0.99658469945355188</v>
      </c>
      <c r="K692" s="84">
        <f>VLOOKUP(B:B,'生產達成率(目標)'!A:C,3,0)</f>
        <v>1</v>
      </c>
      <c r="L692" s="20">
        <f t="shared" si="65"/>
        <v>-3.0000000000000001E-3</v>
      </c>
      <c r="M692" s="235"/>
      <c r="N692" s="40">
        <v>1</v>
      </c>
      <c r="O692" s="166">
        <f t="shared" si="71"/>
        <v>4</v>
      </c>
      <c r="P692" s="40">
        <v>5831</v>
      </c>
      <c r="Q692" s="85">
        <f>P692/H692</f>
        <v>0.99914324880054828</v>
      </c>
      <c r="R692" s="38"/>
      <c r="S692" s="174"/>
      <c r="T692" s="30" t="s">
        <v>591</v>
      </c>
      <c r="U692" s="23"/>
      <c r="V692" s="458"/>
      <c r="W692" s="421"/>
      <c r="X692" s="458"/>
      <c r="Y692" s="421"/>
      <c r="Z692" s="421"/>
      <c r="AA692" s="421"/>
      <c r="AB692" s="421"/>
      <c r="AC692" s="421"/>
      <c r="AD692" s="421"/>
    </row>
    <row r="693" spans="1:30" s="22" customFormat="1" x14ac:dyDescent="0.4">
      <c r="A693" s="178" t="s">
        <v>803</v>
      </c>
      <c r="B693" s="151" t="s">
        <v>5</v>
      </c>
      <c r="C693" s="30" t="str">
        <f>VLOOKUP(B693,'112年全品項生產鍋數'!A:H,2,0)</f>
        <v>＃2花生（粒）(1*900g)</v>
      </c>
      <c r="D693" s="287">
        <v>20</v>
      </c>
      <c r="E693" s="48">
        <f>VLOOKUP(B693,'112年全品項生產鍋數'!A:H,3,0)</f>
        <v>0.9</v>
      </c>
      <c r="F693" s="45">
        <f>VLOOKUP(B693,'112年全品項生產鍋數'!A:H,7,0)</f>
        <v>139.30000000000001</v>
      </c>
      <c r="G693" s="49">
        <f t="shared" si="60"/>
        <v>2786</v>
      </c>
      <c r="H693" s="154">
        <v>2797</v>
      </c>
      <c r="I693" s="87">
        <f t="shared" si="70"/>
        <v>2517.3000000000002</v>
      </c>
      <c r="J693" s="100">
        <f t="shared" si="67"/>
        <v>1.0039483129935391</v>
      </c>
      <c r="K693" s="84">
        <f>VLOOKUP(B:B,'生產達成率(目標)'!A:C,3,0)</f>
        <v>1</v>
      </c>
      <c r="L693" s="20">
        <f t="shared" si="65"/>
        <v>4.0000000000000001E-3</v>
      </c>
      <c r="M693" s="235"/>
      <c r="N693" s="40">
        <v>2</v>
      </c>
      <c r="O693" s="166">
        <f t="shared" si="71"/>
        <v>1</v>
      </c>
      <c r="P693" s="40">
        <v>2794</v>
      </c>
      <c r="Q693" s="85">
        <f t="shared" si="72"/>
        <v>0.99892742223811226</v>
      </c>
      <c r="R693" s="38"/>
      <c r="S693" s="174"/>
      <c r="T693" s="86" t="s">
        <v>438</v>
      </c>
      <c r="U693" s="23"/>
      <c r="V693" s="458"/>
      <c r="W693" s="421"/>
      <c r="X693" s="458"/>
      <c r="Y693" s="421"/>
      <c r="Z693" s="421"/>
      <c r="AA693" s="421"/>
      <c r="AB693" s="421"/>
      <c r="AC693" s="421"/>
      <c r="AD693" s="421"/>
    </row>
    <row r="694" spans="1:30" s="22" customFormat="1" x14ac:dyDescent="0.4">
      <c r="A694" s="178" t="s">
        <v>804</v>
      </c>
      <c r="B694" s="151" t="s">
        <v>24</v>
      </c>
      <c r="C694" s="30" t="str">
        <f>VLOOKUP(B694,'112年全品項生產鍋數'!A:H,2,0)</f>
        <v>小藍莓1*260G</v>
      </c>
      <c r="D694" s="287">
        <v>16</v>
      </c>
      <c r="E694" s="48">
        <f>VLOOKUP(B694,'112年全品項生產鍋數'!A:H,3,0)</f>
        <v>0.26</v>
      </c>
      <c r="F694" s="45">
        <f>VLOOKUP(B694,'112年全品項生產鍋數'!A:H,7,0)</f>
        <v>584.29999999999995</v>
      </c>
      <c r="G694" s="49">
        <f t="shared" si="60"/>
        <v>9348.7999999999993</v>
      </c>
      <c r="H694" s="154">
        <v>9434</v>
      </c>
      <c r="I694" s="87">
        <f>H694*E694</f>
        <v>2452.84</v>
      </c>
      <c r="J694" s="100">
        <f t="shared" si="67"/>
        <v>1.0091134691083348</v>
      </c>
      <c r="K694" s="84">
        <f>VLOOKUP(B:B,'生產達成率(目標)'!A:C,3,0)</f>
        <v>1</v>
      </c>
      <c r="L694" s="20">
        <f t="shared" si="65"/>
        <v>8.9999999999999993E-3</v>
      </c>
      <c r="M694" s="235"/>
      <c r="N694" s="40">
        <v>2</v>
      </c>
      <c r="O694" s="166">
        <f>H694-N694-P694</f>
        <v>21</v>
      </c>
      <c r="P694" s="40">
        <v>9411</v>
      </c>
      <c r="Q694" s="85">
        <f>P694/H694</f>
        <v>0.99756200975196097</v>
      </c>
      <c r="R694" s="38"/>
      <c r="S694" s="174"/>
      <c r="T694" s="86"/>
      <c r="U694" s="23"/>
      <c r="V694" s="458"/>
      <c r="W694" s="421"/>
      <c r="X694" s="458"/>
      <c r="Y694" s="421"/>
      <c r="Z694" s="421"/>
      <c r="AA694" s="421"/>
      <c r="AB694" s="421"/>
      <c r="AC694" s="421"/>
      <c r="AD694" s="421"/>
    </row>
    <row r="695" spans="1:30" s="22" customFormat="1" x14ac:dyDescent="0.4">
      <c r="A695" s="178" t="s">
        <v>804</v>
      </c>
      <c r="B695" s="151" t="s">
        <v>384</v>
      </c>
      <c r="C695" s="30" t="str">
        <f>VLOOKUP(B695,'112年全品項生產鍋數'!A:H,2,0)</f>
        <v>蜂蜜柚香醬(1*6KG)</v>
      </c>
      <c r="D695" s="287">
        <v>8</v>
      </c>
      <c r="E695" s="48">
        <f>VLOOKUP(B695,'112年全品項生產鍋數'!A:H,3,0)</f>
        <v>6</v>
      </c>
      <c r="F695" s="45">
        <f>VLOOKUP(B695,'112年全品項生產鍋數'!A:H,7,0)</f>
        <v>25.8</v>
      </c>
      <c r="G695" s="49">
        <f t="shared" si="60"/>
        <v>206.4</v>
      </c>
      <c r="H695" s="154">
        <v>208</v>
      </c>
      <c r="I695" s="87">
        <f t="shared" ref="I695:I701" si="73">H695*E695</f>
        <v>1248</v>
      </c>
      <c r="J695" s="100">
        <f t="shared" si="67"/>
        <v>1.0077519379844961</v>
      </c>
      <c r="K695" s="84">
        <f>VLOOKUP(B:B,'生產達成率(目標)'!A:C,3,0)</f>
        <v>1</v>
      </c>
      <c r="L695" s="20">
        <f t="shared" si="65"/>
        <v>8.0000000000000002E-3</v>
      </c>
      <c r="M695" s="235"/>
      <c r="N695" s="40">
        <v>1</v>
      </c>
      <c r="O695" s="166">
        <f t="shared" ref="O695:O701" si="74">H695-N695-P695</f>
        <v>0</v>
      </c>
      <c r="P695" s="40">
        <v>207</v>
      </c>
      <c r="Q695" s="85">
        <f t="shared" ref="Q695:Q701" si="75">P695/H695</f>
        <v>0.99519230769230771</v>
      </c>
      <c r="R695" s="38"/>
      <c r="S695" s="174"/>
      <c r="T695" s="86"/>
      <c r="U695" s="23"/>
      <c r="V695" s="458"/>
      <c r="W695" s="421"/>
      <c r="X695" s="458"/>
      <c r="Y695" s="421"/>
      <c r="Z695" s="421"/>
      <c r="AA695" s="421"/>
      <c r="AB695" s="421"/>
      <c r="AC695" s="421"/>
      <c r="AD695" s="421"/>
    </row>
    <row r="696" spans="1:30" s="22" customFormat="1" x14ac:dyDescent="0.4">
      <c r="A696" s="178" t="s">
        <v>804</v>
      </c>
      <c r="B696" s="151" t="s">
        <v>40</v>
      </c>
      <c r="C696" s="30" t="str">
        <f>VLOOKUP(B696,'112年全品項生產鍋數'!A:H,2,0)</f>
        <v>蜂蜜蘋果醬(1*6KG)</v>
      </c>
      <c r="D696" s="287">
        <v>6</v>
      </c>
      <c r="E696" s="48">
        <f>VLOOKUP(B696,'112年全品項生產鍋數'!A:H,3,0)</f>
        <v>6</v>
      </c>
      <c r="F696" s="45">
        <f>VLOOKUP(B696,'112年全品項生產鍋數'!A:H,7,0)</f>
        <v>25.2</v>
      </c>
      <c r="G696" s="49">
        <f t="shared" si="60"/>
        <v>151.19999999999999</v>
      </c>
      <c r="H696" s="154">
        <v>154</v>
      </c>
      <c r="I696" s="87">
        <f t="shared" si="73"/>
        <v>924</v>
      </c>
      <c r="J696" s="100">
        <f t="shared" si="67"/>
        <v>1.0185185185185186</v>
      </c>
      <c r="K696" s="84">
        <f>VLOOKUP(B:B,'生產達成率(目標)'!A:C,3,0)</f>
        <v>1</v>
      </c>
      <c r="L696" s="20">
        <f t="shared" si="65"/>
        <v>1.9E-2</v>
      </c>
      <c r="M696" s="235"/>
      <c r="N696" s="40">
        <v>1</v>
      </c>
      <c r="O696" s="166">
        <f t="shared" si="74"/>
        <v>0</v>
      </c>
      <c r="P696" s="40">
        <v>153</v>
      </c>
      <c r="Q696" s="85">
        <f t="shared" si="75"/>
        <v>0.99350649350649356</v>
      </c>
      <c r="R696" s="38"/>
      <c r="S696" s="174"/>
      <c r="T696" s="86"/>
      <c r="U696" s="23"/>
      <c r="V696" s="458"/>
      <c r="W696" s="421"/>
      <c r="X696" s="458"/>
      <c r="Y696" s="421"/>
      <c r="Z696" s="421"/>
      <c r="AA696" s="421"/>
      <c r="AB696" s="421"/>
      <c r="AC696" s="421"/>
      <c r="AD696" s="421"/>
    </row>
    <row r="697" spans="1:30" s="22" customFormat="1" x14ac:dyDescent="0.4">
      <c r="A697" s="178" t="s">
        <v>804</v>
      </c>
      <c r="B697" s="151" t="s">
        <v>7</v>
      </c>
      <c r="C697" s="30" t="str">
        <f>VLOOKUP(B697,'112年全品項生產鍋數'!A:H,2,0)</f>
        <v>草莓蒟蒻餡(1*6kg)</v>
      </c>
      <c r="D697" s="287">
        <v>24</v>
      </c>
      <c r="E697" s="48">
        <f>VLOOKUP(B697,'112年全品項生產鍋數'!A:H,3,0)</f>
        <v>6</v>
      </c>
      <c r="F697" s="45">
        <f>VLOOKUP(B697,'112年全品項生產鍋數'!A:H,7,0)</f>
        <v>25.7</v>
      </c>
      <c r="G697" s="49">
        <f t="shared" si="60"/>
        <v>616.79999999999995</v>
      </c>
      <c r="H697" s="154">
        <f>303+314</f>
        <v>617</v>
      </c>
      <c r="I697" s="87">
        <f t="shared" si="73"/>
        <v>3702</v>
      </c>
      <c r="J697" s="100">
        <f t="shared" si="67"/>
        <v>1.0003242542153048</v>
      </c>
      <c r="K697" s="84">
        <f>VLOOKUP(B:B,'生產達成率(目標)'!A:C,3,0)</f>
        <v>1</v>
      </c>
      <c r="L697" s="20">
        <f t="shared" si="65"/>
        <v>0</v>
      </c>
      <c r="M697" s="235"/>
      <c r="N697" s="40">
        <v>1</v>
      </c>
      <c r="O697" s="166">
        <f t="shared" si="74"/>
        <v>1</v>
      </c>
      <c r="P697" s="40">
        <f>302+313</f>
        <v>615</v>
      </c>
      <c r="Q697" s="85">
        <f t="shared" si="75"/>
        <v>0.99675850891410045</v>
      </c>
      <c r="R697" s="38"/>
      <c r="S697" s="174"/>
      <c r="T697" s="86" t="s">
        <v>439</v>
      </c>
      <c r="U697" s="23"/>
      <c r="V697" s="458"/>
      <c r="W697" s="421"/>
      <c r="X697" s="458"/>
      <c r="Y697" s="421"/>
      <c r="Z697" s="421"/>
      <c r="AA697" s="421"/>
      <c r="AB697" s="421"/>
      <c r="AC697" s="421"/>
      <c r="AD697" s="421"/>
    </row>
    <row r="698" spans="1:30" s="22" customFormat="1" x14ac:dyDescent="0.4">
      <c r="A698" s="178" t="s">
        <v>804</v>
      </c>
      <c r="B698" s="151" t="s">
        <v>433</v>
      </c>
      <c r="C698" s="30" t="str">
        <f>VLOOKUP(B698,'112年全品項生產鍋數'!A:H,2,0)</f>
        <v>草莓醬(1*6Kg)</v>
      </c>
      <c r="D698" s="287">
        <v>8</v>
      </c>
      <c r="E698" s="48">
        <f>VLOOKUP(B698,'112年全品項生產鍋數'!A:H,3,0)</f>
        <v>6</v>
      </c>
      <c r="F698" s="45">
        <f>VLOOKUP(B698,'112年全品項生產鍋數'!A:H,7,0)</f>
        <v>24.9</v>
      </c>
      <c r="G698" s="49">
        <f t="shared" si="60"/>
        <v>199.2</v>
      </c>
      <c r="H698" s="154">
        <v>193</v>
      </c>
      <c r="I698" s="87">
        <f t="shared" si="73"/>
        <v>1158</v>
      </c>
      <c r="J698" s="100">
        <f t="shared" si="67"/>
        <v>0.96887550200803219</v>
      </c>
      <c r="K698" s="84">
        <f>VLOOKUP(B:B,'生產達成率(目標)'!A:C,3,0)</f>
        <v>1</v>
      </c>
      <c r="L698" s="20">
        <f t="shared" si="65"/>
        <v>-3.1E-2</v>
      </c>
      <c r="M698" s="235"/>
      <c r="N698" s="40">
        <v>1</v>
      </c>
      <c r="O698" s="166">
        <f t="shared" si="74"/>
        <v>0</v>
      </c>
      <c r="P698" s="40">
        <v>192</v>
      </c>
      <c r="Q698" s="85">
        <f t="shared" si="75"/>
        <v>0.99481865284974091</v>
      </c>
      <c r="R698" s="38"/>
      <c r="S698" s="174"/>
      <c r="T698" s="86"/>
      <c r="U698" s="23"/>
      <c r="V698" s="458"/>
      <c r="W698" s="421"/>
      <c r="X698" s="458"/>
      <c r="Y698" s="421"/>
      <c r="Z698" s="421"/>
      <c r="AA698" s="421"/>
      <c r="AB698" s="421"/>
      <c r="AC698" s="421"/>
      <c r="AD698" s="421"/>
    </row>
    <row r="699" spans="1:30" s="22" customFormat="1" x14ac:dyDescent="0.4">
      <c r="A699" s="178" t="s">
        <v>804</v>
      </c>
      <c r="B699" s="151" t="s">
        <v>147</v>
      </c>
      <c r="C699" s="30" t="str">
        <f>VLOOKUP(B699,'112年全品項生產鍋數'!A:H,2,0)</f>
        <v>玫瑰洛神餡(1*4.5KG)</v>
      </c>
      <c r="D699" s="287">
        <v>3</v>
      </c>
      <c r="E699" s="48">
        <f>VLOOKUP(B699,'112年全品項生產鍋數'!A:H,3,0)</f>
        <v>4.5</v>
      </c>
      <c r="F699" s="45">
        <f>VLOOKUP(B699,'112年全品項生產鍋數'!A:H,7,0)</f>
        <v>32.9</v>
      </c>
      <c r="G699" s="49">
        <f t="shared" si="60"/>
        <v>98.699999999999989</v>
      </c>
      <c r="H699" s="154">
        <v>101</v>
      </c>
      <c r="I699" s="87">
        <f t="shared" si="73"/>
        <v>454.5</v>
      </c>
      <c r="J699" s="100">
        <f t="shared" si="67"/>
        <v>1.0233029381965553</v>
      </c>
      <c r="K699" s="84">
        <f>VLOOKUP(B:B,'生產達成率(目標)'!A:C,3,0)</f>
        <v>1</v>
      </c>
      <c r="L699" s="20">
        <f t="shared" si="65"/>
        <v>2.3E-2</v>
      </c>
      <c r="M699" s="235"/>
      <c r="N699" s="40"/>
      <c r="O699" s="166">
        <f t="shared" si="74"/>
        <v>0</v>
      </c>
      <c r="P699" s="40">
        <v>101</v>
      </c>
      <c r="Q699" s="85">
        <f t="shared" si="75"/>
        <v>1</v>
      </c>
      <c r="R699" s="38"/>
      <c r="S699" s="174"/>
      <c r="T699" s="86"/>
      <c r="U699" s="23"/>
      <c r="V699" s="458"/>
      <c r="W699" s="421"/>
      <c r="X699" s="458"/>
      <c r="Y699" s="421"/>
      <c r="Z699" s="421"/>
      <c r="AA699" s="421"/>
      <c r="AB699" s="421"/>
      <c r="AC699" s="421"/>
      <c r="AD699" s="421"/>
    </row>
    <row r="700" spans="1:30" s="22" customFormat="1" x14ac:dyDescent="0.4">
      <c r="A700" s="178" t="s">
        <v>804</v>
      </c>
      <c r="B700" s="151" t="s">
        <v>9</v>
      </c>
      <c r="C700" s="30" t="str">
        <f>VLOOKUP(B700,'112年全品項生產鍋數'!A:H,2,0)</f>
        <v>＃1花生(1*2.8kg)</v>
      </c>
      <c r="D700" s="287">
        <v>72</v>
      </c>
      <c r="E700" s="48">
        <f>VLOOKUP(B700,'112年全品項生產鍋數'!A:H,3,0)</f>
        <v>2.8</v>
      </c>
      <c r="F700" s="45">
        <f>VLOOKUP(B700,'112年全品項生產鍋數'!A:H,7,0)</f>
        <v>44.5</v>
      </c>
      <c r="G700" s="49">
        <f t="shared" si="60"/>
        <v>3204</v>
      </c>
      <c r="H700" s="154">
        <v>3210</v>
      </c>
      <c r="I700" s="87">
        <f t="shared" si="73"/>
        <v>8988</v>
      </c>
      <c r="J700" s="100">
        <f t="shared" si="67"/>
        <v>1.0018726591760299</v>
      </c>
      <c r="K700" s="84">
        <f>VLOOKUP(B:B,'生產達成率(目標)'!A:C,3,0)</f>
        <v>1</v>
      </c>
      <c r="L700" s="20">
        <f t="shared" si="65"/>
        <v>2E-3</v>
      </c>
      <c r="M700" s="235"/>
      <c r="N700" s="40">
        <v>1</v>
      </c>
      <c r="O700" s="166">
        <f t="shared" si="74"/>
        <v>0</v>
      </c>
      <c r="P700" s="40">
        <v>3209</v>
      </c>
      <c r="Q700" s="85">
        <f t="shared" si="75"/>
        <v>0.99968847352024925</v>
      </c>
      <c r="R700" s="38"/>
      <c r="S700" s="174"/>
      <c r="T700" s="86"/>
      <c r="U700" s="23"/>
      <c r="V700" s="458"/>
      <c r="W700" s="421"/>
      <c r="X700" s="458"/>
      <c r="Y700" s="421"/>
      <c r="Z700" s="421"/>
      <c r="AA700" s="421"/>
      <c r="AB700" s="421"/>
      <c r="AC700" s="421"/>
      <c r="AD700" s="421"/>
    </row>
    <row r="701" spans="1:30" s="22" customFormat="1" x14ac:dyDescent="0.4">
      <c r="A701" s="178" t="s">
        <v>805</v>
      </c>
      <c r="B701" s="151" t="s">
        <v>15</v>
      </c>
      <c r="C701" s="30" t="str">
        <f>VLOOKUP(B701,'112年全品項生產鍋數'!A:H,2,0)</f>
        <v>＃1桔子(1*3.2kg)</v>
      </c>
      <c r="D701" s="287">
        <v>32</v>
      </c>
      <c r="E701" s="48">
        <f>VLOOKUP(B701,'112年全品項生產鍋數'!A:H,3,0)</f>
        <v>3.2</v>
      </c>
      <c r="F701" s="45">
        <f>VLOOKUP(B701,'112年全品項生產鍋數'!A:H,7,0)</f>
        <v>46.4</v>
      </c>
      <c r="G701" s="49">
        <f t="shared" si="60"/>
        <v>1484.8</v>
      </c>
      <c r="H701" s="154">
        <v>1465</v>
      </c>
      <c r="I701" s="87">
        <f t="shared" si="73"/>
        <v>4688</v>
      </c>
      <c r="J701" s="100">
        <f t="shared" si="67"/>
        <v>0.98666487068965525</v>
      </c>
      <c r="K701" s="84">
        <f>VLOOKUP(B:B,'生產達成率(目標)'!A:C,3,0)</f>
        <v>1</v>
      </c>
      <c r="L701" s="20">
        <f t="shared" si="65"/>
        <v>-1.2999999999999999E-2</v>
      </c>
      <c r="M701" s="235"/>
      <c r="N701" s="40">
        <v>1</v>
      </c>
      <c r="O701" s="166">
        <f t="shared" si="74"/>
        <v>0</v>
      </c>
      <c r="P701" s="40">
        <v>1464</v>
      </c>
      <c r="Q701" s="85">
        <f t="shared" si="75"/>
        <v>0.99931740614334474</v>
      </c>
      <c r="R701" s="38"/>
      <c r="S701" s="174"/>
      <c r="T701" s="86"/>
      <c r="U701" s="23"/>
      <c r="V701" s="458"/>
      <c r="W701" s="421"/>
      <c r="X701" s="458"/>
      <c r="Y701" s="421"/>
      <c r="Z701" s="421"/>
      <c r="AA701" s="421"/>
      <c r="AB701" s="421"/>
      <c r="AC701" s="421"/>
      <c r="AD701" s="421"/>
    </row>
    <row r="702" spans="1:30" s="22" customFormat="1" x14ac:dyDescent="0.4">
      <c r="A702" s="178" t="s">
        <v>805</v>
      </c>
      <c r="B702" s="151" t="s">
        <v>6</v>
      </c>
      <c r="C702" s="30" t="str">
        <f>VLOOKUP(B702,'112年全品項生產鍋數'!A:H,2,0)</f>
        <v>大圓草莓-新</v>
      </c>
      <c r="D702" s="287">
        <v>20</v>
      </c>
      <c r="E702" s="48">
        <f>VLOOKUP(B702,'112年全品項生產鍋數'!A:H,3,0)</f>
        <v>0.44</v>
      </c>
      <c r="F702" s="45">
        <f>VLOOKUP(B702,'112年全品項生產鍋數'!A:H,7,0)</f>
        <v>344</v>
      </c>
      <c r="G702" s="49">
        <f t="shared" si="60"/>
        <v>6880</v>
      </c>
      <c r="H702" s="154">
        <v>6896</v>
      </c>
      <c r="I702" s="87">
        <f>H702*E702</f>
        <v>3034.2400000000002</v>
      </c>
      <c r="J702" s="100">
        <f t="shared" si="67"/>
        <v>1.0023255813953489</v>
      </c>
      <c r="K702" s="84">
        <f>VLOOKUP(B:B,'生產達成率(目標)'!A:C,3,0)</f>
        <v>1</v>
      </c>
      <c r="L702" s="20">
        <f t="shared" si="65"/>
        <v>2E-3</v>
      </c>
      <c r="M702" s="235"/>
      <c r="N702" s="40">
        <v>3</v>
      </c>
      <c r="O702" s="166">
        <f>H702-N702-P702</f>
        <v>1</v>
      </c>
      <c r="P702" s="40">
        <v>6892</v>
      </c>
      <c r="Q702" s="85">
        <f>P702/H702</f>
        <v>0.99941995359628766</v>
      </c>
      <c r="R702" s="38"/>
      <c r="S702" s="174"/>
      <c r="T702" s="86"/>
      <c r="U702" s="23"/>
      <c r="V702" s="458"/>
      <c r="W702" s="421"/>
      <c r="X702" s="458"/>
      <c r="Y702" s="421"/>
      <c r="Z702" s="421"/>
      <c r="AA702" s="421"/>
      <c r="AB702" s="421"/>
      <c r="AC702" s="421"/>
      <c r="AD702" s="421"/>
    </row>
    <row r="703" spans="1:30" s="22" customFormat="1" x14ac:dyDescent="0.4">
      <c r="A703" s="178" t="s">
        <v>805</v>
      </c>
      <c r="B703" s="151" t="s">
        <v>7</v>
      </c>
      <c r="C703" s="30" t="str">
        <f>VLOOKUP(B703,'112年全品項生產鍋數'!A:H,2,0)</f>
        <v>草莓蒟蒻餡(1*6kg)</v>
      </c>
      <c r="D703" s="287">
        <v>24</v>
      </c>
      <c r="E703" s="48">
        <f>VLOOKUP(B703,'112年全品項生產鍋數'!A:H,3,0)</f>
        <v>6</v>
      </c>
      <c r="F703" s="45">
        <f>VLOOKUP(B703,'112年全品項生產鍋數'!A:H,7,0)</f>
        <v>25.7</v>
      </c>
      <c r="G703" s="49">
        <f t="shared" si="60"/>
        <v>616.79999999999995</v>
      </c>
      <c r="H703" s="154">
        <f>300+315</f>
        <v>615</v>
      </c>
      <c r="I703" s="87">
        <f t="shared" ref="I703:I766" si="76">H703*E703</f>
        <v>3690</v>
      </c>
      <c r="J703" s="100">
        <f t="shared" si="67"/>
        <v>0.99708171206225693</v>
      </c>
      <c r="K703" s="84">
        <f>VLOOKUP(B:B,'生產達成率(目標)'!A:C,3,0)</f>
        <v>1</v>
      </c>
      <c r="L703" s="20">
        <f t="shared" si="65"/>
        <v>-3.0000000000000001E-3</v>
      </c>
      <c r="M703" s="235"/>
      <c r="N703" s="40">
        <v>1</v>
      </c>
      <c r="O703" s="166">
        <f t="shared" ref="O703:O766" si="77">H703-N703-P703</f>
        <v>1</v>
      </c>
      <c r="P703" s="40">
        <f>299+314</f>
        <v>613</v>
      </c>
      <c r="Q703" s="85">
        <f t="shared" ref="Q703:Q727" si="78">P703/H703</f>
        <v>0.99674796747967476</v>
      </c>
      <c r="R703" s="38"/>
      <c r="S703" s="174"/>
      <c r="T703" s="86" t="s">
        <v>439</v>
      </c>
      <c r="U703" s="23"/>
      <c r="V703" s="458"/>
      <c r="W703" s="421"/>
      <c r="X703" s="458"/>
      <c r="Y703" s="421"/>
      <c r="Z703" s="421"/>
      <c r="AA703" s="421"/>
      <c r="AB703" s="421"/>
      <c r="AC703" s="421"/>
      <c r="AD703" s="421"/>
    </row>
    <row r="704" spans="1:30" s="22" customFormat="1" x14ac:dyDescent="0.4">
      <c r="A704" s="178" t="s">
        <v>805</v>
      </c>
      <c r="B704" s="151" t="s">
        <v>16</v>
      </c>
      <c r="C704" s="30" t="str">
        <f>VLOOKUP(B704,'112年全品項生產鍋數'!A:H,2,0)</f>
        <v>藍莓餡(1*6Kg)</v>
      </c>
      <c r="D704" s="287">
        <v>16</v>
      </c>
      <c r="E704" s="48">
        <f>VLOOKUP(B704,'112年全品項生產鍋數'!A:H,3,0)</f>
        <v>6</v>
      </c>
      <c r="F704" s="45">
        <f>VLOOKUP(B704,'112年全品項生產鍋數'!A:H,7,0)</f>
        <v>25.1</v>
      </c>
      <c r="G704" s="49">
        <f t="shared" si="60"/>
        <v>401.6</v>
      </c>
      <c r="H704" s="154">
        <v>404</v>
      </c>
      <c r="I704" s="87">
        <f t="shared" si="76"/>
        <v>2424</v>
      </c>
      <c r="J704" s="100">
        <f t="shared" si="67"/>
        <v>1.0059760956175299</v>
      </c>
      <c r="K704" s="84">
        <f>VLOOKUP(B:B,'生產達成率(目標)'!A:C,3,0)</f>
        <v>1</v>
      </c>
      <c r="L704" s="20">
        <f t="shared" si="65"/>
        <v>6.0000000000000001E-3</v>
      </c>
      <c r="M704" s="235"/>
      <c r="N704" s="40">
        <v>1</v>
      </c>
      <c r="O704" s="166">
        <f t="shared" si="77"/>
        <v>0</v>
      </c>
      <c r="P704" s="40">
        <v>403</v>
      </c>
      <c r="Q704" s="85">
        <f t="shared" si="78"/>
        <v>0.99752475247524752</v>
      </c>
      <c r="R704" s="38"/>
      <c r="S704" s="174"/>
      <c r="T704" s="86"/>
      <c r="U704" s="23"/>
      <c r="V704" s="458"/>
      <c r="W704" s="421"/>
      <c r="X704" s="458"/>
      <c r="Y704" s="421"/>
      <c r="Z704" s="421"/>
      <c r="AA704" s="421"/>
      <c r="AB704" s="421"/>
      <c r="AC704" s="421"/>
      <c r="AD704" s="421"/>
    </row>
    <row r="705" spans="1:30" s="22" customFormat="1" x14ac:dyDescent="0.4">
      <c r="A705" s="178" t="s">
        <v>805</v>
      </c>
      <c r="B705" s="149" t="s">
        <v>23</v>
      </c>
      <c r="C705" s="30" t="str">
        <f>VLOOKUP(B705,'112年全品項生產鍋數'!A:H,2,0)</f>
        <v>＃1花生(粒)(1*2.8kg)</v>
      </c>
      <c r="D705" s="287">
        <v>60</v>
      </c>
      <c r="E705" s="48">
        <f>VLOOKUP(B705,'112年全品項生產鍋數'!A:H,3,0)</f>
        <v>2.8</v>
      </c>
      <c r="F705" s="45">
        <f>VLOOKUP(B705,'112年全品項生產鍋數'!A:H,7,0)</f>
        <v>44.2</v>
      </c>
      <c r="G705" s="49">
        <f t="shared" si="60"/>
        <v>2652</v>
      </c>
      <c r="H705" s="154">
        <v>2685</v>
      </c>
      <c r="I705" s="87">
        <f t="shared" si="76"/>
        <v>7517.9999999999991</v>
      </c>
      <c r="J705" s="100">
        <f t="shared" si="67"/>
        <v>1.0124434389140271</v>
      </c>
      <c r="K705" s="84">
        <f>VLOOKUP(B:B,'生產達成率(目標)'!A:C,3,0)</f>
        <v>1</v>
      </c>
      <c r="L705" s="20">
        <f t="shared" si="65"/>
        <v>1.2E-2</v>
      </c>
      <c r="M705" s="235"/>
      <c r="N705" s="40">
        <v>1</v>
      </c>
      <c r="O705" s="166">
        <f t="shared" si="77"/>
        <v>0</v>
      </c>
      <c r="P705" s="40">
        <v>2684</v>
      </c>
      <c r="Q705" s="85">
        <f t="shared" si="78"/>
        <v>0.99962756052141521</v>
      </c>
      <c r="R705" s="38"/>
      <c r="S705" s="174"/>
      <c r="T705" s="86"/>
      <c r="U705" s="23"/>
      <c r="V705" s="458"/>
      <c r="W705" s="421"/>
      <c r="X705" s="458"/>
      <c r="Y705" s="421"/>
      <c r="Z705" s="421"/>
      <c r="AA705" s="421"/>
      <c r="AB705" s="421"/>
      <c r="AC705" s="421"/>
      <c r="AD705" s="421"/>
    </row>
    <row r="706" spans="1:30" s="22" customFormat="1" x14ac:dyDescent="0.4">
      <c r="A706" s="178" t="s">
        <v>806</v>
      </c>
      <c r="B706" s="149" t="s">
        <v>87</v>
      </c>
      <c r="C706" s="30" t="str">
        <f>VLOOKUP(B706,'112年全品項生產鍋數'!A:H,2,0)</f>
        <v>＃1藍莓(1*3.2kg)</v>
      </c>
      <c r="D706" s="287">
        <v>72</v>
      </c>
      <c r="E706" s="48">
        <f>VLOOKUP(B706,'112年全品項生產鍋數'!A:H,3,0)</f>
        <v>3.2</v>
      </c>
      <c r="F706" s="45">
        <f>VLOOKUP(B706,'112年全品項生產鍋數'!A:H,7,0)</f>
        <v>47.5</v>
      </c>
      <c r="G706" s="49">
        <f t="shared" ref="G706:G769" si="79">D706*F706</f>
        <v>3420</v>
      </c>
      <c r="H706" s="154">
        <v>3445</v>
      </c>
      <c r="I706" s="87">
        <f t="shared" si="76"/>
        <v>11024</v>
      </c>
      <c r="J706" s="100">
        <f t="shared" si="67"/>
        <v>1.0073099415204678</v>
      </c>
      <c r="K706" s="84">
        <f>VLOOKUP(B:B,'生產達成率(目標)'!A:C,3,0)</f>
        <v>1</v>
      </c>
      <c r="L706" s="20">
        <f t="shared" si="65"/>
        <v>7.0000000000000001E-3</v>
      </c>
      <c r="M706" s="235"/>
      <c r="N706" s="40">
        <v>2</v>
      </c>
      <c r="O706" s="166">
        <f t="shared" si="77"/>
        <v>0</v>
      </c>
      <c r="P706" s="40">
        <v>3443</v>
      </c>
      <c r="Q706" s="85">
        <f t="shared" si="78"/>
        <v>0.99941944847605224</v>
      </c>
      <c r="R706" s="38"/>
      <c r="S706" s="174"/>
      <c r="T706" s="86"/>
      <c r="U706" s="23"/>
      <c r="V706" s="458"/>
      <c r="W706" s="421"/>
      <c r="X706" s="458"/>
      <c r="Y706" s="421"/>
      <c r="Z706" s="421"/>
      <c r="AA706" s="421"/>
      <c r="AB706" s="421"/>
      <c r="AC706" s="421"/>
      <c r="AD706" s="421"/>
    </row>
    <row r="707" spans="1:30" s="22" customFormat="1" x14ac:dyDescent="0.4">
      <c r="A707" s="178" t="s">
        <v>806</v>
      </c>
      <c r="B707" s="151" t="s">
        <v>451</v>
      </c>
      <c r="C707" s="30" t="str">
        <f>VLOOKUP(B707,'112年全品項生產鍋數'!A:H,2,0)</f>
        <v>水蜜桃醬(1*6kg)</v>
      </c>
      <c r="D707" s="287">
        <v>6</v>
      </c>
      <c r="E707" s="48">
        <f>VLOOKUP(B707,'112年全品項生產鍋數'!A:H,3,0)</f>
        <v>6</v>
      </c>
      <c r="F707" s="45">
        <f>VLOOKUP(B707,'112年全品項生產鍋數'!A:H,7,0)</f>
        <v>24.5</v>
      </c>
      <c r="G707" s="49">
        <f t="shared" si="79"/>
        <v>147</v>
      </c>
      <c r="H707" s="154">
        <v>149</v>
      </c>
      <c r="I707" s="87">
        <f t="shared" si="76"/>
        <v>894</v>
      </c>
      <c r="J707" s="100">
        <f t="shared" si="67"/>
        <v>1.0136054421768708</v>
      </c>
      <c r="K707" s="84">
        <f>VLOOKUP(B:B,'生產達成率(目標)'!A:C,3,0)</f>
        <v>1</v>
      </c>
      <c r="L707" s="20">
        <f t="shared" ref="L707:L770" si="80">IF(G707=0,"無法預估數據",ROUND(J707-K707,3))</f>
        <v>1.4E-2</v>
      </c>
      <c r="M707" s="235"/>
      <c r="N707" s="40">
        <v>1</v>
      </c>
      <c r="O707" s="166">
        <f t="shared" si="77"/>
        <v>0</v>
      </c>
      <c r="P707" s="40">
        <v>148</v>
      </c>
      <c r="Q707" s="85">
        <f t="shared" si="78"/>
        <v>0.99328859060402686</v>
      </c>
      <c r="R707" s="38"/>
      <c r="S707" s="174"/>
      <c r="T707" s="86"/>
      <c r="U707" s="23"/>
      <c r="V707" s="458"/>
      <c r="W707" s="421"/>
      <c r="X707" s="458"/>
      <c r="Y707" s="421"/>
      <c r="Z707" s="421"/>
      <c r="AA707" s="421"/>
      <c r="AB707" s="421"/>
      <c r="AC707" s="421"/>
      <c r="AD707" s="421"/>
    </row>
    <row r="708" spans="1:30" s="22" customFormat="1" x14ac:dyDescent="0.4">
      <c r="A708" s="178" t="s">
        <v>806</v>
      </c>
      <c r="B708" s="151" t="s">
        <v>128</v>
      </c>
      <c r="C708" s="30" t="str">
        <f>VLOOKUP(B708,'112年全品項生產鍋數'!A:H,2,0)</f>
        <v>草莓椰果漿(1*6KG)</v>
      </c>
      <c r="D708" s="287">
        <v>8</v>
      </c>
      <c r="E708" s="48">
        <f>VLOOKUP(B708,'112年全品項生產鍋數'!A:H,3,0)</f>
        <v>6</v>
      </c>
      <c r="F708" s="45">
        <f>VLOOKUP(B708,'112年全品項生產鍋數'!A:H,7,0)</f>
        <v>25.7</v>
      </c>
      <c r="G708" s="49">
        <f t="shared" si="79"/>
        <v>205.6</v>
      </c>
      <c r="H708" s="154">
        <v>208</v>
      </c>
      <c r="I708" s="87">
        <f t="shared" si="76"/>
        <v>1248</v>
      </c>
      <c r="J708" s="100">
        <f t="shared" si="67"/>
        <v>1.0116731517509727</v>
      </c>
      <c r="K708" s="84">
        <f>VLOOKUP(B:B,'生產達成率(目標)'!A:C,3,0)</f>
        <v>1</v>
      </c>
      <c r="L708" s="20">
        <f t="shared" si="80"/>
        <v>1.2E-2</v>
      </c>
      <c r="M708" s="235"/>
      <c r="N708" s="40">
        <v>1</v>
      </c>
      <c r="O708" s="166">
        <f t="shared" si="77"/>
        <v>5</v>
      </c>
      <c r="P708" s="40">
        <f>143+59</f>
        <v>202</v>
      </c>
      <c r="Q708" s="85">
        <f t="shared" si="78"/>
        <v>0.97115384615384615</v>
      </c>
      <c r="R708" s="38" t="s">
        <v>452</v>
      </c>
      <c r="S708" s="174">
        <v>63</v>
      </c>
      <c r="T708" s="86" t="s">
        <v>453</v>
      </c>
      <c r="U708" s="23"/>
      <c r="V708" s="458"/>
      <c r="W708" s="421"/>
      <c r="X708" s="458"/>
      <c r="Y708" s="421"/>
      <c r="Z708" s="421"/>
      <c r="AA708" s="421"/>
      <c r="AB708" s="421"/>
      <c r="AC708" s="421"/>
      <c r="AD708" s="421"/>
    </row>
    <row r="709" spans="1:30" s="22" customFormat="1" x14ac:dyDescent="0.4">
      <c r="A709" s="178" t="s">
        <v>806</v>
      </c>
      <c r="B709" s="151" t="s">
        <v>63</v>
      </c>
      <c r="C709" s="30" t="str">
        <f>VLOOKUP(B709,'112年全品項生產鍋數'!A:H,2,0)</f>
        <v>草莓蒟蒻餡(1*6kg)</v>
      </c>
      <c r="D709" s="287">
        <v>24</v>
      </c>
      <c r="E709" s="48">
        <f>VLOOKUP(B709,'112年全品項生產鍋數'!A:H,3,0)</f>
        <v>6</v>
      </c>
      <c r="F709" s="45">
        <f>VLOOKUP(B709,'112年全品項生產鍋數'!A:H,7,0)</f>
        <v>25.7</v>
      </c>
      <c r="G709" s="49">
        <f t="shared" si="79"/>
        <v>616.79999999999995</v>
      </c>
      <c r="H709" s="154">
        <f>295+315</f>
        <v>610</v>
      </c>
      <c r="I709" s="87">
        <f t="shared" si="76"/>
        <v>3660</v>
      </c>
      <c r="J709" s="100">
        <f t="shared" si="67"/>
        <v>0.98897535667963687</v>
      </c>
      <c r="K709" s="84">
        <f>VLOOKUP(B:B,'生產達成率(目標)'!A:C,3,0)</f>
        <v>1</v>
      </c>
      <c r="L709" s="20">
        <f t="shared" si="80"/>
        <v>-1.0999999999999999E-2</v>
      </c>
      <c r="M709" s="235"/>
      <c r="N709" s="40">
        <v>1</v>
      </c>
      <c r="O709" s="166">
        <f t="shared" si="77"/>
        <v>0</v>
      </c>
      <c r="P709" s="40">
        <f>294+315</f>
        <v>609</v>
      </c>
      <c r="Q709" s="85">
        <f t="shared" si="78"/>
        <v>0.99836065573770494</v>
      </c>
      <c r="R709" s="38"/>
      <c r="S709" s="174"/>
      <c r="T709" s="86"/>
      <c r="U709" s="23"/>
      <c r="V709" s="458"/>
      <c r="W709" s="421"/>
      <c r="X709" s="458"/>
      <c r="Y709" s="421"/>
      <c r="Z709" s="421"/>
      <c r="AA709" s="421"/>
      <c r="AB709" s="421"/>
      <c r="AC709" s="421"/>
      <c r="AD709" s="421"/>
    </row>
    <row r="710" spans="1:30" s="22" customFormat="1" x14ac:dyDescent="0.4">
      <c r="A710" s="178" t="s">
        <v>806</v>
      </c>
      <c r="B710" s="151" t="s">
        <v>96</v>
      </c>
      <c r="C710" s="30" t="str">
        <f>VLOOKUP(B710,'112年全品項生產鍋數'!A:H,2,0)</f>
        <v>PET瓶花生(1*340g)</v>
      </c>
      <c r="D710" s="287">
        <v>12</v>
      </c>
      <c r="E710" s="48">
        <f>VLOOKUP(B710,'112年全品項生產鍋數'!A:H,3,0)</f>
        <v>0.34</v>
      </c>
      <c r="F710" s="45">
        <f>VLOOKUP(B710,'112年全品項生產鍋數'!A:H,7,0)</f>
        <v>358.3</v>
      </c>
      <c r="G710" s="49">
        <f t="shared" si="79"/>
        <v>4299.6000000000004</v>
      </c>
      <c r="H710" s="154">
        <v>4178</v>
      </c>
      <c r="I710" s="87">
        <f t="shared" si="76"/>
        <v>1420.5200000000002</v>
      </c>
      <c r="J710" s="100">
        <f t="shared" si="67"/>
        <v>0.97171829937668608</v>
      </c>
      <c r="K710" s="84">
        <f>VLOOKUP(B:B,'生產達成率(目標)'!A:C,3,0)</f>
        <v>1</v>
      </c>
      <c r="L710" s="20">
        <f t="shared" si="80"/>
        <v>-2.8000000000000001E-2</v>
      </c>
      <c r="M710" s="235"/>
      <c r="N710" s="40">
        <v>1</v>
      </c>
      <c r="O710" s="166">
        <f t="shared" si="77"/>
        <v>2</v>
      </c>
      <c r="P710" s="40">
        <v>4175</v>
      </c>
      <c r="Q710" s="85">
        <f t="shared" si="78"/>
        <v>0.9992819530876017</v>
      </c>
      <c r="R710" s="38"/>
      <c r="S710" s="174"/>
      <c r="T710" s="86"/>
      <c r="U710" s="23"/>
      <c r="V710" s="458"/>
      <c r="W710" s="421"/>
      <c r="X710" s="458"/>
      <c r="Y710" s="421"/>
      <c r="Z710" s="421"/>
      <c r="AA710" s="421"/>
      <c r="AB710" s="421"/>
      <c r="AC710" s="421"/>
      <c r="AD710" s="421"/>
    </row>
    <row r="711" spans="1:30" s="22" customFormat="1" x14ac:dyDescent="0.4">
      <c r="A711" s="178" t="s">
        <v>806</v>
      </c>
      <c r="B711" s="151" t="s">
        <v>66</v>
      </c>
      <c r="C711" s="30" t="str">
        <f>VLOOKUP(B711,'112年全品項生產鍋數'!A:H,2,0)</f>
        <v>＃2花生(1*800g)</v>
      </c>
      <c r="D711" s="287">
        <v>24</v>
      </c>
      <c r="E711" s="48">
        <f>VLOOKUP(B711,'112年全品項生產鍋數'!A:H,3,0)</f>
        <v>0.8</v>
      </c>
      <c r="F711" s="45">
        <f>VLOOKUP(B711,'112年全品項生產鍋數'!A:H,7,0)</f>
        <v>157.69999999999999</v>
      </c>
      <c r="G711" s="49">
        <f t="shared" si="79"/>
        <v>3784.7999999999997</v>
      </c>
      <c r="H711" s="154">
        <v>2552</v>
      </c>
      <c r="I711" s="87">
        <f t="shared" si="76"/>
        <v>2041.6000000000001</v>
      </c>
      <c r="J711" s="100">
        <f t="shared" si="67"/>
        <v>0.67427605157471993</v>
      </c>
      <c r="K711" s="84">
        <f>VLOOKUP(B:B,'生產達成率(目標)'!A:C,3,0)</f>
        <v>1</v>
      </c>
      <c r="L711" s="20">
        <f t="shared" si="80"/>
        <v>-0.32600000000000001</v>
      </c>
      <c r="M711" s="235"/>
      <c r="N711" s="40">
        <v>2</v>
      </c>
      <c r="O711" s="166">
        <f t="shared" si="77"/>
        <v>0</v>
      </c>
      <c r="P711" s="40">
        <v>2550</v>
      </c>
      <c r="Q711" s="85">
        <f t="shared" si="78"/>
        <v>0.9992163009404389</v>
      </c>
      <c r="R711" s="38"/>
      <c r="S711" s="174"/>
      <c r="T711" s="86" t="s">
        <v>454</v>
      </c>
      <c r="U711" s="23"/>
      <c r="V711" s="458"/>
      <c r="W711" s="421"/>
      <c r="X711" s="458"/>
      <c r="Y711" s="421"/>
      <c r="Z711" s="421"/>
      <c r="AA711" s="421"/>
      <c r="AB711" s="421"/>
      <c r="AC711" s="421"/>
      <c r="AD711" s="421"/>
    </row>
    <row r="712" spans="1:30" s="22" customFormat="1" x14ac:dyDescent="0.4">
      <c r="A712" s="178" t="s">
        <v>806</v>
      </c>
      <c r="B712" s="151" t="s">
        <v>431</v>
      </c>
      <c r="C712" s="30" t="str">
        <f>VLOOKUP(B712,'112年全品項生產鍋數'!A:H,2,0)</f>
        <v>文旦丁</v>
      </c>
      <c r="D712" s="287">
        <v>1</v>
      </c>
      <c r="E712" s="48">
        <f>VLOOKUP(B712,'112年全品項生產鍋數'!A:H,3,0)</f>
        <v>1</v>
      </c>
      <c r="F712" s="45">
        <f>VLOOKUP(B712,'112年全品項生產鍋數'!A:H,7,0)</f>
        <v>243</v>
      </c>
      <c r="G712" s="49">
        <f t="shared" si="79"/>
        <v>243</v>
      </c>
      <c r="H712" s="154">
        <f>243</f>
        <v>243</v>
      </c>
      <c r="I712" s="87">
        <f t="shared" si="76"/>
        <v>243</v>
      </c>
      <c r="J712" s="100">
        <f t="shared" si="67"/>
        <v>1</v>
      </c>
      <c r="K712" s="84">
        <f>VLOOKUP(B:B,'生產達成率(目標)'!A:C,3,0)</f>
        <v>1</v>
      </c>
      <c r="L712" s="20">
        <f t="shared" si="80"/>
        <v>0</v>
      </c>
      <c r="M712" s="235"/>
      <c r="N712" s="40"/>
      <c r="O712" s="166">
        <f t="shared" si="77"/>
        <v>6</v>
      </c>
      <c r="P712" s="40">
        <v>237</v>
      </c>
      <c r="Q712" s="20">
        <f t="shared" si="78"/>
        <v>0.97530864197530864</v>
      </c>
      <c r="R712" s="38"/>
      <c r="S712" s="174"/>
      <c r="T712" s="30"/>
      <c r="U712" s="23"/>
      <c r="V712" s="458"/>
      <c r="W712" s="421"/>
      <c r="X712" s="458"/>
      <c r="Y712" s="421"/>
      <c r="Z712" s="421"/>
      <c r="AA712" s="421"/>
      <c r="AB712" s="421"/>
      <c r="AC712" s="421"/>
      <c r="AD712" s="421"/>
    </row>
    <row r="713" spans="1:30" s="22" customFormat="1" x14ac:dyDescent="0.4">
      <c r="A713" s="178" t="s">
        <v>807</v>
      </c>
      <c r="B713" s="151" t="s">
        <v>61</v>
      </c>
      <c r="C713" s="30" t="str">
        <f>VLOOKUP(B713,'112年全品項生產鍋數'!A:H,2,0)</f>
        <v>大圓草莓-新</v>
      </c>
      <c r="D713" s="287">
        <v>28</v>
      </c>
      <c r="E713" s="48">
        <f>VLOOKUP(B713,'112年全品項生產鍋數'!A:H,3,0)</f>
        <v>0.44</v>
      </c>
      <c r="F713" s="45">
        <f>VLOOKUP(B713,'112年全品項生產鍋數'!A:H,7,0)</f>
        <v>344</v>
      </c>
      <c r="G713" s="49">
        <f t="shared" si="79"/>
        <v>9632</v>
      </c>
      <c r="H713" s="154">
        <v>9547</v>
      </c>
      <c r="I713" s="87">
        <f t="shared" si="76"/>
        <v>4200.68</v>
      </c>
      <c r="J713" s="100">
        <f t="shared" si="67"/>
        <v>0.99117524916943522</v>
      </c>
      <c r="K713" s="84">
        <f>VLOOKUP(B:B,'生產達成率(目標)'!A:C,3,0)</f>
        <v>1</v>
      </c>
      <c r="L713" s="20">
        <f t="shared" si="80"/>
        <v>-8.9999999999999993E-3</v>
      </c>
      <c r="M713" s="235"/>
      <c r="N713" s="40">
        <v>1</v>
      </c>
      <c r="O713" s="166">
        <f t="shared" si="77"/>
        <v>5</v>
      </c>
      <c r="P713" s="40">
        <v>9541</v>
      </c>
      <c r="Q713" s="85">
        <f t="shared" si="78"/>
        <v>0.99937153032366188</v>
      </c>
      <c r="R713" s="38"/>
      <c r="S713" s="174"/>
      <c r="T713" s="86" t="s">
        <v>455</v>
      </c>
      <c r="U713" s="23"/>
      <c r="V713" s="458"/>
      <c r="W713" s="421"/>
      <c r="X713" s="458"/>
      <c r="Y713" s="421"/>
      <c r="Z713" s="421"/>
      <c r="AA713" s="421"/>
      <c r="AB713" s="421"/>
      <c r="AC713" s="421"/>
      <c r="AD713" s="421"/>
    </row>
    <row r="714" spans="1:30" s="22" customFormat="1" x14ac:dyDescent="0.4">
      <c r="A714" s="178" t="s">
        <v>807</v>
      </c>
      <c r="B714" s="151" t="s">
        <v>456</v>
      </c>
      <c r="C714" s="30" t="str">
        <f>VLOOKUP(B714,'112年全品項生產鍋數'!A:H,2,0)</f>
        <v>桑椹果醬(1*190g)</v>
      </c>
      <c r="D714" s="287">
        <v>3</v>
      </c>
      <c r="E714" s="48">
        <f>VLOOKUP(B714,'112年全品項生產鍋數'!A:H,3,0)</f>
        <v>0.19</v>
      </c>
      <c r="F714" s="45">
        <f>VLOOKUP(B714,'112年全品項生產鍋數'!A:H,7,0)</f>
        <v>759.3</v>
      </c>
      <c r="G714" s="49">
        <f t="shared" si="79"/>
        <v>2277.8999999999996</v>
      </c>
      <c r="H714" s="154">
        <v>2262</v>
      </c>
      <c r="I714" s="87">
        <f t="shared" si="76"/>
        <v>429.78000000000003</v>
      </c>
      <c r="J714" s="100">
        <f t="shared" si="67"/>
        <v>0.99301988673778496</v>
      </c>
      <c r="K714" s="84">
        <f>VLOOKUP(B:B,'生產達成率(目標)'!A:C,3,0)</f>
        <v>1</v>
      </c>
      <c r="L714" s="20">
        <f t="shared" si="80"/>
        <v>-7.0000000000000001E-3</v>
      </c>
      <c r="M714" s="235"/>
      <c r="N714" s="40">
        <v>1</v>
      </c>
      <c r="O714" s="166">
        <f t="shared" si="77"/>
        <v>7</v>
      </c>
      <c r="P714" s="40">
        <v>2254</v>
      </c>
      <c r="Q714" s="20">
        <f t="shared" si="78"/>
        <v>0.99646330680813444</v>
      </c>
      <c r="R714" s="38"/>
      <c r="S714" s="174"/>
      <c r="T714" s="86"/>
      <c r="U714" s="23"/>
      <c r="V714" s="458"/>
      <c r="W714" s="421"/>
      <c r="X714" s="458"/>
      <c r="Y714" s="421"/>
      <c r="Z714" s="421"/>
      <c r="AA714" s="421"/>
      <c r="AB714" s="421"/>
      <c r="AC714" s="421"/>
      <c r="AD714" s="421"/>
    </row>
    <row r="715" spans="1:30" s="22" customFormat="1" ht="15.75" customHeight="1" x14ac:dyDescent="0.4">
      <c r="A715" s="178" t="s">
        <v>807</v>
      </c>
      <c r="B715" s="151" t="s">
        <v>73</v>
      </c>
      <c r="C715" s="30" t="str">
        <f>VLOOKUP(B715,'112年全品項生產鍋數'!A:H,2,0)</f>
        <v>顆粒花生醬(1*12KG)</v>
      </c>
      <c r="D715" s="287">
        <v>21</v>
      </c>
      <c r="E715" s="48">
        <f>VLOOKUP(B715,'112年全品項生產鍋數'!A:H,3,0)</f>
        <v>3</v>
      </c>
      <c r="F715" s="45">
        <f>VLOOKUP(B715,'112年全品項生產鍋數'!A:H,7,0)</f>
        <v>29.7</v>
      </c>
      <c r="G715" s="49">
        <f t="shared" si="79"/>
        <v>623.69999999999993</v>
      </c>
      <c r="H715" s="154">
        <v>628</v>
      </c>
      <c r="I715" s="87">
        <f t="shared" si="76"/>
        <v>1884</v>
      </c>
      <c r="J715" s="100">
        <f t="shared" si="67"/>
        <v>1.0068943402276738</v>
      </c>
      <c r="K715" s="84">
        <f>VLOOKUP(B:B,'生產達成率(目標)'!A:C,3,0)</f>
        <v>1</v>
      </c>
      <c r="L715" s="20">
        <f t="shared" si="80"/>
        <v>7.0000000000000001E-3</v>
      </c>
      <c r="M715" s="235"/>
      <c r="N715" s="40">
        <v>0</v>
      </c>
      <c r="O715" s="166">
        <f t="shared" si="77"/>
        <v>0</v>
      </c>
      <c r="P715" s="40">
        <v>628</v>
      </c>
      <c r="Q715" s="85">
        <f t="shared" si="78"/>
        <v>1</v>
      </c>
      <c r="R715" s="38"/>
      <c r="S715" s="174"/>
      <c r="T715" s="30"/>
      <c r="U715" s="23"/>
      <c r="V715" s="458"/>
      <c r="W715" s="421"/>
      <c r="X715" s="458"/>
      <c r="Y715" s="421"/>
      <c r="Z715" s="421"/>
      <c r="AA715" s="421"/>
      <c r="AB715" s="421"/>
      <c r="AC715" s="421"/>
      <c r="AD715" s="421"/>
    </row>
    <row r="716" spans="1:30" s="22" customFormat="1" x14ac:dyDescent="0.4">
      <c r="A716" s="178" t="s">
        <v>807</v>
      </c>
      <c r="B716" s="151" t="s">
        <v>123</v>
      </c>
      <c r="C716" s="30" t="str">
        <f>VLOOKUP(B716,'112年全品項生產鍋數'!A:H,2,0)</f>
        <v>深烤焙花生醬(1*18KG)</v>
      </c>
      <c r="D716" s="287">
        <v>60</v>
      </c>
      <c r="E716" s="48">
        <f>VLOOKUP(B716,'112年全品項生產鍋數'!A:H,3,0)</f>
        <v>18</v>
      </c>
      <c r="F716" s="45">
        <f>VLOOKUP(B716,'112年全品項生產鍋數'!A:H,7,0)</f>
        <v>6.9</v>
      </c>
      <c r="G716" s="49">
        <f t="shared" si="79"/>
        <v>414</v>
      </c>
      <c r="H716" s="154">
        <v>406</v>
      </c>
      <c r="I716" s="87">
        <f t="shared" si="76"/>
        <v>7308</v>
      </c>
      <c r="J716" s="100">
        <f t="shared" si="67"/>
        <v>0.98067632850241548</v>
      </c>
      <c r="K716" s="84">
        <f>VLOOKUP(B:B,'生產達成率(目標)'!A:C,3,0)</f>
        <v>1</v>
      </c>
      <c r="L716" s="20">
        <f t="shared" si="80"/>
        <v>-1.9E-2</v>
      </c>
      <c r="M716" s="235"/>
      <c r="N716" s="40">
        <v>1</v>
      </c>
      <c r="O716" s="166">
        <f t="shared" si="77"/>
        <v>-1</v>
      </c>
      <c r="P716" s="40">
        <v>406</v>
      </c>
      <c r="Q716" s="85">
        <f t="shared" si="78"/>
        <v>1</v>
      </c>
      <c r="R716" s="38"/>
      <c r="S716" s="174"/>
      <c r="T716" s="86"/>
      <c r="U716" s="23"/>
      <c r="V716" s="458"/>
      <c r="W716" s="421"/>
      <c r="X716" s="458"/>
      <c r="Y716" s="421"/>
      <c r="Z716" s="421"/>
      <c r="AA716" s="421"/>
      <c r="AB716" s="421"/>
      <c r="AC716" s="421"/>
      <c r="AD716" s="421"/>
    </row>
    <row r="717" spans="1:30" s="22" customFormat="1" x14ac:dyDescent="0.4">
      <c r="A717" s="178" t="s">
        <v>808</v>
      </c>
      <c r="B717" s="151" t="s">
        <v>86</v>
      </c>
      <c r="C717" s="30" t="str">
        <f>VLOOKUP(B717,'112年全品項生產鍋數'!A:H,2,0)</f>
        <v>＃2藍莓(1*900g)</v>
      </c>
      <c r="D717" s="287">
        <v>40</v>
      </c>
      <c r="E717" s="48">
        <f>VLOOKUP(B717,'112年全品項生產鍋數'!A:H,3,0)</f>
        <v>0.9</v>
      </c>
      <c r="F717" s="45">
        <f>VLOOKUP(B717,'112年全品項生產鍋數'!A:H,7,0)</f>
        <v>163</v>
      </c>
      <c r="G717" s="49">
        <f t="shared" si="79"/>
        <v>6520</v>
      </c>
      <c r="H717" s="154">
        <v>6897</v>
      </c>
      <c r="I717" s="87">
        <f t="shared" si="76"/>
        <v>6207.3</v>
      </c>
      <c r="J717" s="100">
        <f t="shared" si="67"/>
        <v>1.0578220858895706</v>
      </c>
      <c r="K717" s="84">
        <f>VLOOKUP(B:B,'生產達成率(目標)'!A:C,3,0)</f>
        <v>1</v>
      </c>
      <c r="L717" s="20">
        <f t="shared" si="80"/>
        <v>5.8000000000000003E-2</v>
      </c>
      <c r="M717" s="235"/>
      <c r="N717" s="40">
        <v>8</v>
      </c>
      <c r="O717" s="166">
        <f t="shared" si="77"/>
        <v>0</v>
      </c>
      <c r="P717" s="40">
        <v>6889</v>
      </c>
      <c r="Q717" s="85">
        <f t="shared" si="78"/>
        <v>0.99884007539509934</v>
      </c>
      <c r="R717" s="38"/>
      <c r="S717" s="173">
        <f>20*6</f>
        <v>120</v>
      </c>
      <c r="T717" s="30" t="s">
        <v>941</v>
      </c>
      <c r="U717" s="23"/>
      <c r="V717" s="458"/>
      <c r="W717" s="421"/>
      <c r="X717" s="458"/>
      <c r="Y717" s="421"/>
      <c r="Z717" s="421"/>
      <c r="AA717" s="421"/>
      <c r="AB717" s="421"/>
      <c r="AC717" s="421"/>
      <c r="AD717" s="421"/>
    </row>
    <row r="718" spans="1:30" s="22" customFormat="1" x14ac:dyDescent="0.4">
      <c r="A718" s="178" t="s">
        <v>808</v>
      </c>
      <c r="B718" s="151" t="s">
        <v>88</v>
      </c>
      <c r="C718" s="30" t="str">
        <f>VLOOKUP(B718,'112年全品項生產鍋數'!A:H,2,0)</f>
        <v>草莓餡(1*6KG)</v>
      </c>
      <c r="D718" s="287">
        <v>16</v>
      </c>
      <c r="E718" s="48">
        <f>VLOOKUP(B718,'112年全品項生產鍋數'!A:H,3,0)</f>
        <v>6</v>
      </c>
      <c r="F718" s="45">
        <f>VLOOKUP(B718,'112年全品項生產鍋數'!A:H,7,0)</f>
        <v>25.5</v>
      </c>
      <c r="G718" s="49">
        <f t="shared" si="79"/>
        <v>408</v>
      </c>
      <c r="H718" s="154">
        <v>408</v>
      </c>
      <c r="I718" s="87">
        <f t="shared" si="76"/>
        <v>2448</v>
      </c>
      <c r="J718" s="100">
        <f t="shared" si="67"/>
        <v>1</v>
      </c>
      <c r="K718" s="84">
        <f>VLOOKUP(B:B,'生產達成率(目標)'!A:C,3,0)</f>
        <v>1</v>
      </c>
      <c r="L718" s="20">
        <f t="shared" si="80"/>
        <v>0</v>
      </c>
      <c r="M718" s="235"/>
      <c r="N718" s="40">
        <v>1</v>
      </c>
      <c r="O718" s="166">
        <f t="shared" si="77"/>
        <v>1</v>
      </c>
      <c r="P718" s="40">
        <v>406</v>
      </c>
      <c r="Q718" s="85">
        <f t="shared" si="78"/>
        <v>0.99509803921568629</v>
      </c>
      <c r="R718" s="38"/>
      <c r="S718" s="174"/>
      <c r="T718" s="86"/>
      <c r="U718" s="23"/>
      <c r="V718" s="458"/>
      <c r="W718" s="421"/>
      <c r="X718" s="458"/>
      <c r="Y718" s="421"/>
      <c r="Z718" s="421"/>
      <c r="AA718" s="421"/>
      <c r="AB718" s="421"/>
      <c r="AC718" s="421"/>
      <c r="AD718" s="421"/>
    </row>
    <row r="719" spans="1:30" s="22" customFormat="1" x14ac:dyDescent="0.4">
      <c r="A719" s="178" t="s">
        <v>808</v>
      </c>
      <c r="B719" s="151" t="s">
        <v>63</v>
      </c>
      <c r="C719" s="30" t="str">
        <f>VLOOKUP(B719,'112年全品項生產鍋數'!A:H,2,0)</f>
        <v>草莓蒟蒻餡(1*6kg)</v>
      </c>
      <c r="D719" s="287">
        <v>24</v>
      </c>
      <c r="E719" s="48">
        <f>VLOOKUP(B719,'112年全品項生產鍋數'!A:H,3,0)</f>
        <v>6</v>
      </c>
      <c r="F719" s="45">
        <f>VLOOKUP(B719,'112年全品項生產鍋數'!A:H,7,0)</f>
        <v>25.7</v>
      </c>
      <c r="G719" s="49">
        <f t="shared" si="79"/>
        <v>616.79999999999995</v>
      </c>
      <c r="H719" s="154">
        <f>300+316</f>
        <v>616</v>
      </c>
      <c r="I719" s="87">
        <f t="shared" si="76"/>
        <v>3696</v>
      </c>
      <c r="J719" s="100">
        <f t="shared" si="67"/>
        <v>0.99870298313878092</v>
      </c>
      <c r="K719" s="84">
        <f>VLOOKUP(B:B,'生產達成率(目標)'!A:C,3,0)</f>
        <v>1</v>
      </c>
      <c r="L719" s="20">
        <f t="shared" si="80"/>
        <v>-1E-3</v>
      </c>
      <c r="M719" s="235"/>
      <c r="N719" s="40">
        <v>1</v>
      </c>
      <c r="O719" s="166">
        <f t="shared" si="77"/>
        <v>0</v>
      </c>
      <c r="P719" s="40">
        <f>299+316</f>
        <v>615</v>
      </c>
      <c r="Q719" s="85">
        <f t="shared" si="78"/>
        <v>0.99837662337662336</v>
      </c>
      <c r="R719" s="38"/>
      <c r="S719" s="174"/>
      <c r="T719" s="86"/>
      <c r="U719" s="23"/>
      <c r="V719" s="458"/>
      <c r="W719" s="421"/>
      <c r="X719" s="458"/>
      <c r="Y719" s="421"/>
      <c r="Z719" s="421"/>
      <c r="AA719" s="421"/>
      <c r="AB719" s="421"/>
      <c r="AC719" s="421"/>
      <c r="AD719" s="421"/>
    </row>
    <row r="720" spans="1:30" s="22" customFormat="1" x14ac:dyDescent="0.4">
      <c r="A720" s="178" t="s">
        <v>808</v>
      </c>
      <c r="B720" s="151" t="s">
        <v>65</v>
      </c>
      <c r="C720" s="30" t="str">
        <f>VLOOKUP(B720,'112年全品項生產鍋數'!A:H,2,0)</f>
        <v>＃1花生(1*2.8kg)</v>
      </c>
      <c r="D720" s="287">
        <v>56</v>
      </c>
      <c r="E720" s="48">
        <f>VLOOKUP(B720,'112年全品項生產鍋數'!A:H,3,0)</f>
        <v>2.8</v>
      </c>
      <c r="F720" s="45">
        <f>VLOOKUP(B720,'112年全品項生產鍋數'!A:H,7,0)</f>
        <v>44.5</v>
      </c>
      <c r="G720" s="49">
        <f t="shared" si="79"/>
        <v>2492</v>
      </c>
      <c r="H720" s="154">
        <v>2563</v>
      </c>
      <c r="I720" s="87">
        <f t="shared" si="76"/>
        <v>7176.4</v>
      </c>
      <c r="J720" s="100">
        <f t="shared" si="67"/>
        <v>1.0284911717495988</v>
      </c>
      <c r="K720" s="84">
        <f>VLOOKUP(B:B,'生產達成率(目標)'!A:C,3,0)</f>
        <v>1</v>
      </c>
      <c r="L720" s="20">
        <f t="shared" si="80"/>
        <v>2.8000000000000001E-2</v>
      </c>
      <c r="M720" s="235"/>
      <c r="N720" s="40">
        <v>1</v>
      </c>
      <c r="O720" s="166">
        <f t="shared" si="77"/>
        <v>0</v>
      </c>
      <c r="P720" s="40">
        <v>2562</v>
      </c>
      <c r="Q720" s="85">
        <f t="shared" si="78"/>
        <v>0.99960983222785793</v>
      </c>
      <c r="R720" s="38"/>
      <c r="S720" s="174"/>
      <c r="T720" s="86"/>
      <c r="U720" s="23"/>
      <c r="V720" s="458"/>
      <c r="W720" s="421"/>
      <c r="X720" s="458"/>
      <c r="Y720" s="421"/>
      <c r="Z720" s="421"/>
      <c r="AA720" s="421"/>
      <c r="AB720" s="421"/>
      <c r="AC720" s="421"/>
      <c r="AD720" s="421"/>
    </row>
    <row r="721" spans="1:30" s="22" customFormat="1" x14ac:dyDescent="0.4">
      <c r="A721" s="178" t="s">
        <v>808</v>
      </c>
      <c r="B721" s="151" t="s">
        <v>356</v>
      </c>
      <c r="C721" s="30" t="str">
        <f>VLOOKUP(B721,'112年全品項生產鍋數'!A:H,2,0)</f>
        <v>花生醬(1*18KG)</v>
      </c>
      <c r="D721" s="287">
        <v>16</v>
      </c>
      <c r="E721" s="48">
        <f>VLOOKUP(B721,'112年全品項生產鍋數'!A:H,3,0)</f>
        <v>18</v>
      </c>
      <c r="F721" s="45">
        <f>VLOOKUP(B721,'112年全品項生產鍋數'!A:H,7,0)</f>
        <v>6.6</v>
      </c>
      <c r="G721" s="49">
        <f t="shared" si="79"/>
        <v>105.6</v>
      </c>
      <c r="H721" s="154">
        <v>109</v>
      </c>
      <c r="I721" s="87">
        <f t="shared" si="76"/>
        <v>1962</v>
      </c>
      <c r="J721" s="100">
        <f t="shared" si="67"/>
        <v>1.0321969696969697</v>
      </c>
      <c r="K721" s="84">
        <f>VLOOKUP(B:B,'生產達成率(目標)'!A:C,3,0)</f>
        <v>1</v>
      </c>
      <c r="L721" s="20">
        <f t="shared" si="80"/>
        <v>3.2000000000000001E-2</v>
      </c>
      <c r="M721" s="235"/>
      <c r="N721" s="40">
        <v>0</v>
      </c>
      <c r="O721" s="166">
        <f t="shared" si="77"/>
        <v>0</v>
      </c>
      <c r="P721" s="40">
        <v>109</v>
      </c>
      <c r="Q721" s="85">
        <f t="shared" si="78"/>
        <v>1</v>
      </c>
      <c r="R721" s="38"/>
      <c r="S721" s="174"/>
      <c r="T721" s="30"/>
      <c r="U721" s="23"/>
      <c r="V721" s="458"/>
      <c r="W721" s="421"/>
      <c r="X721" s="458"/>
      <c r="Y721" s="421"/>
      <c r="Z721" s="421"/>
      <c r="AA721" s="421"/>
      <c r="AB721" s="421"/>
      <c r="AC721" s="421"/>
      <c r="AD721" s="421"/>
    </row>
    <row r="722" spans="1:30" s="22" customFormat="1" ht="119" x14ac:dyDescent="0.4">
      <c r="A722" s="178" t="s">
        <v>809</v>
      </c>
      <c r="B722" s="149" t="s">
        <v>11</v>
      </c>
      <c r="C722" s="30" t="str">
        <f>VLOOKUP(B722,'112年全品項生產鍋數'!A:H,2,0)</f>
        <v>#2草莓果醬(1*900g)</v>
      </c>
      <c r="D722" s="287">
        <v>8</v>
      </c>
      <c r="E722" s="48">
        <f>VLOOKUP(B722,'112年全品項生產鍋數'!A:H,3,0)</f>
        <v>0.9</v>
      </c>
      <c r="F722" s="45">
        <f>VLOOKUP(B722,'112年全品項生產鍋數'!A:H,7,0)</f>
        <v>160.5</v>
      </c>
      <c r="G722" s="49">
        <f t="shared" si="79"/>
        <v>1284</v>
      </c>
      <c r="H722" s="154">
        <v>1180</v>
      </c>
      <c r="I722" s="87">
        <f t="shared" si="76"/>
        <v>1062</v>
      </c>
      <c r="J722" s="100">
        <f t="shared" si="67"/>
        <v>0.9190031152647975</v>
      </c>
      <c r="K722" s="84">
        <f>VLOOKUP(B:B,'生產達成率(目標)'!A:C,3,0)</f>
        <v>1</v>
      </c>
      <c r="L722" s="20">
        <f t="shared" si="80"/>
        <v>-8.1000000000000003E-2</v>
      </c>
      <c r="M722" s="235"/>
      <c r="N722" s="40">
        <v>0</v>
      </c>
      <c r="O722" s="166">
        <f t="shared" si="77"/>
        <v>0</v>
      </c>
      <c r="P722" s="40">
        <v>1180</v>
      </c>
      <c r="Q722" s="85">
        <f t="shared" si="78"/>
        <v>1</v>
      </c>
      <c r="R722" s="38" t="s">
        <v>457</v>
      </c>
      <c r="S722" s="174"/>
      <c r="T722" s="88" t="s">
        <v>458</v>
      </c>
      <c r="U722" s="23"/>
      <c r="V722" s="458"/>
      <c r="W722" s="421"/>
      <c r="X722" s="458"/>
      <c r="Y722" s="421"/>
      <c r="Z722" s="421"/>
      <c r="AA722" s="421"/>
      <c r="AB722" s="421"/>
      <c r="AC722" s="421"/>
      <c r="AD722" s="421"/>
    </row>
    <row r="723" spans="1:30" s="22" customFormat="1" ht="119" x14ac:dyDescent="0.4">
      <c r="A723" s="178" t="s">
        <v>809</v>
      </c>
      <c r="B723" s="151" t="s">
        <v>12</v>
      </c>
      <c r="C723" s="30" t="str">
        <f>VLOOKUP(B723,'112年全品項生產鍋數'!A:H,2,0)</f>
        <v>＃1草莓(1*3.2kg)</v>
      </c>
      <c r="D723" s="287">
        <v>16</v>
      </c>
      <c r="E723" s="48">
        <f>VLOOKUP(B723,'112年全品項生產鍋數'!A:H,3,0)</f>
        <v>3.2</v>
      </c>
      <c r="F723" s="45">
        <f>VLOOKUP(B723,'112年全品項生產鍋數'!A:H,7,0)</f>
        <v>46.8</v>
      </c>
      <c r="G723" s="49">
        <f t="shared" si="79"/>
        <v>748.8</v>
      </c>
      <c r="H723" s="154">
        <v>769</v>
      </c>
      <c r="I723" s="87">
        <f t="shared" si="76"/>
        <v>2460.8000000000002</v>
      </c>
      <c r="J723" s="100">
        <f t="shared" si="67"/>
        <v>1.0269764957264957</v>
      </c>
      <c r="K723" s="84">
        <f>VLOOKUP(B:B,'生產達成率(目標)'!A:C,3,0)</f>
        <v>1</v>
      </c>
      <c r="L723" s="20">
        <f t="shared" si="80"/>
        <v>2.7E-2</v>
      </c>
      <c r="M723" s="235"/>
      <c r="N723" s="40">
        <v>1</v>
      </c>
      <c r="O723" s="166">
        <f t="shared" si="77"/>
        <v>0</v>
      </c>
      <c r="P723" s="40">
        <v>768</v>
      </c>
      <c r="Q723" s="85">
        <f t="shared" si="78"/>
        <v>0.99869960988296491</v>
      </c>
      <c r="R723" s="38" t="s">
        <v>457</v>
      </c>
      <c r="S723" s="174"/>
      <c r="T723" s="88" t="s">
        <v>458</v>
      </c>
      <c r="U723" s="23"/>
      <c r="V723" s="458"/>
      <c r="W723" s="421"/>
      <c r="X723" s="458"/>
      <c r="Y723" s="421"/>
      <c r="Z723" s="421"/>
      <c r="AA723" s="421"/>
      <c r="AB723" s="421"/>
      <c r="AC723" s="421"/>
      <c r="AD723" s="421"/>
    </row>
    <row r="724" spans="1:30" s="22" customFormat="1" x14ac:dyDescent="0.4">
      <c r="A724" s="86" t="s">
        <v>809</v>
      </c>
      <c r="B724" s="151" t="s">
        <v>158</v>
      </c>
      <c r="C724" s="30" t="str">
        <f>VLOOKUP(B724,'112年全品項生產鍋數'!A:H,2,0)</f>
        <v>小圓草莓(1*170g)</v>
      </c>
      <c r="D724" s="287">
        <v>8</v>
      </c>
      <c r="E724" s="48">
        <f>VLOOKUP(B724,'112年全品項生產鍋數'!A:H,3,0)</f>
        <v>0.17</v>
      </c>
      <c r="F724" s="45">
        <f>VLOOKUP(B724,'112年全品項生產鍋數'!A:H,7,0)</f>
        <v>912.6</v>
      </c>
      <c r="G724" s="49">
        <f t="shared" si="79"/>
        <v>7300.8</v>
      </c>
      <c r="H724" s="154">
        <v>7393</v>
      </c>
      <c r="I724" s="87">
        <f t="shared" si="76"/>
        <v>1256.8100000000002</v>
      </c>
      <c r="J724" s="100">
        <f t="shared" si="67"/>
        <v>1.0126287530133684</v>
      </c>
      <c r="K724" s="84">
        <f>VLOOKUP(B:B,'生產達成率(目標)'!A:C,3,0)</f>
        <v>1</v>
      </c>
      <c r="L724" s="20">
        <f t="shared" si="80"/>
        <v>1.2999999999999999E-2</v>
      </c>
      <c r="M724" s="235"/>
      <c r="N724" s="40">
        <v>1</v>
      </c>
      <c r="O724" s="166">
        <f t="shared" si="77"/>
        <v>3</v>
      </c>
      <c r="P724" s="40">
        <v>7389</v>
      </c>
      <c r="Q724" s="85">
        <f t="shared" si="78"/>
        <v>0.99945894765318544</v>
      </c>
      <c r="R724" s="38"/>
      <c r="S724" s="174"/>
      <c r="T724" s="86"/>
      <c r="U724" s="23"/>
      <c r="V724" s="458"/>
      <c r="W724" s="421"/>
      <c r="X724" s="458"/>
      <c r="Y724" s="421"/>
      <c r="Z724" s="421"/>
      <c r="AA724" s="421"/>
      <c r="AB724" s="421"/>
      <c r="AC724" s="421"/>
      <c r="AD724" s="421"/>
    </row>
    <row r="725" spans="1:30" s="22" customFormat="1" x14ac:dyDescent="0.4">
      <c r="A725" s="86" t="s">
        <v>809</v>
      </c>
      <c r="B725" s="151" t="s">
        <v>14</v>
      </c>
      <c r="C725" s="30" t="str">
        <f>VLOOKUP(B725,'112年全品項生產鍋數'!A:H,2,0)</f>
        <v>草莓餡50°(1*6Kg)</v>
      </c>
      <c r="D725" s="287">
        <v>8</v>
      </c>
      <c r="E725" s="48">
        <f>VLOOKUP(B725,'112年全品項生產鍋數'!A:H,3,0)</f>
        <v>6</v>
      </c>
      <c r="F725" s="45">
        <f>VLOOKUP(B725,'112年全品項生產鍋數'!A:H,7,0)</f>
        <v>25</v>
      </c>
      <c r="G725" s="49">
        <f t="shared" si="79"/>
        <v>200</v>
      </c>
      <c r="H725" s="154">
        <v>201</v>
      </c>
      <c r="I725" s="87">
        <f t="shared" si="76"/>
        <v>1206</v>
      </c>
      <c r="J725" s="100">
        <f t="shared" si="67"/>
        <v>1.0049999999999999</v>
      </c>
      <c r="K725" s="84">
        <f>VLOOKUP(B:B,'生產達成率(目標)'!A:C,3,0)</f>
        <v>1</v>
      </c>
      <c r="L725" s="20">
        <f t="shared" si="80"/>
        <v>5.0000000000000001E-3</v>
      </c>
      <c r="M725" s="235"/>
      <c r="N725" s="40">
        <v>1</v>
      </c>
      <c r="O725" s="166">
        <f t="shared" si="77"/>
        <v>0</v>
      </c>
      <c r="P725" s="40">
        <v>200</v>
      </c>
      <c r="Q725" s="85">
        <f t="shared" si="78"/>
        <v>0.99502487562189057</v>
      </c>
      <c r="R725" s="38"/>
      <c r="S725" s="174"/>
      <c r="T725" s="86"/>
      <c r="U725" s="23"/>
      <c r="V725" s="458"/>
      <c r="W725" s="421"/>
      <c r="X725" s="458"/>
      <c r="Y725" s="421"/>
      <c r="Z725" s="421"/>
      <c r="AA725" s="421"/>
      <c r="AB725" s="421"/>
      <c r="AC725" s="421"/>
      <c r="AD725" s="421"/>
    </row>
    <row r="726" spans="1:30" s="22" customFormat="1" x14ac:dyDescent="0.4">
      <c r="A726" s="86" t="s">
        <v>809</v>
      </c>
      <c r="B726" s="151" t="s">
        <v>133</v>
      </c>
      <c r="C726" s="30" t="str">
        <f>VLOOKUP(B726,'112年全品項生產鍋數'!A:H,2,0)</f>
        <v>藍莓餡(1*6KG)</v>
      </c>
      <c r="D726" s="287">
        <v>6</v>
      </c>
      <c r="E726" s="48">
        <f>VLOOKUP(B726,'112年全品項生產鍋數'!A:H,3,0)</f>
        <v>6</v>
      </c>
      <c r="F726" s="45">
        <f>VLOOKUP(B726,'112年全品項生產鍋數'!A:H,7,0)</f>
        <v>25.5</v>
      </c>
      <c r="G726" s="49">
        <f t="shared" si="79"/>
        <v>153</v>
      </c>
      <c r="H726" s="154">
        <v>154</v>
      </c>
      <c r="I726" s="87">
        <f t="shared" si="76"/>
        <v>924</v>
      </c>
      <c r="J726" s="100">
        <f t="shared" si="67"/>
        <v>1.0065359477124183</v>
      </c>
      <c r="K726" s="84">
        <f>VLOOKUP(B:B,'生產達成率(目標)'!A:C,3,0)</f>
        <v>1</v>
      </c>
      <c r="L726" s="20">
        <f t="shared" si="80"/>
        <v>7.0000000000000001E-3</v>
      </c>
      <c r="M726" s="235"/>
      <c r="N726" s="40">
        <v>1</v>
      </c>
      <c r="O726" s="166">
        <f t="shared" si="77"/>
        <v>1</v>
      </c>
      <c r="P726" s="40">
        <v>152</v>
      </c>
      <c r="Q726" s="85">
        <f t="shared" si="78"/>
        <v>0.98701298701298701</v>
      </c>
      <c r="R726" s="38"/>
      <c r="S726" s="174"/>
      <c r="T726" s="86" t="s">
        <v>439</v>
      </c>
      <c r="U726" s="23"/>
      <c r="V726" s="458"/>
      <c r="W726" s="421"/>
      <c r="X726" s="458"/>
      <c r="Y726" s="421"/>
      <c r="Z726" s="421"/>
      <c r="AA726" s="421"/>
      <c r="AB726" s="421"/>
      <c r="AC726" s="421"/>
      <c r="AD726" s="421"/>
    </row>
    <row r="727" spans="1:30" s="22" customFormat="1" x14ac:dyDescent="0.4">
      <c r="A727" s="86" t="s">
        <v>809</v>
      </c>
      <c r="B727" s="151" t="s">
        <v>63</v>
      </c>
      <c r="C727" s="30" t="str">
        <f>VLOOKUP(B727,'112年全品項生產鍋數'!A:H,2,0)</f>
        <v>草莓蒟蒻餡(1*6kg)</v>
      </c>
      <c r="D727" s="287">
        <v>24</v>
      </c>
      <c r="E727" s="48">
        <f>VLOOKUP(B727,'112年全品項生產鍋數'!A:H,3,0)</f>
        <v>6</v>
      </c>
      <c r="F727" s="45">
        <f>VLOOKUP(B727,'112年全品項生產鍋數'!A:H,7,0)</f>
        <v>25.7</v>
      </c>
      <c r="G727" s="49">
        <f t="shared" si="79"/>
        <v>616.79999999999995</v>
      </c>
      <c r="H727" s="154">
        <f>303+316</f>
        <v>619</v>
      </c>
      <c r="I727" s="87">
        <f t="shared" si="76"/>
        <v>3714</v>
      </c>
      <c r="J727" s="100">
        <f t="shared" ref="J727:J790" si="81">IF(G727=0,"無法預估數據",H727/G727)</f>
        <v>1.0035667963683528</v>
      </c>
      <c r="K727" s="84">
        <f>VLOOKUP(B:B,'生產達成率(目標)'!A:C,3,0)</f>
        <v>1</v>
      </c>
      <c r="L727" s="20">
        <f t="shared" si="80"/>
        <v>4.0000000000000001E-3</v>
      </c>
      <c r="M727" s="235"/>
      <c r="N727" s="40">
        <v>1</v>
      </c>
      <c r="O727" s="166">
        <f t="shared" si="77"/>
        <v>1</v>
      </c>
      <c r="P727" s="40">
        <f>301+316</f>
        <v>617</v>
      </c>
      <c r="Q727" s="85">
        <f t="shared" si="78"/>
        <v>0.99676898222940225</v>
      </c>
      <c r="R727" s="38"/>
      <c r="S727" s="174"/>
      <c r="T727" s="86"/>
      <c r="U727" s="23"/>
      <c r="V727" s="458"/>
      <c r="W727" s="421"/>
      <c r="X727" s="458"/>
      <c r="Y727" s="421"/>
      <c r="Z727" s="421"/>
      <c r="AA727" s="421"/>
      <c r="AB727" s="421"/>
      <c r="AC727" s="421"/>
      <c r="AD727" s="421"/>
    </row>
    <row r="728" spans="1:30" s="22" customFormat="1" x14ac:dyDescent="0.4">
      <c r="A728" s="86" t="s">
        <v>809</v>
      </c>
      <c r="B728" s="151" t="s">
        <v>65</v>
      </c>
      <c r="C728" s="30" t="str">
        <f>VLOOKUP(B728,'112年全品項生產鍋數'!A:H,2,0)</f>
        <v>＃1花生(1*2.8kg)</v>
      </c>
      <c r="D728" s="287">
        <v>72</v>
      </c>
      <c r="E728" s="48">
        <f>VLOOKUP(B728,'112年全品項生產鍋數'!A:H,3,0)</f>
        <v>2.8</v>
      </c>
      <c r="F728" s="45">
        <f>VLOOKUP(B728,'112年全品項生產鍋數'!A:H,7,0)</f>
        <v>44.5</v>
      </c>
      <c r="G728" s="49">
        <f t="shared" si="79"/>
        <v>3204</v>
      </c>
      <c r="H728" s="154">
        <f>2917</f>
        <v>2917</v>
      </c>
      <c r="I728" s="87">
        <f t="shared" si="76"/>
        <v>8167.5999999999995</v>
      </c>
      <c r="J728" s="100">
        <f t="shared" si="81"/>
        <v>0.91042446941323341</v>
      </c>
      <c r="K728" s="84">
        <f>VLOOKUP(B:B,'生產達成率(目標)'!A:C,3,0)</f>
        <v>1</v>
      </c>
      <c r="L728" s="20">
        <f t="shared" si="80"/>
        <v>-0.09</v>
      </c>
      <c r="M728" s="235"/>
      <c r="N728" s="40">
        <v>1</v>
      </c>
      <c r="O728" s="166">
        <f t="shared" si="77"/>
        <v>0</v>
      </c>
      <c r="P728" s="40">
        <v>2916</v>
      </c>
      <c r="Q728" s="85">
        <f>P728/H728</f>
        <v>0.99965718203633869</v>
      </c>
      <c r="R728" s="38"/>
      <c r="S728" s="174"/>
      <c r="T728" s="86"/>
      <c r="U728" s="23"/>
      <c r="V728" s="458"/>
      <c r="W728" s="421"/>
      <c r="X728" s="458"/>
      <c r="Y728" s="421"/>
      <c r="Z728" s="421"/>
      <c r="AA728" s="421"/>
      <c r="AB728" s="421"/>
      <c r="AC728" s="421"/>
      <c r="AD728" s="421"/>
    </row>
    <row r="729" spans="1:30" s="22" customFormat="1" x14ac:dyDescent="0.4">
      <c r="A729" s="178" t="s">
        <v>810</v>
      </c>
      <c r="B729" s="149" t="s">
        <v>87</v>
      </c>
      <c r="C729" s="30" t="str">
        <f>VLOOKUP(B729,'112年全品項生產鍋數'!A:H,2,0)</f>
        <v>＃1藍莓(1*3.2kg)</v>
      </c>
      <c r="D729" s="287">
        <v>72</v>
      </c>
      <c r="E729" s="48">
        <f>VLOOKUP(B729,'112年全品項生產鍋數'!A:H,3,0)</f>
        <v>3.2</v>
      </c>
      <c r="F729" s="45">
        <f>VLOOKUP(B729,'112年全品項生產鍋數'!A:H,7,0)</f>
        <v>47.5</v>
      </c>
      <c r="G729" s="49">
        <f t="shared" si="79"/>
        <v>3420</v>
      </c>
      <c r="H729" s="154">
        <v>3533</v>
      </c>
      <c r="I729" s="87">
        <f t="shared" si="76"/>
        <v>11305.6</v>
      </c>
      <c r="J729" s="100">
        <f t="shared" si="81"/>
        <v>1.0330409356725145</v>
      </c>
      <c r="K729" s="84">
        <f>VLOOKUP(B:B,'生產達成率(目標)'!A:C,3,0)</f>
        <v>1</v>
      </c>
      <c r="L729" s="20">
        <f t="shared" si="80"/>
        <v>3.3000000000000002E-2</v>
      </c>
      <c r="M729" s="235"/>
      <c r="N729" s="40">
        <v>2</v>
      </c>
      <c r="O729" s="166">
        <f t="shared" si="77"/>
        <v>0</v>
      </c>
      <c r="P729" s="40">
        <v>3531</v>
      </c>
      <c r="Q729" s="85">
        <f t="shared" ref="Q729:Q792" si="82">P729/H729</f>
        <v>0.99943390885932637</v>
      </c>
      <c r="R729" s="38"/>
      <c r="S729" s="173">
        <f>36*6</f>
        <v>216</v>
      </c>
      <c r="T729" s="30" t="s">
        <v>940</v>
      </c>
      <c r="U729" s="23"/>
      <c r="V729" s="458"/>
      <c r="W729" s="421"/>
      <c r="X729" s="458"/>
      <c r="Y729" s="421"/>
      <c r="Z729" s="421"/>
      <c r="AA729" s="421"/>
      <c r="AB729" s="421"/>
      <c r="AC729" s="421"/>
      <c r="AD729" s="421"/>
    </row>
    <row r="730" spans="1:30" s="22" customFormat="1" x14ac:dyDescent="0.4">
      <c r="A730" s="178" t="s">
        <v>810</v>
      </c>
      <c r="B730" s="151" t="s">
        <v>116</v>
      </c>
      <c r="C730" s="30" t="str">
        <f>VLOOKUP(B730,'112年全品項生產鍋數'!A:H,2,0)</f>
        <v>藍莓餡（大）(1*9.08kg)</v>
      </c>
      <c r="D730" s="287">
        <v>16</v>
      </c>
      <c r="E730" s="48">
        <f>VLOOKUP(B730,'112年全品項生產鍋數'!A:H,3,0)</f>
        <v>9.08</v>
      </c>
      <c r="F730" s="45">
        <f>VLOOKUP(B730,'112年全品項生產鍋數'!A:H,7,0)</f>
        <v>17.8</v>
      </c>
      <c r="G730" s="49">
        <f t="shared" si="79"/>
        <v>284.8</v>
      </c>
      <c r="H730" s="154">
        <v>286</v>
      </c>
      <c r="I730" s="87">
        <f t="shared" si="76"/>
        <v>2596.88</v>
      </c>
      <c r="J730" s="100">
        <f t="shared" si="81"/>
        <v>1.0042134831460674</v>
      </c>
      <c r="K730" s="84">
        <f>VLOOKUP(B:B,'生產達成率(目標)'!A:C,3,0)</f>
        <v>1</v>
      </c>
      <c r="L730" s="20">
        <f t="shared" si="80"/>
        <v>4.0000000000000001E-3</v>
      </c>
      <c r="M730" s="235"/>
      <c r="N730" s="40">
        <v>0</v>
      </c>
      <c r="O730" s="166">
        <f t="shared" si="77"/>
        <v>0</v>
      </c>
      <c r="P730" s="40">
        <v>286</v>
      </c>
      <c r="Q730" s="85">
        <f t="shared" si="82"/>
        <v>1</v>
      </c>
      <c r="R730" s="38"/>
      <c r="S730" s="174"/>
      <c r="T730" s="86"/>
      <c r="U730" s="23"/>
      <c r="V730" s="458"/>
      <c r="W730" s="421"/>
      <c r="X730" s="458"/>
      <c r="Y730" s="421"/>
      <c r="Z730" s="421"/>
      <c r="AA730" s="421"/>
      <c r="AB730" s="421"/>
      <c r="AC730" s="421"/>
      <c r="AD730" s="421"/>
    </row>
    <row r="731" spans="1:30" s="22" customFormat="1" x14ac:dyDescent="0.4">
      <c r="A731" s="178" t="s">
        <v>810</v>
      </c>
      <c r="B731" s="151" t="s">
        <v>64</v>
      </c>
      <c r="C731" s="30" t="str">
        <f>VLOOKUP(B731,'112年全品項生產鍋數'!A:H,2,0)</f>
        <v>藍莓餡(1*6KG)</v>
      </c>
      <c r="D731" s="287">
        <v>20</v>
      </c>
      <c r="E731" s="48">
        <f>VLOOKUP(B731,'112年全品項生產鍋數'!A:H,3,0)</f>
        <v>6</v>
      </c>
      <c r="F731" s="45">
        <f>VLOOKUP(B731,'112年全品項生產鍋數'!A:H,7,0)</f>
        <v>25.4</v>
      </c>
      <c r="G731" s="49">
        <f t="shared" si="79"/>
        <v>508</v>
      </c>
      <c r="H731" s="154">
        <f>299+210</f>
        <v>509</v>
      </c>
      <c r="I731" s="87">
        <f t="shared" si="76"/>
        <v>3054</v>
      </c>
      <c r="J731" s="100">
        <f t="shared" si="81"/>
        <v>1.0019685039370079</v>
      </c>
      <c r="K731" s="84">
        <f>VLOOKUP(B:B,'生產達成率(目標)'!A:C,3,0)</f>
        <v>1</v>
      </c>
      <c r="L731" s="20">
        <f t="shared" si="80"/>
        <v>2E-3</v>
      </c>
      <c r="M731" s="235"/>
      <c r="N731" s="40">
        <v>1</v>
      </c>
      <c r="O731" s="166">
        <f t="shared" si="77"/>
        <v>1</v>
      </c>
      <c r="P731" s="40">
        <f>209+298</f>
        <v>507</v>
      </c>
      <c r="Q731" s="85">
        <f t="shared" si="82"/>
        <v>0.99607072691552068</v>
      </c>
      <c r="R731" s="38"/>
      <c r="S731" s="174"/>
      <c r="T731" s="86"/>
      <c r="U731" s="23"/>
      <c r="V731" s="458"/>
      <c r="W731" s="421"/>
      <c r="X731" s="458"/>
      <c r="Y731" s="421"/>
      <c r="Z731" s="421"/>
      <c r="AA731" s="421"/>
      <c r="AB731" s="421"/>
      <c r="AC731" s="421"/>
      <c r="AD731" s="421"/>
    </row>
    <row r="732" spans="1:30" s="22" customFormat="1" x14ac:dyDescent="0.4">
      <c r="A732" s="178" t="s">
        <v>810</v>
      </c>
      <c r="B732" s="151" t="s">
        <v>82</v>
      </c>
      <c r="C732" s="30" t="str">
        <f>VLOOKUP(B732,'112年全品項生產鍋數'!A:H,2,0)</f>
        <v>顆粒花生醬(全)</v>
      </c>
      <c r="D732" s="287">
        <v>36</v>
      </c>
      <c r="E732" s="48">
        <f>VLOOKUP(B732,'112年全品項生產鍋數'!A:H,3,0)</f>
        <v>0.34</v>
      </c>
      <c r="F732" s="45">
        <f>VLOOKUP(B732,'112年全品項生產鍋數'!A:H,7,0)</f>
        <v>364.6</v>
      </c>
      <c r="G732" s="49">
        <f t="shared" si="79"/>
        <v>13125.6</v>
      </c>
      <c r="H732" s="154">
        <f>653*20</f>
        <v>13060</v>
      </c>
      <c r="I732" s="87">
        <f t="shared" si="76"/>
        <v>4440.4000000000005</v>
      </c>
      <c r="J732" s="100">
        <f t="shared" si="81"/>
        <v>0.99500213323581399</v>
      </c>
      <c r="K732" s="84">
        <f>VLOOKUP(B:B,'生產達成率(目標)'!A:C,3,0)</f>
        <v>1</v>
      </c>
      <c r="L732" s="20">
        <f t="shared" si="80"/>
        <v>-5.0000000000000001E-3</v>
      </c>
      <c r="M732" s="235"/>
      <c r="N732" s="40">
        <v>1</v>
      </c>
      <c r="O732" s="166">
        <f t="shared" si="77"/>
        <v>2</v>
      </c>
      <c r="P732" s="40">
        <v>13057</v>
      </c>
      <c r="Q732" s="85">
        <f t="shared" si="82"/>
        <v>0.99977029096477799</v>
      </c>
      <c r="R732" s="38"/>
      <c r="S732" s="174"/>
      <c r="T732" s="86"/>
      <c r="U732" s="23"/>
      <c r="V732" s="458"/>
      <c r="W732" s="421"/>
      <c r="X732" s="458"/>
      <c r="Y732" s="421"/>
      <c r="Z732" s="421"/>
      <c r="AA732" s="421"/>
      <c r="AB732" s="421"/>
      <c r="AC732" s="421"/>
      <c r="AD732" s="421"/>
    </row>
    <row r="733" spans="1:30" s="22" customFormat="1" x14ac:dyDescent="0.4">
      <c r="A733" s="178" t="s">
        <v>811</v>
      </c>
      <c r="B733" s="151" t="s">
        <v>71</v>
      </c>
      <c r="C733" s="30" t="str">
        <f>VLOOKUP(B733,'112年全品項生產鍋數'!A:H,2,0)</f>
        <v>＃1草莓(1*3.2kg)</v>
      </c>
      <c r="D733" s="287">
        <v>64</v>
      </c>
      <c r="E733" s="48">
        <f>VLOOKUP(B733,'112年全品項生產鍋數'!A:H,3,0)</f>
        <v>3.2</v>
      </c>
      <c r="F733" s="45">
        <f>VLOOKUP(B733,'112年全品項生產鍋數'!A:H,7,0)</f>
        <v>46.8</v>
      </c>
      <c r="G733" s="49">
        <f t="shared" si="79"/>
        <v>2995.2</v>
      </c>
      <c r="H733" s="154">
        <v>2996</v>
      </c>
      <c r="I733" s="87">
        <f t="shared" si="76"/>
        <v>9587.2000000000007</v>
      </c>
      <c r="J733" s="100">
        <f t="shared" si="81"/>
        <v>1.0002670940170941</v>
      </c>
      <c r="K733" s="84">
        <f>VLOOKUP(B:B,'生產達成率(目標)'!A:C,3,0)</f>
        <v>1</v>
      </c>
      <c r="L733" s="20">
        <f t="shared" si="80"/>
        <v>0</v>
      </c>
      <c r="M733" s="235"/>
      <c r="N733" s="40">
        <v>2</v>
      </c>
      <c r="O733" s="166">
        <f t="shared" si="77"/>
        <v>1</v>
      </c>
      <c r="P733" s="40">
        <v>2993</v>
      </c>
      <c r="Q733" s="85">
        <f t="shared" si="82"/>
        <v>0.99899866488651534</v>
      </c>
      <c r="R733" s="38"/>
      <c r="S733" s="174"/>
      <c r="T733" s="86" t="s">
        <v>459</v>
      </c>
      <c r="U733" s="23"/>
      <c r="V733" s="458"/>
      <c r="W733" s="421"/>
      <c r="X733" s="458"/>
      <c r="Y733" s="421"/>
      <c r="Z733" s="421"/>
      <c r="AA733" s="421"/>
      <c r="AB733" s="421"/>
      <c r="AC733" s="421"/>
      <c r="AD733" s="421"/>
    </row>
    <row r="734" spans="1:30" s="22" customFormat="1" x14ac:dyDescent="0.4">
      <c r="A734" s="178" t="s">
        <v>811</v>
      </c>
      <c r="B734" s="151" t="s">
        <v>460</v>
      </c>
      <c r="C734" s="30" t="str">
        <f>VLOOKUP(B734,'112年全品項生產鍋數'!A:H,2,0)</f>
        <v>＃1草莓原漿(1*3.4kg)</v>
      </c>
      <c r="D734" s="287">
        <v>8</v>
      </c>
      <c r="E734" s="48">
        <f>VLOOKUP(B734,'112年全品項生產鍋數'!A:H,3,0)</f>
        <v>3.4</v>
      </c>
      <c r="F734" s="45">
        <f>VLOOKUP(B734,'112年全品項生產鍋數'!A:H,7,0)</f>
        <v>43</v>
      </c>
      <c r="G734" s="49">
        <f t="shared" si="79"/>
        <v>344</v>
      </c>
      <c r="H734" s="154">
        <v>355</v>
      </c>
      <c r="I734" s="87">
        <f t="shared" si="76"/>
        <v>1207</v>
      </c>
      <c r="J734" s="100">
        <f t="shared" si="81"/>
        <v>1.0319767441860466</v>
      </c>
      <c r="K734" s="84">
        <f>VLOOKUP(B:B,'生產達成率(目標)'!A:C,3,0)</f>
        <v>1</v>
      </c>
      <c r="L734" s="20">
        <f t="shared" si="80"/>
        <v>3.2000000000000001E-2</v>
      </c>
      <c r="M734" s="235"/>
      <c r="N734" s="40">
        <v>1</v>
      </c>
      <c r="O734" s="166">
        <f t="shared" si="77"/>
        <v>0</v>
      </c>
      <c r="P734" s="40">
        <v>354</v>
      </c>
      <c r="Q734" s="85">
        <f t="shared" si="82"/>
        <v>0.9971830985915493</v>
      </c>
      <c r="R734" s="38"/>
      <c r="S734" s="174"/>
      <c r="T734" s="86"/>
      <c r="U734" s="23"/>
      <c r="V734" s="458"/>
      <c r="W734" s="421"/>
      <c r="X734" s="458"/>
      <c r="Y734" s="421"/>
      <c r="Z734" s="421"/>
      <c r="AA734" s="421"/>
      <c r="AB734" s="421"/>
      <c r="AC734" s="421"/>
      <c r="AD734" s="421"/>
    </row>
    <row r="735" spans="1:30" s="22" customFormat="1" x14ac:dyDescent="0.4">
      <c r="A735" s="178" t="s">
        <v>811</v>
      </c>
      <c r="B735" s="151" t="s">
        <v>64</v>
      </c>
      <c r="C735" s="30" t="str">
        <f>VLOOKUP(B735,'112年全品項生產鍋數'!A:H,2,0)</f>
        <v>藍莓餡(1*6KG)</v>
      </c>
      <c r="D735" s="287">
        <v>20</v>
      </c>
      <c r="E735" s="48">
        <f>VLOOKUP(B735,'112年全品項生產鍋數'!A:H,3,0)</f>
        <v>6</v>
      </c>
      <c r="F735" s="45">
        <f>VLOOKUP(B735,'112年全品項生產鍋數'!A:H,7,0)</f>
        <v>25.4</v>
      </c>
      <c r="G735" s="49">
        <f t="shared" si="79"/>
        <v>508</v>
      </c>
      <c r="H735" s="154">
        <f>307+213</f>
        <v>520</v>
      </c>
      <c r="I735" s="87">
        <f t="shared" si="76"/>
        <v>3120</v>
      </c>
      <c r="J735" s="100">
        <f t="shared" si="81"/>
        <v>1.0236220472440944</v>
      </c>
      <c r="K735" s="84">
        <f>VLOOKUP(B:B,'生產達成率(目標)'!A:C,3,0)</f>
        <v>1</v>
      </c>
      <c r="L735" s="20">
        <f t="shared" si="80"/>
        <v>2.4E-2</v>
      </c>
      <c r="M735" s="235"/>
      <c r="N735" s="40">
        <v>1</v>
      </c>
      <c r="O735" s="166">
        <f t="shared" si="77"/>
        <v>1</v>
      </c>
      <c r="P735" s="40">
        <f>305+213</f>
        <v>518</v>
      </c>
      <c r="Q735" s="85">
        <f t="shared" si="82"/>
        <v>0.99615384615384617</v>
      </c>
      <c r="R735" s="38"/>
      <c r="S735" s="174"/>
      <c r="T735" s="86" t="s">
        <v>439</v>
      </c>
      <c r="U735" s="23"/>
      <c r="V735" s="458"/>
      <c r="W735" s="421"/>
      <c r="X735" s="458"/>
      <c r="Y735" s="421"/>
      <c r="Z735" s="421"/>
      <c r="AA735" s="421"/>
      <c r="AB735" s="421"/>
      <c r="AC735" s="421"/>
      <c r="AD735" s="421"/>
    </row>
    <row r="736" spans="1:30" s="22" customFormat="1" x14ac:dyDescent="0.4">
      <c r="A736" s="178" t="s">
        <v>811</v>
      </c>
      <c r="B736" s="151" t="s">
        <v>461</v>
      </c>
      <c r="C736" s="30" t="str">
        <f>VLOOKUP(B736,'112年全品項生產鍋數'!A:H,2,0)</f>
        <v>綜合莓果餡(1*6Kg)</v>
      </c>
      <c r="D736" s="287">
        <v>8</v>
      </c>
      <c r="E736" s="48">
        <f>VLOOKUP(B736,'112年全品項生產鍋數'!A:H,3,0)</f>
        <v>6</v>
      </c>
      <c r="F736" s="45">
        <f>VLOOKUP(B736,'112年全品項生產鍋數'!A:H,7,0)</f>
        <v>25.1</v>
      </c>
      <c r="G736" s="49">
        <f t="shared" si="79"/>
        <v>200.8</v>
      </c>
      <c r="H736" s="154">
        <v>214</v>
      </c>
      <c r="I736" s="87">
        <f t="shared" si="76"/>
        <v>1284</v>
      </c>
      <c r="J736" s="100">
        <f t="shared" si="81"/>
        <v>1.0657370517928286</v>
      </c>
      <c r="K736" s="84">
        <f>VLOOKUP(B:B,'生產達成率(目標)'!A:C,3,0)</f>
        <v>1</v>
      </c>
      <c r="L736" s="20">
        <f t="shared" si="80"/>
        <v>6.6000000000000003E-2</v>
      </c>
      <c r="M736" s="235"/>
      <c r="N736" s="40">
        <v>1</v>
      </c>
      <c r="O736" s="166">
        <f t="shared" si="77"/>
        <v>0</v>
      </c>
      <c r="P736" s="40">
        <v>213</v>
      </c>
      <c r="Q736" s="85">
        <f t="shared" si="82"/>
        <v>0.99532710280373837</v>
      </c>
      <c r="R736" s="38"/>
      <c r="S736" s="174"/>
      <c r="T736" s="86"/>
      <c r="U736" s="23"/>
      <c r="V736" s="458"/>
      <c r="W736" s="421"/>
      <c r="X736" s="458"/>
      <c r="Y736" s="421"/>
      <c r="Z736" s="421"/>
      <c r="AA736" s="421"/>
      <c r="AB736" s="421"/>
      <c r="AC736" s="421"/>
      <c r="AD736" s="421"/>
    </row>
    <row r="737" spans="1:30" s="22" customFormat="1" x14ac:dyDescent="0.4">
      <c r="A737" s="178" t="s">
        <v>811</v>
      </c>
      <c r="B737" s="151" t="s">
        <v>107</v>
      </c>
      <c r="C737" s="30" t="str">
        <f>VLOOKUP(B737,'112年全品項生產鍋數'!A:H,2,0)</f>
        <v>藍莓餡(1*6kg)</v>
      </c>
      <c r="D737" s="287">
        <v>8</v>
      </c>
      <c r="E737" s="48">
        <f>VLOOKUP(B737,'112年全品項生產鍋數'!A:H,3,0)</f>
        <v>6</v>
      </c>
      <c r="F737" s="45">
        <f>VLOOKUP(B737,'112年全品項生產鍋數'!A:H,7,0)</f>
        <v>26.4</v>
      </c>
      <c r="G737" s="49">
        <f t="shared" si="79"/>
        <v>211.2</v>
      </c>
      <c r="H737" s="154">
        <v>213</v>
      </c>
      <c r="I737" s="87">
        <f t="shared" si="76"/>
        <v>1278</v>
      </c>
      <c r="J737" s="100">
        <f t="shared" si="81"/>
        <v>1.0085227272727273</v>
      </c>
      <c r="K737" s="84">
        <f>VLOOKUP(B:B,'生產達成率(目標)'!A:C,3,0)</f>
        <v>1</v>
      </c>
      <c r="L737" s="20">
        <f t="shared" si="80"/>
        <v>8.9999999999999993E-3</v>
      </c>
      <c r="M737" s="235"/>
      <c r="N737" s="40">
        <v>1</v>
      </c>
      <c r="O737" s="166">
        <f t="shared" si="77"/>
        <v>1</v>
      </c>
      <c r="P737" s="40">
        <v>211</v>
      </c>
      <c r="Q737" s="85">
        <f t="shared" si="82"/>
        <v>0.99061032863849763</v>
      </c>
      <c r="R737" s="38"/>
      <c r="S737" s="174"/>
      <c r="T737" s="86" t="s">
        <v>462</v>
      </c>
      <c r="U737" s="23"/>
      <c r="V737" s="458"/>
      <c r="W737" s="421"/>
      <c r="X737" s="458"/>
      <c r="Y737" s="421"/>
      <c r="Z737" s="421"/>
      <c r="AA737" s="421"/>
      <c r="AB737" s="421"/>
      <c r="AC737" s="421"/>
      <c r="AD737" s="421"/>
    </row>
    <row r="738" spans="1:30" s="22" customFormat="1" x14ac:dyDescent="0.4">
      <c r="A738" s="178" t="s">
        <v>811</v>
      </c>
      <c r="B738" s="151" t="s">
        <v>65</v>
      </c>
      <c r="C738" s="30" t="str">
        <f>VLOOKUP(B738,'112年全品項生產鍋數'!A:H,2,0)</f>
        <v>＃1花生(1*2.8kg)</v>
      </c>
      <c r="D738" s="287">
        <v>60</v>
      </c>
      <c r="E738" s="48">
        <f>VLOOKUP(B738,'112年全品項生產鍋數'!A:H,3,0)</f>
        <v>2.8</v>
      </c>
      <c r="F738" s="45">
        <f>VLOOKUP(B738,'112年全品項生產鍋數'!A:H,7,0)</f>
        <v>44.5</v>
      </c>
      <c r="G738" s="49">
        <f t="shared" si="79"/>
        <v>2670</v>
      </c>
      <c r="H738" s="154">
        <f>2078+600</f>
        <v>2678</v>
      </c>
      <c r="I738" s="87">
        <f t="shared" si="76"/>
        <v>7498.4</v>
      </c>
      <c r="J738" s="100">
        <f t="shared" si="81"/>
        <v>1.002996254681648</v>
      </c>
      <c r="K738" s="84">
        <f>VLOOKUP(B:B,'生產達成率(目標)'!A:C,3,0)</f>
        <v>1</v>
      </c>
      <c r="L738" s="20">
        <f t="shared" si="80"/>
        <v>3.0000000000000001E-3</v>
      </c>
      <c r="M738" s="235"/>
      <c r="N738" s="40">
        <v>1</v>
      </c>
      <c r="O738" s="166">
        <f t="shared" si="77"/>
        <v>0</v>
      </c>
      <c r="P738" s="40">
        <f>2077+600</f>
        <v>2677</v>
      </c>
      <c r="Q738" s="85">
        <f t="shared" si="82"/>
        <v>0.99962658700522777</v>
      </c>
      <c r="R738" s="38"/>
      <c r="S738" s="174"/>
      <c r="T738" s="86" t="s">
        <v>463</v>
      </c>
      <c r="U738" s="23"/>
      <c r="V738" s="458"/>
      <c r="W738" s="421"/>
      <c r="X738" s="458"/>
      <c r="Y738" s="421"/>
      <c r="Z738" s="421"/>
      <c r="AA738" s="421"/>
      <c r="AB738" s="421"/>
      <c r="AC738" s="421"/>
      <c r="AD738" s="421"/>
    </row>
    <row r="739" spans="1:30" s="22" customFormat="1" x14ac:dyDescent="0.4">
      <c r="A739" s="178" t="s">
        <v>812</v>
      </c>
      <c r="B739" s="151" t="s">
        <v>51</v>
      </c>
      <c r="C739" s="30" t="str">
        <f>VLOOKUP(B739,'112年全品項生產鍋數'!A:H,2,0)</f>
        <v>藍莓醬(1*6kg)</v>
      </c>
      <c r="D739" s="287">
        <v>24</v>
      </c>
      <c r="E739" s="48">
        <f>VLOOKUP(B739,'112年全品項生產鍋數'!A:H,3,0)</f>
        <v>6</v>
      </c>
      <c r="F739" s="45">
        <f>VLOOKUP(B739,'112年全品項生產鍋數'!A:H,7,0)</f>
        <v>25.5</v>
      </c>
      <c r="G739" s="49">
        <f t="shared" si="79"/>
        <v>612</v>
      </c>
      <c r="H739" s="154">
        <v>629</v>
      </c>
      <c r="I739" s="87">
        <f t="shared" si="76"/>
        <v>3774</v>
      </c>
      <c r="J739" s="100">
        <f t="shared" si="81"/>
        <v>1.0277777777777777</v>
      </c>
      <c r="K739" s="84">
        <f>VLOOKUP(B:B,'生產達成率(目標)'!A:C,3,0)</f>
        <v>1</v>
      </c>
      <c r="L739" s="20">
        <f t="shared" si="80"/>
        <v>2.8000000000000001E-2</v>
      </c>
      <c r="M739" s="235"/>
      <c r="N739" s="40">
        <v>1</v>
      </c>
      <c r="O739" s="166">
        <f t="shared" si="77"/>
        <v>5</v>
      </c>
      <c r="P739" s="40">
        <v>623</v>
      </c>
      <c r="Q739" s="85">
        <f t="shared" si="82"/>
        <v>0.99046104928457868</v>
      </c>
      <c r="R739" s="38"/>
      <c r="S739" s="174"/>
      <c r="T739" s="86" t="s">
        <v>464</v>
      </c>
      <c r="U739" s="23"/>
      <c r="V739" s="458"/>
      <c r="W739" s="421"/>
      <c r="X739" s="458"/>
      <c r="Y739" s="421"/>
      <c r="Z739" s="421"/>
      <c r="AA739" s="421"/>
      <c r="AB739" s="421"/>
      <c r="AC739" s="421"/>
      <c r="AD739" s="421"/>
    </row>
    <row r="740" spans="1:30" s="22" customFormat="1" x14ac:dyDescent="0.4">
      <c r="A740" s="178" t="s">
        <v>812</v>
      </c>
      <c r="B740" s="151" t="s">
        <v>75</v>
      </c>
      <c r="C740" s="30" t="str">
        <f>VLOOKUP(B740,'112年全品項生產鍋數'!A:H,2,0)</f>
        <v>草莓椰果餡(1*6Kg)</v>
      </c>
      <c r="D740" s="287">
        <v>16</v>
      </c>
      <c r="E740" s="48">
        <f>VLOOKUP(B740,'112年全品項生產鍋數'!A:H,3,0)</f>
        <v>6</v>
      </c>
      <c r="F740" s="45">
        <f>VLOOKUP(B740,'112年全品項生產鍋數'!A:H,7,0)</f>
        <v>26.4</v>
      </c>
      <c r="G740" s="49">
        <f t="shared" si="79"/>
        <v>422.4</v>
      </c>
      <c r="H740" s="154">
        <v>393</v>
      </c>
      <c r="I740" s="87">
        <f t="shared" si="76"/>
        <v>2358</v>
      </c>
      <c r="J740" s="100">
        <f t="shared" si="81"/>
        <v>0.93039772727272729</v>
      </c>
      <c r="K740" s="84">
        <f>VLOOKUP(B:B,'生產達成率(目標)'!A:C,3,0)</f>
        <v>1</v>
      </c>
      <c r="L740" s="20">
        <f t="shared" si="80"/>
        <v>-7.0000000000000007E-2</v>
      </c>
      <c r="M740" s="235"/>
      <c r="N740" s="40">
        <v>1</v>
      </c>
      <c r="O740" s="166">
        <f t="shared" si="77"/>
        <v>0</v>
      </c>
      <c r="P740" s="40">
        <v>392</v>
      </c>
      <c r="Q740" s="85">
        <f t="shared" si="82"/>
        <v>0.99745547073791352</v>
      </c>
      <c r="R740" s="38" t="s">
        <v>465</v>
      </c>
      <c r="S740" s="174"/>
      <c r="T740" s="86" t="s">
        <v>466</v>
      </c>
      <c r="U740" s="23"/>
      <c r="V740" s="458"/>
      <c r="W740" s="421"/>
      <c r="X740" s="458"/>
      <c r="Y740" s="421"/>
      <c r="Z740" s="421"/>
      <c r="AA740" s="421"/>
      <c r="AB740" s="421"/>
      <c r="AC740" s="421"/>
      <c r="AD740" s="421"/>
    </row>
    <row r="741" spans="1:30" s="22" customFormat="1" x14ac:dyDescent="0.4">
      <c r="A741" s="178" t="s">
        <v>812</v>
      </c>
      <c r="B741" s="151" t="s">
        <v>110</v>
      </c>
      <c r="C741" s="30" t="str">
        <f>VLOOKUP(B741,'112年全品項生產鍋數'!A:H,2,0)</f>
        <v>顆粒花生醬(1*12KG)</v>
      </c>
      <c r="D741" s="287">
        <v>21</v>
      </c>
      <c r="E741" s="48">
        <f>VLOOKUP(B741,'112年全品項生產鍋數'!A:H,3,0)</f>
        <v>3</v>
      </c>
      <c r="F741" s="45">
        <f>VLOOKUP(B741,'112年全品項生產鍋數'!A:H,7,0)</f>
        <v>30.8</v>
      </c>
      <c r="G741" s="49">
        <f t="shared" si="79"/>
        <v>646.80000000000007</v>
      </c>
      <c r="H741" s="154">
        <v>652</v>
      </c>
      <c r="I741" s="87">
        <f t="shared" si="76"/>
        <v>1956</v>
      </c>
      <c r="J741" s="100">
        <f t="shared" si="81"/>
        <v>1.0080395794681507</v>
      </c>
      <c r="K741" s="84">
        <f>VLOOKUP(B:B,'生產達成率(目標)'!A:C,3,0)</f>
        <v>1</v>
      </c>
      <c r="L741" s="20">
        <f t="shared" si="80"/>
        <v>8.0000000000000002E-3</v>
      </c>
      <c r="M741" s="235"/>
      <c r="N741" s="40">
        <v>0</v>
      </c>
      <c r="O741" s="166">
        <f t="shared" si="77"/>
        <v>0</v>
      </c>
      <c r="P741" s="40">
        <v>652</v>
      </c>
      <c r="Q741" s="85">
        <f t="shared" si="82"/>
        <v>1</v>
      </c>
      <c r="R741" s="38"/>
      <c r="S741" s="174"/>
      <c r="T741" s="30"/>
      <c r="U741" s="23"/>
      <c r="V741" s="458"/>
      <c r="W741" s="421"/>
      <c r="X741" s="458"/>
      <c r="Y741" s="421"/>
      <c r="Z741" s="421"/>
      <c r="AA741" s="421"/>
      <c r="AB741" s="421"/>
      <c r="AC741" s="421"/>
      <c r="AD741" s="421"/>
    </row>
    <row r="742" spans="1:30" s="22" customFormat="1" x14ac:dyDescent="0.4">
      <c r="A742" s="178" t="s">
        <v>812</v>
      </c>
      <c r="B742" s="151" t="s">
        <v>65</v>
      </c>
      <c r="C742" s="30" t="str">
        <f>VLOOKUP(B742,'112年全品項生產鍋數'!A:H,2,0)</f>
        <v>＃1花生(1*2.8kg)</v>
      </c>
      <c r="D742" s="287">
        <v>60</v>
      </c>
      <c r="E742" s="48">
        <f>VLOOKUP(B742,'112年全品項生產鍋數'!A:H,3,0)</f>
        <v>2.8</v>
      </c>
      <c r="F742" s="45">
        <f>VLOOKUP(B742,'112年全品項生產鍋數'!A:H,7,0)</f>
        <v>44.5</v>
      </c>
      <c r="G742" s="49">
        <f t="shared" si="79"/>
        <v>2670</v>
      </c>
      <c r="H742" s="154">
        <v>2032</v>
      </c>
      <c r="I742" s="87">
        <f t="shared" si="76"/>
        <v>5689.5999999999995</v>
      </c>
      <c r="J742" s="100">
        <f t="shared" si="81"/>
        <v>0.76104868913857682</v>
      </c>
      <c r="K742" s="84">
        <f>VLOOKUP(B:B,'生產達成率(目標)'!A:C,3,0)</f>
        <v>1</v>
      </c>
      <c r="L742" s="20">
        <f t="shared" si="80"/>
        <v>-0.23899999999999999</v>
      </c>
      <c r="M742" s="235"/>
      <c r="N742" s="40">
        <v>1</v>
      </c>
      <c r="O742" s="166">
        <f t="shared" si="77"/>
        <v>0</v>
      </c>
      <c r="P742" s="40">
        <v>2031</v>
      </c>
      <c r="Q742" s="85">
        <f t="shared" si="82"/>
        <v>0.99950787401574803</v>
      </c>
      <c r="R742" s="38"/>
      <c r="S742" s="174"/>
      <c r="T742" s="86" t="s">
        <v>467</v>
      </c>
      <c r="U742" s="23"/>
      <c r="V742" s="458"/>
      <c r="W742" s="421"/>
      <c r="X742" s="458"/>
      <c r="Y742" s="421"/>
      <c r="Z742" s="421"/>
      <c r="AA742" s="421"/>
      <c r="AB742" s="421"/>
      <c r="AC742" s="421"/>
      <c r="AD742" s="421"/>
    </row>
    <row r="743" spans="1:30" s="22" customFormat="1" x14ac:dyDescent="0.4">
      <c r="A743" s="178" t="s">
        <v>813</v>
      </c>
      <c r="B743" s="151" t="s">
        <v>2</v>
      </c>
      <c r="C743" s="30" t="str">
        <f>VLOOKUP(B743,'112年全品項生產鍋數'!A:H,2,0)</f>
        <v>草莓醬(1*6kg)</v>
      </c>
      <c r="D743" s="287">
        <v>40</v>
      </c>
      <c r="E743" s="48">
        <f>VLOOKUP(B743,'112年全品項生產鍋數'!A:H,3,0)</f>
        <v>6</v>
      </c>
      <c r="F743" s="45">
        <f>VLOOKUP(B743,'112年全品項生產鍋數'!A:H,7,0)</f>
        <v>26.6</v>
      </c>
      <c r="G743" s="49">
        <f t="shared" si="79"/>
        <v>1064</v>
      </c>
      <c r="H743" s="154">
        <v>1064</v>
      </c>
      <c r="I743" s="87">
        <f t="shared" si="76"/>
        <v>6384</v>
      </c>
      <c r="J743" s="100">
        <f t="shared" si="81"/>
        <v>1</v>
      </c>
      <c r="K743" s="84">
        <f>VLOOKUP(B:B,'生產達成率(目標)'!A:C,3,0)</f>
        <v>1</v>
      </c>
      <c r="L743" s="20">
        <f t="shared" si="80"/>
        <v>0</v>
      </c>
      <c r="M743" s="235"/>
      <c r="N743" s="40">
        <v>1</v>
      </c>
      <c r="O743" s="166">
        <f t="shared" si="77"/>
        <v>1</v>
      </c>
      <c r="P743" s="40">
        <v>1062</v>
      </c>
      <c r="Q743" s="85">
        <f t="shared" si="82"/>
        <v>0.99812030075187974</v>
      </c>
      <c r="R743" s="38"/>
      <c r="S743" s="174"/>
      <c r="T743" s="86" t="s">
        <v>439</v>
      </c>
      <c r="U743" s="23"/>
      <c r="V743" s="458"/>
      <c r="W743" s="421"/>
      <c r="X743" s="458"/>
      <c r="Y743" s="421"/>
      <c r="Z743" s="421"/>
      <c r="AA743" s="421"/>
      <c r="AB743" s="421"/>
      <c r="AC743" s="421"/>
      <c r="AD743" s="421"/>
    </row>
    <row r="744" spans="1:30" s="22" customFormat="1" x14ac:dyDescent="0.4">
      <c r="A744" s="178" t="s">
        <v>813</v>
      </c>
      <c r="B744" s="151" t="s">
        <v>108</v>
      </c>
      <c r="C744" s="30" t="str">
        <f>VLOOKUP(B744,'112年全品項生產鍋數'!A:H,2,0)</f>
        <v>顆粒花生醬(1*12KG)</v>
      </c>
      <c r="D744" s="287">
        <v>21</v>
      </c>
      <c r="E744" s="48">
        <f>VLOOKUP(B744,'112年全品項生產鍋數'!A:H,3,0)</f>
        <v>3</v>
      </c>
      <c r="F744" s="45">
        <f>VLOOKUP(B744,'112年全品項生產鍋數'!A:H,7,0)</f>
        <v>31.6</v>
      </c>
      <c r="G744" s="49">
        <f t="shared" si="79"/>
        <v>663.6</v>
      </c>
      <c r="H744" s="154">
        <v>660</v>
      </c>
      <c r="I744" s="87">
        <f t="shared" si="76"/>
        <v>1980</v>
      </c>
      <c r="J744" s="100">
        <f t="shared" si="81"/>
        <v>0.99457504520795659</v>
      </c>
      <c r="K744" s="84">
        <f>VLOOKUP(B:B,'生產達成率(目標)'!A:C,3,0)</f>
        <v>1</v>
      </c>
      <c r="L744" s="20">
        <f t="shared" si="80"/>
        <v>-5.0000000000000001E-3</v>
      </c>
      <c r="M744" s="235"/>
      <c r="N744" s="40">
        <v>0</v>
      </c>
      <c r="O744" s="166">
        <f t="shared" si="77"/>
        <v>0</v>
      </c>
      <c r="P744" s="40">
        <v>660</v>
      </c>
      <c r="Q744" s="85">
        <f t="shared" si="82"/>
        <v>1</v>
      </c>
      <c r="R744" s="38"/>
      <c r="S744" s="174"/>
      <c r="T744" s="30"/>
      <c r="U744" s="23"/>
      <c r="V744" s="458"/>
      <c r="W744" s="421"/>
      <c r="X744" s="458"/>
      <c r="Y744" s="421"/>
      <c r="Z744" s="421"/>
      <c r="AA744" s="421"/>
      <c r="AB744" s="421"/>
      <c r="AC744" s="421"/>
      <c r="AD744" s="421"/>
    </row>
    <row r="745" spans="1:30" s="22" customFormat="1" x14ac:dyDescent="0.4">
      <c r="A745" s="178" t="s">
        <v>813</v>
      </c>
      <c r="B745" s="149" t="s">
        <v>23</v>
      </c>
      <c r="C745" s="30" t="str">
        <f>VLOOKUP(B745,'112年全品項生產鍋數'!A:H,2,0)</f>
        <v>＃1花生(粒)(1*2.8kg)</v>
      </c>
      <c r="D745" s="287">
        <v>60</v>
      </c>
      <c r="E745" s="48">
        <f>VLOOKUP(B745,'112年全品項生產鍋數'!A:H,3,0)</f>
        <v>2.8</v>
      </c>
      <c r="F745" s="45">
        <f>VLOOKUP(B745,'112年全品項生產鍋數'!A:H,7,0)</f>
        <v>44.2</v>
      </c>
      <c r="G745" s="49">
        <f t="shared" si="79"/>
        <v>2652</v>
      </c>
      <c r="H745" s="154">
        <v>2668</v>
      </c>
      <c r="I745" s="87">
        <f t="shared" si="76"/>
        <v>7470.4</v>
      </c>
      <c r="J745" s="100">
        <f t="shared" si="81"/>
        <v>1.0060331825037707</v>
      </c>
      <c r="K745" s="84">
        <f>VLOOKUP(B:B,'生產達成率(目標)'!A:C,3,0)</f>
        <v>1</v>
      </c>
      <c r="L745" s="20">
        <f t="shared" si="80"/>
        <v>6.0000000000000001E-3</v>
      </c>
      <c r="M745" s="235"/>
      <c r="N745" s="40">
        <v>1</v>
      </c>
      <c r="O745" s="166">
        <f t="shared" si="77"/>
        <v>0</v>
      </c>
      <c r="P745" s="40">
        <v>2667</v>
      </c>
      <c r="Q745" s="85">
        <f t="shared" si="82"/>
        <v>0.9996251874062968</v>
      </c>
      <c r="R745" s="38"/>
      <c r="S745" s="174"/>
      <c r="T745" s="86"/>
      <c r="U745" s="23"/>
      <c r="V745" s="458"/>
      <c r="W745" s="421"/>
      <c r="X745" s="458"/>
      <c r="Y745" s="421"/>
      <c r="Z745" s="421"/>
      <c r="AA745" s="421"/>
      <c r="AB745" s="421"/>
      <c r="AC745" s="421"/>
      <c r="AD745" s="421"/>
    </row>
    <row r="746" spans="1:30" s="22" customFormat="1" x14ac:dyDescent="0.4">
      <c r="A746" s="178" t="s">
        <v>814</v>
      </c>
      <c r="B746" s="149" t="s">
        <v>87</v>
      </c>
      <c r="C746" s="30" t="str">
        <f>VLOOKUP(B746,'112年全品項生產鍋數'!A:H,2,0)</f>
        <v>＃1藍莓(1*3.2kg)</v>
      </c>
      <c r="D746" s="287">
        <v>72</v>
      </c>
      <c r="E746" s="48">
        <f>VLOOKUP(B746,'112年全品項生產鍋數'!A:H,3,0)</f>
        <v>3.2</v>
      </c>
      <c r="F746" s="45">
        <f>VLOOKUP(B746,'112年全品項生產鍋數'!A:H,7,0)</f>
        <v>47.5</v>
      </c>
      <c r="G746" s="49">
        <f t="shared" si="79"/>
        <v>3420</v>
      </c>
      <c r="H746" s="154">
        <v>3533</v>
      </c>
      <c r="I746" s="87">
        <f t="shared" si="76"/>
        <v>11305.6</v>
      </c>
      <c r="J746" s="100">
        <f t="shared" si="81"/>
        <v>1.0330409356725145</v>
      </c>
      <c r="K746" s="84">
        <f>VLOOKUP(B:B,'生產達成率(目標)'!A:C,3,0)</f>
        <v>1</v>
      </c>
      <c r="L746" s="20">
        <f t="shared" si="80"/>
        <v>3.3000000000000002E-2</v>
      </c>
      <c r="M746" s="235"/>
      <c r="N746" s="40">
        <v>2</v>
      </c>
      <c r="O746" s="166">
        <f t="shared" si="77"/>
        <v>0</v>
      </c>
      <c r="P746" s="40">
        <v>3531</v>
      </c>
      <c r="Q746" s="85">
        <f t="shared" si="82"/>
        <v>0.99943390885932637</v>
      </c>
      <c r="R746" s="38"/>
      <c r="S746" s="173">
        <f>36*6</f>
        <v>216</v>
      </c>
      <c r="T746" s="30" t="s">
        <v>940</v>
      </c>
      <c r="U746" s="23"/>
      <c r="V746" s="458"/>
      <c r="W746" s="421"/>
      <c r="X746" s="458"/>
      <c r="Y746" s="421"/>
      <c r="Z746" s="421"/>
      <c r="AA746" s="421"/>
      <c r="AB746" s="421"/>
      <c r="AC746" s="421"/>
      <c r="AD746" s="421"/>
    </row>
    <row r="747" spans="1:30" s="22" customFormat="1" x14ac:dyDescent="0.4">
      <c r="A747" s="178" t="s">
        <v>814</v>
      </c>
      <c r="B747" s="151" t="s">
        <v>63</v>
      </c>
      <c r="C747" s="30" t="str">
        <f>VLOOKUP(B747,'112年全品項生產鍋數'!A:H,2,0)</f>
        <v>草莓蒟蒻餡(1*6kg)</v>
      </c>
      <c r="D747" s="287">
        <v>28</v>
      </c>
      <c r="E747" s="48">
        <f>VLOOKUP(B747,'112年全品項生產鍋數'!A:H,3,0)</f>
        <v>6</v>
      </c>
      <c r="F747" s="45">
        <f>VLOOKUP(B747,'112年全品項生產鍋數'!A:H,7,0)</f>
        <v>25.7</v>
      </c>
      <c r="G747" s="49">
        <f t="shared" si="79"/>
        <v>719.6</v>
      </c>
      <c r="H747" s="154">
        <f>410+317</f>
        <v>727</v>
      </c>
      <c r="I747" s="87">
        <f t="shared" si="76"/>
        <v>4362</v>
      </c>
      <c r="J747" s="100">
        <f t="shared" si="81"/>
        <v>1.0102834908282379</v>
      </c>
      <c r="K747" s="84">
        <f>VLOOKUP(B:B,'生產達成率(目標)'!A:C,3,0)</f>
        <v>1</v>
      </c>
      <c r="L747" s="20">
        <f t="shared" si="80"/>
        <v>0.01</v>
      </c>
      <c r="M747" s="235"/>
      <c r="N747" s="40">
        <v>1</v>
      </c>
      <c r="O747" s="166">
        <f t="shared" si="77"/>
        <v>0</v>
      </c>
      <c r="P747" s="40">
        <f>409+317</f>
        <v>726</v>
      </c>
      <c r="Q747" s="85">
        <f t="shared" si="82"/>
        <v>0.99862448418156813</v>
      </c>
      <c r="R747" s="38"/>
      <c r="S747" s="174"/>
      <c r="T747" s="86"/>
      <c r="U747" s="23"/>
      <c r="V747" s="458"/>
      <c r="W747" s="421"/>
      <c r="X747" s="458"/>
      <c r="Y747" s="421"/>
      <c r="Z747" s="421"/>
      <c r="AA747" s="421"/>
      <c r="AB747" s="421"/>
      <c r="AC747" s="421"/>
      <c r="AD747" s="421"/>
    </row>
    <row r="748" spans="1:30" s="22" customFormat="1" x14ac:dyDescent="0.4">
      <c r="A748" s="178" t="s">
        <v>814</v>
      </c>
      <c r="B748" s="149" t="s">
        <v>41</v>
      </c>
      <c r="C748" s="30" t="str">
        <f>VLOOKUP(B748,'112年全品項生產鍋數'!A:H,2,0)</f>
        <v>天天開心藍莓餡4.5KG</v>
      </c>
      <c r="D748" s="287">
        <v>12</v>
      </c>
      <c r="E748" s="48">
        <f>VLOOKUP(B748,'112年全品項生產鍋數'!A:H,3,0)</f>
        <v>4.5</v>
      </c>
      <c r="F748" s="45">
        <f>VLOOKUP(B748,'112年全品項生產鍋數'!A:H,7,0)</f>
        <v>36.799999999999997</v>
      </c>
      <c r="G748" s="49">
        <f t="shared" si="79"/>
        <v>441.59999999999997</v>
      </c>
      <c r="H748" s="154">
        <v>438</v>
      </c>
      <c r="I748" s="87">
        <f t="shared" si="76"/>
        <v>1971</v>
      </c>
      <c r="J748" s="100">
        <f t="shared" si="81"/>
        <v>0.99184782608695665</v>
      </c>
      <c r="K748" s="84">
        <f>VLOOKUP(B:B,'生產達成率(目標)'!A:C,3,0)</f>
        <v>1</v>
      </c>
      <c r="L748" s="20">
        <f t="shared" si="80"/>
        <v>-8.0000000000000002E-3</v>
      </c>
      <c r="M748" s="235"/>
      <c r="N748" s="40">
        <v>0</v>
      </c>
      <c r="O748" s="166">
        <f t="shared" si="77"/>
        <v>0</v>
      </c>
      <c r="P748" s="40">
        <v>438</v>
      </c>
      <c r="Q748" s="85">
        <f t="shared" si="82"/>
        <v>1</v>
      </c>
      <c r="R748" s="38"/>
      <c r="S748" s="174"/>
      <c r="T748" s="86"/>
      <c r="U748" s="23"/>
      <c r="V748" s="458"/>
      <c r="W748" s="421"/>
      <c r="X748" s="458"/>
      <c r="Y748" s="421"/>
      <c r="Z748" s="421"/>
      <c r="AA748" s="421"/>
      <c r="AB748" s="421"/>
      <c r="AC748" s="421"/>
      <c r="AD748" s="421"/>
    </row>
    <row r="749" spans="1:30" s="22" customFormat="1" x14ac:dyDescent="0.4">
      <c r="A749" s="178" t="s">
        <v>814</v>
      </c>
      <c r="B749" s="151" t="s">
        <v>58</v>
      </c>
      <c r="C749" s="30" t="str">
        <f>VLOOKUP(B749,'112年全品項生產鍋數'!A:H,2,0)</f>
        <v>PET大花生(1*400g)</v>
      </c>
      <c r="D749" s="287">
        <v>36</v>
      </c>
      <c r="E749" s="48">
        <f>VLOOKUP(B749,'112年全品項生產鍋數'!A:H,3,0)</f>
        <v>0.4</v>
      </c>
      <c r="F749" s="45">
        <f>VLOOKUP(B749,'112年全品項生產鍋數'!A:H,7,0)</f>
        <v>309.2</v>
      </c>
      <c r="G749" s="49">
        <f t="shared" si="79"/>
        <v>11131.199999999999</v>
      </c>
      <c r="H749" s="154">
        <v>11177</v>
      </c>
      <c r="I749" s="87">
        <f t="shared" si="76"/>
        <v>4470.8</v>
      </c>
      <c r="J749" s="100">
        <f t="shared" si="81"/>
        <v>1.0041145608739399</v>
      </c>
      <c r="K749" s="84">
        <f>VLOOKUP(B:B,'生產達成率(目標)'!A:C,3,0)</f>
        <v>1</v>
      </c>
      <c r="L749" s="20">
        <f t="shared" si="80"/>
        <v>4.0000000000000001E-3</v>
      </c>
      <c r="M749" s="235"/>
      <c r="N749" s="40">
        <v>1</v>
      </c>
      <c r="O749" s="166">
        <f t="shared" si="77"/>
        <v>2</v>
      </c>
      <c r="P749" s="40">
        <v>11174</v>
      </c>
      <c r="Q749" s="20">
        <f t="shared" si="82"/>
        <v>0.99973159166144765</v>
      </c>
      <c r="R749" s="38"/>
      <c r="S749" s="174"/>
      <c r="T749" s="30" t="s">
        <v>468</v>
      </c>
      <c r="U749" s="23"/>
      <c r="V749" s="458"/>
      <c r="W749" s="421"/>
      <c r="X749" s="458"/>
      <c r="Y749" s="421"/>
      <c r="Z749" s="421"/>
      <c r="AA749" s="421"/>
      <c r="AB749" s="421"/>
      <c r="AC749" s="421"/>
      <c r="AD749" s="421"/>
    </row>
    <row r="750" spans="1:30" s="22" customFormat="1" x14ac:dyDescent="0.4">
      <c r="A750" s="178" t="s">
        <v>815</v>
      </c>
      <c r="B750" s="151" t="s">
        <v>71</v>
      </c>
      <c r="C750" s="30" t="str">
        <f>VLOOKUP(B750,'112年全品項生產鍋數'!A:H,2,0)</f>
        <v>＃1草莓(1*3.2kg)</v>
      </c>
      <c r="D750" s="287">
        <v>72</v>
      </c>
      <c r="E750" s="48">
        <f>VLOOKUP(B750,'112年全品項生產鍋數'!A:H,3,0)</f>
        <v>3.2</v>
      </c>
      <c r="F750" s="45">
        <f>VLOOKUP(B750,'112年全品項生產鍋數'!A:H,7,0)</f>
        <v>46.8</v>
      </c>
      <c r="G750" s="49">
        <f t="shared" si="79"/>
        <v>3369.6</v>
      </c>
      <c r="H750" s="154">
        <v>3368</v>
      </c>
      <c r="I750" s="87">
        <f t="shared" si="76"/>
        <v>10777.6</v>
      </c>
      <c r="J750" s="100">
        <f t="shared" si="81"/>
        <v>0.99952516619183285</v>
      </c>
      <c r="K750" s="84">
        <f>VLOOKUP(B:B,'生產達成率(目標)'!A:C,3,0)</f>
        <v>1</v>
      </c>
      <c r="L750" s="20">
        <f t="shared" si="80"/>
        <v>0</v>
      </c>
      <c r="M750" s="235"/>
      <c r="N750" s="40">
        <v>2</v>
      </c>
      <c r="O750" s="166">
        <f t="shared" si="77"/>
        <v>0</v>
      </c>
      <c r="P750" s="40">
        <v>3366</v>
      </c>
      <c r="Q750" s="20">
        <f t="shared" si="82"/>
        <v>0.99940617577197155</v>
      </c>
      <c r="R750" s="38"/>
      <c r="S750" s="174"/>
      <c r="T750" s="86"/>
      <c r="U750" s="23"/>
      <c r="V750" s="458"/>
      <c r="W750" s="421"/>
      <c r="X750" s="458"/>
      <c r="Y750" s="421"/>
      <c r="Z750" s="421"/>
      <c r="AA750" s="421"/>
      <c r="AB750" s="421"/>
      <c r="AC750" s="421"/>
      <c r="AD750" s="421"/>
    </row>
    <row r="751" spans="1:30" s="22" customFormat="1" x14ac:dyDescent="0.4">
      <c r="A751" s="178" t="s">
        <v>815</v>
      </c>
      <c r="B751" s="151" t="s">
        <v>81</v>
      </c>
      <c r="C751" s="30" t="str">
        <f>VLOOKUP(B751,'112年全品項生產鍋數'!A:H,2,0)</f>
        <v>藍莓餡(1*6Kg)</v>
      </c>
      <c r="D751" s="287">
        <v>16</v>
      </c>
      <c r="E751" s="48">
        <f>VLOOKUP(B751,'112年全品項生產鍋數'!A:H,3,0)</f>
        <v>6</v>
      </c>
      <c r="F751" s="45">
        <f>VLOOKUP(B751,'112年全品項生產鍋數'!A:H,7,0)</f>
        <v>25.1</v>
      </c>
      <c r="G751" s="49">
        <f t="shared" si="79"/>
        <v>401.6</v>
      </c>
      <c r="H751" s="154">
        <v>402</v>
      </c>
      <c r="I751" s="87">
        <f t="shared" si="76"/>
        <v>2412</v>
      </c>
      <c r="J751" s="100">
        <f t="shared" si="81"/>
        <v>1.000996015936255</v>
      </c>
      <c r="K751" s="84">
        <f>VLOOKUP(B:B,'生產達成率(目標)'!A:C,3,0)</f>
        <v>1</v>
      </c>
      <c r="L751" s="20">
        <f t="shared" si="80"/>
        <v>1E-3</v>
      </c>
      <c r="M751" s="235"/>
      <c r="N751" s="40">
        <v>2</v>
      </c>
      <c r="O751" s="166">
        <f t="shared" si="77"/>
        <v>1</v>
      </c>
      <c r="P751" s="40">
        <v>399</v>
      </c>
      <c r="Q751" s="20">
        <f t="shared" si="82"/>
        <v>0.9925373134328358</v>
      </c>
      <c r="R751" s="38"/>
      <c r="S751" s="174"/>
      <c r="T751" s="86" t="s">
        <v>439</v>
      </c>
      <c r="U751" s="23"/>
      <c r="V751" s="458"/>
      <c r="W751" s="421"/>
      <c r="X751" s="458"/>
      <c r="Y751" s="421"/>
      <c r="Z751" s="421"/>
      <c r="AA751" s="421"/>
      <c r="AB751" s="421"/>
      <c r="AC751" s="421"/>
      <c r="AD751" s="421"/>
    </row>
    <row r="752" spans="1:30" s="22" customFormat="1" x14ac:dyDescent="0.4">
      <c r="A752" s="178" t="s">
        <v>815</v>
      </c>
      <c r="B752" s="151" t="s">
        <v>2</v>
      </c>
      <c r="C752" s="30" t="str">
        <f>VLOOKUP(B752,'112年全品項生產鍋數'!A:H,2,0)</f>
        <v>草莓醬(1*6kg)</v>
      </c>
      <c r="D752" s="287">
        <v>20</v>
      </c>
      <c r="E752" s="48">
        <f>VLOOKUP(B752,'112年全品項生產鍋數'!A:H,3,0)</f>
        <v>6</v>
      </c>
      <c r="F752" s="45">
        <f>VLOOKUP(B752,'112年全品項生產鍋數'!A:H,7,0)</f>
        <v>26.6</v>
      </c>
      <c r="G752" s="49">
        <f t="shared" si="79"/>
        <v>532</v>
      </c>
      <c r="H752" s="154">
        <v>533</v>
      </c>
      <c r="I752" s="87">
        <f t="shared" si="76"/>
        <v>3198</v>
      </c>
      <c r="J752" s="100">
        <f t="shared" si="81"/>
        <v>1.0018796992481203</v>
      </c>
      <c r="K752" s="84">
        <f>VLOOKUP(B:B,'生產達成率(目標)'!A:C,3,0)</f>
        <v>1</v>
      </c>
      <c r="L752" s="20">
        <f t="shared" si="80"/>
        <v>2E-3</v>
      </c>
      <c r="M752" s="235"/>
      <c r="N752" s="40">
        <v>1</v>
      </c>
      <c r="O752" s="166">
        <f t="shared" si="77"/>
        <v>1</v>
      </c>
      <c r="P752" s="40">
        <v>531</v>
      </c>
      <c r="Q752" s="20">
        <f t="shared" si="82"/>
        <v>0.99624765478424016</v>
      </c>
      <c r="R752" s="38"/>
      <c r="S752" s="174"/>
      <c r="T752" s="86" t="s">
        <v>462</v>
      </c>
      <c r="U752" s="23"/>
      <c r="V752" s="458"/>
      <c r="W752" s="421"/>
      <c r="X752" s="458"/>
      <c r="Y752" s="421"/>
      <c r="Z752" s="421"/>
      <c r="AA752" s="421"/>
      <c r="AB752" s="421"/>
      <c r="AC752" s="421"/>
      <c r="AD752" s="421"/>
    </row>
    <row r="753" spans="1:30" s="22" customFormat="1" x14ac:dyDescent="0.4">
      <c r="A753" s="178" t="s">
        <v>815</v>
      </c>
      <c r="B753" s="151" t="s">
        <v>65</v>
      </c>
      <c r="C753" s="30" t="str">
        <f>VLOOKUP(B753,'112年全品項生產鍋數'!A:H,2,0)</f>
        <v>＃1花生(1*2.8kg)</v>
      </c>
      <c r="D753" s="287">
        <v>60</v>
      </c>
      <c r="E753" s="48">
        <f>VLOOKUP(B753,'112年全品項生產鍋數'!A:H,3,0)</f>
        <v>2.8</v>
      </c>
      <c r="F753" s="45">
        <f>VLOOKUP(B753,'112年全品項生產鍋數'!A:H,7,0)</f>
        <v>44.5</v>
      </c>
      <c r="G753" s="49">
        <f t="shared" si="79"/>
        <v>2670</v>
      </c>
      <c r="H753" s="154">
        <v>1983</v>
      </c>
      <c r="I753" s="87">
        <f t="shared" si="76"/>
        <v>5552.4</v>
      </c>
      <c r="J753" s="100">
        <f t="shared" si="81"/>
        <v>0.74269662921348312</v>
      </c>
      <c r="K753" s="84">
        <f>VLOOKUP(B:B,'生產達成率(目標)'!A:C,3,0)</f>
        <v>1</v>
      </c>
      <c r="L753" s="20">
        <f t="shared" si="80"/>
        <v>-0.25700000000000001</v>
      </c>
      <c r="M753" s="235"/>
      <c r="N753" s="40">
        <v>1</v>
      </c>
      <c r="O753" s="166">
        <f t="shared" si="77"/>
        <v>0</v>
      </c>
      <c r="P753" s="40">
        <v>1982</v>
      </c>
      <c r="Q753" s="20">
        <f t="shared" si="82"/>
        <v>0.99949571356530509</v>
      </c>
      <c r="R753" s="38"/>
      <c r="S753" s="174"/>
      <c r="T753" s="88" t="s">
        <v>487</v>
      </c>
      <c r="U753" s="23"/>
      <c r="V753" s="458"/>
      <c r="W753" s="421"/>
      <c r="X753" s="458"/>
      <c r="Y753" s="421"/>
      <c r="Z753" s="421"/>
      <c r="AA753" s="421"/>
      <c r="AB753" s="421"/>
      <c r="AC753" s="421"/>
      <c r="AD753" s="421"/>
    </row>
    <row r="754" spans="1:30" s="22" customFormat="1" x14ac:dyDescent="0.4">
      <c r="A754" s="178" t="s">
        <v>815</v>
      </c>
      <c r="B754" s="151" t="s">
        <v>488</v>
      </c>
      <c r="C754" s="30" t="str">
        <f>VLOOKUP(B754,'112年全品項生產鍋數'!A:H,2,0)</f>
        <v>文旦絲(1*1KG/包)</v>
      </c>
      <c r="D754" s="287">
        <v>1</v>
      </c>
      <c r="E754" s="48">
        <f>VLOOKUP(B754,'112年全品項生產鍋數'!A:H,3,0)</f>
        <v>1</v>
      </c>
      <c r="F754" s="45">
        <f>VLOOKUP(B754,'112年全品項生產鍋數'!A:H,7,0)</f>
        <v>670</v>
      </c>
      <c r="G754" s="49">
        <f t="shared" si="79"/>
        <v>670</v>
      </c>
      <c r="H754" s="154">
        <v>408</v>
      </c>
      <c r="I754" s="87">
        <f t="shared" si="76"/>
        <v>408</v>
      </c>
      <c r="J754" s="100">
        <f t="shared" si="81"/>
        <v>0.60895522388059697</v>
      </c>
      <c r="K754" s="84">
        <f>VLOOKUP(B:B,'生產達成率(目標)'!A:C,3,0)</f>
        <v>1</v>
      </c>
      <c r="L754" s="20">
        <f t="shared" si="80"/>
        <v>-0.39100000000000001</v>
      </c>
      <c r="M754" s="235"/>
      <c r="N754" s="40">
        <v>0</v>
      </c>
      <c r="O754" s="166">
        <f t="shared" si="77"/>
        <v>0</v>
      </c>
      <c r="P754" s="40">
        <v>408</v>
      </c>
      <c r="Q754" s="20">
        <f t="shared" si="82"/>
        <v>1</v>
      </c>
      <c r="R754" s="38"/>
      <c r="S754" s="174"/>
      <c r="T754" s="44"/>
      <c r="U754" s="23"/>
      <c r="V754" s="458"/>
      <c r="W754" s="421"/>
      <c r="X754" s="458"/>
      <c r="Y754" s="421"/>
      <c r="Z754" s="421"/>
      <c r="AA754" s="421"/>
      <c r="AB754" s="421"/>
      <c r="AC754" s="421"/>
      <c r="AD754" s="421"/>
    </row>
    <row r="755" spans="1:30" s="22" customFormat="1" x14ac:dyDescent="0.4">
      <c r="A755" s="178" t="s">
        <v>816</v>
      </c>
      <c r="B755" s="151" t="s">
        <v>91</v>
      </c>
      <c r="C755" s="30" t="str">
        <f>VLOOKUP(B755,'112年全品項生產鍋數'!A:H,2,0)</f>
        <v>梨山草莓果醬(1*430g)</v>
      </c>
      <c r="D755" s="287">
        <v>12</v>
      </c>
      <c r="E755" s="48">
        <f>VLOOKUP(B755,'112年全品項生產鍋數'!A:H,3,0)</f>
        <v>0.43</v>
      </c>
      <c r="F755" s="45">
        <f>VLOOKUP(B755,'112年全品項生產鍋數'!A:H,7,0)</f>
        <v>340.4</v>
      </c>
      <c r="G755" s="49">
        <f t="shared" si="79"/>
        <v>4084.7999999999997</v>
      </c>
      <c r="H755" s="154">
        <f>2329+1802</f>
        <v>4131</v>
      </c>
      <c r="I755" s="87">
        <f t="shared" si="76"/>
        <v>1776.33</v>
      </c>
      <c r="J755" s="100">
        <f t="shared" si="81"/>
        <v>1.011310223266745</v>
      </c>
      <c r="K755" s="84">
        <f>VLOOKUP(B:B,'生產達成率(目標)'!A:C,3,0)</f>
        <v>1</v>
      </c>
      <c r="L755" s="20">
        <f t="shared" si="80"/>
        <v>1.0999999999999999E-2</v>
      </c>
      <c r="M755" s="235"/>
      <c r="N755" s="40">
        <v>2</v>
      </c>
      <c r="O755" s="166">
        <f t="shared" si="77"/>
        <v>5</v>
      </c>
      <c r="P755" s="40">
        <f>2324+1800</f>
        <v>4124</v>
      </c>
      <c r="Q755" s="20">
        <f t="shared" si="82"/>
        <v>0.9983054950375212</v>
      </c>
      <c r="R755" s="38"/>
      <c r="S755" s="174"/>
      <c r="T755" s="86" t="s">
        <v>489</v>
      </c>
      <c r="U755" s="23"/>
      <c r="V755" s="458"/>
      <c r="W755" s="421"/>
      <c r="X755" s="458"/>
      <c r="Y755" s="421"/>
      <c r="Z755" s="421"/>
      <c r="AA755" s="421"/>
      <c r="AB755" s="421"/>
      <c r="AC755" s="421"/>
      <c r="AD755" s="421"/>
    </row>
    <row r="756" spans="1:30" s="22" customFormat="1" x14ac:dyDescent="0.4">
      <c r="A756" s="178" t="s">
        <v>816</v>
      </c>
      <c r="B756" s="149" t="s">
        <v>41</v>
      </c>
      <c r="C756" s="30" t="str">
        <f>VLOOKUP(B756,'112年全品項生產鍋數'!A:H,2,0)</f>
        <v>天天開心藍莓餡4.5KG</v>
      </c>
      <c r="D756" s="287">
        <v>8</v>
      </c>
      <c r="E756" s="48">
        <f>VLOOKUP(B756,'112年全品項生產鍋數'!A:H,3,0)</f>
        <v>4.5</v>
      </c>
      <c r="F756" s="45">
        <f>VLOOKUP(B756,'112年全品項生產鍋數'!A:H,7,0)</f>
        <v>36.799999999999997</v>
      </c>
      <c r="G756" s="49">
        <f t="shared" si="79"/>
        <v>294.39999999999998</v>
      </c>
      <c r="H756" s="154">
        <v>293</v>
      </c>
      <c r="I756" s="87">
        <f t="shared" si="76"/>
        <v>1318.5</v>
      </c>
      <c r="J756" s="100">
        <f t="shared" si="81"/>
        <v>0.99524456521739135</v>
      </c>
      <c r="K756" s="84">
        <f>VLOOKUP(B:B,'生產達成率(目標)'!A:C,3,0)</f>
        <v>1</v>
      </c>
      <c r="L756" s="20">
        <f t="shared" si="80"/>
        <v>-5.0000000000000001E-3</v>
      </c>
      <c r="M756" s="235"/>
      <c r="N756" s="40">
        <v>0</v>
      </c>
      <c r="O756" s="166">
        <f t="shared" si="77"/>
        <v>0</v>
      </c>
      <c r="P756" s="40">
        <v>293</v>
      </c>
      <c r="Q756" s="20">
        <f t="shared" si="82"/>
        <v>1</v>
      </c>
      <c r="R756" s="38"/>
      <c r="S756" s="174"/>
      <c r="T756" s="86"/>
      <c r="U756" s="23"/>
      <c r="V756" s="458"/>
      <c r="W756" s="421"/>
      <c r="X756" s="458"/>
      <c r="Y756" s="421"/>
      <c r="Z756" s="421"/>
      <c r="AA756" s="421"/>
      <c r="AB756" s="421"/>
      <c r="AC756" s="421"/>
      <c r="AD756" s="421"/>
    </row>
    <row r="757" spans="1:30" s="22" customFormat="1" x14ac:dyDescent="0.4">
      <c r="A757" s="178" t="s">
        <v>816</v>
      </c>
      <c r="B757" s="151" t="s">
        <v>470</v>
      </c>
      <c r="C757" s="30" t="str">
        <f>VLOOKUP(B757,'112年全品項生產鍋數'!A:H,2,0)</f>
        <v>藍莓餡（小）(1*4.5kg)</v>
      </c>
      <c r="D757" s="287">
        <v>8</v>
      </c>
      <c r="E757" s="48">
        <f>VLOOKUP(B757,'112年全品項生產鍋數'!A:H,3,0)</f>
        <v>4.5</v>
      </c>
      <c r="F757" s="45">
        <f>VLOOKUP(B757,'112年全品項生產鍋數'!A:H,7,0)</f>
        <v>35</v>
      </c>
      <c r="G757" s="49">
        <f t="shared" si="79"/>
        <v>280</v>
      </c>
      <c r="H757" s="154">
        <v>285</v>
      </c>
      <c r="I757" s="87">
        <f t="shared" si="76"/>
        <v>1282.5</v>
      </c>
      <c r="J757" s="100">
        <f t="shared" si="81"/>
        <v>1.0178571428571428</v>
      </c>
      <c r="K757" s="84">
        <f>VLOOKUP(B:B,'生產達成率(目標)'!A:C,3,0)</f>
        <v>1</v>
      </c>
      <c r="L757" s="20">
        <f t="shared" si="80"/>
        <v>1.7999999999999999E-2</v>
      </c>
      <c r="M757" s="235"/>
      <c r="N757" s="40">
        <v>0</v>
      </c>
      <c r="O757" s="166">
        <f t="shared" si="77"/>
        <v>0</v>
      </c>
      <c r="P757" s="40">
        <v>285</v>
      </c>
      <c r="Q757" s="20">
        <f t="shared" si="82"/>
        <v>1</v>
      </c>
      <c r="R757" s="38"/>
      <c r="S757" s="174"/>
      <c r="T757" s="86"/>
      <c r="U757" s="23"/>
      <c r="V757" s="458"/>
      <c r="W757" s="421"/>
      <c r="X757" s="458"/>
      <c r="Y757" s="421"/>
      <c r="Z757" s="421"/>
      <c r="AA757" s="421"/>
      <c r="AB757" s="421"/>
      <c r="AC757" s="421"/>
      <c r="AD757" s="421"/>
    </row>
    <row r="758" spans="1:30" s="22" customFormat="1" x14ac:dyDescent="0.4">
      <c r="A758" s="178" t="s">
        <v>816</v>
      </c>
      <c r="B758" s="151" t="s">
        <v>73</v>
      </c>
      <c r="C758" s="30" t="str">
        <f>VLOOKUP(B758,'112年全品項生產鍋數'!A:H,2,0)</f>
        <v>顆粒花生醬(1*12KG)</v>
      </c>
      <c r="D758" s="287">
        <v>21</v>
      </c>
      <c r="E758" s="48">
        <f>VLOOKUP(B758,'112年全品項生產鍋數'!A:H,3,0)</f>
        <v>3</v>
      </c>
      <c r="F758" s="45">
        <f>VLOOKUP(B758,'112年全品項生產鍋數'!A:H,7,0)</f>
        <v>29.7</v>
      </c>
      <c r="G758" s="49">
        <f t="shared" si="79"/>
        <v>623.69999999999993</v>
      </c>
      <c r="H758" s="154">
        <v>632</v>
      </c>
      <c r="I758" s="87">
        <f t="shared" si="76"/>
        <v>1896</v>
      </c>
      <c r="J758" s="100">
        <f t="shared" si="81"/>
        <v>1.0133076799743468</v>
      </c>
      <c r="K758" s="84">
        <f>VLOOKUP(B:B,'生產達成率(目標)'!A:C,3,0)</f>
        <v>1</v>
      </c>
      <c r="L758" s="20">
        <f t="shared" si="80"/>
        <v>1.2999999999999999E-2</v>
      </c>
      <c r="M758" s="235"/>
      <c r="N758" s="40">
        <v>0</v>
      </c>
      <c r="O758" s="166">
        <f t="shared" si="77"/>
        <v>0</v>
      </c>
      <c r="P758" s="40">
        <v>632</v>
      </c>
      <c r="Q758" s="20">
        <f t="shared" si="82"/>
        <v>1</v>
      </c>
      <c r="R758" s="38"/>
      <c r="S758" s="174"/>
      <c r="T758" s="30"/>
      <c r="U758" s="23"/>
      <c r="V758" s="458"/>
      <c r="W758" s="421"/>
      <c r="X758" s="458"/>
      <c r="Y758" s="421"/>
      <c r="Z758" s="421"/>
      <c r="AA758" s="421"/>
      <c r="AB758" s="421"/>
      <c r="AC758" s="421"/>
      <c r="AD758" s="421"/>
    </row>
    <row r="759" spans="1:30" s="22" customFormat="1" x14ac:dyDescent="0.4">
      <c r="A759" s="178" t="s">
        <v>816</v>
      </c>
      <c r="B759" s="151" t="s">
        <v>65</v>
      </c>
      <c r="C759" s="30" t="str">
        <f>VLOOKUP(B759,'112年全品項生產鍋數'!A:H,2,0)</f>
        <v>＃1花生(1*2.8kg)</v>
      </c>
      <c r="D759" s="287">
        <v>60</v>
      </c>
      <c r="E759" s="48">
        <f>VLOOKUP(B759,'112年全品項生產鍋數'!A:H,3,0)</f>
        <v>2.8</v>
      </c>
      <c r="F759" s="45">
        <f>VLOOKUP(B759,'112年全品項生產鍋數'!A:H,7,0)</f>
        <v>44.5</v>
      </c>
      <c r="G759" s="49">
        <f t="shared" si="79"/>
        <v>2670</v>
      </c>
      <c r="H759" s="154">
        <v>2678</v>
      </c>
      <c r="I759" s="87">
        <f t="shared" si="76"/>
        <v>7498.4</v>
      </c>
      <c r="J759" s="100">
        <f t="shared" si="81"/>
        <v>1.002996254681648</v>
      </c>
      <c r="K759" s="84">
        <f>VLOOKUP(B:B,'生產達成率(目標)'!A:C,3,0)</f>
        <v>1</v>
      </c>
      <c r="L759" s="20">
        <f t="shared" si="80"/>
        <v>3.0000000000000001E-3</v>
      </c>
      <c r="M759" s="235"/>
      <c r="N759" s="40">
        <v>1</v>
      </c>
      <c r="O759" s="166">
        <f t="shared" si="77"/>
        <v>0</v>
      </c>
      <c r="P759" s="40">
        <v>2677</v>
      </c>
      <c r="Q759" s="20">
        <f t="shared" si="82"/>
        <v>0.99962658700522777</v>
      </c>
      <c r="R759" s="38"/>
      <c r="S759" s="174"/>
      <c r="T759" s="86"/>
      <c r="U759" s="23"/>
      <c r="V759" s="458"/>
      <c r="W759" s="421"/>
      <c r="X759" s="458"/>
      <c r="Y759" s="421"/>
      <c r="Z759" s="421"/>
      <c r="AA759" s="421"/>
      <c r="AB759" s="421"/>
      <c r="AC759" s="421"/>
      <c r="AD759" s="421"/>
    </row>
    <row r="760" spans="1:30" s="22" customFormat="1" x14ac:dyDescent="0.4">
      <c r="A760" s="178" t="s">
        <v>817</v>
      </c>
      <c r="B760" s="149" t="s">
        <v>11</v>
      </c>
      <c r="C760" s="30" t="str">
        <f>VLOOKUP(B760,'112年全品項生產鍋數'!A:H,2,0)</f>
        <v>#2草莓果醬(1*900g)</v>
      </c>
      <c r="D760" s="287">
        <v>40</v>
      </c>
      <c r="E760" s="48">
        <f>VLOOKUP(B760,'112年全品項生產鍋數'!A:H,3,0)</f>
        <v>0.9</v>
      </c>
      <c r="F760" s="45">
        <f>VLOOKUP(B760,'112年全品項生產鍋數'!A:H,7,0)</f>
        <v>160.5</v>
      </c>
      <c r="G760" s="49">
        <f t="shared" si="79"/>
        <v>6420</v>
      </c>
      <c r="H760" s="154">
        <v>6606</v>
      </c>
      <c r="I760" s="87">
        <f t="shared" si="76"/>
        <v>5945.4000000000005</v>
      </c>
      <c r="J760" s="100">
        <f t="shared" si="81"/>
        <v>1.0289719626168223</v>
      </c>
      <c r="K760" s="84">
        <f>VLOOKUP(B:B,'生產達成率(目標)'!A:C,3,0)</f>
        <v>1</v>
      </c>
      <c r="L760" s="20">
        <f t="shared" si="80"/>
        <v>2.9000000000000001E-2</v>
      </c>
      <c r="M760" s="235"/>
      <c r="N760" s="40">
        <v>2</v>
      </c>
      <c r="O760" s="166">
        <f t="shared" si="77"/>
        <v>0</v>
      </c>
      <c r="P760" s="40">
        <v>6604</v>
      </c>
      <c r="Q760" s="20">
        <f t="shared" si="82"/>
        <v>0.99969724492885259</v>
      </c>
      <c r="R760" s="38"/>
      <c r="S760" s="174"/>
      <c r="T760" s="86"/>
      <c r="U760" s="23"/>
      <c r="V760" s="458"/>
      <c r="W760" s="421"/>
      <c r="X760" s="458"/>
      <c r="Y760" s="421"/>
      <c r="Z760" s="421"/>
      <c r="AA760" s="421"/>
      <c r="AB760" s="421"/>
      <c r="AC760" s="421"/>
      <c r="AD760" s="421"/>
    </row>
    <row r="761" spans="1:30" s="22" customFormat="1" x14ac:dyDescent="0.4">
      <c r="A761" s="178" t="s">
        <v>817</v>
      </c>
      <c r="B761" s="149" t="s">
        <v>72</v>
      </c>
      <c r="C761" s="30" t="str">
        <f>VLOOKUP(B761,'112年全品項生產鍋數'!A:H,2,0)</f>
        <v>草莓餡45%(1*6Kg)</v>
      </c>
      <c r="D761" s="287">
        <v>24</v>
      </c>
      <c r="E761" s="48">
        <f>VLOOKUP(B761,'112年全品項生產鍋數'!A:H,3,0)</f>
        <v>6</v>
      </c>
      <c r="F761" s="45">
        <f>VLOOKUP(B761,'112年全品項生產鍋數'!A:H,7,0)</f>
        <v>26.1</v>
      </c>
      <c r="G761" s="49">
        <f t="shared" si="79"/>
        <v>626.40000000000009</v>
      </c>
      <c r="H761" s="154">
        <v>624</v>
      </c>
      <c r="I761" s="87">
        <f t="shared" si="76"/>
        <v>3744</v>
      </c>
      <c r="J761" s="100">
        <f t="shared" si="81"/>
        <v>0.99616858237547878</v>
      </c>
      <c r="K761" s="84">
        <f>VLOOKUP(B:B,'生產達成率(目標)'!A:C,3,0)</f>
        <v>1</v>
      </c>
      <c r="L761" s="20">
        <f t="shared" si="80"/>
        <v>-4.0000000000000001E-3</v>
      </c>
      <c r="M761" s="235"/>
      <c r="N761" s="40">
        <v>1</v>
      </c>
      <c r="O761" s="166">
        <f t="shared" si="77"/>
        <v>0</v>
      </c>
      <c r="P761" s="40">
        <v>623</v>
      </c>
      <c r="Q761" s="20">
        <f t="shared" si="82"/>
        <v>0.9983974358974359</v>
      </c>
      <c r="R761" s="38"/>
      <c r="S761" s="174"/>
      <c r="T761" s="86"/>
      <c r="U761" s="23"/>
      <c r="V761" s="458"/>
      <c r="W761" s="421"/>
      <c r="X761" s="458"/>
      <c r="Y761" s="421"/>
      <c r="Z761" s="421"/>
      <c r="AA761" s="421"/>
      <c r="AB761" s="421"/>
      <c r="AC761" s="421"/>
      <c r="AD761" s="421"/>
    </row>
    <row r="762" spans="1:30" s="22" customFormat="1" x14ac:dyDescent="0.4">
      <c r="A762" s="178" t="s">
        <v>817</v>
      </c>
      <c r="B762" s="151" t="s">
        <v>109</v>
      </c>
      <c r="C762" s="30" t="str">
        <f>VLOOKUP(B762,'112年全品項生產鍋數'!A:H,2,0)</f>
        <v>蔓越莓醬(1*6KG)</v>
      </c>
      <c r="D762" s="287">
        <v>16</v>
      </c>
      <c r="E762" s="48">
        <f>VLOOKUP(B762,'112年全品項生產鍋數'!A:H,3,0)</f>
        <v>6</v>
      </c>
      <c r="F762" s="45">
        <f>VLOOKUP(B762,'112年全品項生產鍋數'!A:H,7,0)</f>
        <v>25.6</v>
      </c>
      <c r="G762" s="49">
        <f t="shared" si="79"/>
        <v>409.6</v>
      </c>
      <c r="H762" s="154">
        <v>497</v>
      </c>
      <c r="I762" s="87">
        <f t="shared" si="76"/>
        <v>2982</v>
      </c>
      <c r="J762" s="100">
        <f t="shared" si="81"/>
        <v>1.21337890625</v>
      </c>
      <c r="K762" s="84">
        <f>VLOOKUP(B:B,'生產達成率(目標)'!A:C,3,0)</f>
        <v>1</v>
      </c>
      <c r="L762" s="20">
        <f t="shared" si="80"/>
        <v>0.21299999999999999</v>
      </c>
      <c r="M762" s="235"/>
      <c r="N762" s="40">
        <v>1</v>
      </c>
      <c r="O762" s="166">
        <f t="shared" si="77"/>
        <v>2</v>
      </c>
      <c r="P762" s="40">
        <v>494</v>
      </c>
      <c r="Q762" s="20">
        <f t="shared" si="82"/>
        <v>0.99396378269617702</v>
      </c>
      <c r="R762" s="38"/>
      <c r="S762" s="173">
        <f>71*6</f>
        <v>426</v>
      </c>
      <c r="T762" s="30" t="s">
        <v>935</v>
      </c>
      <c r="U762" s="23"/>
      <c r="V762" s="458"/>
      <c r="W762" s="421"/>
      <c r="X762" s="458"/>
      <c r="Y762" s="421"/>
      <c r="Z762" s="421"/>
      <c r="AA762" s="421"/>
      <c r="AB762" s="421"/>
      <c r="AC762" s="421"/>
      <c r="AD762" s="421"/>
    </row>
    <row r="763" spans="1:30" s="22" customFormat="1" x14ac:dyDescent="0.4">
      <c r="A763" s="178" t="s">
        <v>817</v>
      </c>
      <c r="B763" s="151" t="s">
        <v>471</v>
      </c>
      <c r="C763" s="30" t="str">
        <f>VLOOKUP(B763,'112年全品項生產鍋數'!A:H,2,0)</f>
        <v>花生醬(1*290g)</v>
      </c>
      <c r="D763" s="287">
        <v>8</v>
      </c>
      <c r="E763" s="48">
        <f>VLOOKUP(B763,'112年全品項生產鍋數'!A:H,3,0)</f>
        <v>0.28999999999999998</v>
      </c>
      <c r="F763" s="45">
        <f>VLOOKUP(B763,'112年全品項生產鍋數'!A:H,7,0)</f>
        <v>412.6</v>
      </c>
      <c r="G763" s="49">
        <f t="shared" si="79"/>
        <v>3300.8</v>
      </c>
      <c r="H763" s="154">
        <v>3294</v>
      </c>
      <c r="I763" s="87">
        <f t="shared" si="76"/>
        <v>955.26</v>
      </c>
      <c r="J763" s="100">
        <f t="shared" si="81"/>
        <v>0.99793989335918565</v>
      </c>
      <c r="K763" s="84">
        <f>VLOOKUP(B:B,'生產達成率(目標)'!A:C,3,0)</f>
        <v>1</v>
      </c>
      <c r="L763" s="20">
        <f t="shared" si="80"/>
        <v>-2E-3</v>
      </c>
      <c r="M763" s="235"/>
      <c r="N763" s="40">
        <v>1</v>
      </c>
      <c r="O763" s="166">
        <f t="shared" si="77"/>
        <v>3</v>
      </c>
      <c r="P763" s="40">
        <v>3290</v>
      </c>
      <c r="Q763" s="20">
        <f t="shared" si="82"/>
        <v>0.99878567091681847</v>
      </c>
      <c r="R763" s="38"/>
      <c r="S763" s="174"/>
      <c r="T763" s="86"/>
      <c r="U763" s="23"/>
      <c r="V763" s="458"/>
      <c r="W763" s="421"/>
      <c r="X763" s="458"/>
      <c r="Y763" s="421"/>
      <c r="Z763" s="421"/>
      <c r="AA763" s="421"/>
      <c r="AB763" s="421"/>
      <c r="AC763" s="421"/>
      <c r="AD763" s="421"/>
    </row>
    <row r="764" spans="1:30" s="22" customFormat="1" x14ac:dyDescent="0.4">
      <c r="A764" s="178" t="s">
        <v>817</v>
      </c>
      <c r="B764" s="149" t="s">
        <v>23</v>
      </c>
      <c r="C764" s="30" t="str">
        <f>VLOOKUP(B764,'112年全品項生產鍋數'!A:H,2,0)</f>
        <v>＃1花生(粒)(1*2.8kg)</v>
      </c>
      <c r="D764" s="287">
        <v>32</v>
      </c>
      <c r="E764" s="48">
        <f>VLOOKUP(B764,'112年全品項生產鍋數'!A:H,3,0)</f>
        <v>2.8</v>
      </c>
      <c r="F764" s="45">
        <f>VLOOKUP(B764,'112年全品項生產鍋數'!A:H,7,0)</f>
        <v>44.2</v>
      </c>
      <c r="G764" s="49">
        <f t="shared" si="79"/>
        <v>1414.4</v>
      </c>
      <c r="H764" s="154">
        <v>1444</v>
      </c>
      <c r="I764" s="87">
        <f t="shared" si="76"/>
        <v>4043.2</v>
      </c>
      <c r="J764" s="100">
        <f t="shared" si="81"/>
        <v>1.0209276018099547</v>
      </c>
      <c r="K764" s="84">
        <f>VLOOKUP(B:B,'生產達成率(目標)'!A:C,3,0)</f>
        <v>1</v>
      </c>
      <c r="L764" s="20">
        <f t="shared" si="80"/>
        <v>2.1000000000000001E-2</v>
      </c>
      <c r="M764" s="235"/>
      <c r="N764" s="40">
        <v>1</v>
      </c>
      <c r="O764" s="166">
        <f t="shared" si="77"/>
        <v>0</v>
      </c>
      <c r="P764" s="40">
        <v>1443</v>
      </c>
      <c r="Q764" s="20">
        <f t="shared" si="82"/>
        <v>0.99930747922437668</v>
      </c>
      <c r="R764" s="38"/>
      <c r="S764" s="174"/>
      <c r="T764" s="86"/>
      <c r="U764" s="23"/>
      <c r="V764" s="458"/>
      <c r="W764" s="421"/>
      <c r="X764" s="458"/>
      <c r="Y764" s="421"/>
      <c r="Z764" s="421"/>
      <c r="AA764" s="421"/>
      <c r="AB764" s="421"/>
      <c r="AC764" s="421"/>
      <c r="AD764" s="421"/>
    </row>
    <row r="765" spans="1:30" s="22" customFormat="1" x14ac:dyDescent="0.4">
      <c r="A765" s="178" t="s">
        <v>818</v>
      </c>
      <c r="B765" s="149" t="s">
        <v>36</v>
      </c>
      <c r="C765" s="30" t="str">
        <f>VLOOKUP(B765,'112年全品項生產鍋數'!A:H,2,0)</f>
        <v>開心草莓果醬(1*430g)</v>
      </c>
      <c r="D765" s="287">
        <v>15</v>
      </c>
      <c r="E765" s="48">
        <f>VLOOKUP(B765,'112年全品項生產鍋數'!A:H,3,0)</f>
        <v>0.43</v>
      </c>
      <c r="F765" s="45">
        <f>VLOOKUP(B765,'112年全品項生產鍋數'!A:H,7,0)</f>
        <v>364</v>
      </c>
      <c r="G765" s="49">
        <f t="shared" si="79"/>
        <v>5460</v>
      </c>
      <c r="H765" s="154">
        <v>5516</v>
      </c>
      <c r="I765" s="87">
        <f t="shared" si="76"/>
        <v>2371.88</v>
      </c>
      <c r="J765" s="100">
        <f t="shared" si="81"/>
        <v>1.0102564102564102</v>
      </c>
      <c r="K765" s="84">
        <f>VLOOKUP(B:B,'生產達成率(目標)'!A:C,3,0)</f>
        <v>1</v>
      </c>
      <c r="L765" s="20">
        <f t="shared" si="80"/>
        <v>0.01</v>
      </c>
      <c r="M765" s="235"/>
      <c r="N765" s="40">
        <v>2</v>
      </c>
      <c r="O765" s="166">
        <f t="shared" si="77"/>
        <v>3</v>
      </c>
      <c r="P765" s="40">
        <v>5511</v>
      </c>
      <c r="Q765" s="20">
        <f t="shared" si="82"/>
        <v>0.99909354604786071</v>
      </c>
      <c r="R765" s="38"/>
      <c r="S765" s="174"/>
      <c r="T765" s="86" t="s">
        <v>490</v>
      </c>
      <c r="U765" s="23"/>
      <c r="V765" s="458"/>
      <c r="W765" s="421"/>
      <c r="X765" s="458"/>
      <c r="Y765" s="421"/>
      <c r="Z765" s="421"/>
      <c r="AA765" s="421"/>
      <c r="AB765" s="421"/>
      <c r="AC765" s="421"/>
      <c r="AD765" s="421"/>
    </row>
    <row r="766" spans="1:30" s="22" customFormat="1" x14ac:dyDescent="0.4">
      <c r="A766" s="178" t="s">
        <v>818</v>
      </c>
      <c r="B766" s="151" t="s">
        <v>106</v>
      </c>
      <c r="C766" s="30" t="str">
        <f>VLOOKUP(B766,'112年全品項生產鍋數'!A:H,2,0)</f>
        <v>小藍莓1*260G</v>
      </c>
      <c r="D766" s="287">
        <v>16</v>
      </c>
      <c r="E766" s="48">
        <f>VLOOKUP(B766,'112年全品項生產鍋數'!A:H,3,0)</f>
        <v>0.26</v>
      </c>
      <c r="F766" s="45">
        <f>VLOOKUP(B766,'112年全品項生產鍋數'!A:H,7,0)</f>
        <v>584.29999999999995</v>
      </c>
      <c r="G766" s="49">
        <f t="shared" si="79"/>
        <v>9348.7999999999993</v>
      </c>
      <c r="H766" s="154">
        <v>9450</v>
      </c>
      <c r="I766" s="87">
        <f t="shared" si="76"/>
        <v>2457</v>
      </c>
      <c r="J766" s="100">
        <f t="shared" si="81"/>
        <v>1.0108249187061442</v>
      </c>
      <c r="K766" s="84">
        <f>VLOOKUP(B:B,'生產達成率(目標)'!A:C,3,0)</f>
        <v>1</v>
      </c>
      <c r="L766" s="20">
        <f t="shared" si="80"/>
        <v>1.0999999999999999E-2</v>
      </c>
      <c r="M766" s="235"/>
      <c r="N766" s="40">
        <v>2</v>
      </c>
      <c r="O766" s="166">
        <f t="shared" si="77"/>
        <v>36</v>
      </c>
      <c r="P766" s="40">
        <v>9412</v>
      </c>
      <c r="Q766" s="20">
        <f t="shared" si="82"/>
        <v>0.99597883597883596</v>
      </c>
      <c r="R766" s="38"/>
      <c r="S766" s="174"/>
      <c r="T766" s="86" t="s">
        <v>491</v>
      </c>
      <c r="U766" s="23"/>
      <c r="V766" s="458"/>
      <c r="W766" s="421"/>
      <c r="X766" s="458"/>
      <c r="Y766" s="421"/>
      <c r="Z766" s="421"/>
      <c r="AA766" s="421"/>
      <c r="AB766" s="421"/>
      <c r="AC766" s="421"/>
      <c r="AD766" s="421"/>
    </row>
    <row r="767" spans="1:30" s="22" customFormat="1" x14ac:dyDescent="0.4">
      <c r="A767" s="178" t="s">
        <v>818</v>
      </c>
      <c r="B767" s="151" t="s">
        <v>63</v>
      </c>
      <c r="C767" s="30" t="str">
        <f>VLOOKUP(B767,'112年全品項生產鍋數'!A:H,2,0)</f>
        <v>草莓蒟蒻餡(1*6kg)</v>
      </c>
      <c r="D767" s="287">
        <v>20</v>
      </c>
      <c r="E767" s="48">
        <f>VLOOKUP(B767,'112年全品項生產鍋數'!A:H,3,0)</f>
        <v>6</v>
      </c>
      <c r="F767" s="45">
        <f>VLOOKUP(B767,'112年全品項生產鍋數'!A:H,7,0)</f>
        <v>25.7</v>
      </c>
      <c r="G767" s="49">
        <f t="shared" si="79"/>
        <v>514</v>
      </c>
      <c r="H767" s="154">
        <f>301+209</f>
        <v>510</v>
      </c>
      <c r="I767" s="87">
        <f t="shared" ref="I767:I830" si="83">H767*E767</f>
        <v>3060</v>
      </c>
      <c r="J767" s="100">
        <f t="shared" si="81"/>
        <v>0.99221789883268485</v>
      </c>
      <c r="K767" s="84">
        <f>VLOOKUP(B:B,'生產達成率(目標)'!A:C,3,0)</f>
        <v>1</v>
      </c>
      <c r="L767" s="20">
        <f t="shared" si="80"/>
        <v>-8.0000000000000002E-3</v>
      </c>
      <c r="M767" s="235"/>
      <c r="N767" s="40">
        <v>1</v>
      </c>
      <c r="O767" s="166">
        <f t="shared" ref="O767:O818" si="84">H767-N767-P767</f>
        <v>1</v>
      </c>
      <c r="P767" s="40">
        <f>300+208</f>
        <v>508</v>
      </c>
      <c r="Q767" s="20">
        <f t="shared" si="82"/>
        <v>0.99607843137254903</v>
      </c>
      <c r="R767" s="38"/>
      <c r="S767" s="174"/>
      <c r="T767" s="86" t="s">
        <v>439</v>
      </c>
      <c r="U767" s="23"/>
      <c r="V767" s="458"/>
      <c r="W767" s="421"/>
      <c r="X767" s="458"/>
      <c r="Y767" s="421"/>
      <c r="Z767" s="421"/>
      <c r="AA767" s="421"/>
      <c r="AB767" s="421"/>
      <c r="AC767" s="421"/>
      <c r="AD767" s="421"/>
    </row>
    <row r="768" spans="1:30" s="22" customFormat="1" x14ac:dyDescent="0.4">
      <c r="A768" s="178" t="s">
        <v>818</v>
      </c>
      <c r="B768" s="151" t="s">
        <v>2</v>
      </c>
      <c r="C768" s="30" t="str">
        <f>VLOOKUP(B768,'112年全品項生產鍋數'!A:H,2,0)</f>
        <v>草莓醬(1*6kg)</v>
      </c>
      <c r="D768" s="287">
        <v>20</v>
      </c>
      <c r="E768" s="48">
        <f>VLOOKUP(B768,'112年全品項生產鍋數'!A:H,3,0)</f>
        <v>6</v>
      </c>
      <c r="F768" s="45">
        <f>VLOOKUP(B768,'112年全品項生產鍋數'!A:H,7,0)</f>
        <v>26.6</v>
      </c>
      <c r="G768" s="49">
        <f t="shared" si="79"/>
        <v>532</v>
      </c>
      <c r="H768" s="154">
        <v>528</v>
      </c>
      <c r="I768" s="87">
        <f t="shared" si="83"/>
        <v>3168</v>
      </c>
      <c r="J768" s="100">
        <f t="shared" si="81"/>
        <v>0.99248120300751874</v>
      </c>
      <c r="K768" s="84">
        <f>VLOOKUP(B:B,'生產達成率(目標)'!A:C,3,0)</f>
        <v>1</v>
      </c>
      <c r="L768" s="20">
        <f t="shared" si="80"/>
        <v>-8.0000000000000002E-3</v>
      </c>
      <c r="M768" s="235"/>
      <c r="N768" s="40">
        <v>1</v>
      </c>
      <c r="O768" s="166">
        <f t="shared" si="84"/>
        <v>0</v>
      </c>
      <c r="P768" s="40">
        <v>527</v>
      </c>
      <c r="Q768" s="20">
        <f t="shared" si="82"/>
        <v>0.99810606060606055</v>
      </c>
      <c r="R768" s="38"/>
      <c r="S768" s="174"/>
      <c r="T768" s="86"/>
      <c r="U768" s="23"/>
      <c r="V768" s="458"/>
      <c r="W768" s="421"/>
      <c r="X768" s="458"/>
      <c r="Y768" s="421"/>
      <c r="Z768" s="421"/>
      <c r="AA768" s="421"/>
      <c r="AB768" s="421"/>
      <c r="AC768" s="421"/>
      <c r="AD768" s="421"/>
    </row>
    <row r="769" spans="1:30" s="22" customFormat="1" x14ac:dyDescent="0.4">
      <c r="A769" s="178" t="s">
        <v>818</v>
      </c>
      <c r="B769" s="151" t="s">
        <v>110</v>
      </c>
      <c r="C769" s="30" t="str">
        <f>VLOOKUP(B769,'112年全品項生產鍋數'!A:H,2,0)</f>
        <v>顆粒花生醬(1*12KG)</v>
      </c>
      <c r="D769" s="287">
        <v>21</v>
      </c>
      <c r="E769" s="48">
        <f>VLOOKUP(B769,'112年全品項生產鍋數'!A:H,3,0)</f>
        <v>3</v>
      </c>
      <c r="F769" s="45">
        <f>VLOOKUP(B769,'112年全品項生產鍋數'!A:H,7,0)</f>
        <v>30.8</v>
      </c>
      <c r="G769" s="49">
        <f t="shared" si="79"/>
        <v>646.80000000000007</v>
      </c>
      <c r="H769" s="154">
        <v>652</v>
      </c>
      <c r="I769" s="87">
        <f t="shared" si="83"/>
        <v>1956</v>
      </c>
      <c r="J769" s="100">
        <f t="shared" si="81"/>
        <v>1.0080395794681507</v>
      </c>
      <c r="K769" s="84">
        <f>VLOOKUP(B:B,'生產達成率(目標)'!A:C,3,0)</f>
        <v>1</v>
      </c>
      <c r="L769" s="20">
        <f t="shared" si="80"/>
        <v>8.0000000000000002E-3</v>
      </c>
      <c r="M769" s="235"/>
      <c r="N769" s="40">
        <v>0</v>
      </c>
      <c r="O769" s="166">
        <f t="shared" si="84"/>
        <v>0</v>
      </c>
      <c r="P769" s="40">
        <v>652</v>
      </c>
      <c r="Q769" s="20">
        <f t="shared" si="82"/>
        <v>1</v>
      </c>
      <c r="R769" s="38"/>
      <c r="S769" s="174"/>
      <c r="T769" s="30"/>
      <c r="U769" s="23"/>
      <c r="V769" s="458"/>
      <c r="W769" s="421"/>
      <c r="X769" s="458"/>
      <c r="Y769" s="421"/>
      <c r="Z769" s="421"/>
      <c r="AA769" s="421"/>
      <c r="AB769" s="421"/>
      <c r="AC769" s="421"/>
      <c r="AD769" s="421"/>
    </row>
    <row r="770" spans="1:30" s="22" customFormat="1" x14ac:dyDescent="0.4">
      <c r="A770" s="178" t="s">
        <v>819</v>
      </c>
      <c r="B770" s="151" t="s">
        <v>71</v>
      </c>
      <c r="C770" s="30" t="str">
        <f>VLOOKUP(B770,'112年全品項生產鍋數'!A:H,2,0)</f>
        <v>＃1草莓(1*3.2kg)</v>
      </c>
      <c r="D770" s="287">
        <v>72</v>
      </c>
      <c r="E770" s="48">
        <f>VLOOKUP(B770,'112年全品項生產鍋數'!A:H,3,0)</f>
        <v>3.2</v>
      </c>
      <c r="F770" s="45">
        <f>VLOOKUP(B770,'112年全品項生產鍋數'!A:H,7,0)</f>
        <v>46.8</v>
      </c>
      <c r="G770" s="49">
        <f t="shared" ref="G770:G833" si="85">D770*F770</f>
        <v>3369.6</v>
      </c>
      <c r="H770" s="154">
        <v>3403</v>
      </c>
      <c r="I770" s="87">
        <f t="shared" si="83"/>
        <v>10889.6</v>
      </c>
      <c r="J770" s="100">
        <f t="shared" si="81"/>
        <v>1.0099121557454891</v>
      </c>
      <c r="K770" s="84">
        <f>VLOOKUP(B:B,'生產達成率(目標)'!A:C,3,0)</f>
        <v>1</v>
      </c>
      <c r="L770" s="20">
        <f t="shared" si="80"/>
        <v>0.01</v>
      </c>
      <c r="M770" s="235"/>
      <c r="N770" s="40">
        <v>2</v>
      </c>
      <c r="O770" s="166">
        <f t="shared" si="84"/>
        <v>0</v>
      </c>
      <c r="P770" s="40">
        <v>3401</v>
      </c>
      <c r="Q770" s="20">
        <f t="shared" si="82"/>
        <v>0.9994122832794593</v>
      </c>
      <c r="R770" s="38"/>
      <c r="S770" s="174"/>
      <c r="T770" s="86" t="s">
        <v>438</v>
      </c>
      <c r="U770" s="23"/>
      <c r="V770" s="458"/>
      <c r="W770" s="421"/>
      <c r="X770" s="458"/>
      <c r="Y770" s="421"/>
      <c r="Z770" s="421"/>
      <c r="AA770" s="421"/>
      <c r="AB770" s="421"/>
      <c r="AC770" s="421"/>
      <c r="AD770" s="421"/>
    </row>
    <row r="771" spans="1:30" s="22" customFormat="1" x14ac:dyDescent="0.4">
      <c r="A771" s="178" t="s">
        <v>819</v>
      </c>
      <c r="B771" s="151" t="s">
        <v>63</v>
      </c>
      <c r="C771" s="30" t="str">
        <f>VLOOKUP(B771,'112年全品項生產鍋數'!A:H,2,0)</f>
        <v>草莓蒟蒻餡(1*6kg)</v>
      </c>
      <c r="D771" s="287">
        <v>20</v>
      </c>
      <c r="E771" s="48">
        <f>VLOOKUP(B771,'112年全品項生產鍋數'!A:H,3,0)</f>
        <v>6</v>
      </c>
      <c r="F771" s="45">
        <f>VLOOKUP(B771,'112年全品項生產鍋數'!A:H,7,0)</f>
        <v>25.7</v>
      </c>
      <c r="G771" s="49">
        <f t="shared" si="85"/>
        <v>514</v>
      </c>
      <c r="H771" s="154">
        <f>299+212</f>
        <v>511</v>
      </c>
      <c r="I771" s="87">
        <f t="shared" si="83"/>
        <v>3066</v>
      </c>
      <c r="J771" s="100">
        <f t="shared" si="81"/>
        <v>0.99416342412451364</v>
      </c>
      <c r="K771" s="84">
        <f>VLOOKUP(B:B,'生產達成率(目標)'!A:C,3,0)</f>
        <v>1</v>
      </c>
      <c r="L771" s="20">
        <f t="shared" ref="L771:L834" si="86">IF(G771=0,"無法預估數據",ROUND(J771-K771,3))</f>
        <v>-6.0000000000000001E-3</v>
      </c>
      <c r="M771" s="235"/>
      <c r="N771" s="40">
        <v>1</v>
      </c>
      <c r="O771" s="166">
        <f t="shared" si="84"/>
        <v>1</v>
      </c>
      <c r="P771" s="40">
        <f>297+212</f>
        <v>509</v>
      </c>
      <c r="Q771" s="20">
        <f t="shared" si="82"/>
        <v>0.99608610567514677</v>
      </c>
      <c r="R771" s="38"/>
      <c r="S771" s="174"/>
      <c r="T771" s="86" t="s">
        <v>439</v>
      </c>
      <c r="U771" s="23"/>
      <c r="V771" s="458"/>
      <c r="W771" s="421"/>
      <c r="X771" s="458"/>
      <c r="Y771" s="421"/>
      <c r="Z771" s="421"/>
      <c r="AA771" s="421"/>
      <c r="AB771" s="421"/>
      <c r="AC771" s="421"/>
      <c r="AD771" s="421"/>
    </row>
    <row r="772" spans="1:30" s="22" customFormat="1" x14ac:dyDescent="0.4">
      <c r="A772" s="178" t="s">
        <v>819</v>
      </c>
      <c r="B772" s="151" t="s">
        <v>51</v>
      </c>
      <c r="C772" s="30" t="str">
        <f>VLOOKUP(B772,'112年全品項生產鍋數'!A:H,2,0)</f>
        <v>藍莓醬(1*6kg)</v>
      </c>
      <c r="D772" s="287">
        <v>20</v>
      </c>
      <c r="E772" s="48">
        <f>VLOOKUP(B772,'112年全品項生產鍋數'!A:H,3,0)</f>
        <v>6</v>
      </c>
      <c r="F772" s="45">
        <f>VLOOKUP(B772,'112年全品項生產鍋數'!A:H,7,0)</f>
        <v>25.5</v>
      </c>
      <c r="G772" s="49">
        <f t="shared" si="85"/>
        <v>510</v>
      </c>
      <c r="H772" s="154">
        <v>525</v>
      </c>
      <c r="I772" s="87">
        <f t="shared" si="83"/>
        <v>3150</v>
      </c>
      <c r="J772" s="100">
        <f t="shared" si="81"/>
        <v>1.0294117647058822</v>
      </c>
      <c r="K772" s="84">
        <f>VLOOKUP(B:B,'生產達成率(目標)'!A:C,3,0)</f>
        <v>1</v>
      </c>
      <c r="L772" s="20">
        <f t="shared" si="86"/>
        <v>2.9000000000000001E-2</v>
      </c>
      <c r="M772" s="235"/>
      <c r="N772" s="40">
        <v>1</v>
      </c>
      <c r="O772" s="166">
        <f t="shared" si="84"/>
        <v>0</v>
      </c>
      <c r="P772" s="40">
        <v>524</v>
      </c>
      <c r="Q772" s="20">
        <f t="shared" si="82"/>
        <v>0.99809523809523815</v>
      </c>
      <c r="R772" s="38"/>
      <c r="S772" s="174"/>
      <c r="T772" s="86"/>
      <c r="U772" s="23"/>
      <c r="V772" s="458"/>
      <c r="W772" s="421"/>
      <c r="X772" s="458"/>
      <c r="Y772" s="421"/>
      <c r="Z772" s="421"/>
      <c r="AA772" s="421"/>
      <c r="AB772" s="421"/>
      <c r="AC772" s="421"/>
      <c r="AD772" s="421"/>
    </row>
    <row r="773" spans="1:30" s="22" customFormat="1" x14ac:dyDescent="0.4">
      <c r="A773" s="178" t="s">
        <v>819</v>
      </c>
      <c r="B773" s="151" t="s">
        <v>65</v>
      </c>
      <c r="C773" s="30" t="str">
        <f>VLOOKUP(B773,'112年全品項生產鍋數'!A:H,2,0)</f>
        <v>＃1花生(1*2.8kg)</v>
      </c>
      <c r="D773" s="287">
        <v>60</v>
      </c>
      <c r="E773" s="48">
        <f>VLOOKUP(B773,'112年全品項生產鍋數'!A:H,3,0)</f>
        <v>2.8</v>
      </c>
      <c r="F773" s="45">
        <f>VLOOKUP(B773,'112年全品項生產鍋數'!A:H,7,0)</f>
        <v>44.5</v>
      </c>
      <c r="G773" s="49">
        <f t="shared" si="85"/>
        <v>2670</v>
      </c>
      <c r="H773" s="154">
        <v>2668</v>
      </c>
      <c r="I773" s="87">
        <f t="shared" si="83"/>
        <v>7470.4</v>
      </c>
      <c r="J773" s="100">
        <f t="shared" si="81"/>
        <v>0.99925093632958806</v>
      </c>
      <c r="K773" s="84">
        <f>VLOOKUP(B:B,'生產達成率(目標)'!A:C,3,0)</f>
        <v>1</v>
      </c>
      <c r="L773" s="20">
        <f t="shared" si="86"/>
        <v>-1E-3</v>
      </c>
      <c r="M773" s="235"/>
      <c r="N773" s="40">
        <v>1</v>
      </c>
      <c r="O773" s="166">
        <f t="shared" si="84"/>
        <v>0</v>
      </c>
      <c r="P773" s="40">
        <v>2667</v>
      </c>
      <c r="Q773" s="20">
        <f t="shared" si="82"/>
        <v>0.9996251874062968</v>
      </c>
      <c r="R773" s="38"/>
      <c r="S773" s="174"/>
      <c r="T773" s="86"/>
      <c r="U773" s="23"/>
      <c r="V773" s="458"/>
      <c r="W773" s="421"/>
      <c r="X773" s="458"/>
      <c r="Y773" s="421"/>
      <c r="Z773" s="421"/>
      <c r="AA773" s="421"/>
      <c r="AB773" s="421"/>
      <c r="AC773" s="421"/>
      <c r="AD773" s="421"/>
    </row>
    <row r="774" spans="1:30" s="22" customFormat="1" x14ac:dyDescent="0.4">
      <c r="A774" s="178" t="s">
        <v>820</v>
      </c>
      <c r="B774" s="151" t="s">
        <v>71</v>
      </c>
      <c r="C774" s="30" t="str">
        <f>VLOOKUP(B774,'112年全品項生產鍋數'!A:H,2,0)</f>
        <v>＃1草莓(1*3.2kg)</v>
      </c>
      <c r="D774" s="287">
        <v>72</v>
      </c>
      <c r="E774" s="48">
        <f>VLOOKUP(B774,'112年全品項生產鍋數'!A:H,3,0)</f>
        <v>3.2</v>
      </c>
      <c r="F774" s="45">
        <f>VLOOKUP(B774,'112年全品項生產鍋數'!A:H,7,0)</f>
        <v>46.8</v>
      </c>
      <c r="G774" s="49">
        <f t="shared" si="85"/>
        <v>3369.6</v>
      </c>
      <c r="H774" s="154">
        <v>3369</v>
      </c>
      <c r="I774" s="87">
        <f t="shared" si="83"/>
        <v>10780.800000000001</v>
      </c>
      <c r="J774" s="100">
        <f t="shared" si="81"/>
        <v>0.99982193732193736</v>
      </c>
      <c r="K774" s="84">
        <f>VLOOKUP(B:B,'生產達成率(目標)'!A:C,3,0)</f>
        <v>1</v>
      </c>
      <c r="L774" s="20">
        <f t="shared" si="86"/>
        <v>0</v>
      </c>
      <c r="M774" s="235"/>
      <c r="N774" s="40">
        <v>2</v>
      </c>
      <c r="O774" s="166">
        <f t="shared" si="84"/>
        <v>0</v>
      </c>
      <c r="P774" s="40">
        <v>3367</v>
      </c>
      <c r="Q774" s="20">
        <f t="shared" si="82"/>
        <v>0.99940635203324424</v>
      </c>
      <c r="R774" s="38"/>
      <c r="S774" s="174"/>
      <c r="T774" s="86"/>
      <c r="U774" s="23"/>
      <c r="V774" s="458"/>
      <c r="W774" s="421"/>
      <c r="X774" s="458"/>
      <c r="Y774" s="421"/>
      <c r="Z774" s="421"/>
      <c r="AA774" s="421"/>
      <c r="AB774" s="421"/>
      <c r="AC774" s="421"/>
      <c r="AD774" s="421"/>
    </row>
    <row r="775" spans="1:30" s="22" customFormat="1" x14ac:dyDescent="0.4">
      <c r="A775" s="178" t="s">
        <v>820</v>
      </c>
      <c r="B775" s="151" t="s">
        <v>81</v>
      </c>
      <c r="C775" s="30" t="str">
        <f>VLOOKUP(B775,'112年全品項生產鍋數'!A:H,2,0)</f>
        <v>藍莓餡(1*6Kg)</v>
      </c>
      <c r="D775" s="287">
        <v>16</v>
      </c>
      <c r="E775" s="48">
        <f>VLOOKUP(B775,'112年全品項生產鍋數'!A:H,3,0)</f>
        <v>6</v>
      </c>
      <c r="F775" s="45">
        <f>VLOOKUP(B775,'112年全品項生產鍋數'!A:H,7,0)</f>
        <v>25.1</v>
      </c>
      <c r="G775" s="49">
        <f t="shared" si="85"/>
        <v>401.6</v>
      </c>
      <c r="H775" s="154">
        <v>402</v>
      </c>
      <c r="I775" s="87">
        <f t="shared" si="83"/>
        <v>2412</v>
      </c>
      <c r="J775" s="100">
        <f t="shared" si="81"/>
        <v>1.000996015936255</v>
      </c>
      <c r="K775" s="84">
        <f>VLOOKUP(B:B,'生產達成率(目標)'!A:C,3,0)</f>
        <v>1</v>
      </c>
      <c r="L775" s="20">
        <f t="shared" si="86"/>
        <v>1E-3</v>
      </c>
      <c r="M775" s="235"/>
      <c r="N775" s="40">
        <v>1</v>
      </c>
      <c r="O775" s="166">
        <f t="shared" si="84"/>
        <v>0</v>
      </c>
      <c r="P775" s="40">
        <v>401</v>
      </c>
      <c r="Q775" s="20">
        <f t="shared" si="82"/>
        <v>0.99751243781094523</v>
      </c>
      <c r="R775" s="38"/>
      <c r="S775" s="174"/>
      <c r="T775" s="86"/>
      <c r="U775" s="23"/>
      <c r="V775" s="458"/>
      <c r="W775" s="421"/>
      <c r="X775" s="458"/>
      <c r="Y775" s="421"/>
      <c r="Z775" s="421"/>
      <c r="AA775" s="421"/>
      <c r="AB775" s="421"/>
      <c r="AC775" s="421"/>
      <c r="AD775" s="421"/>
    </row>
    <row r="776" spans="1:30" s="22" customFormat="1" x14ac:dyDescent="0.4">
      <c r="A776" s="178" t="s">
        <v>820</v>
      </c>
      <c r="B776" s="151" t="s">
        <v>63</v>
      </c>
      <c r="C776" s="30" t="str">
        <f>VLOOKUP(B776,'112年全品項生產鍋數'!A:H,2,0)</f>
        <v>草莓蒟蒻餡(1*6kg)</v>
      </c>
      <c r="D776" s="287">
        <v>20</v>
      </c>
      <c r="E776" s="48">
        <f>VLOOKUP(B776,'112年全品項生產鍋數'!A:H,3,0)</f>
        <v>6</v>
      </c>
      <c r="F776" s="45">
        <f>VLOOKUP(B776,'112年全品項生產鍋數'!A:H,7,0)</f>
        <v>25.7</v>
      </c>
      <c r="G776" s="49">
        <f t="shared" si="85"/>
        <v>514</v>
      </c>
      <c r="H776" s="154">
        <f>305+211</f>
        <v>516</v>
      </c>
      <c r="I776" s="87">
        <f t="shared" si="83"/>
        <v>3096</v>
      </c>
      <c r="J776" s="100">
        <f t="shared" si="81"/>
        <v>1.0038910505836576</v>
      </c>
      <c r="K776" s="84">
        <f>VLOOKUP(B:B,'生產達成率(目標)'!A:C,3,0)</f>
        <v>1</v>
      </c>
      <c r="L776" s="20">
        <f t="shared" si="86"/>
        <v>4.0000000000000001E-3</v>
      </c>
      <c r="M776" s="235"/>
      <c r="N776" s="40">
        <v>1</v>
      </c>
      <c r="O776" s="166">
        <f t="shared" si="84"/>
        <v>1</v>
      </c>
      <c r="P776" s="40">
        <v>514</v>
      </c>
      <c r="Q776" s="20">
        <f t="shared" si="82"/>
        <v>0.99612403100775193</v>
      </c>
      <c r="R776" s="38"/>
      <c r="S776" s="174"/>
      <c r="T776" s="86"/>
      <c r="U776" s="23"/>
      <c r="V776" s="458"/>
      <c r="W776" s="421"/>
      <c r="X776" s="458"/>
      <c r="Y776" s="421"/>
      <c r="Z776" s="421"/>
      <c r="AA776" s="421"/>
      <c r="AB776" s="421"/>
      <c r="AC776" s="421"/>
      <c r="AD776" s="421"/>
    </row>
    <row r="777" spans="1:30" s="22" customFormat="1" x14ac:dyDescent="0.4">
      <c r="A777" s="178" t="s">
        <v>820</v>
      </c>
      <c r="B777" s="151" t="s">
        <v>65</v>
      </c>
      <c r="C777" s="30" t="str">
        <f>VLOOKUP(B777,'112年全品項生產鍋數'!A:H,2,0)</f>
        <v>＃1花生(1*2.8kg)</v>
      </c>
      <c r="D777" s="287">
        <v>60</v>
      </c>
      <c r="E777" s="48">
        <f>VLOOKUP(B777,'112年全品項生產鍋數'!A:H,3,0)</f>
        <v>2.8</v>
      </c>
      <c r="F777" s="45">
        <f>VLOOKUP(B777,'112年全品項生產鍋數'!A:H,7,0)</f>
        <v>44.5</v>
      </c>
      <c r="G777" s="49">
        <f t="shared" si="85"/>
        <v>2670</v>
      </c>
      <c r="H777" s="154">
        <v>2681</v>
      </c>
      <c r="I777" s="87">
        <f t="shared" si="83"/>
        <v>7506.7999999999993</v>
      </c>
      <c r="J777" s="100">
        <f t="shared" si="81"/>
        <v>1.0041198501872659</v>
      </c>
      <c r="K777" s="84">
        <f>VLOOKUP(B:B,'生產達成率(目標)'!A:C,3,0)</f>
        <v>1</v>
      </c>
      <c r="L777" s="20">
        <f t="shared" si="86"/>
        <v>4.0000000000000001E-3</v>
      </c>
      <c r="M777" s="235"/>
      <c r="N777" s="40">
        <v>1</v>
      </c>
      <c r="O777" s="166">
        <f t="shared" si="84"/>
        <v>0</v>
      </c>
      <c r="P777" s="40">
        <v>2680</v>
      </c>
      <c r="Q777" s="20">
        <f t="shared" si="82"/>
        <v>0.99962700484893696</v>
      </c>
      <c r="R777" s="38"/>
      <c r="S777" s="174"/>
      <c r="T777" s="86"/>
      <c r="U777" s="23"/>
      <c r="V777" s="458"/>
      <c r="W777" s="421"/>
      <c r="X777" s="458"/>
      <c r="Y777" s="421"/>
      <c r="Z777" s="421"/>
      <c r="AA777" s="421"/>
      <c r="AB777" s="421"/>
      <c r="AC777" s="421"/>
      <c r="AD777" s="421"/>
    </row>
    <row r="778" spans="1:30" s="22" customFormat="1" x14ac:dyDescent="0.4">
      <c r="A778" s="178" t="s">
        <v>820</v>
      </c>
      <c r="B778" s="151" t="s">
        <v>477</v>
      </c>
      <c r="C778" s="30" t="str">
        <f>VLOOKUP(B778,'112年全品項生產鍋數'!A:H,2,0)</f>
        <v>柚皮糖B</v>
      </c>
      <c r="D778" s="287">
        <v>1</v>
      </c>
      <c r="E778" s="48">
        <f>VLOOKUP(B778,'112年全品項生產鍋數'!A:H,3,0)</f>
        <v>1</v>
      </c>
      <c r="F778" s="45">
        <f>VLOOKUP(B778,'112年全品項生產鍋數'!A:H,7,0)</f>
        <v>162</v>
      </c>
      <c r="G778" s="49">
        <f t="shared" si="85"/>
        <v>162</v>
      </c>
      <c r="H778" s="154">
        <v>163</v>
      </c>
      <c r="I778" s="87">
        <f t="shared" si="83"/>
        <v>163</v>
      </c>
      <c r="J778" s="100">
        <f t="shared" si="81"/>
        <v>1.0061728395061729</v>
      </c>
      <c r="K778" s="84">
        <f>VLOOKUP(B:B,'生產達成率(目標)'!A:C,3,0)</f>
        <v>1</v>
      </c>
      <c r="L778" s="20">
        <f t="shared" si="86"/>
        <v>6.0000000000000001E-3</v>
      </c>
      <c r="M778" s="235"/>
      <c r="N778" s="40">
        <v>0</v>
      </c>
      <c r="O778" s="166">
        <f t="shared" si="84"/>
        <v>0</v>
      </c>
      <c r="P778" s="40">
        <v>163</v>
      </c>
      <c r="Q778" s="20">
        <f t="shared" si="82"/>
        <v>1</v>
      </c>
      <c r="R778" s="38"/>
      <c r="S778" s="174"/>
      <c r="T778" s="30"/>
      <c r="U778" s="23"/>
      <c r="V778" s="458"/>
      <c r="W778" s="421"/>
      <c r="X778" s="458"/>
      <c r="Y778" s="421"/>
      <c r="Z778" s="421"/>
      <c r="AA778" s="421"/>
      <c r="AB778" s="421"/>
      <c r="AC778" s="421"/>
      <c r="AD778" s="421"/>
    </row>
    <row r="779" spans="1:30" s="22" customFormat="1" x14ac:dyDescent="0.4">
      <c r="A779" s="178" t="s">
        <v>820</v>
      </c>
      <c r="B779" s="151">
        <v>111050</v>
      </c>
      <c r="C779" s="30" t="str">
        <f>VLOOKUP(B779,'112年全品項生產鍋數'!A:H,2,0)</f>
        <v>糖漬檸檬絲</v>
      </c>
      <c r="D779" s="287">
        <v>1</v>
      </c>
      <c r="E779" s="48">
        <f>VLOOKUP(B779,'112年全品項生產鍋數'!A:H,3,0)</f>
        <v>1</v>
      </c>
      <c r="F779" s="45">
        <f>VLOOKUP(B779,'112年全品項生產鍋數'!A:H,7,0)</f>
        <v>1224</v>
      </c>
      <c r="G779" s="49">
        <f t="shared" si="85"/>
        <v>1224</v>
      </c>
      <c r="H779" s="154">
        <v>1230</v>
      </c>
      <c r="I779" s="87">
        <f t="shared" si="83"/>
        <v>1230</v>
      </c>
      <c r="J779" s="100">
        <f t="shared" si="81"/>
        <v>1.0049019607843137</v>
      </c>
      <c r="K779" s="84">
        <f>VLOOKUP(B:B,'生產達成率(目標)'!A:C,3,0)</f>
        <v>1</v>
      </c>
      <c r="L779" s="20">
        <f t="shared" si="86"/>
        <v>5.0000000000000001E-3</v>
      </c>
      <c r="M779" s="235"/>
      <c r="N779" s="40">
        <v>0</v>
      </c>
      <c r="O779" s="166">
        <f t="shared" si="84"/>
        <v>0</v>
      </c>
      <c r="P779" s="40">
        <v>1230</v>
      </c>
      <c r="Q779" s="20">
        <f t="shared" si="82"/>
        <v>1</v>
      </c>
      <c r="R779" s="38"/>
      <c r="S779" s="174"/>
      <c r="T779" s="30"/>
      <c r="U779" s="23"/>
      <c r="V779" s="458"/>
      <c r="W779" s="421"/>
      <c r="X779" s="458"/>
      <c r="Y779" s="421"/>
      <c r="Z779" s="421"/>
      <c r="AA779" s="421"/>
      <c r="AB779" s="421"/>
      <c r="AC779" s="421"/>
      <c r="AD779" s="421"/>
    </row>
    <row r="780" spans="1:30" s="22" customFormat="1" x14ac:dyDescent="0.4">
      <c r="A780" s="178" t="s">
        <v>821</v>
      </c>
      <c r="B780" s="151" t="s">
        <v>61</v>
      </c>
      <c r="C780" s="30" t="str">
        <f>VLOOKUP(B780,'112年全品項生產鍋數'!A:H,2,0)</f>
        <v>大圓草莓-新</v>
      </c>
      <c r="D780" s="287">
        <v>40</v>
      </c>
      <c r="E780" s="48">
        <f>VLOOKUP(B780,'112年全品項生產鍋數'!A:H,3,0)</f>
        <v>0.44</v>
      </c>
      <c r="F780" s="45">
        <f>VLOOKUP(B780,'112年全品項生產鍋數'!A:H,7,0)</f>
        <v>344</v>
      </c>
      <c r="G780" s="49">
        <f t="shared" si="85"/>
        <v>13760</v>
      </c>
      <c r="H780" s="154">
        <v>13806</v>
      </c>
      <c r="I780" s="87">
        <f t="shared" si="83"/>
        <v>6074.64</v>
      </c>
      <c r="J780" s="100">
        <f t="shared" si="81"/>
        <v>1.003343023255814</v>
      </c>
      <c r="K780" s="84">
        <f>VLOOKUP(B:B,'生產達成率(目標)'!A:C,3,0)</f>
        <v>1</v>
      </c>
      <c r="L780" s="20">
        <f t="shared" si="86"/>
        <v>3.0000000000000001E-3</v>
      </c>
      <c r="M780" s="235"/>
      <c r="N780" s="40">
        <v>1</v>
      </c>
      <c r="O780" s="166">
        <f t="shared" si="84"/>
        <v>24</v>
      </c>
      <c r="P780" s="40">
        <v>13781</v>
      </c>
      <c r="Q780" s="20">
        <f t="shared" si="82"/>
        <v>0.99818919310444731</v>
      </c>
      <c r="R780" s="38"/>
      <c r="S780" s="174"/>
      <c r="T780" s="86" t="s">
        <v>493</v>
      </c>
      <c r="U780" s="23"/>
      <c r="V780" s="458"/>
      <c r="W780" s="421"/>
      <c r="X780" s="458"/>
      <c r="Y780" s="421"/>
      <c r="Z780" s="421"/>
      <c r="AA780" s="421"/>
      <c r="AB780" s="421"/>
      <c r="AC780" s="421"/>
      <c r="AD780" s="421"/>
    </row>
    <row r="781" spans="1:30" s="22" customFormat="1" x14ac:dyDescent="0.4">
      <c r="A781" s="178" t="s">
        <v>821</v>
      </c>
      <c r="B781" s="151" t="s">
        <v>88</v>
      </c>
      <c r="C781" s="30" t="str">
        <f>VLOOKUP(B781,'112年全品項生產鍋數'!A:H,2,0)</f>
        <v>草莓餡(1*6KG)</v>
      </c>
      <c r="D781" s="287">
        <v>32</v>
      </c>
      <c r="E781" s="48">
        <f>VLOOKUP(B781,'112年全品項生產鍋數'!A:H,3,0)</f>
        <v>6</v>
      </c>
      <c r="F781" s="45">
        <f>VLOOKUP(B781,'112年全品項生產鍋數'!A:H,7,0)</f>
        <v>25.5</v>
      </c>
      <c r="G781" s="49">
        <f t="shared" si="85"/>
        <v>816</v>
      </c>
      <c r="H781" s="154">
        <v>827</v>
      </c>
      <c r="I781" s="87">
        <f t="shared" si="83"/>
        <v>4962</v>
      </c>
      <c r="J781" s="100">
        <f t="shared" si="81"/>
        <v>1.0134803921568627</v>
      </c>
      <c r="K781" s="84">
        <f>VLOOKUP(B:B,'生產達成率(目標)'!A:C,3,0)</f>
        <v>1</v>
      </c>
      <c r="L781" s="20">
        <f t="shared" si="86"/>
        <v>1.2999999999999999E-2</v>
      </c>
      <c r="M781" s="235"/>
      <c r="N781" s="40">
        <v>1</v>
      </c>
      <c r="O781" s="166">
        <f t="shared" si="84"/>
        <v>1</v>
      </c>
      <c r="P781" s="40">
        <v>825</v>
      </c>
      <c r="Q781" s="20">
        <f t="shared" si="82"/>
        <v>0.99758162031438935</v>
      </c>
      <c r="R781" s="38"/>
      <c r="S781" s="174"/>
      <c r="T781" s="86"/>
      <c r="U781" s="23"/>
      <c r="V781" s="458"/>
      <c r="W781" s="421"/>
      <c r="X781" s="458"/>
      <c r="Y781" s="421"/>
      <c r="Z781" s="421"/>
      <c r="AA781" s="421"/>
      <c r="AB781" s="421"/>
      <c r="AC781" s="421"/>
      <c r="AD781" s="421"/>
    </row>
    <row r="782" spans="1:30" s="22" customFormat="1" x14ac:dyDescent="0.4">
      <c r="A782" s="178" t="s">
        <v>821</v>
      </c>
      <c r="B782" s="151" t="s">
        <v>126</v>
      </c>
      <c r="C782" s="30" t="str">
        <f>VLOOKUP(B782,'112年全品項生產鍋數'!A:H,2,0)</f>
        <v>開心草莓餡P(1*6KG)</v>
      </c>
      <c r="D782" s="287">
        <v>6</v>
      </c>
      <c r="E782" s="48">
        <f>VLOOKUP(B782,'112年全品項生產鍋數'!A:H,3,0)</f>
        <v>6</v>
      </c>
      <c r="F782" s="45">
        <f>VLOOKUP(B782,'112年全品項生產鍋數'!A:H,7,0)</f>
        <v>25.3</v>
      </c>
      <c r="G782" s="49">
        <f t="shared" si="85"/>
        <v>151.80000000000001</v>
      </c>
      <c r="H782" s="154">
        <v>154</v>
      </c>
      <c r="I782" s="87">
        <f t="shared" si="83"/>
        <v>924</v>
      </c>
      <c r="J782" s="100">
        <f t="shared" si="81"/>
        <v>1.0144927536231882</v>
      </c>
      <c r="K782" s="84">
        <f>VLOOKUP(B:B,'生產達成率(目標)'!A:C,3,0)</f>
        <v>1</v>
      </c>
      <c r="L782" s="20">
        <f t="shared" si="86"/>
        <v>1.4E-2</v>
      </c>
      <c r="M782" s="235"/>
      <c r="N782" s="40">
        <v>1</v>
      </c>
      <c r="O782" s="166">
        <f t="shared" si="84"/>
        <v>0</v>
      </c>
      <c r="P782" s="40">
        <v>153</v>
      </c>
      <c r="Q782" s="20">
        <f t="shared" si="82"/>
        <v>0.99350649350649356</v>
      </c>
      <c r="R782" s="38"/>
      <c r="S782" s="174"/>
      <c r="T782" s="86"/>
      <c r="U782" s="23"/>
      <c r="V782" s="458"/>
      <c r="W782" s="421"/>
      <c r="X782" s="458"/>
      <c r="Y782" s="421"/>
      <c r="Z782" s="421"/>
      <c r="AA782" s="421"/>
      <c r="AB782" s="421"/>
      <c r="AC782" s="421"/>
      <c r="AD782" s="421"/>
    </row>
    <row r="783" spans="1:30" s="22" customFormat="1" x14ac:dyDescent="0.4">
      <c r="A783" s="178" t="s">
        <v>821</v>
      </c>
      <c r="B783" s="151" t="s">
        <v>65</v>
      </c>
      <c r="C783" s="30" t="str">
        <f>VLOOKUP(B783,'112年全品項生產鍋數'!A:H,2,0)</f>
        <v>＃1花生(1*2.8kg)</v>
      </c>
      <c r="D783" s="287">
        <v>60</v>
      </c>
      <c r="E783" s="48">
        <f>VLOOKUP(B783,'112年全品項生產鍋數'!A:H,3,0)</f>
        <v>2.8</v>
      </c>
      <c r="F783" s="45">
        <f>VLOOKUP(B783,'112年全品項生產鍋數'!A:H,7,0)</f>
        <v>44.5</v>
      </c>
      <c r="G783" s="49">
        <f t="shared" si="85"/>
        <v>2670</v>
      </c>
      <c r="H783" s="154">
        <v>2680</v>
      </c>
      <c r="I783" s="87">
        <f t="shared" si="83"/>
        <v>7503.9999999999991</v>
      </c>
      <c r="J783" s="100">
        <f t="shared" si="81"/>
        <v>1.0037453183520599</v>
      </c>
      <c r="K783" s="84">
        <f>VLOOKUP(B:B,'生產達成率(目標)'!A:C,3,0)</f>
        <v>1</v>
      </c>
      <c r="L783" s="20">
        <f t="shared" si="86"/>
        <v>4.0000000000000001E-3</v>
      </c>
      <c r="M783" s="235"/>
      <c r="N783" s="40">
        <v>1</v>
      </c>
      <c r="O783" s="166">
        <f t="shared" si="84"/>
        <v>0</v>
      </c>
      <c r="P783" s="40">
        <v>2679</v>
      </c>
      <c r="Q783" s="20">
        <f t="shared" si="82"/>
        <v>0.99962686567164183</v>
      </c>
      <c r="R783" s="38"/>
      <c r="S783" s="174"/>
      <c r="T783" s="86"/>
      <c r="U783" s="23"/>
      <c r="V783" s="458"/>
      <c r="W783" s="421"/>
      <c r="X783" s="458"/>
      <c r="Y783" s="421"/>
      <c r="Z783" s="421"/>
      <c r="AA783" s="421"/>
      <c r="AB783" s="421"/>
      <c r="AC783" s="421"/>
      <c r="AD783" s="421"/>
    </row>
    <row r="784" spans="1:30" s="22" customFormat="1" x14ac:dyDescent="0.4">
      <c r="A784" s="178" t="s">
        <v>822</v>
      </c>
      <c r="B784" s="151" t="s">
        <v>494</v>
      </c>
      <c r="C784" s="30" t="str">
        <f>VLOOKUP(B784,'112年全品項生產鍋數'!A:H,2,0)</f>
        <v>檸檬餡(1*6Kg)</v>
      </c>
      <c r="D784" s="287">
        <v>20</v>
      </c>
      <c r="E784" s="48">
        <f>VLOOKUP(B784,'112年全品項生產鍋數'!A:H,3,0)</f>
        <v>6</v>
      </c>
      <c r="F784" s="45">
        <f>VLOOKUP(B784,'112年全品項生產鍋數'!A:H,7,0)</f>
        <v>26.2</v>
      </c>
      <c r="G784" s="49">
        <f t="shared" si="85"/>
        <v>524</v>
      </c>
      <c r="H784" s="154">
        <v>524</v>
      </c>
      <c r="I784" s="87">
        <f t="shared" si="83"/>
        <v>3144</v>
      </c>
      <c r="J784" s="100">
        <f t="shared" si="81"/>
        <v>1</v>
      </c>
      <c r="K784" s="84">
        <f>VLOOKUP(B:B,'生產達成率(目標)'!A:C,3,0)</f>
        <v>1</v>
      </c>
      <c r="L784" s="20">
        <f t="shared" si="86"/>
        <v>0</v>
      </c>
      <c r="M784" s="235"/>
      <c r="N784" s="40">
        <v>1</v>
      </c>
      <c r="O784" s="166">
        <f t="shared" si="84"/>
        <v>6</v>
      </c>
      <c r="P784" s="40">
        <v>517</v>
      </c>
      <c r="Q784" s="20">
        <f t="shared" si="82"/>
        <v>0.98664122137404575</v>
      </c>
      <c r="R784" s="38"/>
      <c r="S784" s="174"/>
      <c r="T784" s="30" t="s">
        <v>495</v>
      </c>
      <c r="U784" s="23"/>
      <c r="V784" s="458"/>
      <c r="W784" s="421"/>
      <c r="X784" s="458"/>
      <c r="Y784" s="421"/>
      <c r="Z784" s="421"/>
      <c r="AA784" s="421"/>
      <c r="AB784" s="421"/>
      <c r="AC784" s="421"/>
      <c r="AD784" s="421"/>
    </row>
    <row r="785" spans="1:30" s="22" customFormat="1" x14ac:dyDescent="0.4">
      <c r="A785" s="178" t="s">
        <v>822</v>
      </c>
      <c r="B785" s="151" t="s">
        <v>64</v>
      </c>
      <c r="C785" s="30" t="str">
        <f>VLOOKUP(B785,'112年全品項生產鍋數'!A:H,2,0)</f>
        <v>藍莓餡(1*6KG)</v>
      </c>
      <c r="D785" s="287">
        <v>20</v>
      </c>
      <c r="E785" s="48">
        <f>VLOOKUP(B785,'112年全品項生產鍋數'!A:H,3,0)</f>
        <v>6</v>
      </c>
      <c r="F785" s="45">
        <f>VLOOKUP(B785,'112年全品項生產鍋數'!A:H,7,0)</f>
        <v>25.4</v>
      </c>
      <c r="G785" s="49">
        <f t="shared" si="85"/>
        <v>508</v>
      </c>
      <c r="H785" s="154">
        <f>304+205</f>
        <v>509</v>
      </c>
      <c r="I785" s="87">
        <f t="shared" si="83"/>
        <v>3054</v>
      </c>
      <c r="J785" s="100">
        <f t="shared" si="81"/>
        <v>1.0019685039370079</v>
      </c>
      <c r="K785" s="84">
        <f>VLOOKUP(B:B,'生產達成率(目標)'!A:C,3,0)</f>
        <v>1</v>
      </c>
      <c r="L785" s="20">
        <f t="shared" si="86"/>
        <v>2E-3</v>
      </c>
      <c r="M785" s="235"/>
      <c r="N785" s="40">
        <v>1</v>
      </c>
      <c r="O785" s="166">
        <f t="shared" si="84"/>
        <v>2</v>
      </c>
      <c r="P785" s="40">
        <f>301+205</f>
        <v>506</v>
      </c>
      <c r="Q785" s="20">
        <f t="shared" si="82"/>
        <v>0.9941060903732809</v>
      </c>
      <c r="R785" s="38"/>
      <c r="S785" s="174"/>
      <c r="T785" s="86" t="s">
        <v>496</v>
      </c>
      <c r="U785" s="23"/>
      <c r="V785" s="458"/>
      <c r="W785" s="421"/>
      <c r="X785" s="458"/>
      <c r="Y785" s="421"/>
      <c r="Z785" s="421"/>
      <c r="AA785" s="421"/>
      <c r="AB785" s="421"/>
      <c r="AC785" s="421"/>
      <c r="AD785" s="421"/>
    </row>
    <row r="786" spans="1:30" s="22" customFormat="1" x14ac:dyDescent="0.4">
      <c r="A786" s="178" t="s">
        <v>823</v>
      </c>
      <c r="B786" s="151" t="s">
        <v>473</v>
      </c>
      <c r="C786" s="30" t="str">
        <f>VLOOKUP(B786,'112年全品項生產鍋數'!A:H,2,0)</f>
        <v>桑椹果粒茶(1*400G)</v>
      </c>
      <c r="D786" s="287">
        <v>6</v>
      </c>
      <c r="E786" s="48">
        <f>VLOOKUP(B786,'112年全品項生產鍋數'!A:H,3,0)</f>
        <v>0.4</v>
      </c>
      <c r="F786" s="45">
        <f>VLOOKUP(B786,'112年全品項生產鍋數'!A:H,7,0)</f>
        <v>366.4</v>
      </c>
      <c r="G786" s="49">
        <f t="shared" si="85"/>
        <v>2198.3999999999996</v>
      </c>
      <c r="H786" s="154">
        <v>2196</v>
      </c>
      <c r="I786" s="87">
        <f t="shared" si="83"/>
        <v>878.40000000000009</v>
      </c>
      <c r="J786" s="100">
        <f t="shared" si="81"/>
        <v>0.99890829694323158</v>
      </c>
      <c r="K786" s="84">
        <f>VLOOKUP(B:B,'生產達成率(目標)'!A:C,3,0)</f>
        <v>1</v>
      </c>
      <c r="L786" s="20">
        <f t="shared" si="86"/>
        <v>-1E-3</v>
      </c>
      <c r="M786" s="235"/>
      <c r="N786" s="40">
        <v>1</v>
      </c>
      <c r="O786" s="166">
        <f t="shared" si="84"/>
        <v>11</v>
      </c>
      <c r="P786" s="40">
        <v>2184</v>
      </c>
      <c r="Q786" s="20">
        <f t="shared" si="82"/>
        <v>0.99453551912568305</v>
      </c>
      <c r="R786" s="38"/>
      <c r="S786" s="174"/>
      <c r="T786" s="30" t="s">
        <v>497</v>
      </c>
      <c r="U786" s="23"/>
      <c r="V786" s="458"/>
      <c r="W786" s="421"/>
      <c r="X786" s="458"/>
      <c r="Y786" s="421"/>
      <c r="Z786" s="421"/>
      <c r="AA786" s="421"/>
      <c r="AB786" s="421"/>
      <c r="AC786" s="421"/>
      <c r="AD786" s="421"/>
    </row>
    <row r="787" spans="1:30" s="22" customFormat="1" x14ac:dyDescent="0.4">
      <c r="A787" s="178" t="s">
        <v>823</v>
      </c>
      <c r="B787" s="151" t="s">
        <v>57</v>
      </c>
      <c r="C787" s="30" t="str">
        <f>VLOOKUP(B787,'112年全品項生產鍋數'!A:H,2,0)</f>
        <v>蘋果藍莓餡(1*9.08kg)</v>
      </c>
      <c r="D787" s="287">
        <v>12</v>
      </c>
      <c r="E787" s="48">
        <f>VLOOKUP(B787,'112年全品項生產鍋數'!A:H,3,0)</f>
        <v>9.08</v>
      </c>
      <c r="F787" s="45">
        <f>VLOOKUP(B787,'112年全品項生產鍋數'!A:H,7,0)</f>
        <v>17.3</v>
      </c>
      <c r="G787" s="49">
        <f t="shared" si="85"/>
        <v>207.60000000000002</v>
      </c>
      <c r="H787" s="154">
        <v>208</v>
      </c>
      <c r="I787" s="87">
        <f t="shared" si="83"/>
        <v>1888.64</v>
      </c>
      <c r="J787" s="100">
        <f t="shared" si="81"/>
        <v>1.0019267822736029</v>
      </c>
      <c r="K787" s="84">
        <f>VLOOKUP(B:B,'生產達成率(目標)'!A:C,3,0)</f>
        <v>1</v>
      </c>
      <c r="L787" s="20">
        <f t="shared" si="86"/>
        <v>2E-3</v>
      </c>
      <c r="M787" s="235"/>
      <c r="N787" s="40">
        <v>0</v>
      </c>
      <c r="O787" s="166">
        <f t="shared" si="84"/>
        <v>0</v>
      </c>
      <c r="P787" s="40">
        <v>208</v>
      </c>
      <c r="Q787" s="20">
        <f t="shared" si="82"/>
        <v>1</v>
      </c>
      <c r="R787" s="38"/>
      <c r="S787" s="174"/>
      <c r="T787" s="86"/>
      <c r="U787" s="23"/>
      <c r="V787" s="458"/>
      <c r="W787" s="421"/>
      <c r="X787" s="458"/>
      <c r="Y787" s="421"/>
      <c r="Z787" s="421"/>
      <c r="AA787" s="421"/>
      <c r="AB787" s="421"/>
      <c r="AC787" s="421"/>
      <c r="AD787" s="421"/>
    </row>
    <row r="788" spans="1:30" s="22" customFormat="1" x14ac:dyDescent="0.4">
      <c r="A788" s="178" t="s">
        <v>823</v>
      </c>
      <c r="B788" s="151" t="s">
        <v>469</v>
      </c>
      <c r="C788" s="30" t="str">
        <f>VLOOKUP(B788,'112年全品項生產鍋數'!A:H,2,0)</f>
        <v>上好佳草莓餡(1*900g)</v>
      </c>
      <c r="D788" s="287">
        <v>6</v>
      </c>
      <c r="E788" s="48">
        <f>VLOOKUP(B788,'112年全品項生產鍋數'!A:H,3,0)</f>
        <v>0.9</v>
      </c>
      <c r="F788" s="45">
        <f>VLOOKUP(B788,'112年全品項生產鍋數'!A:H,7,0)</f>
        <v>173</v>
      </c>
      <c r="G788" s="49">
        <f t="shared" si="85"/>
        <v>1038</v>
      </c>
      <c r="H788" s="154">
        <v>1036</v>
      </c>
      <c r="I788" s="87">
        <f t="shared" si="83"/>
        <v>932.4</v>
      </c>
      <c r="J788" s="100">
        <f t="shared" si="81"/>
        <v>0.9980732177263969</v>
      </c>
      <c r="K788" s="84">
        <f>VLOOKUP(B:B,'生產達成率(目標)'!A:C,3,0)</f>
        <v>1</v>
      </c>
      <c r="L788" s="20">
        <f t="shared" si="86"/>
        <v>-2E-3</v>
      </c>
      <c r="M788" s="235"/>
      <c r="N788" s="40">
        <v>2</v>
      </c>
      <c r="O788" s="166">
        <f t="shared" si="84"/>
        <v>0</v>
      </c>
      <c r="P788" s="40">
        <v>1034</v>
      </c>
      <c r="Q788" s="20">
        <f t="shared" si="82"/>
        <v>0.99806949806949807</v>
      </c>
      <c r="R788" s="38"/>
      <c r="S788" s="174"/>
      <c r="T788" s="86"/>
      <c r="U788" s="23"/>
      <c r="V788" s="458"/>
      <c r="W788" s="421"/>
      <c r="X788" s="458"/>
      <c r="Y788" s="421"/>
      <c r="Z788" s="421"/>
      <c r="AA788" s="421"/>
      <c r="AB788" s="421"/>
      <c r="AC788" s="421"/>
      <c r="AD788" s="421"/>
    </row>
    <row r="789" spans="1:30" s="22" customFormat="1" x14ac:dyDescent="0.4">
      <c r="A789" s="178" t="s">
        <v>823</v>
      </c>
      <c r="B789" s="151" t="s">
        <v>116</v>
      </c>
      <c r="C789" s="30" t="str">
        <f>VLOOKUP(B789,'112年全品項生產鍋數'!A:H,2,0)</f>
        <v>藍莓餡（大）(1*9.08kg)</v>
      </c>
      <c r="D789" s="287">
        <v>12</v>
      </c>
      <c r="E789" s="48">
        <f>VLOOKUP(B789,'112年全品項生產鍋數'!A:H,3,0)</f>
        <v>9.08</v>
      </c>
      <c r="F789" s="45">
        <f>VLOOKUP(B789,'112年全品項生產鍋數'!A:H,7,0)</f>
        <v>17.8</v>
      </c>
      <c r="G789" s="49">
        <f t="shared" si="85"/>
        <v>213.60000000000002</v>
      </c>
      <c r="H789" s="154">
        <v>212</v>
      </c>
      <c r="I789" s="87">
        <f t="shared" si="83"/>
        <v>1924.96</v>
      </c>
      <c r="J789" s="100">
        <f t="shared" si="81"/>
        <v>0.99250936329588002</v>
      </c>
      <c r="K789" s="84">
        <f>VLOOKUP(B:B,'生產達成率(目標)'!A:C,3,0)</f>
        <v>1</v>
      </c>
      <c r="L789" s="20">
        <f t="shared" si="86"/>
        <v>-7.0000000000000001E-3</v>
      </c>
      <c r="M789" s="235"/>
      <c r="N789" s="40">
        <v>0</v>
      </c>
      <c r="O789" s="166">
        <f t="shared" si="84"/>
        <v>0</v>
      </c>
      <c r="P789" s="40">
        <v>212</v>
      </c>
      <c r="Q789" s="20">
        <f t="shared" si="82"/>
        <v>1</v>
      </c>
      <c r="R789" s="38"/>
      <c r="S789" s="174"/>
      <c r="T789" s="86"/>
      <c r="U789" s="23"/>
      <c r="V789" s="458"/>
      <c r="W789" s="421"/>
      <c r="X789" s="458"/>
      <c r="Y789" s="421"/>
      <c r="Z789" s="421"/>
      <c r="AA789" s="421"/>
      <c r="AB789" s="421"/>
      <c r="AC789" s="421"/>
      <c r="AD789" s="421"/>
    </row>
    <row r="790" spans="1:30" s="22" customFormat="1" x14ac:dyDescent="0.4">
      <c r="A790" s="178" t="s">
        <v>823</v>
      </c>
      <c r="B790" s="151" t="s">
        <v>96</v>
      </c>
      <c r="C790" s="30" t="str">
        <f>VLOOKUP(B790,'112年全品項生產鍋數'!A:H,2,0)</f>
        <v>PET瓶花生(1*340g)</v>
      </c>
      <c r="D790" s="287">
        <v>16</v>
      </c>
      <c r="E790" s="48">
        <f>VLOOKUP(B790,'112年全品項生產鍋數'!A:H,3,0)</f>
        <v>0.34</v>
      </c>
      <c r="F790" s="45">
        <f>VLOOKUP(B790,'112年全品項生產鍋數'!A:H,7,0)</f>
        <v>358.3</v>
      </c>
      <c r="G790" s="49">
        <f t="shared" si="85"/>
        <v>5732.8</v>
      </c>
      <c r="H790" s="154">
        <f>3333+2402</f>
        <v>5735</v>
      </c>
      <c r="I790" s="87">
        <f t="shared" si="83"/>
        <v>1949.9</v>
      </c>
      <c r="J790" s="100">
        <f t="shared" si="81"/>
        <v>1.0003837566285236</v>
      </c>
      <c r="K790" s="84">
        <f>VLOOKUP(B:B,'生產達成率(目標)'!A:C,3,0)</f>
        <v>1</v>
      </c>
      <c r="L790" s="20">
        <f t="shared" si="86"/>
        <v>0</v>
      </c>
      <c r="M790" s="235"/>
      <c r="N790" s="40">
        <v>1</v>
      </c>
      <c r="O790" s="166">
        <f t="shared" si="84"/>
        <v>2404</v>
      </c>
      <c r="P790" s="40">
        <v>3330</v>
      </c>
      <c r="Q790" s="20">
        <f t="shared" si="82"/>
        <v>0.58064516129032262</v>
      </c>
      <c r="R790" s="38"/>
      <c r="S790" s="174"/>
      <c r="T790" s="30" t="s">
        <v>498</v>
      </c>
      <c r="U790" s="23"/>
      <c r="V790" s="458"/>
      <c r="W790" s="421"/>
      <c r="X790" s="458"/>
      <c r="Y790" s="421"/>
      <c r="Z790" s="421"/>
      <c r="AA790" s="421"/>
      <c r="AB790" s="421"/>
      <c r="AC790" s="421"/>
      <c r="AD790" s="421"/>
    </row>
    <row r="791" spans="1:30" s="22" customFormat="1" x14ac:dyDescent="0.4">
      <c r="A791" s="178" t="s">
        <v>823</v>
      </c>
      <c r="B791" s="151" t="s">
        <v>18</v>
      </c>
      <c r="C791" s="30" t="str">
        <f>VLOOKUP(B791,'112年全品項生產鍋數'!A:H,2,0)</f>
        <v>PET瓶花生(粒)(1*340g)</v>
      </c>
      <c r="D791" s="287">
        <v>16</v>
      </c>
      <c r="E791" s="48">
        <f>VLOOKUP(B791,'112年全品項生產鍋數'!A:H,3,0)</f>
        <v>0.34</v>
      </c>
      <c r="F791" s="45">
        <f>VLOOKUP(B791,'112年全品項生產鍋數'!A:H,7,0)</f>
        <v>366</v>
      </c>
      <c r="G791" s="49">
        <f t="shared" si="85"/>
        <v>5856</v>
      </c>
      <c r="H791" s="154">
        <v>5912</v>
      </c>
      <c r="I791" s="87">
        <f t="shared" si="83"/>
        <v>2010.0800000000002</v>
      </c>
      <c r="J791" s="100">
        <f t="shared" ref="J791:J854" si="87">IF(G791=0,"無法預估數據",H791/G791)</f>
        <v>1.0095628415300546</v>
      </c>
      <c r="K791" s="84">
        <f>VLOOKUP(B:B,'生產達成率(目標)'!A:C,3,0)</f>
        <v>1</v>
      </c>
      <c r="L791" s="20">
        <f t="shared" si="86"/>
        <v>0.01</v>
      </c>
      <c r="M791" s="235"/>
      <c r="N791" s="40">
        <v>1</v>
      </c>
      <c r="O791" s="166">
        <f t="shared" si="84"/>
        <v>2</v>
      </c>
      <c r="P791" s="40">
        <v>5909</v>
      </c>
      <c r="Q791" s="20">
        <f t="shared" si="82"/>
        <v>0.99949255751014887</v>
      </c>
      <c r="R791" s="38"/>
      <c r="S791" s="174"/>
      <c r="T791" s="30" t="s">
        <v>492</v>
      </c>
      <c r="U791" s="23"/>
      <c r="V791" s="458"/>
      <c r="W791" s="421"/>
      <c r="X791" s="458"/>
      <c r="Y791" s="421"/>
      <c r="Z791" s="421"/>
      <c r="AA791" s="421"/>
      <c r="AB791" s="421"/>
      <c r="AC791" s="421"/>
      <c r="AD791" s="421"/>
    </row>
    <row r="792" spans="1:30" s="22" customFormat="1" x14ac:dyDescent="0.4">
      <c r="A792" s="178" t="s">
        <v>824</v>
      </c>
      <c r="B792" s="151" t="s">
        <v>71</v>
      </c>
      <c r="C792" s="30" t="str">
        <f>VLOOKUP(B792,'112年全品項生產鍋數'!A:H,2,0)</f>
        <v>＃1草莓(1*3.2kg)</v>
      </c>
      <c r="D792" s="288">
        <v>72</v>
      </c>
      <c r="E792" s="48">
        <f>VLOOKUP(B792,'112年全品項生產鍋數'!A:H,3,0)</f>
        <v>3.2</v>
      </c>
      <c r="F792" s="45">
        <f>VLOOKUP(B792,'112年全品項生產鍋數'!A:H,7,0)</f>
        <v>46.8</v>
      </c>
      <c r="G792" s="49">
        <f t="shared" si="85"/>
        <v>3369.6</v>
      </c>
      <c r="H792" s="154">
        <v>3388</v>
      </c>
      <c r="I792" s="87">
        <f t="shared" si="83"/>
        <v>10841.6</v>
      </c>
      <c r="J792" s="100">
        <f t="shared" si="87"/>
        <v>1.0054605887939221</v>
      </c>
      <c r="K792" s="84">
        <f>VLOOKUP(B:B,'生產達成率(目標)'!A:C,3,0)</f>
        <v>1</v>
      </c>
      <c r="L792" s="20">
        <f t="shared" si="86"/>
        <v>5.0000000000000001E-3</v>
      </c>
      <c r="M792" s="235"/>
      <c r="N792" s="40">
        <v>2</v>
      </c>
      <c r="O792" s="166">
        <f t="shared" si="84"/>
        <v>0</v>
      </c>
      <c r="P792" s="40">
        <v>3386</v>
      </c>
      <c r="Q792" s="20">
        <f t="shared" si="82"/>
        <v>0.999409681227863</v>
      </c>
      <c r="R792" s="38"/>
      <c r="S792" s="174"/>
      <c r="T792" s="86"/>
      <c r="U792" s="23"/>
      <c r="V792" s="458"/>
      <c r="W792" s="421"/>
      <c r="X792" s="458"/>
      <c r="Y792" s="421"/>
      <c r="Z792" s="421"/>
      <c r="AA792" s="421"/>
      <c r="AB792" s="421"/>
      <c r="AC792" s="421"/>
      <c r="AD792" s="421"/>
    </row>
    <row r="793" spans="1:30" s="22" customFormat="1" x14ac:dyDescent="0.4">
      <c r="A793" s="178" t="s">
        <v>824</v>
      </c>
      <c r="B793" s="151" t="s">
        <v>64</v>
      </c>
      <c r="C793" s="30" t="str">
        <f>VLOOKUP(B793,'112年全品項生產鍋數'!A:H,2,0)</f>
        <v>藍莓餡(1*6KG)</v>
      </c>
      <c r="D793" s="287">
        <v>20</v>
      </c>
      <c r="E793" s="48">
        <f>VLOOKUP(B793,'112年全品項生產鍋數'!A:H,3,0)</f>
        <v>6</v>
      </c>
      <c r="F793" s="45">
        <f>VLOOKUP(B793,'112年全品項生產鍋數'!A:H,7,0)</f>
        <v>25.4</v>
      </c>
      <c r="G793" s="49">
        <f t="shared" si="85"/>
        <v>508</v>
      </c>
      <c r="H793" s="154">
        <f>301+212</f>
        <v>513</v>
      </c>
      <c r="I793" s="87">
        <f t="shared" si="83"/>
        <v>3078</v>
      </c>
      <c r="J793" s="100">
        <f t="shared" si="87"/>
        <v>1.0098425196850394</v>
      </c>
      <c r="K793" s="84">
        <f>VLOOKUP(B:B,'生產達成率(目標)'!A:C,3,0)</f>
        <v>1</v>
      </c>
      <c r="L793" s="20">
        <f t="shared" si="86"/>
        <v>0.01</v>
      </c>
      <c r="M793" s="235"/>
      <c r="N793" s="40">
        <v>1</v>
      </c>
      <c r="O793" s="166">
        <f t="shared" si="84"/>
        <v>0</v>
      </c>
      <c r="P793" s="40">
        <f>300+212</f>
        <v>512</v>
      </c>
      <c r="Q793" s="20">
        <f t="shared" ref="Q793:Q818" si="88">P793/H793</f>
        <v>0.99805068226120852</v>
      </c>
      <c r="R793" s="38"/>
      <c r="S793" s="174"/>
      <c r="T793" s="30"/>
      <c r="U793" s="23"/>
      <c r="V793" s="458"/>
      <c r="W793" s="421"/>
      <c r="X793" s="458"/>
      <c r="Y793" s="421"/>
      <c r="Z793" s="421"/>
      <c r="AA793" s="421"/>
      <c r="AB793" s="421"/>
      <c r="AC793" s="421"/>
      <c r="AD793" s="421"/>
    </row>
    <row r="794" spans="1:30" s="22" customFormat="1" x14ac:dyDescent="0.4">
      <c r="A794" s="178" t="s">
        <v>824</v>
      </c>
      <c r="B794" s="151" t="s">
        <v>93</v>
      </c>
      <c r="C794" s="30" t="str">
        <f>VLOOKUP(B794,'112年全品項生產鍋數'!A:H,2,0)</f>
        <v>草莓餡42°(1*6KG)</v>
      </c>
      <c r="D794" s="287">
        <v>20</v>
      </c>
      <c r="E794" s="48">
        <f>VLOOKUP(B794,'112年全品項生產鍋數'!A:H,3,0)</f>
        <v>6</v>
      </c>
      <c r="F794" s="45">
        <f>VLOOKUP(B794,'112年全品項生產鍋數'!A:H,7,0)</f>
        <v>25.2</v>
      </c>
      <c r="G794" s="49">
        <f t="shared" si="85"/>
        <v>504</v>
      </c>
      <c r="H794" s="154">
        <v>506</v>
      </c>
      <c r="I794" s="87">
        <f t="shared" si="83"/>
        <v>3036</v>
      </c>
      <c r="J794" s="100">
        <f t="shared" si="87"/>
        <v>1.003968253968254</v>
      </c>
      <c r="K794" s="84">
        <f>VLOOKUP(B:B,'生產達成率(目標)'!A:C,3,0)</f>
        <v>1</v>
      </c>
      <c r="L794" s="20">
        <f t="shared" si="86"/>
        <v>4.0000000000000001E-3</v>
      </c>
      <c r="M794" s="235"/>
      <c r="N794" s="40">
        <v>1</v>
      </c>
      <c r="O794" s="166">
        <f t="shared" si="84"/>
        <v>1</v>
      </c>
      <c r="P794" s="40">
        <v>504</v>
      </c>
      <c r="Q794" s="20">
        <f t="shared" si="88"/>
        <v>0.99604743083003955</v>
      </c>
      <c r="R794" s="38"/>
      <c r="S794" s="174"/>
      <c r="T794" s="86" t="s">
        <v>462</v>
      </c>
      <c r="U794" s="23"/>
      <c r="V794" s="458"/>
      <c r="W794" s="421"/>
      <c r="X794" s="458"/>
      <c r="Y794" s="421"/>
      <c r="Z794" s="421"/>
      <c r="AA794" s="421"/>
      <c r="AB794" s="421"/>
      <c r="AC794" s="421"/>
      <c r="AD794" s="421"/>
    </row>
    <row r="795" spans="1:30" s="22" customFormat="1" x14ac:dyDescent="0.4">
      <c r="A795" s="178" t="s">
        <v>824</v>
      </c>
      <c r="B795" s="149" t="s">
        <v>23</v>
      </c>
      <c r="C795" s="30" t="str">
        <f>VLOOKUP(B795,'112年全品項生產鍋數'!A:H,2,0)</f>
        <v>＃1花生(粒)(1*2.8kg)</v>
      </c>
      <c r="D795" s="287">
        <v>44</v>
      </c>
      <c r="E795" s="48">
        <f>VLOOKUP(B795,'112年全品項生產鍋數'!A:H,3,0)</f>
        <v>2.8</v>
      </c>
      <c r="F795" s="45">
        <f>VLOOKUP(B795,'112年全品項生產鍋數'!A:H,7,0)</f>
        <v>44.2</v>
      </c>
      <c r="G795" s="49">
        <f t="shared" si="85"/>
        <v>1944.8000000000002</v>
      </c>
      <c r="H795" s="154">
        <v>1970</v>
      </c>
      <c r="I795" s="87">
        <f t="shared" si="83"/>
        <v>5516</v>
      </c>
      <c r="J795" s="100">
        <f t="shared" si="87"/>
        <v>1.0129576306046892</v>
      </c>
      <c r="K795" s="84">
        <f>VLOOKUP(B:B,'生產達成率(目標)'!A:C,3,0)</f>
        <v>1</v>
      </c>
      <c r="L795" s="20">
        <f t="shared" si="86"/>
        <v>1.2999999999999999E-2</v>
      </c>
      <c r="M795" s="235"/>
      <c r="N795" s="40">
        <v>1</v>
      </c>
      <c r="O795" s="166">
        <f t="shared" si="84"/>
        <v>0</v>
      </c>
      <c r="P795" s="40">
        <v>1969</v>
      </c>
      <c r="Q795" s="20">
        <f t="shared" si="88"/>
        <v>0.999492385786802</v>
      </c>
      <c r="R795" s="38"/>
      <c r="S795" s="174"/>
      <c r="T795" s="86"/>
      <c r="U795" s="23"/>
      <c r="V795" s="458"/>
      <c r="W795" s="421"/>
      <c r="X795" s="458"/>
      <c r="Y795" s="421"/>
      <c r="Z795" s="421"/>
      <c r="AA795" s="421"/>
      <c r="AB795" s="421"/>
      <c r="AC795" s="421"/>
      <c r="AD795" s="421"/>
    </row>
    <row r="796" spans="1:30" s="22" customFormat="1" x14ac:dyDescent="0.4">
      <c r="A796" s="178" t="s">
        <v>824</v>
      </c>
      <c r="B796" s="151" t="s">
        <v>97</v>
      </c>
      <c r="C796" s="30" t="str">
        <f>VLOOKUP(B796,'112年全品項生產鍋數'!A:H,2,0)</f>
        <v>花生醬(1*18KG)</v>
      </c>
      <c r="D796" s="287">
        <v>16</v>
      </c>
      <c r="E796" s="48">
        <f>VLOOKUP(B796,'112年全品項生產鍋數'!A:H,3,0)</f>
        <v>18</v>
      </c>
      <c r="F796" s="45">
        <f>VLOOKUP(B796,'112年全品項生產鍋數'!A:H,7,0)</f>
        <v>6.6</v>
      </c>
      <c r="G796" s="49">
        <f t="shared" si="85"/>
        <v>105.6</v>
      </c>
      <c r="H796" s="154">
        <v>109</v>
      </c>
      <c r="I796" s="87">
        <f t="shared" si="83"/>
        <v>1962</v>
      </c>
      <c r="J796" s="100">
        <f t="shared" si="87"/>
        <v>1.0321969696969697</v>
      </c>
      <c r="K796" s="84">
        <f>VLOOKUP(B:B,'生產達成率(目標)'!A:C,3,0)</f>
        <v>1</v>
      </c>
      <c r="L796" s="20">
        <f t="shared" si="86"/>
        <v>3.2000000000000001E-2</v>
      </c>
      <c r="M796" s="235"/>
      <c r="N796" s="40">
        <v>0</v>
      </c>
      <c r="O796" s="166">
        <f t="shared" si="84"/>
        <v>0</v>
      </c>
      <c r="P796" s="40">
        <v>109</v>
      </c>
      <c r="Q796" s="20">
        <f t="shared" si="88"/>
        <v>1</v>
      </c>
      <c r="R796" s="38"/>
      <c r="S796" s="174"/>
      <c r="T796" s="86"/>
      <c r="U796" s="23"/>
      <c r="V796" s="458"/>
      <c r="W796" s="421"/>
      <c r="X796" s="458"/>
      <c r="Y796" s="421"/>
      <c r="Z796" s="421"/>
      <c r="AA796" s="421"/>
      <c r="AB796" s="421"/>
      <c r="AC796" s="421"/>
      <c r="AD796" s="421"/>
    </row>
    <row r="797" spans="1:30" s="22" customFormat="1" x14ac:dyDescent="0.4">
      <c r="A797" s="178" t="s">
        <v>824</v>
      </c>
      <c r="B797" s="151" t="s">
        <v>488</v>
      </c>
      <c r="C797" s="30" t="str">
        <f>VLOOKUP(B797,'112年全品項生產鍋數'!A:H,2,0)</f>
        <v>文旦絲(1*1KG/包)</v>
      </c>
      <c r="D797" s="287">
        <v>1</v>
      </c>
      <c r="E797" s="48">
        <f>VLOOKUP(B797,'112年全品項生產鍋數'!A:H,3,0)</f>
        <v>1</v>
      </c>
      <c r="F797" s="45">
        <f>VLOOKUP(B797,'112年全品項生產鍋數'!A:H,7,0)</f>
        <v>670</v>
      </c>
      <c r="G797" s="49">
        <f t="shared" si="85"/>
        <v>670</v>
      </c>
      <c r="H797" s="154">
        <v>402</v>
      </c>
      <c r="I797" s="87">
        <f t="shared" si="83"/>
        <v>402</v>
      </c>
      <c r="J797" s="100">
        <f t="shared" si="87"/>
        <v>0.6</v>
      </c>
      <c r="K797" s="84">
        <f>VLOOKUP(B:B,'生產達成率(目標)'!A:C,3,0)</f>
        <v>1</v>
      </c>
      <c r="L797" s="20">
        <f t="shared" si="86"/>
        <v>-0.4</v>
      </c>
      <c r="M797" s="235"/>
      <c r="N797" s="40">
        <v>0</v>
      </c>
      <c r="O797" s="166">
        <f t="shared" si="84"/>
        <v>0</v>
      </c>
      <c r="P797" s="40">
        <v>402</v>
      </c>
      <c r="Q797" s="20">
        <f t="shared" si="88"/>
        <v>1</v>
      </c>
      <c r="R797" s="38"/>
      <c r="S797" s="174"/>
      <c r="T797" s="30"/>
      <c r="U797" s="23"/>
      <c r="V797" s="458"/>
      <c r="W797" s="421"/>
      <c r="X797" s="458"/>
      <c r="Y797" s="421"/>
      <c r="Z797" s="421"/>
      <c r="AA797" s="421"/>
      <c r="AB797" s="421"/>
      <c r="AC797" s="421"/>
      <c r="AD797" s="421"/>
    </row>
    <row r="798" spans="1:30" s="22" customFormat="1" ht="17.25" customHeight="1" x14ac:dyDescent="0.4">
      <c r="A798" s="178" t="s">
        <v>824</v>
      </c>
      <c r="B798" s="151">
        <v>153010</v>
      </c>
      <c r="C798" s="30" t="str">
        <f>VLOOKUP(B798,'112年全品項生產鍋數'!A:H,2,0)</f>
        <v>蜜桔皮6m/m</v>
      </c>
      <c r="D798" s="287">
        <v>1</v>
      </c>
      <c r="E798" s="48">
        <f>VLOOKUP(B798,'112年全品項生產鍋數'!A:H,3,0)</f>
        <v>1</v>
      </c>
      <c r="F798" s="45">
        <f>VLOOKUP(B798,'112年全品項生產鍋數'!A:H,7,0)</f>
        <v>591</v>
      </c>
      <c r="G798" s="49">
        <f t="shared" si="85"/>
        <v>591</v>
      </c>
      <c r="H798" s="154">
        <v>662</v>
      </c>
      <c r="I798" s="87">
        <f t="shared" si="83"/>
        <v>662</v>
      </c>
      <c r="J798" s="100">
        <f t="shared" si="87"/>
        <v>1.1201353637901861</v>
      </c>
      <c r="K798" s="84">
        <f>VLOOKUP(B:B,'生產達成率(目標)'!A:C,3,0)</f>
        <v>1</v>
      </c>
      <c r="L798" s="20">
        <f t="shared" si="86"/>
        <v>0.12</v>
      </c>
      <c r="M798" s="235"/>
      <c r="N798" s="40"/>
      <c r="O798" s="166">
        <f t="shared" si="84"/>
        <v>0</v>
      </c>
      <c r="P798" s="40">
        <v>662</v>
      </c>
      <c r="Q798" s="20">
        <f t="shared" si="88"/>
        <v>1</v>
      </c>
      <c r="R798" s="38"/>
      <c r="S798" s="174"/>
      <c r="T798" s="30"/>
      <c r="U798" s="23"/>
      <c r="V798" s="458"/>
      <c r="W798" s="421"/>
      <c r="X798" s="458"/>
      <c r="Y798" s="421"/>
      <c r="Z798" s="421"/>
      <c r="AA798" s="421"/>
      <c r="AB798" s="421"/>
      <c r="AC798" s="421"/>
      <c r="AD798" s="421"/>
    </row>
    <row r="799" spans="1:30" s="22" customFormat="1" x14ac:dyDescent="0.4">
      <c r="A799" s="178" t="s">
        <v>825</v>
      </c>
      <c r="B799" s="151" t="s">
        <v>2</v>
      </c>
      <c r="C799" s="30" t="str">
        <f>VLOOKUP(B799,'112年全品項生產鍋數'!A:H,2,0)</f>
        <v>草莓醬(1*6kg)</v>
      </c>
      <c r="D799" s="287">
        <v>33</v>
      </c>
      <c r="E799" s="48">
        <f>VLOOKUP(B799,'112年全品項生產鍋數'!A:H,3,0)</f>
        <v>6</v>
      </c>
      <c r="F799" s="45">
        <f>VLOOKUP(B799,'112年全品項生產鍋數'!A:H,7,0)</f>
        <v>26.6</v>
      </c>
      <c r="G799" s="49">
        <f t="shared" si="85"/>
        <v>877.80000000000007</v>
      </c>
      <c r="H799" s="154">
        <v>888</v>
      </c>
      <c r="I799" s="87">
        <f t="shared" si="83"/>
        <v>5328</v>
      </c>
      <c r="J799" s="100">
        <f t="shared" si="87"/>
        <v>1.0116199589883799</v>
      </c>
      <c r="K799" s="84">
        <f>VLOOKUP(B:B,'生產達成率(目標)'!A:C,3,0)</f>
        <v>1</v>
      </c>
      <c r="L799" s="20">
        <f t="shared" si="86"/>
        <v>1.2E-2</v>
      </c>
      <c r="M799" s="235"/>
      <c r="N799" s="40">
        <v>1</v>
      </c>
      <c r="O799" s="166">
        <f t="shared" si="84"/>
        <v>12</v>
      </c>
      <c r="P799" s="40">
        <v>875</v>
      </c>
      <c r="Q799" s="20">
        <f t="shared" si="88"/>
        <v>0.98536036036036034</v>
      </c>
      <c r="R799" s="38"/>
      <c r="S799" s="174"/>
      <c r="T799" s="30"/>
      <c r="U799" s="23"/>
      <c r="V799" s="458"/>
      <c r="W799" s="421"/>
      <c r="X799" s="458"/>
      <c r="Y799" s="421"/>
      <c r="Z799" s="421"/>
      <c r="AA799" s="421"/>
      <c r="AB799" s="421"/>
      <c r="AC799" s="421"/>
      <c r="AD799" s="421"/>
    </row>
    <row r="800" spans="1:30" s="22" customFormat="1" x14ac:dyDescent="0.4">
      <c r="A800" s="178" t="s">
        <v>825</v>
      </c>
      <c r="B800" s="151" t="s">
        <v>451</v>
      </c>
      <c r="C800" s="30" t="str">
        <f>VLOOKUP(B800,'112年全品項生產鍋數'!A:H,2,0)</f>
        <v>水蜜桃醬(1*6kg)</v>
      </c>
      <c r="D800" s="287">
        <v>6</v>
      </c>
      <c r="E800" s="48">
        <f>VLOOKUP(B800,'112年全品項生產鍋數'!A:H,3,0)</f>
        <v>6</v>
      </c>
      <c r="F800" s="45">
        <f>VLOOKUP(B800,'112年全品項生產鍋數'!A:H,7,0)</f>
        <v>24.5</v>
      </c>
      <c r="G800" s="49">
        <f t="shared" si="85"/>
        <v>147</v>
      </c>
      <c r="H800" s="154">
        <v>150</v>
      </c>
      <c r="I800" s="87">
        <f t="shared" si="83"/>
        <v>900</v>
      </c>
      <c r="J800" s="100">
        <f t="shared" si="87"/>
        <v>1.0204081632653061</v>
      </c>
      <c r="K800" s="84">
        <f>VLOOKUP(B:B,'生產達成率(目標)'!A:C,3,0)</f>
        <v>1</v>
      </c>
      <c r="L800" s="20">
        <f t="shared" si="86"/>
        <v>0.02</v>
      </c>
      <c r="M800" s="235"/>
      <c r="N800" s="40">
        <v>1</v>
      </c>
      <c r="O800" s="166">
        <f t="shared" si="84"/>
        <v>0</v>
      </c>
      <c r="P800" s="40">
        <v>149</v>
      </c>
      <c r="Q800" s="20">
        <f t="shared" si="88"/>
        <v>0.99333333333333329</v>
      </c>
      <c r="R800" s="38"/>
      <c r="S800" s="174"/>
      <c r="T800" s="86"/>
      <c r="U800" s="23"/>
      <c r="V800" s="458"/>
      <c r="W800" s="421"/>
      <c r="X800" s="458"/>
      <c r="Y800" s="421"/>
      <c r="Z800" s="421"/>
      <c r="AA800" s="421"/>
      <c r="AB800" s="421"/>
      <c r="AC800" s="421"/>
      <c r="AD800" s="421"/>
    </row>
    <row r="801" spans="1:30" s="22" customFormat="1" x14ac:dyDescent="0.4">
      <c r="A801" s="178" t="s">
        <v>825</v>
      </c>
      <c r="B801" s="151" t="s">
        <v>75</v>
      </c>
      <c r="C801" s="30" t="str">
        <f>VLOOKUP(B801,'112年全品項生產鍋數'!A:H,2,0)</f>
        <v>草莓椰果餡(1*6Kg)</v>
      </c>
      <c r="D801" s="287">
        <v>16</v>
      </c>
      <c r="E801" s="48">
        <f>VLOOKUP(B801,'112年全品項生產鍋數'!A:H,3,0)</f>
        <v>6</v>
      </c>
      <c r="F801" s="45">
        <f>VLOOKUP(B801,'112年全品項生產鍋數'!A:H,7,0)</f>
        <v>26.4</v>
      </c>
      <c r="G801" s="49">
        <f t="shared" si="85"/>
        <v>422.4</v>
      </c>
      <c r="H801" s="154">
        <v>452</v>
      </c>
      <c r="I801" s="87">
        <f t="shared" si="83"/>
        <v>2712</v>
      </c>
      <c r="J801" s="100">
        <f t="shared" si="87"/>
        <v>1.0700757575757576</v>
      </c>
      <c r="K801" s="84">
        <f>VLOOKUP(B:B,'生產達成率(目標)'!A:C,3,0)</f>
        <v>1</v>
      </c>
      <c r="L801" s="20">
        <f t="shared" si="86"/>
        <v>7.0000000000000007E-2</v>
      </c>
      <c r="M801" s="235"/>
      <c r="N801" s="40">
        <v>1</v>
      </c>
      <c r="O801" s="166">
        <f t="shared" si="84"/>
        <v>0</v>
      </c>
      <c r="P801" s="40">
        <v>451</v>
      </c>
      <c r="Q801" s="20">
        <f t="shared" si="88"/>
        <v>0.99778761061946908</v>
      </c>
      <c r="R801" s="38"/>
      <c r="S801" s="174">
        <v>191</v>
      </c>
      <c r="T801" s="86" t="s">
        <v>936</v>
      </c>
      <c r="U801" s="23"/>
      <c r="V801" s="458"/>
      <c r="W801" s="421"/>
      <c r="X801" s="458"/>
      <c r="Y801" s="421"/>
      <c r="Z801" s="421"/>
      <c r="AA801" s="421"/>
      <c r="AB801" s="421"/>
      <c r="AC801" s="421"/>
      <c r="AD801" s="421"/>
    </row>
    <row r="802" spans="1:30" s="22" customFormat="1" x14ac:dyDescent="0.4">
      <c r="A802" s="178" t="s">
        <v>825</v>
      </c>
      <c r="B802" s="151" t="s">
        <v>63</v>
      </c>
      <c r="C802" s="30" t="str">
        <f>VLOOKUP(B802,'112年全品項生產鍋數'!A:H,2,0)</f>
        <v>草莓蒟蒻餡(1*6kg)</v>
      </c>
      <c r="D802" s="287">
        <v>20</v>
      </c>
      <c r="E802" s="48">
        <f>VLOOKUP(B802,'112年全品項生產鍋數'!A:H,3,0)</f>
        <v>6</v>
      </c>
      <c r="F802" s="45">
        <f>VLOOKUP(B802,'112年全品項生產鍋數'!A:H,7,0)</f>
        <v>25.7</v>
      </c>
      <c r="G802" s="49">
        <f t="shared" si="85"/>
        <v>514</v>
      </c>
      <c r="H802" s="154">
        <f>302+212</f>
        <v>514</v>
      </c>
      <c r="I802" s="87">
        <f t="shared" si="83"/>
        <v>3084</v>
      </c>
      <c r="J802" s="100">
        <f t="shared" si="87"/>
        <v>1</v>
      </c>
      <c r="K802" s="84">
        <f>VLOOKUP(B:B,'生產達成率(目標)'!A:C,3,0)</f>
        <v>1</v>
      </c>
      <c r="L802" s="20">
        <f t="shared" si="86"/>
        <v>0</v>
      </c>
      <c r="M802" s="235"/>
      <c r="N802" s="40">
        <v>1</v>
      </c>
      <c r="O802" s="166">
        <f t="shared" si="84"/>
        <v>0</v>
      </c>
      <c r="P802" s="40">
        <f>301+212</f>
        <v>513</v>
      </c>
      <c r="Q802" s="20">
        <f t="shared" si="88"/>
        <v>0.99805447470817121</v>
      </c>
      <c r="R802" s="38"/>
      <c r="S802" s="174"/>
      <c r="T802" s="86"/>
      <c r="U802" s="23"/>
      <c r="V802" s="458"/>
      <c r="W802" s="421"/>
      <c r="X802" s="458"/>
      <c r="Y802" s="421"/>
      <c r="Z802" s="421"/>
      <c r="AA802" s="421"/>
      <c r="AB802" s="421"/>
      <c r="AC802" s="421"/>
      <c r="AD802" s="421"/>
    </row>
    <row r="803" spans="1:30" s="22" customFormat="1" x14ac:dyDescent="0.4">
      <c r="A803" s="178" t="s">
        <v>825</v>
      </c>
      <c r="B803" s="151" t="s">
        <v>461</v>
      </c>
      <c r="C803" s="30" t="str">
        <f>VLOOKUP(B803,'112年全品項生產鍋數'!A:H,2,0)</f>
        <v>綜合莓果餡(1*6Kg)</v>
      </c>
      <c r="D803" s="287">
        <v>4</v>
      </c>
      <c r="E803" s="48">
        <f>VLOOKUP(B803,'112年全品項生產鍋數'!A:H,3,0)</f>
        <v>6</v>
      </c>
      <c r="F803" s="45">
        <f>VLOOKUP(B803,'112年全品項生產鍋數'!A:H,7,0)</f>
        <v>25.1</v>
      </c>
      <c r="G803" s="49">
        <f t="shared" si="85"/>
        <v>100.4</v>
      </c>
      <c r="H803" s="154">
        <v>99</v>
      </c>
      <c r="I803" s="87">
        <f t="shared" si="83"/>
        <v>594</v>
      </c>
      <c r="J803" s="100">
        <f t="shared" si="87"/>
        <v>0.98605577689243018</v>
      </c>
      <c r="K803" s="84">
        <f>VLOOKUP(B:B,'生產達成率(目標)'!A:C,3,0)</f>
        <v>1</v>
      </c>
      <c r="L803" s="20">
        <f t="shared" si="86"/>
        <v>-1.4E-2</v>
      </c>
      <c r="M803" s="235"/>
      <c r="N803" s="40">
        <v>1</v>
      </c>
      <c r="O803" s="166">
        <f t="shared" si="84"/>
        <v>0</v>
      </c>
      <c r="P803" s="40">
        <v>98</v>
      </c>
      <c r="Q803" s="20">
        <f t="shared" si="88"/>
        <v>0.98989898989898994</v>
      </c>
      <c r="R803" s="38"/>
      <c r="S803" s="174"/>
      <c r="T803" s="86"/>
      <c r="U803" s="23"/>
      <c r="V803" s="458"/>
      <c r="W803" s="421"/>
      <c r="X803" s="458"/>
      <c r="Y803" s="421"/>
      <c r="Z803" s="421"/>
      <c r="AA803" s="421"/>
      <c r="AB803" s="421"/>
      <c r="AC803" s="421"/>
      <c r="AD803" s="421"/>
    </row>
    <row r="804" spans="1:30" s="22" customFormat="1" x14ac:dyDescent="0.4">
      <c r="A804" s="178" t="s">
        <v>825</v>
      </c>
      <c r="B804" s="151" t="s">
        <v>65</v>
      </c>
      <c r="C804" s="30" t="str">
        <f>VLOOKUP(B804,'112年全品項生產鍋數'!A:H,2,0)</f>
        <v>＃1花生(1*2.8kg)</v>
      </c>
      <c r="D804" s="287">
        <v>40</v>
      </c>
      <c r="E804" s="48">
        <f>VLOOKUP(B804,'112年全品項生產鍋數'!A:H,3,0)</f>
        <v>2.8</v>
      </c>
      <c r="F804" s="45">
        <f>VLOOKUP(B804,'112年全品項生產鍋數'!A:H,7,0)</f>
        <v>44.5</v>
      </c>
      <c r="G804" s="49">
        <f t="shared" si="85"/>
        <v>1780</v>
      </c>
      <c r="H804" s="155">
        <v>1445</v>
      </c>
      <c r="I804" s="87">
        <f t="shared" si="83"/>
        <v>4045.9999999999995</v>
      </c>
      <c r="J804" s="100">
        <f t="shared" si="87"/>
        <v>0.8117977528089888</v>
      </c>
      <c r="K804" s="84">
        <f>VLOOKUP(B:B,'生產達成率(目標)'!A:C,3,0)</f>
        <v>1</v>
      </c>
      <c r="L804" s="20">
        <f t="shared" si="86"/>
        <v>-0.188</v>
      </c>
      <c r="M804" s="235"/>
      <c r="N804" s="40">
        <v>1</v>
      </c>
      <c r="O804" s="166">
        <f t="shared" si="84"/>
        <v>0</v>
      </c>
      <c r="P804" s="40">
        <v>1444</v>
      </c>
      <c r="Q804" s="20">
        <f t="shared" si="88"/>
        <v>0.99930795847750864</v>
      </c>
      <c r="R804" s="38"/>
      <c r="S804" s="174"/>
      <c r="T804" s="30" t="s">
        <v>499</v>
      </c>
      <c r="U804" s="23"/>
      <c r="V804" s="458"/>
      <c r="W804" s="421"/>
      <c r="X804" s="458"/>
      <c r="Y804" s="421"/>
      <c r="Z804" s="421"/>
      <c r="AA804" s="421"/>
      <c r="AB804" s="421"/>
      <c r="AC804" s="421"/>
      <c r="AD804" s="421"/>
    </row>
    <row r="805" spans="1:30" s="22" customFormat="1" x14ac:dyDescent="0.4">
      <c r="A805" s="178" t="s">
        <v>825</v>
      </c>
      <c r="B805" s="151" t="s">
        <v>148</v>
      </c>
      <c r="C805" s="30" t="str">
        <f>VLOOKUP(B805,'112年全品項生產鍋數'!A:H,2,0)</f>
        <v>無加糖花生醬(1*290g)</v>
      </c>
      <c r="D805" s="287">
        <v>8</v>
      </c>
      <c r="E805" s="48">
        <f>VLOOKUP(B805,'112年全品項生產鍋數'!A:H,3,0)</f>
        <v>0.28999999999999998</v>
      </c>
      <c r="F805" s="45">
        <f>VLOOKUP(B805,'112年全品項生產鍋數'!A:H,7,0)</f>
        <v>388</v>
      </c>
      <c r="G805" s="49">
        <f t="shared" si="85"/>
        <v>3104</v>
      </c>
      <c r="H805" s="154">
        <v>2977</v>
      </c>
      <c r="I805" s="87">
        <f>H805*E805</f>
        <v>863.32999999999993</v>
      </c>
      <c r="J805" s="100">
        <f t="shared" si="87"/>
        <v>0.95908505154639179</v>
      </c>
      <c r="K805" s="84">
        <f>VLOOKUP(B:B,'生產達成率(目標)'!A:C,3,0)</f>
        <v>1</v>
      </c>
      <c r="L805" s="20">
        <f t="shared" si="86"/>
        <v>-4.1000000000000002E-2</v>
      </c>
      <c r="M805" s="235"/>
      <c r="N805" s="40">
        <v>1</v>
      </c>
      <c r="O805" s="166">
        <f t="shared" si="84"/>
        <v>2</v>
      </c>
      <c r="P805" s="40">
        <v>2974</v>
      </c>
      <c r="Q805" s="20">
        <f t="shared" si="88"/>
        <v>0.99899227410144442</v>
      </c>
      <c r="R805" s="38"/>
      <c r="S805" s="174"/>
      <c r="T805" s="30"/>
      <c r="U805" s="23"/>
      <c r="V805" s="458"/>
      <c r="W805" s="421"/>
      <c r="X805" s="458"/>
      <c r="Y805" s="421"/>
      <c r="Z805" s="421"/>
      <c r="AA805" s="421"/>
      <c r="AB805" s="421"/>
      <c r="AC805" s="421"/>
      <c r="AD805" s="421"/>
    </row>
    <row r="806" spans="1:30" s="22" customFormat="1" x14ac:dyDescent="0.4">
      <c r="A806" s="178" t="s">
        <v>825</v>
      </c>
      <c r="B806" s="151">
        <v>111010</v>
      </c>
      <c r="C806" s="30" t="str">
        <f>VLOOKUP(B806,'112年全品項生產鍋數'!A:H,2,0)</f>
        <v>糖漬桔皮絲</v>
      </c>
      <c r="D806" s="287">
        <v>1</v>
      </c>
      <c r="E806" s="48">
        <f>VLOOKUP(B806,'112年全品項生產鍋數'!A:H,3,0)</f>
        <v>1</v>
      </c>
      <c r="F806" s="45">
        <f>VLOOKUP(B806,'112年全品項生產鍋數'!A:H,7,0)</f>
        <v>942</v>
      </c>
      <c r="G806" s="49">
        <f t="shared" si="85"/>
        <v>942</v>
      </c>
      <c r="H806" s="154">
        <v>932</v>
      </c>
      <c r="I806" s="87">
        <f t="shared" si="83"/>
        <v>932</v>
      </c>
      <c r="J806" s="100">
        <f t="shared" si="87"/>
        <v>0.98938428874734607</v>
      </c>
      <c r="K806" s="84">
        <f>VLOOKUP(B:B,'生產達成率(目標)'!A:C,3,0)</f>
        <v>1</v>
      </c>
      <c r="L806" s="20">
        <f t="shared" si="86"/>
        <v>-1.0999999999999999E-2</v>
      </c>
      <c r="M806" s="235"/>
      <c r="N806" s="40">
        <v>0</v>
      </c>
      <c r="O806" s="166">
        <f t="shared" si="84"/>
        <v>0</v>
      </c>
      <c r="P806" s="40">
        <v>932</v>
      </c>
      <c r="Q806" s="20">
        <f t="shared" si="88"/>
        <v>1</v>
      </c>
      <c r="R806" s="38"/>
      <c r="S806" s="174"/>
      <c r="T806" s="30"/>
      <c r="U806" s="23"/>
      <c r="V806" s="458"/>
      <c r="W806" s="421"/>
      <c r="X806" s="458"/>
      <c r="Y806" s="421"/>
      <c r="Z806" s="421"/>
      <c r="AA806" s="421"/>
      <c r="AB806" s="421"/>
      <c r="AC806" s="421"/>
      <c r="AD806" s="421"/>
    </row>
    <row r="807" spans="1:30" s="22" customFormat="1" x14ac:dyDescent="0.4">
      <c r="A807" s="178" t="s">
        <v>1735</v>
      </c>
      <c r="B807" s="151" t="s">
        <v>500</v>
      </c>
      <c r="C807" s="30" t="str">
        <f>VLOOKUP(B807,'112年全品項生產鍋數'!A:H,2,0)</f>
        <v>蜜餞水果(1*1kg)</v>
      </c>
      <c r="D807" s="287">
        <v>50</v>
      </c>
      <c r="E807" s="48">
        <f>VLOOKUP(B807,'112年全品項生產鍋數'!A:H,3,0)</f>
        <v>1</v>
      </c>
      <c r="F807" s="45">
        <f>VLOOKUP(B807,'112年全品項生產鍋數'!A:H,7,0)</f>
        <v>5.7</v>
      </c>
      <c r="G807" s="49">
        <f t="shared" si="85"/>
        <v>285</v>
      </c>
      <c r="H807" s="154">
        <v>286</v>
      </c>
      <c r="I807" s="87">
        <f>H807*E807</f>
        <v>286</v>
      </c>
      <c r="J807" s="100">
        <f t="shared" si="87"/>
        <v>1.0035087719298246</v>
      </c>
      <c r="K807" s="84">
        <f>VLOOKUP(B:B,'生產達成率(目標)'!A:C,3,0)</f>
        <v>1</v>
      </c>
      <c r="L807" s="20">
        <f t="shared" si="86"/>
        <v>4.0000000000000001E-3</v>
      </c>
      <c r="M807" s="235"/>
      <c r="N807" s="40">
        <v>0</v>
      </c>
      <c r="O807" s="166">
        <f>H807-N807-P807</f>
        <v>0</v>
      </c>
      <c r="P807" s="40">
        <v>286</v>
      </c>
      <c r="Q807" s="20">
        <f>P807/H807</f>
        <v>1</v>
      </c>
      <c r="R807" s="38"/>
      <c r="S807" s="174"/>
      <c r="T807" s="30" t="s">
        <v>501</v>
      </c>
      <c r="U807" s="23"/>
      <c r="V807" s="458"/>
      <c r="W807" s="421"/>
      <c r="X807" s="458"/>
      <c r="Y807" s="421"/>
      <c r="Z807" s="421"/>
      <c r="AA807" s="421"/>
      <c r="AB807" s="421"/>
      <c r="AC807" s="421"/>
      <c r="AD807" s="421"/>
    </row>
    <row r="808" spans="1:30" s="22" customFormat="1" x14ac:dyDescent="0.4">
      <c r="A808" s="178" t="s">
        <v>1735</v>
      </c>
      <c r="B808" s="151" t="s">
        <v>502</v>
      </c>
      <c r="C808" s="30" t="str">
        <f>VLOOKUP(B808,'112年全品項生產鍋數'!A:H,2,0)</f>
        <v>蜜桔皮</v>
      </c>
      <c r="D808" s="287">
        <v>50</v>
      </c>
      <c r="E808" s="48">
        <f>VLOOKUP(B808,'112年全品項生產鍋數'!A:H,3,0)</f>
        <v>1</v>
      </c>
      <c r="F808" s="45">
        <f>VLOOKUP(B808,'112年全品項生產鍋數'!A:H,7,0)</f>
        <v>6</v>
      </c>
      <c r="G808" s="49">
        <f t="shared" si="85"/>
        <v>300</v>
      </c>
      <c r="H808" s="154">
        <v>300</v>
      </c>
      <c r="I808" s="87">
        <f t="shared" ref="I808" si="89">H808*E808</f>
        <v>300</v>
      </c>
      <c r="J808" s="100">
        <f t="shared" si="87"/>
        <v>1</v>
      </c>
      <c r="K808" s="84">
        <f>VLOOKUP(B:B,'生產達成率(目標)'!A:C,3,0)</f>
        <v>1</v>
      </c>
      <c r="L808" s="20">
        <f t="shared" si="86"/>
        <v>0</v>
      </c>
      <c r="M808" s="235"/>
      <c r="N808" s="40">
        <v>0</v>
      </c>
      <c r="O808" s="166">
        <f t="shared" ref="O808" si="90">H808-N808-P808</f>
        <v>0</v>
      </c>
      <c r="P808" s="40">
        <v>300</v>
      </c>
      <c r="Q808" s="20">
        <f t="shared" ref="Q808" si="91">P808/H808</f>
        <v>1</v>
      </c>
      <c r="R808" s="38"/>
      <c r="S808" s="174"/>
      <c r="T808" s="30" t="s">
        <v>501</v>
      </c>
      <c r="U808" s="23"/>
      <c r="V808" s="458"/>
      <c r="W808" s="421"/>
      <c r="X808" s="458"/>
      <c r="Y808" s="421"/>
      <c r="Z808" s="421"/>
      <c r="AA808" s="421"/>
      <c r="AB808" s="421"/>
      <c r="AC808" s="421"/>
      <c r="AD808" s="421"/>
    </row>
    <row r="809" spans="1:30" s="22" customFormat="1" x14ac:dyDescent="0.4">
      <c r="A809" s="178" t="s">
        <v>826</v>
      </c>
      <c r="B809" s="151" t="s">
        <v>86</v>
      </c>
      <c r="C809" s="30" t="str">
        <f>VLOOKUP(B809,'112年全品項生產鍋數'!A:H,2,0)</f>
        <v>＃2藍莓(1*900g)</v>
      </c>
      <c r="D809" s="287">
        <v>40</v>
      </c>
      <c r="E809" s="48">
        <f>VLOOKUP(B809,'112年全品項生產鍋數'!A:H,3,0)</f>
        <v>0.9</v>
      </c>
      <c r="F809" s="45">
        <f>VLOOKUP(B809,'112年全品項生產鍋數'!A:H,7,0)</f>
        <v>163</v>
      </c>
      <c r="G809" s="49">
        <f t="shared" si="85"/>
        <v>6520</v>
      </c>
      <c r="H809" s="154">
        <v>6755</v>
      </c>
      <c r="I809" s="87">
        <f t="shared" si="83"/>
        <v>6079.5</v>
      </c>
      <c r="J809" s="100">
        <f t="shared" si="87"/>
        <v>1.0360429447852761</v>
      </c>
      <c r="K809" s="84">
        <f>VLOOKUP(B:B,'生產達成率(目標)'!A:C,3,0)</f>
        <v>1</v>
      </c>
      <c r="L809" s="20">
        <f t="shared" si="86"/>
        <v>3.5999999999999997E-2</v>
      </c>
      <c r="M809" s="235"/>
      <c r="N809" s="40">
        <v>2</v>
      </c>
      <c r="O809" s="166">
        <f t="shared" si="84"/>
        <v>4</v>
      </c>
      <c r="P809" s="40">
        <v>6749</v>
      </c>
      <c r="Q809" s="20">
        <f t="shared" si="88"/>
        <v>0.99911176905995558</v>
      </c>
      <c r="R809" s="38"/>
      <c r="S809" s="174"/>
      <c r="T809" s="30"/>
      <c r="U809" s="23"/>
      <c r="V809" s="458"/>
      <c r="W809" s="421"/>
      <c r="X809" s="458"/>
      <c r="Y809" s="421"/>
      <c r="Z809" s="421"/>
      <c r="AA809" s="421"/>
      <c r="AB809" s="421"/>
      <c r="AC809" s="421"/>
      <c r="AD809" s="421"/>
    </row>
    <row r="810" spans="1:30" s="22" customFormat="1" x14ac:dyDescent="0.4">
      <c r="A810" s="178" t="s">
        <v>826</v>
      </c>
      <c r="B810" s="151" t="s">
        <v>130</v>
      </c>
      <c r="C810" s="30" t="str">
        <f>VLOOKUP(B810,'112年全品項生產鍋數'!A:H,2,0)</f>
        <v>天天開心柳橙餡4.5KG</v>
      </c>
      <c r="D810" s="287">
        <v>8</v>
      </c>
      <c r="E810" s="48">
        <f>VLOOKUP(B810,'112年全品項生產鍋數'!A:H,3,0)</f>
        <v>4.5</v>
      </c>
      <c r="F810" s="45">
        <f>VLOOKUP(B810,'112年全品項生產鍋數'!A:H,7,0)</f>
        <v>34.9</v>
      </c>
      <c r="G810" s="49">
        <f t="shared" si="85"/>
        <v>279.2</v>
      </c>
      <c r="H810" s="154">
        <v>278</v>
      </c>
      <c r="I810" s="87">
        <f t="shared" si="83"/>
        <v>1251</v>
      </c>
      <c r="J810" s="100">
        <f t="shared" si="87"/>
        <v>0.99570200573065903</v>
      </c>
      <c r="K810" s="84">
        <f>VLOOKUP(B:B,'生產達成率(目標)'!A:C,3,0)</f>
        <v>1</v>
      </c>
      <c r="L810" s="20">
        <f t="shared" si="86"/>
        <v>-4.0000000000000001E-3</v>
      </c>
      <c r="M810" s="235"/>
      <c r="N810" s="40">
        <v>0</v>
      </c>
      <c r="O810" s="166">
        <f t="shared" si="84"/>
        <v>0</v>
      </c>
      <c r="P810" s="40">
        <v>278</v>
      </c>
      <c r="Q810" s="20">
        <f t="shared" si="88"/>
        <v>1</v>
      </c>
      <c r="R810" s="38"/>
      <c r="S810" s="174"/>
      <c r="T810" s="30"/>
      <c r="U810" s="23"/>
      <c r="V810" s="458"/>
      <c r="W810" s="421"/>
      <c r="X810" s="458"/>
      <c r="Y810" s="421"/>
      <c r="Z810" s="421"/>
      <c r="AA810" s="421"/>
      <c r="AB810" s="421"/>
      <c r="AC810" s="421"/>
      <c r="AD810" s="421"/>
    </row>
    <row r="811" spans="1:30" s="22" customFormat="1" x14ac:dyDescent="0.4">
      <c r="A811" s="178" t="s">
        <v>826</v>
      </c>
      <c r="B811" s="151" t="s">
        <v>116</v>
      </c>
      <c r="C811" s="30" t="str">
        <f>VLOOKUP(B811,'112年全品項生產鍋數'!A:H,2,0)</f>
        <v>藍莓餡（大）(1*9.08kg)</v>
      </c>
      <c r="D811" s="287">
        <v>12</v>
      </c>
      <c r="E811" s="48">
        <f>VLOOKUP(B811,'112年全品項生產鍋數'!A:H,3,0)</f>
        <v>9.08</v>
      </c>
      <c r="F811" s="45">
        <f>VLOOKUP(B811,'112年全品項生產鍋數'!A:H,7,0)</f>
        <v>17.8</v>
      </c>
      <c r="G811" s="49">
        <f t="shared" si="85"/>
        <v>213.60000000000002</v>
      </c>
      <c r="H811" s="154">
        <v>215</v>
      </c>
      <c r="I811" s="87">
        <f t="shared" si="83"/>
        <v>1952.2</v>
      </c>
      <c r="J811" s="100">
        <f t="shared" si="87"/>
        <v>1.0065543071161047</v>
      </c>
      <c r="K811" s="84">
        <f>VLOOKUP(B:B,'生產達成率(目標)'!A:C,3,0)</f>
        <v>1</v>
      </c>
      <c r="L811" s="20">
        <f t="shared" si="86"/>
        <v>7.0000000000000001E-3</v>
      </c>
      <c r="M811" s="235"/>
      <c r="N811" s="40">
        <v>0</v>
      </c>
      <c r="O811" s="166">
        <f t="shared" si="84"/>
        <v>0</v>
      </c>
      <c r="P811" s="40">
        <v>215</v>
      </c>
      <c r="Q811" s="20">
        <f t="shared" si="88"/>
        <v>1</v>
      </c>
      <c r="R811" s="38"/>
      <c r="S811" s="174"/>
      <c r="T811" s="30"/>
      <c r="U811" s="23"/>
      <c r="V811" s="458"/>
      <c r="W811" s="421"/>
      <c r="X811" s="458"/>
      <c r="Y811" s="421"/>
      <c r="Z811" s="421"/>
      <c r="AA811" s="421"/>
      <c r="AB811" s="421"/>
      <c r="AC811" s="421"/>
      <c r="AD811" s="421"/>
    </row>
    <row r="812" spans="1:30" s="22" customFormat="1" x14ac:dyDescent="0.4">
      <c r="A812" s="178" t="s">
        <v>826</v>
      </c>
      <c r="B812" s="149" t="s">
        <v>140</v>
      </c>
      <c r="C812" s="30" t="str">
        <f>VLOOKUP(B812,'112年全品項生產鍋數'!A:H,2,0)</f>
        <v>草莓餡(1*6Kg)</v>
      </c>
      <c r="D812" s="287">
        <v>20</v>
      </c>
      <c r="E812" s="48">
        <f>VLOOKUP(B812,'112年全品項生產鍋數'!A:H,3,0)</f>
        <v>6</v>
      </c>
      <c r="F812" s="45">
        <f>VLOOKUP(B812,'112年全品項生產鍋數'!A:H,7,0)</f>
        <v>25.5</v>
      </c>
      <c r="G812" s="49">
        <f t="shared" si="85"/>
        <v>510</v>
      </c>
      <c r="H812" s="154">
        <v>507</v>
      </c>
      <c r="I812" s="87">
        <f t="shared" si="83"/>
        <v>3042</v>
      </c>
      <c r="J812" s="100">
        <f t="shared" si="87"/>
        <v>0.99411764705882355</v>
      </c>
      <c r="K812" s="84">
        <f>VLOOKUP(B:B,'生產達成率(目標)'!A:C,3,0)</f>
        <v>1</v>
      </c>
      <c r="L812" s="20">
        <f t="shared" si="86"/>
        <v>-6.0000000000000001E-3</v>
      </c>
      <c r="M812" s="235"/>
      <c r="N812" s="40">
        <v>1</v>
      </c>
      <c r="O812" s="166">
        <f t="shared" si="84"/>
        <v>0</v>
      </c>
      <c r="P812" s="40">
        <v>506</v>
      </c>
      <c r="Q812" s="20">
        <f t="shared" si="88"/>
        <v>0.99802761341222879</v>
      </c>
      <c r="R812" s="38"/>
      <c r="S812" s="174"/>
      <c r="T812" s="30"/>
      <c r="U812" s="23"/>
      <c r="V812" s="458"/>
      <c r="W812" s="421"/>
      <c r="X812" s="458"/>
      <c r="Y812" s="421"/>
      <c r="Z812" s="421"/>
      <c r="AA812" s="421"/>
      <c r="AB812" s="421"/>
      <c r="AC812" s="421"/>
      <c r="AD812" s="421"/>
    </row>
    <row r="813" spans="1:30" s="22" customFormat="1" x14ac:dyDescent="0.4">
      <c r="A813" s="178" t="s">
        <v>826</v>
      </c>
      <c r="B813" s="151" t="s">
        <v>82</v>
      </c>
      <c r="C813" s="30" t="str">
        <f>VLOOKUP(B813,'112年全品項生產鍋數'!A:H,2,0)</f>
        <v>顆粒花生醬(全)</v>
      </c>
      <c r="D813" s="287">
        <v>36</v>
      </c>
      <c r="E813" s="48">
        <f>VLOOKUP(B813,'112年全品項生產鍋數'!A:H,3,0)</f>
        <v>0.34</v>
      </c>
      <c r="F813" s="45">
        <f>VLOOKUP(B813,'112年全品項生產鍋數'!A:H,7,0)</f>
        <v>364.6</v>
      </c>
      <c r="G813" s="49">
        <f t="shared" si="85"/>
        <v>13125.6</v>
      </c>
      <c r="H813" s="154">
        <f>10508+2402</f>
        <v>12910</v>
      </c>
      <c r="I813" s="87">
        <f t="shared" si="83"/>
        <v>4389.4000000000005</v>
      </c>
      <c r="J813" s="100">
        <f t="shared" si="87"/>
        <v>0.98357408423233983</v>
      </c>
      <c r="K813" s="84">
        <f>VLOOKUP(B:B,'生產達成率(目標)'!A:C,3,0)</f>
        <v>1</v>
      </c>
      <c r="L813" s="20">
        <f t="shared" si="86"/>
        <v>-1.6E-2</v>
      </c>
      <c r="M813" s="235"/>
      <c r="N813" s="40">
        <v>1</v>
      </c>
      <c r="O813" s="166">
        <f t="shared" si="84"/>
        <v>5</v>
      </c>
      <c r="P813" s="40">
        <f>10504+2400</f>
        <v>12904</v>
      </c>
      <c r="Q813" s="20">
        <f t="shared" si="88"/>
        <v>0.99953524399690163</v>
      </c>
      <c r="R813" s="38"/>
      <c r="S813" s="174"/>
      <c r="T813" s="30" t="s">
        <v>503</v>
      </c>
      <c r="U813" s="23"/>
      <c r="V813" s="458"/>
      <c r="W813" s="421"/>
      <c r="X813" s="458"/>
      <c r="Y813" s="421"/>
      <c r="Z813" s="421"/>
      <c r="AA813" s="421"/>
      <c r="AB813" s="421"/>
      <c r="AC813" s="421"/>
      <c r="AD813" s="421"/>
    </row>
    <row r="814" spans="1:30" s="22" customFormat="1" x14ac:dyDescent="0.4">
      <c r="A814" s="178" t="s">
        <v>827</v>
      </c>
      <c r="B814" s="151" t="s">
        <v>106</v>
      </c>
      <c r="C814" s="30" t="str">
        <f>VLOOKUP(B814,'112年全品項生產鍋數'!A:H,2,0)</f>
        <v>小藍莓1*260G</v>
      </c>
      <c r="D814" s="287">
        <v>16</v>
      </c>
      <c r="E814" s="48">
        <f>VLOOKUP(B814,'112年全品項生產鍋數'!A:H,3,0)</f>
        <v>0.26</v>
      </c>
      <c r="F814" s="45">
        <f>VLOOKUP(B814,'112年全品項生產鍋數'!A:H,7,0)</f>
        <v>584.29999999999995</v>
      </c>
      <c r="G814" s="49">
        <f t="shared" si="85"/>
        <v>9348.7999999999993</v>
      </c>
      <c r="H814" s="154">
        <v>9411</v>
      </c>
      <c r="I814" s="87">
        <f t="shared" si="83"/>
        <v>2446.86</v>
      </c>
      <c r="J814" s="100">
        <f t="shared" si="87"/>
        <v>1.0066532603114839</v>
      </c>
      <c r="K814" s="84">
        <f>VLOOKUP(B:B,'生產達成率(目標)'!A:C,3,0)</f>
        <v>1</v>
      </c>
      <c r="L814" s="20">
        <f t="shared" si="86"/>
        <v>7.0000000000000001E-3</v>
      </c>
      <c r="M814" s="235"/>
      <c r="N814" s="40">
        <v>2</v>
      </c>
      <c r="O814" s="166">
        <f t="shared" si="84"/>
        <v>11</v>
      </c>
      <c r="P814" s="40">
        <v>9398</v>
      </c>
      <c r="Q814" s="20">
        <f t="shared" si="88"/>
        <v>0.99861863776431836</v>
      </c>
      <c r="R814" s="38"/>
      <c r="S814" s="174"/>
      <c r="T814" s="30"/>
      <c r="U814" s="23"/>
      <c r="V814" s="458"/>
      <c r="W814" s="421"/>
      <c r="X814" s="458"/>
      <c r="Y814" s="421"/>
      <c r="Z814" s="421"/>
      <c r="AA814" s="421"/>
      <c r="AB814" s="421"/>
      <c r="AC814" s="421"/>
      <c r="AD814" s="421"/>
    </row>
    <row r="815" spans="1:30" s="22" customFormat="1" x14ac:dyDescent="0.4">
      <c r="A815" s="178" t="s">
        <v>827</v>
      </c>
      <c r="B815" s="151" t="s">
        <v>472</v>
      </c>
      <c r="C815" s="30" t="str">
        <f>VLOOKUP(B815,'112年全品項生產鍋數'!A:H,2,0)</f>
        <v>藍莓果醬(1*210G)</v>
      </c>
      <c r="D815" s="287">
        <v>6</v>
      </c>
      <c r="E815" s="48">
        <f>VLOOKUP(B815,'112年全品項生產鍋數'!A:H,3,0)</f>
        <v>0.21</v>
      </c>
      <c r="F815" s="45">
        <f>VLOOKUP(B815,'112年全品項生產鍋數'!A:H,7,0)</f>
        <v>698.4</v>
      </c>
      <c r="G815" s="49">
        <f t="shared" si="85"/>
        <v>4190.3999999999996</v>
      </c>
      <c r="H815" s="154">
        <v>4095</v>
      </c>
      <c r="I815" s="87">
        <f t="shared" si="83"/>
        <v>859.94999999999993</v>
      </c>
      <c r="J815" s="100">
        <f t="shared" si="87"/>
        <v>0.9772336769759451</v>
      </c>
      <c r="K815" s="84">
        <f>VLOOKUP(B:B,'生產達成率(目標)'!A:C,3,0)</f>
        <v>1</v>
      </c>
      <c r="L815" s="20">
        <f t="shared" si="86"/>
        <v>-2.3E-2</v>
      </c>
      <c r="M815" s="235"/>
      <c r="N815" s="40">
        <v>2</v>
      </c>
      <c r="O815" s="166">
        <f t="shared" si="84"/>
        <v>-191</v>
      </c>
      <c r="P815" s="40">
        <v>4284</v>
      </c>
      <c r="Q815" s="20">
        <f t="shared" si="88"/>
        <v>1.0461538461538462</v>
      </c>
      <c r="R815" s="38"/>
      <c r="S815" s="174"/>
      <c r="T815" s="30"/>
      <c r="U815" s="23"/>
      <c r="V815" s="458"/>
      <c r="W815" s="421"/>
      <c r="X815" s="458"/>
      <c r="Y815" s="421"/>
      <c r="Z815" s="421"/>
      <c r="AA815" s="421"/>
      <c r="AB815" s="421"/>
      <c r="AC815" s="421"/>
      <c r="AD815" s="421"/>
    </row>
    <row r="816" spans="1:30" s="22" customFormat="1" ht="16.5" customHeight="1" x14ac:dyDescent="0.4">
      <c r="A816" s="178" t="s">
        <v>827</v>
      </c>
      <c r="B816" s="151" t="s">
        <v>504</v>
      </c>
      <c r="C816" s="30" t="str">
        <f>VLOOKUP(B816,'112年全品項生產鍋數'!A:H,2,0)</f>
        <v>蘋果餡(1*6Kg)</v>
      </c>
      <c r="D816" s="287">
        <v>8</v>
      </c>
      <c r="E816" s="48">
        <f>VLOOKUP(B816,'112年全品項生產鍋數'!A:H,3,0)</f>
        <v>6</v>
      </c>
      <c r="F816" s="45">
        <f>VLOOKUP(B816,'112年全品項生產鍋數'!A:H,7,0)</f>
        <v>25.6</v>
      </c>
      <c r="G816" s="49">
        <f t="shared" si="85"/>
        <v>204.8</v>
      </c>
      <c r="H816" s="154">
        <v>205</v>
      </c>
      <c r="I816" s="87">
        <f t="shared" si="83"/>
        <v>1230</v>
      </c>
      <c r="J816" s="100">
        <f t="shared" si="87"/>
        <v>1.0009765625</v>
      </c>
      <c r="K816" s="84">
        <f>VLOOKUP(B:B,'生產達成率(目標)'!A:C,3,0)</f>
        <v>1</v>
      </c>
      <c r="L816" s="20">
        <f t="shared" si="86"/>
        <v>1E-3</v>
      </c>
      <c r="M816" s="235"/>
      <c r="N816" s="40">
        <v>1</v>
      </c>
      <c r="O816" s="166">
        <f t="shared" si="84"/>
        <v>0</v>
      </c>
      <c r="P816" s="40">
        <v>204</v>
      </c>
      <c r="Q816" s="20">
        <f t="shared" si="88"/>
        <v>0.99512195121951219</v>
      </c>
      <c r="R816" s="38"/>
      <c r="S816" s="174"/>
      <c r="T816" s="30"/>
      <c r="U816" s="23"/>
      <c r="V816" s="458"/>
      <c r="W816" s="421"/>
      <c r="X816" s="458"/>
      <c r="Y816" s="421"/>
      <c r="Z816" s="421"/>
      <c r="AA816" s="421"/>
      <c r="AB816" s="421"/>
      <c r="AC816" s="421"/>
      <c r="AD816" s="421"/>
    </row>
    <row r="817" spans="1:30" s="22" customFormat="1" x14ac:dyDescent="0.4">
      <c r="A817" s="178" t="s">
        <v>827</v>
      </c>
      <c r="B817" s="151" t="s">
        <v>63</v>
      </c>
      <c r="C817" s="30" t="str">
        <f>VLOOKUP(B817,'112年全品項生產鍋數'!A:H,2,0)</f>
        <v>草莓蒟蒻餡(1*6kg)</v>
      </c>
      <c r="D817" s="287">
        <v>32</v>
      </c>
      <c r="E817" s="48">
        <f>VLOOKUP(B817,'112年全品項生產鍋數'!A:H,3,0)</f>
        <v>6</v>
      </c>
      <c r="F817" s="45">
        <f>VLOOKUP(B817,'112年全品項生產鍋數'!A:H,7,0)</f>
        <v>25.7</v>
      </c>
      <c r="G817" s="49">
        <f t="shared" si="85"/>
        <v>822.4</v>
      </c>
      <c r="H817" s="154">
        <f>410+426</f>
        <v>836</v>
      </c>
      <c r="I817" s="87">
        <f t="shared" si="83"/>
        <v>5016</v>
      </c>
      <c r="J817" s="100">
        <f t="shared" si="87"/>
        <v>1.0165369649805447</v>
      </c>
      <c r="K817" s="84">
        <f>VLOOKUP(B:B,'生產達成率(目標)'!A:C,3,0)</f>
        <v>1</v>
      </c>
      <c r="L817" s="20">
        <f t="shared" si="86"/>
        <v>1.7000000000000001E-2</v>
      </c>
      <c r="M817" s="235"/>
      <c r="N817" s="40">
        <v>1</v>
      </c>
      <c r="O817" s="166">
        <f t="shared" si="84"/>
        <v>1</v>
      </c>
      <c r="P817" s="40">
        <f>409+425</f>
        <v>834</v>
      </c>
      <c r="Q817" s="20">
        <f t="shared" si="88"/>
        <v>0.99760765550239239</v>
      </c>
      <c r="R817" s="38"/>
      <c r="S817" s="174"/>
      <c r="T817" s="86"/>
      <c r="U817" s="23"/>
      <c r="V817" s="458"/>
      <c r="W817" s="421"/>
      <c r="X817" s="458"/>
      <c r="Y817" s="421"/>
      <c r="Z817" s="421"/>
      <c r="AA817" s="421"/>
      <c r="AB817" s="421"/>
      <c r="AC817" s="421"/>
      <c r="AD817" s="421"/>
    </row>
    <row r="818" spans="1:30" s="22" customFormat="1" x14ac:dyDescent="0.4">
      <c r="A818" s="178" t="s">
        <v>827</v>
      </c>
      <c r="B818" s="149" t="s">
        <v>23</v>
      </c>
      <c r="C818" s="30" t="str">
        <f>VLOOKUP(B818,'112年全品項生產鍋數'!A:H,2,0)</f>
        <v>＃1花生(粒)(1*2.8kg)</v>
      </c>
      <c r="D818" s="287">
        <v>48</v>
      </c>
      <c r="E818" s="48">
        <f>VLOOKUP(B818,'112年全品項生產鍋數'!A:H,3,0)</f>
        <v>2.8</v>
      </c>
      <c r="F818" s="45">
        <f>VLOOKUP(B818,'112年全品項生產鍋數'!A:H,7,0)</f>
        <v>44.2</v>
      </c>
      <c r="G818" s="49">
        <f t="shared" si="85"/>
        <v>2121.6000000000004</v>
      </c>
      <c r="H818" s="154">
        <v>2130</v>
      </c>
      <c r="I818" s="87">
        <f t="shared" si="83"/>
        <v>5964</v>
      </c>
      <c r="J818" s="100">
        <f t="shared" si="87"/>
        <v>1.0039592760180993</v>
      </c>
      <c r="K818" s="84">
        <f>VLOOKUP(B:B,'生產達成率(目標)'!A:C,3,0)</f>
        <v>1</v>
      </c>
      <c r="L818" s="20">
        <f t="shared" si="86"/>
        <v>4.0000000000000001E-3</v>
      </c>
      <c r="M818" s="235"/>
      <c r="N818" s="40">
        <v>2</v>
      </c>
      <c r="O818" s="166">
        <f t="shared" si="84"/>
        <v>1</v>
      </c>
      <c r="P818" s="40">
        <v>2127</v>
      </c>
      <c r="Q818" s="20">
        <f t="shared" si="88"/>
        <v>0.99859154929577465</v>
      </c>
      <c r="R818" s="38"/>
      <c r="S818" s="174"/>
      <c r="T818" s="30"/>
      <c r="U818" s="23"/>
      <c r="V818" s="458"/>
      <c r="W818" s="421"/>
      <c r="X818" s="458"/>
      <c r="Y818" s="421"/>
      <c r="Z818" s="421"/>
      <c r="AA818" s="421"/>
      <c r="AB818" s="421"/>
      <c r="AC818" s="421"/>
      <c r="AD818" s="421"/>
    </row>
    <row r="819" spans="1:30" s="32" customFormat="1" x14ac:dyDescent="0.4">
      <c r="A819" s="178" t="s">
        <v>828</v>
      </c>
      <c r="B819" s="151" t="s">
        <v>71</v>
      </c>
      <c r="C819" s="30" t="str">
        <f>VLOOKUP(B819,'112年全品項生產鍋數'!A:H,2,0)</f>
        <v>＃1草莓(1*3.2kg)</v>
      </c>
      <c r="D819" s="287">
        <v>72</v>
      </c>
      <c r="E819" s="48">
        <f>VLOOKUP(B819,'112年全品項生產鍋數'!A:H,3,0)</f>
        <v>3.2</v>
      </c>
      <c r="F819" s="45">
        <f>VLOOKUP(B819,'112年全品項生產鍋數'!A:H,7,0)</f>
        <v>46.8</v>
      </c>
      <c r="G819" s="49">
        <f t="shared" si="85"/>
        <v>3369.6</v>
      </c>
      <c r="H819" s="156">
        <v>3402</v>
      </c>
      <c r="I819" s="110">
        <f t="shared" si="83"/>
        <v>10886.400000000001</v>
      </c>
      <c r="J819" s="100">
        <f t="shared" si="87"/>
        <v>1.0096153846153846</v>
      </c>
      <c r="K819" s="84">
        <f>VLOOKUP(B:B,'生產達成率(目標)'!A:C,3,0)</f>
        <v>1</v>
      </c>
      <c r="L819" s="20">
        <f t="shared" si="86"/>
        <v>0.01</v>
      </c>
      <c r="M819" s="40" t="str">
        <f>工時!R3</f>
        <v>540</v>
      </c>
      <c r="N819" s="156">
        <v>4</v>
      </c>
      <c r="O819" s="166">
        <f t="shared" ref="O819:O882" si="92">H819-N819-P819</f>
        <v>1</v>
      </c>
      <c r="P819" s="40">
        <v>3397</v>
      </c>
      <c r="Q819" s="20">
        <f t="shared" ref="Q819:Q882" si="93">P819/H819</f>
        <v>0.99853027630805413</v>
      </c>
      <c r="R819" s="38"/>
      <c r="S819" s="174"/>
      <c r="T819" s="86"/>
      <c r="U819" s="23"/>
      <c r="V819" s="458"/>
      <c r="W819" s="421"/>
      <c r="X819" s="458"/>
      <c r="Y819" s="421"/>
      <c r="Z819" s="421"/>
      <c r="AA819" s="421"/>
      <c r="AB819" s="421"/>
      <c r="AC819" s="421"/>
      <c r="AD819" s="421"/>
    </row>
    <row r="820" spans="1:30" x14ac:dyDescent="0.4">
      <c r="A820" s="178" t="s">
        <v>828</v>
      </c>
      <c r="B820" s="149" t="s">
        <v>72</v>
      </c>
      <c r="C820" s="30" t="str">
        <f>VLOOKUP(B820,'112年全品項生產鍋數'!A:H,2,0)</f>
        <v>草莓餡45%(1*6Kg)</v>
      </c>
      <c r="D820" s="287">
        <v>20</v>
      </c>
      <c r="E820" s="48">
        <f>VLOOKUP(B820,'112年全品項生產鍋數'!A:H,3,0)</f>
        <v>6</v>
      </c>
      <c r="F820" s="45">
        <f>VLOOKUP(B820,'112年全品項生產鍋數'!A:H,7,0)</f>
        <v>26.1</v>
      </c>
      <c r="G820" s="49">
        <f t="shared" si="85"/>
        <v>522</v>
      </c>
      <c r="H820" s="156">
        <v>520</v>
      </c>
      <c r="I820" s="110">
        <f t="shared" si="83"/>
        <v>3120</v>
      </c>
      <c r="J820" s="100">
        <f t="shared" si="87"/>
        <v>0.99616858237547889</v>
      </c>
      <c r="K820" s="84">
        <f>VLOOKUP(B:B,'生產達成率(目標)'!A:C,3,0)</f>
        <v>1</v>
      </c>
      <c r="L820" s="20">
        <f t="shared" si="86"/>
        <v>-4.0000000000000001E-3</v>
      </c>
      <c r="M820" s="40" t="str">
        <f>工時!R4</f>
        <v>282</v>
      </c>
      <c r="N820" s="156">
        <v>1</v>
      </c>
      <c r="O820" s="166">
        <f t="shared" si="92"/>
        <v>0</v>
      </c>
      <c r="P820" s="40">
        <v>519</v>
      </c>
      <c r="Q820" s="20">
        <f t="shared" si="93"/>
        <v>0.99807692307692308</v>
      </c>
      <c r="R820" s="38"/>
      <c r="S820" s="174"/>
      <c r="T820" s="86"/>
      <c r="U820" s="23"/>
      <c r="V820" s="458"/>
      <c r="X820" s="458"/>
    </row>
    <row r="821" spans="1:30" x14ac:dyDescent="0.4">
      <c r="A821" s="178" t="s">
        <v>828</v>
      </c>
      <c r="B821" s="151" t="s">
        <v>435</v>
      </c>
      <c r="C821" s="30" t="str">
        <f>VLOOKUP(B821,'112年全品項生產鍋數'!A:H,2,0)</f>
        <v>蜂蜜柚香醬(1*6KG)</v>
      </c>
      <c r="D821" s="287">
        <v>8</v>
      </c>
      <c r="E821" s="48">
        <f>VLOOKUP(B821,'112年全品項生產鍋數'!A:H,3,0)</f>
        <v>6</v>
      </c>
      <c r="F821" s="45">
        <f>VLOOKUP(B821,'112年全品項生產鍋數'!A:H,7,0)</f>
        <v>25.8</v>
      </c>
      <c r="G821" s="49">
        <f t="shared" si="85"/>
        <v>206.4</v>
      </c>
      <c r="H821" s="156">
        <v>209</v>
      </c>
      <c r="I821" s="110">
        <f t="shared" si="83"/>
        <v>1254</v>
      </c>
      <c r="J821" s="100">
        <f t="shared" si="87"/>
        <v>1.0125968992248062</v>
      </c>
      <c r="K821" s="84">
        <f>VLOOKUP(B:B,'生產達成率(目標)'!A:C,3,0)</f>
        <v>1</v>
      </c>
      <c r="L821" s="20">
        <f t="shared" si="86"/>
        <v>1.2999999999999999E-2</v>
      </c>
      <c r="M821" s="40" t="str">
        <f>工時!R5</f>
        <v>150</v>
      </c>
      <c r="N821" s="156">
        <v>1</v>
      </c>
      <c r="O821" s="166">
        <f t="shared" si="92"/>
        <v>1</v>
      </c>
      <c r="P821" s="40">
        <v>207</v>
      </c>
      <c r="Q821" s="20">
        <f t="shared" si="93"/>
        <v>0.99043062200956933</v>
      </c>
      <c r="R821" s="38"/>
      <c r="S821" s="174"/>
      <c r="T821" s="86" t="s">
        <v>462</v>
      </c>
      <c r="U821" s="23"/>
      <c r="V821" s="458"/>
      <c r="X821" s="458"/>
    </row>
    <row r="822" spans="1:30" x14ac:dyDescent="0.4">
      <c r="A822" s="178" t="s">
        <v>828</v>
      </c>
      <c r="B822" s="151" t="s">
        <v>51</v>
      </c>
      <c r="C822" s="30" t="str">
        <f>VLOOKUP(B822,'112年全品項生產鍋數'!A:H,2,0)</f>
        <v>藍莓醬(1*6kg)</v>
      </c>
      <c r="D822" s="287">
        <v>16</v>
      </c>
      <c r="E822" s="48">
        <f>VLOOKUP(B822,'112年全品項生產鍋數'!A:H,3,0)</f>
        <v>6</v>
      </c>
      <c r="F822" s="45">
        <f>VLOOKUP(B822,'112年全品項生產鍋數'!A:H,7,0)</f>
        <v>25.5</v>
      </c>
      <c r="G822" s="49">
        <f t="shared" si="85"/>
        <v>408</v>
      </c>
      <c r="H822" s="156">
        <v>416</v>
      </c>
      <c r="I822" s="110">
        <f t="shared" si="83"/>
        <v>2496</v>
      </c>
      <c r="J822" s="100">
        <f t="shared" si="87"/>
        <v>1.0196078431372548</v>
      </c>
      <c r="K822" s="84">
        <f>VLOOKUP(B:B,'生產達成率(目標)'!A:C,3,0)</f>
        <v>1</v>
      </c>
      <c r="L822" s="20">
        <f t="shared" si="86"/>
        <v>0.02</v>
      </c>
      <c r="M822" s="40" t="str">
        <f>工時!R6</f>
        <v>205</v>
      </c>
      <c r="N822" s="156">
        <v>1</v>
      </c>
      <c r="O822" s="166">
        <f t="shared" si="92"/>
        <v>0</v>
      </c>
      <c r="P822" s="40">
        <v>415</v>
      </c>
      <c r="Q822" s="20">
        <f t="shared" si="93"/>
        <v>0.99759615384615385</v>
      </c>
      <c r="R822" s="38"/>
      <c r="S822" s="174"/>
      <c r="T822" s="86"/>
      <c r="U822" s="23"/>
      <c r="V822" s="458"/>
      <c r="X822" s="458"/>
    </row>
    <row r="823" spans="1:30" x14ac:dyDescent="0.4">
      <c r="A823" s="178" t="s">
        <v>828</v>
      </c>
      <c r="B823" s="151" t="s">
        <v>65</v>
      </c>
      <c r="C823" s="30" t="str">
        <f>VLOOKUP(B823,'112年全品項生產鍋數'!A:H,2,0)</f>
        <v>＃1花生(1*2.8kg)</v>
      </c>
      <c r="D823" s="287">
        <v>72</v>
      </c>
      <c r="E823" s="48">
        <f>VLOOKUP(B823,'112年全品項生產鍋數'!A:H,3,0)</f>
        <v>2.8</v>
      </c>
      <c r="F823" s="45">
        <f>VLOOKUP(B823,'112年全品項生產鍋數'!A:H,7,0)</f>
        <v>44.5</v>
      </c>
      <c r="G823" s="49">
        <f t="shared" si="85"/>
        <v>3204</v>
      </c>
      <c r="H823" s="156">
        <v>3237</v>
      </c>
      <c r="I823" s="110">
        <f t="shared" si="83"/>
        <v>9063.5999999999985</v>
      </c>
      <c r="J823" s="100">
        <f t="shared" si="87"/>
        <v>1.0102996254681649</v>
      </c>
      <c r="K823" s="84">
        <f>VLOOKUP(B:B,'生產達成率(目標)'!A:C,3,0)</f>
        <v>1</v>
      </c>
      <c r="L823" s="20">
        <f t="shared" si="86"/>
        <v>0.01</v>
      </c>
      <c r="M823" s="40" t="str">
        <f>工時!R7</f>
        <v>700</v>
      </c>
      <c r="N823" s="156">
        <v>1</v>
      </c>
      <c r="O823" s="166">
        <f t="shared" si="92"/>
        <v>0</v>
      </c>
      <c r="P823" s="40">
        <v>3236</v>
      </c>
      <c r="Q823" s="20">
        <f t="shared" si="93"/>
        <v>0.99969107198022855</v>
      </c>
      <c r="R823" s="38"/>
      <c r="S823" s="174"/>
      <c r="T823" s="86"/>
      <c r="U823" s="23"/>
      <c r="V823" s="458"/>
      <c r="X823" s="458"/>
    </row>
    <row r="824" spans="1:30" s="22" customFormat="1" x14ac:dyDescent="0.4">
      <c r="A824" s="178" t="s">
        <v>828</v>
      </c>
      <c r="B824" s="151" t="s">
        <v>509</v>
      </c>
      <c r="C824" s="30" t="str">
        <f>VLOOKUP(B824,'112年全品項生產鍋數'!A:H,2,0)</f>
        <v>柚皮糖</v>
      </c>
      <c r="D824" s="287">
        <v>1</v>
      </c>
      <c r="E824" s="48">
        <f>VLOOKUP(B824,'112年全品項生產鍋數'!A:H,3,0)</f>
        <v>0</v>
      </c>
      <c r="F824" s="45">
        <f>VLOOKUP(B824,'112年全品項生產鍋數'!A:H,7,0)</f>
        <v>0</v>
      </c>
      <c r="G824" s="49">
        <f t="shared" si="85"/>
        <v>0</v>
      </c>
      <c r="H824" s="156"/>
      <c r="I824" s="110">
        <f t="shared" si="83"/>
        <v>0</v>
      </c>
      <c r="J824" s="100" t="str">
        <f t="shared" si="87"/>
        <v>無法預估數據</v>
      </c>
      <c r="K824" s="84">
        <f>VLOOKUP(B:B,'生產達成率(目標)'!A:C,3,0)</f>
        <v>1</v>
      </c>
      <c r="L824" s="20" t="str">
        <f t="shared" si="86"/>
        <v>無法預估數據</v>
      </c>
      <c r="M824" s="40" t="str">
        <f>工時!R8</f>
        <v>0</v>
      </c>
      <c r="N824" s="156"/>
      <c r="O824" s="166">
        <f t="shared" si="92"/>
        <v>0</v>
      </c>
      <c r="P824" s="40"/>
      <c r="Q824" s="20" t="e">
        <f t="shared" si="93"/>
        <v>#DIV/0!</v>
      </c>
      <c r="R824" s="38"/>
      <c r="S824" s="174"/>
      <c r="T824" s="97" t="s">
        <v>565</v>
      </c>
      <c r="U824" s="23"/>
      <c r="V824" s="458"/>
      <c r="W824" s="421"/>
      <c r="X824" s="458"/>
      <c r="Y824" s="421"/>
      <c r="Z824" s="421"/>
      <c r="AA824" s="421"/>
      <c r="AB824" s="421"/>
      <c r="AC824" s="421"/>
      <c r="AD824" s="421"/>
    </row>
    <row r="825" spans="1:30" x14ac:dyDescent="0.4">
      <c r="A825" s="178" t="s">
        <v>829</v>
      </c>
      <c r="B825" s="151" t="s">
        <v>54</v>
      </c>
      <c r="C825" s="30" t="str">
        <f>VLOOKUP(B825,'112年全品項生產鍋數'!A:H,2,0)</f>
        <v>草莓醬(1*6kg)</v>
      </c>
      <c r="D825" s="287">
        <v>20</v>
      </c>
      <c r="E825" s="48">
        <f>VLOOKUP(B825,'112年全品項生產鍋數'!A:H,3,0)</f>
        <v>6</v>
      </c>
      <c r="F825" s="45">
        <f>VLOOKUP(B825,'112年全品項生產鍋數'!A:H,7,0)</f>
        <v>26.6</v>
      </c>
      <c r="G825" s="49">
        <f t="shared" si="85"/>
        <v>532</v>
      </c>
      <c r="H825" s="156">
        <v>547</v>
      </c>
      <c r="I825" s="110">
        <f t="shared" si="83"/>
        <v>3282</v>
      </c>
      <c r="J825" s="100">
        <f t="shared" si="87"/>
        <v>1.0281954887218046</v>
      </c>
      <c r="K825" s="84">
        <f>VLOOKUP(B:B,'生產達成率(目標)'!A:C,3,0)</f>
        <v>1</v>
      </c>
      <c r="L825" s="20">
        <f t="shared" si="86"/>
        <v>2.8000000000000001E-2</v>
      </c>
      <c r="M825" s="40" t="str">
        <f>工時!R9</f>
        <v>240</v>
      </c>
      <c r="N825" s="156">
        <v>1</v>
      </c>
      <c r="O825" s="166">
        <f t="shared" si="92"/>
        <v>0</v>
      </c>
      <c r="P825" s="40">
        <v>546</v>
      </c>
      <c r="Q825" s="20">
        <f t="shared" si="93"/>
        <v>0.9981718464351006</v>
      </c>
      <c r="R825" s="38"/>
      <c r="S825" s="174"/>
      <c r="T825" s="86"/>
      <c r="U825" s="23"/>
      <c r="V825" s="458"/>
      <c r="X825" s="458"/>
    </row>
    <row r="826" spans="1:30" x14ac:dyDescent="0.4">
      <c r="A826" s="178" t="s">
        <v>829</v>
      </c>
      <c r="B826" s="151" t="s">
        <v>494</v>
      </c>
      <c r="C826" s="30" t="str">
        <f>VLOOKUP(B826,'112年全品項生產鍋數'!A:H,2,0)</f>
        <v>檸檬餡(1*6Kg)</v>
      </c>
      <c r="D826" s="287">
        <v>24</v>
      </c>
      <c r="E826" s="48">
        <f>VLOOKUP(B826,'112年全品項生產鍋數'!A:H,3,0)</f>
        <v>6</v>
      </c>
      <c r="F826" s="45">
        <f>VLOOKUP(B826,'112年全品項生產鍋數'!A:H,7,0)</f>
        <v>26.2</v>
      </c>
      <c r="G826" s="49">
        <f t="shared" si="85"/>
        <v>628.79999999999995</v>
      </c>
      <c r="H826" s="156">
        <v>639</v>
      </c>
      <c r="I826" s="110">
        <f t="shared" si="83"/>
        <v>3834</v>
      </c>
      <c r="J826" s="100">
        <f t="shared" si="87"/>
        <v>1.0162213740458017</v>
      </c>
      <c r="K826" s="84">
        <f>VLOOKUP(B:B,'生產達成率(目標)'!A:C,3,0)</f>
        <v>1</v>
      </c>
      <c r="L826" s="20">
        <f t="shared" si="86"/>
        <v>1.6E-2</v>
      </c>
      <c r="M826" s="40" t="str">
        <f>工時!R10</f>
        <v>325</v>
      </c>
      <c r="N826" s="156">
        <v>1</v>
      </c>
      <c r="O826" s="166">
        <f t="shared" si="92"/>
        <v>0</v>
      </c>
      <c r="P826" s="40">
        <v>638</v>
      </c>
      <c r="Q826" s="20">
        <f t="shared" si="93"/>
        <v>0.99843505477308292</v>
      </c>
      <c r="R826" s="38"/>
      <c r="S826" s="174"/>
      <c r="T826" s="86"/>
      <c r="U826" s="23"/>
      <c r="V826" s="458"/>
      <c r="X826" s="458"/>
    </row>
    <row r="827" spans="1:30" s="22" customFormat="1" x14ac:dyDescent="0.4">
      <c r="A827" s="178" t="s">
        <v>829</v>
      </c>
      <c r="B827" s="151" t="s">
        <v>108</v>
      </c>
      <c r="C827" s="30" t="str">
        <f>VLOOKUP(B827,'112年全品項生產鍋數'!A:H,2,0)</f>
        <v>顆粒花生醬(1*12KG)</v>
      </c>
      <c r="D827" s="287">
        <v>21</v>
      </c>
      <c r="E827" s="48">
        <f>VLOOKUP(B827,'112年全品項生產鍋數'!A:H,3,0)</f>
        <v>3</v>
      </c>
      <c r="F827" s="45">
        <f>VLOOKUP(B827,'112年全品項生產鍋數'!A:H,7,0)</f>
        <v>31.6</v>
      </c>
      <c r="G827" s="49">
        <f t="shared" si="85"/>
        <v>663.6</v>
      </c>
      <c r="H827" s="156">
        <v>668</v>
      </c>
      <c r="I827" s="110">
        <f t="shared" si="83"/>
        <v>2004</v>
      </c>
      <c r="J827" s="100">
        <f t="shared" si="87"/>
        <v>1.0066305003013862</v>
      </c>
      <c r="K827" s="84">
        <f>VLOOKUP(B:B,'生產達成率(目標)'!A:C,3,0)</f>
        <v>1</v>
      </c>
      <c r="L827" s="20">
        <f t="shared" si="86"/>
        <v>7.0000000000000001E-3</v>
      </c>
      <c r="M827" s="40" t="str">
        <f>工時!R11</f>
        <v>490</v>
      </c>
      <c r="N827" s="156">
        <v>0</v>
      </c>
      <c r="O827" s="166">
        <f t="shared" si="92"/>
        <v>0</v>
      </c>
      <c r="P827" s="40">
        <v>668</v>
      </c>
      <c r="Q827" s="20">
        <f t="shared" si="93"/>
        <v>1</v>
      </c>
      <c r="R827" s="38"/>
      <c r="S827" s="174"/>
      <c r="T827" s="30"/>
      <c r="U827" s="23"/>
      <c r="V827" s="458"/>
      <c r="W827" s="421"/>
      <c r="X827" s="458"/>
      <c r="Y827" s="421"/>
      <c r="Z827" s="421"/>
      <c r="AA827" s="421"/>
      <c r="AB827" s="421"/>
      <c r="AC827" s="421"/>
      <c r="AD827" s="421"/>
    </row>
    <row r="828" spans="1:30" x14ac:dyDescent="0.4">
      <c r="A828" s="178" t="s">
        <v>829</v>
      </c>
      <c r="B828" s="151" t="s">
        <v>58</v>
      </c>
      <c r="C828" s="30" t="str">
        <f>VLOOKUP(B828,'112年全品項生產鍋數'!A:H,2,0)</f>
        <v>PET大花生(1*400g)</v>
      </c>
      <c r="D828" s="287">
        <v>36</v>
      </c>
      <c r="E828" s="48">
        <f>VLOOKUP(B828,'112年全品項生產鍋數'!A:H,3,0)</f>
        <v>0.4</v>
      </c>
      <c r="F828" s="45">
        <f>VLOOKUP(B828,'112年全品項生產鍋數'!A:H,7,0)</f>
        <v>309.2</v>
      </c>
      <c r="G828" s="49">
        <f t="shared" si="85"/>
        <v>11131.199999999999</v>
      </c>
      <c r="H828" s="156">
        <v>11161</v>
      </c>
      <c r="I828" s="110">
        <f t="shared" si="83"/>
        <v>4464.4000000000005</v>
      </c>
      <c r="J828" s="100">
        <f t="shared" si="87"/>
        <v>1.002677159695271</v>
      </c>
      <c r="K828" s="84">
        <f>VLOOKUP(B:B,'生產達成率(目標)'!A:C,3,0)</f>
        <v>1</v>
      </c>
      <c r="L828" s="20">
        <f t="shared" si="86"/>
        <v>3.0000000000000001E-3</v>
      </c>
      <c r="M828" s="40" t="str">
        <f>工時!R12</f>
        <v>570</v>
      </c>
      <c r="N828" s="156">
        <v>1</v>
      </c>
      <c r="O828" s="166">
        <f t="shared" si="92"/>
        <v>2</v>
      </c>
      <c r="P828" s="40">
        <v>11158</v>
      </c>
      <c r="Q828" s="20">
        <f t="shared" si="93"/>
        <v>0.99973120688110384</v>
      </c>
      <c r="R828" s="38"/>
      <c r="S828" s="174"/>
      <c r="T828" s="86"/>
      <c r="U828" s="23"/>
      <c r="V828" s="458"/>
      <c r="X828" s="458"/>
    </row>
    <row r="829" spans="1:30" s="22" customFormat="1" x14ac:dyDescent="0.4">
      <c r="A829" s="178" t="s">
        <v>829</v>
      </c>
      <c r="B829" s="151">
        <v>152010</v>
      </c>
      <c r="C829" s="30" t="str">
        <f>VLOOKUP(B829,'112年全品項生產鍋數'!A:H,2,0)</f>
        <v>蜜綠果6m/m</v>
      </c>
      <c r="D829" s="289">
        <v>1</v>
      </c>
      <c r="E829" s="48">
        <f>VLOOKUP(B829,'112年全品項生產鍋數'!A:H,3,0)</f>
        <v>1</v>
      </c>
      <c r="F829" s="45">
        <f>VLOOKUP(B829,'112年全品項生產鍋數'!A:H,7,0)</f>
        <v>139</v>
      </c>
      <c r="G829" s="49">
        <f t="shared" si="85"/>
        <v>139</v>
      </c>
      <c r="H829" s="156">
        <v>141</v>
      </c>
      <c r="I829" s="110">
        <f t="shared" si="83"/>
        <v>141</v>
      </c>
      <c r="J829" s="100">
        <f t="shared" si="87"/>
        <v>1.014388489208633</v>
      </c>
      <c r="K829" s="84">
        <f>VLOOKUP(B:B,'生產達成率(目標)'!A:C,3,0)</f>
        <v>1</v>
      </c>
      <c r="L829" s="20">
        <f t="shared" si="86"/>
        <v>1.4E-2</v>
      </c>
      <c r="M829" s="40" t="str">
        <f>工時!R13</f>
        <v>0</v>
      </c>
      <c r="N829" s="156">
        <v>0</v>
      </c>
      <c r="O829" s="166">
        <f t="shared" si="92"/>
        <v>0</v>
      </c>
      <c r="P829" s="40">
        <v>141</v>
      </c>
      <c r="Q829" s="20">
        <f t="shared" si="93"/>
        <v>1</v>
      </c>
      <c r="R829" s="38"/>
      <c r="S829" s="174"/>
      <c r="T829" s="30"/>
      <c r="U829" s="23"/>
      <c r="V829" s="458"/>
      <c r="W829" s="421"/>
      <c r="X829" s="458"/>
      <c r="Y829" s="421"/>
      <c r="Z829" s="421"/>
      <c r="AA829" s="421"/>
      <c r="AB829" s="421"/>
      <c r="AC829" s="421"/>
      <c r="AD829" s="421"/>
    </row>
    <row r="830" spans="1:30" x14ac:dyDescent="0.4">
      <c r="A830" s="178" t="s">
        <v>830</v>
      </c>
      <c r="B830" s="151" t="s">
        <v>71</v>
      </c>
      <c r="C830" s="30" t="str">
        <f>VLOOKUP(B830,'112年全品項生產鍋數'!A:H,2,0)</f>
        <v>＃1草莓(1*3.2kg)</v>
      </c>
      <c r="D830" s="287">
        <v>72</v>
      </c>
      <c r="E830" s="48">
        <f>VLOOKUP(B830,'112年全品項生產鍋數'!A:H,3,0)</f>
        <v>3.2</v>
      </c>
      <c r="F830" s="45">
        <f>VLOOKUP(B830,'112年全品項生產鍋數'!A:H,7,0)</f>
        <v>46.8</v>
      </c>
      <c r="G830" s="49">
        <f t="shared" si="85"/>
        <v>3369.6</v>
      </c>
      <c r="H830" s="156">
        <v>3392</v>
      </c>
      <c r="I830" s="110">
        <f t="shared" si="83"/>
        <v>10854.400000000001</v>
      </c>
      <c r="J830" s="100">
        <f t="shared" si="87"/>
        <v>1.0066476733143399</v>
      </c>
      <c r="K830" s="84">
        <f>VLOOKUP(B:B,'生產達成率(目標)'!A:C,3,0)</f>
        <v>1</v>
      </c>
      <c r="L830" s="20">
        <f t="shared" si="86"/>
        <v>7.0000000000000001E-3</v>
      </c>
      <c r="M830" s="40" t="str">
        <f>工時!R14</f>
        <v>540</v>
      </c>
      <c r="N830" s="156">
        <v>2</v>
      </c>
      <c r="O830" s="166">
        <f t="shared" si="92"/>
        <v>0</v>
      </c>
      <c r="P830" s="40">
        <v>3390</v>
      </c>
      <c r="Q830" s="20">
        <f t="shared" si="93"/>
        <v>0.99941037735849059</v>
      </c>
      <c r="R830" s="38"/>
      <c r="S830" s="174"/>
      <c r="T830" s="86"/>
      <c r="U830" s="23"/>
      <c r="V830" s="458"/>
      <c r="X830" s="458"/>
    </row>
    <row r="831" spans="1:30" x14ac:dyDescent="0.4">
      <c r="A831" s="178" t="s">
        <v>830</v>
      </c>
      <c r="B831" s="151" t="s">
        <v>63</v>
      </c>
      <c r="C831" s="30" t="str">
        <f>VLOOKUP(B831,'112年全品項生產鍋數'!A:H,2,0)</f>
        <v>草莓蒟蒻餡(1*6kg)</v>
      </c>
      <c r="D831" s="287">
        <v>20</v>
      </c>
      <c r="E831" s="48">
        <f>VLOOKUP(B831,'112年全品項生產鍋數'!A:H,3,0)</f>
        <v>6</v>
      </c>
      <c r="F831" s="45">
        <f>VLOOKUP(B831,'112年全品項生產鍋數'!A:H,7,0)</f>
        <v>25.7</v>
      </c>
      <c r="G831" s="49">
        <f t="shared" si="85"/>
        <v>514</v>
      </c>
      <c r="H831" s="156">
        <f>301+210</f>
        <v>511</v>
      </c>
      <c r="I831" s="110">
        <f t="shared" ref="I831:I894" si="94">H831*E831</f>
        <v>3066</v>
      </c>
      <c r="J831" s="100">
        <f t="shared" si="87"/>
        <v>0.99416342412451364</v>
      </c>
      <c r="K831" s="84">
        <f>VLOOKUP(B:B,'生產達成率(目標)'!A:C,3,0)</f>
        <v>1</v>
      </c>
      <c r="L831" s="20">
        <f t="shared" si="86"/>
        <v>-6.0000000000000001E-3</v>
      </c>
      <c r="M831" s="40" t="str">
        <f>工時!R15</f>
        <v>250</v>
      </c>
      <c r="N831" s="156">
        <v>1</v>
      </c>
      <c r="O831" s="166">
        <f t="shared" si="92"/>
        <v>0</v>
      </c>
      <c r="P831" s="40">
        <f>300+210</f>
        <v>510</v>
      </c>
      <c r="Q831" s="20">
        <f t="shared" si="93"/>
        <v>0.99804305283757333</v>
      </c>
      <c r="R831" s="38"/>
      <c r="S831" s="174"/>
      <c r="T831" s="86"/>
      <c r="U831" s="23"/>
      <c r="V831" s="458"/>
      <c r="X831" s="458"/>
    </row>
    <row r="832" spans="1:30" x14ac:dyDescent="0.4">
      <c r="A832" s="178" t="s">
        <v>830</v>
      </c>
      <c r="B832" s="151" t="s">
        <v>357</v>
      </c>
      <c r="C832" s="30" t="str">
        <f>VLOOKUP(B832,'112年全品項生產鍋數'!A:H,2,0)</f>
        <v>草莓醬(1*6Kg)</v>
      </c>
      <c r="D832" s="287">
        <v>12</v>
      </c>
      <c r="E832" s="48">
        <f>VLOOKUP(B832,'112年全品項生產鍋數'!A:H,3,0)</f>
        <v>6</v>
      </c>
      <c r="F832" s="45">
        <f>VLOOKUP(B832,'112年全品項生產鍋數'!A:H,7,0)</f>
        <v>25.5</v>
      </c>
      <c r="G832" s="49">
        <f t="shared" si="85"/>
        <v>306</v>
      </c>
      <c r="H832" s="156">
        <v>305</v>
      </c>
      <c r="I832" s="110">
        <f t="shared" si="94"/>
        <v>1830</v>
      </c>
      <c r="J832" s="100">
        <f t="shared" si="87"/>
        <v>0.99673202614379086</v>
      </c>
      <c r="K832" s="84">
        <f>VLOOKUP(B:B,'生產達成率(目標)'!A:C,3,0)</f>
        <v>1</v>
      </c>
      <c r="L832" s="20">
        <f t="shared" si="86"/>
        <v>-3.0000000000000001E-3</v>
      </c>
      <c r="M832" s="40" t="str">
        <f>工時!R16</f>
        <v>170</v>
      </c>
      <c r="N832" s="156">
        <v>1</v>
      </c>
      <c r="O832" s="166">
        <f t="shared" si="92"/>
        <v>0</v>
      </c>
      <c r="P832" s="40">
        <v>304</v>
      </c>
      <c r="Q832" s="20">
        <f t="shared" si="93"/>
        <v>0.99672131147540988</v>
      </c>
      <c r="R832" s="38"/>
      <c r="S832" s="174"/>
      <c r="T832" s="86"/>
      <c r="U832" s="23"/>
      <c r="V832" s="458"/>
      <c r="X832" s="458"/>
    </row>
    <row r="833" spans="1:30" x14ac:dyDescent="0.4">
      <c r="A833" s="177" t="s">
        <v>830</v>
      </c>
      <c r="B833" s="149" t="s">
        <v>81</v>
      </c>
      <c r="C833" s="30" t="str">
        <f>VLOOKUP(B833,'112年全品項生產鍋數'!A:H,2,0)</f>
        <v>藍莓餡(1*6Kg)</v>
      </c>
      <c r="D833" s="285">
        <v>12</v>
      </c>
      <c r="E833" s="48">
        <f>VLOOKUP(B833,'112年全品項生產鍋數'!A:H,3,0)</f>
        <v>6</v>
      </c>
      <c r="F833" s="45">
        <f>VLOOKUP(B833,'112年全品項生產鍋數'!A:H,7,0)</f>
        <v>25.1</v>
      </c>
      <c r="G833" s="49">
        <f t="shared" si="85"/>
        <v>301.20000000000005</v>
      </c>
      <c r="H833" s="144">
        <v>301</v>
      </c>
      <c r="I833" s="111">
        <f t="shared" si="94"/>
        <v>1806</v>
      </c>
      <c r="J833" s="100">
        <f t="shared" si="87"/>
        <v>0.9993359893758299</v>
      </c>
      <c r="K833" s="51">
        <f>VLOOKUP(B:B,'生產達成率(目標)'!A:C,3,0)</f>
        <v>1</v>
      </c>
      <c r="L833" s="20">
        <f t="shared" si="86"/>
        <v>-1E-3</v>
      </c>
      <c r="M833" s="41" t="str">
        <f>工時!R17</f>
        <v>180</v>
      </c>
      <c r="N833" s="144">
        <v>1</v>
      </c>
      <c r="O833" s="150">
        <f t="shared" si="92"/>
        <v>0</v>
      </c>
      <c r="P833" s="41">
        <v>300</v>
      </c>
      <c r="Q833" s="27">
        <f t="shared" si="93"/>
        <v>0.99667774086378735</v>
      </c>
      <c r="R833" s="23"/>
      <c r="S833" s="173"/>
      <c r="T833" s="86"/>
      <c r="U833" s="23"/>
      <c r="V833" s="458"/>
      <c r="X833" s="458"/>
    </row>
    <row r="834" spans="1:30" x14ac:dyDescent="0.4">
      <c r="A834" s="177" t="s">
        <v>830</v>
      </c>
      <c r="B834" s="149" t="s">
        <v>65</v>
      </c>
      <c r="C834" s="30" t="str">
        <f>VLOOKUP(B834,'112年全品項生產鍋數'!A:H,2,0)</f>
        <v>＃1花生(1*2.8kg)</v>
      </c>
      <c r="D834" s="285">
        <v>72</v>
      </c>
      <c r="E834" s="48">
        <f>VLOOKUP(B834,'112年全品項生產鍋數'!A:H,3,0)</f>
        <v>2.8</v>
      </c>
      <c r="F834" s="45">
        <f>VLOOKUP(B834,'112年全品項生產鍋數'!A:H,7,0)</f>
        <v>44.5</v>
      </c>
      <c r="G834" s="49">
        <f t="shared" ref="G834:G897" si="95">D834*F834</f>
        <v>3204</v>
      </c>
      <c r="H834" s="144">
        <v>3223</v>
      </c>
      <c r="I834" s="111">
        <f t="shared" si="94"/>
        <v>9024.4</v>
      </c>
      <c r="J834" s="100">
        <f t="shared" si="87"/>
        <v>1.0059300873907615</v>
      </c>
      <c r="K834" s="51">
        <f>VLOOKUP(B:B,'生產達成率(目標)'!A:C,3,0)</f>
        <v>1</v>
      </c>
      <c r="L834" s="20">
        <f t="shared" si="86"/>
        <v>6.0000000000000001E-3</v>
      </c>
      <c r="M834" s="41" t="str">
        <f>工時!R18</f>
        <v>660</v>
      </c>
      <c r="N834" s="144">
        <v>1</v>
      </c>
      <c r="O834" s="150">
        <f t="shared" si="92"/>
        <v>0</v>
      </c>
      <c r="P834" s="41">
        <v>3222</v>
      </c>
      <c r="Q834" s="27">
        <f t="shared" si="93"/>
        <v>0.99968973006515671</v>
      </c>
      <c r="R834" s="23"/>
      <c r="S834" s="173"/>
      <c r="T834" s="86"/>
      <c r="U834" s="23"/>
      <c r="V834" s="458"/>
      <c r="X834" s="458"/>
    </row>
    <row r="835" spans="1:30" s="22" customFormat="1" x14ac:dyDescent="0.4">
      <c r="A835" s="177" t="s">
        <v>831</v>
      </c>
      <c r="B835" s="149" t="s">
        <v>36</v>
      </c>
      <c r="C835" s="30" t="str">
        <f>VLOOKUP(B835,'112年全品項生產鍋數'!A:H,2,0)</f>
        <v>開心草莓果醬(1*430g)</v>
      </c>
      <c r="D835" s="285">
        <v>15</v>
      </c>
      <c r="E835" s="48">
        <f>VLOOKUP(B835,'112年全品項生產鍋數'!A:H,3,0)</f>
        <v>0.43</v>
      </c>
      <c r="F835" s="45">
        <f>VLOOKUP(B835,'112年全品項生產鍋數'!A:H,7,0)</f>
        <v>364</v>
      </c>
      <c r="G835" s="49">
        <f t="shared" si="95"/>
        <v>5460</v>
      </c>
      <c r="H835" s="144">
        <v>5652</v>
      </c>
      <c r="I835" s="111">
        <f t="shared" si="94"/>
        <v>2430.36</v>
      </c>
      <c r="J835" s="100">
        <f t="shared" si="87"/>
        <v>1.0351648351648353</v>
      </c>
      <c r="K835" s="51">
        <f>VLOOKUP(B:B,'生產達成率(目標)'!A:C,3,0)</f>
        <v>1</v>
      </c>
      <c r="L835" s="20">
        <f t="shared" ref="L835:L898" si="96">IF(G835=0,"無法預估數據",ROUND(J835-K835,3))</f>
        <v>3.5000000000000003E-2</v>
      </c>
      <c r="M835" s="41" t="str">
        <f>工時!R19</f>
        <v>360</v>
      </c>
      <c r="N835" s="144">
        <v>7</v>
      </c>
      <c r="O835" s="150">
        <f t="shared" si="92"/>
        <v>20</v>
      </c>
      <c r="P835" s="41">
        <v>5625</v>
      </c>
      <c r="Q835" s="27">
        <f t="shared" si="93"/>
        <v>0.99522292993630568</v>
      </c>
      <c r="R835" s="23"/>
      <c r="S835" s="173"/>
      <c r="T835" s="30"/>
      <c r="U835" s="23"/>
      <c r="V835" s="458"/>
      <c r="W835" s="421"/>
      <c r="X835" s="458"/>
      <c r="Y835" s="421"/>
      <c r="Z835" s="421"/>
      <c r="AA835" s="421"/>
      <c r="AB835" s="421"/>
      <c r="AC835" s="421"/>
      <c r="AD835" s="421"/>
    </row>
    <row r="836" spans="1:30" s="22" customFormat="1" x14ac:dyDescent="0.4">
      <c r="A836" s="177" t="s">
        <v>831</v>
      </c>
      <c r="B836" s="149" t="s">
        <v>91</v>
      </c>
      <c r="C836" s="30" t="str">
        <f>VLOOKUP(B836,'112年全品項生產鍋數'!A:H,2,0)</f>
        <v>梨山草莓果醬(1*430g)</v>
      </c>
      <c r="D836" s="285">
        <v>12</v>
      </c>
      <c r="E836" s="48">
        <f>VLOOKUP(B836,'112年全品項生產鍋數'!A:H,3,0)</f>
        <v>0.43</v>
      </c>
      <c r="F836" s="45">
        <f>VLOOKUP(B836,'112年全品項生產鍋數'!A:H,7,0)</f>
        <v>340.4</v>
      </c>
      <c r="G836" s="49">
        <f t="shared" si="95"/>
        <v>4084.7999999999997</v>
      </c>
      <c r="H836" s="144">
        <v>4114</v>
      </c>
      <c r="I836" s="111">
        <f t="shared" si="94"/>
        <v>1769.02</v>
      </c>
      <c r="J836" s="100">
        <f t="shared" si="87"/>
        <v>1.0071484528006267</v>
      </c>
      <c r="K836" s="51">
        <f>VLOOKUP(B:B,'生產達成率(目標)'!A:C,3,0)</f>
        <v>1</v>
      </c>
      <c r="L836" s="20">
        <f t="shared" si="96"/>
        <v>7.0000000000000001E-3</v>
      </c>
      <c r="M836" s="41" t="str">
        <f>工時!R20</f>
        <v>270</v>
      </c>
      <c r="N836" s="144">
        <v>2</v>
      </c>
      <c r="O836" s="150">
        <f t="shared" si="92"/>
        <v>16</v>
      </c>
      <c r="P836" s="41">
        <v>4096</v>
      </c>
      <c r="Q836" s="27">
        <f t="shared" si="93"/>
        <v>0.99562469615945548</v>
      </c>
      <c r="R836" s="23"/>
      <c r="S836" s="173"/>
      <c r="T836" s="30"/>
      <c r="U836" s="23"/>
      <c r="V836" s="458"/>
      <c r="W836" s="421"/>
      <c r="X836" s="458"/>
      <c r="Y836" s="421"/>
      <c r="Z836" s="421"/>
      <c r="AA836" s="421"/>
      <c r="AB836" s="421"/>
      <c r="AC836" s="421"/>
      <c r="AD836" s="421"/>
    </row>
    <row r="837" spans="1:30" x14ac:dyDescent="0.4">
      <c r="A837" s="177" t="s">
        <v>831</v>
      </c>
      <c r="B837" s="149" t="s">
        <v>461</v>
      </c>
      <c r="C837" s="30" t="str">
        <f>VLOOKUP(B837,'112年全品項生產鍋數'!A:H,2,0)</f>
        <v>綜合莓果餡(1*6Kg)</v>
      </c>
      <c r="D837" s="285">
        <v>4</v>
      </c>
      <c r="E837" s="48">
        <f>VLOOKUP(B837,'112年全品項生產鍋數'!A:H,3,0)</f>
        <v>6</v>
      </c>
      <c r="F837" s="45">
        <f>VLOOKUP(B837,'112年全品項生產鍋數'!A:H,7,0)</f>
        <v>25.1</v>
      </c>
      <c r="G837" s="49">
        <f t="shared" si="95"/>
        <v>100.4</v>
      </c>
      <c r="H837" s="144">
        <v>98</v>
      </c>
      <c r="I837" s="111">
        <f t="shared" si="94"/>
        <v>588</v>
      </c>
      <c r="J837" s="100">
        <f t="shared" si="87"/>
        <v>0.97609561752988039</v>
      </c>
      <c r="K837" s="51">
        <f>VLOOKUP(B:B,'生產達成率(目標)'!A:C,3,0)</f>
        <v>1</v>
      </c>
      <c r="L837" s="20">
        <f t="shared" si="96"/>
        <v>-2.4E-2</v>
      </c>
      <c r="M837" s="41" t="str">
        <f>工時!R21</f>
        <v>135</v>
      </c>
      <c r="N837" s="144">
        <v>1</v>
      </c>
      <c r="O837" s="150">
        <f t="shared" si="92"/>
        <v>2</v>
      </c>
      <c r="P837" s="41">
        <v>95</v>
      </c>
      <c r="Q837" s="27">
        <f t="shared" si="93"/>
        <v>0.96938775510204078</v>
      </c>
      <c r="R837" s="23"/>
      <c r="S837" s="173"/>
      <c r="T837" s="86"/>
      <c r="U837" s="23"/>
      <c r="V837" s="458"/>
      <c r="X837" s="458"/>
    </row>
    <row r="838" spans="1:30" ht="18.75" customHeight="1" x14ac:dyDescent="0.4">
      <c r="A838" s="177" t="s">
        <v>831</v>
      </c>
      <c r="B838" s="149" t="s">
        <v>53</v>
      </c>
      <c r="C838" s="30" t="str">
        <f>VLOOKUP(B838,'112年全品項生產鍋數'!A:H,2,0)</f>
        <v>鳳梨芒果百香果醬(1*6KG)</v>
      </c>
      <c r="D838" s="285">
        <v>12</v>
      </c>
      <c r="E838" s="48">
        <f>VLOOKUP(B838,'112年全品項生產鍋數'!A:H,3,0)</f>
        <v>6</v>
      </c>
      <c r="F838" s="45">
        <f>VLOOKUP(B838,'112年全品項生產鍋數'!A:H,7,0)</f>
        <v>25.7</v>
      </c>
      <c r="G838" s="49">
        <f t="shared" si="95"/>
        <v>308.39999999999998</v>
      </c>
      <c r="H838" s="144">
        <v>315</v>
      </c>
      <c r="I838" s="111">
        <f t="shared" si="94"/>
        <v>1890</v>
      </c>
      <c r="J838" s="100">
        <f t="shared" si="87"/>
        <v>1.0214007782101169</v>
      </c>
      <c r="K838" s="51">
        <f>VLOOKUP(B:B,'生產達成率(目標)'!A:C,3,0)</f>
        <v>1</v>
      </c>
      <c r="L838" s="20">
        <f t="shared" si="96"/>
        <v>2.1000000000000001E-2</v>
      </c>
      <c r="M838" s="41" t="str">
        <f>工時!R22</f>
        <v>205</v>
      </c>
      <c r="N838" s="144">
        <v>1</v>
      </c>
      <c r="O838" s="150">
        <f t="shared" si="92"/>
        <v>1</v>
      </c>
      <c r="P838" s="41">
        <v>313</v>
      </c>
      <c r="Q838" s="27">
        <f t="shared" si="93"/>
        <v>0.99365079365079367</v>
      </c>
      <c r="R838" s="23"/>
      <c r="S838" s="173"/>
      <c r="T838" s="86"/>
      <c r="U838" s="23"/>
      <c r="V838" s="458"/>
      <c r="X838" s="458"/>
    </row>
    <row r="839" spans="1:30" x14ac:dyDescent="0.4">
      <c r="A839" s="177" t="s">
        <v>831</v>
      </c>
      <c r="B839" s="149" t="s">
        <v>63</v>
      </c>
      <c r="C839" s="30" t="str">
        <f>VLOOKUP(B839,'112年全品項生產鍋數'!A:H,2,0)</f>
        <v>草莓蒟蒻餡(1*6kg)</v>
      </c>
      <c r="D839" s="285">
        <v>24</v>
      </c>
      <c r="E839" s="48">
        <f>VLOOKUP(B839,'112年全品項生產鍋數'!A:H,3,0)</f>
        <v>6</v>
      </c>
      <c r="F839" s="45">
        <f>VLOOKUP(B839,'112年全品項生產鍋數'!A:H,7,0)</f>
        <v>25.7</v>
      </c>
      <c r="G839" s="49">
        <f t="shared" si="95"/>
        <v>616.79999999999995</v>
      </c>
      <c r="H839" s="144">
        <f>300+317</f>
        <v>617</v>
      </c>
      <c r="I839" s="111">
        <f t="shared" si="94"/>
        <v>3702</v>
      </c>
      <c r="J839" s="100">
        <f t="shared" si="87"/>
        <v>1.0003242542153048</v>
      </c>
      <c r="K839" s="51">
        <f>VLOOKUP(B:B,'生產達成率(目標)'!A:C,3,0)</f>
        <v>1</v>
      </c>
      <c r="L839" s="20">
        <f t="shared" si="96"/>
        <v>0</v>
      </c>
      <c r="M839" s="41" t="str">
        <f>工時!R23</f>
        <v>300</v>
      </c>
      <c r="N839" s="144">
        <v>1</v>
      </c>
      <c r="O839" s="150">
        <f t="shared" si="92"/>
        <v>1</v>
      </c>
      <c r="P839" s="41">
        <f>298+317</f>
        <v>615</v>
      </c>
      <c r="Q839" s="27">
        <f t="shared" si="93"/>
        <v>0.99675850891410045</v>
      </c>
      <c r="R839" s="23"/>
      <c r="S839" s="173"/>
      <c r="T839" s="86"/>
      <c r="U839" s="23"/>
      <c r="V839" s="458"/>
      <c r="X839" s="458"/>
    </row>
    <row r="840" spans="1:30" s="22" customFormat="1" ht="15.75" customHeight="1" x14ac:dyDescent="0.4">
      <c r="A840" s="177" t="s">
        <v>831</v>
      </c>
      <c r="B840" s="149" t="s">
        <v>66</v>
      </c>
      <c r="C840" s="30" t="str">
        <f>VLOOKUP(B840,'112年全品項生產鍋數'!A:H,2,0)</f>
        <v>＃2花生(1*800g)</v>
      </c>
      <c r="D840" s="285">
        <v>40</v>
      </c>
      <c r="E840" s="48">
        <f>VLOOKUP(B840,'112年全品項生產鍋數'!A:H,3,0)</f>
        <v>0.8</v>
      </c>
      <c r="F840" s="45">
        <f>VLOOKUP(B840,'112年全品項生產鍋數'!A:H,7,0)</f>
        <v>157.69999999999999</v>
      </c>
      <c r="G840" s="49">
        <f t="shared" si="95"/>
        <v>6308</v>
      </c>
      <c r="H840" s="144">
        <v>6250</v>
      </c>
      <c r="I840" s="111">
        <f t="shared" si="94"/>
        <v>5000</v>
      </c>
      <c r="J840" s="100">
        <f t="shared" si="87"/>
        <v>0.99080532656943565</v>
      </c>
      <c r="K840" s="51">
        <f>VLOOKUP(B:B,'生產達成率(目標)'!A:C,3,0)</f>
        <v>1</v>
      </c>
      <c r="L840" s="20">
        <f t="shared" si="96"/>
        <v>-8.9999999999999993E-3</v>
      </c>
      <c r="M840" s="41" t="str">
        <f>工時!R24</f>
        <v>540</v>
      </c>
      <c r="N840" s="144">
        <v>2</v>
      </c>
      <c r="O840" s="150">
        <f t="shared" si="92"/>
        <v>0</v>
      </c>
      <c r="P840" s="41">
        <v>6248</v>
      </c>
      <c r="Q840" s="27">
        <f t="shared" si="93"/>
        <v>0.99968000000000001</v>
      </c>
      <c r="R840" s="23"/>
      <c r="S840" s="173"/>
      <c r="T840" s="30"/>
      <c r="U840" s="23"/>
      <c r="V840" s="458"/>
      <c r="W840" s="421"/>
      <c r="X840" s="458"/>
      <c r="Y840" s="421"/>
      <c r="Z840" s="421"/>
      <c r="AA840" s="421"/>
      <c r="AB840" s="421"/>
      <c r="AC840" s="421"/>
      <c r="AD840" s="421"/>
    </row>
    <row r="841" spans="1:30" s="22" customFormat="1" ht="16.5" customHeight="1" x14ac:dyDescent="0.4">
      <c r="A841" s="177" t="s">
        <v>832</v>
      </c>
      <c r="B841" s="149" t="s">
        <v>80</v>
      </c>
      <c r="C841" s="30" t="str">
        <f>VLOOKUP(B841,'112年全品項生產鍋數'!A:H,2,0)</f>
        <v>＃1桔子(1*3.2kg)</v>
      </c>
      <c r="D841" s="285">
        <v>72</v>
      </c>
      <c r="E841" s="48">
        <f>VLOOKUP(B841,'112年全品項生產鍋數'!A:H,3,0)</f>
        <v>3.2</v>
      </c>
      <c r="F841" s="45">
        <f>VLOOKUP(B841,'112年全品項生產鍋數'!A:H,7,0)</f>
        <v>46.4</v>
      </c>
      <c r="G841" s="49">
        <f t="shared" si="95"/>
        <v>3340.7999999999997</v>
      </c>
      <c r="H841" s="144">
        <v>3383</v>
      </c>
      <c r="I841" s="111">
        <f t="shared" si="94"/>
        <v>10825.6</v>
      </c>
      <c r="J841" s="100">
        <f t="shared" si="87"/>
        <v>1.0126317049808431</v>
      </c>
      <c r="K841" s="51">
        <f>VLOOKUP(B:B,'生產達成率(目標)'!A:C,3,0)</f>
        <v>1</v>
      </c>
      <c r="L841" s="20">
        <f t="shared" si="96"/>
        <v>1.2999999999999999E-2</v>
      </c>
      <c r="M841" s="41" t="str">
        <f>工時!R25</f>
        <v>540</v>
      </c>
      <c r="N841" s="144">
        <v>0</v>
      </c>
      <c r="O841" s="150">
        <f t="shared" si="92"/>
        <v>2</v>
      </c>
      <c r="P841" s="41">
        <v>3381</v>
      </c>
      <c r="Q841" s="27">
        <f t="shared" si="93"/>
        <v>0.99940880874963045</v>
      </c>
      <c r="R841" s="23"/>
      <c r="S841" s="173"/>
      <c r="T841" s="30"/>
      <c r="U841" s="23"/>
      <c r="V841" s="458"/>
      <c r="W841" s="421"/>
      <c r="X841" s="458"/>
      <c r="Y841" s="421"/>
      <c r="Z841" s="421"/>
      <c r="AA841" s="421"/>
      <c r="AB841" s="421"/>
      <c r="AC841" s="421"/>
      <c r="AD841" s="421"/>
    </row>
    <row r="842" spans="1:30" s="22" customFormat="1" x14ac:dyDescent="0.4">
      <c r="A842" s="177" t="s">
        <v>832</v>
      </c>
      <c r="B842" s="149" t="s">
        <v>73</v>
      </c>
      <c r="C842" s="30" t="str">
        <f>VLOOKUP(B842,'112年全品項生產鍋數'!A:H,2,0)</f>
        <v>顆粒花生醬(1*12KG)</v>
      </c>
      <c r="D842" s="285">
        <v>21</v>
      </c>
      <c r="E842" s="48">
        <f>VLOOKUP(B842,'112年全品項生產鍋數'!A:H,3,0)</f>
        <v>3</v>
      </c>
      <c r="F842" s="45">
        <f>VLOOKUP(B842,'112年全品項生產鍋數'!A:H,7,0)</f>
        <v>29.7</v>
      </c>
      <c r="G842" s="49">
        <f t="shared" si="95"/>
        <v>623.69999999999993</v>
      </c>
      <c r="H842" s="144">
        <v>628</v>
      </c>
      <c r="I842" s="111">
        <f t="shared" si="94"/>
        <v>1884</v>
      </c>
      <c r="J842" s="100">
        <f t="shared" si="87"/>
        <v>1.0068943402276738</v>
      </c>
      <c r="K842" s="51">
        <f>VLOOKUP(B:B,'生產達成率(目標)'!A:C,3,0)</f>
        <v>1</v>
      </c>
      <c r="L842" s="20">
        <f t="shared" si="96"/>
        <v>7.0000000000000001E-3</v>
      </c>
      <c r="M842" s="41" t="str">
        <f>工時!R26</f>
        <v>540</v>
      </c>
      <c r="N842" s="144">
        <v>0</v>
      </c>
      <c r="O842" s="150">
        <f t="shared" si="92"/>
        <v>0</v>
      </c>
      <c r="P842" s="41">
        <v>628</v>
      </c>
      <c r="Q842" s="27">
        <f t="shared" si="93"/>
        <v>1</v>
      </c>
      <c r="R842" s="23"/>
      <c r="S842" s="173"/>
      <c r="T842" s="30"/>
      <c r="U842" s="23"/>
      <c r="V842" s="458"/>
      <c r="W842" s="421"/>
      <c r="X842" s="458"/>
      <c r="Y842" s="421"/>
      <c r="Z842" s="421"/>
      <c r="AA842" s="421"/>
      <c r="AB842" s="421"/>
      <c r="AC842" s="421"/>
      <c r="AD842" s="421"/>
    </row>
    <row r="843" spans="1:30" s="22" customFormat="1" x14ac:dyDescent="0.4">
      <c r="A843" s="177" t="s">
        <v>832</v>
      </c>
      <c r="B843" s="149" t="s">
        <v>65</v>
      </c>
      <c r="C843" s="30" t="str">
        <f>VLOOKUP(B843,'112年全品項生產鍋數'!A:H,2,0)</f>
        <v>＃1花生(1*2.8kg)</v>
      </c>
      <c r="D843" s="285">
        <v>72</v>
      </c>
      <c r="E843" s="48">
        <f>VLOOKUP(B843,'112年全品項生產鍋數'!A:H,3,0)</f>
        <v>2.8</v>
      </c>
      <c r="F843" s="45">
        <f>VLOOKUP(B843,'112年全品項生產鍋數'!A:H,7,0)</f>
        <v>44.5</v>
      </c>
      <c r="G843" s="49">
        <f t="shared" si="95"/>
        <v>3204</v>
      </c>
      <c r="H843" s="144">
        <f>1976+600</f>
        <v>2576</v>
      </c>
      <c r="I843" s="111">
        <f t="shared" si="94"/>
        <v>7212.7999999999993</v>
      </c>
      <c r="J843" s="100">
        <f t="shared" si="87"/>
        <v>0.80399500624219722</v>
      </c>
      <c r="K843" s="51">
        <f>VLOOKUP(B:B,'生產達成率(目標)'!A:C,3,0)</f>
        <v>1</v>
      </c>
      <c r="L843" s="20">
        <f t="shared" si="96"/>
        <v>-0.19600000000000001</v>
      </c>
      <c r="M843" s="41" t="str">
        <f>工時!R27</f>
        <v>660</v>
      </c>
      <c r="N843" s="144">
        <v>1</v>
      </c>
      <c r="O843" s="150">
        <f t="shared" si="92"/>
        <v>0</v>
      </c>
      <c r="P843" s="41">
        <f>1975+600</f>
        <v>2575</v>
      </c>
      <c r="Q843" s="27">
        <f t="shared" si="93"/>
        <v>0.99961180124223603</v>
      </c>
      <c r="R843" s="23"/>
      <c r="S843" s="173"/>
      <c r="T843" s="30" t="s">
        <v>514</v>
      </c>
      <c r="U843" s="23"/>
      <c r="V843" s="458"/>
      <c r="W843" s="421"/>
      <c r="X843" s="458"/>
      <c r="Y843" s="421"/>
      <c r="Z843" s="421"/>
      <c r="AA843" s="421"/>
      <c r="AB843" s="421"/>
      <c r="AC843" s="421"/>
      <c r="AD843" s="421"/>
    </row>
    <row r="844" spans="1:30" x14ac:dyDescent="0.4">
      <c r="A844" s="177" t="s">
        <v>833</v>
      </c>
      <c r="B844" s="149" t="s">
        <v>61</v>
      </c>
      <c r="C844" s="30" t="str">
        <f>VLOOKUP(B844,'112年全品項生產鍋數'!A:H,2,0)</f>
        <v>大圓草莓-新</v>
      </c>
      <c r="D844" s="285">
        <v>24</v>
      </c>
      <c r="E844" s="48">
        <f>VLOOKUP(B844,'112年全品項生產鍋數'!A:H,3,0)</f>
        <v>0.44</v>
      </c>
      <c r="F844" s="45">
        <f>VLOOKUP(B844,'112年全品項生產鍋數'!A:H,7,0)</f>
        <v>344</v>
      </c>
      <c r="G844" s="49">
        <f t="shared" si="95"/>
        <v>8256</v>
      </c>
      <c r="H844" s="144">
        <v>8312</v>
      </c>
      <c r="I844" s="111">
        <f t="shared" si="94"/>
        <v>3657.28</v>
      </c>
      <c r="J844" s="100">
        <f t="shared" si="87"/>
        <v>1.0067829457364341</v>
      </c>
      <c r="K844" s="51">
        <f>VLOOKUP(B:B,'生產達成率(目標)'!A:C,3,0)</f>
        <v>1</v>
      </c>
      <c r="L844" s="20">
        <f t="shared" si="96"/>
        <v>7.0000000000000001E-3</v>
      </c>
      <c r="M844" s="41" t="str">
        <f>工時!R28</f>
        <v>345</v>
      </c>
      <c r="N844" s="144">
        <v>4</v>
      </c>
      <c r="O844" s="144">
        <f t="shared" si="92"/>
        <v>14</v>
      </c>
      <c r="P844" s="144">
        <v>8294</v>
      </c>
      <c r="Q844" s="98">
        <f t="shared" si="93"/>
        <v>0.99783445620789224</v>
      </c>
      <c r="R844" s="23"/>
      <c r="S844" s="173"/>
      <c r="T844" s="86" t="s">
        <v>528</v>
      </c>
      <c r="U844" s="23"/>
      <c r="V844" s="458"/>
      <c r="X844" s="458"/>
    </row>
    <row r="845" spans="1:30" x14ac:dyDescent="0.4">
      <c r="A845" s="177" t="s">
        <v>833</v>
      </c>
      <c r="B845" s="149" t="s">
        <v>529</v>
      </c>
      <c r="C845" s="30" t="str">
        <f>VLOOKUP(B845,'112年全品項生產鍋數'!A:H,2,0)</f>
        <v>小藍莓1*260G</v>
      </c>
      <c r="D845" s="285">
        <v>4</v>
      </c>
      <c r="E845" s="48">
        <f>VLOOKUP(B845,'112年全品項生產鍋數'!A:H,3,0)</f>
        <v>0.26</v>
      </c>
      <c r="F845" s="45">
        <f>VLOOKUP(B845,'112年全品項生產鍋數'!A:H,7,0)</f>
        <v>592</v>
      </c>
      <c r="G845" s="49">
        <f t="shared" si="95"/>
        <v>2368</v>
      </c>
      <c r="H845" s="144">
        <v>2388</v>
      </c>
      <c r="I845" s="111">
        <f t="shared" si="94"/>
        <v>620.88</v>
      </c>
      <c r="J845" s="100">
        <f t="shared" si="87"/>
        <v>1.0084459459459461</v>
      </c>
      <c r="K845" s="51">
        <f>VLOOKUP(B:B,'生產達成率(目標)'!A:C,3,0)</f>
        <v>1</v>
      </c>
      <c r="L845" s="20">
        <f t="shared" si="96"/>
        <v>8.0000000000000002E-3</v>
      </c>
      <c r="M845" s="41" t="str">
        <f>工時!R29</f>
        <v>300</v>
      </c>
      <c r="N845" s="144">
        <v>2</v>
      </c>
      <c r="O845" s="144">
        <f t="shared" si="92"/>
        <v>11</v>
      </c>
      <c r="P845" s="144">
        <v>2375</v>
      </c>
      <c r="Q845" s="98">
        <f t="shared" si="93"/>
        <v>0.99455611390284759</v>
      </c>
      <c r="R845" s="23"/>
      <c r="S845" s="173"/>
      <c r="T845" s="86" t="s">
        <v>530</v>
      </c>
      <c r="U845" s="23"/>
      <c r="V845" s="458"/>
      <c r="X845" s="458"/>
    </row>
    <row r="846" spans="1:30" x14ac:dyDescent="0.4">
      <c r="A846" s="177" t="s">
        <v>833</v>
      </c>
      <c r="B846" s="149" t="s">
        <v>106</v>
      </c>
      <c r="C846" s="30" t="str">
        <f>VLOOKUP(B846,'112年全品項生產鍋數'!A:H,2,0)</f>
        <v>小藍莓1*260G</v>
      </c>
      <c r="D846" s="285">
        <v>12</v>
      </c>
      <c r="E846" s="48">
        <f>VLOOKUP(B846,'112年全品項生產鍋數'!A:H,3,0)</f>
        <v>0.26</v>
      </c>
      <c r="F846" s="45">
        <f>VLOOKUP(B846,'112年全品項生產鍋數'!A:H,7,0)</f>
        <v>584.29999999999995</v>
      </c>
      <c r="G846" s="49">
        <f t="shared" si="95"/>
        <v>7011.5999999999995</v>
      </c>
      <c r="H846" s="144">
        <v>6987</v>
      </c>
      <c r="I846" s="111">
        <f t="shared" si="94"/>
        <v>1816.6200000000001</v>
      </c>
      <c r="J846" s="100">
        <f t="shared" si="87"/>
        <v>0.99649152832449095</v>
      </c>
      <c r="K846" s="51">
        <f>VLOOKUP(B:B,'生產達成率(目標)'!A:C,3,0)</f>
        <v>1</v>
      </c>
      <c r="L846" s="20">
        <f t="shared" si="96"/>
        <v>-4.0000000000000001E-3</v>
      </c>
      <c r="M846" s="41" t="str">
        <f>工時!R30</f>
        <v>270</v>
      </c>
      <c r="N846" s="144">
        <v>2</v>
      </c>
      <c r="O846" s="144">
        <f t="shared" si="92"/>
        <v>26</v>
      </c>
      <c r="P846" s="144">
        <v>6959</v>
      </c>
      <c r="Q846" s="98">
        <f t="shared" si="93"/>
        <v>0.99599255760698435</v>
      </c>
      <c r="R846" s="23"/>
      <c r="S846" s="173"/>
      <c r="T846" s="86" t="s">
        <v>531</v>
      </c>
      <c r="U846" s="23"/>
      <c r="V846" s="458"/>
      <c r="X846" s="458"/>
    </row>
    <row r="847" spans="1:30" x14ac:dyDescent="0.4">
      <c r="A847" s="177" t="s">
        <v>833</v>
      </c>
      <c r="B847" s="149" t="s">
        <v>532</v>
      </c>
      <c r="C847" s="30" t="str">
        <f>VLOOKUP(B847,'112年全品項生產鍋數'!A:H,2,0)</f>
        <v>特殊藍莓餡(1*9.08kg)</v>
      </c>
      <c r="D847" s="285">
        <v>12</v>
      </c>
      <c r="E847" s="48">
        <f>VLOOKUP(B847,'112年全品項生產鍋數'!A:H,3,0)</f>
        <v>9.08</v>
      </c>
      <c r="F847" s="45">
        <f>VLOOKUP(B847,'112年全品項生產鍋數'!A:H,7,0)</f>
        <v>17.5</v>
      </c>
      <c r="G847" s="49">
        <f t="shared" si="95"/>
        <v>210</v>
      </c>
      <c r="H847" s="144">
        <v>208</v>
      </c>
      <c r="I847" s="111">
        <f t="shared" si="94"/>
        <v>1888.64</v>
      </c>
      <c r="J847" s="100">
        <f t="shared" si="87"/>
        <v>0.99047619047619051</v>
      </c>
      <c r="K847" s="51">
        <f>VLOOKUP(B:B,'生產達成率(目標)'!A:C,3,0)</f>
        <v>1</v>
      </c>
      <c r="L847" s="20">
        <f t="shared" si="96"/>
        <v>-0.01</v>
      </c>
      <c r="M847" s="41" t="str">
        <f>工時!R31</f>
        <v>230</v>
      </c>
      <c r="N847" s="144">
        <v>0</v>
      </c>
      <c r="O847" s="144">
        <f t="shared" si="92"/>
        <v>0</v>
      </c>
      <c r="P847" s="144">
        <v>208</v>
      </c>
      <c r="Q847" s="98">
        <f t="shared" si="93"/>
        <v>1</v>
      </c>
      <c r="R847" s="23"/>
      <c r="S847" s="173"/>
      <c r="T847" s="86"/>
      <c r="U847" s="23"/>
      <c r="V847" s="458"/>
      <c r="X847" s="458"/>
    </row>
    <row r="848" spans="1:30" x14ac:dyDescent="0.4">
      <c r="A848" s="177" t="s">
        <v>833</v>
      </c>
      <c r="B848" s="149" t="s">
        <v>88</v>
      </c>
      <c r="C848" s="30" t="str">
        <f>VLOOKUP(B848,'112年全品項生產鍋數'!A:H,2,0)</f>
        <v>草莓餡(1*6KG)</v>
      </c>
      <c r="D848" s="285">
        <v>32</v>
      </c>
      <c r="E848" s="48">
        <f>VLOOKUP(B848,'112年全品項生產鍋數'!A:H,3,0)</f>
        <v>6</v>
      </c>
      <c r="F848" s="45">
        <f>VLOOKUP(B848,'112年全品項生產鍋數'!A:H,7,0)</f>
        <v>25.5</v>
      </c>
      <c r="G848" s="49">
        <f t="shared" si="95"/>
        <v>816</v>
      </c>
      <c r="H848" s="144">
        <v>812</v>
      </c>
      <c r="I848" s="111">
        <f t="shared" si="94"/>
        <v>4872</v>
      </c>
      <c r="J848" s="100">
        <f t="shared" si="87"/>
        <v>0.99509803921568629</v>
      </c>
      <c r="K848" s="51">
        <f>VLOOKUP(B:B,'生產達成率(目標)'!A:C,3,0)</f>
        <v>1</v>
      </c>
      <c r="L848" s="20">
        <f t="shared" si="96"/>
        <v>-5.0000000000000001E-3</v>
      </c>
      <c r="M848" s="41" t="str">
        <f>工時!R32</f>
        <v>443</v>
      </c>
      <c r="N848" s="144">
        <v>1</v>
      </c>
      <c r="O848" s="144">
        <f t="shared" si="92"/>
        <v>0</v>
      </c>
      <c r="P848" s="144">
        <v>811</v>
      </c>
      <c r="Q848" s="98">
        <f t="shared" si="93"/>
        <v>0.99876847290640391</v>
      </c>
      <c r="R848" s="23"/>
      <c r="S848" s="173"/>
      <c r="T848" s="86"/>
      <c r="U848" s="23"/>
      <c r="V848" s="458"/>
      <c r="X848" s="458"/>
    </row>
    <row r="849" spans="1:30" s="22" customFormat="1" x14ac:dyDescent="0.4">
      <c r="A849" s="177" t="s">
        <v>833</v>
      </c>
      <c r="B849" s="149" t="s">
        <v>73</v>
      </c>
      <c r="C849" s="30" t="str">
        <f>VLOOKUP(B849,'112年全品項生產鍋數'!A:H,2,0)</f>
        <v>顆粒花生醬(1*12KG)</v>
      </c>
      <c r="D849" s="285">
        <v>21</v>
      </c>
      <c r="E849" s="48">
        <f>VLOOKUP(B849,'112年全品項生產鍋數'!A:H,3,0)</f>
        <v>3</v>
      </c>
      <c r="F849" s="45">
        <f>VLOOKUP(B849,'112年全品項生產鍋數'!A:H,7,0)</f>
        <v>29.7</v>
      </c>
      <c r="G849" s="49">
        <f t="shared" si="95"/>
        <v>623.69999999999993</v>
      </c>
      <c r="H849" s="144">
        <v>628</v>
      </c>
      <c r="I849" s="111">
        <f t="shared" si="94"/>
        <v>1884</v>
      </c>
      <c r="J849" s="100">
        <f t="shared" si="87"/>
        <v>1.0068943402276738</v>
      </c>
      <c r="K849" s="51">
        <f>VLOOKUP(B:B,'生產達成率(目標)'!A:C,3,0)</f>
        <v>1</v>
      </c>
      <c r="L849" s="20">
        <f t="shared" si="96"/>
        <v>7.0000000000000001E-3</v>
      </c>
      <c r="M849" s="41" t="str">
        <f>工時!R33</f>
        <v>540</v>
      </c>
      <c r="N849" s="144">
        <v>0</v>
      </c>
      <c r="O849" s="144">
        <f t="shared" si="92"/>
        <v>0</v>
      </c>
      <c r="P849" s="144">
        <v>628</v>
      </c>
      <c r="Q849" s="98">
        <f t="shared" si="93"/>
        <v>1</v>
      </c>
      <c r="R849" s="23"/>
      <c r="S849" s="173"/>
      <c r="T849" s="30"/>
      <c r="U849" s="23"/>
      <c r="V849" s="458"/>
      <c r="W849" s="421"/>
      <c r="X849" s="458"/>
      <c r="Y849" s="421"/>
      <c r="Z849" s="421"/>
      <c r="AA849" s="421"/>
      <c r="AB849" s="421"/>
      <c r="AC849" s="421"/>
      <c r="AD849" s="421"/>
    </row>
    <row r="850" spans="1:30" s="83" customFormat="1" x14ac:dyDescent="0.4">
      <c r="A850" s="177" t="s">
        <v>833</v>
      </c>
      <c r="B850" s="149">
        <v>153010</v>
      </c>
      <c r="C850" s="30" t="str">
        <f>VLOOKUP(B850,'112年全品項生產鍋數'!A:H,2,0)</f>
        <v>蜜桔皮6m/m</v>
      </c>
      <c r="D850" s="285">
        <v>1</v>
      </c>
      <c r="E850" s="48">
        <f>VLOOKUP(B850,'112年全品項生產鍋數'!A:H,3,0)</f>
        <v>1</v>
      </c>
      <c r="F850" s="45">
        <f>VLOOKUP(B850,'112年全品項生產鍋數'!A:H,7,0)</f>
        <v>591</v>
      </c>
      <c r="G850" s="49">
        <f t="shared" si="95"/>
        <v>591</v>
      </c>
      <c r="H850" s="144">
        <v>552</v>
      </c>
      <c r="I850" s="111">
        <f t="shared" si="94"/>
        <v>552</v>
      </c>
      <c r="J850" s="100">
        <f t="shared" si="87"/>
        <v>0.93401015228426398</v>
      </c>
      <c r="K850" s="51">
        <f>VLOOKUP(B:B,'生產達成率(目標)'!A:C,3,0)</f>
        <v>1</v>
      </c>
      <c r="L850" s="20">
        <f t="shared" si="96"/>
        <v>-6.6000000000000003E-2</v>
      </c>
      <c r="M850" s="41" t="str">
        <f>工時!R34</f>
        <v>0</v>
      </c>
      <c r="N850" s="144">
        <v>0</v>
      </c>
      <c r="O850" s="144">
        <f t="shared" si="92"/>
        <v>0</v>
      </c>
      <c r="P850" s="144">
        <v>552</v>
      </c>
      <c r="Q850" s="98">
        <f t="shared" si="93"/>
        <v>1</v>
      </c>
      <c r="R850" s="23"/>
      <c r="S850" s="173"/>
      <c r="T850" s="30"/>
      <c r="U850" s="23"/>
      <c r="V850" s="458"/>
      <c r="W850" s="421"/>
      <c r="X850" s="458"/>
      <c r="Y850" s="421"/>
      <c r="Z850" s="421"/>
      <c r="AA850" s="421"/>
      <c r="AB850" s="421"/>
      <c r="AC850" s="421"/>
      <c r="AD850" s="421"/>
    </row>
    <row r="851" spans="1:30" x14ac:dyDescent="0.4">
      <c r="A851" s="177" t="s">
        <v>834</v>
      </c>
      <c r="B851" s="149" t="s">
        <v>71</v>
      </c>
      <c r="C851" s="30" t="str">
        <f>VLOOKUP(B851,'112年全品項生產鍋數'!A:H,2,0)</f>
        <v>＃1草莓(1*3.2kg)</v>
      </c>
      <c r="D851" s="285">
        <v>72</v>
      </c>
      <c r="E851" s="48">
        <f>VLOOKUP(B851,'112年全品項生產鍋數'!A:H,3,0)</f>
        <v>3.2</v>
      </c>
      <c r="F851" s="45">
        <f>VLOOKUP(B851,'112年全品項生產鍋數'!A:H,7,0)</f>
        <v>46.8</v>
      </c>
      <c r="G851" s="49">
        <f t="shared" si="95"/>
        <v>3369.6</v>
      </c>
      <c r="H851" s="144">
        <v>3399</v>
      </c>
      <c r="I851" s="111">
        <f t="shared" si="94"/>
        <v>10876.800000000001</v>
      </c>
      <c r="J851" s="100">
        <f t="shared" si="87"/>
        <v>1.0087250712250713</v>
      </c>
      <c r="K851" s="51">
        <f>VLOOKUP(B:B,'生產達成率(目標)'!A:C,3,0)</f>
        <v>1</v>
      </c>
      <c r="L851" s="20">
        <f t="shared" si="96"/>
        <v>8.9999999999999993E-3</v>
      </c>
      <c r="M851" s="41" t="str">
        <f>工時!R35</f>
        <v>540</v>
      </c>
      <c r="N851" s="144">
        <v>2</v>
      </c>
      <c r="O851" s="144">
        <f t="shared" si="92"/>
        <v>0</v>
      </c>
      <c r="P851" s="144">
        <v>3397</v>
      </c>
      <c r="Q851" s="98">
        <f t="shared" si="93"/>
        <v>0.99941159164460136</v>
      </c>
      <c r="R851" s="23"/>
      <c r="S851" s="173"/>
      <c r="T851" s="86"/>
      <c r="U851" s="23"/>
      <c r="V851" s="458"/>
      <c r="X851" s="458"/>
    </row>
    <row r="852" spans="1:30" x14ac:dyDescent="0.4">
      <c r="A852" s="177" t="s">
        <v>834</v>
      </c>
      <c r="B852" s="149" t="s">
        <v>63</v>
      </c>
      <c r="C852" s="30" t="str">
        <f>VLOOKUP(B852,'112年全品項生產鍋數'!A:H,2,0)</f>
        <v>草莓蒟蒻餡(1*6kg)</v>
      </c>
      <c r="D852" s="285">
        <v>24</v>
      </c>
      <c r="E852" s="48">
        <f>VLOOKUP(B852,'112年全品項生產鍋數'!A:H,3,0)</f>
        <v>6</v>
      </c>
      <c r="F852" s="45">
        <f>VLOOKUP(B852,'112年全品項生產鍋數'!A:H,7,0)</f>
        <v>25.7</v>
      </c>
      <c r="G852" s="49">
        <f t="shared" si="95"/>
        <v>616.79999999999995</v>
      </c>
      <c r="H852" s="144">
        <f>304+311</f>
        <v>615</v>
      </c>
      <c r="I852" s="111">
        <f t="shared" si="94"/>
        <v>3690</v>
      </c>
      <c r="J852" s="100">
        <f t="shared" si="87"/>
        <v>0.99708171206225693</v>
      </c>
      <c r="K852" s="51">
        <f>VLOOKUP(B:B,'生產達成率(目標)'!A:C,3,0)</f>
        <v>1</v>
      </c>
      <c r="L852" s="20">
        <f t="shared" si="96"/>
        <v>-3.0000000000000001E-3</v>
      </c>
      <c r="M852" s="41" t="str">
        <f>工時!R36</f>
        <v>300</v>
      </c>
      <c r="N852" s="144">
        <v>1</v>
      </c>
      <c r="O852" s="144">
        <f t="shared" si="92"/>
        <v>1</v>
      </c>
      <c r="P852" s="144">
        <f>302+311</f>
        <v>613</v>
      </c>
      <c r="Q852" s="98">
        <f t="shared" si="93"/>
        <v>0.99674796747967476</v>
      </c>
      <c r="R852" s="23"/>
      <c r="S852" s="173"/>
      <c r="T852" s="86" t="s">
        <v>534</v>
      </c>
      <c r="U852" s="23"/>
      <c r="V852" s="458"/>
      <c r="X852" s="458"/>
    </row>
    <row r="853" spans="1:30" x14ac:dyDescent="0.4">
      <c r="A853" s="177" t="s">
        <v>834</v>
      </c>
      <c r="B853" s="149" t="s">
        <v>64</v>
      </c>
      <c r="C853" s="30" t="str">
        <f>VLOOKUP(B853,'112年全品項生產鍋數'!A:H,2,0)</f>
        <v>藍莓餡(1*6KG)</v>
      </c>
      <c r="D853" s="285">
        <v>24</v>
      </c>
      <c r="E853" s="48">
        <f>VLOOKUP(B853,'112年全品項生產鍋數'!A:H,3,0)</f>
        <v>6</v>
      </c>
      <c r="F853" s="45">
        <f>VLOOKUP(B853,'112年全品項生產鍋數'!A:H,7,0)</f>
        <v>25.4</v>
      </c>
      <c r="G853" s="49">
        <f t="shared" si="95"/>
        <v>609.59999999999991</v>
      </c>
      <c r="H853" s="144">
        <f>301+317</f>
        <v>618</v>
      </c>
      <c r="I853" s="111">
        <f t="shared" si="94"/>
        <v>3708</v>
      </c>
      <c r="J853" s="100">
        <f t="shared" si="87"/>
        <v>1.0137795275590553</v>
      </c>
      <c r="K853" s="51">
        <f>VLOOKUP(B:B,'生產達成率(目標)'!A:C,3,0)</f>
        <v>1</v>
      </c>
      <c r="L853" s="20">
        <f t="shared" si="96"/>
        <v>1.4E-2</v>
      </c>
      <c r="M853" s="41" t="str">
        <f>工時!R37</f>
        <v>330</v>
      </c>
      <c r="N853" s="144">
        <v>1</v>
      </c>
      <c r="O853" s="144">
        <f t="shared" si="92"/>
        <v>6</v>
      </c>
      <c r="P853" s="144">
        <f>300+311</f>
        <v>611</v>
      </c>
      <c r="Q853" s="98">
        <f t="shared" si="93"/>
        <v>0.98867313915857602</v>
      </c>
      <c r="R853" s="23"/>
      <c r="S853" s="173"/>
      <c r="T853" s="86" t="s">
        <v>534</v>
      </c>
      <c r="U853" s="23"/>
      <c r="V853" s="458"/>
      <c r="X853" s="458"/>
    </row>
    <row r="854" spans="1:30" s="83" customFormat="1" x14ac:dyDescent="0.4">
      <c r="A854" s="177" t="s">
        <v>834</v>
      </c>
      <c r="B854" s="149" t="s">
        <v>23</v>
      </c>
      <c r="C854" s="30" t="str">
        <f>VLOOKUP(B854,'112年全品項生產鍋數'!A:H,2,0)</f>
        <v>＃1花生(粒)(1*2.8kg)</v>
      </c>
      <c r="D854" s="285">
        <v>72</v>
      </c>
      <c r="E854" s="48">
        <f>VLOOKUP(B854,'112年全品項生產鍋數'!A:H,3,0)</f>
        <v>2.8</v>
      </c>
      <c r="F854" s="45">
        <f>VLOOKUP(B854,'112年全品項生產鍋數'!A:H,7,0)</f>
        <v>44.2</v>
      </c>
      <c r="G854" s="49">
        <f t="shared" si="95"/>
        <v>3182.4</v>
      </c>
      <c r="H854" s="144">
        <v>3221</v>
      </c>
      <c r="I854" s="111">
        <f t="shared" si="94"/>
        <v>9018.7999999999993</v>
      </c>
      <c r="J854" s="100">
        <f t="shared" si="87"/>
        <v>1.0121292106586224</v>
      </c>
      <c r="K854" s="51">
        <f>VLOOKUP(B:B,'生產達成率(目標)'!A:C,3,0)</f>
        <v>1</v>
      </c>
      <c r="L854" s="20">
        <f t="shared" si="96"/>
        <v>1.2E-2</v>
      </c>
      <c r="M854" s="41" t="str">
        <f>工時!R38</f>
        <v>570</v>
      </c>
      <c r="N854" s="144">
        <v>1</v>
      </c>
      <c r="O854" s="144">
        <f t="shared" si="92"/>
        <v>0</v>
      </c>
      <c r="P854" s="144">
        <v>3220</v>
      </c>
      <c r="Q854" s="98">
        <f t="shared" si="93"/>
        <v>0.99968953741074196</v>
      </c>
      <c r="R854" s="23"/>
      <c r="S854" s="173"/>
      <c r="T854" s="30"/>
      <c r="U854" s="23"/>
      <c r="V854" s="458"/>
      <c r="W854" s="421"/>
      <c r="X854" s="458"/>
      <c r="Y854" s="421"/>
      <c r="Z854" s="421"/>
      <c r="AA854" s="421"/>
      <c r="AB854" s="421"/>
      <c r="AC854" s="421"/>
      <c r="AD854" s="421"/>
    </row>
    <row r="855" spans="1:30" s="22" customFormat="1" x14ac:dyDescent="0.4">
      <c r="A855" s="177" t="s">
        <v>835</v>
      </c>
      <c r="B855" s="149" t="s">
        <v>54</v>
      </c>
      <c r="C855" s="30" t="str">
        <f>VLOOKUP(B855,'112年全品項生產鍋數'!A:H,2,0)</f>
        <v>草莓醬(1*6kg)</v>
      </c>
      <c r="D855" s="285">
        <v>30</v>
      </c>
      <c r="E855" s="48">
        <f>VLOOKUP(B855,'112年全品項生產鍋數'!A:H,3,0)</f>
        <v>6</v>
      </c>
      <c r="F855" s="45">
        <f>VLOOKUP(B855,'112年全品項生產鍋數'!A:H,7,0)</f>
        <v>26.6</v>
      </c>
      <c r="G855" s="49">
        <f t="shared" si="95"/>
        <v>798</v>
      </c>
      <c r="H855" s="144">
        <v>805</v>
      </c>
      <c r="I855" s="111">
        <f t="shared" si="94"/>
        <v>4830</v>
      </c>
      <c r="J855" s="100">
        <f t="shared" ref="J855:J918" si="97">IF(G855=0,"無法預估數據",H855/G855)</f>
        <v>1.0087719298245614</v>
      </c>
      <c r="K855" s="51">
        <f>VLOOKUP(B:B,'生產達成率(目標)'!A:C,3,0)</f>
        <v>1</v>
      </c>
      <c r="L855" s="20">
        <f t="shared" si="96"/>
        <v>8.9999999999999993E-3</v>
      </c>
      <c r="M855" s="41" t="str">
        <f>工時!R39</f>
        <v>470</v>
      </c>
      <c r="N855" s="144">
        <v>1</v>
      </c>
      <c r="O855" s="144">
        <f t="shared" si="92"/>
        <v>0</v>
      </c>
      <c r="P855" s="144">
        <v>804</v>
      </c>
      <c r="Q855" s="98">
        <f t="shared" si="93"/>
        <v>0.99875776397515525</v>
      </c>
      <c r="R855" s="23"/>
      <c r="S855" s="173"/>
      <c r="T855" s="30" t="s">
        <v>535</v>
      </c>
      <c r="U855" s="23"/>
      <c r="V855" s="458"/>
      <c r="W855" s="421"/>
      <c r="X855" s="458"/>
      <c r="Y855" s="421"/>
      <c r="Z855" s="421"/>
      <c r="AA855" s="421"/>
      <c r="AB855" s="421"/>
      <c r="AC855" s="421"/>
      <c r="AD855" s="421"/>
    </row>
    <row r="856" spans="1:30" s="22" customFormat="1" x14ac:dyDescent="0.4">
      <c r="A856" s="177" t="s">
        <v>835</v>
      </c>
      <c r="B856" s="149" t="s">
        <v>99</v>
      </c>
      <c r="C856" s="30" t="str">
        <f>VLOOKUP(B856,'112年全品項生產鍋數'!A:H,2,0)</f>
        <v>葡萄奇異果醬(1*6kg)</v>
      </c>
      <c r="D856" s="285">
        <v>12</v>
      </c>
      <c r="E856" s="48">
        <f>VLOOKUP(B856,'112年全品項生產鍋數'!A:H,3,0)</f>
        <v>6</v>
      </c>
      <c r="F856" s="45">
        <f>VLOOKUP(B856,'112年全品項生產鍋數'!A:H,7,0)</f>
        <v>24.3</v>
      </c>
      <c r="G856" s="49">
        <f t="shared" si="95"/>
        <v>291.60000000000002</v>
      </c>
      <c r="H856" s="144">
        <v>299</v>
      </c>
      <c r="I856" s="111">
        <f t="shared" si="94"/>
        <v>1794</v>
      </c>
      <c r="J856" s="100">
        <f t="shared" si="97"/>
        <v>1.0253772290809327</v>
      </c>
      <c r="K856" s="51">
        <f>VLOOKUP(B:B,'生產達成率(目標)'!A:C,3,0)</f>
        <v>1</v>
      </c>
      <c r="L856" s="20">
        <f t="shared" si="96"/>
        <v>2.5000000000000001E-2</v>
      </c>
      <c r="M856" s="41" t="str">
        <f>工時!R40</f>
        <v>210</v>
      </c>
      <c r="N856" s="144">
        <v>1</v>
      </c>
      <c r="O856" s="144">
        <f t="shared" si="92"/>
        <v>0</v>
      </c>
      <c r="P856" s="144">
        <v>298</v>
      </c>
      <c r="Q856" s="98">
        <f t="shared" si="93"/>
        <v>0.99665551839464883</v>
      </c>
      <c r="R856" s="23"/>
      <c r="S856" s="173"/>
      <c r="T856" s="30"/>
      <c r="U856" s="23"/>
      <c r="V856" s="458"/>
      <c r="W856" s="421"/>
      <c r="X856" s="458"/>
      <c r="Y856" s="421"/>
      <c r="Z856" s="421"/>
      <c r="AA856" s="421"/>
      <c r="AB856" s="421"/>
      <c r="AC856" s="421"/>
      <c r="AD856" s="421"/>
    </row>
    <row r="857" spans="1:30" s="22" customFormat="1" x14ac:dyDescent="0.4">
      <c r="A857" s="177" t="s">
        <v>835</v>
      </c>
      <c r="B857" s="149" t="s">
        <v>55</v>
      </c>
      <c r="C857" s="30" t="str">
        <f>VLOOKUP(B857,'112年全品項生產鍋數'!A:H,2,0)</f>
        <v>天天開心草莓餡4.5KG</v>
      </c>
      <c r="D857" s="285">
        <v>20</v>
      </c>
      <c r="E857" s="48">
        <f>VLOOKUP(B857,'112年全品項生產鍋數'!A:H,3,0)</f>
        <v>4.5</v>
      </c>
      <c r="F857" s="45">
        <f>VLOOKUP(B857,'112年全品項生產鍋數'!A:H,7,0)</f>
        <v>36.299999999999997</v>
      </c>
      <c r="G857" s="49">
        <f t="shared" si="95"/>
        <v>726</v>
      </c>
      <c r="H857" s="144">
        <v>730</v>
      </c>
      <c r="I857" s="111">
        <f t="shared" si="94"/>
        <v>3285</v>
      </c>
      <c r="J857" s="100">
        <f t="shared" si="97"/>
        <v>1.0055096418732783</v>
      </c>
      <c r="K857" s="51">
        <f>VLOOKUP(B:B,'生產達成率(目標)'!A:C,3,0)</f>
        <v>1</v>
      </c>
      <c r="L857" s="20">
        <f t="shared" si="96"/>
        <v>6.0000000000000001E-3</v>
      </c>
      <c r="M857" s="41" t="str">
        <f>工時!R41</f>
        <v>340</v>
      </c>
      <c r="N857" s="144">
        <v>0</v>
      </c>
      <c r="O857" s="144">
        <f t="shared" si="92"/>
        <v>0</v>
      </c>
      <c r="P857" s="144">
        <v>730</v>
      </c>
      <c r="Q857" s="98">
        <f t="shared" si="93"/>
        <v>1</v>
      </c>
      <c r="R857" s="23"/>
      <c r="S857" s="173"/>
      <c r="T857" s="30"/>
      <c r="U857" s="23"/>
      <c r="V857" s="458"/>
      <c r="W857" s="421"/>
      <c r="X857" s="458"/>
      <c r="Y857" s="421"/>
      <c r="Z857" s="421"/>
      <c r="AA857" s="421"/>
      <c r="AB857" s="421"/>
      <c r="AC857" s="421"/>
      <c r="AD857" s="421"/>
    </row>
    <row r="858" spans="1:30" x14ac:dyDescent="0.4">
      <c r="A858" s="177" t="s">
        <v>835</v>
      </c>
      <c r="B858" s="149" t="s">
        <v>63</v>
      </c>
      <c r="C858" s="30" t="str">
        <f>VLOOKUP(B858,'112年全品項生產鍋數'!A:H,2,0)</f>
        <v>草莓蒟蒻餡(1*6kg)</v>
      </c>
      <c r="D858" s="285">
        <v>24</v>
      </c>
      <c r="E858" s="48">
        <f>VLOOKUP(B858,'112年全品項生產鍋數'!A:H,3,0)</f>
        <v>6</v>
      </c>
      <c r="F858" s="45">
        <f>VLOOKUP(B858,'112年全品項生產鍋數'!A:H,7,0)</f>
        <v>25.7</v>
      </c>
      <c r="G858" s="49">
        <f t="shared" si="95"/>
        <v>616.79999999999995</v>
      </c>
      <c r="H858" s="144">
        <f>307+325</f>
        <v>632</v>
      </c>
      <c r="I858" s="111">
        <f t="shared" si="94"/>
        <v>3792</v>
      </c>
      <c r="J858" s="100">
        <f t="shared" si="97"/>
        <v>1.0246433203631649</v>
      </c>
      <c r="K858" s="51">
        <f>VLOOKUP(B:B,'生產達成率(目標)'!A:C,3,0)</f>
        <v>1</v>
      </c>
      <c r="L858" s="20">
        <f t="shared" si="96"/>
        <v>2.5000000000000001E-2</v>
      </c>
      <c r="M858" s="41" t="str">
        <f>工時!R42</f>
        <v>300</v>
      </c>
      <c r="N858" s="144">
        <v>1</v>
      </c>
      <c r="O858" s="144">
        <f t="shared" si="92"/>
        <v>6</v>
      </c>
      <c r="P858" s="144">
        <f>306+319</f>
        <v>625</v>
      </c>
      <c r="Q858" s="98">
        <f t="shared" si="93"/>
        <v>0.98892405063291144</v>
      </c>
      <c r="R858" s="23"/>
      <c r="S858" s="173"/>
      <c r="T858" s="86"/>
      <c r="U858" s="23"/>
      <c r="V858" s="458"/>
      <c r="X858" s="458"/>
    </row>
    <row r="859" spans="1:30" x14ac:dyDescent="0.4">
      <c r="A859" s="177" t="s">
        <v>835</v>
      </c>
      <c r="B859" s="149" t="s">
        <v>536</v>
      </c>
      <c r="C859" s="30" t="str">
        <f>VLOOKUP(B859,'112年全品項生產鍋數'!A:H,2,0)</f>
        <v>花生醬(1*3.5KG)</v>
      </c>
      <c r="D859" s="285">
        <v>6</v>
      </c>
      <c r="E859" s="48">
        <f>VLOOKUP(B859,'112年全品項生產鍋數'!A:H,3,0)</f>
        <v>3.5</v>
      </c>
      <c r="F859" s="45">
        <f>VLOOKUP(B859,'112年全品項生產鍋數'!A:H,7,0)</f>
        <v>25.4</v>
      </c>
      <c r="G859" s="49">
        <f t="shared" si="95"/>
        <v>152.39999999999998</v>
      </c>
      <c r="H859" s="144">
        <v>151</v>
      </c>
      <c r="I859" s="111">
        <f t="shared" si="94"/>
        <v>528.5</v>
      </c>
      <c r="J859" s="100">
        <f t="shared" si="97"/>
        <v>0.99081364829396346</v>
      </c>
      <c r="K859" s="51">
        <f>VLOOKUP(B:B,'生產達成率(目標)'!A:C,3,0)</f>
        <v>1</v>
      </c>
      <c r="L859" s="20">
        <f t="shared" si="96"/>
        <v>-8.9999999999999993E-3</v>
      </c>
      <c r="M859" s="41" t="str">
        <f>工時!R43</f>
        <v>300</v>
      </c>
      <c r="N859" s="144">
        <v>0</v>
      </c>
      <c r="O859" s="144">
        <f t="shared" si="92"/>
        <v>0</v>
      </c>
      <c r="P859" s="144">
        <v>151</v>
      </c>
      <c r="Q859" s="98">
        <f t="shared" si="93"/>
        <v>1</v>
      </c>
      <c r="R859" s="23"/>
      <c r="S859" s="173"/>
      <c r="T859" s="86"/>
      <c r="U859" s="23"/>
      <c r="V859" s="458"/>
      <c r="X859" s="458"/>
    </row>
    <row r="860" spans="1:30" s="83" customFormat="1" x14ac:dyDescent="0.4">
      <c r="A860" s="177" t="s">
        <v>836</v>
      </c>
      <c r="B860" s="149" t="s">
        <v>11</v>
      </c>
      <c r="C860" s="30" t="str">
        <f>VLOOKUP(B860,'112年全品項生產鍋數'!A:H,2,0)</f>
        <v>#2草莓果醬(1*900g)</v>
      </c>
      <c r="D860" s="285">
        <v>40</v>
      </c>
      <c r="E860" s="48">
        <f>VLOOKUP(B860,'112年全品項生產鍋數'!A:H,3,0)</f>
        <v>0.9</v>
      </c>
      <c r="F860" s="45">
        <f>VLOOKUP(B860,'112年全品項生產鍋數'!A:H,7,0)</f>
        <v>160.5</v>
      </c>
      <c r="G860" s="49">
        <f t="shared" si="95"/>
        <v>6420</v>
      </c>
      <c r="H860" s="144">
        <f>5944+600</f>
        <v>6544</v>
      </c>
      <c r="I860" s="111">
        <f t="shared" si="94"/>
        <v>5889.6</v>
      </c>
      <c r="J860" s="100">
        <f t="shared" si="97"/>
        <v>1.0193146417445482</v>
      </c>
      <c r="K860" s="51">
        <f>VLOOKUP(B:B,'生產達成率(目標)'!A:C,3,0)</f>
        <v>1</v>
      </c>
      <c r="L860" s="20">
        <f t="shared" si="96"/>
        <v>1.9E-2</v>
      </c>
      <c r="M860" s="41" t="str">
        <f>工時!R44</f>
        <v>570</v>
      </c>
      <c r="N860" s="144">
        <v>2</v>
      </c>
      <c r="O860" s="144">
        <f t="shared" si="92"/>
        <v>36</v>
      </c>
      <c r="P860" s="144">
        <f>6506</f>
        <v>6506</v>
      </c>
      <c r="Q860" s="98">
        <f t="shared" si="93"/>
        <v>0.99419315403422981</v>
      </c>
      <c r="R860" s="23"/>
      <c r="S860" s="173"/>
      <c r="T860" s="30" t="s">
        <v>537</v>
      </c>
      <c r="U860" s="23"/>
      <c r="V860" s="458"/>
      <c r="W860" s="421"/>
      <c r="X860" s="458"/>
      <c r="Y860" s="421"/>
      <c r="Z860" s="421"/>
      <c r="AA860" s="421"/>
      <c r="AB860" s="421"/>
      <c r="AC860" s="421"/>
      <c r="AD860" s="421"/>
    </row>
    <row r="861" spans="1:30" s="22" customFormat="1" x14ac:dyDescent="0.4">
      <c r="A861" s="177" t="s">
        <v>836</v>
      </c>
      <c r="B861" s="149" t="s">
        <v>93</v>
      </c>
      <c r="C861" s="30" t="str">
        <f>VLOOKUP(B861,'112年全品項生產鍋數'!A:H,2,0)</f>
        <v>草莓餡42°(1*6KG)</v>
      </c>
      <c r="D861" s="285">
        <v>24</v>
      </c>
      <c r="E861" s="48">
        <f>VLOOKUP(B861,'112年全品項生產鍋數'!A:H,3,0)</f>
        <v>6</v>
      </c>
      <c r="F861" s="45">
        <f>VLOOKUP(B861,'112年全品項生產鍋數'!A:H,7,0)</f>
        <v>25.2</v>
      </c>
      <c r="G861" s="49">
        <f t="shared" si="95"/>
        <v>604.79999999999995</v>
      </c>
      <c r="H861" s="144">
        <v>606</v>
      </c>
      <c r="I861" s="111">
        <f t="shared" si="94"/>
        <v>3636</v>
      </c>
      <c r="J861" s="100">
        <f t="shared" si="97"/>
        <v>1.001984126984127</v>
      </c>
      <c r="K861" s="51">
        <f>VLOOKUP(B:B,'生產達成率(目標)'!A:C,3,0)</f>
        <v>1</v>
      </c>
      <c r="L861" s="20">
        <f t="shared" si="96"/>
        <v>2E-3</v>
      </c>
      <c r="M861" s="41" t="str">
        <f>工時!R45</f>
        <v>330</v>
      </c>
      <c r="N861" s="144">
        <v>1</v>
      </c>
      <c r="O861" s="144">
        <f t="shared" si="92"/>
        <v>0</v>
      </c>
      <c r="P861" s="144">
        <v>605</v>
      </c>
      <c r="Q861" s="98">
        <f t="shared" si="93"/>
        <v>0.99834983498349839</v>
      </c>
      <c r="R861" s="23"/>
      <c r="S861" s="173"/>
      <c r="T861" s="30"/>
      <c r="U861" s="23"/>
      <c r="V861" s="458"/>
      <c r="W861" s="421"/>
      <c r="X861" s="458"/>
      <c r="Y861" s="421"/>
      <c r="Z861" s="421"/>
      <c r="AA861" s="421"/>
      <c r="AB861" s="421"/>
      <c r="AC861" s="421"/>
      <c r="AD861" s="421"/>
    </row>
    <row r="862" spans="1:30" s="22" customFormat="1" x14ac:dyDescent="0.4">
      <c r="A862" s="177" t="s">
        <v>836</v>
      </c>
      <c r="B862" s="149" t="s">
        <v>72</v>
      </c>
      <c r="C862" s="30" t="str">
        <f>VLOOKUP(B862,'112年全品項生產鍋數'!A:H,2,0)</f>
        <v>草莓餡45%(1*6Kg)</v>
      </c>
      <c r="D862" s="285">
        <v>24</v>
      </c>
      <c r="E862" s="48">
        <f>VLOOKUP(B862,'112年全品項生產鍋數'!A:H,3,0)</f>
        <v>6</v>
      </c>
      <c r="F862" s="45">
        <f>VLOOKUP(B862,'112年全品項生產鍋數'!A:H,7,0)</f>
        <v>26.1</v>
      </c>
      <c r="G862" s="49">
        <f t="shared" si="95"/>
        <v>626.40000000000009</v>
      </c>
      <c r="H862" s="144">
        <v>634</v>
      </c>
      <c r="I862" s="111">
        <f t="shared" si="94"/>
        <v>3804</v>
      </c>
      <c r="J862" s="100">
        <f t="shared" si="97"/>
        <v>1.01213282247765</v>
      </c>
      <c r="K862" s="51">
        <f>VLOOKUP(B:B,'生產達成率(目標)'!A:C,3,0)</f>
        <v>1</v>
      </c>
      <c r="L862" s="20">
        <f t="shared" si="96"/>
        <v>1.2E-2</v>
      </c>
      <c r="M862" s="41" t="str">
        <f>工時!R46</f>
        <v>300</v>
      </c>
      <c r="N862" s="144">
        <v>1</v>
      </c>
      <c r="O862" s="144">
        <f t="shared" si="92"/>
        <v>0</v>
      </c>
      <c r="P862" s="144">
        <v>633</v>
      </c>
      <c r="Q862" s="98">
        <f t="shared" si="93"/>
        <v>0.99842271293375395</v>
      </c>
      <c r="R862" s="23"/>
      <c r="S862" s="173"/>
      <c r="T862" s="30"/>
      <c r="U862" s="23"/>
      <c r="V862" s="458"/>
      <c r="W862" s="421"/>
      <c r="X862" s="458"/>
      <c r="Y862" s="421"/>
      <c r="Z862" s="421"/>
      <c r="AA862" s="421"/>
      <c r="AB862" s="421"/>
      <c r="AC862" s="421"/>
      <c r="AD862" s="421"/>
    </row>
    <row r="863" spans="1:30" s="83" customFormat="1" x14ac:dyDescent="0.4">
      <c r="A863" s="177" t="s">
        <v>836</v>
      </c>
      <c r="B863" s="149" t="s">
        <v>96</v>
      </c>
      <c r="C863" s="30" t="str">
        <f>VLOOKUP(B863,'112年全品項生產鍋數'!A:H,2,0)</f>
        <v>PET瓶花生(1*340g)</v>
      </c>
      <c r="D863" s="285">
        <v>28</v>
      </c>
      <c r="E863" s="48">
        <f>VLOOKUP(B863,'112年全品項生產鍋數'!A:H,3,0)</f>
        <v>0.34</v>
      </c>
      <c r="F863" s="45">
        <f>VLOOKUP(B863,'112年全品項生產鍋數'!A:H,7,0)</f>
        <v>358.3</v>
      </c>
      <c r="G863" s="49">
        <f t="shared" si="95"/>
        <v>10032.4</v>
      </c>
      <c r="H863" s="144">
        <v>10462</v>
      </c>
      <c r="I863" s="111">
        <f t="shared" si="94"/>
        <v>3557.0800000000004</v>
      </c>
      <c r="J863" s="100">
        <f t="shared" si="97"/>
        <v>1.0428212591204498</v>
      </c>
      <c r="K863" s="51">
        <f>VLOOKUP(B:B,'生產達成率(目標)'!A:C,3,0)</f>
        <v>1</v>
      </c>
      <c r="L863" s="20">
        <f t="shared" si="96"/>
        <v>4.2999999999999997E-2</v>
      </c>
      <c r="M863" s="41" t="str">
        <f>工時!R47</f>
        <v>540</v>
      </c>
      <c r="N863" s="144">
        <v>1</v>
      </c>
      <c r="O863" s="144">
        <f t="shared" si="92"/>
        <v>4</v>
      </c>
      <c r="P863" s="144">
        <v>10457</v>
      </c>
      <c r="Q863" s="98">
        <f t="shared" si="93"/>
        <v>0.99952207990823938</v>
      </c>
      <c r="R863" s="23"/>
      <c r="S863" s="173"/>
      <c r="T863" s="30" t="s">
        <v>546</v>
      </c>
      <c r="U863" s="23"/>
      <c r="V863" s="458"/>
      <c r="W863" s="421"/>
      <c r="X863" s="458"/>
      <c r="Y863" s="421"/>
      <c r="Z863" s="421"/>
      <c r="AA863" s="421"/>
      <c r="AB863" s="421"/>
      <c r="AC863" s="421"/>
      <c r="AD863" s="421"/>
    </row>
    <row r="864" spans="1:30" s="22" customFormat="1" x14ac:dyDescent="0.4">
      <c r="A864" s="177" t="s">
        <v>836</v>
      </c>
      <c r="B864" s="149" t="s">
        <v>58</v>
      </c>
      <c r="C864" s="30" t="str">
        <f>VLOOKUP(B864,'112年全品項生產鍋數'!A:H,2,0)</f>
        <v>PET大花生(1*400g)</v>
      </c>
      <c r="D864" s="285">
        <v>8</v>
      </c>
      <c r="E864" s="48">
        <f>VLOOKUP(B864,'112年全品項生產鍋數'!A:H,3,0)</f>
        <v>0.4</v>
      </c>
      <c r="F864" s="45">
        <f>VLOOKUP(B864,'112年全品項生產鍋數'!A:H,7,0)</f>
        <v>309.2</v>
      </c>
      <c r="G864" s="49">
        <f t="shared" si="95"/>
        <v>2473.6</v>
      </c>
      <c r="H864" s="144">
        <f>2227</f>
        <v>2227</v>
      </c>
      <c r="I864" s="111">
        <f t="shared" si="94"/>
        <v>890.80000000000007</v>
      </c>
      <c r="J864" s="100">
        <f t="shared" si="97"/>
        <v>0.90030724450194055</v>
      </c>
      <c r="K864" s="51">
        <f>VLOOKUP(B:B,'生產達成率(目標)'!A:C,3,0)</f>
        <v>1</v>
      </c>
      <c r="L864" s="20">
        <f t="shared" si="96"/>
        <v>-0.1</v>
      </c>
      <c r="M864" s="41" t="str">
        <f>工時!R48</f>
        <v>420</v>
      </c>
      <c r="N864" s="144">
        <v>1</v>
      </c>
      <c r="O864" s="144">
        <f t="shared" si="92"/>
        <v>2</v>
      </c>
      <c r="P864" s="144">
        <v>2224</v>
      </c>
      <c r="Q864" s="98">
        <f t="shared" si="93"/>
        <v>0.99865289627301301</v>
      </c>
      <c r="R864" s="23"/>
      <c r="S864" s="173"/>
      <c r="T864" s="30"/>
      <c r="U864" s="23"/>
      <c r="V864" s="458"/>
      <c r="W864" s="421"/>
      <c r="X864" s="458"/>
      <c r="Y864" s="421"/>
      <c r="Z864" s="421"/>
      <c r="AA864" s="421"/>
      <c r="AB864" s="421"/>
      <c r="AC864" s="421"/>
      <c r="AD864" s="421"/>
    </row>
    <row r="865" spans="1:30" s="22" customFormat="1" x14ac:dyDescent="0.4">
      <c r="A865" s="177" t="s">
        <v>837</v>
      </c>
      <c r="B865" s="149" t="s">
        <v>100</v>
      </c>
      <c r="C865" s="30" t="str">
        <f>VLOOKUP(B865,'112年全品項生產鍋數'!A:H,2,0)</f>
        <v>芒果蜜桃醬(1*6kg)</v>
      </c>
      <c r="D865" s="285">
        <v>6</v>
      </c>
      <c r="E865" s="48">
        <f>VLOOKUP(B865,'112年全品項生產鍋數'!A:H,3,0)</f>
        <v>6</v>
      </c>
      <c r="F865" s="45">
        <f>VLOOKUP(B865,'112年全品項生產鍋數'!A:H,7,0)</f>
        <v>25.6</v>
      </c>
      <c r="G865" s="49">
        <f t="shared" si="95"/>
        <v>153.60000000000002</v>
      </c>
      <c r="H865" s="144">
        <v>152</v>
      </c>
      <c r="I865" s="111">
        <f t="shared" si="94"/>
        <v>912</v>
      </c>
      <c r="J865" s="100">
        <f t="shared" si="97"/>
        <v>0.98958333333333315</v>
      </c>
      <c r="K865" s="51">
        <f>VLOOKUP(B:B,'生產達成率(目標)'!A:C,3,0)</f>
        <v>1</v>
      </c>
      <c r="L865" s="20">
        <f t="shared" si="96"/>
        <v>-0.01</v>
      </c>
      <c r="M865" s="41" t="str">
        <f>工時!R49</f>
        <v>172</v>
      </c>
      <c r="N865" s="144">
        <v>1</v>
      </c>
      <c r="O865" s="144">
        <f t="shared" si="92"/>
        <v>0</v>
      </c>
      <c r="P865" s="144">
        <v>151</v>
      </c>
      <c r="Q865" s="98">
        <f t="shared" si="93"/>
        <v>0.99342105263157898</v>
      </c>
      <c r="R865" s="23"/>
      <c r="S865" s="173"/>
      <c r="T865" s="30"/>
      <c r="U865" s="23"/>
      <c r="V865" s="458"/>
      <c r="W865" s="421"/>
      <c r="X865" s="458"/>
      <c r="Y865" s="421"/>
      <c r="Z865" s="421"/>
      <c r="AA865" s="421"/>
      <c r="AB865" s="421"/>
      <c r="AC865" s="421"/>
      <c r="AD865" s="421"/>
    </row>
    <row r="866" spans="1:30" s="22" customFormat="1" x14ac:dyDescent="0.4">
      <c r="A866" s="177" t="s">
        <v>837</v>
      </c>
      <c r="B866" s="149" t="s">
        <v>538</v>
      </c>
      <c r="C866" s="30" t="str">
        <f>VLOOKUP(B866,'112年全品項生產鍋數'!A:H,2,0)</f>
        <v>蜂蜜蘋果醬(1*6KG)</v>
      </c>
      <c r="D866" s="285">
        <v>6</v>
      </c>
      <c r="E866" s="48">
        <f>VLOOKUP(B866,'112年全品項生產鍋數'!A:H,3,0)</f>
        <v>6</v>
      </c>
      <c r="F866" s="45">
        <f>VLOOKUP(B866,'112年全品項生產鍋數'!A:H,7,0)</f>
        <v>25.2</v>
      </c>
      <c r="G866" s="49">
        <f t="shared" si="95"/>
        <v>151.19999999999999</v>
      </c>
      <c r="H866" s="144">
        <v>149</v>
      </c>
      <c r="I866" s="111">
        <f t="shared" si="94"/>
        <v>894</v>
      </c>
      <c r="J866" s="100">
        <f t="shared" si="97"/>
        <v>0.98544973544973558</v>
      </c>
      <c r="K866" s="51">
        <f>VLOOKUP(B:B,'生產達成率(目標)'!A:C,3,0)</f>
        <v>1</v>
      </c>
      <c r="L866" s="20">
        <f t="shared" si="96"/>
        <v>-1.4999999999999999E-2</v>
      </c>
      <c r="M866" s="41" t="str">
        <f>工時!R50</f>
        <v>180</v>
      </c>
      <c r="N866" s="144">
        <v>1</v>
      </c>
      <c r="O866" s="144">
        <f t="shared" si="92"/>
        <v>0</v>
      </c>
      <c r="P866" s="144">
        <v>148</v>
      </c>
      <c r="Q866" s="98">
        <f t="shared" si="93"/>
        <v>0.99328859060402686</v>
      </c>
      <c r="R866" s="23"/>
      <c r="S866" s="173"/>
      <c r="T866" s="30"/>
      <c r="U866" s="23"/>
      <c r="V866" s="458"/>
      <c r="W866" s="421"/>
      <c r="X866" s="458"/>
      <c r="Y866" s="421"/>
      <c r="Z866" s="421"/>
      <c r="AA866" s="421"/>
      <c r="AB866" s="421"/>
      <c r="AC866" s="421"/>
      <c r="AD866" s="421"/>
    </row>
    <row r="867" spans="1:30" s="83" customFormat="1" x14ac:dyDescent="0.4">
      <c r="A867" s="177" t="s">
        <v>837</v>
      </c>
      <c r="B867" s="149" t="s">
        <v>539</v>
      </c>
      <c r="C867" s="30" t="str">
        <f>VLOOKUP(B867,'112年全品項生產鍋數'!A:H,2,0)</f>
        <v>文旦柚茶(1*420g)</v>
      </c>
      <c r="D867" s="285">
        <v>6</v>
      </c>
      <c r="E867" s="48">
        <f>VLOOKUP(B867,'112年全品項生產鍋數'!A:H,3,0)</f>
        <v>0.42</v>
      </c>
      <c r="F867" s="45">
        <f>VLOOKUP(B867,'112年全品項生產鍋數'!A:H,7,0)</f>
        <v>365.1</v>
      </c>
      <c r="G867" s="49">
        <f t="shared" si="95"/>
        <v>2190.6000000000004</v>
      </c>
      <c r="H867" s="144">
        <v>2228</v>
      </c>
      <c r="I867" s="111">
        <f t="shared" si="94"/>
        <v>935.76</v>
      </c>
      <c r="J867" s="100">
        <f t="shared" si="97"/>
        <v>1.0170729480507621</v>
      </c>
      <c r="K867" s="51">
        <f>VLOOKUP(B:B,'生產達成率(目標)'!A:C,3,0)</f>
        <v>1</v>
      </c>
      <c r="L867" s="20">
        <f t="shared" si="96"/>
        <v>1.7000000000000001E-2</v>
      </c>
      <c r="M867" s="41" t="str">
        <f>工時!R51</f>
        <v>230</v>
      </c>
      <c r="N867" s="144">
        <v>2</v>
      </c>
      <c r="O867" s="144">
        <f t="shared" si="92"/>
        <v>14</v>
      </c>
      <c r="P867" s="144">
        <v>2212</v>
      </c>
      <c r="Q867" s="98">
        <f t="shared" si="93"/>
        <v>0.99281867145421898</v>
      </c>
      <c r="R867" s="23"/>
      <c r="S867" s="173"/>
      <c r="T867" s="30"/>
      <c r="U867" s="23"/>
      <c r="V867" s="458"/>
      <c r="W867" s="421"/>
      <c r="X867" s="458"/>
      <c r="Y867" s="421"/>
      <c r="Z867" s="421"/>
      <c r="AA867" s="421"/>
      <c r="AB867" s="421"/>
      <c r="AC867" s="421"/>
      <c r="AD867" s="421"/>
    </row>
    <row r="868" spans="1:30" s="83" customFormat="1" x14ac:dyDescent="0.4">
      <c r="A868" s="177" t="s">
        <v>837</v>
      </c>
      <c r="B868" s="149" t="s">
        <v>540</v>
      </c>
      <c r="C868" s="30" t="str">
        <f>VLOOKUP(B868,'112年全品項生產鍋數'!A:H,2,0)</f>
        <v>奇異果茶(1*420g)</v>
      </c>
      <c r="D868" s="285">
        <v>3</v>
      </c>
      <c r="E868" s="48">
        <f>VLOOKUP(B868,'112年全品項生產鍋數'!A:H,3,0)</f>
        <v>0.42</v>
      </c>
      <c r="F868" s="45">
        <f>VLOOKUP(B868,'112年全品項生產鍋數'!A:H,7,0)</f>
        <v>370.5</v>
      </c>
      <c r="G868" s="49">
        <f t="shared" si="95"/>
        <v>1111.5</v>
      </c>
      <c r="H868" s="144">
        <v>1117</v>
      </c>
      <c r="I868" s="111">
        <f t="shared" si="94"/>
        <v>469.14</v>
      </c>
      <c r="J868" s="100">
        <f t="shared" si="97"/>
        <v>1.0049482681061628</v>
      </c>
      <c r="K868" s="51">
        <f>VLOOKUP(B:B,'生產達成率(目標)'!A:C,3,0)</f>
        <v>1</v>
      </c>
      <c r="L868" s="20">
        <f t="shared" si="96"/>
        <v>5.0000000000000001E-3</v>
      </c>
      <c r="M868" s="41" t="str">
        <f>工時!R52</f>
        <v>185</v>
      </c>
      <c r="N868" s="144">
        <v>2</v>
      </c>
      <c r="O868" s="144">
        <f t="shared" si="92"/>
        <v>6</v>
      </c>
      <c r="P868" s="144">
        <v>1109</v>
      </c>
      <c r="Q868" s="98">
        <f t="shared" si="93"/>
        <v>0.9928379588182632</v>
      </c>
      <c r="R868" s="23"/>
      <c r="S868" s="173"/>
      <c r="T868" s="30" t="s">
        <v>566</v>
      </c>
      <c r="U868" s="23"/>
      <c r="V868" s="458"/>
      <c r="W868" s="421"/>
      <c r="X868" s="458"/>
      <c r="Y868" s="421"/>
      <c r="Z868" s="421"/>
      <c r="AA868" s="421"/>
      <c r="AB868" s="421"/>
      <c r="AC868" s="421"/>
      <c r="AD868" s="421"/>
    </row>
    <row r="869" spans="1:30" s="83" customFormat="1" x14ac:dyDescent="0.4">
      <c r="A869" s="177" t="s">
        <v>837</v>
      </c>
      <c r="B869" s="149" t="s">
        <v>41</v>
      </c>
      <c r="C869" s="30" t="str">
        <f>VLOOKUP(B869,'112年全品項生產鍋數'!A:H,2,0)</f>
        <v>天天開心藍莓餡4.5KG</v>
      </c>
      <c r="D869" s="285">
        <v>20</v>
      </c>
      <c r="E869" s="48">
        <f>VLOOKUP(B869,'112年全品項生產鍋數'!A:H,3,0)</f>
        <v>4.5</v>
      </c>
      <c r="F869" s="45">
        <f>VLOOKUP(B869,'112年全品項生產鍋數'!A:H,7,0)</f>
        <v>36.799999999999997</v>
      </c>
      <c r="G869" s="49">
        <f t="shared" si="95"/>
        <v>736</v>
      </c>
      <c r="H869" s="144">
        <v>745</v>
      </c>
      <c r="I869" s="111">
        <f t="shared" si="94"/>
        <v>3352.5</v>
      </c>
      <c r="J869" s="100">
        <f t="shared" si="97"/>
        <v>1.0122282608695652</v>
      </c>
      <c r="K869" s="51">
        <f>VLOOKUP(B:B,'生產達成率(目標)'!A:C,3,0)</f>
        <v>1</v>
      </c>
      <c r="L869" s="20">
        <f t="shared" si="96"/>
        <v>1.2E-2</v>
      </c>
      <c r="M869" s="41" t="str">
        <f>工時!R53</f>
        <v>346</v>
      </c>
      <c r="N869" s="144">
        <v>0</v>
      </c>
      <c r="O869" s="144">
        <f t="shared" si="92"/>
        <v>0</v>
      </c>
      <c r="P869" s="144">
        <v>745</v>
      </c>
      <c r="Q869" s="98">
        <f t="shared" si="93"/>
        <v>1</v>
      </c>
      <c r="R869" s="23"/>
      <c r="S869" s="173"/>
      <c r="T869" s="30"/>
      <c r="U869" s="23"/>
      <c r="V869" s="458"/>
      <c r="W869" s="421"/>
      <c r="X869" s="458"/>
      <c r="Y869" s="421"/>
      <c r="Z869" s="421"/>
      <c r="AA869" s="421"/>
      <c r="AB869" s="421"/>
      <c r="AC869" s="421"/>
      <c r="AD869" s="421"/>
    </row>
    <row r="870" spans="1:30" s="22" customFormat="1" x14ac:dyDescent="0.4">
      <c r="A870" s="177" t="s">
        <v>837</v>
      </c>
      <c r="B870" s="149" t="s">
        <v>81</v>
      </c>
      <c r="C870" s="30" t="str">
        <f>VLOOKUP(B870,'112年全品項生產鍋數'!A:H,2,0)</f>
        <v>藍莓餡(1*6Kg)</v>
      </c>
      <c r="D870" s="285">
        <v>16</v>
      </c>
      <c r="E870" s="48">
        <f>VLOOKUP(B870,'112年全品項生產鍋數'!A:H,3,0)</f>
        <v>6</v>
      </c>
      <c r="F870" s="45">
        <f>VLOOKUP(B870,'112年全品項生產鍋數'!A:H,7,0)</f>
        <v>25.1</v>
      </c>
      <c r="G870" s="49">
        <f t="shared" si="95"/>
        <v>401.6</v>
      </c>
      <c r="H870" s="144">
        <v>399</v>
      </c>
      <c r="I870" s="111">
        <f t="shared" si="94"/>
        <v>2394</v>
      </c>
      <c r="J870" s="100">
        <f t="shared" si="97"/>
        <v>0.99352589641434252</v>
      </c>
      <c r="K870" s="51">
        <f>VLOOKUP(B:B,'生產達成率(目標)'!A:C,3,0)</f>
        <v>1</v>
      </c>
      <c r="L870" s="20">
        <f t="shared" si="96"/>
        <v>-6.0000000000000001E-3</v>
      </c>
      <c r="M870" s="41" t="str">
        <f>工時!R54</f>
        <v>280</v>
      </c>
      <c r="N870" s="144">
        <v>1</v>
      </c>
      <c r="O870" s="144">
        <f t="shared" si="92"/>
        <v>0</v>
      </c>
      <c r="P870" s="144">
        <v>398</v>
      </c>
      <c r="Q870" s="98">
        <f t="shared" si="93"/>
        <v>0.99749373433583954</v>
      </c>
      <c r="R870" s="23"/>
      <c r="S870" s="173"/>
      <c r="T870" s="30"/>
      <c r="U870" s="23"/>
      <c r="V870" s="458"/>
      <c r="W870" s="421"/>
      <c r="X870" s="458"/>
      <c r="Y870" s="421"/>
      <c r="Z870" s="421"/>
      <c r="AA870" s="421"/>
      <c r="AB870" s="421"/>
      <c r="AC870" s="421"/>
      <c r="AD870" s="421"/>
    </row>
    <row r="871" spans="1:30" s="22" customFormat="1" x14ac:dyDescent="0.4">
      <c r="A871" s="177" t="s">
        <v>837</v>
      </c>
      <c r="B871" s="149" t="s">
        <v>77</v>
      </c>
      <c r="C871" s="30" t="str">
        <f>VLOOKUP(B871,'112年全品項生產鍋數'!A:H,2,0)</f>
        <v>草莓餡50°(1*6Kg)</v>
      </c>
      <c r="D871" s="285">
        <v>8</v>
      </c>
      <c r="E871" s="48">
        <f>VLOOKUP(B871,'112年全品項生產鍋數'!A:H,3,0)</f>
        <v>6</v>
      </c>
      <c r="F871" s="45">
        <f>VLOOKUP(B871,'112年全品項生產鍋數'!A:H,7,0)</f>
        <v>25</v>
      </c>
      <c r="G871" s="49">
        <f t="shared" si="95"/>
        <v>200</v>
      </c>
      <c r="H871" s="144">
        <v>199</v>
      </c>
      <c r="I871" s="111">
        <f t="shared" si="94"/>
        <v>1194</v>
      </c>
      <c r="J871" s="100">
        <f t="shared" si="97"/>
        <v>0.995</v>
      </c>
      <c r="K871" s="51">
        <f>VLOOKUP(B:B,'生產達成率(目標)'!A:C,3,0)</f>
        <v>1</v>
      </c>
      <c r="L871" s="20">
        <f t="shared" si="96"/>
        <v>-5.0000000000000001E-3</v>
      </c>
      <c r="M871" s="41" t="str">
        <f>工時!R55</f>
        <v>170</v>
      </c>
      <c r="N871" s="144">
        <v>1</v>
      </c>
      <c r="O871" s="144">
        <f t="shared" si="92"/>
        <v>0</v>
      </c>
      <c r="P871" s="144">
        <v>198</v>
      </c>
      <c r="Q871" s="98">
        <f t="shared" si="93"/>
        <v>0.99497487437185927</v>
      </c>
      <c r="R871" s="23"/>
      <c r="S871" s="173"/>
      <c r="T871" s="30"/>
      <c r="U871" s="23"/>
      <c r="V871" s="458"/>
      <c r="W871" s="421"/>
      <c r="X871" s="458"/>
      <c r="Y871" s="421"/>
      <c r="Z871" s="421"/>
      <c r="AA871" s="421"/>
      <c r="AB871" s="421"/>
      <c r="AC871" s="421"/>
      <c r="AD871" s="421"/>
    </row>
    <row r="872" spans="1:30" s="22" customFormat="1" x14ac:dyDescent="0.4">
      <c r="A872" s="177" t="s">
        <v>837</v>
      </c>
      <c r="B872" s="149" t="s">
        <v>123</v>
      </c>
      <c r="C872" s="30" t="str">
        <f>VLOOKUP(B872,'112年全品項生產鍋數'!A:H,2,0)</f>
        <v>深烤焙花生醬(1*18KG)</v>
      </c>
      <c r="D872" s="285">
        <v>60</v>
      </c>
      <c r="E872" s="48">
        <f>VLOOKUP(B872,'112年全品項生產鍋數'!A:H,3,0)</f>
        <v>18</v>
      </c>
      <c r="F872" s="45">
        <f>VLOOKUP(B872,'112年全品項生產鍋數'!A:H,7,0)</f>
        <v>6.9</v>
      </c>
      <c r="G872" s="49">
        <f t="shared" si="95"/>
        <v>414</v>
      </c>
      <c r="H872" s="144">
        <v>422</v>
      </c>
      <c r="I872" s="111">
        <f t="shared" si="94"/>
        <v>7596</v>
      </c>
      <c r="J872" s="100">
        <f t="shared" si="97"/>
        <v>1.0193236714975846</v>
      </c>
      <c r="K872" s="51">
        <f>VLOOKUP(B:B,'生產達成率(目標)'!A:C,3,0)</f>
        <v>1</v>
      </c>
      <c r="L872" s="20">
        <f t="shared" si="96"/>
        <v>1.9E-2</v>
      </c>
      <c r="M872" s="41" t="str">
        <f>工時!R56</f>
        <v>580</v>
      </c>
      <c r="N872" s="144">
        <v>0</v>
      </c>
      <c r="O872" s="144">
        <f t="shared" si="92"/>
        <v>0</v>
      </c>
      <c r="P872" s="144">
        <v>422</v>
      </c>
      <c r="Q872" s="98">
        <f>P872/H872</f>
        <v>1</v>
      </c>
      <c r="R872" s="23"/>
      <c r="S872" s="173"/>
      <c r="T872" s="30"/>
      <c r="U872" s="23"/>
      <c r="V872" s="458"/>
      <c r="W872" s="421"/>
      <c r="X872" s="458"/>
      <c r="Y872" s="421"/>
      <c r="Z872" s="421"/>
      <c r="AA872" s="421"/>
      <c r="AB872" s="421"/>
      <c r="AC872" s="421"/>
      <c r="AD872" s="421"/>
    </row>
    <row r="873" spans="1:30" x14ac:dyDescent="0.4">
      <c r="A873" s="177" t="s">
        <v>838</v>
      </c>
      <c r="B873" s="149" t="s">
        <v>71</v>
      </c>
      <c r="C873" s="30" t="str">
        <f>VLOOKUP(B873,'112年全品項生產鍋數'!A:H,2,0)</f>
        <v>＃1草莓(1*3.2kg)</v>
      </c>
      <c r="D873" s="285">
        <v>72</v>
      </c>
      <c r="E873" s="48">
        <f>VLOOKUP(B873,'112年全品項生產鍋數'!A:H,3,0)</f>
        <v>3.2</v>
      </c>
      <c r="F873" s="45">
        <f>VLOOKUP(B873,'112年全品項生產鍋數'!A:H,7,0)</f>
        <v>46.8</v>
      </c>
      <c r="G873" s="49">
        <f t="shared" si="95"/>
        <v>3369.6</v>
      </c>
      <c r="H873" s="144">
        <v>3413</v>
      </c>
      <c r="I873" s="111">
        <f t="shared" si="94"/>
        <v>10921.6</v>
      </c>
      <c r="J873" s="100">
        <f t="shared" si="97"/>
        <v>1.0128798670465338</v>
      </c>
      <c r="K873" s="51">
        <f>VLOOKUP(B:B,'生產達成率(目標)'!A:C,3,0)</f>
        <v>1</v>
      </c>
      <c r="L873" s="20">
        <f t="shared" si="96"/>
        <v>1.2999999999999999E-2</v>
      </c>
      <c r="M873" s="41" t="str">
        <f>工時!R57</f>
        <v>550</v>
      </c>
      <c r="N873" s="144">
        <v>7</v>
      </c>
      <c r="O873" s="144">
        <f t="shared" si="92"/>
        <v>0</v>
      </c>
      <c r="P873" s="144">
        <v>3406</v>
      </c>
      <c r="Q873" s="98">
        <f t="shared" si="93"/>
        <v>0.99794901845883388</v>
      </c>
      <c r="R873" s="23"/>
      <c r="S873" s="173"/>
      <c r="T873" s="30"/>
      <c r="U873" s="23"/>
      <c r="V873" s="458"/>
      <c r="X873" s="458"/>
    </row>
    <row r="874" spans="1:30" x14ac:dyDescent="0.4">
      <c r="A874" s="177" t="s">
        <v>838</v>
      </c>
      <c r="B874" s="149" t="s">
        <v>547</v>
      </c>
      <c r="C874" s="30" t="str">
        <f>VLOOKUP(B874,'112年全品項生產鍋數'!A:H,2,0)</f>
        <v>草莓果醬(桶)(1*9.5KG)</v>
      </c>
      <c r="D874" s="285">
        <v>20</v>
      </c>
      <c r="E874" s="48">
        <f>VLOOKUP(B874,'112年全品項生產鍋數'!A:H,3,0)</f>
        <v>9.5</v>
      </c>
      <c r="F874" s="45">
        <f>VLOOKUP(B874,'112年全品項生產鍋數'!A:H,7,0)</f>
        <v>16.600000000000001</v>
      </c>
      <c r="G874" s="49">
        <f t="shared" si="95"/>
        <v>332</v>
      </c>
      <c r="H874" s="144">
        <v>337</v>
      </c>
      <c r="I874" s="111">
        <f t="shared" si="94"/>
        <v>3201.5</v>
      </c>
      <c r="J874" s="100">
        <f t="shared" si="97"/>
        <v>1.0150602409638554</v>
      </c>
      <c r="K874" s="51">
        <f>VLOOKUP(B:B,'生產達成率(目標)'!A:C,3,0)</f>
        <v>1</v>
      </c>
      <c r="L874" s="20">
        <f t="shared" si="96"/>
        <v>1.4999999999999999E-2</v>
      </c>
      <c r="M874" s="41" t="str">
        <f>工時!R58</f>
        <v>330</v>
      </c>
      <c r="N874" s="144">
        <v>0</v>
      </c>
      <c r="O874" s="144">
        <f t="shared" si="92"/>
        <v>0</v>
      </c>
      <c r="P874" s="144">
        <v>337</v>
      </c>
      <c r="Q874" s="98">
        <f t="shared" si="93"/>
        <v>1</v>
      </c>
      <c r="R874" s="23"/>
      <c r="S874" s="173"/>
      <c r="T874" s="30"/>
      <c r="U874" s="23"/>
      <c r="V874" s="458"/>
      <c r="X874" s="458"/>
    </row>
    <row r="875" spans="1:30" x14ac:dyDescent="0.4">
      <c r="A875" s="177" t="s">
        <v>838</v>
      </c>
      <c r="B875" s="149" t="s">
        <v>63</v>
      </c>
      <c r="C875" s="30" t="str">
        <f>VLOOKUP(B875,'112年全品項生產鍋數'!A:H,2,0)</f>
        <v>草莓蒟蒻餡(1*6kg)</v>
      </c>
      <c r="D875" s="285">
        <v>24</v>
      </c>
      <c r="E875" s="48">
        <f>VLOOKUP(B875,'112年全品項生產鍋數'!A:H,3,0)</f>
        <v>6</v>
      </c>
      <c r="F875" s="45">
        <f>VLOOKUP(B875,'112年全品項生產鍋數'!A:H,7,0)</f>
        <v>25.7</v>
      </c>
      <c r="G875" s="49">
        <f t="shared" si="95"/>
        <v>616.79999999999995</v>
      </c>
      <c r="H875" s="144">
        <f>302+316</f>
        <v>618</v>
      </c>
      <c r="I875" s="111">
        <f t="shared" si="94"/>
        <v>3708</v>
      </c>
      <c r="J875" s="100">
        <f t="shared" si="97"/>
        <v>1.0019455252918288</v>
      </c>
      <c r="K875" s="51">
        <f>VLOOKUP(B:B,'生產達成率(目標)'!A:C,3,0)</f>
        <v>1</v>
      </c>
      <c r="L875" s="20">
        <f t="shared" si="96"/>
        <v>2E-3</v>
      </c>
      <c r="M875" s="41" t="str">
        <f>工時!R59</f>
        <v>300</v>
      </c>
      <c r="N875" s="144">
        <v>1</v>
      </c>
      <c r="O875" s="144">
        <f t="shared" si="92"/>
        <v>1</v>
      </c>
      <c r="P875" s="144">
        <f>300+316</f>
        <v>616</v>
      </c>
      <c r="Q875" s="98">
        <f t="shared" si="93"/>
        <v>0.99676375404530748</v>
      </c>
      <c r="R875" s="23"/>
      <c r="S875" s="173"/>
      <c r="T875" s="30" t="s">
        <v>567</v>
      </c>
      <c r="U875" s="23"/>
      <c r="V875" s="458"/>
      <c r="X875" s="458"/>
    </row>
    <row r="876" spans="1:30" x14ac:dyDescent="0.4">
      <c r="A876" s="177" t="s">
        <v>838</v>
      </c>
      <c r="B876" s="149" t="s">
        <v>82</v>
      </c>
      <c r="C876" s="30" t="str">
        <f>VLOOKUP(B876,'112年全品項生產鍋數'!A:H,2,0)</f>
        <v>顆粒花生醬(全)</v>
      </c>
      <c r="D876" s="285">
        <v>36</v>
      </c>
      <c r="E876" s="48">
        <f>VLOOKUP(B876,'112年全品項生產鍋數'!A:H,3,0)</f>
        <v>0.34</v>
      </c>
      <c r="F876" s="45">
        <f>VLOOKUP(B876,'112年全品項生產鍋數'!A:H,7,0)</f>
        <v>364.6</v>
      </c>
      <c r="G876" s="49">
        <f t="shared" si="95"/>
        <v>13125.6</v>
      </c>
      <c r="H876" s="144">
        <v>12921</v>
      </c>
      <c r="I876" s="111">
        <f t="shared" si="94"/>
        <v>4393.1400000000003</v>
      </c>
      <c r="J876" s="100">
        <f t="shared" si="97"/>
        <v>0.98441214115926123</v>
      </c>
      <c r="K876" s="51">
        <f>VLOOKUP(B:B,'生產達成率(目標)'!A:C,3,0)</f>
        <v>1</v>
      </c>
      <c r="L876" s="20">
        <f t="shared" si="96"/>
        <v>-1.6E-2</v>
      </c>
      <c r="M876" s="41" t="str">
        <f>工時!R60</f>
        <v>550</v>
      </c>
      <c r="N876" s="144">
        <v>1</v>
      </c>
      <c r="O876" s="144">
        <f t="shared" si="92"/>
        <v>2</v>
      </c>
      <c r="P876" s="144">
        <v>12918</v>
      </c>
      <c r="Q876" s="98">
        <f t="shared" si="93"/>
        <v>0.99976781982818663</v>
      </c>
      <c r="R876" s="23"/>
      <c r="S876" s="173"/>
      <c r="T876" s="30"/>
      <c r="U876" s="23"/>
      <c r="V876" s="458"/>
      <c r="X876" s="458"/>
    </row>
    <row r="877" spans="1:30" x14ac:dyDescent="0.4">
      <c r="A877" s="177" t="s">
        <v>839</v>
      </c>
      <c r="B877" s="149" t="s">
        <v>61</v>
      </c>
      <c r="C877" s="30" t="str">
        <f>VLOOKUP(B877,'112年全品項生產鍋數'!A:H,2,0)</f>
        <v>大圓草莓-新</v>
      </c>
      <c r="D877" s="285">
        <v>28</v>
      </c>
      <c r="E877" s="48">
        <f>VLOOKUP(B877,'112年全品項生產鍋數'!A:H,3,0)</f>
        <v>0.44</v>
      </c>
      <c r="F877" s="45">
        <f>VLOOKUP(B877,'112年全品項生產鍋數'!A:H,7,0)</f>
        <v>344</v>
      </c>
      <c r="G877" s="49">
        <f t="shared" si="95"/>
        <v>9632</v>
      </c>
      <c r="H877" s="144">
        <v>9650</v>
      </c>
      <c r="I877" s="111">
        <f t="shared" si="94"/>
        <v>4246</v>
      </c>
      <c r="J877" s="100">
        <f t="shared" si="97"/>
        <v>1.0018687707641196</v>
      </c>
      <c r="K877" s="51">
        <f>VLOOKUP(B:B,'生產達成率(目標)'!A:C,3,0)</f>
        <v>1</v>
      </c>
      <c r="L877" s="20">
        <f t="shared" si="96"/>
        <v>2E-3</v>
      </c>
      <c r="M877" s="41" t="str">
        <f>工時!R61</f>
        <v>380</v>
      </c>
      <c r="N877" s="144">
        <v>1</v>
      </c>
      <c r="O877" s="144">
        <f t="shared" si="92"/>
        <v>22</v>
      </c>
      <c r="P877" s="144">
        <v>9627</v>
      </c>
      <c r="Q877" s="98">
        <f t="shared" si="93"/>
        <v>0.99761658031088085</v>
      </c>
      <c r="R877" s="23"/>
      <c r="S877" s="173"/>
      <c r="T877" s="30" t="s">
        <v>568</v>
      </c>
      <c r="U877" s="23"/>
      <c r="V877" s="458"/>
      <c r="X877" s="458"/>
    </row>
    <row r="878" spans="1:30" x14ac:dyDescent="0.4">
      <c r="A878" s="177" t="s">
        <v>839</v>
      </c>
      <c r="B878" s="149" t="s">
        <v>158</v>
      </c>
      <c r="C878" s="30" t="str">
        <f>VLOOKUP(B878,'112年全品項生產鍋數'!A:H,2,0)</f>
        <v>小圓草莓(1*170g)</v>
      </c>
      <c r="D878" s="285">
        <v>8</v>
      </c>
      <c r="E878" s="48">
        <f>VLOOKUP(B878,'112年全品項生產鍋數'!A:H,3,0)</f>
        <v>0.17</v>
      </c>
      <c r="F878" s="45">
        <f>VLOOKUP(B878,'112年全品項生產鍋數'!A:H,7,0)</f>
        <v>912.6</v>
      </c>
      <c r="G878" s="49">
        <f t="shared" si="95"/>
        <v>7300.8</v>
      </c>
      <c r="H878" s="144">
        <v>7439</v>
      </c>
      <c r="I878" s="111">
        <f t="shared" si="94"/>
        <v>1264.6300000000001</v>
      </c>
      <c r="J878" s="100">
        <f t="shared" si="97"/>
        <v>1.0189294323909708</v>
      </c>
      <c r="K878" s="51">
        <f>VLOOKUP(B:B,'生產達成率(目標)'!A:C,3,0)</f>
        <v>1</v>
      </c>
      <c r="L878" s="20">
        <f t="shared" si="96"/>
        <v>1.9E-2</v>
      </c>
      <c r="M878" s="41" t="str">
        <f>工時!R62</f>
        <v>240</v>
      </c>
      <c r="N878" s="144">
        <v>1</v>
      </c>
      <c r="O878" s="144">
        <f t="shared" si="92"/>
        <v>4</v>
      </c>
      <c r="P878" s="144">
        <v>7434</v>
      </c>
      <c r="Q878" s="98">
        <f t="shared" si="93"/>
        <v>0.99932786664874307</v>
      </c>
      <c r="R878" s="23"/>
      <c r="S878" s="173"/>
      <c r="T878" s="30" t="s">
        <v>569</v>
      </c>
      <c r="U878" s="23"/>
      <c r="V878" s="458"/>
      <c r="X878" s="458"/>
    </row>
    <row r="879" spans="1:30" x14ac:dyDescent="0.4">
      <c r="A879" s="177" t="s">
        <v>839</v>
      </c>
      <c r="B879" s="149" t="s">
        <v>140</v>
      </c>
      <c r="C879" s="30" t="str">
        <f>VLOOKUP(B879,'112年全品項生產鍋數'!A:H,2,0)</f>
        <v>草莓餡(1*6Kg)</v>
      </c>
      <c r="D879" s="285">
        <v>20</v>
      </c>
      <c r="E879" s="48">
        <f>VLOOKUP(B879,'112年全品項生產鍋數'!A:H,3,0)</f>
        <v>6</v>
      </c>
      <c r="F879" s="45">
        <f>VLOOKUP(B879,'112年全品項生產鍋數'!A:H,7,0)</f>
        <v>25.5</v>
      </c>
      <c r="G879" s="49">
        <f t="shared" si="95"/>
        <v>510</v>
      </c>
      <c r="H879" s="144">
        <v>507</v>
      </c>
      <c r="I879" s="111">
        <f t="shared" si="94"/>
        <v>3042</v>
      </c>
      <c r="J879" s="100">
        <f t="shared" si="97"/>
        <v>0.99411764705882355</v>
      </c>
      <c r="K879" s="51">
        <f>VLOOKUP(B:B,'生產達成率(目標)'!A:C,3,0)</f>
        <v>1</v>
      </c>
      <c r="L879" s="20">
        <f t="shared" si="96"/>
        <v>-6.0000000000000001E-3</v>
      </c>
      <c r="M879" s="41" t="str">
        <f>工時!R63</f>
        <v>265</v>
      </c>
      <c r="N879" s="144">
        <v>1</v>
      </c>
      <c r="O879" s="144">
        <f t="shared" si="92"/>
        <v>0</v>
      </c>
      <c r="P879" s="144">
        <v>506</v>
      </c>
      <c r="Q879" s="98">
        <f t="shared" si="93"/>
        <v>0.99802761341222879</v>
      </c>
      <c r="R879" s="23"/>
      <c r="S879" s="173"/>
      <c r="T879" s="30"/>
      <c r="U879" s="23"/>
      <c r="V879" s="458"/>
      <c r="X879" s="458"/>
    </row>
    <row r="880" spans="1:30" x14ac:dyDescent="0.4">
      <c r="A880" s="177" t="s">
        <v>839</v>
      </c>
      <c r="B880" s="149" t="s">
        <v>63</v>
      </c>
      <c r="C880" s="30" t="str">
        <f>VLOOKUP(B880,'112年全品項生產鍋數'!A:H,2,0)</f>
        <v>草莓蒟蒻餡(1*6kg)</v>
      </c>
      <c r="D880" s="285">
        <v>24</v>
      </c>
      <c r="E880" s="48">
        <f>VLOOKUP(B880,'112年全品項生產鍋數'!A:H,3,0)</f>
        <v>6</v>
      </c>
      <c r="F880" s="45">
        <f>VLOOKUP(B880,'112年全品項生產鍋數'!A:H,7,0)</f>
        <v>25.7</v>
      </c>
      <c r="G880" s="49">
        <f t="shared" si="95"/>
        <v>616.79999999999995</v>
      </c>
      <c r="H880" s="144">
        <f>306+318</f>
        <v>624</v>
      </c>
      <c r="I880" s="111">
        <f t="shared" si="94"/>
        <v>3744</v>
      </c>
      <c r="J880" s="100">
        <f t="shared" si="97"/>
        <v>1.0116731517509729</v>
      </c>
      <c r="K880" s="51">
        <f>VLOOKUP(B:B,'生產達成率(目標)'!A:C,3,0)</f>
        <v>1</v>
      </c>
      <c r="L880" s="20">
        <f t="shared" si="96"/>
        <v>1.2E-2</v>
      </c>
      <c r="M880" s="41" t="str">
        <f>工時!R64</f>
        <v>355</v>
      </c>
      <c r="N880" s="144">
        <v>1</v>
      </c>
      <c r="O880" s="144">
        <f t="shared" si="92"/>
        <v>0</v>
      </c>
      <c r="P880" s="144">
        <f>305+318</f>
        <v>623</v>
      </c>
      <c r="Q880" s="98">
        <f t="shared" si="93"/>
        <v>0.9983974358974359</v>
      </c>
      <c r="R880" s="23"/>
      <c r="S880" s="173"/>
      <c r="T880" s="30"/>
      <c r="U880" s="23"/>
      <c r="V880" s="458"/>
      <c r="X880" s="458"/>
    </row>
    <row r="881" spans="1:24" x14ac:dyDescent="0.4">
      <c r="A881" s="177" t="s">
        <v>839</v>
      </c>
      <c r="B881" s="149" t="s">
        <v>65</v>
      </c>
      <c r="C881" s="30" t="str">
        <f>VLOOKUP(B881,'112年全品項生產鍋數'!A:H,2,0)</f>
        <v>＃1花生(1*2.8kg)</v>
      </c>
      <c r="D881" s="285">
        <v>72</v>
      </c>
      <c r="E881" s="48">
        <f>VLOOKUP(B881,'112年全品項生產鍋數'!A:H,3,0)</f>
        <v>2.8</v>
      </c>
      <c r="F881" s="45">
        <f>VLOOKUP(B881,'112年全品項生產鍋數'!A:H,7,0)</f>
        <v>44.5</v>
      </c>
      <c r="G881" s="49">
        <f t="shared" si="95"/>
        <v>3204</v>
      </c>
      <c r="H881" s="144">
        <v>3221</v>
      </c>
      <c r="I881" s="111">
        <f t="shared" si="94"/>
        <v>9018.7999999999993</v>
      </c>
      <c r="J881" s="100">
        <f t="shared" si="97"/>
        <v>1.0053058676654183</v>
      </c>
      <c r="K881" s="51">
        <f>VLOOKUP(B:B,'生產達成率(目標)'!A:C,3,0)</f>
        <v>1</v>
      </c>
      <c r="L881" s="20">
        <f t="shared" si="96"/>
        <v>5.0000000000000001E-3</v>
      </c>
      <c r="M881" s="41" t="str">
        <f>工時!R65</f>
        <v>660</v>
      </c>
      <c r="N881" s="144">
        <v>1</v>
      </c>
      <c r="O881" s="144">
        <f t="shared" si="92"/>
        <v>0</v>
      </c>
      <c r="P881" s="144">
        <v>3220</v>
      </c>
      <c r="Q881" s="98">
        <f t="shared" si="93"/>
        <v>0.99968953741074196</v>
      </c>
      <c r="R881" s="23"/>
      <c r="S881" s="173"/>
      <c r="T881" s="30"/>
      <c r="U881" s="23"/>
      <c r="V881" s="458"/>
      <c r="X881" s="458"/>
    </row>
    <row r="882" spans="1:24" x14ac:dyDescent="0.4">
      <c r="A882" s="177" t="s">
        <v>839</v>
      </c>
      <c r="B882" s="149">
        <v>151010</v>
      </c>
      <c r="C882" s="30" t="str">
        <f>VLOOKUP(B882,'112年全品項生產鍋數'!A:H,2,0)</f>
        <v>蜜紅果6m/m</v>
      </c>
      <c r="D882" s="285">
        <v>1</v>
      </c>
      <c r="E882" s="48">
        <f>VLOOKUP(B882,'112年全品項生產鍋數'!A:H,3,0)</f>
        <v>1</v>
      </c>
      <c r="F882" s="45">
        <f>VLOOKUP(B882,'112年全品項生產鍋數'!A:H,7,0)</f>
        <v>142</v>
      </c>
      <c r="G882" s="49">
        <f t="shared" si="95"/>
        <v>142</v>
      </c>
      <c r="H882" s="144">
        <v>149</v>
      </c>
      <c r="I882" s="111">
        <f t="shared" si="94"/>
        <v>149</v>
      </c>
      <c r="J882" s="100">
        <f t="shared" si="97"/>
        <v>1.0492957746478873</v>
      </c>
      <c r="K882" s="51">
        <f>VLOOKUP(B:B,'生產達成率(目標)'!A:C,3,0)</f>
        <v>1</v>
      </c>
      <c r="L882" s="20">
        <f t="shared" si="96"/>
        <v>4.9000000000000002E-2</v>
      </c>
      <c r="M882" s="41" t="str">
        <f>工時!R66</f>
        <v>0</v>
      </c>
      <c r="N882" s="144">
        <v>0</v>
      </c>
      <c r="O882" s="144">
        <f t="shared" si="92"/>
        <v>0</v>
      </c>
      <c r="P882" s="144">
        <v>149</v>
      </c>
      <c r="Q882" s="98">
        <f t="shared" si="93"/>
        <v>1</v>
      </c>
      <c r="R882" s="23"/>
      <c r="S882" s="173"/>
      <c r="T882" s="30"/>
      <c r="U882" s="23"/>
      <c r="V882" s="458"/>
      <c r="X882" s="458"/>
    </row>
    <row r="883" spans="1:24" ht="15.75" customHeight="1" x14ac:dyDescent="0.4">
      <c r="A883" s="177" t="s">
        <v>840</v>
      </c>
      <c r="B883" s="149" t="s">
        <v>86</v>
      </c>
      <c r="C883" s="30" t="str">
        <f>VLOOKUP(B883,'112年全品項生產鍋數'!A:H,2,0)</f>
        <v>＃2藍莓(1*900g)</v>
      </c>
      <c r="D883" s="285">
        <v>20</v>
      </c>
      <c r="E883" s="48">
        <f>VLOOKUP(B883,'112年全品項生產鍋數'!A:H,3,0)</f>
        <v>0.9</v>
      </c>
      <c r="F883" s="45">
        <f>VLOOKUP(B883,'112年全品項生產鍋數'!A:H,7,0)</f>
        <v>163</v>
      </c>
      <c r="G883" s="49">
        <f t="shared" si="95"/>
        <v>3260</v>
      </c>
      <c r="H883" s="144">
        <v>3330</v>
      </c>
      <c r="I883" s="111">
        <f t="shared" si="94"/>
        <v>2997</v>
      </c>
      <c r="J883" s="100">
        <f t="shared" si="97"/>
        <v>1.0214723926380369</v>
      </c>
      <c r="K883" s="51">
        <f>VLOOKUP(B:B,'生產達成率(目標)'!A:C,3,0)</f>
        <v>1</v>
      </c>
      <c r="L883" s="20">
        <f t="shared" si="96"/>
        <v>2.1000000000000001E-2</v>
      </c>
      <c r="M883" s="41" t="str">
        <f>工時!R67</f>
        <v>270</v>
      </c>
      <c r="N883" s="144">
        <v>2</v>
      </c>
      <c r="O883" s="144">
        <f t="shared" ref="O883:O894" si="98">H883-N883-P883</f>
        <v>0</v>
      </c>
      <c r="P883" s="144">
        <v>3328</v>
      </c>
      <c r="Q883" s="98">
        <f t="shared" ref="Q883:Q944" si="99">P883/H883</f>
        <v>0.99939939939939937</v>
      </c>
      <c r="R883" s="23"/>
      <c r="S883" s="173"/>
      <c r="T883" s="30"/>
      <c r="U883" s="23"/>
      <c r="V883" s="458"/>
      <c r="X883" s="458"/>
    </row>
    <row r="884" spans="1:24" x14ac:dyDescent="0.4">
      <c r="A884" s="177" t="s">
        <v>840</v>
      </c>
      <c r="B884" s="149" t="s">
        <v>71</v>
      </c>
      <c r="C884" s="30" t="str">
        <f>VLOOKUP(B884,'112年全品項生產鍋數'!A:H,2,0)</f>
        <v>＃1草莓(1*3.2kg)</v>
      </c>
      <c r="D884" s="285">
        <v>36</v>
      </c>
      <c r="E884" s="48">
        <f>VLOOKUP(B884,'112年全品項生產鍋數'!A:H,3,0)</f>
        <v>3.2</v>
      </c>
      <c r="F884" s="45">
        <f>VLOOKUP(B884,'112年全品項生產鍋數'!A:H,7,0)</f>
        <v>46.8</v>
      </c>
      <c r="G884" s="49">
        <f t="shared" si="95"/>
        <v>1684.8</v>
      </c>
      <c r="H884" s="144">
        <v>1684</v>
      </c>
      <c r="I884" s="111">
        <f t="shared" si="94"/>
        <v>5388.8</v>
      </c>
      <c r="J884" s="100">
        <f t="shared" si="97"/>
        <v>0.99952516619183285</v>
      </c>
      <c r="K884" s="51">
        <f>VLOOKUP(B:B,'生產達成率(目標)'!A:C,3,0)</f>
        <v>1</v>
      </c>
      <c r="L884" s="20">
        <f t="shared" si="96"/>
        <v>0</v>
      </c>
      <c r="M884" s="41" t="str">
        <f>工時!R68</f>
        <v>300</v>
      </c>
      <c r="N884" s="144">
        <v>1</v>
      </c>
      <c r="O884" s="144">
        <f t="shared" si="98"/>
        <v>0</v>
      </c>
      <c r="P884" s="144">
        <v>1683</v>
      </c>
      <c r="Q884" s="98">
        <f t="shared" si="99"/>
        <v>0.99940617577197155</v>
      </c>
      <c r="R884" s="23"/>
      <c r="S884" s="173"/>
      <c r="T884" s="30"/>
      <c r="U884" s="23"/>
      <c r="V884" s="458"/>
      <c r="X884" s="458"/>
    </row>
    <row r="885" spans="1:24" x14ac:dyDescent="0.4">
      <c r="A885" s="177" t="s">
        <v>840</v>
      </c>
      <c r="B885" s="149" t="s">
        <v>461</v>
      </c>
      <c r="C885" s="30" t="str">
        <f>VLOOKUP(B885,'112年全品項生產鍋數'!A:H,2,0)</f>
        <v>綜合莓果餡(1*6Kg)</v>
      </c>
      <c r="D885" s="285">
        <v>17</v>
      </c>
      <c r="E885" s="48">
        <f>VLOOKUP(B885,'112年全品項生產鍋數'!A:H,3,0)</f>
        <v>6</v>
      </c>
      <c r="F885" s="45">
        <f>VLOOKUP(B885,'112年全品項生產鍋數'!A:H,7,0)</f>
        <v>25.1</v>
      </c>
      <c r="G885" s="49">
        <f t="shared" si="95"/>
        <v>426.70000000000005</v>
      </c>
      <c r="H885" s="144">
        <v>443</v>
      </c>
      <c r="I885" s="111">
        <f t="shared" si="94"/>
        <v>2658</v>
      </c>
      <c r="J885" s="100">
        <f t="shared" si="97"/>
        <v>1.0382001406140144</v>
      </c>
      <c r="K885" s="51">
        <f>VLOOKUP(B:B,'生產達成率(目標)'!A:C,3,0)</f>
        <v>1</v>
      </c>
      <c r="L885" s="20">
        <f t="shared" si="96"/>
        <v>3.7999999999999999E-2</v>
      </c>
      <c r="M885" s="41" t="str">
        <f>工時!R69</f>
        <v>265</v>
      </c>
      <c r="N885" s="144">
        <v>1</v>
      </c>
      <c r="O885" s="144">
        <f t="shared" si="98"/>
        <v>1</v>
      </c>
      <c r="P885" s="144">
        <v>441</v>
      </c>
      <c r="Q885" s="98">
        <f t="shared" si="99"/>
        <v>0.99548532731376971</v>
      </c>
      <c r="R885" s="23"/>
      <c r="S885" s="173"/>
      <c r="T885" s="30" t="s">
        <v>570</v>
      </c>
      <c r="U885" s="23"/>
      <c r="V885" s="458"/>
      <c r="X885" s="458"/>
    </row>
    <row r="886" spans="1:24" x14ac:dyDescent="0.4">
      <c r="A886" s="177" t="s">
        <v>840</v>
      </c>
      <c r="B886" s="149" t="s">
        <v>64</v>
      </c>
      <c r="C886" s="30" t="str">
        <f>VLOOKUP(B886,'112年全品項生產鍋數'!A:H,2,0)</f>
        <v>藍莓餡(1*6KG)</v>
      </c>
      <c r="D886" s="285">
        <v>28</v>
      </c>
      <c r="E886" s="48">
        <f>VLOOKUP(B886,'112年全品項生產鍋數'!A:H,3,0)</f>
        <v>6</v>
      </c>
      <c r="F886" s="45">
        <f>VLOOKUP(B886,'112年全品項生產鍋數'!A:H,7,0)</f>
        <v>25.4</v>
      </c>
      <c r="G886" s="49">
        <f t="shared" si="95"/>
        <v>711.19999999999993</v>
      </c>
      <c r="H886" s="144">
        <f>408+315</f>
        <v>723</v>
      </c>
      <c r="I886" s="111">
        <f t="shared" si="94"/>
        <v>4338</v>
      </c>
      <c r="J886" s="100">
        <f t="shared" si="97"/>
        <v>1.0165916760404949</v>
      </c>
      <c r="K886" s="51">
        <f>VLOOKUP(B:B,'生產達成率(目標)'!A:C,3,0)</f>
        <v>1</v>
      </c>
      <c r="L886" s="20">
        <f t="shared" si="96"/>
        <v>1.7000000000000001E-2</v>
      </c>
      <c r="M886" s="41" t="str">
        <f>工時!R70</f>
        <v>410</v>
      </c>
      <c r="N886" s="144">
        <v>1</v>
      </c>
      <c r="O886" s="144">
        <f t="shared" si="98"/>
        <v>0</v>
      </c>
      <c r="P886" s="144">
        <f>407+315</f>
        <v>722</v>
      </c>
      <c r="Q886" s="98">
        <f t="shared" si="99"/>
        <v>0.99861687413554634</v>
      </c>
      <c r="R886" s="23"/>
      <c r="S886" s="173"/>
      <c r="T886" s="30"/>
      <c r="U886" s="23"/>
      <c r="V886" s="458"/>
      <c r="X886" s="458"/>
    </row>
    <row r="887" spans="1:24" x14ac:dyDescent="0.4">
      <c r="A887" s="177" t="s">
        <v>840</v>
      </c>
      <c r="B887" s="149" t="s">
        <v>65</v>
      </c>
      <c r="C887" s="30" t="str">
        <f>VLOOKUP(B887,'112年全品項生產鍋數'!A:H,2,0)</f>
        <v>＃1花生(1*2.8kg)</v>
      </c>
      <c r="D887" s="285">
        <v>72</v>
      </c>
      <c r="E887" s="48">
        <f>VLOOKUP(B887,'112年全品項生產鍋數'!A:H,3,0)</f>
        <v>2.8</v>
      </c>
      <c r="F887" s="45">
        <f>VLOOKUP(B887,'112年全品項生產鍋數'!A:H,7,0)</f>
        <v>44.5</v>
      </c>
      <c r="G887" s="49">
        <f t="shared" si="95"/>
        <v>3204</v>
      </c>
      <c r="H887" s="144">
        <v>3209</v>
      </c>
      <c r="I887" s="111">
        <f t="shared" si="94"/>
        <v>8985.1999999999989</v>
      </c>
      <c r="J887" s="100">
        <f t="shared" si="97"/>
        <v>1.0015605493133584</v>
      </c>
      <c r="K887" s="51">
        <f>VLOOKUP(B:B,'生產達成率(目標)'!A:C,3,0)</f>
        <v>1</v>
      </c>
      <c r="L887" s="20">
        <f t="shared" si="96"/>
        <v>2E-3</v>
      </c>
      <c r="M887" s="41" t="str">
        <f>工時!R71</f>
        <v>635</v>
      </c>
      <c r="N887" s="144">
        <v>1</v>
      </c>
      <c r="O887" s="144">
        <f t="shared" si="98"/>
        <v>0</v>
      </c>
      <c r="P887" s="144">
        <v>3208</v>
      </c>
      <c r="Q887" s="98">
        <f t="shared" si="99"/>
        <v>0.99968837644125896</v>
      </c>
      <c r="R887" s="23"/>
      <c r="S887" s="173"/>
      <c r="T887" s="30"/>
      <c r="U887" s="23"/>
      <c r="V887" s="458"/>
      <c r="X887" s="458"/>
    </row>
    <row r="888" spans="1:24" x14ac:dyDescent="0.4">
      <c r="A888" s="177" t="s">
        <v>841</v>
      </c>
      <c r="B888" s="149" t="s">
        <v>55</v>
      </c>
      <c r="C888" s="30" t="str">
        <f>VLOOKUP(B888,'112年全品項生產鍋數'!A:H,2,0)</f>
        <v>天天開心草莓餡4.5KG</v>
      </c>
      <c r="D888" s="285">
        <v>20</v>
      </c>
      <c r="E888" s="48">
        <f>VLOOKUP(B888,'112年全品項生產鍋數'!A:H,3,0)</f>
        <v>4.5</v>
      </c>
      <c r="F888" s="45">
        <f>VLOOKUP(B888,'112年全品項生產鍋數'!A:H,7,0)</f>
        <v>36.299999999999997</v>
      </c>
      <c r="G888" s="49">
        <f t="shared" si="95"/>
        <v>726</v>
      </c>
      <c r="H888" s="144">
        <v>741</v>
      </c>
      <c r="I888" s="111">
        <f t="shared" si="94"/>
        <v>3334.5</v>
      </c>
      <c r="J888" s="100">
        <f t="shared" si="97"/>
        <v>1.0206611570247934</v>
      </c>
      <c r="K888" s="51">
        <f>VLOOKUP(B:B,'生產達成率(目標)'!A:C,3,0)</f>
        <v>1</v>
      </c>
      <c r="L888" s="20">
        <f t="shared" si="96"/>
        <v>2.1000000000000001E-2</v>
      </c>
      <c r="M888" s="41" t="str">
        <f>工時!R72</f>
        <v>348</v>
      </c>
      <c r="N888" s="144">
        <v>0</v>
      </c>
      <c r="O888" s="144">
        <f t="shared" si="98"/>
        <v>1</v>
      </c>
      <c r="P888" s="144">
        <v>740</v>
      </c>
      <c r="Q888" s="98">
        <f t="shared" si="99"/>
        <v>0.99865047233468285</v>
      </c>
      <c r="R888" s="23"/>
      <c r="S888" s="173"/>
      <c r="T888" s="30"/>
      <c r="U888" s="23"/>
      <c r="V888" s="458"/>
      <c r="X888" s="458"/>
    </row>
    <row r="889" spans="1:24" x14ac:dyDescent="0.4">
      <c r="A889" s="177" t="s">
        <v>841</v>
      </c>
      <c r="B889" s="149" t="s">
        <v>548</v>
      </c>
      <c r="C889" s="30" t="str">
        <f>VLOOKUP(B889,'112年全品項生產鍋數'!A:H,2,0)</f>
        <v>天天開心芒果餡4.5KG</v>
      </c>
      <c r="D889" s="285">
        <v>8</v>
      </c>
      <c r="E889" s="48">
        <f>VLOOKUP(B889,'112年全品項生產鍋數'!A:H,3,0)</f>
        <v>4.5</v>
      </c>
      <c r="F889" s="45">
        <f>VLOOKUP(B889,'112年全品項生產鍋數'!A:H,7,0)</f>
        <v>33.200000000000003</v>
      </c>
      <c r="G889" s="49">
        <f t="shared" si="95"/>
        <v>265.60000000000002</v>
      </c>
      <c r="H889" s="144">
        <v>263</v>
      </c>
      <c r="I889" s="111">
        <f t="shared" si="94"/>
        <v>1183.5</v>
      </c>
      <c r="J889" s="100">
        <f t="shared" si="97"/>
        <v>0.99021084337349385</v>
      </c>
      <c r="K889" s="51">
        <f>VLOOKUP(B:B,'生產達成率(目標)'!A:C,3,0)</f>
        <v>1</v>
      </c>
      <c r="L889" s="20">
        <f t="shared" si="96"/>
        <v>-0.01</v>
      </c>
      <c r="M889" s="41" t="str">
        <f>工時!R73</f>
        <v>230</v>
      </c>
      <c r="N889" s="144">
        <v>0</v>
      </c>
      <c r="O889" s="144">
        <f t="shared" si="98"/>
        <v>0</v>
      </c>
      <c r="P889" s="144">
        <v>263</v>
      </c>
      <c r="Q889" s="98">
        <f t="shared" si="99"/>
        <v>1</v>
      </c>
      <c r="R889" s="23"/>
      <c r="S889" s="173"/>
      <c r="T889" s="30"/>
      <c r="U889" s="23"/>
      <c r="V889" s="458"/>
      <c r="X889" s="458"/>
    </row>
    <row r="890" spans="1:24" x14ac:dyDescent="0.4">
      <c r="A890" s="177" t="s">
        <v>841</v>
      </c>
      <c r="B890" s="149" t="s">
        <v>117</v>
      </c>
      <c r="C890" s="30" t="str">
        <f>VLOOKUP(B890,'112年全品項生產鍋數'!A:H,2,0)</f>
        <v>草莓餡(1*4.5Kg)</v>
      </c>
      <c r="D890" s="285">
        <v>8</v>
      </c>
      <c r="E890" s="48">
        <f>VLOOKUP(B890,'112年全品項生產鍋數'!A:H,3,0)</f>
        <v>4.5</v>
      </c>
      <c r="F890" s="45">
        <f>VLOOKUP(B890,'112年全品項生產鍋數'!A:H,7,0)</f>
        <v>35.6</v>
      </c>
      <c r="G890" s="49">
        <f t="shared" si="95"/>
        <v>284.8</v>
      </c>
      <c r="H890" s="144">
        <v>284</v>
      </c>
      <c r="I890" s="111">
        <f t="shared" si="94"/>
        <v>1278</v>
      </c>
      <c r="J890" s="100">
        <f t="shared" si="97"/>
        <v>0.99719101123595499</v>
      </c>
      <c r="K890" s="51">
        <f>VLOOKUP(B:B,'生產達成率(目標)'!A:C,3,0)</f>
        <v>1</v>
      </c>
      <c r="L890" s="20">
        <f t="shared" si="96"/>
        <v>-3.0000000000000001E-3</v>
      </c>
      <c r="M890" s="41" t="str">
        <f>工時!R74</f>
        <v>180</v>
      </c>
      <c r="N890" s="144">
        <v>0</v>
      </c>
      <c r="O890" s="144">
        <f t="shared" si="98"/>
        <v>0</v>
      </c>
      <c r="P890" s="144">
        <v>284</v>
      </c>
      <c r="Q890" s="98">
        <f t="shared" si="99"/>
        <v>1</v>
      </c>
      <c r="R890" s="23"/>
      <c r="S890" s="173"/>
      <c r="T890" s="30"/>
      <c r="U890" s="23"/>
      <c r="V890" s="458"/>
      <c r="X890" s="458"/>
    </row>
    <row r="891" spans="1:24" x14ac:dyDescent="0.4">
      <c r="A891" s="177" t="s">
        <v>842</v>
      </c>
      <c r="B891" s="149" t="s">
        <v>87</v>
      </c>
      <c r="C891" s="30" t="str">
        <f>VLOOKUP(B891,'112年全品項生產鍋數'!A:H,2,0)</f>
        <v>＃1藍莓(1*3.2kg)</v>
      </c>
      <c r="D891" s="285">
        <v>72</v>
      </c>
      <c r="E891" s="48">
        <f>VLOOKUP(B891,'112年全品項生產鍋數'!A:H,3,0)</f>
        <v>3.2</v>
      </c>
      <c r="F891" s="45">
        <f>VLOOKUP(B891,'112年全品項生產鍋數'!A:H,7,0)</f>
        <v>47.5</v>
      </c>
      <c r="G891" s="49">
        <f t="shared" si="95"/>
        <v>3420</v>
      </c>
      <c r="H891" s="144">
        <v>3490</v>
      </c>
      <c r="I891" s="111">
        <f t="shared" si="94"/>
        <v>11168</v>
      </c>
      <c r="J891" s="100">
        <f t="shared" si="97"/>
        <v>1.0204678362573099</v>
      </c>
      <c r="K891" s="51">
        <f>VLOOKUP(B:B,'生產達成率(目標)'!A:C,3,0)</f>
        <v>1</v>
      </c>
      <c r="L891" s="20">
        <f t="shared" si="96"/>
        <v>0.02</v>
      </c>
      <c r="M891" s="41" t="str">
        <f>工時!R75</f>
        <v>540</v>
      </c>
      <c r="N891" s="144">
        <v>1</v>
      </c>
      <c r="O891" s="144">
        <f t="shared" si="98"/>
        <v>0</v>
      </c>
      <c r="P891" s="144">
        <v>3489</v>
      </c>
      <c r="Q891" s="98">
        <f t="shared" si="99"/>
        <v>0.99971346704871056</v>
      </c>
      <c r="R891" s="23"/>
      <c r="S891" s="173"/>
      <c r="T891" s="30"/>
      <c r="U891" s="23"/>
      <c r="V891" s="458"/>
      <c r="X891" s="458"/>
    </row>
    <row r="892" spans="1:24" x14ac:dyDescent="0.4">
      <c r="A892" s="177" t="s">
        <v>842</v>
      </c>
      <c r="B892" s="149" t="s">
        <v>75</v>
      </c>
      <c r="C892" s="30" t="str">
        <f>VLOOKUP(B892,'112年全品項生產鍋數'!A:H,2,0)</f>
        <v>草莓椰果餡(1*6Kg)</v>
      </c>
      <c r="D892" s="285">
        <v>20</v>
      </c>
      <c r="E892" s="48">
        <f>VLOOKUP(B892,'112年全品項生產鍋數'!A:H,3,0)</f>
        <v>6</v>
      </c>
      <c r="F892" s="45">
        <f>VLOOKUP(B892,'112年全品項生產鍋數'!A:H,7,0)</f>
        <v>26.4</v>
      </c>
      <c r="G892" s="49">
        <f t="shared" si="95"/>
        <v>528</v>
      </c>
      <c r="H892" s="144">
        <v>528</v>
      </c>
      <c r="I892" s="111">
        <f t="shared" si="94"/>
        <v>3168</v>
      </c>
      <c r="J892" s="100">
        <f t="shared" si="97"/>
        <v>1</v>
      </c>
      <c r="K892" s="51">
        <f>VLOOKUP(B:B,'生產達成率(目標)'!A:C,3,0)</f>
        <v>1</v>
      </c>
      <c r="L892" s="20">
        <f t="shared" si="96"/>
        <v>0</v>
      </c>
      <c r="M892" s="41" t="str">
        <f>工時!R76</f>
        <v>285</v>
      </c>
      <c r="N892" s="144">
        <v>1</v>
      </c>
      <c r="O892" s="144">
        <f t="shared" si="98"/>
        <v>0</v>
      </c>
      <c r="P892" s="144">
        <v>527</v>
      </c>
      <c r="Q892" s="98">
        <f t="shared" si="99"/>
        <v>0.99810606060606055</v>
      </c>
      <c r="R892" s="23"/>
      <c r="S892" s="173"/>
      <c r="T892" s="30"/>
      <c r="U892" s="23"/>
      <c r="V892" s="458"/>
      <c r="X892" s="458"/>
    </row>
    <row r="893" spans="1:24" x14ac:dyDescent="0.4">
      <c r="A893" s="177" t="s">
        <v>842</v>
      </c>
      <c r="B893" s="149" t="s">
        <v>63</v>
      </c>
      <c r="C893" s="30" t="str">
        <f>VLOOKUP(B893,'112年全品項生產鍋數'!A:H,2,0)</f>
        <v>草莓蒟蒻餡(1*6kg)</v>
      </c>
      <c r="D893" s="285">
        <v>12</v>
      </c>
      <c r="E893" s="48">
        <f>VLOOKUP(B893,'112年全品項生產鍋數'!A:H,3,0)</f>
        <v>6</v>
      </c>
      <c r="F893" s="45">
        <f>VLOOKUP(B893,'112年全品項生產鍋數'!A:H,7,0)</f>
        <v>25.7</v>
      </c>
      <c r="G893" s="49">
        <f t="shared" si="95"/>
        <v>308.39999999999998</v>
      </c>
      <c r="H893" s="144">
        <v>306</v>
      </c>
      <c r="I893" s="111">
        <f t="shared" si="94"/>
        <v>1836</v>
      </c>
      <c r="J893" s="100">
        <f t="shared" si="97"/>
        <v>0.99221789883268485</v>
      </c>
      <c r="K893" s="51">
        <f>VLOOKUP(B:B,'生產達成率(目標)'!A:C,3,0)</f>
        <v>1</v>
      </c>
      <c r="L893" s="20">
        <f t="shared" si="96"/>
        <v>-8.0000000000000002E-3</v>
      </c>
      <c r="M893" s="41" t="str">
        <f>工時!R77</f>
        <v>170</v>
      </c>
      <c r="N893" s="144">
        <v>1</v>
      </c>
      <c r="O893" s="144">
        <f t="shared" si="98"/>
        <v>0</v>
      </c>
      <c r="P893" s="144">
        <v>305</v>
      </c>
      <c r="Q893" s="98">
        <f t="shared" si="99"/>
        <v>0.99673202614379086</v>
      </c>
      <c r="R893" s="23"/>
      <c r="S893" s="173"/>
      <c r="T893" s="30"/>
      <c r="U893" s="23"/>
      <c r="V893" s="458"/>
      <c r="X893" s="458"/>
    </row>
    <row r="894" spans="1:24" x14ac:dyDescent="0.4">
      <c r="A894" s="177" t="s">
        <v>842</v>
      </c>
      <c r="B894" s="149" t="s">
        <v>504</v>
      </c>
      <c r="C894" s="30" t="str">
        <f>VLOOKUP(B894,'112年全品項生產鍋數'!A:H,2,0)</f>
        <v>蘋果餡(1*6Kg)</v>
      </c>
      <c r="D894" s="285">
        <v>12</v>
      </c>
      <c r="E894" s="48">
        <f>VLOOKUP(B894,'112年全品項生產鍋數'!A:H,3,0)</f>
        <v>6</v>
      </c>
      <c r="F894" s="45">
        <f>VLOOKUP(B894,'112年全品項生產鍋數'!A:H,7,0)</f>
        <v>25.6</v>
      </c>
      <c r="G894" s="49">
        <f t="shared" si="95"/>
        <v>307.20000000000005</v>
      </c>
      <c r="H894" s="144">
        <v>307</v>
      </c>
      <c r="I894" s="111">
        <f t="shared" si="94"/>
        <v>1842</v>
      </c>
      <c r="J894" s="100">
        <f t="shared" si="97"/>
        <v>0.99934895833333315</v>
      </c>
      <c r="K894" s="51">
        <f>VLOOKUP(B:B,'生產達成率(目標)'!A:C,3,0)</f>
        <v>1</v>
      </c>
      <c r="L894" s="20">
        <f t="shared" si="96"/>
        <v>-1E-3</v>
      </c>
      <c r="M894" s="41" t="str">
        <f>工時!R78</f>
        <v>190</v>
      </c>
      <c r="N894" s="144">
        <v>1</v>
      </c>
      <c r="O894" s="144">
        <f t="shared" si="98"/>
        <v>0</v>
      </c>
      <c r="P894" s="144">
        <v>306</v>
      </c>
      <c r="Q894" s="98">
        <f t="shared" si="99"/>
        <v>0.99674267100977199</v>
      </c>
      <c r="R894" s="23"/>
      <c r="S894" s="173"/>
      <c r="T894" s="30"/>
      <c r="U894" s="23"/>
      <c r="V894" s="458"/>
      <c r="X894" s="458"/>
    </row>
    <row r="895" spans="1:24" x14ac:dyDescent="0.4">
      <c r="A895" s="177" t="s">
        <v>842</v>
      </c>
      <c r="B895" s="149" t="s">
        <v>110</v>
      </c>
      <c r="C895" s="30" t="str">
        <f>VLOOKUP(B895,'112年全品項生產鍋數'!A:H,2,0)</f>
        <v>顆粒花生醬(1*12KG)</v>
      </c>
      <c r="D895" s="285">
        <v>21</v>
      </c>
      <c r="E895" s="48">
        <f>VLOOKUP(B895,'112年全品項生產鍋數'!A:H,3,0)</f>
        <v>3</v>
      </c>
      <c r="F895" s="45">
        <f>VLOOKUP(B895,'112年全品項生產鍋數'!A:H,7,0)</f>
        <v>30.8</v>
      </c>
      <c r="G895" s="49">
        <f t="shared" si="95"/>
        <v>646.80000000000007</v>
      </c>
      <c r="H895" s="144">
        <v>652</v>
      </c>
      <c r="I895" s="111">
        <f t="shared" ref="I895:I944" si="100">H895*E895</f>
        <v>1956</v>
      </c>
      <c r="J895" s="100">
        <f t="shared" si="97"/>
        <v>1.0080395794681507</v>
      </c>
      <c r="K895" s="51">
        <f>VLOOKUP(B:B,'生產達成率(目標)'!A:C,3,0)</f>
        <v>1</v>
      </c>
      <c r="L895" s="20">
        <f t="shared" si="96"/>
        <v>8.0000000000000002E-3</v>
      </c>
      <c r="M895" s="41" t="str">
        <f>工時!R79</f>
        <v>540</v>
      </c>
      <c r="N895" s="144">
        <v>0</v>
      </c>
      <c r="O895" s="144">
        <f>H895-N895-P895</f>
        <v>0</v>
      </c>
      <c r="P895" s="144">
        <v>652</v>
      </c>
      <c r="Q895" s="98">
        <f t="shared" si="99"/>
        <v>1</v>
      </c>
      <c r="R895" s="23"/>
      <c r="S895" s="173"/>
      <c r="T895" s="30"/>
      <c r="U895" s="23"/>
      <c r="V895" s="458"/>
      <c r="X895" s="458"/>
    </row>
    <row r="896" spans="1:24" x14ac:dyDescent="0.4">
      <c r="A896" s="177" t="s">
        <v>843</v>
      </c>
      <c r="B896" s="149" t="s">
        <v>106</v>
      </c>
      <c r="C896" s="30" t="str">
        <f>VLOOKUP(B896,'112年全品項生產鍋數'!A:H,2,0)</f>
        <v>小藍莓1*260G</v>
      </c>
      <c r="D896" s="285">
        <v>20</v>
      </c>
      <c r="E896" s="48">
        <f>VLOOKUP(B896,'112年全品項生產鍋數'!A:H,3,0)</f>
        <v>0.26</v>
      </c>
      <c r="F896" s="45">
        <f>VLOOKUP(B896,'112年全品項生產鍋數'!A:H,7,0)</f>
        <v>584.29999999999995</v>
      </c>
      <c r="G896" s="49">
        <f t="shared" si="95"/>
        <v>11686</v>
      </c>
      <c r="H896" s="144">
        <v>11761</v>
      </c>
      <c r="I896" s="111">
        <f t="shared" si="100"/>
        <v>3057.86</v>
      </c>
      <c r="J896" s="100">
        <f t="shared" si="97"/>
        <v>1.0064179359917851</v>
      </c>
      <c r="K896" s="51">
        <f>VLOOKUP(B:B,'生產達成率(目標)'!A:C,3,0)</f>
        <v>1</v>
      </c>
      <c r="L896" s="20">
        <f t="shared" si="96"/>
        <v>6.0000000000000001E-3</v>
      </c>
      <c r="M896" s="41" t="str">
        <f>工時!R80</f>
        <v>300</v>
      </c>
      <c r="N896" s="144"/>
      <c r="O896" s="144">
        <f t="shared" ref="O896:O959" si="101">H896-N896-P896</f>
        <v>14</v>
      </c>
      <c r="P896" s="144">
        <v>11747</v>
      </c>
      <c r="Q896" s="98">
        <f t="shared" si="99"/>
        <v>0.99880962503188508</v>
      </c>
      <c r="R896" s="23"/>
      <c r="S896" s="173"/>
      <c r="T896" s="30"/>
      <c r="U896" s="23"/>
      <c r="V896" s="458"/>
      <c r="X896" s="458"/>
    </row>
    <row r="897" spans="1:24" x14ac:dyDescent="0.4">
      <c r="A897" s="177" t="s">
        <v>843</v>
      </c>
      <c r="B897" s="149" t="s">
        <v>91</v>
      </c>
      <c r="C897" s="30" t="str">
        <f>VLOOKUP(B897,'112年全品項生產鍋數'!A:H,2,0)</f>
        <v>梨山草莓果醬(1*430g)</v>
      </c>
      <c r="D897" s="285">
        <v>12</v>
      </c>
      <c r="E897" s="48">
        <f>VLOOKUP(B897,'112年全品項生產鍋數'!A:H,3,0)</f>
        <v>0.43</v>
      </c>
      <c r="F897" s="45">
        <f>VLOOKUP(B897,'112年全品項生產鍋數'!A:H,7,0)</f>
        <v>340.4</v>
      </c>
      <c r="G897" s="49">
        <f t="shared" si="95"/>
        <v>4084.7999999999997</v>
      </c>
      <c r="H897" s="144">
        <f>1932+2162</f>
        <v>4094</v>
      </c>
      <c r="I897" s="111">
        <f t="shared" si="100"/>
        <v>1760.42</v>
      </c>
      <c r="J897" s="100">
        <f t="shared" si="97"/>
        <v>1.0022522522522523</v>
      </c>
      <c r="K897" s="51">
        <f>VLOOKUP(B:B,'生產達成率(目標)'!A:C,3,0)</f>
        <v>1</v>
      </c>
      <c r="L897" s="20">
        <f t="shared" si="96"/>
        <v>2E-3</v>
      </c>
      <c r="M897" s="41" t="str">
        <f>工時!R81</f>
        <v>300</v>
      </c>
      <c r="N897" s="144"/>
      <c r="O897" s="144">
        <f t="shared" si="101"/>
        <v>7</v>
      </c>
      <c r="P897" s="144">
        <f>1927+2160</f>
        <v>4087</v>
      </c>
      <c r="Q897" s="98">
        <f t="shared" si="99"/>
        <v>0.99829018075232046</v>
      </c>
      <c r="R897" s="23"/>
      <c r="S897" s="173"/>
      <c r="T897" s="30" t="s">
        <v>555</v>
      </c>
      <c r="U897" s="23"/>
      <c r="V897" s="458"/>
      <c r="X897" s="458"/>
    </row>
    <row r="898" spans="1:24" x14ac:dyDescent="0.4">
      <c r="A898" s="177" t="s">
        <v>843</v>
      </c>
      <c r="B898" s="149" t="s">
        <v>72</v>
      </c>
      <c r="C898" s="30" t="str">
        <f>VLOOKUP(B898,'112年全品項生產鍋數'!A:H,2,0)</f>
        <v>草莓餡45%(1*6Kg)</v>
      </c>
      <c r="D898" s="285">
        <v>20</v>
      </c>
      <c r="E898" s="48">
        <f>VLOOKUP(B898,'112年全品項生產鍋數'!A:H,3,0)</f>
        <v>6</v>
      </c>
      <c r="F898" s="45">
        <f>VLOOKUP(B898,'112年全品項生產鍋數'!A:H,7,0)</f>
        <v>26.1</v>
      </c>
      <c r="G898" s="49">
        <f t="shared" ref="G898:G961" si="102">D898*F898</f>
        <v>522</v>
      </c>
      <c r="H898" s="144">
        <v>528</v>
      </c>
      <c r="I898" s="111">
        <f t="shared" si="100"/>
        <v>3168</v>
      </c>
      <c r="J898" s="100">
        <f t="shared" si="97"/>
        <v>1.0114942528735633</v>
      </c>
      <c r="K898" s="51">
        <f>VLOOKUP(B:B,'生產達成率(目標)'!A:C,3,0)</f>
        <v>1</v>
      </c>
      <c r="L898" s="20">
        <f t="shared" si="96"/>
        <v>1.0999999999999999E-2</v>
      </c>
      <c r="M898" s="41" t="str">
        <f>工時!R82</f>
        <v>300</v>
      </c>
      <c r="N898" s="144"/>
      <c r="O898" s="144">
        <f t="shared" si="101"/>
        <v>1</v>
      </c>
      <c r="P898" s="144">
        <v>527</v>
      </c>
      <c r="Q898" s="98">
        <f t="shared" si="99"/>
        <v>0.99810606060606055</v>
      </c>
      <c r="R898" s="23"/>
      <c r="S898" s="173"/>
      <c r="T898" s="30"/>
      <c r="U898" s="23"/>
      <c r="V898" s="458"/>
      <c r="X898" s="458"/>
    </row>
    <row r="899" spans="1:24" x14ac:dyDescent="0.4">
      <c r="A899" s="177" t="s">
        <v>843</v>
      </c>
      <c r="B899" s="149" t="s">
        <v>63</v>
      </c>
      <c r="C899" s="30" t="str">
        <f>VLOOKUP(B899,'112年全品項生產鍋數'!A:H,2,0)</f>
        <v>草莓蒟蒻餡(1*6kg)</v>
      </c>
      <c r="D899" s="285">
        <v>20</v>
      </c>
      <c r="E899" s="48">
        <f>VLOOKUP(B899,'112年全品項生產鍋數'!A:H,3,0)</f>
        <v>6</v>
      </c>
      <c r="F899" s="45">
        <f>VLOOKUP(B899,'112年全品項生產鍋數'!A:H,7,0)</f>
        <v>25.7</v>
      </c>
      <c r="G899" s="49">
        <f t="shared" si="102"/>
        <v>514</v>
      </c>
      <c r="H899" s="144">
        <f>310+215</f>
        <v>525</v>
      </c>
      <c r="I899" s="111">
        <f t="shared" si="100"/>
        <v>3150</v>
      </c>
      <c r="J899" s="100">
        <f t="shared" si="97"/>
        <v>1.0214007782101167</v>
      </c>
      <c r="K899" s="51">
        <f>VLOOKUP(B:B,'生產達成率(目標)'!A:C,3,0)</f>
        <v>1</v>
      </c>
      <c r="L899" s="20">
        <f t="shared" ref="L899:L962" si="103">IF(G899=0,"無法預估數據",ROUND(J899-K899,3))</f>
        <v>2.1000000000000001E-2</v>
      </c>
      <c r="M899" s="41" t="str">
        <f>工時!R83</f>
        <v>294</v>
      </c>
      <c r="N899" s="144"/>
      <c r="O899" s="144">
        <f t="shared" si="101"/>
        <v>1</v>
      </c>
      <c r="P899" s="144">
        <f>309+215</f>
        <v>524</v>
      </c>
      <c r="Q899" s="98">
        <f t="shared" si="99"/>
        <v>0.99809523809523815</v>
      </c>
      <c r="R899" s="23"/>
      <c r="S899" s="173"/>
      <c r="T899" s="30"/>
      <c r="U899" s="23"/>
      <c r="V899" s="458"/>
      <c r="X899" s="458"/>
    </row>
    <row r="900" spans="1:24" x14ac:dyDescent="0.4">
      <c r="A900" s="177" t="s">
        <v>843</v>
      </c>
      <c r="B900" s="149" t="s">
        <v>65</v>
      </c>
      <c r="C900" s="30" t="str">
        <f>VLOOKUP(B900,'112年全品項生產鍋數'!A:H,2,0)</f>
        <v>＃1花生(1*2.8kg)</v>
      </c>
      <c r="D900" s="285">
        <v>60</v>
      </c>
      <c r="E900" s="48">
        <f>VLOOKUP(B900,'112年全品項生產鍋數'!A:H,3,0)</f>
        <v>2.8</v>
      </c>
      <c r="F900" s="45">
        <f>VLOOKUP(B900,'112年全品項生產鍋數'!A:H,7,0)</f>
        <v>44.5</v>
      </c>
      <c r="G900" s="49">
        <f t="shared" si="102"/>
        <v>2670</v>
      </c>
      <c r="H900" s="144">
        <v>2492</v>
      </c>
      <c r="I900" s="111">
        <f t="shared" si="100"/>
        <v>6977.5999999999995</v>
      </c>
      <c r="J900" s="100">
        <f t="shared" si="97"/>
        <v>0.93333333333333335</v>
      </c>
      <c r="K900" s="51">
        <f>VLOOKUP(B:B,'生產達成率(目標)'!A:C,3,0)</f>
        <v>1</v>
      </c>
      <c r="L900" s="20">
        <f t="shared" si="103"/>
        <v>-6.7000000000000004E-2</v>
      </c>
      <c r="M900" s="41" t="str">
        <f>工時!R84</f>
        <v>570</v>
      </c>
      <c r="N900" s="144"/>
      <c r="O900" s="144">
        <f t="shared" si="101"/>
        <v>1</v>
      </c>
      <c r="P900" s="144">
        <v>2491</v>
      </c>
      <c r="Q900" s="98">
        <f t="shared" si="99"/>
        <v>0.9995987158908507</v>
      </c>
      <c r="R900" s="23"/>
      <c r="S900" s="173"/>
      <c r="T900" s="30" t="s">
        <v>556</v>
      </c>
      <c r="U900" s="23"/>
      <c r="V900" s="458"/>
      <c r="X900" s="458"/>
    </row>
    <row r="901" spans="1:24" x14ac:dyDescent="0.4">
      <c r="A901" s="177" t="s">
        <v>844</v>
      </c>
      <c r="B901" s="149" t="s">
        <v>71</v>
      </c>
      <c r="C901" s="30" t="str">
        <f>VLOOKUP(B901,'112年全品項生產鍋數'!A:H,2,0)</f>
        <v>＃1草莓(1*3.2kg)</v>
      </c>
      <c r="D901" s="285">
        <v>72</v>
      </c>
      <c r="E901" s="48">
        <f>VLOOKUP(B901,'112年全品項生產鍋數'!A:H,3,0)</f>
        <v>3.2</v>
      </c>
      <c r="F901" s="45">
        <f>VLOOKUP(B901,'112年全品項生產鍋數'!A:H,7,0)</f>
        <v>46.8</v>
      </c>
      <c r="G901" s="49">
        <f t="shared" si="102"/>
        <v>3369.6</v>
      </c>
      <c r="H901" s="144">
        <v>3397</v>
      </c>
      <c r="I901" s="111">
        <f t="shared" si="100"/>
        <v>10870.400000000001</v>
      </c>
      <c r="J901" s="100">
        <f t="shared" si="97"/>
        <v>1.0081315289648622</v>
      </c>
      <c r="K901" s="51">
        <f>VLOOKUP(B:B,'生產達成率(目標)'!A:C,3,0)</f>
        <v>1</v>
      </c>
      <c r="L901" s="20">
        <f t="shared" si="103"/>
        <v>8.0000000000000002E-3</v>
      </c>
      <c r="M901" s="41" t="str">
        <f>工時!R85</f>
        <v>540</v>
      </c>
      <c r="N901" s="144"/>
      <c r="O901" s="144">
        <f t="shared" si="101"/>
        <v>2</v>
      </c>
      <c r="P901" s="144">
        <v>3395</v>
      </c>
      <c r="Q901" s="98">
        <f t="shared" si="99"/>
        <v>0.99941124521636737</v>
      </c>
      <c r="R901" s="23"/>
      <c r="S901" s="173"/>
      <c r="T901" s="30"/>
      <c r="U901" s="23"/>
      <c r="V901" s="458"/>
      <c r="X901" s="458"/>
    </row>
    <row r="902" spans="1:24" x14ac:dyDescent="0.4">
      <c r="A902" s="177" t="s">
        <v>844</v>
      </c>
      <c r="B902" s="149" t="s">
        <v>63</v>
      </c>
      <c r="C902" s="30" t="str">
        <f>VLOOKUP(B902,'112年全品項生產鍋數'!A:H,2,0)</f>
        <v>草莓蒟蒻餡(1*6kg)</v>
      </c>
      <c r="D902" s="285">
        <v>20</v>
      </c>
      <c r="E902" s="48">
        <f>VLOOKUP(B902,'112年全品項生產鍋數'!A:H,3,0)</f>
        <v>6</v>
      </c>
      <c r="F902" s="45">
        <f>VLOOKUP(B902,'112年全品項生產鍋數'!A:H,7,0)</f>
        <v>25.7</v>
      </c>
      <c r="G902" s="49">
        <f t="shared" si="102"/>
        <v>514</v>
      </c>
      <c r="H902" s="144">
        <f>307+213</f>
        <v>520</v>
      </c>
      <c r="I902" s="111">
        <f t="shared" si="100"/>
        <v>3120</v>
      </c>
      <c r="J902" s="100">
        <f t="shared" si="97"/>
        <v>1.0116731517509727</v>
      </c>
      <c r="K902" s="51">
        <f>VLOOKUP(B:B,'生產達成率(目標)'!A:C,3,0)</f>
        <v>1</v>
      </c>
      <c r="L902" s="20">
        <f t="shared" si="103"/>
        <v>1.2E-2</v>
      </c>
      <c r="M902" s="41" t="str">
        <f>工時!R86</f>
        <v>240</v>
      </c>
      <c r="N902" s="144"/>
      <c r="O902" s="144">
        <f t="shared" si="101"/>
        <v>1</v>
      </c>
      <c r="P902" s="144">
        <f>306+213</f>
        <v>519</v>
      </c>
      <c r="Q902" s="98">
        <f t="shared" si="99"/>
        <v>0.99807692307692308</v>
      </c>
      <c r="R902" s="23"/>
      <c r="S902" s="173"/>
      <c r="T902" s="30"/>
      <c r="U902" s="23"/>
      <c r="V902" s="458"/>
      <c r="X902" s="458"/>
    </row>
    <row r="903" spans="1:24" x14ac:dyDescent="0.4">
      <c r="A903" s="177" t="s">
        <v>844</v>
      </c>
      <c r="B903" s="149" t="s">
        <v>64</v>
      </c>
      <c r="C903" s="30" t="str">
        <f>VLOOKUP(B903,'112年全品項生產鍋數'!A:H,2,0)</f>
        <v>藍莓餡(1*6KG)</v>
      </c>
      <c r="D903" s="285">
        <v>20</v>
      </c>
      <c r="E903" s="48">
        <f>VLOOKUP(B903,'112年全品項生產鍋數'!A:H,3,0)</f>
        <v>6</v>
      </c>
      <c r="F903" s="45">
        <f>VLOOKUP(B903,'112年全品項生產鍋數'!A:H,7,0)</f>
        <v>25.4</v>
      </c>
      <c r="G903" s="49">
        <f t="shared" si="102"/>
        <v>508</v>
      </c>
      <c r="H903" s="144">
        <f>302+212</f>
        <v>514</v>
      </c>
      <c r="I903" s="111">
        <f t="shared" si="100"/>
        <v>3084</v>
      </c>
      <c r="J903" s="100">
        <f t="shared" si="97"/>
        <v>1.0118110236220472</v>
      </c>
      <c r="K903" s="51">
        <f>VLOOKUP(B:B,'生產達成率(目標)'!A:C,3,0)</f>
        <v>1</v>
      </c>
      <c r="L903" s="20">
        <f t="shared" si="103"/>
        <v>1.2E-2</v>
      </c>
      <c r="M903" s="41" t="str">
        <f>工時!R87</f>
        <v>330</v>
      </c>
      <c r="N903" s="144"/>
      <c r="O903" s="144">
        <f t="shared" si="101"/>
        <v>2</v>
      </c>
      <c r="P903" s="144">
        <f>301+211</f>
        <v>512</v>
      </c>
      <c r="Q903" s="98">
        <f t="shared" si="99"/>
        <v>0.99610894941634243</v>
      </c>
      <c r="R903" s="23"/>
      <c r="S903" s="173"/>
      <c r="T903" s="30"/>
      <c r="U903" s="23"/>
      <c r="V903" s="458"/>
      <c r="X903" s="458"/>
    </row>
    <row r="904" spans="1:24" x14ac:dyDescent="0.4">
      <c r="A904" s="177" t="s">
        <v>844</v>
      </c>
      <c r="B904" s="149" t="s">
        <v>65</v>
      </c>
      <c r="C904" s="30" t="str">
        <f>VLOOKUP(B904,'112年全品項生產鍋數'!A:H,2,0)</f>
        <v>＃1花生(1*2.8kg)</v>
      </c>
      <c r="D904" s="285">
        <v>60</v>
      </c>
      <c r="E904" s="48">
        <f>VLOOKUP(B904,'112年全品項生產鍋數'!A:H,3,0)</f>
        <v>2.8</v>
      </c>
      <c r="F904" s="45">
        <f>VLOOKUP(B904,'112年全品項生產鍋數'!A:H,7,0)</f>
        <v>44.5</v>
      </c>
      <c r="G904" s="49">
        <f t="shared" si="102"/>
        <v>2670</v>
      </c>
      <c r="H904" s="144">
        <v>2695</v>
      </c>
      <c r="I904" s="111">
        <f t="shared" si="100"/>
        <v>7545.9999999999991</v>
      </c>
      <c r="J904" s="100">
        <f t="shared" si="97"/>
        <v>1.0093632958801497</v>
      </c>
      <c r="K904" s="51">
        <f>VLOOKUP(B:B,'生產達成率(目標)'!A:C,3,0)</f>
        <v>1</v>
      </c>
      <c r="L904" s="20">
        <f t="shared" si="103"/>
        <v>8.9999999999999993E-3</v>
      </c>
      <c r="M904" s="41" t="str">
        <f>工時!R88</f>
        <v>540</v>
      </c>
      <c r="N904" s="144"/>
      <c r="O904" s="144">
        <f t="shared" si="101"/>
        <v>1</v>
      </c>
      <c r="P904" s="144">
        <v>2694</v>
      </c>
      <c r="Q904" s="98">
        <f t="shared" si="99"/>
        <v>0.99962894248608536</v>
      </c>
      <c r="R904" s="23"/>
      <c r="S904" s="173"/>
      <c r="T904" s="30"/>
      <c r="U904" s="23"/>
      <c r="V904" s="458"/>
      <c r="X904" s="458"/>
    </row>
    <row r="905" spans="1:24" x14ac:dyDescent="0.4">
      <c r="A905" s="177" t="s">
        <v>845</v>
      </c>
      <c r="B905" s="149" t="s">
        <v>63</v>
      </c>
      <c r="C905" s="30" t="str">
        <f>VLOOKUP(B905,'112年全品項生產鍋數'!A:H,2,0)</f>
        <v>草莓蒟蒻餡(1*6kg)</v>
      </c>
      <c r="D905" s="285">
        <v>28</v>
      </c>
      <c r="E905" s="48">
        <f>VLOOKUP(B905,'112年全品項生產鍋數'!A:H,3,0)</f>
        <v>6</v>
      </c>
      <c r="F905" s="45">
        <f>VLOOKUP(B905,'112年全品項生產鍋數'!A:H,7,0)</f>
        <v>25.7</v>
      </c>
      <c r="G905" s="49">
        <f t="shared" si="102"/>
        <v>719.6</v>
      </c>
      <c r="H905" s="144">
        <f>403+314</f>
        <v>717</v>
      </c>
      <c r="I905" s="111">
        <f t="shared" si="100"/>
        <v>4302</v>
      </c>
      <c r="J905" s="100">
        <f t="shared" si="97"/>
        <v>0.9963868816008894</v>
      </c>
      <c r="K905" s="51">
        <f>VLOOKUP(B:B,'生產達成率(目標)'!A:C,3,0)</f>
        <v>1</v>
      </c>
      <c r="L905" s="20">
        <f t="shared" si="103"/>
        <v>-4.0000000000000001E-3</v>
      </c>
      <c r="M905" s="41" t="str">
        <f>工時!R89</f>
        <v>414</v>
      </c>
      <c r="N905" s="144"/>
      <c r="O905" s="144">
        <f t="shared" si="101"/>
        <v>1</v>
      </c>
      <c r="P905" s="144">
        <f>402+314</f>
        <v>716</v>
      </c>
      <c r="Q905" s="98">
        <f t="shared" si="99"/>
        <v>0.99860529986053004</v>
      </c>
      <c r="R905" s="23"/>
      <c r="S905" s="173"/>
      <c r="T905" s="30"/>
      <c r="U905" s="23"/>
      <c r="V905" s="458"/>
      <c r="X905" s="458"/>
    </row>
    <row r="906" spans="1:24" x14ac:dyDescent="0.4">
      <c r="A906" s="177" t="s">
        <v>845</v>
      </c>
      <c r="B906" s="149" t="s">
        <v>504</v>
      </c>
      <c r="C906" s="30" t="str">
        <f>VLOOKUP(B906,'112年全品項生產鍋數'!A:H,2,0)</f>
        <v>蘋果餡(1*6Kg)</v>
      </c>
      <c r="D906" s="285">
        <v>12</v>
      </c>
      <c r="E906" s="48">
        <f>VLOOKUP(B906,'112年全品項生產鍋數'!A:H,3,0)</f>
        <v>6</v>
      </c>
      <c r="F906" s="45">
        <f>VLOOKUP(B906,'112年全品項生產鍋數'!A:H,7,0)</f>
        <v>25.6</v>
      </c>
      <c r="G906" s="49">
        <f t="shared" si="102"/>
        <v>307.20000000000005</v>
      </c>
      <c r="H906" s="144">
        <v>309</v>
      </c>
      <c r="I906" s="111">
        <f t="shared" si="100"/>
        <v>1854</v>
      </c>
      <c r="J906" s="100">
        <f t="shared" si="97"/>
        <v>1.0058593749999998</v>
      </c>
      <c r="K906" s="51">
        <f>VLOOKUP(B:B,'生產達成率(目標)'!A:C,3,0)</f>
        <v>1</v>
      </c>
      <c r="L906" s="20">
        <f t="shared" si="103"/>
        <v>6.0000000000000001E-3</v>
      </c>
      <c r="M906" s="41" t="str">
        <f>工時!R90</f>
        <v>205</v>
      </c>
      <c r="N906" s="144"/>
      <c r="O906" s="144">
        <f t="shared" si="101"/>
        <v>1</v>
      </c>
      <c r="P906" s="144">
        <v>308</v>
      </c>
      <c r="Q906" s="98">
        <f t="shared" si="99"/>
        <v>0.99676375404530748</v>
      </c>
      <c r="R906" s="23"/>
      <c r="S906" s="173"/>
      <c r="T906" s="30"/>
      <c r="U906" s="23"/>
      <c r="V906" s="458"/>
      <c r="X906" s="458"/>
    </row>
    <row r="907" spans="1:24" x14ac:dyDescent="0.4">
      <c r="A907" s="177" t="s">
        <v>845</v>
      </c>
      <c r="B907" s="149" t="s">
        <v>108</v>
      </c>
      <c r="C907" s="30" t="str">
        <f>VLOOKUP(B907,'112年全品項生產鍋數'!A:H,2,0)</f>
        <v>顆粒花生醬(1*12KG)</v>
      </c>
      <c r="D907" s="285">
        <v>21</v>
      </c>
      <c r="E907" s="48">
        <f>VLOOKUP(B907,'112年全品項生產鍋數'!A:H,3,0)</f>
        <v>3</v>
      </c>
      <c r="F907" s="45">
        <f>VLOOKUP(B907,'112年全品項生產鍋數'!A:H,7,0)</f>
        <v>31.6</v>
      </c>
      <c r="G907" s="49">
        <f t="shared" si="102"/>
        <v>663.6</v>
      </c>
      <c r="H907" s="144">
        <v>664</v>
      </c>
      <c r="I907" s="111">
        <f t="shared" si="100"/>
        <v>1992</v>
      </c>
      <c r="J907" s="100">
        <f t="shared" si="97"/>
        <v>1.0006027727546714</v>
      </c>
      <c r="K907" s="51">
        <f>VLOOKUP(B:B,'生產達成率(目標)'!A:C,3,0)</f>
        <v>1</v>
      </c>
      <c r="L907" s="20">
        <f t="shared" si="103"/>
        <v>1E-3</v>
      </c>
      <c r="M907" s="41" t="str">
        <f>工時!R91</f>
        <v>540</v>
      </c>
      <c r="N907" s="144"/>
      <c r="O907" s="144">
        <f t="shared" si="101"/>
        <v>0</v>
      </c>
      <c r="P907" s="144">
        <v>664</v>
      </c>
      <c r="Q907" s="98">
        <f t="shared" si="99"/>
        <v>1</v>
      </c>
      <c r="R907" s="23"/>
      <c r="S907" s="173"/>
      <c r="T907" s="30"/>
      <c r="U907" s="23"/>
      <c r="V907" s="458"/>
      <c r="X907" s="458"/>
    </row>
    <row r="908" spans="1:24" x14ac:dyDescent="0.4">
      <c r="A908" s="177" t="s">
        <v>845</v>
      </c>
      <c r="B908" s="149" t="s">
        <v>65</v>
      </c>
      <c r="C908" s="30" t="str">
        <f>VLOOKUP(B908,'112年全品項生產鍋數'!A:H,2,0)</f>
        <v>＃1花生(1*2.8kg)</v>
      </c>
      <c r="D908" s="285">
        <v>60</v>
      </c>
      <c r="E908" s="48">
        <f>VLOOKUP(B908,'112年全品項生產鍋數'!A:H,3,0)</f>
        <v>2.8</v>
      </c>
      <c r="F908" s="45">
        <f>VLOOKUP(B908,'112年全品項生產鍋數'!A:H,7,0)</f>
        <v>44.5</v>
      </c>
      <c r="G908" s="49">
        <f t="shared" si="102"/>
        <v>2670</v>
      </c>
      <c r="H908" s="144">
        <v>2685</v>
      </c>
      <c r="I908" s="111">
        <f t="shared" si="100"/>
        <v>7517.9999999999991</v>
      </c>
      <c r="J908" s="100">
        <f t="shared" si="97"/>
        <v>1.0056179775280898</v>
      </c>
      <c r="K908" s="51">
        <f>VLOOKUP(B:B,'生產達成率(目標)'!A:C,3,0)</f>
        <v>1</v>
      </c>
      <c r="L908" s="20">
        <f t="shared" si="103"/>
        <v>6.0000000000000001E-3</v>
      </c>
      <c r="M908" s="41" t="str">
        <f>工時!R92</f>
        <v>540</v>
      </c>
      <c r="N908" s="144"/>
      <c r="O908" s="144">
        <f t="shared" si="101"/>
        <v>1</v>
      </c>
      <c r="P908" s="144">
        <v>2684</v>
      </c>
      <c r="Q908" s="98">
        <f t="shared" si="99"/>
        <v>0.99962756052141521</v>
      </c>
      <c r="R908" s="23"/>
      <c r="S908" s="173"/>
      <c r="T908" s="30"/>
      <c r="U908" s="23"/>
      <c r="V908" s="458"/>
      <c r="X908" s="458"/>
    </row>
    <row r="909" spans="1:24" x14ac:dyDescent="0.4">
      <c r="A909" s="177" t="s">
        <v>846</v>
      </c>
      <c r="B909" s="149" t="s">
        <v>55</v>
      </c>
      <c r="C909" s="30" t="str">
        <f>VLOOKUP(B909,'112年全品項生產鍋數'!A:H,2,0)</f>
        <v>天天開心草莓餡4.5KG</v>
      </c>
      <c r="D909" s="285">
        <v>24</v>
      </c>
      <c r="E909" s="48">
        <f>VLOOKUP(B909,'112年全品項生產鍋數'!A:H,3,0)</f>
        <v>4.5</v>
      </c>
      <c r="F909" s="45">
        <f>VLOOKUP(B909,'112年全品項生產鍋數'!A:H,7,0)</f>
        <v>36.299999999999997</v>
      </c>
      <c r="G909" s="49">
        <f t="shared" si="102"/>
        <v>871.19999999999993</v>
      </c>
      <c r="H909" s="144">
        <v>863</v>
      </c>
      <c r="I909" s="111">
        <f t="shared" si="100"/>
        <v>3883.5</v>
      </c>
      <c r="J909" s="100">
        <f t="shared" si="97"/>
        <v>0.9905876951331497</v>
      </c>
      <c r="K909" s="51">
        <f>VLOOKUP(B:B,'生產達成率(目標)'!A:C,3,0)</f>
        <v>1</v>
      </c>
      <c r="L909" s="20">
        <f t="shared" si="103"/>
        <v>-8.9999999999999993E-3</v>
      </c>
      <c r="M909" s="41" t="str">
        <f>工時!R93</f>
        <v>420</v>
      </c>
      <c r="N909" s="144"/>
      <c r="O909" s="144">
        <f t="shared" si="101"/>
        <v>0</v>
      </c>
      <c r="P909" s="144">
        <v>863</v>
      </c>
      <c r="Q909" s="98">
        <f t="shared" si="99"/>
        <v>1</v>
      </c>
      <c r="R909" s="23"/>
      <c r="S909" s="173"/>
      <c r="T909" s="30"/>
      <c r="U909" s="23"/>
      <c r="V909" s="458"/>
      <c r="X909" s="458"/>
    </row>
    <row r="910" spans="1:24" x14ac:dyDescent="0.4">
      <c r="A910" s="177" t="s">
        <v>846</v>
      </c>
      <c r="B910" s="149" t="s">
        <v>130</v>
      </c>
      <c r="C910" s="30" t="str">
        <f>VLOOKUP(B910,'112年全品項生產鍋數'!A:H,2,0)</f>
        <v>天天開心柳橙餡4.5KG</v>
      </c>
      <c r="D910" s="285">
        <v>11</v>
      </c>
      <c r="E910" s="48">
        <f>VLOOKUP(B910,'112年全品項生產鍋數'!A:H,3,0)</f>
        <v>4.5</v>
      </c>
      <c r="F910" s="45">
        <f>VLOOKUP(B910,'112年全品項生產鍋數'!A:H,7,0)</f>
        <v>34.9</v>
      </c>
      <c r="G910" s="49">
        <f t="shared" si="102"/>
        <v>383.9</v>
      </c>
      <c r="H910" s="144">
        <v>391</v>
      </c>
      <c r="I910" s="111">
        <f t="shared" si="100"/>
        <v>1759.5</v>
      </c>
      <c r="J910" s="100">
        <f t="shared" si="97"/>
        <v>1.018494399583225</v>
      </c>
      <c r="K910" s="51">
        <f>VLOOKUP(B:B,'生產達成率(目標)'!A:C,3,0)</f>
        <v>1</v>
      </c>
      <c r="L910" s="20">
        <f t="shared" si="103"/>
        <v>1.7999999999999999E-2</v>
      </c>
      <c r="M910" s="41" t="str">
        <f>工時!R94</f>
        <v>245</v>
      </c>
      <c r="N910" s="144"/>
      <c r="O910" s="144">
        <f t="shared" si="101"/>
        <v>0</v>
      </c>
      <c r="P910" s="144">
        <v>391</v>
      </c>
      <c r="Q910" s="98">
        <f t="shared" si="99"/>
        <v>1</v>
      </c>
      <c r="R910" s="23"/>
      <c r="S910" s="173"/>
      <c r="T910" s="30"/>
      <c r="U910" s="23"/>
      <c r="V910" s="458"/>
      <c r="X910" s="458"/>
    </row>
    <row r="911" spans="1:24" x14ac:dyDescent="0.4">
      <c r="A911" s="177" t="s">
        <v>846</v>
      </c>
      <c r="B911" s="149" t="s">
        <v>101</v>
      </c>
      <c r="C911" s="30" t="str">
        <f>VLOOKUP(B911,'112年全品項生產鍋數'!A:H,2,0)</f>
        <v>上好佳綜合莓餡4.5KG</v>
      </c>
      <c r="D911" s="285">
        <v>3</v>
      </c>
      <c r="E911" s="48">
        <f>VLOOKUP(B911,'112年全品項生產鍋數'!A:H,3,0)</f>
        <v>4.5</v>
      </c>
      <c r="F911" s="45">
        <f>VLOOKUP(B911,'112年全品項生產鍋數'!A:H,7,0)</f>
        <v>32.799999999999997</v>
      </c>
      <c r="G911" s="49">
        <f t="shared" si="102"/>
        <v>98.399999999999991</v>
      </c>
      <c r="H911" s="144">
        <v>99</v>
      </c>
      <c r="I911" s="111">
        <f t="shared" si="100"/>
        <v>445.5</v>
      </c>
      <c r="J911" s="100">
        <f t="shared" si="97"/>
        <v>1.0060975609756098</v>
      </c>
      <c r="K911" s="51">
        <f>VLOOKUP(B:B,'生產達成率(目標)'!A:C,3,0)</f>
        <v>1</v>
      </c>
      <c r="L911" s="20">
        <f t="shared" si="103"/>
        <v>6.0000000000000001E-3</v>
      </c>
      <c r="M911" s="41" t="str">
        <f>工時!R95</f>
        <v>160</v>
      </c>
      <c r="N911" s="144"/>
      <c r="O911" s="144">
        <f t="shared" si="101"/>
        <v>0</v>
      </c>
      <c r="P911" s="144">
        <v>99</v>
      </c>
      <c r="Q911" s="98">
        <f t="shared" si="99"/>
        <v>1</v>
      </c>
      <c r="R911" s="23"/>
      <c r="S911" s="173"/>
      <c r="T911" s="30"/>
      <c r="U911" s="23"/>
      <c r="V911" s="458"/>
      <c r="X911" s="458"/>
    </row>
    <row r="912" spans="1:24" x14ac:dyDescent="0.4">
      <c r="A912" s="177" t="s">
        <v>846</v>
      </c>
      <c r="B912" s="149" t="s">
        <v>73</v>
      </c>
      <c r="C912" s="30" t="str">
        <f>VLOOKUP(B912,'112年全品項生產鍋數'!A:H,2,0)</f>
        <v>顆粒花生醬(1*12KG)</v>
      </c>
      <c r="D912" s="285">
        <v>21</v>
      </c>
      <c r="E912" s="48">
        <f>VLOOKUP(B912,'112年全品項生產鍋數'!A:H,3,0)</f>
        <v>3</v>
      </c>
      <c r="F912" s="45">
        <f>VLOOKUP(B912,'112年全品項生產鍋數'!A:H,7,0)</f>
        <v>29.7</v>
      </c>
      <c r="G912" s="49">
        <f t="shared" si="102"/>
        <v>623.69999999999993</v>
      </c>
      <c r="H912" s="144">
        <v>628</v>
      </c>
      <c r="I912" s="111">
        <f t="shared" si="100"/>
        <v>1884</v>
      </c>
      <c r="J912" s="100">
        <f t="shared" si="97"/>
        <v>1.0068943402276738</v>
      </c>
      <c r="K912" s="51">
        <f>VLOOKUP(B:B,'生產達成率(目標)'!A:C,3,0)</f>
        <v>1</v>
      </c>
      <c r="L912" s="20">
        <f t="shared" si="103"/>
        <v>7.0000000000000001E-3</v>
      </c>
      <c r="M912" s="41" t="str">
        <f>工時!R96</f>
        <v>540</v>
      </c>
      <c r="N912" s="144"/>
      <c r="O912" s="144">
        <f t="shared" si="101"/>
        <v>0</v>
      </c>
      <c r="P912" s="144">
        <v>628</v>
      </c>
      <c r="Q912" s="98">
        <f t="shared" si="99"/>
        <v>1</v>
      </c>
      <c r="R912" s="23"/>
      <c r="S912" s="173"/>
      <c r="T912" s="30"/>
      <c r="U912" s="23"/>
      <c r="V912" s="458"/>
      <c r="X912" s="458"/>
    </row>
    <row r="913" spans="1:30" x14ac:dyDescent="0.4">
      <c r="A913" s="177" t="s">
        <v>846</v>
      </c>
      <c r="B913" s="149" t="s">
        <v>65</v>
      </c>
      <c r="C913" s="30" t="str">
        <f>VLOOKUP(B913,'112年全品項生產鍋數'!A:H,2,0)</f>
        <v>＃1花生(1*2.8kg)</v>
      </c>
      <c r="D913" s="285">
        <v>60</v>
      </c>
      <c r="E913" s="48">
        <f>VLOOKUP(B913,'112年全品項生產鍋數'!A:H,3,0)</f>
        <v>2.8</v>
      </c>
      <c r="F913" s="45">
        <f>VLOOKUP(B913,'112年全品項生產鍋數'!A:H,7,0)</f>
        <v>44.5</v>
      </c>
      <c r="G913" s="49">
        <f t="shared" si="102"/>
        <v>2670</v>
      </c>
      <c r="H913" s="144">
        <f>2386+300</f>
        <v>2686</v>
      </c>
      <c r="I913" s="111">
        <f t="shared" si="100"/>
        <v>7520.7999999999993</v>
      </c>
      <c r="J913" s="100">
        <f t="shared" si="97"/>
        <v>1.005992509363296</v>
      </c>
      <c r="K913" s="51">
        <f>VLOOKUP(B:B,'生產達成率(目標)'!A:C,3,0)</f>
        <v>1</v>
      </c>
      <c r="L913" s="20">
        <f t="shared" si="103"/>
        <v>6.0000000000000001E-3</v>
      </c>
      <c r="M913" s="41" t="str">
        <f>工時!R97</f>
        <v>540</v>
      </c>
      <c r="N913" s="144"/>
      <c r="O913" s="144">
        <f t="shared" si="101"/>
        <v>1</v>
      </c>
      <c r="P913" s="144">
        <f>2385+300</f>
        <v>2685</v>
      </c>
      <c r="Q913" s="98">
        <f t="shared" si="99"/>
        <v>0.99962769918093819</v>
      </c>
      <c r="R913" s="23"/>
      <c r="S913" s="173"/>
      <c r="T913" s="30" t="s">
        <v>557</v>
      </c>
      <c r="U913" s="23"/>
      <c r="V913" s="458"/>
      <c r="X913" s="458"/>
    </row>
    <row r="914" spans="1:30" x14ac:dyDescent="0.4">
      <c r="A914" s="177" t="s">
        <v>846</v>
      </c>
      <c r="B914" s="149">
        <v>111010</v>
      </c>
      <c r="C914" s="30" t="str">
        <f>VLOOKUP(B914,'112年全品項生產鍋數'!A:H,2,0)</f>
        <v>糖漬桔皮絲</v>
      </c>
      <c r="D914" s="285">
        <v>1</v>
      </c>
      <c r="E914" s="48">
        <f>VLOOKUP(B914,'112年全品項生產鍋數'!A:H,3,0)</f>
        <v>1</v>
      </c>
      <c r="F914" s="45">
        <f>VLOOKUP(B914,'112年全品項生產鍋數'!A:H,7,0)</f>
        <v>942</v>
      </c>
      <c r="G914" s="49">
        <f t="shared" si="102"/>
        <v>942</v>
      </c>
      <c r="H914" s="144">
        <v>953</v>
      </c>
      <c r="I914" s="111">
        <f t="shared" si="100"/>
        <v>953</v>
      </c>
      <c r="J914" s="100">
        <f t="shared" si="97"/>
        <v>1.0116772823779194</v>
      </c>
      <c r="K914" s="51">
        <f>VLOOKUP(B:B,'生產達成率(目標)'!A:C,3,0)</f>
        <v>1</v>
      </c>
      <c r="L914" s="20">
        <f t="shared" si="103"/>
        <v>1.2E-2</v>
      </c>
      <c r="M914" s="41" t="str">
        <f>工時!R98</f>
        <v>0</v>
      </c>
      <c r="N914" s="144"/>
      <c r="O914" s="144">
        <f t="shared" si="101"/>
        <v>0</v>
      </c>
      <c r="P914" s="144">
        <v>953</v>
      </c>
      <c r="Q914" s="98">
        <f t="shared" si="99"/>
        <v>1</v>
      </c>
      <c r="R914" s="23"/>
      <c r="S914" s="173"/>
      <c r="T914" s="30"/>
      <c r="U914" s="23"/>
      <c r="V914" s="458"/>
      <c r="X914" s="458"/>
    </row>
    <row r="915" spans="1:30" x14ac:dyDescent="0.4">
      <c r="A915" s="177" t="s">
        <v>847</v>
      </c>
      <c r="B915" s="149" t="s">
        <v>61</v>
      </c>
      <c r="C915" s="30" t="str">
        <f>VLOOKUP(B915,'112年全品項生產鍋數'!A:H,2,0)</f>
        <v>大圓草莓-新</v>
      </c>
      <c r="D915" s="285">
        <v>44</v>
      </c>
      <c r="E915" s="48">
        <f>VLOOKUP(B915,'112年全品項生產鍋數'!A:H,3,0)</f>
        <v>0.44</v>
      </c>
      <c r="F915" s="45">
        <f>VLOOKUP(B915,'112年全品項生產鍋數'!A:H,7,0)</f>
        <v>344</v>
      </c>
      <c r="G915" s="49">
        <f t="shared" si="102"/>
        <v>15136</v>
      </c>
      <c r="H915" s="144">
        <v>15245</v>
      </c>
      <c r="I915" s="111">
        <f t="shared" si="100"/>
        <v>6707.8</v>
      </c>
      <c r="J915" s="100">
        <f t="shared" si="97"/>
        <v>1.0072013742071881</v>
      </c>
      <c r="K915" s="51">
        <f>VLOOKUP(B:B,'生產達成率(目標)'!A:C,3,0)</f>
        <v>1</v>
      </c>
      <c r="L915" s="20">
        <f t="shared" si="103"/>
        <v>7.0000000000000001E-3</v>
      </c>
      <c r="M915" s="41" t="str">
        <f>工時!R99</f>
        <v>540</v>
      </c>
      <c r="N915" s="144"/>
      <c r="O915" s="144">
        <f t="shared" si="101"/>
        <v>13</v>
      </c>
      <c r="P915" s="144">
        <v>15232</v>
      </c>
      <c r="Q915" s="98">
        <f t="shared" si="99"/>
        <v>0.99914726139717935</v>
      </c>
      <c r="R915" s="23"/>
      <c r="S915" s="173"/>
      <c r="T915" s="30"/>
      <c r="U915" s="23"/>
      <c r="V915" s="458"/>
      <c r="X915" s="458"/>
    </row>
    <row r="916" spans="1:30" x14ac:dyDescent="0.4">
      <c r="A916" s="177" t="s">
        <v>847</v>
      </c>
      <c r="B916" s="149" t="s">
        <v>63</v>
      </c>
      <c r="C916" s="30" t="str">
        <f>VLOOKUP(B916,'112年全品項生產鍋數'!A:H,2,0)</f>
        <v>草莓蒟蒻餡(1*6kg)</v>
      </c>
      <c r="D916" s="285">
        <v>20</v>
      </c>
      <c r="E916" s="48">
        <f>VLOOKUP(B916,'112年全品項生產鍋數'!A:H,3,0)</f>
        <v>6</v>
      </c>
      <c r="F916" s="45">
        <f>VLOOKUP(B916,'112年全品項生產鍋數'!A:H,7,0)</f>
        <v>25.7</v>
      </c>
      <c r="G916" s="49">
        <f t="shared" si="102"/>
        <v>514</v>
      </c>
      <c r="H916" s="144">
        <f>303+209</f>
        <v>512</v>
      </c>
      <c r="I916" s="111">
        <f t="shared" si="100"/>
        <v>3072</v>
      </c>
      <c r="J916" s="100">
        <f t="shared" si="97"/>
        <v>0.99610894941634243</v>
      </c>
      <c r="K916" s="51">
        <f>VLOOKUP(B:B,'生產達成率(目標)'!A:C,3,0)</f>
        <v>1</v>
      </c>
      <c r="L916" s="20">
        <f t="shared" si="103"/>
        <v>-4.0000000000000001E-3</v>
      </c>
      <c r="M916" s="41" t="str">
        <f>工時!R100</f>
        <v>270</v>
      </c>
      <c r="N916" s="144"/>
      <c r="O916" s="144">
        <f t="shared" si="101"/>
        <v>1</v>
      </c>
      <c r="P916" s="144">
        <f>302+209</f>
        <v>511</v>
      </c>
      <c r="Q916" s="98">
        <f t="shared" si="99"/>
        <v>0.998046875</v>
      </c>
      <c r="R916" s="23"/>
      <c r="S916" s="173"/>
      <c r="T916" s="30"/>
      <c r="U916" s="23"/>
      <c r="V916" s="458"/>
      <c r="X916" s="458"/>
    </row>
    <row r="917" spans="1:30" x14ac:dyDescent="0.4">
      <c r="A917" s="177" t="s">
        <v>847</v>
      </c>
      <c r="B917" s="149" t="s">
        <v>64</v>
      </c>
      <c r="C917" s="30" t="str">
        <f>VLOOKUP(B917,'112年全品項生產鍋數'!A:H,2,0)</f>
        <v>藍莓餡(1*6KG)</v>
      </c>
      <c r="D917" s="285">
        <v>20</v>
      </c>
      <c r="E917" s="48">
        <f>VLOOKUP(B917,'112年全品項生產鍋數'!A:H,3,0)</f>
        <v>6</v>
      </c>
      <c r="F917" s="45">
        <f>VLOOKUP(B917,'112年全品項生產鍋數'!A:H,7,0)</f>
        <v>25.4</v>
      </c>
      <c r="G917" s="49">
        <f t="shared" si="102"/>
        <v>508</v>
      </c>
      <c r="H917" s="144">
        <f>298+205</f>
        <v>503</v>
      </c>
      <c r="I917" s="111">
        <f t="shared" si="100"/>
        <v>3018</v>
      </c>
      <c r="J917" s="100">
        <f t="shared" si="97"/>
        <v>0.99015748031496065</v>
      </c>
      <c r="K917" s="51">
        <f>VLOOKUP(B:B,'生產達成率(目標)'!A:C,3,0)</f>
        <v>1</v>
      </c>
      <c r="L917" s="20">
        <f t="shared" si="103"/>
        <v>-0.01</v>
      </c>
      <c r="M917" s="41" t="str">
        <f>工時!R101</f>
        <v>330</v>
      </c>
      <c r="N917" s="144"/>
      <c r="O917" s="144">
        <f t="shared" si="101"/>
        <v>1</v>
      </c>
      <c r="P917" s="144">
        <f>297+205</f>
        <v>502</v>
      </c>
      <c r="Q917" s="98">
        <f t="shared" si="99"/>
        <v>0.99801192842942343</v>
      </c>
      <c r="R917" s="23"/>
      <c r="S917" s="173"/>
      <c r="T917" s="30"/>
      <c r="U917" s="23"/>
      <c r="V917" s="458"/>
      <c r="X917" s="458"/>
    </row>
    <row r="918" spans="1:30" x14ac:dyDescent="0.4">
      <c r="A918" s="177" t="s">
        <v>847</v>
      </c>
      <c r="B918" s="149" t="s">
        <v>23</v>
      </c>
      <c r="C918" s="30" t="str">
        <f>VLOOKUP(B918,'112年全品項生產鍋數'!A:H,2,0)</f>
        <v>＃1花生(粒)(1*2.8kg)</v>
      </c>
      <c r="D918" s="285">
        <v>40</v>
      </c>
      <c r="E918" s="48">
        <f>VLOOKUP(B918,'112年全品項生產鍋數'!A:H,3,0)</f>
        <v>2.8</v>
      </c>
      <c r="F918" s="45">
        <f>VLOOKUP(B918,'112年全品項生產鍋數'!A:H,7,0)</f>
        <v>44.2</v>
      </c>
      <c r="G918" s="49">
        <f t="shared" si="102"/>
        <v>1768</v>
      </c>
      <c r="H918" s="144">
        <v>1797</v>
      </c>
      <c r="I918" s="111">
        <f t="shared" si="100"/>
        <v>5031.5999999999995</v>
      </c>
      <c r="J918" s="100">
        <f t="shared" si="97"/>
        <v>1.0164027149321266</v>
      </c>
      <c r="K918" s="51">
        <f>VLOOKUP(B:B,'生產達成率(目標)'!A:C,3,0)</f>
        <v>1</v>
      </c>
      <c r="L918" s="20">
        <f t="shared" si="103"/>
        <v>1.6E-2</v>
      </c>
      <c r="M918" s="41" t="str">
        <f>工時!R102</f>
        <v>480</v>
      </c>
      <c r="N918" s="144"/>
      <c r="O918" s="144">
        <f t="shared" si="101"/>
        <v>1</v>
      </c>
      <c r="P918" s="144">
        <v>1796</v>
      </c>
      <c r="Q918" s="98">
        <f t="shared" si="99"/>
        <v>0.99944351697273237</v>
      </c>
      <c r="R918" s="23"/>
      <c r="S918" s="173"/>
      <c r="T918" s="30"/>
      <c r="U918" s="23"/>
      <c r="V918" s="458"/>
      <c r="X918" s="458"/>
    </row>
    <row r="919" spans="1:30" x14ac:dyDescent="0.4">
      <c r="A919" s="177" t="s">
        <v>847</v>
      </c>
      <c r="B919" s="149" t="s">
        <v>558</v>
      </c>
      <c r="C919" s="30" t="str">
        <f>VLOOKUP(B919,'112年全品項生產鍋數'!A:H,2,0)</f>
        <v>＃1花生(粒)(1*2.8kg)</v>
      </c>
      <c r="D919" s="285">
        <v>20</v>
      </c>
      <c r="E919" s="48">
        <f>VLOOKUP(B919,'112年全品項生產鍋數'!A:H,3,0)</f>
        <v>2.8</v>
      </c>
      <c r="F919" s="45">
        <f>VLOOKUP(B919,'112年全品項生產鍋數'!A:H,7,0)</f>
        <v>44.8</v>
      </c>
      <c r="G919" s="49">
        <f t="shared" si="102"/>
        <v>896</v>
      </c>
      <c r="H919" s="144">
        <v>881</v>
      </c>
      <c r="I919" s="111">
        <f t="shared" si="100"/>
        <v>2466.7999999999997</v>
      </c>
      <c r="J919" s="100">
        <f t="shared" ref="J919:J982" si="104">IF(G919=0,"無法預估數據",H919/G919)</f>
        <v>0.9832589285714286</v>
      </c>
      <c r="K919" s="51">
        <f>VLOOKUP(B:B,'生產達成率(目標)'!A:C,3,0)</f>
        <v>1</v>
      </c>
      <c r="L919" s="20">
        <f t="shared" si="103"/>
        <v>-1.7000000000000001E-2</v>
      </c>
      <c r="M919" s="41" t="str">
        <f>工時!R103</f>
        <v>480</v>
      </c>
      <c r="N919" s="144"/>
      <c r="O919" s="144">
        <f t="shared" si="101"/>
        <v>2</v>
      </c>
      <c r="P919" s="144">
        <v>879</v>
      </c>
      <c r="Q919" s="98">
        <f t="shared" si="99"/>
        <v>0.99772985244040857</v>
      </c>
      <c r="R919" s="23"/>
      <c r="S919" s="173"/>
      <c r="T919" s="30" t="s">
        <v>559</v>
      </c>
      <c r="U919" s="23"/>
      <c r="V919" s="458"/>
      <c r="X919" s="458"/>
    </row>
    <row r="920" spans="1:30" s="22" customFormat="1" x14ac:dyDescent="0.4">
      <c r="A920" s="177" t="s">
        <v>848</v>
      </c>
      <c r="B920" s="149" t="s">
        <v>54</v>
      </c>
      <c r="C920" s="30" t="str">
        <f>VLOOKUP(B920,'112年全品項生產鍋數'!A:H,2,0)</f>
        <v>草莓醬(1*6kg)</v>
      </c>
      <c r="D920" s="285">
        <v>21</v>
      </c>
      <c r="E920" s="48">
        <f>VLOOKUP(B920,'112年全品項生產鍋數'!A:H,3,0)</f>
        <v>6</v>
      </c>
      <c r="F920" s="45">
        <f>VLOOKUP(B920,'112年全品項生產鍋數'!A:H,7,0)</f>
        <v>26.6</v>
      </c>
      <c r="G920" s="49">
        <f t="shared" si="102"/>
        <v>558.6</v>
      </c>
      <c r="H920" s="144">
        <v>558</v>
      </c>
      <c r="I920" s="111">
        <f t="shared" si="100"/>
        <v>3348</v>
      </c>
      <c r="J920" s="100">
        <f t="shared" si="104"/>
        <v>0.99892588614393119</v>
      </c>
      <c r="K920" s="51">
        <f>VLOOKUP(B:B,'生產達成率(目標)'!A:C,3,0)</f>
        <v>1</v>
      </c>
      <c r="L920" s="20">
        <f t="shared" si="103"/>
        <v>-1E-3</v>
      </c>
      <c r="M920" s="41" t="str">
        <f>工時!R104</f>
        <v>340</v>
      </c>
      <c r="N920" s="144"/>
      <c r="O920" s="144">
        <f t="shared" si="101"/>
        <v>1</v>
      </c>
      <c r="P920" s="144">
        <v>557</v>
      </c>
      <c r="Q920" s="98">
        <f t="shared" si="99"/>
        <v>0.99820788530465954</v>
      </c>
      <c r="R920" s="23"/>
      <c r="S920" s="173"/>
      <c r="T920" s="30"/>
      <c r="U920" s="23"/>
      <c r="V920" s="458"/>
      <c r="W920" s="421"/>
      <c r="X920" s="458"/>
      <c r="Y920" s="421"/>
      <c r="Z920" s="421"/>
      <c r="AA920" s="421"/>
      <c r="AB920" s="421"/>
      <c r="AC920" s="421"/>
      <c r="AD920" s="421"/>
    </row>
    <row r="921" spans="1:30" s="22" customFormat="1" x14ac:dyDescent="0.4">
      <c r="A921" s="177" t="s">
        <v>848</v>
      </c>
      <c r="B921" s="149" t="s">
        <v>51</v>
      </c>
      <c r="C921" s="30" t="str">
        <f>VLOOKUP(B921,'112年全品項生產鍋數'!A:H,2,0)</f>
        <v>藍莓醬(1*6kg)</v>
      </c>
      <c r="D921" s="285">
        <v>21</v>
      </c>
      <c r="E921" s="48">
        <f>VLOOKUP(B921,'112年全品項生產鍋數'!A:H,3,0)</f>
        <v>6</v>
      </c>
      <c r="F921" s="45">
        <f>VLOOKUP(B921,'112年全品項生產鍋數'!A:H,7,0)</f>
        <v>25.5</v>
      </c>
      <c r="G921" s="49">
        <f t="shared" si="102"/>
        <v>535.5</v>
      </c>
      <c r="H921" s="144">
        <v>541</v>
      </c>
      <c r="I921" s="111">
        <f t="shared" si="100"/>
        <v>3246</v>
      </c>
      <c r="J921" s="100">
        <f t="shared" si="104"/>
        <v>1.0102707749766573</v>
      </c>
      <c r="K921" s="51">
        <f>VLOOKUP(B:B,'生產達成率(目標)'!A:C,3,0)</f>
        <v>1</v>
      </c>
      <c r="L921" s="20">
        <f t="shared" si="103"/>
        <v>0.01</v>
      </c>
      <c r="M921" s="41" t="str">
        <f>工時!R105</f>
        <v>300</v>
      </c>
      <c r="N921" s="144"/>
      <c r="O921" s="144">
        <f t="shared" si="101"/>
        <v>1</v>
      </c>
      <c r="P921" s="144">
        <v>540</v>
      </c>
      <c r="Q921" s="98">
        <f t="shared" si="99"/>
        <v>0.99815157116451014</v>
      </c>
      <c r="R921" s="23"/>
      <c r="S921" s="173"/>
      <c r="T921" s="30"/>
      <c r="U921" s="23"/>
      <c r="V921" s="458"/>
      <c r="W921" s="421"/>
      <c r="X921" s="458"/>
      <c r="Y921" s="421"/>
      <c r="Z921" s="421"/>
      <c r="AA921" s="421"/>
      <c r="AB921" s="421"/>
      <c r="AC921" s="421"/>
      <c r="AD921" s="421"/>
    </row>
    <row r="922" spans="1:30" s="22" customFormat="1" x14ac:dyDescent="0.4">
      <c r="A922" s="177" t="s">
        <v>848</v>
      </c>
      <c r="B922" s="149" t="s">
        <v>55</v>
      </c>
      <c r="C922" s="30" t="str">
        <f>VLOOKUP(B922,'112年全品項生產鍋數'!A:H,2,0)</f>
        <v>天天開心草莓餡4.5KG</v>
      </c>
      <c r="D922" s="285">
        <v>40</v>
      </c>
      <c r="E922" s="48">
        <f>VLOOKUP(B922,'112年全品項生產鍋數'!A:H,3,0)</f>
        <v>4.5</v>
      </c>
      <c r="F922" s="45">
        <f>VLOOKUP(B922,'112年全品項生產鍋數'!A:H,7,0)</f>
        <v>36.299999999999997</v>
      </c>
      <c r="G922" s="49">
        <f t="shared" si="102"/>
        <v>1452</v>
      </c>
      <c r="H922" s="144">
        <v>1456</v>
      </c>
      <c r="I922" s="111">
        <f t="shared" si="100"/>
        <v>6552</v>
      </c>
      <c r="J922" s="100">
        <f t="shared" si="104"/>
        <v>1.002754820936639</v>
      </c>
      <c r="K922" s="51">
        <f>VLOOKUP(B:B,'生產達成率(目標)'!A:C,3,0)</f>
        <v>1</v>
      </c>
      <c r="L922" s="20">
        <f t="shared" si="103"/>
        <v>3.0000000000000001E-3</v>
      </c>
      <c r="M922" s="41" t="str">
        <f>工時!R106</f>
        <v>570</v>
      </c>
      <c r="N922" s="144"/>
      <c r="O922" s="144">
        <f t="shared" si="101"/>
        <v>0</v>
      </c>
      <c r="P922" s="144">
        <v>1456</v>
      </c>
      <c r="Q922" s="98">
        <f t="shared" si="99"/>
        <v>1</v>
      </c>
      <c r="R922" s="23"/>
      <c r="S922" s="173"/>
      <c r="T922" s="30"/>
      <c r="U922" s="23"/>
      <c r="V922" s="458"/>
      <c r="W922" s="421"/>
      <c r="X922" s="458"/>
      <c r="Y922" s="421"/>
      <c r="Z922" s="421"/>
      <c r="AA922" s="421"/>
      <c r="AB922" s="421"/>
      <c r="AC922" s="421"/>
      <c r="AD922" s="421"/>
    </row>
    <row r="923" spans="1:30" s="22" customFormat="1" x14ac:dyDescent="0.4">
      <c r="A923" s="177" t="s">
        <v>848</v>
      </c>
      <c r="B923" s="149" t="s">
        <v>58</v>
      </c>
      <c r="C923" s="30" t="str">
        <f>VLOOKUP(B923,'112年全品項生產鍋數'!A:H,2,0)</f>
        <v>PET大花生(1*400g)</v>
      </c>
      <c r="D923" s="285">
        <v>40</v>
      </c>
      <c r="E923" s="48">
        <f>VLOOKUP(B923,'112年全品項生產鍋數'!A:H,3,0)</f>
        <v>0.4</v>
      </c>
      <c r="F923" s="45">
        <f>VLOOKUP(B923,'112年全品項生產鍋數'!A:H,7,0)</f>
        <v>309.2</v>
      </c>
      <c r="G923" s="49">
        <f t="shared" si="102"/>
        <v>12368</v>
      </c>
      <c r="H923" s="144">
        <v>12404</v>
      </c>
      <c r="I923" s="111">
        <f t="shared" si="100"/>
        <v>4961.6000000000004</v>
      </c>
      <c r="J923" s="100">
        <f t="shared" si="104"/>
        <v>1.0029107373868047</v>
      </c>
      <c r="K923" s="51">
        <f>VLOOKUP(B:B,'生產達成率(目標)'!A:C,3,0)</f>
        <v>1</v>
      </c>
      <c r="L923" s="20">
        <f t="shared" si="103"/>
        <v>3.0000000000000001E-3</v>
      </c>
      <c r="M923" s="41" t="str">
        <f>工時!R107</f>
        <v>540</v>
      </c>
      <c r="N923" s="144"/>
      <c r="O923" s="144">
        <f t="shared" si="101"/>
        <v>3</v>
      </c>
      <c r="P923" s="144">
        <v>12401</v>
      </c>
      <c r="Q923" s="98">
        <f t="shared" si="99"/>
        <v>0.99975814253466622</v>
      </c>
      <c r="R923" s="23"/>
      <c r="S923" s="173"/>
      <c r="T923" s="30"/>
      <c r="U923" s="23"/>
      <c r="V923" s="458"/>
      <c r="W923" s="421"/>
      <c r="X923" s="458"/>
      <c r="Y923" s="421"/>
      <c r="Z923" s="421"/>
      <c r="AA923" s="421"/>
      <c r="AB923" s="421"/>
      <c r="AC923" s="421"/>
      <c r="AD923" s="421"/>
    </row>
    <row r="924" spans="1:30" s="22" customFormat="1" x14ac:dyDescent="0.4">
      <c r="A924" s="177" t="s">
        <v>848</v>
      </c>
      <c r="B924" s="149">
        <v>153010</v>
      </c>
      <c r="C924" s="30" t="str">
        <f>VLOOKUP(B924,'112年全品項生產鍋數'!A:H,2,0)</f>
        <v>蜜桔皮6m/m</v>
      </c>
      <c r="D924" s="290">
        <v>1</v>
      </c>
      <c r="E924" s="48">
        <f>VLOOKUP(B924,'112年全品項生產鍋數'!A:H,3,0)</f>
        <v>1</v>
      </c>
      <c r="F924" s="45">
        <f>VLOOKUP(B924,'112年全品項生產鍋數'!A:H,7,0)</f>
        <v>591</v>
      </c>
      <c r="G924" s="49">
        <f t="shared" si="102"/>
        <v>591</v>
      </c>
      <c r="H924" s="144">
        <v>572</v>
      </c>
      <c r="I924" s="112">
        <f t="shared" si="100"/>
        <v>572</v>
      </c>
      <c r="J924" s="100">
        <f t="shared" si="104"/>
        <v>0.96785109983079531</v>
      </c>
      <c r="K924" s="109">
        <v>1</v>
      </c>
      <c r="L924" s="20">
        <f t="shared" si="103"/>
        <v>-3.2000000000000001E-2</v>
      </c>
      <c r="M924" s="217" t="s">
        <v>1002</v>
      </c>
      <c r="N924" s="144"/>
      <c r="O924" s="144">
        <f t="shared" si="101"/>
        <v>0</v>
      </c>
      <c r="P924" s="144">
        <v>572</v>
      </c>
      <c r="Q924" s="98">
        <f t="shared" si="99"/>
        <v>1</v>
      </c>
      <c r="R924" s="23"/>
      <c r="S924" s="173"/>
      <c r="T924" s="30"/>
      <c r="U924" s="23"/>
      <c r="V924" s="458"/>
      <c r="W924" s="421"/>
      <c r="X924" s="458"/>
      <c r="Y924" s="421"/>
      <c r="Z924" s="421"/>
      <c r="AA924" s="421"/>
      <c r="AB924" s="421"/>
      <c r="AC924" s="421"/>
      <c r="AD924" s="421"/>
    </row>
    <row r="925" spans="1:30" s="22" customFormat="1" x14ac:dyDescent="0.4">
      <c r="A925" s="177" t="s">
        <v>849</v>
      </c>
      <c r="B925" s="149" t="s">
        <v>71</v>
      </c>
      <c r="C925" s="30" t="str">
        <f>VLOOKUP(B925,'112年全品項生產鍋數'!A:H,2,0)</f>
        <v>＃1草莓(1*3.2kg)</v>
      </c>
      <c r="D925" s="285">
        <v>72</v>
      </c>
      <c r="E925" s="48">
        <f>VLOOKUP(B925,'112年全品項生產鍋數'!A:H,3,0)</f>
        <v>3.2</v>
      </c>
      <c r="F925" s="45">
        <f>VLOOKUP(B925,'112年全品項生產鍋數'!A:H,7,0)</f>
        <v>46.8</v>
      </c>
      <c r="G925" s="49">
        <f t="shared" si="102"/>
        <v>3369.6</v>
      </c>
      <c r="H925" s="144">
        <v>3388</v>
      </c>
      <c r="I925" s="111">
        <f t="shared" si="100"/>
        <v>10841.6</v>
      </c>
      <c r="J925" s="100">
        <f t="shared" si="104"/>
        <v>1.0054605887939221</v>
      </c>
      <c r="K925" s="51">
        <f>VLOOKUP(B:B,'生產達成率(目標)'!A:C,3,0)</f>
        <v>1</v>
      </c>
      <c r="L925" s="20">
        <f t="shared" si="103"/>
        <v>5.0000000000000001E-3</v>
      </c>
      <c r="M925" s="41" t="str">
        <f>工時!R109</f>
        <v>540</v>
      </c>
      <c r="N925" s="144"/>
      <c r="O925" s="144">
        <f t="shared" si="101"/>
        <v>2</v>
      </c>
      <c r="P925" s="144">
        <v>3386</v>
      </c>
      <c r="Q925" s="98">
        <f t="shared" si="99"/>
        <v>0.999409681227863</v>
      </c>
      <c r="R925" s="23"/>
      <c r="S925" s="173"/>
      <c r="T925" s="30"/>
      <c r="U925" s="23"/>
      <c r="V925" s="458"/>
      <c r="W925" s="421"/>
      <c r="X925" s="458"/>
      <c r="Y925" s="421"/>
      <c r="Z925" s="421"/>
      <c r="AA925" s="421"/>
      <c r="AB925" s="421"/>
      <c r="AC925" s="421"/>
      <c r="AD925" s="421"/>
    </row>
    <row r="926" spans="1:30" s="22" customFormat="1" x14ac:dyDescent="0.4">
      <c r="A926" s="177" t="s">
        <v>849</v>
      </c>
      <c r="B926" s="149" t="s">
        <v>140</v>
      </c>
      <c r="C926" s="30" t="str">
        <f>VLOOKUP(B926,'112年全品項生產鍋數'!A:H,2,0)</f>
        <v>草莓餡(1*6Kg)</v>
      </c>
      <c r="D926" s="285">
        <v>16</v>
      </c>
      <c r="E926" s="48">
        <f>VLOOKUP(B926,'112年全品項生產鍋數'!A:H,3,0)</f>
        <v>6</v>
      </c>
      <c r="F926" s="45">
        <f>VLOOKUP(B926,'112年全品項生產鍋數'!A:H,7,0)</f>
        <v>25.5</v>
      </c>
      <c r="G926" s="49">
        <f t="shared" si="102"/>
        <v>408</v>
      </c>
      <c r="H926" s="144">
        <v>406</v>
      </c>
      <c r="I926" s="111">
        <f t="shared" si="100"/>
        <v>2436</v>
      </c>
      <c r="J926" s="100">
        <f t="shared" si="104"/>
        <v>0.99509803921568629</v>
      </c>
      <c r="K926" s="51">
        <f>VLOOKUP(B:B,'生產達成率(目標)'!A:C,3,0)</f>
        <v>1</v>
      </c>
      <c r="L926" s="20">
        <f t="shared" si="103"/>
        <v>-5.0000000000000001E-3</v>
      </c>
      <c r="M926" s="41" t="str">
        <f>工時!R110</f>
        <v>230</v>
      </c>
      <c r="N926" s="144"/>
      <c r="O926" s="144">
        <f t="shared" si="101"/>
        <v>1</v>
      </c>
      <c r="P926" s="144">
        <v>405</v>
      </c>
      <c r="Q926" s="98">
        <f t="shared" si="99"/>
        <v>0.99753694581280783</v>
      </c>
      <c r="R926" s="23"/>
      <c r="S926" s="173"/>
      <c r="T926" s="30"/>
      <c r="U926" s="23"/>
      <c r="V926" s="458"/>
      <c r="W926" s="421"/>
      <c r="X926" s="458"/>
      <c r="Y926" s="421"/>
      <c r="Z926" s="421"/>
      <c r="AA926" s="421"/>
      <c r="AB926" s="421"/>
      <c r="AC926" s="421"/>
      <c r="AD926" s="421"/>
    </row>
    <row r="927" spans="1:30" s="22" customFormat="1" x14ac:dyDescent="0.4">
      <c r="A927" s="177" t="s">
        <v>849</v>
      </c>
      <c r="B927" s="149" t="s">
        <v>81</v>
      </c>
      <c r="C927" s="30" t="str">
        <f>VLOOKUP(B927,'112年全品項生產鍋數'!A:H,2,0)</f>
        <v>藍莓餡(1*6Kg)</v>
      </c>
      <c r="D927" s="285">
        <v>16</v>
      </c>
      <c r="E927" s="48">
        <f>VLOOKUP(B927,'112年全品項生產鍋數'!A:H,3,0)</f>
        <v>6</v>
      </c>
      <c r="F927" s="45">
        <f>VLOOKUP(B927,'112年全品項生產鍋數'!A:H,7,0)</f>
        <v>25.1</v>
      </c>
      <c r="G927" s="49">
        <f t="shared" si="102"/>
        <v>401.6</v>
      </c>
      <c r="H927" s="144">
        <v>402</v>
      </c>
      <c r="I927" s="111">
        <f t="shared" si="100"/>
        <v>2412</v>
      </c>
      <c r="J927" s="100">
        <f t="shared" si="104"/>
        <v>1.000996015936255</v>
      </c>
      <c r="K927" s="51">
        <f>VLOOKUP(B:B,'生產達成率(目標)'!A:C,3,0)</f>
        <v>1</v>
      </c>
      <c r="L927" s="20">
        <f t="shared" si="103"/>
        <v>1E-3</v>
      </c>
      <c r="M927" s="41" t="str">
        <f>工時!R111</f>
        <v>240</v>
      </c>
      <c r="N927" s="144"/>
      <c r="O927" s="144">
        <f t="shared" si="101"/>
        <v>1</v>
      </c>
      <c r="P927" s="144">
        <v>401</v>
      </c>
      <c r="Q927" s="98">
        <f t="shared" si="99"/>
        <v>0.99751243781094523</v>
      </c>
      <c r="R927" s="23"/>
      <c r="S927" s="173"/>
      <c r="T927" s="30"/>
      <c r="U927" s="23"/>
      <c r="V927" s="458"/>
      <c r="W927" s="421"/>
      <c r="X927" s="458"/>
      <c r="Y927" s="421"/>
      <c r="Z927" s="421"/>
      <c r="AA927" s="421"/>
      <c r="AB927" s="421"/>
      <c r="AC927" s="421"/>
      <c r="AD927" s="421"/>
    </row>
    <row r="928" spans="1:30" s="22" customFormat="1" x14ac:dyDescent="0.4">
      <c r="A928" s="177" t="s">
        <v>849</v>
      </c>
      <c r="B928" s="149" t="s">
        <v>571</v>
      </c>
      <c r="C928" s="30" t="str">
        <f>VLOOKUP(B928,'112年全品項生產鍋數'!A:H,2,0)</f>
        <v>綜合莓果餡(1*6Kg)</v>
      </c>
      <c r="D928" s="285">
        <v>8</v>
      </c>
      <c r="E928" s="48">
        <f>VLOOKUP(B928,'112年全品項生產鍋數'!A:H,3,0)</f>
        <v>6</v>
      </c>
      <c r="F928" s="45">
        <f>VLOOKUP(B928,'112年全品項生產鍋數'!A:H,7,0)</f>
        <v>26</v>
      </c>
      <c r="G928" s="49">
        <f t="shared" si="102"/>
        <v>208</v>
      </c>
      <c r="H928" s="144">
        <v>207</v>
      </c>
      <c r="I928" s="111">
        <f t="shared" si="100"/>
        <v>1242</v>
      </c>
      <c r="J928" s="100">
        <f t="shared" si="104"/>
        <v>0.99519230769230771</v>
      </c>
      <c r="K928" s="51">
        <f>VLOOKUP(B:B,'生產達成率(目標)'!A:C,3,0)</f>
        <v>1</v>
      </c>
      <c r="L928" s="20">
        <f t="shared" si="103"/>
        <v>-5.0000000000000001E-3</v>
      </c>
      <c r="M928" s="41" t="str">
        <f>工時!R112</f>
        <v>152</v>
      </c>
      <c r="N928" s="144"/>
      <c r="O928" s="144">
        <f t="shared" si="101"/>
        <v>1</v>
      </c>
      <c r="P928" s="144">
        <v>206</v>
      </c>
      <c r="Q928" s="98">
        <f t="shared" si="99"/>
        <v>0.99516908212560384</v>
      </c>
      <c r="R928" s="23"/>
      <c r="S928" s="173"/>
      <c r="T928" s="30"/>
      <c r="U928" s="23"/>
      <c r="V928" s="458"/>
      <c r="W928" s="421"/>
      <c r="X928" s="458"/>
      <c r="Y928" s="421"/>
      <c r="Z928" s="421"/>
      <c r="AA928" s="421"/>
      <c r="AB928" s="421"/>
      <c r="AC928" s="421"/>
      <c r="AD928" s="421"/>
    </row>
    <row r="929" spans="1:30" s="22" customFormat="1" x14ac:dyDescent="0.4">
      <c r="A929" s="177" t="s">
        <v>849</v>
      </c>
      <c r="B929" s="149" t="s">
        <v>73</v>
      </c>
      <c r="C929" s="30" t="str">
        <f>VLOOKUP(B929,'112年全品項生產鍋數'!A:H,2,0)</f>
        <v>顆粒花生醬(1*12KG)</v>
      </c>
      <c r="D929" s="285">
        <v>21</v>
      </c>
      <c r="E929" s="48">
        <f>VLOOKUP(B929,'112年全品項生產鍋數'!A:H,3,0)</f>
        <v>3</v>
      </c>
      <c r="F929" s="45">
        <f>VLOOKUP(B929,'112年全品項生產鍋數'!A:H,7,0)</f>
        <v>29.7</v>
      </c>
      <c r="G929" s="49">
        <f t="shared" si="102"/>
        <v>623.69999999999993</v>
      </c>
      <c r="H929" s="144">
        <v>628</v>
      </c>
      <c r="I929" s="111">
        <f t="shared" si="100"/>
        <v>1884</v>
      </c>
      <c r="J929" s="100">
        <f t="shared" si="104"/>
        <v>1.0068943402276738</v>
      </c>
      <c r="K929" s="51">
        <f>VLOOKUP(B:B,'生產達成率(目標)'!A:C,3,0)</f>
        <v>1</v>
      </c>
      <c r="L929" s="20">
        <f t="shared" si="103"/>
        <v>7.0000000000000001E-3</v>
      </c>
      <c r="M929" s="41" t="str">
        <f>工時!R113</f>
        <v>540</v>
      </c>
      <c r="N929" s="144"/>
      <c r="O929" s="144">
        <f t="shared" si="101"/>
        <v>0</v>
      </c>
      <c r="P929" s="144">
        <v>628</v>
      </c>
      <c r="Q929" s="98">
        <f t="shared" si="99"/>
        <v>1</v>
      </c>
      <c r="R929" s="23"/>
      <c r="S929" s="173"/>
      <c r="T929" s="30"/>
      <c r="U929" s="23"/>
      <c r="V929" s="458"/>
      <c r="W929" s="421"/>
      <c r="X929" s="458"/>
      <c r="Y929" s="421"/>
      <c r="Z929" s="421"/>
      <c r="AA929" s="421"/>
      <c r="AB929" s="421"/>
      <c r="AC929" s="421"/>
      <c r="AD929" s="421"/>
    </row>
    <row r="930" spans="1:30" s="22" customFormat="1" x14ac:dyDescent="0.4">
      <c r="A930" s="177" t="s">
        <v>850</v>
      </c>
      <c r="B930" s="149" t="s">
        <v>106</v>
      </c>
      <c r="C930" s="30" t="str">
        <f>VLOOKUP(B930,'112年全品項生產鍋數'!A:H,2,0)</f>
        <v>小藍莓1*260G</v>
      </c>
      <c r="D930" s="285">
        <v>16</v>
      </c>
      <c r="E930" s="48">
        <f>VLOOKUP(B930,'112年全品項生產鍋數'!A:H,3,0)</f>
        <v>0.26</v>
      </c>
      <c r="F930" s="45">
        <f>VLOOKUP(B930,'112年全品項生產鍋數'!A:H,7,0)</f>
        <v>584.29999999999995</v>
      </c>
      <c r="G930" s="49">
        <f t="shared" si="102"/>
        <v>9348.7999999999993</v>
      </c>
      <c r="H930" s="144">
        <v>9431</v>
      </c>
      <c r="I930" s="111">
        <f t="shared" si="100"/>
        <v>2452.06</v>
      </c>
      <c r="J930" s="100">
        <f t="shared" si="104"/>
        <v>1.0087925723087456</v>
      </c>
      <c r="K930" s="51">
        <f>VLOOKUP(B:B,'生產達成率(目標)'!A:C,3,0)</f>
        <v>1</v>
      </c>
      <c r="L930" s="20">
        <f t="shared" si="103"/>
        <v>8.9999999999999993E-3</v>
      </c>
      <c r="M930" s="41" t="str">
        <f>工時!R114</f>
        <v>320</v>
      </c>
      <c r="N930" s="144"/>
      <c r="O930" s="144">
        <f t="shared" si="101"/>
        <v>13</v>
      </c>
      <c r="P930" s="144">
        <v>9418</v>
      </c>
      <c r="Q930" s="98">
        <f t="shared" si="99"/>
        <v>0.99862156717209205</v>
      </c>
      <c r="R930" s="23"/>
      <c r="S930" s="173"/>
      <c r="T930" s="30"/>
      <c r="U930" s="23"/>
      <c r="V930" s="458"/>
      <c r="W930" s="421"/>
      <c r="X930" s="458"/>
      <c r="Y930" s="421"/>
      <c r="Z930" s="421"/>
      <c r="AA930" s="421"/>
      <c r="AB930" s="421"/>
      <c r="AC930" s="421"/>
      <c r="AD930" s="421"/>
    </row>
    <row r="931" spans="1:30" s="22" customFormat="1" ht="18" customHeight="1" x14ac:dyDescent="0.4">
      <c r="A931" s="177" t="s">
        <v>850</v>
      </c>
      <c r="B931" s="149" t="s">
        <v>36</v>
      </c>
      <c r="C931" s="30" t="str">
        <f>VLOOKUP(B931,'112年全品項生產鍋數'!A:H,2,0)</f>
        <v>開心草莓果醬(1*430g)</v>
      </c>
      <c r="D931" s="285">
        <v>15</v>
      </c>
      <c r="E931" s="48">
        <f>VLOOKUP(B931,'112年全品項生產鍋數'!A:H,3,0)</f>
        <v>0.43</v>
      </c>
      <c r="F931" s="45">
        <f>VLOOKUP(B931,'112年全品項生產鍋數'!A:H,7,0)</f>
        <v>364</v>
      </c>
      <c r="G931" s="49">
        <f t="shared" si="102"/>
        <v>5460</v>
      </c>
      <c r="H931" s="144">
        <v>4975</v>
      </c>
      <c r="I931" s="111">
        <f t="shared" si="100"/>
        <v>2139.25</v>
      </c>
      <c r="J931" s="100">
        <f t="shared" si="104"/>
        <v>0.91117216117216115</v>
      </c>
      <c r="K931" s="51">
        <f>VLOOKUP(B:B,'生產達成率(目標)'!A:C,3,0)</f>
        <v>1</v>
      </c>
      <c r="L931" s="20">
        <f t="shared" si="103"/>
        <v>-8.8999999999999996E-2</v>
      </c>
      <c r="M931" s="41" t="str">
        <f>工時!R115</f>
        <v>390</v>
      </c>
      <c r="N931" s="144">
        <v>4</v>
      </c>
      <c r="O931" s="144">
        <f>H931-N931-P931</f>
        <v>452</v>
      </c>
      <c r="P931" s="144">
        <v>4519</v>
      </c>
      <c r="Q931" s="98">
        <f t="shared" si="99"/>
        <v>0.90834170854271357</v>
      </c>
      <c r="R931" s="23"/>
      <c r="S931" s="173"/>
      <c r="T931" s="108" t="s">
        <v>592</v>
      </c>
      <c r="U931" s="23"/>
      <c r="V931" s="458"/>
      <c r="W931" s="421"/>
      <c r="X931" s="458"/>
      <c r="Y931" s="421"/>
      <c r="Z931" s="421"/>
      <c r="AA931" s="421"/>
      <c r="AB931" s="421"/>
      <c r="AC931" s="421"/>
      <c r="AD931" s="421"/>
    </row>
    <row r="932" spans="1:30" s="22" customFormat="1" x14ac:dyDescent="0.4">
      <c r="A932" s="177" t="s">
        <v>850</v>
      </c>
      <c r="B932" s="149" t="s">
        <v>107</v>
      </c>
      <c r="C932" s="30" t="str">
        <f>VLOOKUP(B932,'112年全品項生產鍋數'!A:H,2,0)</f>
        <v>藍莓餡(1*6kg)</v>
      </c>
      <c r="D932" s="285">
        <v>16</v>
      </c>
      <c r="E932" s="48">
        <f>VLOOKUP(B932,'112年全品項生產鍋數'!A:H,3,0)</f>
        <v>6</v>
      </c>
      <c r="F932" s="45">
        <f>VLOOKUP(B932,'112年全品項生產鍋數'!A:H,7,0)</f>
        <v>26.4</v>
      </c>
      <c r="G932" s="49">
        <f t="shared" si="102"/>
        <v>422.4</v>
      </c>
      <c r="H932" s="144">
        <v>421</v>
      </c>
      <c r="I932" s="111">
        <f t="shared" si="100"/>
        <v>2526</v>
      </c>
      <c r="J932" s="100">
        <f t="shared" si="104"/>
        <v>0.99668560606060608</v>
      </c>
      <c r="K932" s="51">
        <f>VLOOKUP(B:B,'生產達成率(目標)'!A:C,3,0)</f>
        <v>1</v>
      </c>
      <c r="L932" s="20">
        <f t="shared" si="103"/>
        <v>-3.0000000000000001E-3</v>
      </c>
      <c r="M932" s="41" t="str">
        <f>工時!R116</f>
        <v>450</v>
      </c>
      <c r="N932" s="144"/>
      <c r="O932" s="144">
        <f t="shared" si="101"/>
        <v>1</v>
      </c>
      <c r="P932" s="144">
        <v>420</v>
      </c>
      <c r="Q932" s="98">
        <f t="shared" si="99"/>
        <v>0.99762470308788598</v>
      </c>
      <c r="R932" s="23"/>
      <c r="S932" s="173"/>
      <c r="T932" s="30"/>
      <c r="U932" s="23"/>
      <c r="V932" s="458"/>
      <c r="W932" s="421"/>
      <c r="X932" s="458"/>
      <c r="Y932" s="421"/>
      <c r="Z932" s="421"/>
      <c r="AA932" s="421"/>
      <c r="AB932" s="421"/>
      <c r="AC932" s="421"/>
      <c r="AD932" s="421"/>
    </row>
    <row r="933" spans="1:30" s="22" customFormat="1" x14ac:dyDescent="0.4">
      <c r="A933" s="177" t="s">
        <v>850</v>
      </c>
      <c r="B933" s="149" t="s">
        <v>72</v>
      </c>
      <c r="C933" s="30" t="str">
        <f>VLOOKUP(B933,'112年全品項生產鍋數'!A:H,2,0)</f>
        <v>草莓餡45%(1*6Kg)</v>
      </c>
      <c r="D933" s="285">
        <v>24</v>
      </c>
      <c r="E933" s="48">
        <f>VLOOKUP(B933,'112年全品項生產鍋數'!A:H,3,0)</f>
        <v>6</v>
      </c>
      <c r="F933" s="45">
        <f>VLOOKUP(B933,'112年全品項生產鍋數'!A:H,7,0)</f>
        <v>26.1</v>
      </c>
      <c r="G933" s="49">
        <f t="shared" si="102"/>
        <v>626.40000000000009</v>
      </c>
      <c r="H933" s="144">
        <v>629</v>
      </c>
      <c r="I933" s="111">
        <f t="shared" si="100"/>
        <v>3774</v>
      </c>
      <c r="J933" s="100">
        <f t="shared" si="104"/>
        <v>1.0041507024265643</v>
      </c>
      <c r="K933" s="51">
        <f>VLOOKUP(B:B,'生產達成率(目標)'!A:C,3,0)</f>
        <v>1</v>
      </c>
      <c r="L933" s="20">
        <f t="shared" si="103"/>
        <v>4.0000000000000001E-3</v>
      </c>
      <c r="M933" s="41" t="str">
        <f>工時!R117</f>
        <v>540</v>
      </c>
      <c r="N933" s="144"/>
      <c r="O933" s="144">
        <f t="shared" si="101"/>
        <v>1</v>
      </c>
      <c r="P933" s="144">
        <v>628</v>
      </c>
      <c r="Q933" s="98">
        <f t="shared" si="99"/>
        <v>0.99841017488076311</v>
      </c>
      <c r="R933" s="23"/>
      <c r="S933" s="173"/>
      <c r="T933" s="30"/>
      <c r="U933" s="23"/>
      <c r="V933" s="458"/>
      <c r="W933" s="421"/>
      <c r="X933" s="458"/>
      <c r="Y933" s="421"/>
      <c r="Z933" s="421"/>
      <c r="AA933" s="421"/>
      <c r="AB933" s="421"/>
      <c r="AC933" s="421"/>
      <c r="AD933" s="421"/>
    </row>
    <row r="934" spans="1:30" s="22" customFormat="1" ht="15.75" customHeight="1" x14ac:dyDescent="0.4">
      <c r="A934" s="177" t="s">
        <v>850</v>
      </c>
      <c r="B934" s="149" t="s">
        <v>65</v>
      </c>
      <c r="C934" s="30" t="str">
        <f>VLOOKUP(B934,'112年全品項生產鍋數'!A:H,2,0)</f>
        <v>＃1花生(1*2.8kg)</v>
      </c>
      <c r="D934" s="285">
        <v>72</v>
      </c>
      <c r="E934" s="48">
        <f>VLOOKUP(B934,'112年全品項生產鍋數'!A:H,3,0)</f>
        <v>2.8</v>
      </c>
      <c r="F934" s="45">
        <f>VLOOKUP(B934,'112年全品項生產鍋數'!A:H,7,0)</f>
        <v>44.5</v>
      </c>
      <c r="G934" s="49">
        <f t="shared" si="102"/>
        <v>3204</v>
      </c>
      <c r="H934" s="144">
        <v>3036</v>
      </c>
      <c r="I934" s="111">
        <f t="shared" si="100"/>
        <v>8500.7999999999993</v>
      </c>
      <c r="J934" s="100">
        <f t="shared" si="104"/>
        <v>0.94756554307116103</v>
      </c>
      <c r="K934" s="51">
        <f>VLOOKUP(B:B,'生產達成率(目標)'!A:C,3,0)</f>
        <v>1</v>
      </c>
      <c r="L934" s="20">
        <f t="shared" si="103"/>
        <v>-5.1999999999999998E-2</v>
      </c>
      <c r="M934" s="41" t="str">
        <f>工時!R118</f>
        <v>660</v>
      </c>
      <c r="N934" s="144"/>
      <c r="O934" s="144">
        <f t="shared" si="101"/>
        <v>1</v>
      </c>
      <c r="P934" s="144">
        <v>3035</v>
      </c>
      <c r="Q934" s="98">
        <f t="shared" si="99"/>
        <v>0.99967061923583667</v>
      </c>
      <c r="R934" s="23"/>
      <c r="S934" s="173"/>
      <c r="T934" s="30" t="s">
        <v>573</v>
      </c>
      <c r="U934" s="23"/>
      <c r="V934" s="458"/>
      <c r="W934" s="421"/>
      <c r="X934" s="458"/>
      <c r="Y934" s="421"/>
      <c r="Z934" s="421"/>
      <c r="AA934" s="421"/>
      <c r="AB934" s="421"/>
      <c r="AC934" s="421"/>
      <c r="AD934" s="421"/>
    </row>
    <row r="935" spans="1:30" s="22" customFormat="1" x14ac:dyDescent="0.4">
      <c r="A935" s="177" t="s">
        <v>851</v>
      </c>
      <c r="B935" s="149" t="s">
        <v>75</v>
      </c>
      <c r="C935" s="30" t="str">
        <f>VLOOKUP(B935,'112年全品項生產鍋數'!A:H,2,0)</f>
        <v>草莓椰果餡(1*6Kg)</v>
      </c>
      <c r="D935" s="285">
        <v>16</v>
      </c>
      <c r="E935" s="48">
        <f>VLOOKUP(B935,'112年全品項生產鍋數'!A:H,3,0)</f>
        <v>6</v>
      </c>
      <c r="F935" s="45">
        <f>VLOOKUP(B935,'112年全品項生產鍋數'!A:H,7,0)</f>
        <v>26.4</v>
      </c>
      <c r="G935" s="49">
        <f t="shared" si="102"/>
        <v>422.4</v>
      </c>
      <c r="H935" s="144">
        <v>416</v>
      </c>
      <c r="I935" s="111">
        <f t="shared" si="100"/>
        <v>2496</v>
      </c>
      <c r="J935" s="100">
        <f t="shared" si="104"/>
        <v>0.98484848484848486</v>
      </c>
      <c r="K935" s="51">
        <f>VLOOKUP(B:B,'生產達成率(目標)'!A:C,3,0)</f>
        <v>1</v>
      </c>
      <c r="L935" s="20">
        <f t="shared" si="103"/>
        <v>-1.4999999999999999E-2</v>
      </c>
      <c r="M935" s="41" t="str">
        <f>工時!R119</f>
        <v>210</v>
      </c>
      <c r="N935" s="144"/>
      <c r="O935" s="144">
        <f t="shared" si="101"/>
        <v>1</v>
      </c>
      <c r="P935" s="144">
        <v>415</v>
      </c>
      <c r="Q935" s="98">
        <f t="shared" si="99"/>
        <v>0.99759615384615385</v>
      </c>
      <c r="R935" s="23"/>
      <c r="S935" s="173"/>
      <c r="T935" s="30"/>
      <c r="U935" s="23"/>
      <c r="V935" s="458"/>
      <c r="W935" s="421"/>
      <c r="X935" s="458"/>
      <c r="Y935" s="421"/>
      <c r="Z935" s="421"/>
      <c r="AA935" s="421"/>
      <c r="AB935" s="421"/>
      <c r="AC935" s="421"/>
      <c r="AD935" s="421"/>
    </row>
    <row r="936" spans="1:30" s="22" customFormat="1" x14ac:dyDescent="0.4">
      <c r="A936" s="177" t="s">
        <v>851</v>
      </c>
      <c r="B936" s="149" t="s">
        <v>63</v>
      </c>
      <c r="C936" s="30" t="str">
        <f>VLOOKUP(B936,'112年全品項生產鍋數'!A:H,2,0)</f>
        <v>草莓蒟蒻餡(1*6kg)</v>
      </c>
      <c r="D936" s="285">
        <v>28</v>
      </c>
      <c r="E936" s="48">
        <f>VLOOKUP(B936,'112年全品項生產鍋數'!A:H,3,0)</f>
        <v>6</v>
      </c>
      <c r="F936" s="45">
        <f>VLOOKUP(B936,'112年全品項生產鍋數'!A:H,7,0)</f>
        <v>25.7</v>
      </c>
      <c r="G936" s="49">
        <f t="shared" si="102"/>
        <v>719.6</v>
      </c>
      <c r="H936" s="144">
        <f>402+313</f>
        <v>715</v>
      </c>
      <c r="I936" s="111">
        <f t="shared" si="100"/>
        <v>4290</v>
      </c>
      <c r="J936" s="100">
        <f t="shared" si="104"/>
        <v>0.9936075597554197</v>
      </c>
      <c r="K936" s="51">
        <f>VLOOKUP(B:B,'生產達成率(目標)'!A:C,3,0)</f>
        <v>1</v>
      </c>
      <c r="L936" s="20">
        <f t="shared" si="103"/>
        <v>-6.0000000000000001E-3</v>
      </c>
      <c r="M936" s="41" t="str">
        <f>工時!R120</f>
        <v>378</v>
      </c>
      <c r="N936" s="144"/>
      <c r="O936" s="144">
        <f t="shared" si="101"/>
        <v>1</v>
      </c>
      <c r="P936" s="144">
        <f>401+313</f>
        <v>714</v>
      </c>
      <c r="Q936" s="98">
        <f t="shared" si="99"/>
        <v>0.99860139860139863</v>
      </c>
      <c r="R936" s="23"/>
      <c r="S936" s="173"/>
      <c r="T936" s="30"/>
      <c r="U936" s="23"/>
      <c r="V936" s="458"/>
      <c r="W936" s="421"/>
      <c r="X936" s="458"/>
      <c r="Y936" s="421"/>
      <c r="Z936" s="421"/>
      <c r="AA936" s="421"/>
      <c r="AB936" s="421"/>
      <c r="AC936" s="421"/>
      <c r="AD936" s="421"/>
    </row>
    <row r="937" spans="1:30" s="22" customFormat="1" x14ac:dyDescent="0.4">
      <c r="A937" s="177" t="s">
        <v>851</v>
      </c>
      <c r="B937" s="149" t="s">
        <v>108</v>
      </c>
      <c r="C937" s="30" t="str">
        <f>VLOOKUP(B937,'112年全品項生產鍋數'!A:H,2,0)</f>
        <v>顆粒花生醬(1*12KG)</v>
      </c>
      <c r="D937" s="285">
        <v>21</v>
      </c>
      <c r="E937" s="48">
        <f>VLOOKUP(B937,'112年全品項生產鍋數'!A:H,3,0)</f>
        <v>3</v>
      </c>
      <c r="F937" s="45">
        <f>VLOOKUP(B937,'112年全品項生產鍋數'!A:H,7,0)</f>
        <v>31.6</v>
      </c>
      <c r="G937" s="49">
        <f t="shared" si="102"/>
        <v>663.6</v>
      </c>
      <c r="H937" s="144">
        <v>668</v>
      </c>
      <c r="I937" s="111">
        <f t="shared" si="100"/>
        <v>2004</v>
      </c>
      <c r="J937" s="100">
        <f t="shared" si="104"/>
        <v>1.0066305003013862</v>
      </c>
      <c r="K937" s="51">
        <f>VLOOKUP(B:B,'生產達成率(目標)'!A:C,3,0)</f>
        <v>1</v>
      </c>
      <c r="L937" s="20">
        <f t="shared" si="103"/>
        <v>7.0000000000000001E-3</v>
      </c>
      <c r="M937" s="41" t="str">
        <f>工時!R121</f>
        <v>540</v>
      </c>
      <c r="N937" s="144"/>
      <c r="O937" s="144">
        <f t="shared" si="101"/>
        <v>0</v>
      </c>
      <c r="P937" s="144">
        <v>668</v>
      </c>
      <c r="Q937" s="98">
        <f t="shared" si="99"/>
        <v>1</v>
      </c>
      <c r="R937" s="23"/>
      <c r="S937" s="173"/>
      <c r="T937" s="30"/>
      <c r="U937" s="23"/>
      <c r="V937" s="458"/>
      <c r="W937" s="421"/>
      <c r="X937" s="458"/>
      <c r="Y937" s="421"/>
      <c r="Z937" s="421"/>
      <c r="AA937" s="421"/>
      <c r="AB937" s="421"/>
      <c r="AC937" s="421"/>
      <c r="AD937" s="421"/>
    </row>
    <row r="938" spans="1:30" s="22" customFormat="1" x14ac:dyDescent="0.4">
      <c r="A938" s="177" t="s">
        <v>851</v>
      </c>
      <c r="B938" s="149" t="s">
        <v>65</v>
      </c>
      <c r="C938" s="30" t="str">
        <f>VLOOKUP(B938,'112年全品項生產鍋數'!A:H,2,0)</f>
        <v>＃1花生(1*2.8kg)</v>
      </c>
      <c r="D938" s="285">
        <v>72</v>
      </c>
      <c r="E938" s="48">
        <f>VLOOKUP(B938,'112年全品項生產鍋數'!A:H,3,0)</f>
        <v>2.8</v>
      </c>
      <c r="F938" s="45">
        <f>VLOOKUP(B938,'112年全品項生產鍋數'!A:H,7,0)</f>
        <v>44.5</v>
      </c>
      <c r="G938" s="49">
        <f t="shared" si="102"/>
        <v>3204</v>
      </c>
      <c r="H938" s="144">
        <f>2621+600</f>
        <v>3221</v>
      </c>
      <c r="I938" s="111">
        <f t="shared" si="100"/>
        <v>9018.7999999999993</v>
      </c>
      <c r="J938" s="100">
        <f t="shared" si="104"/>
        <v>1.0053058676654183</v>
      </c>
      <c r="K938" s="51">
        <f>VLOOKUP(B:B,'生產達成率(目標)'!A:C,3,0)</f>
        <v>1</v>
      </c>
      <c r="L938" s="20">
        <f t="shared" si="103"/>
        <v>5.0000000000000001E-3</v>
      </c>
      <c r="M938" s="41" t="str">
        <f>工時!R122</f>
        <v>660</v>
      </c>
      <c r="N938" s="144"/>
      <c r="O938" s="144">
        <f t="shared" si="101"/>
        <v>1</v>
      </c>
      <c r="P938" s="144">
        <f>2620+600</f>
        <v>3220</v>
      </c>
      <c r="Q938" s="98">
        <f t="shared" si="99"/>
        <v>0.99968953741074196</v>
      </c>
      <c r="R938" s="23"/>
      <c r="S938" s="173"/>
      <c r="T938" s="30"/>
      <c r="U938" s="23"/>
      <c r="V938" s="458"/>
      <c r="W938" s="421"/>
      <c r="X938" s="458"/>
      <c r="Y938" s="421"/>
      <c r="Z938" s="421"/>
      <c r="AA938" s="421"/>
      <c r="AB938" s="421"/>
      <c r="AC938" s="421"/>
      <c r="AD938" s="421"/>
    </row>
    <row r="939" spans="1:30" s="22" customFormat="1" x14ac:dyDescent="0.4">
      <c r="A939" s="177" t="s">
        <v>852</v>
      </c>
      <c r="B939" s="149" t="s">
        <v>71</v>
      </c>
      <c r="C939" s="30" t="str">
        <f>VLOOKUP(B939,'112年全品項生產鍋數'!A:H,2,0)</f>
        <v>＃1草莓(1*3.2kg)</v>
      </c>
      <c r="D939" s="285">
        <v>72</v>
      </c>
      <c r="E939" s="48">
        <f>VLOOKUP(B939,'112年全品項生產鍋數'!A:H,3,0)</f>
        <v>3.2</v>
      </c>
      <c r="F939" s="45">
        <f>VLOOKUP(B939,'112年全品項生產鍋數'!A:H,7,0)</f>
        <v>46.8</v>
      </c>
      <c r="G939" s="49">
        <f t="shared" si="102"/>
        <v>3369.6</v>
      </c>
      <c r="H939" s="144">
        <v>3394</v>
      </c>
      <c r="I939" s="111">
        <f t="shared" si="100"/>
        <v>10860.800000000001</v>
      </c>
      <c r="J939" s="100">
        <f t="shared" si="104"/>
        <v>1.0072412155745489</v>
      </c>
      <c r="K939" s="51">
        <f>VLOOKUP(B:B,'生產達成率(目標)'!A:C,3,0)</f>
        <v>1</v>
      </c>
      <c r="L939" s="20">
        <f t="shared" si="103"/>
        <v>7.0000000000000001E-3</v>
      </c>
      <c r="M939" s="41" t="str">
        <f>工時!R123</f>
        <v>540</v>
      </c>
      <c r="N939" s="144"/>
      <c r="O939" s="144">
        <f t="shared" si="101"/>
        <v>4</v>
      </c>
      <c r="P939" s="144">
        <v>3390</v>
      </c>
      <c r="Q939" s="98">
        <f t="shared" si="99"/>
        <v>0.99882144961697117</v>
      </c>
      <c r="R939" s="23"/>
      <c r="S939" s="173"/>
      <c r="T939" s="30" t="s">
        <v>574</v>
      </c>
      <c r="U939" s="23"/>
      <c r="V939" s="458"/>
      <c r="W939" s="421"/>
      <c r="X939" s="458"/>
      <c r="Y939" s="421"/>
      <c r="Z939" s="421"/>
      <c r="AA939" s="421"/>
      <c r="AB939" s="421"/>
      <c r="AC939" s="421"/>
      <c r="AD939" s="421"/>
    </row>
    <row r="940" spans="1:30" s="22" customFormat="1" x14ac:dyDescent="0.4">
      <c r="A940" s="177" t="s">
        <v>852</v>
      </c>
      <c r="B940" s="149" t="s">
        <v>451</v>
      </c>
      <c r="C940" s="30" t="str">
        <f>VLOOKUP(B940,'112年全品項生產鍋數'!A:H,2,0)</f>
        <v>水蜜桃醬(1*6kg)</v>
      </c>
      <c r="D940" s="285">
        <v>6</v>
      </c>
      <c r="E940" s="48">
        <f>VLOOKUP(B940,'112年全品項生產鍋數'!A:H,3,0)</f>
        <v>6</v>
      </c>
      <c r="F940" s="45">
        <f>VLOOKUP(B940,'112年全品項生產鍋數'!A:H,7,0)</f>
        <v>24.5</v>
      </c>
      <c r="G940" s="49">
        <f t="shared" si="102"/>
        <v>147</v>
      </c>
      <c r="H940" s="144">
        <v>149</v>
      </c>
      <c r="I940" s="111">
        <f t="shared" si="100"/>
        <v>894</v>
      </c>
      <c r="J940" s="100">
        <f t="shared" si="104"/>
        <v>1.0136054421768708</v>
      </c>
      <c r="K940" s="51">
        <f>VLOOKUP(B:B,'生產達成率(目標)'!A:C,3,0)</f>
        <v>1</v>
      </c>
      <c r="L940" s="20">
        <f t="shared" si="103"/>
        <v>1.4E-2</v>
      </c>
      <c r="M940" s="41" t="str">
        <f>工時!R124</f>
        <v>150</v>
      </c>
      <c r="N940" s="144"/>
      <c r="O940" s="144">
        <f t="shared" si="101"/>
        <v>1</v>
      </c>
      <c r="P940" s="144">
        <v>148</v>
      </c>
      <c r="Q940" s="98">
        <f t="shared" si="99"/>
        <v>0.99328859060402686</v>
      </c>
      <c r="R940" s="23"/>
      <c r="S940" s="173"/>
      <c r="T940" s="30"/>
      <c r="U940" s="23"/>
      <c r="V940" s="458"/>
      <c r="W940" s="421"/>
      <c r="X940" s="458"/>
      <c r="Y940" s="421"/>
      <c r="Z940" s="421"/>
      <c r="AA940" s="421"/>
      <c r="AB940" s="421"/>
      <c r="AC940" s="421"/>
      <c r="AD940" s="421"/>
    </row>
    <row r="941" spans="1:30" s="22" customFormat="1" x14ac:dyDescent="0.4">
      <c r="A941" s="177" t="s">
        <v>852</v>
      </c>
      <c r="B941" s="149" t="s">
        <v>64</v>
      </c>
      <c r="C941" s="30" t="str">
        <f>VLOOKUP(B941,'112年全品項生產鍋數'!A:H,2,0)</f>
        <v>藍莓餡(1*6KG)</v>
      </c>
      <c r="D941" s="285">
        <v>16</v>
      </c>
      <c r="E941" s="48">
        <f>VLOOKUP(B941,'112年全品項生產鍋數'!A:H,3,0)</f>
        <v>6</v>
      </c>
      <c r="F941" s="45">
        <f>VLOOKUP(B941,'112年全品項生產鍋數'!A:H,7,0)</f>
        <v>25.4</v>
      </c>
      <c r="G941" s="49">
        <f t="shared" si="102"/>
        <v>406.4</v>
      </c>
      <c r="H941" s="144">
        <f>196+206</f>
        <v>402</v>
      </c>
      <c r="I941" s="111">
        <f t="shared" si="100"/>
        <v>2412</v>
      </c>
      <c r="J941" s="100">
        <f t="shared" si="104"/>
        <v>0.98917322834645671</v>
      </c>
      <c r="K941" s="51">
        <f>VLOOKUP(B:B,'生產達成率(目標)'!A:C,3,0)</f>
        <v>1</v>
      </c>
      <c r="L941" s="20">
        <f t="shared" si="103"/>
        <v>-1.0999999999999999E-2</v>
      </c>
      <c r="M941" s="41" t="str">
        <f>工時!R125</f>
        <v>232</v>
      </c>
      <c r="N941" s="144"/>
      <c r="O941" s="144">
        <f t="shared" si="101"/>
        <v>1</v>
      </c>
      <c r="P941" s="144">
        <v>401</v>
      </c>
      <c r="Q941" s="98">
        <f t="shared" si="99"/>
        <v>0.99751243781094523</v>
      </c>
      <c r="R941" s="23"/>
      <c r="S941" s="173"/>
      <c r="T941" s="30"/>
      <c r="U941" s="23"/>
      <c r="V941" s="458"/>
      <c r="W941" s="421"/>
      <c r="X941" s="458"/>
      <c r="Y941" s="421"/>
      <c r="Z941" s="421"/>
      <c r="AA941" s="421"/>
      <c r="AB941" s="421"/>
      <c r="AC941" s="421"/>
      <c r="AD941" s="421"/>
    </row>
    <row r="942" spans="1:30" s="22" customFormat="1" x14ac:dyDescent="0.4">
      <c r="A942" s="177" t="s">
        <v>852</v>
      </c>
      <c r="B942" s="149" t="s">
        <v>63</v>
      </c>
      <c r="C942" s="30" t="str">
        <f>VLOOKUP(B942,'112年全品項生產鍋數'!A:H,2,0)</f>
        <v>草莓蒟蒻餡(1*6kg)</v>
      </c>
      <c r="D942" s="285">
        <v>20</v>
      </c>
      <c r="E942" s="48">
        <f>VLOOKUP(B942,'112年全品項生產鍋數'!A:H,3,0)</f>
        <v>6</v>
      </c>
      <c r="F942" s="45">
        <f>VLOOKUP(B942,'112年全品項生產鍋數'!A:H,7,0)</f>
        <v>25.7</v>
      </c>
      <c r="G942" s="49">
        <f t="shared" si="102"/>
        <v>514</v>
      </c>
      <c r="H942" s="144">
        <f>302+212</f>
        <v>514</v>
      </c>
      <c r="I942" s="111">
        <f t="shared" si="100"/>
        <v>3084</v>
      </c>
      <c r="J942" s="100">
        <f t="shared" si="104"/>
        <v>1</v>
      </c>
      <c r="K942" s="51">
        <f>VLOOKUP(B:B,'生產達成率(目標)'!A:C,3,0)</f>
        <v>1</v>
      </c>
      <c r="L942" s="20">
        <f t="shared" si="103"/>
        <v>0</v>
      </c>
      <c r="M942" s="41" t="str">
        <f>工時!R126</f>
        <v>270</v>
      </c>
      <c r="N942" s="144"/>
      <c r="O942" s="144">
        <f t="shared" si="101"/>
        <v>2</v>
      </c>
      <c r="P942" s="144">
        <f>300+212</f>
        <v>512</v>
      </c>
      <c r="Q942" s="98">
        <f t="shared" si="99"/>
        <v>0.99610894941634243</v>
      </c>
      <c r="R942" s="23"/>
      <c r="S942" s="173"/>
      <c r="T942" s="30"/>
      <c r="U942" s="23"/>
      <c r="V942" s="458"/>
      <c r="W942" s="421"/>
      <c r="X942" s="458"/>
      <c r="Y942" s="421"/>
      <c r="Z942" s="421"/>
      <c r="AA942" s="421"/>
      <c r="AB942" s="421"/>
      <c r="AC942" s="421"/>
      <c r="AD942" s="421"/>
    </row>
    <row r="943" spans="1:30" s="22" customFormat="1" x14ac:dyDescent="0.4">
      <c r="A943" s="177" t="s">
        <v>852</v>
      </c>
      <c r="B943" s="149" t="s">
        <v>96</v>
      </c>
      <c r="C943" s="30" t="str">
        <f>VLOOKUP(B943,'112年全品項生產鍋數'!A:H,2,0)</f>
        <v>PET瓶花生(1*340g)</v>
      </c>
      <c r="D943" s="285">
        <v>20</v>
      </c>
      <c r="E943" s="48">
        <f>VLOOKUP(B943,'112年全品項生產鍋數'!A:H,3,0)</f>
        <v>0.34</v>
      </c>
      <c r="F943" s="45">
        <f>VLOOKUP(B943,'112年全品項生產鍋數'!A:H,7,0)</f>
        <v>358.3</v>
      </c>
      <c r="G943" s="49">
        <f t="shared" si="102"/>
        <v>7166</v>
      </c>
      <c r="H943" s="144">
        <f>4928+2402</f>
        <v>7330</v>
      </c>
      <c r="I943" s="111">
        <f t="shared" si="100"/>
        <v>2492.2000000000003</v>
      </c>
      <c r="J943" s="100">
        <f t="shared" si="104"/>
        <v>1.0228858498464974</v>
      </c>
      <c r="K943" s="51">
        <f>VLOOKUP(B:B,'生產達成率(目標)'!A:C,3,0)</f>
        <v>1</v>
      </c>
      <c r="L943" s="20">
        <f t="shared" si="103"/>
        <v>2.3E-2</v>
      </c>
      <c r="M943" s="41" t="str">
        <f>工時!R127</f>
        <v>300</v>
      </c>
      <c r="N943" s="144"/>
      <c r="O943" s="144">
        <f t="shared" si="101"/>
        <v>5</v>
      </c>
      <c r="P943" s="144">
        <f>4925+2400</f>
        <v>7325</v>
      </c>
      <c r="Q943" s="98">
        <f t="shared" si="99"/>
        <v>0.99931787175989084</v>
      </c>
      <c r="R943" s="23"/>
      <c r="S943" s="173"/>
      <c r="T943" s="30" t="s">
        <v>575</v>
      </c>
      <c r="U943" s="23"/>
      <c r="V943" s="458"/>
      <c r="W943" s="421"/>
      <c r="X943" s="458"/>
      <c r="Y943" s="421"/>
      <c r="Z943" s="421"/>
      <c r="AA943" s="421"/>
      <c r="AB943" s="421"/>
      <c r="AC943" s="421"/>
      <c r="AD943" s="421"/>
    </row>
    <row r="944" spans="1:30" s="22" customFormat="1" x14ac:dyDescent="0.4">
      <c r="A944" s="177" t="s">
        <v>852</v>
      </c>
      <c r="B944" s="151" t="s">
        <v>18</v>
      </c>
      <c r="C944" s="30" t="str">
        <f>VLOOKUP(B944,'112年全品項生產鍋數'!A:H,2,0)</f>
        <v>PET瓶花生(粒)(1*340g)</v>
      </c>
      <c r="D944" s="285">
        <v>16</v>
      </c>
      <c r="E944" s="48">
        <f>VLOOKUP(B944,'112年全品項生產鍋數'!A:H,3,0)</f>
        <v>0.34</v>
      </c>
      <c r="F944" s="45">
        <f>VLOOKUP(B944,'112年全品項生產鍋數'!A:H,7,0)</f>
        <v>366</v>
      </c>
      <c r="G944" s="49">
        <f t="shared" si="102"/>
        <v>5856</v>
      </c>
      <c r="H944" s="144">
        <v>638</v>
      </c>
      <c r="I944" s="111">
        <f t="shared" si="100"/>
        <v>216.92000000000002</v>
      </c>
      <c r="J944" s="100">
        <f t="shared" si="104"/>
        <v>0.10894808743169399</v>
      </c>
      <c r="K944" s="51">
        <f>VLOOKUP(B:B,'生產達成率(目標)'!A:C,3,0)</f>
        <v>1</v>
      </c>
      <c r="L944" s="20">
        <f t="shared" si="103"/>
        <v>-0.89100000000000001</v>
      </c>
      <c r="M944" s="41" t="str">
        <f>工時!R128</f>
        <v>300</v>
      </c>
      <c r="N944" s="144"/>
      <c r="O944" s="144">
        <f t="shared" si="101"/>
        <v>3</v>
      </c>
      <c r="P944" s="144">
        <v>635</v>
      </c>
      <c r="Q944" s="98">
        <f t="shared" si="99"/>
        <v>0.99529780564263326</v>
      </c>
      <c r="R944" s="23"/>
      <c r="S944" s="173"/>
      <c r="T944" s="30" t="s">
        <v>576</v>
      </c>
      <c r="U944" s="23"/>
      <c r="V944" s="458"/>
      <c r="W944" s="421"/>
      <c r="X944" s="458"/>
      <c r="Y944" s="421"/>
      <c r="Z944" s="421"/>
      <c r="AA944" s="421"/>
      <c r="AB944" s="421"/>
      <c r="AC944" s="421"/>
      <c r="AD944" s="421"/>
    </row>
    <row r="945" spans="1:24" x14ac:dyDescent="0.4">
      <c r="A945" s="179" t="s">
        <v>853</v>
      </c>
      <c r="B945" s="149" t="s">
        <v>11</v>
      </c>
      <c r="C945" s="30" t="str">
        <f>VLOOKUP(B945,'112年全品項生產鍋數'!A:H,2,0)</f>
        <v>#2草莓果醬(1*900g)</v>
      </c>
      <c r="D945" s="290">
        <v>40</v>
      </c>
      <c r="E945" s="48">
        <f>VLOOKUP(B945,'112年全品項生產鍋數'!A:H,3,0)</f>
        <v>0.9</v>
      </c>
      <c r="F945" s="45">
        <f>VLOOKUP(B945,'112年全品項生產鍋數'!A:H,7,0)</f>
        <v>160.5</v>
      </c>
      <c r="G945" s="49">
        <f t="shared" si="102"/>
        <v>6420</v>
      </c>
      <c r="H945" s="144">
        <v>6538</v>
      </c>
      <c r="I945" s="111">
        <f t="shared" ref="I945:I988" si="105">H945*E945</f>
        <v>5884.2</v>
      </c>
      <c r="J945" s="100">
        <f t="shared" si="104"/>
        <v>1.0183800623052959</v>
      </c>
      <c r="K945" s="51">
        <f>VLOOKUP(B:B,'生產達成率(目標)'!A:C,3,0)</f>
        <v>1</v>
      </c>
      <c r="L945" s="20">
        <f t="shared" si="103"/>
        <v>1.7999999999999999E-2</v>
      </c>
      <c r="M945" s="41" t="str">
        <f>工時!R129</f>
        <v>540</v>
      </c>
      <c r="N945" s="159"/>
      <c r="O945" s="144">
        <f t="shared" si="101"/>
        <v>2</v>
      </c>
      <c r="P945" s="144">
        <v>6536</v>
      </c>
      <c r="Q945" s="98">
        <f t="shared" ref="Q945:Q988" si="106">P945/H945</f>
        <v>0.99969409605383908</v>
      </c>
      <c r="R945" s="23"/>
      <c r="S945" s="173"/>
      <c r="T945" s="30"/>
      <c r="U945" s="23"/>
      <c r="V945" s="458"/>
      <c r="X945" s="458"/>
    </row>
    <row r="946" spans="1:24" x14ac:dyDescent="0.4">
      <c r="A946" s="179" t="s">
        <v>853</v>
      </c>
      <c r="B946" s="139" t="s">
        <v>102</v>
      </c>
      <c r="C946" s="30" t="str">
        <f>VLOOKUP(B946,'112年全品項生產鍋數'!A:H,2,0)</f>
        <v>耐烤草莓餡(1*4.5KG)</v>
      </c>
      <c r="D946" s="290">
        <v>12</v>
      </c>
      <c r="E946" s="48">
        <f>VLOOKUP(B946,'112年全品項生產鍋數'!A:H,3,0)</f>
        <v>4.5</v>
      </c>
      <c r="F946" s="45">
        <f>VLOOKUP(B946,'112年全品項生產鍋數'!A:H,7,0)</f>
        <v>36</v>
      </c>
      <c r="G946" s="49">
        <f t="shared" si="102"/>
        <v>432</v>
      </c>
      <c r="H946" s="144">
        <v>424</v>
      </c>
      <c r="I946" s="111">
        <f t="shared" si="105"/>
        <v>1908</v>
      </c>
      <c r="J946" s="100">
        <f t="shared" si="104"/>
        <v>0.98148148148148151</v>
      </c>
      <c r="K946" s="51">
        <f>VLOOKUP(B:B,'生產達成率(目標)'!A:C,3,0)</f>
        <v>1</v>
      </c>
      <c r="L946" s="20">
        <f t="shared" si="103"/>
        <v>-1.9E-2</v>
      </c>
      <c r="M946" s="41" t="str">
        <f>工時!R130</f>
        <v>200</v>
      </c>
      <c r="N946" s="159"/>
      <c r="O946" s="144">
        <f t="shared" si="101"/>
        <v>0</v>
      </c>
      <c r="P946" s="144">
        <v>424</v>
      </c>
      <c r="Q946" s="98">
        <f t="shared" si="106"/>
        <v>1</v>
      </c>
      <c r="R946" s="23"/>
      <c r="S946" s="173"/>
      <c r="T946" s="30"/>
      <c r="U946" s="23"/>
      <c r="V946" s="458"/>
      <c r="X946" s="458"/>
    </row>
    <row r="947" spans="1:24" x14ac:dyDescent="0.4">
      <c r="A947" s="179" t="s">
        <v>853</v>
      </c>
      <c r="B947" s="139" t="s">
        <v>117</v>
      </c>
      <c r="C947" s="30" t="str">
        <f>VLOOKUP(B947,'112年全品項生產鍋數'!A:H,2,0)</f>
        <v>草莓餡(1*4.5Kg)</v>
      </c>
      <c r="D947" s="290">
        <v>12</v>
      </c>
      <c r="E947" s="48">
        <f>VLOOKUP(B947,'112年全品項生產鍋數'!A:H,3,0)</f>
        <v>4.5</v>
      </c>
      <c r="F947" s="45">
        <f>VLOOKUP(B947,'112年全品項生產鍋數'!A:H,7,0)</f>
        <v>35.6</v>
      </c>
      <c r="G947" s="49">
        <f t="shared" si="102"/>
        <v>427.20000000000005</v>
      </c>
      <c r="H947" s="144">
        <v>439</v>
      </c>
      <c r="I947" s="111">
        <f t="shared" si="105"/>
        <v>1975.5</v>
      </c>
      <c r="J947" s="100">
        <f t="shared" si="104"/>
        <v>1.0276217228464419</v>
      </c>
      <c r="K947" s="51">
        <f>VLOOKUP(B:B,'生產達成率(目標)'!A:C,3,0)</f>
        <v>1</v>
      </c>
      <c r="L947" s="20">
        <f t="shared" si="103"/>
        <v>2.8000000000000001E-2</v>
      </c>
      <c r="M947" s="41" t="str">
        <f>工時!R131</f>
        <v>197</v>
      </c>
      <c r="N947" s="159"/>
      <c r="O947" s="144">
        <f t="shared" si="101"/>
        <v>0</v>
      </c>
      <c r="P947" s="144">
        <v>439</v>
      </c>
      <c r="Q947" s="98">
        <f t="shared" si="106"/>
        <v>1</v>
      </c>
      <c r="R947" s="23"/>
      <c r="S947" s="173"/>
      <c r="T947" s="30"/>
      <c r="U947" s="23"/>
      <c r="V947" s="458"/>
      <c r="X947" s="458"/>
    </row>
    <row r="948" spans="1:24" x14ac:dyDescent="0.4">
      <c r="A948" s="179" t="s">
        <v>853</v>
      </c>
      <c r="B948" s="139" t="s">
        <v>116</v>
      </c>
      <c r="C948" s="30" t="str">
        <f>VLOOKUP(B948,'112年全品項生產鍋數'!A:H,2,0)</f>
        <v>藍莓餡（大）(1*9.08kg)</v>
      </c>
      <c r="D948" s="290">
        <v>12</v>
      </c>
      <c r="E948" s="48">
        <f>VLOOKUP(B948,'112年全品項生產鍋數'!A:H,3,0)</f>
        <v>9.08</v>
      </c>
      <c r="F948" s="45">
        <f>VLOOKUP(B948,'112年全品項生產鍋數'!A:H,7,0)</f>
        <v>17.8</v>
      </c>
      <c r="G948" s="49">
        <f t="shared" si="102"/>
        <v>213.60000000000002</v>
      </c>
      <c r="H948" s="144">
        <v>215</v>
      </c>
      <c r="I948" s="111">
        <f t="shared" si="105"/>
        <v>1952.2</v>
      </c>
      <c r="J948" s="100">
        <f t="shared" si="104"/>
        <v>1.0065543071161047</v>
      </c>
      <c r="K948" s="51">
        <f>VLOOKUP(B:B,'生產達成率(目標)'!A:C,3,0)</f>
        <v>1</v>
      </c>
      <c r="L948" s="20">
        <f t="shared" si="103"/>
        <v>7.0000000000000001E-3</v>
      </c>
      <c r="M948" s="41" t="str">
        <f>工時!R132</f>
        <v>195</v>
      </c>
      <c r="N948" s="159"/>
      <c r="O948" s="144">
        <f t="shared" si="101"/>
        <v>0</v>
      </c>
      <c r="P948" s="144">
        <v>215</v>
      </c>
      <c r="Q948" s="98">
        <f t="shared" si="106"/>
        <v>1</v>
      </c>
      <c r="R948" s="23"/>
      <c r="S948" s="173"/>
      <c r="T948" s="30"/>
      <c r="U948" s="23"/>
      <c r="V948" s="458"/>
      <c r="X948" s="458"/>
    </row>
    <row r="949" spans="1:24" x14ac:dyDescent="0.4">
      <c r="A949" s="179" t="s">
        <v>853</v>
      </c>
      <c r="B949" s="139" t="s">
        <v>65</v>
      </c>
      <c r="C949" s="30" t="str">
        <f>VLOOKUP(B949,'112年全品項生產鍋數'!A:H,2,0)</f>
        <v>＃1花生(1*2.8kg)</v>
      </c>
      <c r="D949" s="290">
        <v>72</v>
      </c>
      <c r="E949" s="48">
        <f>VLOOKUP(B949,'112年全品項生產鍋數'!A:H,3,0)</f>
        <v>2.8</v>
      </c>
      <c r="F949" s="45">
        <f>VLOOKUP(B949,'112年全品項生產鍋數'!A:H,7,0)</f>
        <v>44.5</v>
      </c>
      <c r="G949" s="49">
        <f t="shared" si="102"/>
        <v>3204</v>
      </c>
      <c r="H949" s="144">
        <v>2241</v>
      </c>
      <c r="I949" s="111">
        <f t="shared" si="105"/>
        <v>6274.7999999999993</v>
      </c>
      <c r="J949" s="100">
        <f t="shared" si="104"/>
        <v>0.699438202247191</v>
      </c>
      <c r="K949" s="51">
        <f>VLOOKUP(B:B,'生產達成率(目標)'!A:C,3,0)</f>
        <v>1</v>
      </c>
      <c r="L949" s="20">
        <f t="shared" si="103"/>
        <v>-0.30099999999999999</v>
      </c>
      <c r="M949" s="41" t="str">
        <f>工時!R133</f>
        <v>660</v>
      </c>
      <c r="N949" s="159"/>
      <c r="O949" s="144">
        <f t="shared" si="101"/>
        <v>1</v>
      </c>
      <c r="P949" s="144">
        <v>2240</v>
      </c>
      <c r="Q949" s="98">
        <f t="shared" si="106"/>
        <v>0.99955377063810802</v>
      </c>
      <c r="R949" s="23"/>
      <c r="S949" s="173"/>
      <c r="T949" s="30" t="s">
        <v>583</v>
      </c>
      <c r="U949" s="23"/>
      <c r="V949" s="458"/>
      <c r="X949" s="458"/>
    </row>
    <row r="950" spans="1:24" x14ac:dyDescent="0.4">
      <c r="A950" s="179" t="s">
        <v>854</v>
      </c>
      <c r="B950" s="139" t="s">
        <v>64</v>
      </c>
      <c r="C950" s="30" t="str">
        <f>VLOOKUP(B950,'112年全品項生產鍋數'!A:H,2,0)</f>
        <v>藍莓餡(1*6KG)</v>
      </c>
      <c r="D950" s="290">
        <v>24</v>
      </c>
      <c r="E950" s="48">
        <f>VLOOKUP(B950,'112年全品項生產鍋數'!A:H,3,0)</f>
        <v>6</v>
      </c>
      <c r="F950" s="45">
        <f>VLOOKUP(B950,'112年全品項生產鍋數'!A:H,7,0)</f>
        <v>25.4</v>
      </c>
      <c r="G950" s="49">
        <f t="shared" si="102"/>
        <v>609.59999999999991</v>
      </c>
      <c r="H950" s="144">
        <f>293+309</f>
        <v>602</v>
      </c>
      <c r="I950" s="111">
        <f t="shared" si="105"/>
        <v>3612</v>
      </c>
      <c r="J950" s="100">
        <f t="shared" si="104"/>
        <v>0.9875328083989503</v>
      </c>
      <c r="K950" s="51">
        <f>VLOOKUP(B:B,'生產達成率(目標)'!A:C,3,0)</f>
        <v>1</v>
      </c>
      <c r="L950" s="20">
        <f t="shared" si="103"/>
        <v>-1.2E-2</v>
      </c>
      <c r="M950" s="41" t="str">
        <f>工時!R134</f>
        <v>362</v>
      </c>
      <c r="N950" s="159"/>
      <c r="O950" s="144">
        <f t="shared" si="101"/>
        <v>1</v>
      </c>
      <c r="P950" s="144">
        <f>292+309</f>
        <v>601</v>
      </c>
      <c r="Q950" s="98">
        <f t="shared" si="106"/>
        <v>0.99833887043189373</v>
      </c>
      <c r="R950" s="23"/>
      <c r="S950" s="173"/>
      <c r="T950" s="30"/>
      <c r="U950" s="23"/>
      <c r="V950" s="458"/>
      <c r="X950" s="458"/>
    </row>
    <row r="951" spans="1:24" x14ac:dyDescent="0.4">
      <c r="A951" s="179" t="s">
        <v>854</v>
      </c>
      <c r="B951" s="139" t="s">
        <v>81</v>
      </c>
      <c r="C951" s="30" t="str">
        <f>VLOOKUP(B951,'112年全品項生產鍋數'!A:H,2,0)</f>
        <v>藍莓餡(1*6Kg)</v>
      </c>
      <c r="D951" s="290">
        <v>16</v>
      </c>
      <c r="E951" s="48">
        <f>VLOOKUP(B951,'112年全品項生產鍋數'!A:H,3,0)</f>
        <v>6</v>
      </c>
      <c r="F951" s="45">
        <f>VLOOKUP(B951,'112年全品項生產鍋數'!A:H,7,0)</f>
        <v>25.1</v>
      </c>
      <c r="G951" s="49">
        <f t="shared" si="102"/>
        <v>401.6</v>
      </c>
      <c r="H951" s="144">
        <v>400</v>
      </c>
      <c r="I951" s="111">
        <f t="shared" si="105"/>
        <v>2400</v>
      </c>
      <c r="J951" s="100">
        <f t="shared" si="104"/>
        <v>0.99601593625497997</v>
      </c>
      <c r="K951" s="51">
        <f>VLOOKUP(B:B,'生產達成率(目標)'!A:C,3,0)</f>
        <v>1</v>
      </c>
      <c r="L951" s="20">
        <f t="shared" si="103"/>
        <v>-4.0000000000000001E-3</v>
      </c>
      <c r="M951" s="41" t="str">
        <f>工時!R135</f>
        <v>220</v>
      </c>
      <c r="N951" s="159"/>
      <c r="O951" s="144">
        <f t="shared" si="101"/>
        <v>2</v>
      </c>
      <c r="P951" s="144">
        <v>398</v>
      </c>
      <c r="Q951" s="98">
        <f t="shared" si="106"/>
        <v>0.995</v>
      </c>
      <c r="R951" s="23"/>
      <c r="S951" s="173"/>
      <c r="T951" s="30"/>
      <c r="U951" s="23"/>
      <c r="V951" s="458"/>
      <c r="X951" s="458"/>
    </row>
    <row r="952" spans="1:24" x14ac:dyDescent="0.4">
      <c r="A952" s="179" t="s">
        <v>854</v>
      </c>
      <c r="B952" s="139" t="s">
        <v>110</v>
      </c>
      <c r="C952" s="30" t="str">
        <f>VLOOKUP(B952,'112年全品項生產鍋數'!A:H,2,0)</f>
        <v>顆粒花生醬(1*12KG)</v>
      </c>
      <c r="D952" s="290">
        <v>21</v>
      </c>
      <c r="E952" s="48">
        <f>VLOOKUP(B952,'112年全品項生產鍋數'!A:H,3,0)</f>
        <v>3</v>
      </c>
      <c r="F952" s="45">
        <f>VLOOKUP(B952,'112年全品項生產鍋數'!A:H,7,0)</f>
        <v>30.8</v>
      </c>
      <c r="G952" s="49">
        <f t="shared" si="102"/>
        <v>646.80000000000007</v>
      </c>
      <c r="H952" s="144">
        <v>648</v>
      </c>
      <c r="I952" s="111">
        <f t="shared" si="105"/>
        <v>1944</v>
      </c>
      <c r="J952" s="100">
        <f t="shared" si="104"/>
        <v>1.0018552875695732</v>
      </c>
      <c r="K952" s="51">
        <f>VLOOKUP(B:B,'生產達成率(目標)'!A:C,3,0)</f>
        <v>1</v>
      </c>
      <c r="L952" s="20">
        <f t="shared" si="103"/>
        <v>2E-3</v>
      </c>
      <c r="M952" s="41" t="str">
        <f>工時!R136</f>
        <v>540</v>
      </c>
      <c r="N952" s="159"/>
      <c r="O952" s="144">
        <f t="shared" si="101"/>
        <v>0</v>
      </c>
      <c r="P952" s="144">
        <v>648</v>
      </c>
      <c r="Q952" s="98">
        <f t="shared" si="106"/>
        <v>1</v>
      </c>
      <c r="R952" s="23"/>
      <c r="S952" s="173"/>
      <c r="T952" s="30"/>
      <c r="U952" s="23"/>
      <c r="V952" s="458"/>
      <c r="X952" s="458"/>
    </row>
    <row r="953" spans="1:24" x14ac:dyDescent="0.4">
      <c r="A953" s="179" t="s">
        <v>854</v>
      </c>
      <c r="B953" s="139" t="s">
        <v>65</v>
      </c>
      <c r="C953" s="30" t="str">
        <f>VLOOKUP(B953,'112年全品項生產鍋數'!A:H,2,0)</f>
        <v>＃1花生(1*2.8kg)</v>
      </c>
      <c r="D953" s="290">
        <v>60</v>
      </c>
      <c r="E953" s="48">
        <f>VLOOKUP(B953,'112年全品項生產鍋數'!A:H,3,0)</f>
        <v>2.8</v>
      </c>
      <c r="F953" s="45">
        <f>VLOOKUP(B953,'112年全品項生產鍋數'!A:H,7,0)</f>
        <v>44.5</v>
      </c>
      <c r="G953" s="49">
        <f t="shared" si="102"/>
        <v>2670</v>
      </c>
      <c r="H953" s="144">
        <v>2709</v>
      </c>
      <c r="I953" s="111">
        <f t="shared" si="105"/>
        <v>7585.2</v>
      </c>
      <c r="J953" s="100">
        <f t="shared" si="104"/>
        <v>1.0146067415730338</v>
      </c>
      <c r="K953" s="51">
        <f>VLOOKUP(B:B,'生產達成率(目標)'!A:C,3,0)</f>
        <v>1</v>
      </c>
      <c r="L953" s="20">
        <f t="shared" si="103"/>
        <v>1.4999999999999999E-2</v>
      </c>
      <c r="M953" s="41" t="str">
        <f>工時!R137</f>
        <v>540</v>
      </c>
      <c r="N953" s="159"/>
      <c r="O953" s="144">
        <f t="shared" si="101"/>
        <v>1</v>
      </c>
      <c r="P953" s="144">
        <v>2708</v>
      </c>
      <c r="Q953" s="98">
        <f t="shared" si="106"/>
        <v>0.99963086009597635</v>
      </c>
      <c r="R953" s="23"/>
      <c r="S953" s="173"/>
      <c r="T953" s="30"/>
      <c r="U953" s="23"/>
      <c r="V953" s="458"/>
      <c r="X953" s="458"/>
    </row>
    <row r="954" spans="1:24" x14ac:dyDescent="0.4">
      <c r="A954" s="179" t="s">
        <v>854</v>
      </c>
      <c r="B954" s="139" t="s">
        <v>97</v>
      </c>
      <c r="C954" s="30" t="str">
        <f>VLOOKUP(B954,'112年全品項生產鍋數'!A:H,2,0)</f>
        <v>花生醬(1*18KG)</v>
      </c>
      <c r="D954" s="290">
        <v>8</v>
      </c>
      <c r="E954" s="48">
        <f>VLOOKUP(B954,'112年全品項生產鍋數'!A:H,3,0)</f>
        <v>18</v>
      </c>
      <c r="F954" s="45">
        <f>VLOOKUP(B954,'112年全品項生產鍋數'!A:H,7,0)</f>
        <v>6.6</v>
      </c>
      <c r="G954" s="49">
        <f t="shared" si="102"/>
        <v>52.8</v>
      </c>
      <c r="H954" s="144">
        <v>52</v>
      </c>
      <c r="I954" s="111">
        <f t="shared" si="105"/>
        <v>936</v>
      </c>
      <c r="J954" s="100">
        <f t="shared" si="104"/>
        <v>0.98484848484848486</v>
      </c>
      <c r="K954" s="51">
        <f>VLOOKUP(B:B,'生產達成率(目標)'!A:C,3,0)</f>
        <v>1</v>
      </c>
      <c r="L954" s="20">
        <f t="shared" si="103"/>
        <v>-1.4999999999999999E-2</v>
      </c>
      <c r="M954" s="41" t="str">
        <f>工時!R138</f>
        <v>90</v>
      </c>
      <c r="N954" s="159"/>
      <c r="O954" s="144">
        <f t="shared" si="101"/>
        <v>0</v>
      </c>
      <c r="P954" s="144">
        <v>52</v>
      </c>
      <c r="Q954" s="98">
        <f t="shared" si="106"/>
        <v>1</v>
      </c>
      <c r="R954" s="23"/>
      <c r="S954" s="173"/>
      <c r="T954" s="30"/>
      <c r="U954" s="23"/>
      <c r="V954" s="458"/>
      <c r="X954" s="458"/>
    </row>
    <row r="955" spans="1:24" x14ac:dyDescent="0.4">
      <c r="A955" s="179" t="s">
        <v>855</v>
      </c>
      <c r="B955" s="139" t="s">
        <v>61</v>
      </c>
      <c r="C955" s="30" t="str">
        <f>VLOOKUP(B955,'112年全品項生產鍋數'!A:H,2,0)</f>
        <v>大圓草莓-新</v>
      </c>
      <c r="D955" s="290">
        <v>28</v>
      </c>
      <c r="E955" s="48">
        <f>VLOOKUP(B955,'112年全品項生產鍋數'!A:H,3,0)</f>
        <v>0.44</v>
      </c>
      <c r="F955" s="45">
        <f>VLOOKUP(B955,'112年全品項生產鍋數'!A:H,7,0)</f>
        <v>344</v>
      </c>
      <c r="G955" s="49">
        <f t="shared" si="102"/>
        <v>9632</v>
      </c>
      <c r="H955" s="144">
        <v>9680</v>
      </c>
      <c r="I955" s="111">
        <f t="shared" si="105"/>
        <v>4259.2</v>
      </c>
      <c r="J955" s="100">
        <f t="shared" si="104"/>
        <v>1.0049833887043189</v>
      </c>
      <c r="K955" s="51">
        <f>VLOOKUP(B:B,'生產達成率(目標)'!A:C,3,0)</f>
        <v>1</v>
      </c>
      <c r="L955" s="20">
        <f t="shared" si="103"/>
        <v>5.0000000000000001E-3</v>
      </c>
      <c r="M955" s="41" t="str">
        <f>工時!R139</f>
        <v>390</v>
      </c>
      <c r="N955" s="159"/>
      <c r="O955" s="144">
        <f t="shared" si="101"/>
        <v>6</v>
      </c>
      <c r="P955" s="144">
        <v>9674</v>
      </c>
      <c r="Q955" s="98">
        <f t="shared" si="106"/>
        <v>0.99938016528925622</v>
      </c>
      <c r="R955" s="23"/>
      <c r="S955" s="173"/>
      <c r="T955" s="30"/>
      <c r="U955" s="23"/>
      <c r="V955" s="458"/>
      <c r="X955" s="458"/>
    </row>
    <row r="956" spans="1:24" x14ac:dyDescent="0.4">
      <c r="A956" s="179" t="s">
        <v>855</v>
      </c>
      <c r="B956" s="139" t="s">
        <v>456</v>
      </c>
      <c r="C956" s="30" t="str">
        <f>VLOOKUP(B956,'112年全品項生產鍋數'!A:H,2,0)</f>
        <v>桑椹果醬(1*190g)</v>
      </c>
      <c r="D956" s="290">
        <v>4</v>
      </c>
      <c r="E956" s="48">
        <f>VLOOKUP(B956,'112年全品項生產鍋數'!A:H,3,0)</f>
        <v>0.19</v>
      </c>
      <c r="F956" s="45">
        <f>VLOOKUP(B956,'112年全品項生產鍋數'!A:H,7,0)</f>
        <v>759.3</v>
      </c>
      <c r="G956" s="49">
        <f t="shared" si="102"/>
        <v>3037.2</v>
      </c>
      <c r="H956" s="144">
        <v>3125</v>
      </c>
      <c r="I956" s="111">
        <f t="shared" si="105"/>
        <v>593.75</v>
      </c>
      <c r="J956" s="100">
        <f t="shared" si="104"/>
        <v>1.0289082049255893</v>
      </c>
      <c r="K956" s="51">
        <f>VLOOKUP(B:B,'生產達成率(目標)'!A:C,3,0)</f>
        <v>1</v>
      </c>
      <c r="L956" s="20">
        <f t="shared" si="103"/>
        <v>2.9000000000000001E-2</v>
      </c>
      <c r="M956" s="41" t="str">
        <f>工時!R140</f>
        <v>278</v>
      </c>
      <c r="N956" s="159"/>
      <c r="O956" s="144">
        <f t="shared" si="101"/>
        <v>5</v>
      </c>
      <c r="P956" s="144">
        <v>3120</v>
      </c>
      <c r="Q956" s="98">
        <f t="shared" si="106"/>
        <v>0.99839999999999995</v>
      </c>
      <c r="R956" s="23"/>
      <c r="S956" s="173"/>
      <c r="T956" s="30" t="s">
        <v>505</v>
      </c>
      <c r="U956" s="23"/>
      <c r="V956" s="458"/>
      <c r="X956" s="458"/>
    </row>
    <row r="957" spans="1:24" x14ac:dyDescent="0.4">
      <c r="A957" s="179" t="s">
        <v>855</v>
      </c>
      <c r="B957" s="139" t="s">
        <v>93</v>
      </c>
      <c r="C957" s="30" t="str">
        <f>VLOOKUP(B957,'112年全品項生產鍋數'!A:H,2,0)</f>
        <v>草莓餡42°(1*6KG)</v>
      </c>
      <c r="D957" s="290">
        <v>20</v>
      </c>
      <c r="E957" s="48">
        <f>VLOOKUP(B957,'112年全品項生產鍋數'!A:H,3,0)</f>
        <v>6</v>
      </c>
      <c r="F957" s="45">
        <f>VLOOKUP(B957,'112年全品項生產鍋數'!A:H,7,0)</f>
        <v>25.2</v>
      </c>
      <c r="G957" s="49">
        <f t="shared" si="102"/>
        <v>504</v>
      </c>
      <c r="H957" s="144">
        <v>508</v>
      </c>
      <c r="I957" s="111">
        <f t="shared" si="105"/>
        <v>3048</v>
      </c>
      <c r="J957" s="100">
        <f t="shared" si="104"/>
        <v>1.0079365079365079</v>
      </c>
      <c r="K957" s="51">
        <f>VLOOKUP(B:B,'生產達成率(目標)'!A:C,3,0)</f>
        <v>1</v>
      </c>
      <c r="L957" s="20">
        <f t="shared" si="103"/>
        <v>8.0000000000000002E-3</v>
      </c>
      <c r="M957" s="41" t="str">
        <f>工時!R141</f>
        <v>270</v>
      </c>
      <c r="N957" s="159"/>
      <c r="O957" s="144">
        <f t="shared" si="101"/>
        <v>2</v>
      </c>
      <c r="P957" s="144">
        <v>506</v>
      </c>
      <c r="Q957" s="98">
        <f t="shared" si="106"/>
        <v>0.99606299212598426</v>
      </c>
      <c r="R957" s="23"/>
      <c r="S957" s="173"/>
      <c r="T957" s="30"/>
      <c r="U957" s="23"/>
      <c r="V957" s="458"/>
      <c r="X957" s="458"/>
    </row>
    <row r="958" spans="1:24" x14ac:dyDescent="0.4">
      <c r="A958" s="179" t="s">
        <v>855</v>
      </c>
      <c r="B958" s="139" t="s">
        <v>63</v>
      </c>
      <c r="C958" s="30" t="str">
        <f>VLOOKUP(B958,'112年全品項生產鍋數'!A:H,2,0)</f>
        <v>草莓蒟蒻餡(1*6kg)</v>
      </c>
      <c r="D958" s="290">
        <v>28</v>
      </c>
      <c r="E958" s="48">
        <f>VLOOKUP(B958,'112年全品項生產鍋數'!A:H,3,0)</f>
        <v>6</v>
      </c>
      <c r="F958" s="45">
        <f>VLOOKUP(B958,'112年全品項生產鍋數'!A:H,7,0)</f>
        <v>25.7</v>
      </c>
      <c r="G958" s="49">
        <f t="shared" si="102"/>
        <v>719.6</v>
      </c>
      <c r="H958" s="144">
        <f>409+323</f>
        <v>732</v>
      </c>
      <c r="I958" s="111">
        <f t="shared" si="105"/>
        <v>4392</v>
      </c>
      <c r="J958" s="100">
        <f t="shared" si="104"/>
        <v>1.0172317954419121</v>
      </c>
      <c r="K958" s="51">
        <f>VLOOKUP(B:B,'生產達成率(目標)'!A:C,3,0)</f>
        <v>1</v>
      </c>
      <c r="L958" s="20">
        <f t="shared" si="103"/>
        <v>1.7000000000000001E-2</v>
      </c>
      <c r="M958" s="41" t="str">
        <f>工時!R142</f>
        <v>362</v>
      </c>
      <c r="N958" s="159"/>
      <c r="O958" s="144">
        <f t="shared" si="101"/>
        <v>1</v>
      </c>
      <c r="P958" s="144">
        <f>408+323</f>
        <v>731</v>
      </c>
      <c r="Q958" s="98">
        <f t="shared" si="106"/>
        <v>0.99863387978142082</v>
      </c>
      <c r="R958" s="23"/>
      <c r="S958" s="173"/>
      <c r="T958" s="30"/>
      <c r="U958" s="23"/>
      <c r="V958" s="458"/>
      <c r="X958" s="458"/>
    </row>
    <row r="959" spans="1:24" x14ac:dyDescent="0.4">
      <c r="A959" s="179" t="s">
        <v>856</v>
      </c>
      <c r="B959" s="139" t="s">
        <v>71</v>
      </c>
      <c r="C959" s="30" t="str">
        <f>VLOOKUP(B959,'112年全品項生產鍋數'!A:H,2,0)</f>
        <v>＃1草莓(1*3.2kg)</v>
      </c>
      <c r="D959" s="290">
        <v>72</v>
      </c>
      <c r="E959" s="48">
        <f>VLOOKUP(B959,'112年全品項生產鍋數'!A:H,3,0)</f>
        <v>3.2</v>
      </c>
      <c r="F959" s="45">
        <f>VLOOKUP(B959,'112年全品項生產鍋數'!A:H,7,0)</f>
        <v>46.8</v>
      </c>
      <c r="G959" s="49">
        <f t="shared" si="102"/>
        <v>3369.6</v>
      </c>
      <c r="H959" s="144">
        <v>3450</v>
      </c>
      <c r="I959" s="111">
        <f t="shared" si="105"/>
        <v>11040</v>
      </c>
      <c r="J959" s="100">
        <f t="shared" si="104"/>
        <v>1.0238603988603989</v>
      </c>
      <c r="K959" s="51">
        <f>VLOOKUP(B:B,'生產達成率(目標)'!A:C,3,0)</f>
        <v>1</v>
      </c>
      <c r="L959" s="20">
        <f t="shared" si="103"/>
        <v>2.4E-2</v>
      </c>
      <c r="M959" s="41" t="str">
        <f>工時!R143</f>
        <v>540</v>
      </c>
      <c r="N959" s="159"/>
      <c r="O959" s="144">
        <f t="shared" si="101"/>
        <v>2</v>
      </c>
      <c r="P959" s="144">
        <v>3448</v>
      </c>
      <c r="Q959" s="98">
        <f t="shared" si="106"/>
        <v>0.99942028985507247</v>
      </c>
      <c r="R959" s="23"/>
      <c r="S959" s="173">
        <v>180</v>
      </c>
      <c r="T959" s="30" t="s">
        <v>937</v>
      </c>
      <c r="U959" s="23"/>
      <c r="V959" s="458"/>
      <c r="X959" s="458"/>
    </row>
    <row r="960" spans="1:24" x14ac:dyDescent="0.4">
      <c r="A960" s="179" t="s">
        <v>856</v>
      </c>
      <c r="B960" s="139" t="s">
        <v>128</v>
      </c>
      <c r="C960" s="30" t="str">
        <f>VLOOKUP(B960,'112年全品項生產鍋數'!A:H,2,0)</f>
        <v>草莓椰果漿(1*6KG)</v>
      </c>
      <c r="D960" s="290">
        <v>8</v>
      </c>
      <c r="E960" s="48">
        <f>VLOOKUP(B960,'112年全品項生產鍋數'!A:H,3,0)</f>
        <v>6</v>
      </c>
      <c r="F960" s="45">
        <f>VLOOKUP(B960,'112年全品項生產鍋數'!A:H,7,0)</f>
        <v>25.7</v>
      </c>
      <c r="G960" s="49">
        <f t="shared" si="102"/>
        <v>205.6</v>
      </c>
      <c r="H960" s="144">
        <v>208</v>
      </c>
      <c r="I960" s="111">
        <f t="shared" si="105"/>
        <v>1248</v>
      </c>
      <c r="J960" s="100">
        <f t="shared" si="104"/>
        <v>1.0116731517509727</v>
      </c>
      <c r="K960" s="51">
        <f>VLOOKUP(B:B,'生產達成率(目標)'!A:C,3,0)</f>
        <v>1</v>
      </c>
      <c r="L960" s="20">
        <f t="shared" si="103"/>
        <v>1.2E-2</v>
      </c>
      <c r="M960" s="41" t="str">
        <f>工時!R144</f>
        <v>130</v>
      </c>
      <c r="N960" s="159"/>
      <c r="O960" s="144">
        <f t="shared" ref="O960:O988" si="107">H960-N960-P960</f>
        <v>1</v>
      </c>
      <c r="P960" s="144">
        <v>207</v>
      </c>
      <c r="Q960" s="98">
        <f t="shared" si="106"/>
        <v>0.99519230769230771</v>
      </c>
      <c r="R960" s="23"/>
      <c r="S960" s="173"/>
      <c r="T960" s="30"/>
      <c r="U960" s="23"/>
      <c r="V960" s="458"/>
      <c r="X960" s="458"/>
    </row>
    <row r="961" spans="1:30" x14ac:dyDescent="0.4">
      <c r="A961" s="179" t="s">
        <v>856</v>
      </c>
      <c r="B961" s="139" t="s">
        <v>77</v>
      </c>
      <c r="C961" s="30" t="str">
        <f>VLOOKUP(B961,'112年全品項生產鍋數'!A:H,2,0)</f>
        <v>草莓餡50°(1*6Kg)</v>
      </c>
      <c r="D961" s="290">
        <v>8</v>
      </c>
      <c r="E961" s="48">
        <f>VLOOKUP(B961,'112年全品項生產鍋數'!A:H,3,0)</f>
        <v>6</v>
      </c>
      <c r="F961" s="45">
        <f>VLOOKUP(B961,'112年全品項生產鍋數'!A:H,7,0)</f>
        <v>25</v>
      </c>
      <c r="G961" s="49">
        <f t="shared" si="102"/>
        <v>200</v>
      </c>
      <c r="H961" s="144">
        <v>198</v>
      </c>
      <c r="I961" s="111">
        <f t="shared" si="105"/>
        <v>1188</v>
      </c>
      <c r="J961" s="100">
        <f t="shared" si="104"/>
        <v>0.99</v>
      </c>
      <c r="K961" s="51">
        <f>VLOOKUP(B:B,'生產達成率(目標)'!A:C,3,0)</f>
        <v>1</v>
      </c>
      <c r="L961" s="20">
        <f t="shared" si="103"/>
        <v>-0.01</v>
      </c>
      <c r="M961" s="41" t="str">
        <f>工時!R145</f>
        <v>150</v>
      </c>
      <c r="N961" s="159"/>
      <c r="O961" s="144">
        <f t="shared" si="107"/>
        <v>1</v>
      </c>
      <c r="P961" s="144">
        <v>197</v>
      </c>
      <c r="Q961" s="98">
        <f t="shared" si="106"/>
        <v>0.99494949494949492</v>
      </c>
      <c r="R961" s="23"/>
      <c r="S961" s="173"/>
      <c r="T961" s="30"/>
      <c r="U961" s="23"/>
      <c r="V961" s="458"/>
      <c r="X961" s="458"/>
    </row>
    <row r="962" spans="1:30" x14ac:dyDescent="0.4">
      <c r="A962" s="179" t="s">
        <v>856</v>
      </c>
      <c r="B962" s="139" t="s">
        <v>63</v>
      </c>
      <c r="C962" s="30" t="str">
        <f>VLOOKUP(B962,'112年全品項生產鍋數'!A:H,2,0)</f>
        <v>草莓蒟蒻餡(1*6kg)</v>
      </c>
      <c r="D962" s="290">
        <v>28</v>
      </c>
      <c r="E962" s="48">
        <f>VLOOKUP(B962,'112年全品項生產鍋數'!A:H,3,0)</f>
        <v>6</v>
      </c>
      <c r="F962" s="45">
        <f>VLOOKUP(B962,'112年全品項生產鍋數'!A:H,7,0)</f>
        <v>25.7</v>
      </c>
      <c r="G962" s="49">
        <f t="shared" ref="G962:G1025" si="108">D962*F962</f>
        <v>719.6</v>
      </c>
      <c r="H962" s="144">
        <f>412+314</f>
        <v>726</v>
      </c>
      <c r="I962" s="111">
        <f t="shared" si="105"/>
        <v>4356</v>
      </c>
      <c r="J962" s="100">
        <f t="shared" si="104"/>
        <v>1.008893829905503</v>
      </c>
      <c r="K962" s="51">
        <f>VLOOKUP(B:B,'生產達成率(目標)'!A:C,3,0)</f>
        <v>1</v>
      </c>
      <c r="L962" s="20">
        <f t="shared" si="103"/>
        <v>8.9999999999999993E-3</v>
      </c>
      <c r="M962" s="41" t="str">
        <f>工時!R146</f>
        <v>351</v>
      </c>
      <c r="N962" s="159"/>
      <c r="O962" s="144">
        <f t="shared" si="107"/>
        <v>3</v>
      </c>
      <c r="P962" s="144">
        <f>410+313</f>
        <v>723</v>
      </c>
      <c r="Q962" s="98">
        <f t="shared" si="106"/>
        <v>0.99586776859504134</v>
      </c>
      <c r="R962" s="23"/>
      <c r="S962" s="173"/>
      <c r="T962" s="30"/>
      <c r="U962" s="23"/>
      <c r="V962" s="458"/>
      <c r="X962" s="458"/>
    </row>
    <row r="963" spans="1:30" x14ac:dyDescent="0.4">
      <c r="A963" s="179" t="s">
        <v>856</v>
      </c>
      <c r="B963" s="139" t="s">
        <v>82</v>
      </c>
      <c r="C963" s="30" t="str">
        <f>VLOOKUP(B963,'112年全品項生產鍋數'!A:H,2,0)</f>
        <v>顆粒花生醬(全)</v>
      </c>
      <c r="D963" s="290">
        <v>20</v>
      </c>
      <c r="E963" s="48">
        <f>VLOOKUP(B963,'112年全品項生產鍋數'!A:H,3,0)</f>
        <v>0.34</v>
      </c>
      <c r="F963" s="45">
        <f>VLOOKUP(B963,'112年全品項生產鍋數'!A:H,7,0)</f>
        <v>364.6</v>
      </c>
      <c r="G963" s="49">
        <f t="shared" si="108"/>
        <v>7292</v>
      </c>
      <c r="H963" s="144">
        <v>7552</v>
      </c>
      <c r="I963" s="111">
        <f t="shared" si="105"/>
        <v>2567.6800000000003</v>
      </c>
      <c r="J963" s="100">
        <f t="shared" si="104"/>
        <v>1.0356555128908393</v>
      </c>
      <c r="K963" s="51">
        <f>VLOOKUP(B:B,'生產達成率(目標)'!A:C,3,0)</f>
        <v>1</v>
      </c>
      <c r="L963" s="20">
        <f t="shared" ref="L963:L1026" si="109">IF(G963=0,"無法預估數據",ROUND(J963-K963,3))</f>
        <v>3.5999999999999997E-2</v>
      </c>
      <c r="M963" s="41" t="str">
        <f>工時!R147</f>
        <v>390</v>
      </c>
      <c r="N963" s="159"/>
      <c r="O963" s="144">
        <f t="shared" si="107"/>
        <v>3</v>
      </c>
      <c r="P963" s="144">
        <v>7549</v>
      </c>
      <c r="Q963" s="98">
        <f t="shared" si="106"/>
        <v>0.99960275423728817</v>
      </c>
      <c r="R963" s="23"/>
      <c r="S963" s="173"/>
      <c r="T963" s="30"/>
      <c r="U963" s="23"/>
      <c r="V963" s="458"/>
      <c r="X963" s="458"/>
    </row>
    <row r="964" spans="1:30" x14ac:dyDescent="0.4">
      <c r="A964" s="179" t="s">
        <v>856</v>
      </c>
      <c r="B964" s="151" t="s">
        <v>18</v>
      </c>
      <c r="C964" s="30" t="str">
        <f>VLOOKUP(B964,'112年全品項生產鍋數'!A:H,2,0)</f>
        <v>PET瓶花生(粒)(1*340g)</v>
      </c>
      <c r="D964" s="290">
        <v>20</v>
      </c>
      <c r="E964" s="48">
        <f>VLOOKUP(B964,'112年全品項生產鍋數'!A:H,3,0)</f>
        <v>0.34</v>
      </c>
      <c r="F964" s="45">
        <f>VLOOKUP(B964,'112年全品項生產鍋數'!A:H,7,0)</f>
        <v>366</v>
      </c>
      <c r="G964" s="49">
        <f t="shared" si="108"/>
        <v>7320</v>
      </c>
      <c r="H964" s="144">
        <f>2216+4802</f>
        <v>7018</v>
      </c>
      <c r="I964" s="111">
        <f t="shared" si="105"/>
        <v>2386.1200000000003</v>
      </c>
      <c r="J964" s="100">
        <f t="shared" si="104"/>
        <v>0.95874316939890714</v>
      </c>
      <c r="K964" s="51">
        <f>VLOOKUP(B:B,'生產達成率(目標)'!A:C,3,0)</f>
        <v>1</v>
      </c>
      <c r="L964" s="20">
        <f t="shared" si="109"/>
        <v>-4.1000000000000002E-2</v>
      </c>
      <c r="M964" s="41" t="str">
        <f>工時!R148</f>
        <v>290</v>
      </c>
      <c r="N964" s="159"/>
      <c r="O964" s="144">
        <f t="shared" si="107"/>
        <v>6</v>
      </c>
      <c r="P964" s="144">
        <v>7012</v>
      </c>
      <c r="Q964" s="98">
        <f t="shared" si="106"/>
        <v>0.99914505557138789</v>
      </c>
      <c r="R964" s="23"/>
      <c r="S964" s="173"/>
      <c r="T964" s="30" t="s">
        <v>604</v>
      </c>
      <c r="U964" s="23"/>
      <c r="V964" s="458"/>
      <c r="X964" s="458"/>
    </row>
    <row r="965" spans="1:30" x14ac:dyDescent="0.4">
      <c r="A965" s="179" t="s">
        <v>857</v>
      </c>
      <c r="B965" s="139" t="s">
        <v>88</v>
      </c>
      <c r="C965" s="30" t="str">
        <f>VLOOKUP(B965,'112年全品項生產鍋數'!A:H,2,0)</f>
        <v>草莓餡(1*6KG)</v>
      </c>
      <c r="D965" s="290">
        <v>32</v>
      </c>
      <c r="E965" s="48">
        <f>VLOOKUP(B965,'112年全品項生產鍋數'!A:H,3,0)</f>
        <v>6</v>
      </c>
      <c r="F965" s="45">
        <f>VLOOKUP(B965,'112年全品項生產鍋數'!A:H,7,0)</f>
        <v>25.5</v>
      </c>
      <c r="G965" s="49">
        <f t="shared" si="108"/>
        <v>816</v>
      </c>
      <c r="H965" s="144">
        <v>817</v>
      </c>
      <c r="I965" s="111">
        <f t="shared" si="105"/>
        <v>4902</v>
      </c>
      <c r="J965" s="100">
        <f t="shared" si="104"/>
        <v>1.0012254901960784</v>
      </c>
      <c r="K965" s="51">
        <f>VLOOKUP(B:B,'生產達成率(目標)'!A:C,3,0)</f>
        <v>1</v>
      </c>
      <c r="L965" s="20">
        <f t="shared" si="109"/>
        <v>1E-3</v>
      </c>
      <c r="M965" s="41" t="str">
        <f>工時!R149</f>
        <v>430</v>
      </c>
      <c r="N965" s="159"/>
      <c r="O965" s="144">
        <f t="shared" si="107"/>
        <v>1</v>
      </c>
      <c r="P965" s="144">
        <v>816</v>
      </c>
      <c r="Q965" s="98">
        <f t="shared" si="106"/>
        <v>0.99877600979192172</v>
      </c>
      <c r="R965" s="23"/>
      <c r="S965" s="173"/>
      <c r="T965" s="30"/>
      <c r="U965" s="23"/>
      <c r="V965" s="458"/>
      <c r="X965" s="458"/>
    </row>
    <row r="966" spans="1:30" x14ac:dyDescent="0.4">
      <c r="A966" s="179" t="s">
        <v>857</v>
      </c>
      <c r="B966" s="139" t="s">
        <v>109</v>
      </c>
      <c r="C966" s="30" t="str">
        <f>VLOOKUP(B966,'112年全品項生產鍋數'!A:H,2,0)</f>
        <v>蔓越莓醬(1*6KG)</v>
      </c>
      <c r="D966" s="290">
        <v>12</v>
      </c>
      <c r="E966" s="48">
        <f>VLOOKUP(B966,'112年全品項生產鍋數'!A:H,3,0)</f>
        <v>6</v>
      </c>
      <c r="F966" s="45">
        <f>VLOOKUP(B966,'112年全品項生產鍋數'!A:H,7,0)</f>
        <v>25.6</v>
      </c>
      <c r="G966" s="49">
        <f t="shared" si="108"/>
        <v>307.20000000000005</v>
      </c>
      <c r="H966" s="144">
        <v>313</v>
      </c>
      <c r="I966" s="111">
        <f t="shared" si="105"/>
        <v>1878</v>
      </c>
      <c r="J966" s="100">
        <f t="shared" si="104"/>
        <v>1.0188802083333333</v>
      </c>
      <c r="K966" s="51">
        <f>VLOOKUP(B:B,'生產達成率(目標)'!A:C,3,0)</f>
        <v>1</v>
      </c>
      <c r="L966" s="20">
        <f t="shared" si="109"/>
        <v>1.9E-2</v>
      </c>
      <c r="M966" s="41" t="str">
        <f>工時!R150</f>
        <v>175</v>
      </c>
      <c r="N966" s="159"/>
      <c r="O966" s="144">
        <f t="shared" si="107"/>
        <v>3</v>
      </c>
      <c r="P966" s="144">
        <v>310</v>
      </c>
      <c r="Q966" s="98">
        <f t="shared" si="106"/>
        <v>0.99041533546325877</v>
      </c>
      <c r="R966" s="23"/>
      <c r="S966" s="173"/>
      <c r="T966" s="30"/>
      <c r="U966" s="23"/>
      <c r="V966" s="458"/>
      <c r="X966" s="458"/>
    </row>
    <row r="967" spans="1:30" x14ac:dyDescent="0.4">
      <c r="A967" s="179" t="s">
        <v>857</v>
      </c>
      <c r="B967" s="139" t="s">
        <v>73</v>
      </c>
      <c r="C967" s="30" t="str">
        <f>VLOOKUP(B967,'112年全品項生產鍋數'!A:H,2,0)</f>
        <v>顆粒花生醬(1*12KG)</v>
      </c>
      <c r="D967" s="290">
        <v>21</v>
      </c>
      <c r="E967" s="48">
        <f>VLOOKUP(B967,'112年全品項生產鍋數'!A:H,3,0)</f>
        <v>3</v>
      </c>
      <c r="F967" s="45">
        <f>VLOOKUP(B967,'112年全品項生產鍋數'!A:H,7,0)</f>
        <v>29.7</v>
      </c>
      <c r="G967" s="49">
        <f t="shared" si="108"/>
        <v>623.69999999999993</v>
      </c>
      <c r="H967" s="144">
        <v>628</v>
      </c>
      <c r="I967" s="111">
        <f t="shared" si="105"/>
        <v>1884</v>
      </c>
      <c r="J967" s="100">
        <f t="shared" si="104"/>
        <v>1.0068943402276738</v>
      </c>
      <c r="K967" s="51">
        <f>VLOOKUP(B:B,'生產達成率(目標)'!A:C,3,0)</f>
        <v>1</v>
      </c>
      <c r="L967" s="20">
        <f t="shared" si="109"/>
        <v>7.0000000000000001E-3</v>
      </c>
      <c r="M967" s="41" t="str">
        <f>工時!R151</f>
        <v>540</v>
      </c>
      <c r="N967" s="159"/>
      <c r="O967" s="144">
        <f t="shared" si="107"/>
        <v>0</v>
      </c>
      <c r="P967" s="144">
        <v>628</v>
      </c>
      <c r="Q967" s="98">
        <f t="shared" si="106"/>
        <v>1</v>
      </c>
      <c r="R967" s="23"/>
      <c r="S967" s="173"/>
      <c r="T967" s="30"/>
      <c r="U967" s="23"/>
      <c r="V967" s="458"/>
      <c r="X967" s="458"/>
    </row>
    <row r="968" spans="1:30" x14ac:dyDescent="0.4">
      <c r="A968" s="179" t="s">
        <v>857</v>
      </c>
      <c r="B968" s="139" t="s">
        <v>131</v>
      </c>
      <c r="C968" s="30" t="str">
        <f>VLOOKUP(B968,'112年全品項生產鍋數'!A:H,2,0)</f>
        <v>花生醬(1*18KG)</v>
      </c>
      <c r="D968" s="290">
        <v>60</v>
      </c>
      <c r="E968" s="48">
        <f>VLOOKUP(B968,'112年全品項生產鍋數'!A:H,3,0)</f>
        <v>18</v>
      </c>
      <c r="F968" s="45">
        <f>VLOOKUP(B968,'112年全品項生產鍋數'!A:H,7,0)</f>
        <v>6.9</v>
      </c>
      <c r="G968" s="49">
        <f t="shared" si="108"/>
        <v>414</v>
      </c>
      <c r="H968" s="144">
        <v>419</v>
      </c>
      <c r="I968" s="111">
        <f t="shared" si="105"/>
        <v>7542</v>
      </c>
      <c r="J968" s="100">
        <f t="shared" si="104"/>
        <v>1.0120772946859904</v>
      </c>
      <c r="K968" s="51">
        <f>VLOOKUP(B:B,'生產達成率(目標)'!A:C,3,0)</f>
        <v>1</v>
      </c>
      <c r="L968" s="20">
        <f t="shared" si="109"/>
        <v>1.2E-2</v>
      </c>
      <c r="M968" s="41" t="str">
        <f>工時!R152</f>
        <v>570</v>
      </c>
      <c r="N968" s="159"/>
      <c r="O968" s="144">
        <f t="shared" si="107"/>
        <v>0</v>
      </c>
      <c r="P968" s="144">
        <v>419</v>
      </c>
      <c r="Q968" s="98">
        <f t="shared" si="106"/>
        <v>1</v>
      </c>
      <c r="R968" s="23"/>
      <c r="S968" s="173"/>
      <c r="T968" s="30"/>
      <c r="U968" s="23"/>
      <c r="V968" s="458"/>
      <c r="X968" s="458"/>
    </row>
    <row r="969" spans="1:30" x14ac:dyDescent="0.4">
      <c r="A969" s="179" t="s">
        <v>857</v>
      </c>
      <c r="B969" s="139">
        <v>152010</v>
      </c>
      <c r="C969" s="30" t="str">
        <f>VLOOKUP(B969,'112年全品項生產鍋數'!A:H,2,0)</f>
        <v>蜜綠果6m/m</v>
      </c>
      <c r="D969" s="291">
        <v>1</v>
      </c>
      <c r="E969" s="48">
        <f>VLOOKUP(B969,'112年全品項生產鍋數'!A:H,3,0)</f>
        <v>1</v>
      </c>
      <c r="F969" s="45">
        <f>VLOOKUP(B969,'112年全品項生產鍋數'!A:H,7,0)</f>
        <v>139</v>
      </c>
      <c r="G969" s="49">
        <f t="shared" si="108"/>
        <v>139</v>
      </c>
      <c r="H969" s="144">
        <v>138</v>
      </c>
      <c r="I969" s="111">
        <f t="shared" si="105"/>
        <v>138</v>
      </c>
      <c r="J969" s="100">
        <f t="shared" si="104"/>
        <v>0.9928057553956835</v>
      </c>
      <c r="K969" s="51">
        <f>VLOOKUP(B:B,'生產達成率(目標)'!A:C,3,0)</f>
        <v>1</v>
      </c>
      <c r="L969" s="20">
        <f t="shared" si="109"/>
        <v>-7.0000000000000001E-3</v>
      </c>
      <c r="M969" s="41" t="str">
        <f>工時!R153</f>
        <v>0</v>
      </c>
      <c r="N969" s="159"/>
      <c r="O969" s="144">
        <f t="shared" si="107"/>
        <v>0</v>
      </c>
      <c r="P969" s="144">
        <v>138</v>
      </c>
      <c r="Q969" s="98">
        <f t="shared" si="106"/>
        <v>1</v>
      </c>
      <c r="R969" s="23"/>
      <c r="S969" s="173"/>
      <c r="T969" s="30"/>
      <c r="U969" s="23"/>
      <c r="V969" s="458"/>
      <c r="X969" s="458"/>
    </row>
    <row r="970" spans="1:30" x14ac:dyDescent="0.4">
      <c r="A970" s="179" t="s">
        <v>858</v>
      </c>
      <c r="B970" s="139" t="s">
        <v>86</v>
      </c>
      <c r="C970" s="30" t="str">
        <f>VLOOKUP(B970,'112年全品項生產鍋數'!A:H,2,0)</f>
        <v>＃2藍莓(1*900g)</v>
      </c>
      <c r="D970" s="290">
        <v>3</v>
      </c>
      <c r="E970" s="48">
        <f>VLOOKUP(B970,'112年全品項生產鍋數'!A:H,3,0)</f>
        <v>0.9</v>
      </c>
      <c r="F970" s="45">
        <f>VLOOKUP(B970,'112年全品項生產鍋數'!A:H,7,0)</f>
        <v>163</v>
      </c>
      <c r="G970" s="49">
        <f t="shared" si="108"/>
        <v>489</v>
      </c>
      <c r="H970" s="144">
        <v>483</v>
      </c>
      <c r="I970" s="111">
        <f t="shared" si="105"/>
        <v>434.7</v>
      </c>
      <c r="J970" s="100">
        <f t="shared" si="104"/>
        <v>0.98773006134969321</v>
      </c>
      <c r="K970" s="51">
        <f>VLOOKUP(B:B,'生產達成率(目標)'!A:C,3,0)</f>
        <v>1</v>
      </c>
      <c r="L970" s="20">
        <f t="shared" si="109"/>
        <v>-1.2E-2</v>
      </c>
      <c r="M970" s="41" t="str">
        <f>工時!R154</f>
        <v>135</v>
      </c>
      <c r="N970" s="159"/>
      <c r="O970" s="144">
        <f t="shared" si="107"/>
        <v>2</v>
      </c>
      <c r="P970" s="144">
        <v>481</v>
      </c>
      <c r="Q970" s="98">
        <f t="shared" si="106"/>
        <v>0.99585921325051763</v>
      </c>
      <c r="R970" s="23"/>
      <c r="S970" s="173"/>
      <c r="T970" s="30"/>
      <c r="U970" s="23"/>
      <c r="V970" s="458"/>
      <c r="X970" s="458"/>
    </row>
    <row r="971" spans="1:30" x14ac:dyDescent="0.4">
      <c r="A971" s="179" t="s">
        <v>858</v>
      </c>
      <c r="B971" s="149" t="s">
        <v>87</v>
      </c>
      <c r="C971" s="30" t="str">
        <f>VLOOKUP(B971,'112年全品項生產鍋數'!A:H,2,0)</f>
        <v>＃1藍莓(1*3.2kg)</v>
      </c>
      <c r="D971" s="290">
        <v>65</v>
      </c>
      <c r="E971" s="48">
        <f>VLOOKUP(B971,'112年全品項生產鍋數'!A:H,3,0)</f>
        <v>3.2</v>
      </c>
      <c r="F971" s="45">
        <f>VLOOKUP(B971,'112年全品項生產鍋數'!A:H,7,0)</f>
        <v>47.5</v>
      </c>
      <c r="G971" s="49">
        <f t="shared" si="108"/>
        <v>3087.5</v>
      </c>
      <c r="H971" s="144">
        <v>3099</v>
      </c>
      <c r="I971" s="111">
        <f t="shared" si="105"/>
        <v>9916.8000000000011</v>
      </c>
      <c r="J971" s="100">
        <f t="shared" si="104"/>
        <v>1.0037246963562754</v>
      </c>
      <c r="K971" s="51">
        <f>VLOOKUP(B:B,'生產達成率(目標)'!A:C,3,0)</f>
        <v>1</v>
      </c>
      <c r="L971" s="20">
        <f t="shared" si="109"/>
        <v>4.0000000000000001E-3</v>
      </c>
      <c r="M971" s="41" t="str">
        <f>工時!R155</f>
        <v>410</v>
      </c>
      <c r="N971" s="159"/>
      <c r="O971" s="144">
        <f t="shared" si="107"/>
        <v>2</v>
      </c>
      <c r="P971" s="144">
        <v>3097</v>
      </c>
      <c r="Q971" s="98">
        <f t="shared" si="106"/>
        <v>0.99935463052597617</v>
      </c>
      <c r="R971" s="23"/>
      <c r="S971" s="173"/>
      <c r="T971" s="30"/>
      <c r="U971" s="23"/>
      <c r="V971" s="458"/>
      <c r="X971" s="458"/>
    </row>
    <row r="972" spans="1:30" s="22" customFormat="1" x14ac:dyDescent="0.4">
      <c r="A972" s="177" t="s">
        <v>858</v>
      </c>
      <c r="B972" s="149" t="s">
        <v>63</v>
      </c>
      <c r="C972" s="30" t="str">
        <f>VLOOKUP(B972,'112年全品項生產鍋數'!A:H,2,0)</f>
        <v>草莓蒟蒻餡(1*6kg)</v>
      </c>
      <c r="D972" s="285">
        <v>20</v>
      </c>
      <c r="E972" s="48">
        <f>VLOOKUP(B972,'112年全品項生產鍋數'!A:H,3,0)</f>
        <v>6</v>
      </c>
      <c r="F972" s="45">
        <f>VLOOKUP(B972,'112年全品項生產鍋數'!A:H,7,0)</f>
        <v>25.7</v>
      </c>
      <c r="G972" s="49">
        <f t="shared" si="108"/>
        <v>514</v>
      </c>
      <c r="H972" s="144">
        <f>307+212</f>
        <v>519</v>
      </c>
      <c r="I972" s="111">
        <f t="shared" si="105"/>
        <v>3114</v>
      </c>
      <c r="J972" s="50">
        <f t="shared" si="104"/>
        <v>1.0097276264591439</v>
      </c>
      <c r="K972" s="51">
        <f>VLOOKUP(B:B,'生產達成率(目標)'!A:C,3,0)</f>
        <v>1</v>
      </c>
      <c r="L972" s="20">
        <f t="shared" si="109"/>
        <v>0.01</v>
      </c>
      <c r="M972" s="41" t="str">
        <f>工時!R156</f>
        <v>282</v>
      </c>
      <c r="N972" s="159"/>
      <c r="O972" s="144">
        <f t="shared" si="107"/>
        <v>2</v>
      </c>
      <c r="P972" s="144">
        <f>305+212</f>
        <v>517</v>
      </c>
      <c r="Q972" s="98">
        <f t="shared" si="106"/>
        <v>0.9961464354527938</v>
      </c>
      <c r="R972" s="23"/>
      <c r="S972" s="173"/>
      <c r="T972" s="30"/>
      <c r="U972" s="23"/>
      <c r="V972" s="458"/>
      <c r="W972" s="421"/>
      <c r="X972" s="458"/>
      <c r="Y972" s="421"/>
      <c r="Z972" s="421"/>
      <c r="AA972" s="421"/>
      <c r="AB972" s="421"/>
      <c r="AC972" s="421"/>
      <c r="AD972" s="421"/>
    </row>
    <row r="973" spans="1:30" s="22" customFormat="1" x14ac:dyDescent="0.4">
      <c r="A973" s="177" t="s">
        <v>858</v>
      </c>
      <c r="B973" s="149" t="s">
        <v>461</v>
      </c>
      <c r="C973" s="30" t="str">
        <f>VLOOKUP(B973,'112年全品項生產鍋數'!A:H,2,0)</f>
        <v>綜合莓果餡(1*6Kg)</v>
      </c>
      <c r="D973" s="285">
        <v>6</v>
      </c>
      <c r="E973" s="48">
        <f>VLOOKUP(B973,'112年全品項生產鍋數'!A:H,3,0)</f>
        <v>6</v>
      </c>
      <c r="F973" s="45">
        <f>VLOOKUP(B973,'112年全品項生產鍋數'!A:H,7,0)</f>
        <v>25.1</v>
      </c>
      <c r="G973" s="49">
        <f t="shared" si="108"/>
        <v>150.60000000000002</v>
      </c>
      <c r="H973" s="144">
        <v>151</v>
      </c>
      <c r="I973" s="111">
        <f t="shared" si="105"/>
        <v>906</v>
      </c>
      <c r="J973" s="50">
        <f t="shared" si="104"/>
        <v>1.0026560424966797</v>
      </c>
      <c r="K973" s="51">
        <f>VLOOKUP(B:B,'生產達成率(目標)'!A:C,3,0)</f>
        <v>1</v>
      </c>
      <c r="L973" s="20">
        <f t="shared" si="109"/>
        <v>3.0000000000000001E-3</v>
      </c>
      <c r="M973" s="41" t="str">
        <f>工時!R157</f>
        <v>125</v>
      </c>
      <c r="N973" s="159"/>
      <c r="O973" s="144">
        <f t="shared" si="107"/>
        <v>1</v>
      </c>
      <c r="P973" s="144">
        <v>150</v>
      </c>
      <c r="Q973" s="98">
        <f t="shared" si="106"/>
        <v>0.99337748344370858</v>
      </c>
      <c r="R973" s="23"/>
      <c r="S973" s="173"/>
      <c r="T973" s="30"/>
      <c r="U973" s="23"/>
      <c r="V973" s="458"/>
      <c r="W973" s="421"/>
      <c r="X973" s="458"/>
      <c r="Y973" s="421"/>
      <c r="Z973" s="421"/>
      <c r="AA973" s="421"/>
      <c r="AB973" s="421"/>
      <c r="AC973" s="421"/>
      <c r="AD973" s="421"/>
    </row>
    <row r="974" spans="1:30" s="22" customFormat="1" x14ac:dyDescent="0.4">
      <c r="A974" s="177" t="s">
        <v>858</v>
      </c>
      <c r="B974" s="149" t="s">
        <v>51</v>
      </c>
      <c r="C974" s="30" t="str">
        <f>VLOOKUP(B974,'112年全品項生產鍋數'!A:H,2,0)</f>
        <v>藍莓醬(1*6kg)</v>
      </c>
      <c r="D974" s="285">
        <v>12</v>
      </c>
      <c r="E974" s="48">
        <f>VLOOKUP(B974,'112年全品項生產鍋數'!A:H,3,0)</f>
        <v>6</v>
      </c>
      <c r="F974" s="45">
        <f>VLOOKUP(B974,'112年全品項生產鍋數'!A:H,7,0)</f>
        <v>25.5</v>
      </c>
      <c r="G974" s="49">
        <f t="shared" si="108"/>
        <v>306</v>
      </c>
      <c r="H974" s="144">
        <v>312</v>
      </c>
      <c r="I974" s="111">
        <f t="shared" si="105"/>
        <v>1872</v>
      </c>
      <c r="J974" s="50">
        <f t="shared" si="104"/>
        <v>1.0196078431372548</v>
      </c>
      <c r="K974" s="51">
        <f>VLOOKUP(B:B,'生產達成率(目標)'!A:C,3,0)</f>
        <v>1</v>
      </c>
      <c r="L974" s="20">
        <f t="shared" si="109"/>
        <v>0.02</v>
      </c>
      <c r="M974" s="41" t="str">
        <f>工時!R158</f>
        <v>170</v>
      </c>
      <c r="N974" s="159"/>
      <c r="O974" s="144">
        <f t="shared" si="107"/>
        <v>2</v>
      </c>
      <c r="P974" s="144">
        <v>310</v>
      </c>
      <c r="Q974" s="98">
        <f t="shared" si="106"/>
        <v>0.99358974358974361</v>
      </c>
      <c r="R974" s="23"/>
      <c r="S974" s="173"/>
      <c r="T974" s="30"/>
      <c r="U974" s="23"/>
      <c r="V974" s="458"/>
      <c r="W974" s="421"/>
      <c r="X974" s="458"/>
      <c r="Y974" s="421"/>
      <c r="Z974" s="421"/>
      <c r="AA974" s="421"/>
      <c r="AB974" s="421"/>
      <c r="AC974" s="421"/>
      <c r="AD974" s="421"/>
    </row>
    <row r="975" spans="1:30" s="22" customFormat="1" x14ac:dyDescent="0.4">
      <c r="A975" s="177" t="s">
        <v>858</v>
      </c>
      <c r="B975" s="149" t="s">
        <v>597</v>
      </c>
      <c r="C975" s="30" t="str">
        <f>VLOOKUP(B975,'112年全品項生產鍋數'!A:H,2,0)</f>
        <v>無加糖花生醬(1*290g)</v>
      </c>
      <c r="D975" s="285">
        <v>8</v>
      </c>
      <c r="E975" s="48">
        <f>VLOOKUP(B975,'112年全品項生產鍋數'!A:H,3,0)</f>
        <v>0.28999999999999998</v>
      </c>
      <c r="F975" s="45">
        <f>VLOOKUP(B975,'112年全品項生產鍋數'!A:H,7,0)</f>
        <v>388</v>
      </c>
      <c r="G975" s="49">
        <f t="shared" si="108"/>
        <v>3104</v>
      </c>
      <c r="H975" s="144">
        <v>3179</v>
      </c>
      <c r="I975" s="111">
        <f t="shared" si="105"/>
        <v>921.91</v>
      </c>
      <c r="J975" s="50">
        <f t="shared" si="104"/>
        <v>1.0241623711340206</v>
      </c>
      <c r="K975" s="51">
        <f>VLOOKUP(B:B,'生產達成率(目標)'!A:C,3,0)</f>
        <v>1</v>
      </c>
      <c r="L975" s="20">
        <f t="shared" si="109"/>
        <v>2.4E-2</v>
      </c>
      <c r="M975" s="41" t="str">
        <f>工時!R159</f>
        <v>260</v>
      </c>
      <c r="N975" s="159"/>
      <c r="O975" s="144">
        <f t="shared" si="107"/>
        <v>4</v>
      </c>
      <c r="P975" s="144">
        <f>1632+1543</f>
        <v>3175</v>
      </c>
      <c r="Q975" s="98">
        <f t="shared" si="106"/>
        <v>0.99874174268637939</v>
      </c>
      <c r="R975" s="23"/>
      <c r="S975" s="173"/>
      <c r="T975" s="30"/>
      <c r="U975" s="23"/>
      <c r="V975" s="458"/>
      <c r="W975" s="421"/>
      <c r="X975" s="458"/>
      <c r="Y975" s="421"/>
      <c r="Z975" s="421"/>
      <c r="AA975" s="421"/>
      <c r="AB975" s="421"/>
      <c r="AC975" s="421"/>
      <c r="AD975" s="421"/>
    </row>
    <row r="976" spans="1:30" s="22" customFormat="1" x14ac:dyDescent="0.4">
      <c r="A976" s="177" t="s">
        <v>858</v>
      </c>
      <c r="B976" s="149" t="s">
        <v>66</v>
      </c>
      <c r="C976" s="30" t="str">
        <f>VLOOKUP(B976,'112年全品項生產鍋數'!A:H,2,0)</f>
        <v>＃2花生(1*800g)</v>
      </c>
      <c r="D976" s="285">
        <v>20</v>
      </c>
      <c r="E976" s="48">
        <f>VLOOKUP(B976,'112年全品項生產鍋數'!A:H,3,0)</f>
        <v>0.8</v>
      </c>
      <c r="F976" s="45">
        <f>VLOOKUP(B976,'112年全品項生產鍋數'!A:H,7,0)</f>
        <v>157.69999999999999</v>
      </c>
      <c r="G976" s="49">
        <f t="shared" si="108"/>
        <v>3154</v>
      </c>
      <c r="H976" s="144">
        <v>3236</v>
      </c>
      <c r="I976" s="111">
        <f t="shared" si="105"/>
        <v>2588.8000000000002</v>
      </c>
      <c r="J976" s="50">
        <f t="shared" si="104"/>
        <v>1.0259987317691819</v>
      </c>
      <c r="K976" s="51">
        <f>VLOOKUP(B:B,'生產達成率(目標)'!A:C,3,0)</f>
        <v>1</v>
      </c>
      <c r="L976" s="20">
        <f t="shared" si="109"/>
        <v>2.5999999999999999E-2</v>
      </c>
      <c r="M976" s="41" t="str">
        <f>工時!R160</f>
        <v>430</v>
      </c>
      <c r="N976" s="159"/>
      <c r="O976" s="144">
        <f t="shared" si="107"/>
        <v>3</v>
      </c>
      <c r="P976" s="144">
        <v>3233</v>
      </c>
      <c r="Q976" s="98">
        <f t="shared" si="106"/>
        <v>0.99907292954264526</v>
      </c>
      <c r="R976" s="23"/>
      <c r="S976" s="173"/>
      <c r="T976" s="30"/>
      <c r="U976" s="23"/>
      <c r="V976" s="458"/>
      <c r="W976" s="421"/>
      <c r="X976" s="458"/>
      <c r="Y976" s="421"/>
      <c r="Z976" s="421"/>
      <c r="AA976" s="421"/>
      <c r="AB976" s="421"/>
      <c r="AC976" s="421"/>
      <c r="AD976" s="421"/>
    </row>
    <row r="977" spans="1:30" s="22" customFormat="1" x14ac:dyDescent="0.4">
      <c r="A977" s="177" t="s">
        <v>858</v>
      </c>
      <c r="B977" s="149" t="s">
        <v>594</v>
      </c>
      <c r="C977" s="30" t="str">
        <f>VLOOKUP(B977,'112年全品項生產鍋數'!A:H,2,0)</f>
        <v>柚皮鮮果乾(100g)</v>
      </c>
      <c r="D977" s="285">
        <v>1</v>
      </c>
      <c r="E977" s="48">
        <f>VLOOKUP(B977,'112年全品項生產鍋數'!A:H,3,0)</f>
        <v>0.1</v>
      </c>
      <c r="F977" s="45">
        <f>VLOOKUP(B977,'112年全品項生產鍋數'!A:H,7,0)</f>
        <v>1732</v>
      </c>
      <c r="G977" s="49">
        <f t="shared" si="108"/>
        <v>1732</v>
      </c>
      <c r="H977" s="144">
        <v>1740</v>
      </c>
      <c r="I977" s="111">
        <f t="shared" si="105"/>
        <v>174</v>
      </c>
      <c r="J977" s="50">
        <f t="shared" si="104"/>
        <v>1.0046189376443417</v>
      </c>
      <c r="K977" s="51">
        <f>VLOOKUP(B:B,'生產達成率(目標)'!A:C,3,0)</f>
        <v>1</v>
      </c>
      <c r="L977" s="20">
        <f t="shared" si="109"/>
        <v>5.0000000000000001E-3</v>
      </c>
      <c r="M977" s="41" t="str">
        <f>工時!R161</f>
        <v>0</v>
      </c>
      <c r="N977" s="159"/>
      <c r="O977" s="144">
        <f t="shared" si="107"/>
        <v>0</v>
      </c>
      <c r="P977" s="144">
        <v>1740</v>
      </c>
      <c r="Q977" s="98">
        <f t="shared" si="106"/>
        <v>1</v>
      </c>
      <c r="R977" s="23"/>
      <c r="S977" s="173"/>
      <c r="T977" s="30"/>
      <c r="U977" s="23"/>
      <c r="V977" s="458"/>
      <c r="W977" s="421"/>
      <c r="X977" s="458"/>
      <c r="Y977" s="421"/>
      <c r="Z977" s="421"/>
      <c r="AA977" s="421"/>
      <c r="AB977" s="421"/>
      <c r="AC977" s="421"/>
      <c r="AD977" s="421"/>
    </row>
    <row r="978" spans="1:30" s="22" customFormat="1" x14ac:dyDescent="0.4">
      <c r="A978" s="177" t="s">
        <v>859</v>
      </c>
      <c r="B978" s="149" t="s">
        <v>599</v>
      </c>
      <c r="C978" s="30" t="str">
        <f>VLOOKUP(B978,'112年全品項生產鍋數'!A:H,2,0)</f>
        <v>蘋果果醬(1*260G)</v>
      </c>
      <c r="D978" s="285">
        <v>14</v>
      </c>
      <c r="E978" s="48">
        <f>VLOOKUP(B978,'112年全品項生產鍋數'!A:H,3,0)</f>
        <v>0.26</v>
      </c>
      <c r="F978" s="45">
        <f>VLOOKUP(B978,'112年全品項生產鍋數'!A:H,7,0)</f>
        <v>590.29999999999995</v>
      </c>
      <c r="G978" s="49">
        <f t="shared" si="108"/>
        <v>8264.1999999999989</v>
      </c>
      <c r="H978" s="144">
        <v>8305</v>
      </c>
      <c r="I978" s="111">
        <f t="shared" si="105"/>
        <v>2159.3000000000002</v>
      </c>
      <c r="J978" s="50">
        <f t="shared" si="104"/>
        <v>1.0049369569952327</v>
      </c>
      <c r="K978" s="51">
        <f>VLOOKUP(B:B,'生產達成率(目標)'!A:C,3,0)</f>
        <v>1</v>
      </c>
      <c r="L978" s="20">
        <f t="shared" si="109"/>
        <v>5.0000000000000001E-3</v>
      </c>
      <c r="M978" s="41" t="str">
        <f>工時!R162</f>
        <v>390</v>
      </c>
      <c r="N978" s="159"/>
      <c r="O978" s="144">
        <f t="shared" si="107"/>
        <v>26</v>
      </c>
      <c r="P978" s="144">
        <v>8279</v>
      </c>
      <c r="Q978" s="98">
        <f t="shared" si="106"/>
        <v>0.99686935580975311</v>
      </c>
      <c r="R978" s="23"/>
      <c r="S978" s="173"/>
      <c r="T978" s="30"/>
      <c r="U978" s="23"/>
      <c r="V978" s="458"/>
      <c r="W978" s="421"/>
      <c r="X978" s="458"/>
      <c r="Y978" s="421"/>
      <c r="Z978" s="421"/>
      <c r="AA978" s="421"/>
      <c r="AB978" s="421"/>
      <c r="AC978" s="421"/>
      <c r="AD978" s="421"/>
    </row>
    <row r="979" spans="1:30" s="22" customFormat="1" x14ac:dyDescent="0.4">
      <c r="A979" s="177" t="s">
        <v>859</v>
      </c>
      <c r="B979" s="149" t="s">
        <v>91</v>
      </c>
      <c r="C979" s="30" t="str">
        <f>VLOOKUP(B979,'112年全品項生產鍋數'!A:H,2,0)</f>
        <v>梨山草莓果醬(1*430g)</v>
      </c>
      <c r="D979" s="285">
        <v>12</v>
      </c>
      <c r="E979" s="48">
        <f>VLOOKUP(B979,'112年全品項生產鍋數'!A:H,3,0)</f>
        <v>0.43</v>
      </c>
      <c r="F979" s="45">
        <f>VLOOKUP(B979,'112年全品項生產鍋數'!A:H,7,0)</f>
        <v>340.4</v>
      </c>
      <c r="G979" s="49">
        <f t="shared" si="108"/>
        <v>4084.7999999999997</v>
      </c>
      <c r="H979" s="144">
        <f>1959+2162</f>
        <v>4121</v>
      </c>
      <c r="I979" s="111">
        <f t="shared" si="105"/>
        <v>1772.03</v>
      </c>
      <c r="J979" s="50">
        <f t="shared" si="104"/>
        <v>1.0088621229925578</v>
      </c>
      <c r="K979" s="51">
        <f>VLOOKUP(B:B,'生產達成率(目標)'!A:C,3,0)</f>
        <v>1</v>
      </c>
      <c r="L979" s="20">
        <f t="shared" si="109"/>
        <v>8.9999999999999993E-3</v>
      </c>
      <c r="M979" s="41" t="str">
        <f>工時!R163</f>
        <v>300</v>
      </c>
      <c r="N979" s="159"/>
      <c r="O979" s="144">
        <f t="shared" si="107"/>
        <v>34</v>
      </c>
      <c r="P979" s="144">
        <f>1927+2160</f>
        <v>4087</v>
      </c>
      <c r="Q979" s="98">
        <f t="shared" si="106"/>
        <v>0.99174957534578989</v>
      </c>
      <c r="R979" s="23"/>
      <c r="S979" s="173"/>
      <c r="T979" s="30" t="s">
        <v>555</v>
      </c>
      <c r="U979" s="23"/>
      <c r="V979" s="458"/>
      <c r="W979" s="421"/>
      <c r="X979" s="458"/>
      <c r="Y979" s="421"/>
      <c r="Z979" s="421"/>
      <c r="AA979" s="421"/>
      <c r="AB979" s="421"/>
      <c r="AC979" s="421"/>
      <c r="AD979" s="421"/>
    </row>
    <row r="980" spans="1:30" s="22" customFormat="1" x14ac:dyDescent="0.4">
      <c r="A980" s="177" t="s">
        <v>859</v>
      </c>
      <c r="B980" s="149" t="s">
        <v>64</v>
      </c>
      <c r="C980" s="30" t="str">
        <f>VLOOKUP(B980,'112年全品項生產鍋數'!A:H,2,0)</f>
        <v>藍莓餡(1*6KG)</v>
      </c>
      <c r="D980" s="285">
        <v>20</v>
      </c>
      <c r="E980" s="48">
        <f>VLOOKUP(B980,'112年全品項生產鍋數'!A:H,3,0)</f>
        <v>6</v>
      </c>
      <c r="F980" s="45">
        <f>VLOOKUP(B980,'112年全品項生產鍋數'!A:H,7,0)</f>
        <v>25.4</v>
      </c>
      <c r="G980" s="49">
        <f t="shared" si="108"/>
        <v>508</v>
      </c>
      <c r="H980" s="144">
        <f>304+210</f>
        <v>514</v>
      </c>
      <c r="I980" s="111">
        <f t="shared" si="105"/>
        <v>3084</v>
      </c>
      <c r="J980" s="50">
        <f t="shared" si="104"/>
        <v>1.0118110236220472</v>
      </c>
      <c r="K980" s="51">
        <f>VLOOKUP(B:B,'生產達成率(目標)'!A:C,3,0)</f>
        <v>1</v>
      </c>
      <c r="L980" s="20">
        <f t="shared" si="109"/>
        <v>1.2E-2</v>
      </c>
      <c r="M980" s="41" t="str">
        <f>工時!R164</f>
        <v>340</v>
      </c>
      <c r="N980" s="159"/>
      <c r="O980" s="144">
        <f t="shared" si="107"/>
        <v>1</v>
      </c>
      <c r="P980" s="144">
        <f>303+210</f>
        <v>513</v>
      </c>
      <c r="Q980" s="98">
        <f t="shared" si="106"/>
        <v>0.99805447470817121</v>
      </c>
      <c r="R980" s="23"/>
      <c r="S980" s="173"/>
      <c r="T980" s="30"/>
      <c r="U980" s="23"/>
      <c r="V980" s="458"/>
      <c r="W980" s="421"/>
      <c r="X980" s="458"/>
      <c r="Y980" s="421"/>
      <c r="Z980" s="421"/>
      <c r="AA980" s="421"/>
      <c r="AB980" s="421"/>
      <c r="AC980" s="421"/>
      <c r="AD980" s="421"/>
    </row>
    <row r="981" spans="1:30" s="22" customFormat="1" x14ac:dyDescent="0.4">
      <c r="A981" s="177" t="s">
        <v>859</v>
      </c>
      <c r="B981" s="149" t="s">
        <v>63</v>
      </c>
      <c r="C981" s="30" t="str">
        <f>VLOOKUP(B981,'112年全品項生產鍋數'!A:H,2,0)</f>
        <v>草莓蒟蒻餡(1*6kg)</v>
      </c>
      <c r="D981" s="285">
        <v>20</v>
      </c>
      <c r="E981" s="48">
        <f>VLOOKUP(B981,'112年全品項生產鍋數'!A:H,3,0)</f>
        <v>6</v>
      </c>
      <c r="F981" s="45">
        <f>VLOOKUP(B981,'112年全品項生產鍋數'!A:H,7,0)</f>
        <v>25.7</v>
      </c>
      <c r="G981" s="49">
        <f t="shared" si="108"/>
        <v>514</v>
      </c>
      <c r="H981" s="144">
        <f>306+211</f>
        <v>517</v>
      </c>
      <c r="I981" s="111">
        <f t="shared" si="105"/>
        <v>3102</v>
      </c>
      <c r="J981" s="50">
        <f t="shared" si="104"/>
        <v>1.0058365758754864</v>
      </c>
      <c r="K981" s="51">
        <f>VLOOKUP(B:B,'生產達成率(目標)'!A:C,3,0)</f>
        <v>1</v>
      </c>
      <c r="L981" s="20">
        <f t="shared" si="109"/>
        <v>6.0000000000000001E-3</v>
      </c>
      <c r="M981" s="41" t="str">
        <f>工時!R165</f>
        <v>270</v>
      </c>
      <c r="N981" s="159"/>
      <c r="O981" s="144">
        <f t="shared" si="107"/>
        <v>2</v>
      </c>
      <c r="P981" s="144">
        <f>304+211</f>
        <v>515</v>
      </c>
      <c r="Q981" s="98">
        <f t="shared" si="106"/>
        <v>0.99613152804642169</v>
      </c>
      <c r="R981" s="23"/>
      <c r="S981" s="173"/>
      <c r="T981" s="30"/>
      <c r="U981" s="23"/>
      <c r="V981" s="458"/>
      <c r="W981" s="421"/>
      <c r="X981" s="458"/>
      <c r="Y981" s="421"/>
      <c r="Z981" s="421"/>
      <c r="AA981" s="421"/>
      <c r="AB981" s="421"/>
      <c r="AC981" s="421"/>
      <c r="AD981" s="421"/>
    </row>
    <row r="982" spans="1:30" s="22" customFormat="1" x14ac:dyDescent="0.4">
      <c r="A982" s="177" t="s">
        <v>859</v>
      </c>
      <c r="B982" s="149" t="s">
        <v>65</v>
      </c>
      <c r="C982" s="30" t="str">
        <f>VLOOKUP(B982,'112年全品項生產鍋數'!A:H,2,0)</f>
        <v>＃1花生(1*2.8kg)</v>
      </c>
      <c r="D982" s="285">
        <v>72</v>
      </c>
      <c r="E982" s="48">
        <f>VLOOKUP(B982,'112年全品項生產鍋數'!A:H,3,0)</f>
        <v>2.8</v>
      </c>
      <c r="F982" s="45">
        <f>VLOOKUP(B982,'112年全品項生產鍋數'!A:H,7,0)</f>
        <v>44.5</v>
      </c>
      <c r="G982" s="49">
        <f t="shared" si="108"/>
        <v>3204</v>
      </c>
      <c r="H982" s="144">
        <v>2705</v>
      </c>
      <c r="I982" s="111">
        <f t="shared" si="105"/>
        <v>7573.9999999999991</v>
      </c>
      <c r="J982" s="50">
        <f t="shared" si="104"/>
        <v>0.84425717852684146</v>
      </c>
      <c r="K982" s="51">
        <f>VLOOKUP(B:B,'生產達成率(目標)'!A:C,3,0)</f>
        <v>1</v>
      </c>
      <c r="L982" s="20">
        <f t="shared" si="109"/>
        <v>-0.156</v>
      </c>
      <c r="M982" s="41" t="str">
        <f>工時!R166</f>
        <v>630</v>
      </c>
      <c r="N982" s="159"/>
      <c r="O982" s="144">
        <f t="shared" si="107"/>
        <v>1</v>
      </c>
      <c r="P982" s="144">
        <v>2704</v>
      </c>
      <c r="Q982" s="98">
        <f t="shared" si="106"/>
        <v>0.99963031423290205</v>
      </c>
      <c r="R982" s="23"/>
      <c r="S982" s="173"/>
      <c r="T982" s="30" t="s">
        <v>600</v>
      </c>
      <c r="U982" s="23"/>
      <c r="V982" s="458"/>
      <c r="W982" s="421"/>
      <c r="X982" s="458"/>
      <c r="Y982" s="421"/>
      <c r="Z982" s="421"/>
      <c r="AA982" s="421"/>
      <c r="AB982" s="421"/>
      <c r="AC982" s="421"/>
      <c r="AD982" s="421"/>
    </row>
    <row r="983" spans="1:30" s="22" customFormat="1" x14ac:dyDescent="0.4">
      <c r="A983" s="177" t="s">
        <v>859</v>
      </c>
      <c r="B983" s="149">
        <v>151010</v>
      </c>
      <c r="C983" s="30" t="str">
        <f>VLOOKUP(B983,'112年全品項生產鍋數'!A:H,2,0)</f>
        <v>蜜紅果6m/m</v>
      </c>
      <c r="D983" s="285">
        <v>1</v>
      </c>
      <c r="E983" s="48">
        <f>VLOOKUP(B983,'112年全品項生產鍋數'!A:H,3,0)</f>
        <v>1</v>
      </c>
      <c r="F983" s="45">
        <f>VLOOKUP(B983,'112年全品項生產鍋數'!A:H,7,0)</f>
        <v>142</v>
      </c>
      <c r="G983" s="49">
        <f t="shared" si="108"/>
        <v>142</v>
      </c>
      <c r="H983" s="144">
        <v>140</v>
      </c>
      <c r="I983" s="111">
        <f t="shared" si="105"/>
        <v>140</v>
      </c>
      <c r="J983" s="50">
        <f t="shared" ref="J983:J988" si="110">IF(G983=0,"無法預估數據",H983/G983)</f>
        <v>0.9859154929577465</v>
      </c>
      <c r="K983" s="51">
        <f>VLOOKUP(B:B,'生產達成率(目標)'!A:C,3,0)</f>
        <v>1</v>
      </c>
      <c r="L983" s="20">
        <f t="shared" si="109"/>
        <v>-1.4E-2</v>
      </c>
      <c r="M983" s="41" t="str">
        <f>工時!R167</f>
        <v>0</v>
      </c>
      <c r="N983" s="159"/>
      <c r="O983" s="144">
        <f t="shared" si="107"/>
        <v>0</v>
      </c>
      <c r="P983" s="144">
        <v>140</v>
      </c>
      <c r="Q983" s="98">
        <f t="shared" si="106"/>
        <v>1</v>
      </c>
      <c r="R983" s="23"/>
      <c r="S983" s="173"/>
      <c r="T983" s="30"/>
      <c r="U983" s="23"/>
      <c r="V983" s="458"/>
      <c r="W983" s="421"/>
      <c r="X983" s="458"/>
      <c r="Y983" s="421"/>
      <c r="Z983" s="421"/>
      <c r="AA983" s="421"/>
      <c r="AB983" s="421"/>
      <c r="AC983" s="421"/>
      <c r="AD983" s="421"/>
    </row>
    <row r="984" spans="1:30" s="22" customFormat="1" x14ac:dyDescent="0.4">
      <c r="A984" s="177" t="s">
        <v>860</v>
      </c>
      <c r="B984" s="149" t="s">
        <v>71</v>
      </c>
      <c r="C984" s="30" t="str">
        <f>VLOOKUP(B984,'112年全品項生產鍋數'!A:H,2,0)</f>
        <v>＃1草莓(1*3.2kg)</v>
      </c>
      <c r="D984" s="285">
        <v>72</v>
      </c>
      <c r="E984" s="48">
        <f>VLOOKUP(B984,'112年全品項生產鍋數'!A:H,3,0)</f>
        <v>3.2</v>
      </c>
      <c r="F984" s="45">
        <f>VLOOKUP(B984,'112年全品項生產鍋數'!A:H,7,0)</f>
        <v>46.8</v>
      </c>
      <c r="G984" s="49">
        <f t="shared" si="108"/>
        <v>3369.6</v>
      </c>
      <c r="H984" s="144">
        <v>3418</v>
      </c>
      <c r="I984" s="111">
        <f t="shared" si="105"/>
        <v>10937.6</v>
      </c>
      <c r="J984" s="50">
        <f t="shared" si="110"/>
        <v>1.0143637226970561</v>
      </c>
      <c r="K984" s="51">
        <f>VLOOKUP(B:B,'生產達成率(目標)'!A:C,3,0)</f>
        <v>1</v>
      </c>
      <c r="L984" s="20">
        <f t="shared" si="109"/>
        <v>1.4E-2</v>
      </c>
      <c r="M984" s="41" t="str">
        <f>工時!R168</f>
        <v>540</v>
      </c>
      <c r="N984" s="159"/>
      <c r="O984" s="144">
        <f t="shared" si="107"/>
        <v>2</v>
      </c>
      <c r="P984" s="144">
        <v>3416</v>
      </c>
      <c r="Q984" s="98">
        <f t="shared" si="106"/>
        <v>0.99941486249268574</v>
      </c>
      <c r="R984" s="23"/>
      <c r="S984" s="173">
        <v>103</v>
      </c>
      <c r="T984" s="30" t="s">
        <v>937</v>
      </c>
      <c r="U984" s="23"/>
      <c r="V984" s="458"/>
      <c r="W984" s="421"/>
      <c r="X984" s="458"/>
      <c r="Y984" s="421"/>
      <c r="Z984" s="421"/>
      <c r="AA984" s="421"/>
      <c r="AB984" s="421"/>
      <c r="AC984" s="421"/>
      <c r="AD984" s="421"/>
    </row>
    <row r="985" spans="1:30" s="22" customFormat="1" x14ac:dyDescent="0.4">
      <c r="A985" s="177" t="s">
        <v>860</v>
      </c>
      <c r="B985" s="149" t="s">
        <v>72</v>
      </c>
      <c r="C985" s="30" t="str">
        <f>VLOOKUP(B985,'112年全品項生產鍋數'!A:H,2,0)</f>
        <v>草莓餡45%(1*6Kg)</v>
      </c>
      <c r="D985" s="285">
        <v>16</v>
      </c>
      <c r="E985" s="48">
        <f>VLOOKUP(B985,'112年全品項生產鍋數'!A:H,3,0)</f>
        <v>6</v>
      </c>
      <c r="F985" s="45">
        <f>VLOOKUP(B985,'112年全品項生產鍋數'!A:H,7,0)</f>
        <v>26.1</v>
      </c>
      <c r="G985" s="49">
        <f t="shared" si="108"/>
        <v>417.6</v>
      </c>
      <c r="H985" s="144">
        <v>421</v>
      </c>
      <c r="I985" s="111">
        <f t="shared" si="105"/>
        <v>2526</v>
      </c>
      <c r="J985" s="50">
        <f t="shared" si="110"/>
        <v>1.0081417624521072</v>
      </c>
      <c r="K985" s="51">
        <f>VLOOKUP(B:B,'生產達成率(目標)'!A:C,3,0)</f>
        <v>1</v>
      </c>
      <c r="L985" s="20">
        <f t="shared" si="109"/>
        <v>8.0000000000000002E-3</v>
      </c>
      <c r="M985" s="41" t="str">
        <f>工時!R169</f>
        <v>225</v>
      </c>
      <c r="N985" s="159"/>
      <c r="O985" s="144">
        <f t="shared" si="107"/>
        <v>4</v>
      </c>
      <c r="P985" s="144">
        <v>417</v>
      </c>
      <c r="Q985" s="98">
        <f t="shared" si="106"/>
        <v>0.99049881235154391</v>
      </c>
      <c r="R985" s="23"/>
      <c r="S985" s="173"/>
      <c r="T985" s="30"/>
      <c r="U985" s="23"/>
      <c r="V985" s="458"/>
      <c r="W985" s="421"/>
      <c r="X985" s="458"/>
      <c r="Y985" s="421"/>
      <c r="Z985" s="421"/>
      <c r="AA985" s="421"/>
      <c r="AB985" s="421"/>
      <c r="AC985" s="421"/>
      <c r="AD985" s="421"/>
    </row>
    <row r="986" spans="1:30" s="22" customFormat="1" x14ac:dyDescent="0.4">
      <c r="A986" s="177" t="s">
        <v>860</v>
      </c>
      <c r="B986" s="149" t="s">
        <v>63</v>
      </c>
      <c r="C986" s="30" t="str">
        <f>VLOOKUP(B986,'112年全品項生產鍋數'!A:H,2,0)</f>
        <v>草莓蒟蒻餡(1*6kg)</v>
      </c>
      <c r="D986" s="285">
        <v>24</v>
      </c>
      <c r="E986" s="48">
        <f>VLOOKUP(B986,'112年全品項生產鍋數'!A:H,3,0)</f>
        <v>6</v>
      </c>
      <c r="F986" s="45">
        <f>VLOOKUP(B986,'112年全品項生產鍋數'!A:H,7,0)</f>
        <v>25.7</v>
      </c>
      <c r="G986" s="49">
        <f t="shared" si="108"/>
        <v>616.79999999999995</v>
      </c>
      <c r="H986" s="144">
        <f>301+316</f>
        <v>617</v>
      </c>
      <c r="I986" s="111">
        <f t="shared" si="105"/>
        <v>3702</v>
      </c>
      <c r="J986" s="50">
        <f t="shared" si="110"/>
        <v>1.0003242542153048</v>
      </c>
      <c r="K986" s="51">
        <f>VLOOKUP(B:B,'生產達成率(目標)'!A:C,3,0)</f>
        <v>1</v>
      </c>
      <c r="L986" s="20">
        <f t="shared" si="109"/>
        <v>0</v>
      </c>
      <c r="M986" s="41" t="str">
        <f>工時!R170</f>
        <v>324</v>
      </c>
      <c r="N986" s="159"/>
      <c r="O986" s="144">
        <f t="shared" si="107"/>
        <v>1</v>
      </c>
      <c r="P986" s="144">
        <f>300+316</f>
        <v>616</v>
      </c>
      <c r="Q986" s="98">
        <f t="shared" si="106"/>
        <v>0.99837925445705022</v>
      </c>
      <c r="R986" s="23"/>
      <c r="S986" s="173"/>
      <c r="T986" s="30"/>
      <c r="U986" s="23"/>
      <c r="V986" s="458"/>
      <c r="W986" s="421"/>
      <c r="X986" s="458"/>
      <c r="Y986" s="421"/>
      <c r="Z986" s="421"/>
      <c r="AA986" s="421"/>
      <c r="AB986" s="421"/>
      <c r="AC986" s="421"/>
      <c r="AD986" s="421"/>
    </row>
    <row r="987" spans="1:30" s="22" customFormat="1" x14ac:dyDescent="0.4">
      <c r="A987" s="177" t="s">
        <v>860</v>
      </c>
      <c r="B987" s="149" t="s">
        <v>602</v>
      </c>
      <c r="C987" s="30" t="str">
        <f>VLOOKUP(B987,'112年全品項生產鍋數'!A:H,2,0)</f>
        <v>顆粒花生醬(1*8kg)</v>
      </c>
      <c r="D987" s="285">
        <v>8</v>
      </c>
      <c r="E987" s="48">
        <f>VLOOKUP(B987,'112年全品項生產鍋數'!A:H,3,0)</f>
        <v>8</v>
      </c>
      <c r="F987" s="45">
        <f>VLOOKUP(B987,'112年全品項生產鍋數'!A:H,7,0)</f>
        <v>19.600000000000001</v>
      </c>
      <c r="G987" s="49">
        <f t="shared" si="108"/>
        <v>156.80000000000001</v>
      </c>
      <c r="H987" s="157">
        <f>53*3+1</f>
        <v>160</v>
      </c>
      <c r="I987" s="111">
        <f t="shared" si="105"/>
        <v>1280</v>
      </c>
      <c r="J987" s="50">
        <f t="shared" si="110"/>
        <v>1.0204081632653061</v>
      </c>
      <c r="K987" s="51">
        <f>VLOOKUP(B:B,'生產達成率(目標)'!A:C,3,0)</f>
        <v>1</v>
      </c>
      <c r="L987" s="20">
        <f t="shared" si="109"/>
        <v>0.02</v>
      </c>
      <c r="M987" s="41" t="str">
        <f>工時!R171</f>
        <v>450</v>
      </c>
      <c r="N987" s="159"/>
      <c r="O987" s="144">
        <f t="shared" si="107"/>
        <v>0</v>
      </c>
      <c r="P987" s="144">
        <f>53*3+1</f>
        <v>160</v>
      </c>
      <c r="Q987" s="98">
        <f t="shared" si="106"/>
        <v>1</v>
      </c>
      <c r="R987" s="23"/>
      <c r="S987" s="173"/>
      <c r="T987" s="30"/>
      <c r="U987" s="23"/>
      <c r="V987" s="458"/>
      <c r="W987" s="421"/>
      <c r="X987" s="458"/>
      <c r="Y987" s="421"/>
      <c r="Z987" s="421"/>
      <c r="AA987" s="421"/>
      <c r="AB987" s="421"/>
      <c r="AC987" s="421"/>
      <c r="AD987" s="421"/>
    </row>
    <row r="988" spans="1:30" s="22" customFormat="1" x14ac:dyDescent="0.4">
      <c r="A988" s="177" t="s">
        <v>860</v>
      </c>
      <c r="B988" s="149" t="s">
        <v>471</v>
      </c>
      <c r="C988" s="30" t="str">
        <f>VLOOKUP(B988,'112年全品項生產鍋數'!A:H,2,0)</f>
        <v>花生醬(1*290g)</v>
      </c>
      <c r="D988" s="285">
        <v>8</v>
      </c>
      <c r="E988" s="48">
        <f>VLOOKUP(B988,'112年全品項生產鍋數'!A:H,3,0)</f>
        <v>0.28999999999999998</v>
      </c>
      <c r="F988" s="45">
        <f>VLOOKUP(B988,'112年全品項生產鍋數'!A:H,7,0)</f>
        <v>412.6</v>
      </c>
      <c r="G988" s="49">
        <f t="shared" si="108"/>
        <v>3300.8</v>
      </c>
      <c r="H988" s="144">
        <f>1704+1623</f>
        <v>3327</v>
      </c>
      <c r="I988" s="111">
        <f t="shared" si="105"/>
        <v>964.82999999999993</v>
      </c>
      <c r="J988" s="50">
        <f t="shared" si="110"/>
        <v>1.007937469704314</v>
      </c>
      <c r="K988" s="51">
        <f>VLOOKUP(B:B,'生產達成率(目標)'!A:C,3,0)</f>
        <v>1</v>
      </c>
      <c r="L988" s="20">
        <f t="shared" si="109"/>
        <v>8.0000000000000002E-3</v>
      </c>
      <c r="M988" s="41" t="str">
        <f>工時!R172</f>
        <v>520</v>
      </c>
      <c r="N988" s="159"/>
      <c r="O988" s="144">
        <f t="shared" si="107"/>
        <v>7</v>
      </c>
      <c r="P988" s="144">
        <f>1699+1621</f>
        <v>3320</v>
      </c>
      <c r="Q988" s="98">
        <f t="shared" si="106"/>
        <v>0.99789600240456866</v>
      </c>
      <c r="R988" s="23"/>
      <c r="S988" s="173"/>
      <c r="T988" s="30"/>
      <c r="U988" s="23"/>
      <c r="V988" s="458"/>
      <c r="W988" s="421"/>
      <c r="X988" s="458"/>
      <c r="Y988" s="421"/>
      <c r="Z988" s="421"/>
      <c r="AA988" s="421"/>
      <c r="AB988" s="421"/>
      <c r="AC988" s="421"/>
      <c r="AD988" s="421"/>
    </row>
    <row r="989" spans="1:30" s="22" customFormat="1" x14ac:dyDescent="0.4">
      <c r="A989" s="177" t="s">
        <v>861</v>
      </c>
      <c r="B989" s="149" t="s">
        <v>61</v>
      </c>
      <c r="C989" s="30" t="str">
        <f>VLOOKUP(B989,'112年全品項生產鍋數'!A:H,2,0)</f>
        <v>大圓草莓-新</v>
      </c>
      <c r="D989" s="285">
        <v>20</v>
      </c>
      <c r="E989" s="48">
        <f>VLOOKUP(B989,'112年全品項生產鍋數'!A:H,3,0)</f>
        <v>0.44</v>
      </c>
      <c r="F989" s="45">
        <f>VLOOKUP(B989,'112年全品項生產鍋數'!A:H,7,0)</f>
        <v>344</v>
      </c>
      <c r="G989" s="49">
        <f t="shared" si="108"/>
        <v>6880</v>
      </c>
      <c r="H989" s="144">
        <v>6876</v>
      </c>
      <c r="I989" s="111">
        <f t="shared" ref="I989:I1052" si="111">H989*E989</f>
        <v>3025.44</v>
      </c>
      <c r="J989" s="50">
        <f t="shared" ref="J989:J993" si="112">IF(G989=0,"無法預估數據",H989/G989)</f>
        <v>0.99941860465116283</v>
      </c>
      <c r="K989" s="51">
        <f>VLOOKUP(B:B,'生產達成率(目標)'!A:C,3,0)</f>
        <v>1</v>
      </c>
      <c r="L989" s="20">
        <f t="shared" si="109"/>
        <v>-1E-3</v>
      </c>
      <c r="M989" s="41" t="str">
        <f>工時!R173</f>
        <v>300</v>
      </c>
      <c r="N989" s="159">
        <v>1</v>
      </c>
      <c r="O989" s="144">
        <v>5</v>
      </c>
      <c r="P989" s="144">
        <v>6868</v>
      </c>
      <c r="Q989" s="98">
        <f t="shared" ref="Q989:Q1052" si="113">P989/H989</f>
        <v>0.99883653286794649</v>
      </c>
      <c r="R989" s="23"/>
      <c r="S989" s="173"/>
      <c r="T989" s="30"/>
      <c r="U989" s="23"/>
      <c r="V989" s="458"/>
      <c r="W989" s="421"/>
      <c r="X989" s="458"/>
      <c r="Y989" s="421"/>
      <c r="Z989" s="421"/>
      <c r="AA989" s="421"/>
      <c r="AB989" s="421"/>
      <c r="AC989" s="421"/>
      <c r="AD989" s="421"/>
    </row>
    <row r="990" spans="1:30" s="22" customFormat="1" x14ac:dyDescent="0.4">
      <c r="A990" s="177" t="s">
        <v>861</v>
      </c>
      <c r="B990" s="149" t="s">
        <v>36</v>
      </c>
      <c r="C990" s="30" t="str">
        <f>VLOOKUP(B990,'112年全品項生產鍋數'!A:H,2,0)</f>
        <v>開心草莓果醬(1*430g)</v>
      </c>
      <c r="D990" s="285">
        <v>15</v>
      </c>
      <c r="E990" s="48">
        <f>VLOOKUP(B990,'112年全品項生產鍋數'!A:H,3,0)</f>
        <v>0.43</v>
      </c>
      <c r="F990" s="45">
        <f>VLOOKUP(B990,'112年全品項生產鍋數'!A:H,7,0)</f>
        <v>364</v>
      </c>
      <c r="G990" s="49">
        <f t="shared" si="108"/>
        <v>5460</v>
      </c>
      <c r="H990" s="144">
        <v>5684</v>
      </c>
      <c r="I990" s="111">
        <f t="shared" si="111"/>
        <v>2444.12</v>
      </c>
      <c r="J990" s="50">
        <f t="shared" si="112"/>
        <v>1.0410256410256411</v>
      </c>
      <c r="K990" s="51">
        <f>VLOOKUP(B:B,'生產達成率(目標)'!A:C,3,0)</f>
        <v>1</v>
      </c>
      <c r="L990" s="20">
        <f t="shared" si="109"/>
        <v>4.1000000000000002E-2</v>
      </c>
      <c r="M990" s="41" t="str">
        <f>工時!R174</f>
        <v>330</v>
      </c>
      <c r="N990" s="159">
        <v>3</v>
      </c>
      <c r="O990" s="144">
        <v>14</v>
      </c>
      <c r="P990" s="144">
        <v>5665</v>
      </c>
      <c r="Q990" s="98">
        <f t="shared" si="113"/>
        <v>0.99665728360309636</v>
      </c>
      <c r="R990" s="23"/>
      <c r="S990" s="173"/>
      <c r="T990" s="30"/>
      <c r="U990" s="23"/>
      <c r="V990" s="458"/>
      <c r="W990" s="421"/>
      <c r="X990" s="458"/>
      <c r="Y990" s="421"/>
      <c r="Z990" s="421"/>
      <c r="AA990" s="421"/>
      <c r="AB990" s="421"/>
      <c r="AC990" s="421"/>
      <c r="AD990" s="421"/>
    </row>
    <row r="991" spans="1:30" s="22" customFormat="1" x14ac:dyDescent="0.4">
      <c r="A991" s="177" t="s">
        <v>861</v>
      </c>
      <c r="B991" s="149" t="s">
        <v>54</v>
      </c>
      <c r="C991" s="30" t="str">
        <f>VLOOKUP(B991,'112年全品項生產鍋數'!A:H,2,0)</f>
        <v>草莓醬(1*6kg)</v>
      </c>
      <c r="D991" s="285">
        <v>36</v>
      </c>
      <c r="E991" s="48">
        <f>VLOOKUP(B991,'112年全品項生產鍋數'!A:H,3,0)</f>
        <v>6</v>
      </c>
      <c r="F991" s="45">
        <f>VLOOKUP(B991,'112年全品項生產鍋數'!A:H,7,0)</f>
        <v>26.6</v>
      </c>
      <c r="G991" s="49">
        <f t="shared" si="108"/>
        <v>957.6</v>
      </c>
      <c r="H991" s="144">
        <v>984</v>
      </c>
      <c r="I991" s="111">
        <f t="shared" si="111"/>
        <v>5904</v>
      </c>
      <c r="J991" s="50">
        <f t="shared" si="112"/>
        <v>1.0275689223057645</v>
      </c>
      <c r="K991" s="51">
        <f>VLOOKUP(B:B,'生產達成率(目標)'!A:C,3,0)</f>
        <v>1</v>
      </c>
      <c r="L991" s="20">
        <f t="shared" si="109"/>
        <v>2.8000000000000001E-2</v>
      </c>
      <c r="M991" s="41" t="str">
        <f>工時!R175</f>
        <v>430</v>
      </c>
      <c r="N991" s="159">
        <v>1</v>
      </c>
      <c r="O991" s="144">
        <v>1</v>
      </c>
      <c r="P991" s="144">
        <v>982</v>
      </c>
      <c r="Q991" s="98">
        <f t="shared" si="113"/>
        <v>0.99796747967479671</v>
      </c>
      <c r="R991" s="23"/>
      <c r="S991" s="173"/>
      <c r="T991" s="30"/>
      <c r="U991" s="23"/>
      <c r="V991" s="458"/>
      <c r="W991" s="421"/>
      <c r="X991" s="458"/>
      <c r="Y991" s="421"/>
      <c r="Z991" s="421"/>
      <c r="AA991" s="421"/>
      <c r="AB991" s="421"/>
      <c r="AC991" s="421"/>
      <c r="AD991" s="421"/>
    </row>
    <row r="992" spans="1:30" s="22" customFormat="1" x14ac:dyDescent="0.4">
      <c r="A992" s="177" t="s">
        <v>861</v>
      </c>
      <c r="B992" s="149" t="s">
        <v>53</v>
      </c>
      <c r="C992" s="30" t="str">
        <f>VLOOKUP(B992,'112年全品項生產鍋數'!A:H,2,0)</f>
        <v>鳳梨芒果百香果醬(1*6KG)</v>
      </c>
      <c r="D992" s="285">
        <v>4</v>
      </c>
      <c r="E992" s="48">
        <f>VLOOKUP(B992,'112年全品項生產鍋數'!A:H,3,0)</f>
        <v>6</v>
      </c>
      <c r="F992" s="45">
        <f>VLOOKUP(B992,'112年全品項生產鍋數'!A:H,7,0)</f>
        <v>25.7</v>
      </c>
      <c r="G992" s="49">
        <f t="shared" si="108"/>
        <v>102.8</v>
      </c>
      <c r="H992" s="144">
        <v>103</v>
      </c>
      <c r="I992" s="111">
        <f t="shared" si="111"/>
        <v>618</v>
      </c>
      <c r="J992" s="50">
        <f t="shared" si="112"/>
        <v>1.0019455252918288</v>
      </c>
      <c r="K992" s="51">
        <f>VLOOKUP(B:B,'生產達成率(目標)'!A:C,3,0)</f>
        <v>1</v>
      </c>
      <c r="L992" s="20">
        <f t="shared" si="109"/>
        <v>2E-3</v>
      </c>
      <c r="M992" s="41" t="str">
        <f>工時!R176</f>
        <v>118</v>
      </c>
      <c r="N992" s="159">
        <v>1</v>
      </c>
      <c r="O992" s="144">
        <v>2</v>
      </c>
      <c r="P992" s="144">
        <v>100</v>
      </c>
      <c r="Q992" s="98">
        <f t="shared" si="113"/>
        <v>0.970873786407767</v>
      </c>
      <c r="R992" s="23"/>
      <c r="S992" s="173"/>
      <c r="T992" s="30"/>
      <c r="U992" s="23"/>
      <c r="V992" s="458"/>
      <c r="W992" s="421"/>
      <c r="X992" s="458"/>
      <c r="Y992" s="421"/>
      <c r="Z992" s="421"/>
      <c r="AA992" s="421"/>
      <c r="AB992" s="421"/>
      <c r="AC992" s="421"/>
      <c r="AD992" s="421"/>
    </row>
    <row r="993" spans="1:30" s="22" customFormat="1" x14ac:dyDescent="0.4">
      <c r="A993" s="177" t="s">
        <v>861</v>
      </c>
      <c r="B993" s="149" t="s">
        <v>65</v>
      </c>
      <c r="C993" s="30" t="str">
        <f>VLOOKUP(B993,'112年全品項生產鍋數'!A:H,2,0)</f>
        <v>＃1花生(1*2.8kg)</v>
      </c>
      <c r="D993" s="285">
        <v>72</v>
      </c>
      <c r="E993" s="48">
        <f>VLOOKUP(B993,'112年全品項生產鍋數'!A:H,3,0)</f>
        <v>2.8</v>
      </c>
      <c r="F993" s="45">
        <f>VLOOKUP(B993,'112年全品項生產鍋數'!A:H,7,0)</f>
        <v>44.5</v>
      </c>
      <c r="G993" s="49">
        <f t="shared" si="108"/>
        <v>3204</v>
      </c>
      <c r="H993" s="144">
        <v>3219</v>
      </c>
      <c r="I993" s="111">
        <f t="shared" si="111"/>
        <v>9013.1999999999989</v>
      </c>
      <c r="J993" s="50">
        <f t="shared" si="112"/>
        <v>1.0046816479400749</v>
      </c>
      <c r="K993" s="51">
        <f>VLOOKUP(B:B,'生產達成率(目標)'!A:C,3,0)</f>
        <v>1</v>
      </c>
      <c r="L993" s="20">
        <f t="shared" si="109"/>
        <v>5.0000000000000001E-3</v>
      </c>
      <c r="M993" s="41" t="str">
        <f>工時!R177</f>
        <v>660</v>
      </c>
      <c r="N993" s="159">
        <v>1</v>
      </c>
      <c r="O993" s="144"/>
      <c r="P993" s="144">
        <v>3218</v>
      </c>
      <c r="Q993" s="98">
        <f t="shared" si="113"/>
        <v>0.9996893445169307</v>
      </c>
      <c r="R993" s="23"/>
      <c r="S993" s="173"/>
      <c r="T993" s="30"/>
      <c r="U993" s="23"/>
      <c r="V993" s="458"/>
      <c r="W993" s="421"/>
      <c r="X993" s="458"/>
      <c r="Y993" s="421"/>
      <c r="Z993" s="421"/>
      <c r="AA993" s="421"/>
      <c r="AB993" s="421"/>
      <c r="AC993" s="421"/>
      <c r="AD993" s="421"/>
    </row>
    <row r="994" spans="1:30" s="22" customFormat="1" x14ac:dyDescent="0.4">
      <c r="A994" s="177" t="s">
        <v>862</v>
      </c>
      <c r="B994" s="149" t="s">
        <v>80</v>
      </c>
      <c r="C994" s="30" t="str">
        <f>VLOOKUP(B994,'112年全品項生產鍋數'!A:H,2,0)</f>
        <v>＃1桔子(1*3.2kg)</v>
      </c>
      <c r="D994" s="285">
        <v>72</v>
      </c>
      <c r="E994" s="48">
        <f>VLOOKUP(B994,'112年全品項生產鍋數'!A:H,3,0)</f>
        <v>3.2</v>
      </c>
      <c r="F994" s="45">
        <f>VLOOKUP(B994,'112年全品項生產鍋數'!A:H,7,0)</f>
        <v>46.4</v>
      </c>
      <c r="G994" s="49">
        <f t="shared" si="108"/>
        <v>3340.7999999999997</v>
      </c>
      <c r="H994" s="144">
        <v>3410</v>
      </c>
      <c r="I994" s="111">
        <f t="shared" si="111"/>
        <v>10912</v>
      </c>
      <c r="J994" s="50">
        <f>IF(G994=0,"無法預估數據",H994/G994)</f>
        <v>1.0207136015325671</v>
      </c>
      <c r="K994" s="51">
        <f>VLOOKUP(B:B,'生產達成率(目標)'!A:C,3,0)</f>
        <v>1</v>
      </c>
      <c r="L994" s="20">
        <f t="shared" si="109"/>
        <v>2.1000000000000001E-2</v>
      </c>
      <c r="M994" s="41" t="str">
        <f>工時!R178</f>
        <v>540</v>
      </c>
      <c r="N994" s="159"/>
      <c r="O994" s="144">
        <f t="shared" ref="O994:O1057" si="114">H994-N994-P994</f>
        <v>2</v>
      </c>
      <c r="P994" s="144">
        <v>3408</v>
      </c>
      <c r="Q994" s="98">
        <f t="shared" si="113"/>
        <v>0.99941348973607036</v>
      </c>
      <c r="R994" s="23"/>
      <c r="S994" s="173"/>
      <c r="T994" s="30"/>
      <c r="U994" s="23"/>
      <c r="V994" s="458"/>
      <c r="W994" s="421"/>
      <c r="X994" s="458"/>
      <c r="Y994" s="421"/>
      <c r="Z994" s="421"/>
      <c r="AA994" s="421"/>
      <c r="AB994" s="421"/>
      <c r="AC994" s="421"/>
      <c r="AD994" s="421"/>
    </row>
    <row r="995" spans="1:30" s="22" customFormat="1" x14ac:dyDescent="0.4">
      <c r="A995" s="177" t="s">
        <v>862</v>
      </c>
      <c r="B995" s="149" t="s">
        <v>538</v>
      </c>
      <c r="C995" s="30" t="str">
        <f>VLOOKUP(B995,'112年全品項生產鍋數'!A:H,2,0)</f>
        <v>蜂蜜蘋果醬(1*6KG)</v>
      </c>
      <c r="D995" s="285">
        <v>6</v>
      </c>
      <c r="E995" s="48">
        <f>VLOOKUP(B995,'112年全品項生產鍋數'!A:H,3,0)</f>
        <v>6</v>
      </c>
      <c r="F995" s="45">
        <f>VLOOKUP(B995,'112年全品項生產鍋數'!A:H,7,0)</f>
        <v>25.2</v>
      </c>
      <c r="G995" s="49">
        <f t="shared" si="108"/>
        <v>151.19999999999999</v>
      </c>
      <c r="H995" s="144">
        <v>157</v>
      </c>
      <c r="I995" s="111">
        <f t="shared" si="111"/>
        <v>942</v>
      </c>
      <c r="J995" s="50">
        <f t="shared" ref="J995:J1058" si="115">IF(G995=0,"無法預估數據",H995/G995)</f>
        <v>1.0383597883597884</v>
      </c>
      <c r="K995" s="51">
        <f>VLOOKUP(B:B,'生產達成率(目標)'!A:C,3,0)</f>
        <v>1</v>
      </c>
      <c r="L995" s="20">
        <f t="shared" si="109"/>
        <v>3.7999999999999999E-2</v>
      </c>
      <c r="M995" s="41" t="str">
        <f>工時!R179</f>
        <v>160</v>
      </c>
      <c r="N995" s="159"/>
      <c r="O995" s="144">
        <f t="shared" si="114"/>
        <v>2</v>
      </c>
      <c r="P995" s="144">
        <v>155</v>
      </c>
      <c r="Q995" s="98">
        <f t="shared" si="113"/>
        <v>0.98726114649681529</v>
      </c>
      <c r="R995" s="23"/>
      <c r="S995" s="173"/>
      <c r="T995" s="30"/>
      <c r="U995" s="23"/>
      <c r="V995" s="458"/>
      <c r="W995" s="421"/>
      <c r="X995" s="458"/>
      <c r="Y995" s="421"/>
      <c r="Z995" s="421"/>
      <c r="AA995" s="421"/>
      <c r="AB995" s="421"/>
      <c r="AC995" s="421"/>
      <c r="AD995" s="421"/>
    </row>
    <row r="996" spans="1:30" s="22" customFormat="1" x14ac:dyDescent="0.4">
      <c r="A996" s="177" t="s">
        <v>862</v>
      </c>
      <c r="B996" s="149" t="s">
        <v>504</v>
      </c>
      <c r="C996" s="30" t="str">
        <f>VLOOKUP(B996,'112年全品項生產鍋數'!A:H,2,0)</f>
        <v>蘋果餡(1*6Kg)</v>
      </c>
      <c r="D996" s="285">
        <v>8</v>
      </c>
      <c r="E996" s="48">
        <f>VLOOKUP(B996,'112年全品項生產鍋數'!A:H,3,0)</f>
        <v>6</v>
      </c>
      <c r="F996" s="45">
        <f>VLOOKUP(B996,'112年全品項生產鍋數'!A:H,7,0)</f>
        <v>25.6</v>
      </c>
      <c r="G996" s="49">
        <f t="shared" si="108"/>
        <v>204.8</v>
      </c>
      <c r="H996" s="144">
        <v>207</v>
      </c>
      <c r="I996" s="111">
        <f t="shared" si="111"/>
        <v>1242</v>
      </c>
      <c r="J996" s="50">
        <f t="shared" si="115"/>
        <v>1.0107421875</v>
      </c>
      <c r="K996" s="51">
        <f>VLOOKUP(B:B,'生產達成率(目標)'!A:C,3,0)</f>
        <v>1</v>
      </c>
      <c r="L996" s="20">
        <f t="shared" si="109"/>
        <v>1.0999999999999999E-2</v>
      </c>
      <c r="M996" s="41" t="str">
        <f>工時!R180</f>
        <v>146</v>
      </c>
      <c r="N996" s="159"/>
      <c r="O996" s="144">
        <f t="shared" si="114"/>
        <v>1</v>
      </c>
      <c r="P996" s="144">
        <v>206</v>
      </c>
      <c r="Q996" s="98">
        <f t="shared" si="113"/>
        <v>0.99516908212560384</v>
      </c>
      <c r="R996" s="23"/>
      <c r="S996" s="173"/>
      <c r="T996" s="30"/>
      <c r="U996" s="23"/>
      <c r="V996" s="458"/>
      <c r="W996" s="421"/>
      <c r="X996" s="458"/>
      <c r="Y996" s="421"/>
      <c r="Z996" s="421"/>
      <c r="AA996" s="421"/>
      <c r="AB996" s="421"/>
      <c r="AC996" s="421"/>
      <c r="AD996" s="421"/>
    </row>
    <row r="997" spans="1:30" s="22" customFormat="1" x14ac:dyDescent="0.4">
      <c r="A997" s="177" t="s">
        <v>862</v>
      </c>
      <c r="B997" s="149" t="s">
        <v>63</v>
      </c>
      <c r="C997" s="30" t="str">
        <f>VLOOKUP(B997,'112年全品項生產鍋數'!A:H,2,0)</f>
        <v>草莓蒟蒻餡(1*6kg)</v>
      </c>
      <c r="D997" s="285">
        <v>24</v>
      </c>
      <c r="E997" s="48">
        <f>VLOOKUP(B997,'112年全品項生產鍋數'!A:H,3,0)</f>
        <v>6</v>
      </c>
      <c r="F997" s="45">
        <f>VLOOKUP(B997,'112年全品項生產鍋數'!A:H,7,0)</f>
        <v>25.7</v>
      </c>
      <c r="G997" s="49">
        <f t="shared" si="108"/>
        <v>616.79999999999995</v>
      </c>
      <c r="H997" s="144">
        <f>299+311</f>
        <v>610</v>
      </c>
      <c r="I997" s="111">
        <f t="shared" si="111"/>
        <v>3660</v>
      </c>
      <c r="J997" s="50">
        <f t="shared" si="115"/>
        <v>0.98897535667963687</v>
      </c>
      <c r="K997" s="51">
        <f>VLOOKUP(B:B,'生產達成率(目標)'!A:C,3,0)</f>
        <v>1</v>
      </c>
      <c r="L997" s="20">
        <f t="shared" si="109"/>
        <v>-1.0999999999999999E-2</v>
      </c>
      <c r="M997" s="41" t="str">
        <f>工時!R181</f>
        <v>380</v>
      </c>
      <c r="N997" s="159"/>
      <c r="O997" s="144">
        <f t="shared" si="114"/>
        <v>-4</v>
      </c>
      <c r="P997" s="144">
        <f>297+317</f>
        <v>614</v>
      </c>
      <c r="Q997" s="98">
        <f t="shared" si="113"/>
        <v>1.0065573770491802</v>
      </c>
      <c r="R997" s="23"/>
      <c r="S997" s="173"/>
      <c r="T997" s="30"/>
      <c r="U997" s="23"/>
      <c r="V997" s="458"/>
      <c r="W997" s="421"/>
      <c r="X997" s="458"/>
      <c r="Y997" s="421"/>
      <c r="Z997" s="421"/>
      <c r="AA997" s="421"/>
      <c r="AB997" s="421"/>
      <c r="AC997" s="421"/>
      <c r="AD997" s="421"/>
    </row>
    <row r="998" spans="1:30" s="22" customFormat="1" x14ac:dyDescent="0.4">
      <c r="A998" s="177" t="s">
        <v>862</v>
      </c>
      <c r="B998" s="149" t="s">
        <v>82</v>
      </c>
      <c r="C998" s="30" t="str">
        <f>VLOOKUP(B998,'112年全品項生產鍋數'!A:H,2,0)</f>
        <v>顆粒花生醬(全)</v>
      </c>
      <c r="D998" s="285">
        <v>17</v>
      </c>
      <c r="E998" s="48">
        <f>VLOOKUP(B998,'112年全品項生產鍋數'!A:H,3,0)</f>
        <v>0.34</v>
      </c>
      <c r="F998" s="45">
        <f>VLOOKUP(B998,'112年全品項生產鍋數'!A:H,7,0)</f>
        <v>364.6</v>
      </c>
      <c r="G998" s="49">
        <f t="shared" si="108"/>
        <v>6198.2000000000007</v>
      </c>
      <c r="H998" s="144">
        <v>6459</v>
      </c>
      <c r="I998" s="111">
        <f t="shared" si="111"/>
        <v>2196.06</v>
      </c>
      <c r="J998" s="50">
        <f>IF(G998=0,"無法預估數據",H998/G998)</f>
        <v>1.0420767319544382</v>
      </c>
      <c r="K998" s="51">
        <f>VLOOKUP(B:B,'生產達成率(目標)'!A:C,3,0)</f>
        <v>1</v>
      </c>
      <c r="L998" s="20">
        <f t="shared" si="109"/>
        <v>4.2000000000000003E-2</v>
      </c>
      <c r="M998" s="41" t="str">
        <f>工時!R182</f>
        <v>570</v>
      </c>
      <c r="N998" s="159"/>
      <c r="O998" s="144">
        <f t="shared" si="114"/>
        <v>3</v>
      </c>
      <c r="P998" s="144">
        <v>6456</v>
      </c>
      <c r="Q998" s="98">
        <f t="shared" si="113"/>
        <v>0.99953553181607058</v>
      </c>
      <c r="R998" s="23"/>
      <c r="S998" s="173">
        <f>149.6+162/2</f>
        <v>230.6</v>
      </c>
      <c r="T998" s="30" t="s">
        <v>923</v>
      </c>
      <c r="U998" s="23"/>
      <c r="V998" s="458"/>
      <c r="W998" s="421"/>
      <c r="X998" s="458"/>
      <c r="Y998" s="421"/>
      <c r="Z998" s="421"/>
      <c r="AA998" s="421"/>
      <c r="AB998" s="421"/>
      <c r="AC998" s="421"/>
      <c r="AD998" s="421"/>
    </row>
    <row r="999" spans="1:30" s="22" customFormat="1" x14ac:dyDescent="0.4">
      <c r="A999" s="177" t="s">
        <v>862</v>
      </c>
      <c r="B999" s="149" t="s">
        <v>59</v>
      </c>
      <c r="C999" s="30" t="str">
        <f>VLOOKUP(B999,'112年全品項生產鍋數'!A:H,2,0)</f>
        <v>＃2花生（粒）(1*900g)</v>
      </c>
      <c r="D999" s="285">
        <v>19</v>
      </c>
      <c r="E999" s="48">
        <f>VLOOKUP(B999,'112年全品項生產鍋數'!A:H,3,0)</f>
        <v>0.9</v>
      </c>
      <c r="F999" s="45">
        <f>VLOOKUP(B999,'112年全品項生產鍋數'!A:H,7,0)</f>
        <v>139.30000000000001</v>
      </c>
      <c r="G999" s="49">
        <f t="shared" si="108"/>
        <v>2646.7000000000003</v>
      </c>
      <c r="H999" s="144">
        <v>2224</v>
      </c>
      <c r="I999" s="111">
        <f t="shared" si="111"/>
        <v>2001.6000000000001</v>
      </c>
      <c r="J999" s="50">
        <f t="shared" si="115"/>
        <v>0.84029168398382881</v>
      </c>
      <c r="K999" s="51">
        <f>VLOOKUP(B:B,'生產達成率(目標)'!A:C,3,0)</f>
        <v>1</v>
      </c>
      <c r="L999" s="20">
        <f t="shared" si="109"/>
        <v>-0.16</v>
      </c>
      <c r="M999" s="41" t="str">
        <f>工時!R183</f>
        <v>350</v>
      </c>
      <c r="N999" s="159"/>
      <c r="O999" s="144">
        <f t="shared" si="114"/>
        <v>-18</v>
      </c>
      <c r="P999" s="144">
        <v>2242</v>
      </c>
      <c r="Q999" s="98">
        <f t="shared" si="113"/>
        <v>1.0080935251798562</v>
      </c>
      <c r="R999" s="23"/>
      <c r="S999" s="173">
        <f>162/2</f>
        <v>81</v>
      </c>
      <c r="T999" s="30" t="s">
        <v>924</v>
      </c>
      <c r="U999" s="23"/>
      <c r="V999" s="458"/>
      <c r="W999" s="421"/>
      <c r="X999" s="458"/>
      <c r="Y999" s="421"/>
      <c r="Z999" s="421"/>
      <c r="AA999" s="421"/>
      <c r="AB999" s="421"/>
      <c r="AC999" s="421"/>
      <c r="AD999" s="421"/>
    </row>
    <row r="1000" spans="1:30" s="22" customFormat="1" x14ac:dyDescent="0.4">
      <c r="A1000" s="177" t="s">
        <v>863</v>
      </c>
      <c r="B1000" s="149" t="s">
        <v>71</v>
      </c>
      <c r="C1000" s="30" t="str">
        <f>VLOOKUP(B1000,'112年全品項生產鍋數'!A:H,2,0)</f>
        <v>＃1草莓(1*3.2kg)</v>
      </c>
      <c r="D1000" s="285">
        <v>36</v>
      </c>
      <c r="E1000" s="48">
        <f>VLOOKUP(B1000,'112年全品項生產鍋數'!A:H,3,0)</f>
        <v>3.2</v>
      </c>
      <c r="F1000" s="45">
        <f>VLOOKUP(B1000,'112年全品項生產鍋數'!A:H,7,0)</f>
        <v>46.8</v>
      </c>
      <c r="G1000" s="49">
        <f t="shared" si="108"/>
        <v>1684.8</v>
      </c>
      <c r="H1000" s="144">
        <v>1684</v>
      </c>
      <c r="I1000" s="111">
        <f t="shared" si="111"/>
        <v>5388.8</v>
      </c>
      <c r="J1000" s="50">
        <f t="shared" si="115"/>
        <v>0.99952516619183285</v>
      </c>
      <c r="K1000" s="51">
        <f>VLOOKUP(B:B,'生產達成率(目標)'!A:C,3,0)</f>
        <v>1</v>
      </c>
      <c r="L1000" s="20">
        <f t="shared" si="109"/>
        <v>0</v>
      </c>
      <c r="M1000" s="41" t="str">
        <f>工時!R184</f>
        <v>320</v>
      </c>
      <c r="N1000" s="159"/>
      <c r="O1000" s="144">
        <f t="shared" si="114"/>
        <v>1</v>
      </c>
      <c r="P1000" s="144">
        <v>1683</v>
      </c>
      <c r="Q1000" s="98">
        <f t="shared" si="113"/>
        <v>0.99940617577197155</v>
      </c>
      <c r="R1000" s="23"/>
      <c r="S1000" s="173"/>
      <c r="T1000" s="30"/>
      <c r="U1000" s="23"/>
      <c r="V1000" s="458"/>
      <c r="W1000" s="421"/>
      <c r="X1000" s="458"/>
      <c r="Y1000" s="421"/>
      <c r="Z1000" s="421"/>
      <c r="AA1000" s="421"/>
      <c r="AB1000" s="421"/>
      <c r="AC1000" s="421"/>
      <c r="AD1000" s="421"/>
    </row>
    <row r="1001" spans="1:30" s="22" customFormat="1" x14ac:dyDescent="0.4">
      <c r="A1001" s="177" t="s">
        <v>863</v>
      </c>
      <c r="B1001" s="149" t="s">
        <v>86</v>
      </c>
      <c r="C1001" s="30" t="str">
        <f>VLOOKUP(B1001,'112年全品項生產鍋數'!A:H,2,0)</f>
        <v>＃2藍莓(1*900g)</v>
      </c>
      <c r="D1001" s="285">
        <v>20</v>
      </c>
      <c r="E1001" s="48">
        <f>VLOOKUP(B1001,'112年全品項生產鍋數'!A:H,3,0)</f>
        <v>0.9</v>
      </c>
      <c r="F1001" s="45">
        <f>VLOOKUP(B1001,'112年全品項生產鍋數'!A:H,7,0)</f>
        <v>163</v>
      </c>
      <c r="G1001" s="49">
        <f t="shared" si="108"/>
        <v>3260</v>
      </c>
      <c r="H1001" s="144">
        <v>3263</v>
      </c>
      <c r="I1001" s="111">
        <f t="shared" si="111"/>
        <v>2936.7000000000003</v>
      </c>
      <c r="J1001" s="50">
        <f t="shared" si="115"/>
        <v>1.0009202453987731</v>
      </c>
      <c r="K1001" s="51">
        <f>VLOOKUP(B:B,'生產達成率(目標)'!A:C,3,0)</f>
        <v>1</v>
      </c>
      <c r="L1001" s="20">
        <f t="shared" si="109"/>
        <v>1E-3</v>
      </c>
      <c r="M1001" s="41" t="str">
        <f>工時!R185</f>
        <v>270</v>
      </c>
      <c r="N1001" s="159"/>
      <c r="O1001" s="144">
        <f t="shared" si="114"/>
        <v>2</v>
      </c>
      <c r="P1001" s="144">
        <v>3261</v>
      </c>
      <c r="Q1001" s="98">
        <f t="shared" si="113"/>
        <v>0.99938706711615077</v>
      </c>
      <c r="R1001" s="23"/>
      <c r="S1001" s="173"/>
      <c r="T1001" s="30" t="s">
        <v>606</v>
      </c>
      <c r="U1001" s="23"/>
      <c r="V1001" s="458"/>
      <c r="W1001" s="421"/>
      <c r="X1001" s="458"/>
      <c r="Y1001" s="421"/>
      <c r="Z1001" s="421"/>
      <c r="AA1001" s="421"/>
      <c r="AB1001" s="421"/>
      <c r="AC1001" s="421"/>
      <c r="AD1001" s="421"/>
    </row>
    <row r="1002" spans="1:30" s="22" customFormat="1" x14ac:dyDescent="0.4">
      <c r="A1002" s="177" t="s">
        <v>863</v>
      </c>
      <c r="B1002" s="149" t="s">
        <v>77</v>
      </c>
      <c r="C1002" s="30" t="str">
        <f>VLOOKUP(B1002,'112年全品項生產鍋數'!A:H,2,0)</f>
        <v>草莓餡50°(1*6Kg)</v>
      </c>
      <c r="D1002" s="285">
        <v>8</v>
      </c>
      <c r="E1002" s="48">
        <f>VLOOKUP(B1002,'112年全品項生產鍋數'!A:H,3,0)</f>
        <v>6</v>
      </c>
      <c r="F1002" s="45">
        <f>VLOOKUP(B1002,'112年全品項生產鍋數'!A:H,7,0)</f>
        <v>25</v>
      </c>
      <c r="G1002" s="49">
        <f t="shared" si="108"/>
        <v>200</v>
      </c>
      <c r="H1002" s="144">
        <v>202</v>
      </c>
      <c r="I1002" s="111">
        <f t="shared" si="111"/>
        <v>1212</v>
      </c>
      <c r="J1002" s="50">
        <f t="shared" si="115"/>
        <v>1.01</v>
      </c>
      <c r="K1002" s="51">
        <f>VLOOKUP(B:B,'生產達成率(目標)'!A:C,3,0)</f>
        <v>1</v>
      </c>
      <c r="L1002" s="20">
        <f t="shared" si="109"/>
        <v>0.01</v>
      </c>
      <c r="M1002" s="41" t="str">
        <f>工時!R186</f>
        <v>160</v>
      </c>
      <c r="N1002" s="159"/>
      <c r="O1002" s="144">
        <f t="shared" si="114"/>
        <v>1</v>
      </c>
      <c r="P1002" s="144">
        <v>201</v>
      </c>
      <c r="Q1002" s="98">
        <f t="shared" si="113"/>
        <v>0.99504950495049505</v>
      </c>
      <c r="R1002" s="23"/>
      <c r="S1002" s="173"/>
      <c r="T1002" s="30"/>
      <c r="U1002" s="23"/>
      <c r="V1002" s="458"/>
      <c r="W1002" s="421"/>
      <c r="X1002" s="458"/>
      <c r="Y1002" s="421"/>
      <c r="Z1002" s="421"/>
      <c r="AA1002" s="421"/>
      <c r="AB1002" s="421"/>
      <c r="AC1002" s="421"/>
      <c r="AD1002" s="421"/>
    </row>
    <row r="1003" spans="1:30" s="22" customFormat="1" x14ac:dyDescent="0.4">
      <c r="A1003" s="177" t="s">
        <v>863</v>
      </c>
      <c r="B1003" s="149" t="s">
        <v>64</v>
      </c>
      <c r="C1003" s="30" t="str">
        <f>VLOOKUP(B1003,'112年全品項生產鍋數'!A:H,2,0)</f>
        <v>藍莓餡(1*6KG)</v>
      </c>
      <c r="D1003" s="285">
        <v>24</v>
      </c>
      <c r="E1003" s="48">
        <f>VLOOKUP(B1003,'112年全品項生產鍋數'!A:H,3,0)</f>
        <v>6</v>
      </c>
      <c r="F1003" s="45">
        <f>VLOOKUP(B1003,'112年全品項生產鍋數'!A:H,7,0)</f>
        <v>25.4</v>
      </c>
      <c r="G1003" s="49">
        <f t="shared" si="108"/>
        <v>609.59999999999991</v>
      </c>
      <c r="H1003" s="144">
        <f>302+314</f>
        <v>616</v>
      </c>
      <c r="I1003" s="111">
        <f t="shared" si="111"/>
        <v>3696</v>
      </c>
      <c r="J1003" s="50">
        <f t="shared" si="115"/>
        <v>1.0104986876640421</v>
      </c>
      <c r="K1003" s="51">
        <f>VLOOKUP(B:B,'生產達成率(目標)'!A:C,3,0)</f>
        <v>1</v>
      </c>
      <c r="L1003" s="20">
        <f t="shared" si="109"/>
        <v>0.01</v>
      </c>
      <c r="M1003" s="41" t="str">
        <f>工時!R187</f>
        <v>340</v>
      </c>
      <c r="N1003" s="159"/>
      <c r="O1003" s="144">
        <f t="shared" si="114"/>
        <v>1</v>
      </c>
      <c r="P1003" s="144">
        <f>301+314</f>
        <v>615</v>
      </c>
      <c r="Q1003" s="98">
        <f t="shared" si="113"/>
        <v>0.99837662337662336</v>
      </c>
      <c r="R1003" s="23"/>
      <c r="S1003" s="173"/>
      <c r="T1003" s="30"/>
      <c r="U1003" s="23"/>
      <c r="V1003" s="458"/>
      <c r="W1003" s="421"/>
      <c r="X1003" s="458"/>
      <c r="Y1003" s="421"/>
      <c r="Z1003" s="421"/>
      <c r="AA1003" s="421"/>
      <c r="AB1003" s="421"/>
      <c r="AC1003" s="421"/>
      <c r="AD1003" s="421"/>
    </row>
    <row r="1004" spans="1:30" s="22" customFormat="1" x14ac:dyDescent="0.4">
      <c r="A1004" s="177" t="s">
        <v>863</v>
      </c>
      <c r="B1004" s="149" t="s">
        <v>133</v>
      </c>
      <c r="C1004" s="30" t="str">
        <f>VLOOKUP(B1004,'112年全品項生產鍋數'!A:H,2,0)</f>
        <v>藍莓餡(1*6KG)</v>
      </c>
      <c r="D1004" s="285">
        <v>6</v>
      </c>
      <c r="E1004" s="48">
        <f>VLOOKUP(B1004,'112年全品項生產鍋數'!A:H,3,0)</f>
        <v>6</v>
      </c>
      <c r="F1004" s="45">
        <f>VLOOKUP(B1004,'112年全品項生產鍋數'!A:H,7,0)</f>
        <v>25.5</v>
      </c>
      <c r="G1004" s="49">
        <f t="shared" si="108"/>
        <v>153</v>
      </c>
      <c r="H1004" s="144">
        <v>156</v>
      </c>
      <c r="I1004" s="111">
        <f t="shared" si="111"/>
        <v>936</v>
      </c>
      <c r="J1004" s="50">
        <f t="shared" si="115"/>
        <v>1.0196078431372548</v>
      </c>
      <c r="K1004" s="51">
        <f>VLOOKUP(B:B,'生產達成率(目標)'!A:C,3,0)</f>
        <v>1</v>
      </c>
      <c r="L1004" s="20">
        <f t="shared" si="109"/>
        <v>0.02</v>
      </c>
      <c r="M1004" s="41" t="str">
        <f>工時!R188</f>
        <v>134</v>
      </c>
      <c r="N1004" s="159"/>
      <c r="O1004" s="144">
        <f t="shared" si="114"/>
        <v>1</v>
      </c>
      <c r="P1004" s="144">
        <v>155</v>
      </c>
      <c r="Q1004" s="98">
        <f t="shared" si="113"/>
        <v>0.99358974358974361</v>
      </c>
      <c r="R1004" s="23"/>
      <c r="S1004" s="173"/>
      <c r="T1004" s="30"/>
      <c r="U1004" s="23"/>
      <c r="V1004" s="458"/>
      <c r="W1004" s="421"/>
      <c r="X1004" s="458"/>
      <c r="Y1004" s="421"/>
      <c r="Z1004" s="421"/>
      <c r="AA1004" s="421"/>
      <c r="AB1004" s="421"/>
      <c r="AC1004" s="421"/>
      <c r="AD1004" s="421"/>
    </row>
    <row r="1005" spans="1:30" s="22" customFormat="1" x14ac:dyDescent="0.4">
      <c r="A1005" s="177" t="s">
        <v>863</v>
      </c>
      <c r="B1005" s="149" t="s">
        <v>23</v>
      </c>
      <c r="C1005" s="30" t="str">
        <f>VLOOKUP(B1005,'112年全品項生產鍋數'!A:H,2,0)</f>
        <v>＃1花生(粒)(1*2.8kg)</v>
      </c>
      <c r="D1005" s="285">
        <v>68</v>
      </c>
      <c r="E1005" s="48">
        <f>VLOOKUP(B1005,'112年全品項生產鍋數'!A:H,3,0)</f>
        <v>2.8</v>
      </c>
      <c r="F1005" s="45">
        <f>VLOOKUP(B1005,'112年全品項生產鍋數'!A:H,7,0)</f>
        <v>44.2</v>
      </c>
      <c r="G1005" s="49">
        <f t="shared" si="108"/>
        <v>3005.6000000000004</v>
      </c>
      <c r="H1005" s="144">
        <v>3046</v>
      </c>
      <c r="I1005" s="111">
        <f t="shared" si="111"/>
        <v>8528.7999999999993</v>
      </c>
      <c r="J1005" s="50">
        <f t="shared" si="115"/>
        <v>1.0134415757253126</v>
      </c>
      <c r="K1005" s="51">
        <f>VLOOKUP(B:B,'生產達成率(目標)'!A:C,3,0)</f>
        <v>1</v>
      </c>
      <c r="L1005" s="20">
        <f t="shared" si="109"/>
        <v>1.2999999999999999E-2</v>
      </c>
      <c r="M1005" s="41" t="str">
        <f>工時!R189</f>
        <v>490</v>
      </c>
      <c r="N1005" s="159"/>
      <c r="O1005" s="144">
        <f t="shared" si="114"/>
        <v>1</v>
      </c>
      <c r="P1005" s="144">
        <v>3045</v>
      </c>
      <c r="Q1005" s="98">
        <f t="shared" si="113"/>
        <v>0.99967170059093891</v>
      </c>
      <c r="R1005" s="23"/>
      <c r="S1005" s="173"/>
      <c r="T1005" s="30"/>
      <c r="U1005" s="23"/>
      <c r="V1005" s="458"/>
      <c r="W1005" s="421"/>
      <c r="X1005" s="458"/>
      <c r="Y1005" s="421"/>
      <c r="Z1005" s="421"/>
      <c r="AA1005" s="421"/>
      <c r="AB1005" s="421"/>
      <c r="AC1005" s="421"/>
      <c r="AD1005" s="421"/>
    </row>
    <row r="1006" spans="1:30" s="22" customFormat="1" x14ac:dyDescent="0.4">
      <c r="A1006" s="177" t="s">
        <v>863</v>
      </c>
      <c r="B1006" s="149" t="s">
        <v>558</v>
      </c>
      <c r="C1006" s="30" t="str">
        <f>VLOOKUP(B1006,'112年全品項生產鍋數'!A:H,2,0)</f>
        <v>＃1花生(粒)(1*2.8kg)</v>
      </c>
      <c r="D1006" s="285">
        <v>4</v>
      </c>
      <c r="E1006" s="48">
        <f>VLOOKUP(B1006,'112年全品項生產鍋數'!A:H,3,0)</f>
        <v>2.8</v>
      </c>
      <c r="F1006" s="45">
        <f>VLOOKUP(B1006,'112年全品項生產鍋數'!A:H,7,0)</f>
        <v>44.8</v>
      </c>
      <c r="G1006" s="49">
        <f t="shared" si="108"/>
        <v>179.2</v>
      </c>
      <c r="H1006" s="144">
        <v>184</v>
      </c>
      <c r="I1006" s="111">
        <f t="shared" si="111"/>
        <v>515.19999999999993</v>
      </c>
      <c r="J1006" s="50">
        <f t="shared" si="115"/>
        <v>1.0267857142857144</v>
      </c>
      <c r="K1006" s="51">
        <f>VLOOKUP(B:B,'生產達成率(目標)'!A:C,3,0)</f>
        <v>1</v>
      </c>
      <c r="L1006" s="20">
        <f t="shared" si="109"/>
        <v>2.7E-2</v>
      </c>
      <c r="M1006" s="41" t="str">
        <f>工時!R190</f>
        <v>90</v>
      </c>
      <c r="N1006" s="159"/>
      <c r="O1006" s="144">
        <f t="shared" si="114"/>
        <v>1</v>
      </c>
      <c r="P1006" s="144">
        <v>183</v>
      </c>
      <c r="Q1006" s="98">
        <f t="shared" si="113"/>
        <v>0.99456521739130432</v>
      </c>
      <c r="R1006" s="23"/>
      <c r="S1006" s="173"/>
      <c r="T1006" s="30"/>
      <c r="U1006" s="23"/>
      <c r="V1006" s="458"/>
      <c r="W1006" s="421"/>
      <c r="X1006" s="458"/>
      <c r="Y1006" s="421"/>
      <c r="Z1006" s="421"/>
      <c r="AA1006" s="421"/>
      <c r="AB1006" s="421"/>
      <c r="AC1006" s="421"/>
      <c r="AD1006" s="421"/>
    </row>
    <row r="1007" spans="1:30" s="22" customFormat="1" x14ac:dyDescent="0.4">
      <c r="A1007" s="177" t="s">
        <v>863</v>
      </c>
      <c r="B1007" s="149">
        <v>153010</v>
      </c>
      <c r="C1007" s="30" t="str">
        <f>VLOOKUP(B1007,'112年全品項生產鍋數'!A:H,2,0)</f>
        <v>蜜桔皮6m/m</v>
      </c>
      <c r="D1007" s="285">
        <v>1</v>
      </c>
      <c r="E1007" s="48">
        <f>VLOOKUP(B1007,'112年全品項生產鍋數'!A:H,3,0)</f>
        <v>1</v>
      </c>
      <c r="F1007" s="45">
        <f>VLOOKUP(B1007,'112年全品項生產鍋數'!A:H,7,0)</f>
        <v>591</v>
      </c>
      <c r="G1007" s="49">
        <f t="shared" si="108"/>
        <v>591</v>
      </c>
      <c r="H1007" s="144">
        <v>592</v>
      </c>
      <c r="I1007" s="111">
        <f t="shared" si="111"/>
        <v>592</v>
      </c>
      <c r="J1007" s="50">
        <f t="shared" si="115"/>
        <v>1.0016920473773265</v>
      </c>
      <c r="K1007" s="51">
        <f>VLOOKUP(B:B,'生產達成率(目標)'!A:C,3,0)</f>
        <v>1</v>
      </c>
      <c r="L1007" s="20">
        <f t="shared" si="109"/>
        <v>2E-3</v>
      </c>
      <c r="M1007" s="41" t="str">
        <f>工時!R191</f>
        <v>0</v>
      </c>
      <c r="N1007" s="159"/>
      <c r="O1007" s="144">
        <f t="shared" si="114"/>
        <v>0</v>
      </c>
      <c r="P1007" s="144">
        <v>592</v>
      </c>
      <c r="Q1007" s="98">
        <f t="shared" si="113"/>
        <v>1</v>
      </c>
      <c r="R1007" s="23"/>
      <c r="S1007" s="173"/>
      <c r="T1007" s="30"/>
      <c r="U1007" s="23"/>
      <c r="V1007" s="458"/>
      <c r="W1007" s="421"/>
      <c r="X1007" s="458"/>
      <c r="Y1007" s="421"/>
      <c r="Z1007" s="421"/>
      <c r="AA1007" s="421"/>
      <c r="AB1007" s="421"/>
      <c r="AC1007" s="421"/>
      <c r="AD1007" s="421"/>
    </row>
    <row r="1008" spans="1:30" s="22" customFormat="1" x14ac:dyDescent="0.4">
      <c r="A1008" s="177" t="s">
        <v>864</v>
      </c>
      <c r="B1008" s="149" t="s">
        <v>106</v>
      </c>
      <c r="C1008" s="30" t="str">
        <f>VLOOKUP(B1008,'112年全品項生產鍋數'!A:H,2,0)</f>
        <v>小藍莓1*260G</v>
      </c>
      <c r="D1008" s="285">
        <v>20</v>
      </c>
      <c r="E1008" s="48">
        <f>VLOOKUP(B1008,'112年全品項生產鍋數'!A:H,3,0)</f>
        <v>0.26</v>
      </c>
      <c r="F1008" s="45">
        <f>VLOOKUP(B1008,'112年全品項生產鍋數'!A:H,7,0)</f>
        <v>584.29999999999995</v>
      </c>
      <c r="G1008" s="49">
        <f t="shared" si="108"/>
        <v>11686</v>
      </c>
      <c r="H1008" s="144">
        <v>12091</v>
      </c>
      <c r="I1008" s="111">
        <f t="shared" si="111"/>
        <v>3143.6600000000003</v>
      </c>
      <c r="J1008" s="50">
        <f t="shared" si="115"/>
        <v>1.0346568543556391</v>
      </c>
      <c r="K1008" s="51">
        <f>VLOOKUP(B:B,'生產達成率(目標)'!A:C,3,0)</f>
        <v>1</v>
      </c>
      <c r="L1008" s="20">
        <f t="shared" si="109"/>
        <v>3.5000000000000003E-2</v>
      </c>
      <c r="M1008" s="41" t="str">
        <f>工時!R192</f>
        <v>335</v>
      </c>
      <c r="N1008" s="159"/>
      <c r="O1008" s="144">
        <f t="shared" si="114"/>
        <v>21</v>
      </c>
      <c r="P1008" s="144">
        <v>12070</v>
      </c>
      <c r="Q1008" s="98">
        <f t="shared" si="113"/>
        <v>0.99826317095360184</v>
      </c>
      <c r="R1008" s="23"/>
      <c r="S1008" s="173"/>
      <c r="T1008" s="30"/>
      <c r="U1008" s="23"/>
      <c r="V1008" s="458"/>
      <c r="W1008" s="421"/>
      <c r="X1008" s="458"/>
      <c r="Y1008" s="421"/>
      <c r="Z1008" s="421"/>
      <c r="AA1008" s="421"/>
      <c r="AB1008" s="421"/>
      <c r="AC1008" s="421"/>
      <c r="AD1008" s="421"/>
    </row>
    <row r="1009" spans="1:30" s="22" customFormat="1" x14ac:dyDescent="0.4">
      <c r="A1009" s="177" t="s">
        <v>864</v>
      </c>
      <c r="B1009" s="149" t="s">
        <v>529</v>
      </c>
      <c r="C1009" s="30" t="str">
        <f>VLOOKUP(B1009,'112年全品項生產鍋數'!A:H,2,0)</f>
        <v>小藍莓1*260G</v>
      </c>
      <c r="D1009" s="285">
        <v>4</v>
      </c>
      <c r="E1009" s="48">
        <f>VLOOKUP(B1009,'112年全品項生產鍋數'!A:H,3,0)</f>
        <v>0.26</v>
      </c>
      <c r="F1009" s="45">
        <f>VLOOKUP(B1009,'112年全品項生產鍋數'!A:H,7,0)</f>
        <v>592</v>
      </c>
      <c r="G1009" s="49">
        <f t="shared" si="108"/>
        <v>2368</v>
      </c>
      <c r="H1009" s="144">
        <v>2389</v>
      </c>
      <c r="I1009" s="111">
        <f t="shared" si="111"/>
        <v>621.14</v>
      </c>
      <c r="J1009" s="50">
        <f t="shared" si="115"/>
        <v>1.0088682432432432</v>
      </c>
      <c r="K1009" s="51">
        <f>VLOOKUP(B:B,'生產達成率(目標)'!A:C,3,0)</f>
        <v>1</v>
      </c>
      <c r="L1009" s="20">
        <f t="shared" si="109"/>
        <v>8.9999999999999993E-3</v>
      </c>
      <c r="M1009" s="41" t="str">
        <f>工時!R193</f>
        <v>430</v>
      </c>
      <c r="N1009" s="159"/>
      <c r="O1009" s="144">
        <f t="shared" si="114"/>
        <v>6</v>
      </c>
      <c r="P1009" s="144">
        <v>2383</v>
      </c>
      <c r="Q1009" s="98">
        <f t="shared" si="113"/>
        <v>0.99748848890749264</v>
      </c>
      <c r="R1009" s="23"/>
      <c r="S1009" s="173"/>
      <c r="T1009" s="30"/>
      <c r="U1009" s="23"/>
      <c r="V1009" s="458"/>
      <c r="W1009" s="421"/>
      <c r="X1009" s="458"/>
      <c r="Y1009" s="421"/>
      <c r="Z1009" s="421"/>
      <c r="AA1009" s="421"/>
      <c r="AB1009" s="421"/>
      <c r="AC1009" s="421"/>
      <c r="AD1009" s="421"/>
    </row>
    <row r="1010" spans="1:30" s="22" customFormat="1" x14ac:dyDescent="0.4">
      <c r="A1010" s="177" t="s">
        <v>864</v>
      </c>
      <c r="B1010" s="149" t="s">
        <v>608</v>
      </c>
      <c r="C1010" s="30" t="str">
        <f>VLOOKUP(B1010,'112年全品項生產鍋數'!A:H,2,0)</f>
        <v>紅棗醬(1*210G)</v>
      </c>
      <c r="D1010" s="285">
        <v>3</v>
      </c>
      <c r="E1010" s="48">
        <f>VLOOKUP(B1010,'112年全品項生產鍋數'!A:H,3,0)</f>
        <v>0.21</v>
      </c>
      <c r="F1010" s="45">
        <f>VLOOKUP(B1010,'112年全品項生產鍋數'!A:H,7,0)</f>
        <v>738</v>
      </c>
      <c r="G1010" s="49">
        <f t="shared" si="108"/>
        <v>2214</v>
      </c>
      <c r="H1010" s="144">
        <v>2222</v>
      </c>
      <c r="I1010" s="111">
        <f t="shared" si="111"/>
        <v>466.62</v>
      </c>
      <c r="J1010" s="50">
        <f t="shared" si="115"/>
        <v>1.0036133694670279</v>
      </c>
      <c r="K1010" s="51">
        <f>VLOOKUP(B:B,'生產達成率(目標)'!A:C,3,0)</f>
        <v>1</v>
      </c>
      <c r="L1010" s="20">
        <f t="shared" si="109"/>
        <v>4.0000000000000001E-3</v>
      </c>
      <c r="M1010" s="41" t="str">
        <f>工時!R194</f>
        <v>205</v>
      </c>
      <c r="N1010" s="159"/>
      <c r="O1010" s="144">
        <f t="shared" si="114"/>
        <v>9</v>
      </c>
      <c r="P1010" s="144">
        <v>2213</v>
      </c>
      <c r="Q1010" s="98">
        <f t="shared" si="113"/>
        <v>0.99594959495949598</v>
      </c>
      <c r="R1010" s="23"/>
      <c r="S1010" s="173"/>
      <c r="T1010" s="30"/>
      <c r="U1010" s="23"/>
      <c r="V1010" s="458"/>
      <c r="W1010" s="421"/>
      <c r="X1010" s="458"/>
      <c r="Y1010" s="421"/>
      <c r="Z1010" s="421"/>
      <c r="AA1010" s="421"/>
      <c r="AB1010" s="421"/>
      <c r="AC1010" s="421"/>
      <c r="AD1010" s="421"/>
    </row>
    <row r="1011" spans="1:30" s="22" customFormat="1" x14ac:dyDescent="0.4">
      <c r="A1011" s="177" t="s">
        <v>864</v>
      </c>
      <c r="B1011" s="149" t="s">
        <v>140</v>
      </c>
      <c r="C1011" s="30" t="str">
        <f>VLOOKUP(B1011,'112年全品項生產鍋數'!A:H,2,0)</f>
        <v>草莓餡(1*6Kg)</v>
      </c>
      <c r="D1011" s="285">
        <v>20</v>
      </c>
      <c r="E1011" s="48">
        <f>VLOOKUP(B1011,'112年全品項生產鍋數'!A:H,3,0)</f>
        <v>6</v>
      </c>
      <c r="F1011" s="45">
        <f>VLOOKUP(B1011,'112年全品項生產鍋數'!A:H,7,0)</f>
        <v>25.5</v>
      </c>
      <c r="G1011" s="49">
        <f t="shared" si="108"/>
        <v>510</v>
      </c>
      <c r="H1011" s="144">
        <v>519</v>
      </c>
      <c r="I1011" s="111">
        <f t="shared" si="111"/>
        <v>3114</v>
      </c>
      <c r="J1011" s="50">
        <f t="shared" si="115"/>
        <v>1.0176470588235293</v>
      </c>
      <c r="K1011" s="51">
        <f>VLOOKUP(B:B,'生產達成率(目標)'!A:C,3,0)</f>
        <v>1</v>
      </c>
      <c r="L1011" s="20">
        <f t="shared" si="109"/>
        <v>1.7999999999999999E-2</v>
      </c>
      <c r="M1011" s="41" t="str">
        <f>工時!R195</f>
        <v>260</v>
      </c>
      <c r="N1011" s="159"/>
      <c r="O1011" s="144">
        <f t="shared" si="114"/>
        <v>1</v>
      </c>
      <c r="P1011" s="144">
        <v>518</v>
      </c>
      <c r="Q1011" s="98">
        <f t="shared" si="113"/>
        <v>0.9980732177263969</v>
      </c>
      <c r="R1011" s="23"/>
      <c r="S1011" s="173"/>
      <c r="T1011" s="30"/>
      <c r="U1011" s="23"/>
      <c r="V1011" s="458"/>
      <c r="W1011" s="421"/>
      <c r="X1011" s="458"/>
      <c r="Y1011" s="421"/>
      <c r="Z1011" s="421"/>
      <c r="AA1011" s="421"/>
      <c r="AB1011" s="421"/>
      <c r="AC1011" s="421"/>
      <c r="AD1011" s="421"/>
    </row>
    <row r="1012" spans="1:30" s="22" customFormat="1" x14ac:dyDescent="0.4">
      <c r="A1012" s="177" t="s">
        <v>864</v>
      </c>
      <c r="B1012" s="149" t="s">
        <v>63</v>
      </c>
      <c r="C1012" s="30" t="str">
        <f>VLOOKUP(B1012,'112年全品項生產鍋數'!A:H,2,0)</f>
        <v>草莓蒟蒻餡(1*6kg)</v>
      </c>
      <c r="D1012" s="285">
        <v>24</v>
      </c>
      <c r="E1012" s="48">
        <f>VLOOKUP(B1012,'112年全品項生產鍋數'!A:H,3,0)</f>
        <v>6</v>
      </c>
      <c r="F1012" s="45">
        <f>VLOOKUP(B1012,'112年全品項生產鍋數'!A:H,7,0)</f>
        <v>25.7</v>
      </c>
      <c r="G1012" s="49">
        <f t="shared" si="108"/>
        <v>616.79999999999995</v>
      </c>
      <c r="H1012" s="144">
        <f>308+315</f>
        <v>623</v>
      </c>
      <c r="I1012" s="111">
        <f t="shared" si="111"/>
        <v>3738</v>
      </c>
      <c r="J1012" s="50">
        <f t="shared" si="115"/>
        <v>1.0100518806744487</v>
      </c>
      <c r="K1012" s="51">
        <f>VLOOKUP(B:B,'生產達成率(目標)'!A:C,3,0)</f>
        <v>1</v>
      </c>
      <c r="L1012" s="20">
        <f t="shared" si="109"/>
        <v>0.01</v>
      </c>
      <c r="M1012" s="41" t="str">
        <f>工時!R196</f>
        <v>349</v>
      </c>
      <c r="N1012" s="159"/>
      <c r="O1012" s="144">
        <f t="shared" si="114"/>
        <v>2</v>
      </c>
      <c r="P1012" s="144">
        <f>307+314</f>
        <v>621</v>
      </c>
      <c r="Q1012" s="98">
        <f t="shared" si="113"/>
        <v>0.9967897271268058</v>
      </c>
      <c r="R1012" s="23"/>
      <c r="S1012" s="173"/>
      <c r="T1012" s="30"/>
      <c r="U1012" s="23"/>
      <c r="V1012" s="458"/>
      <c r="W1012" s="421"/>
      <c r="X1012" s="458"/>
      <c r="Y1012" s="421"/>
      <c r="Z1012" s="421"/>
      <c r="AA1012" s="421"/>
      <c r="AB1012" s="421"/>
      <c r="AC1012" s="421"/>
      <c r="AD1012" s="421"/>
    </row>
    <row r="1013" spans="1:30" s="22" customFormat="1" x14ac:dyDescent="0.4">
      <c r="A1013" s="177" t="s">
        <v>864</v>
      </c>
      <c r="B1013" s="149" t="s">
        <v>96</v>
      </c>
      <c r="C1013" s="30" t="str">
        <f>VLOOKUP(B1013,'112年全品項生產鍋數'!A:H,2,0)</f>
        <v>PET瓶花生(1*340g)</v>
      </c>
      <c r="D1013" s="285">
        <v>20</v>
      </c>
      <c r="E1013" s="48">
        <f>VLOOKUP(B1013,'112年全品項生產鍋數'!A:H,3,0)</f>
        <v>0.34</v>
      </c>
      <c r="F1013" s="45">
        <f>VLOOKUP(B1013,'112年全品項生產鍋數'!A:H,7,0)</f>
        <v>358.3</v>
      </c>
      <c r="G1013" s="49">
        <f t="shared" si="108"/>
        <v>7166</v>
      </c>
      <c r="H1013" s="144">
        <f>5482+1802</f>
        <v>7284</v>
      </c>
      <c r="I1013" s="111">
        <f t="shared" si="111"/>
        <v>2476.5600000000004</v>
      </c>
      <c r="J1013" s="50">
        <f t="shared" si="115"/>
        <v>1.0164666480602846</v>
      </c>
      <c r="K1013" s="51">
        <f>VLOOKUP(B:B,'生產達成率(目標)'!A:C,3,0)</f>
        <v>1</v>
      </c>
      <c r="L1013" s="20">
        <f t="shared" si="109"/>
        <v>1.6E-2</v>
      </c>
      <c r="M1013" s="41" t="str">
        <f>工時!R197</f>
        <v>300</v>
      </c>
      <c r="N1013" s="159"/>
      <c r="O1013" s="144">
        <f t="shared" si="114"/>
        <v>5</v>
      </c>
      <c r="P1013" s="144">
        <f>5479+1800</f>
        <v>7279</v>
      </c>
      <c r="Q1013" s="98">
        <f t="shared" si="113"/>
        <v>0.99931356397583748</v>
      </c>
      <c r="R1013" s="23"/>
      <c r="S1013" s="173"/>
      <c r="T1013" s="30" t="s">
        <v>609</v>
      </c>
      <c r="U1013" s="23"/>
      <c r="V1013" s="458"/>
      <c r="W1013" s="421"/>
      <c r="X1013" s="458"/>
      <c r="Y1013" s="421"/>
      <c r="Z1013" s="421"/>
      <c r="AA1013" s="421"/>
      <c r="AB1013" s="421"/>
      <c r="AC1013" s="421"/>
      <c r="AD1013" s="421"/>
    </row>
    <row r="1014" spans="1:30" s="22" customFormat="1" x14ac:dyDescent="0.4">
      <c r="A1014" s="177" t="s">
        <v>864</v>
      </c>
      <c r="B1014" s="149" t="s">
        <v>536</v>
      </c>
      <c r="C1014" s="30" t="str">
        <f>VLOOKUP(B1014,'112年全品項生產鍋數'!A:H,2,0)</f>
        <v>花生醬(1*3.5KG)</v>
      </c>
      <c r="D1014" s="285">
        <v>12</v>
      </c>
      <c r="E1014" s="48">
        <f>VLOOKUP(B1014,'112年全品項生產鍋數'!A:H,3,0)</f>
        <v>3.5</v>
      </c>
      <c r="F1014" s="45">
        <f>VLOOKUP(B1014,'112年全品項生產鍋數'!A:H,7,0)</f>
        <v>25.4</v>
      </c>
      <c r="G1014" s="49">
        <f t="shared" si="108"/>
        <v>304.79999999999995</v>
      </c>
      <c r="H1014" s="144">
        <v>315</v>
      </c>
      <c r="I1014" s="111">
        <f t="shared" si="111"/>
        <v>1102.5</v>
      </c>
      <c r="J1014" s="50">
        <f t="shared" si="115"/>
        <v>1.033464566929134</v>
      </c>
      <c r="K1014" s="51">
        <f>VLOOKUP(B:B,'生產達成率(目標)'!A:C,3,0)</f>
        <v>1</v>
      </c>
      <c r="L1014" s="20">
        <f t="shared" si="109"/>
        <v>3.3000000000000002E-2</v>
      </c>
      <c r="M1014" s="41" t="str">
        <f>工時!R198</f>
        <v>390</v>
      </c>
      <c r="N1014" s="159"/>
      <c r="O1014" s="144">
        <f t="shared" si="114"/>
        <v>0</v>
      </c>
      <c r="P1014" s="144">
        <v>315</v>
      </c>
      <c r="Q1014" s="98">
        <f t="shared" si="113"/>
        <v>1</v>
      </c>
      <c r="R1014" s="23"/>
      <c r="S1014" s="173"/>
      <c r="T1014" s="30"/>
      <c r="U1014" s="23"/>
      <c r="V1014" s="458"/>
      <c r="W1014" s="421"/>
      <c r="X1014" s="458"/>
      <c r="Y1014" s="421"/>
      <c r="Z1014" s="421"/>
      <c r="AA1014" s="421"/>
      <c r="AB1014" s="421"/>
      <c r="AC1014" s="421"/>
      <c r="AD1014" s="421"/>
    </row>
    <row r="1015" spans="1:30" s="22" customFormat="1" x14ac:dyDescent="0.4">
      <c r="A1015" s="177" t="s">
        <v>865</v>
      </c>
      <c r="B1015" s="149" t="s">
        <v>130</v>
      </c>
      <c r="C1015" s="30" t="str">
        <f>VLOOKUP(B1015,'112年全品項生產鍋數'!A:H,2,0)</f>
        <v>天天開心柳橙餡4.5KG</v>
      </c>
      <c r="D1015" s="285">
        <v>16</v>
      </c>
      <c r="E1015" s="48">
        <f>VLOOKUP(B1015,'112年全品項生產鍋數'!A:H,3,0)</f>
        <v>4.5</v>
      </c>
      <c r="F1015" s="45">
        <f>VLOOKUP(B1015,'112年全品項生產鍋數'!A:H,7,0)</f>
        <v>34.9</v>
      </c>
      <c r="G1015" s="49">
        <f t="shared" si="108"/>
        <v>558.4</v>
      </c>
      <c r="H1015" s="144">
        <v>568</v>
      </c>
      <c r="I1015" s="111">
        <f t="shared" si="111"/>
        <v>2556</v>
      </c>
      <c r="J1015" s="50">
        <f t="shared" si="115"/>
        <v>1.0171919770773639</v>
      </c>
      <c r="K1015" s="51">
        <f>VLOOKUP(B:B,'生產達成率(目標)'!A:C,3,0)</f>
        <v>1</v>
      </c>
      <c r="L1015" s="20">
        <f t="shared" si="109"/>
        <v>1.7000000000000001E-2</v>
      </c>
      <c r="M1015" s="41" t="str">
        <f>工時!R199</f>
        <v>270</v>
      </c>
      <c r="N1015" s="159"/>
      <c r="O1015" s="144">
        <f t="shared" si="114"/>
        <v>0</v>
      </c>
      <c r="P1015" s="144">
        <v>568</v>
      </c>
      <c r="Q1015" s="98">
        <f t="shared" si="113"/>
        <v>1</v>
      </c>
      <c r="R1015" s="23"/>
      <c r="S1015" s="173"/>
      <c r="T1015" s="30"/>
      <c r="U1015" s="23"/>
      <c r="V1015" s="458"/>
      <c r="W1015" s="421"/>
      <c r="X1015" s="458"/>
      <c r="Y1015" s="421"/>
      <c r="Z1015" s="421"/>
      <c r="AA1015" s="421"/>
      <c r="AB1015" s="421"/>
      <c r="AC1015" s="421"/>
      <c r="AD1015" s="421"/>
    </row>
    <row r="1016" spans="1:30" s="22" customFormat="1" x14ac:dyDescent="0.4">
      <c r="A1016" s="177" t="s">
        <v>865</v>
      </c>
      <c r="B1016" s="149" t="s">
        <v>611</v>
      </c>
      <c r="C1016" s="30" t="str">
        <f>VLOOKUP(B1016,'112年全品項生產鍋數'!A:H,2,0)</f>
        <v>藍莓餡（大）(1*9.08kg)</v>
      </c>
      <c r="D1016" s="285">
        <v>8</v>
      </c>
      <c r="E1016" s="48">
        <f>VLOOKUP(B1016,'112年全品項生產鍋數'!A:H,3,0)</f>
        <v>9.08</v>
      </c>
      <c r="F1016" s="45">
        <f>VLOOKUP(B1016,'112年全品項生產鍋數'!A:H,7,0)</f>
        <v>17.399999999999999</v>
      </c>
      <c r="G1016" s="49">
        <f t="shared" si="108"/>
        <v>139.19999999999999</v>
      </c>
      <c r="H1016" s="144">
        <v>140</v>
      </c>
      <c r="I1016" s="111">
        <f t="shared" si="111"/>
        <v>1271.2</v>
      </c>
      <c r="J1016" s="50">
        <f t="shared" si="115"/>
        <v>1.0057471264367817</v>
      </c>
      <c r="K1016" s="51">
        <f>VLOOKUP(B:B,'生產達成率(目標)'!A:C,3,0)</f>
        <v>1</v>
      </c>
      <c r="L1016" s="20">
        <f t="shared" si="109"/>
        <v>6.0000000000000001E-3</v>
      </c>
      <c r="M1016" s="41" t="str">
        <f>工時!R200</f>
        <v>145</v>
      </c>
      <c r="N1016" s="159"/>
      <c r="O1016" s="144">
        <f t="shared" si="114"/>
        <v>0</v>
      </c>
      <c r="P1016" s="144">
        <v>140</v>
      </c>
      <c r="Q1016" s="98">
        <f t="shared" si="113"/>
        <v>1</v>
      </c>
      <c r="R1016" s="23"/>
      <c r="S1016" s="173"/>
      <c r="T1016" s="30" t="s">
        <v>612</v>
      </c>
      <c r="U1016" s="23"/>
      <c r="V1016" s="458"/>
      <c r="W1016" s="421"/>
      <c r="X1016" s="458"/>
      <c r="Y1016" s="421"/>
      <c r="Z1016" s="421"/>
      <c r="AA1016" s="421"/>
      <c r="AB1016" s="421"/>
      <c r="AC1016" s="421"/>
      <c r="AD1016" s="421"/>
    </row>
    <row r="1017" spans="1:30" s="22" customFormat="1" x14ac:dyDescent="0.4">
      <c r="A1017" s="177" t="s">
        <v>865</v>
      </c>
      <c r="B1017" s="149" t="s">
        <v>57</v>
      </c>
      <c r="C1017" s="30" t="str">
        <f>VLOOKUP(B1017,'112年全品項生產鍋數'!A:H,2,0)</f>
        <v>蘋果藍莓餡(1*9.08kg)</v>
      </c>
      <c r="D1017" s="285">
        <v>12</v>
      </c>
      <c r="E1017" s="48">
        <f>VLOOKUP(B1017,'112年全品項生產鍋數'!A:H,3,0)</f>
        <v>9.08</v>
      </c>
      <c r="F1017" s="45">
        <f>VLOOKUP(B1017,'112年全品項生產鍋數'!A:H,7,0)</f>
        <v>17.3</v>
      </c>
      <c r="G1017" s="49">
        <f t="shared" si="108"/>
        <v>207.60000000000002</v>
      </c>
      <c r="H1017" s="144">
        <v>210</v>
      </c>
      <c r="I1017" s="111">
        <f t="shared" si="111"/>
        <v>1906.8</v>
      </c>
      <c r="J1017" s="50">
        <f t="shared" si="115"/>
        <v>1.0115606936416184</v>
      </c>
      <c r="K1017" s="51">
        <f>VLOOKUP(B:B,'生產達成率(目標)'!A:C,3,0)</f>
        <v>1</v>
      </c>
      <c r="L1017" s="20">
        <f t="shared" si="109"/>
        <v>1.2E-2</v>
      </c>
      <c r="M1017" s="41" t="str">
        <f>工時!R201</f>
        <v>208</v>
      </c>
      <c r="N1017" s="159"/>
      <c r="O1017" s="144">
        <f t="shared" si="114"/>
        <v>0</v>
      </c>
      <c r="P1017" s="144">
        <v>210</v>
      </c>
      <c r="Q1017" s="98">
        <f t="shared" si="113"/>
        <v>1</v>
      </c>
      <c r="R1017" s="23"/>
      <c r="S1017" s="173"/>
      <c r="T1017" s="30"/>
      <c r="U1017" s="23"/>
      <c r="V1017" s="458"/>
      <c r="W1017" s="421"/>
      <c r="X1017" s="458"/>
      <c r="Y1017" s="421"/>
      <c r="Z1017" s="421"/>
      <c r="AA1017" s="421"/>
      <c r="AB1017" s="421"/>
      <c r="AC1017" s="421"/>
      <c r="AD1017" s="421"/>
    </row>
    <row r="1018" spans="1:30" s="22" customFormat="1" x14ac:dyDescent="0.4">
      <c r="A1018" s="177" t="s">
        <v>865</v>
      </c>
      <c r="B1018" s="149" t="s">
        <v>110</v>
      </c>
      <c r="C1018" s="30" t="str">
        <f>VLOOKUP(B1018,'112年全品項生產鍋數'!A:H,2,0)</f>
        <v>顆粒花生醬(1*12KG)</v>
      </c>
      <c r="D1018" s="285">
        <v>21</v>
      </c>
      <c r="E1018" s="48">
        <f>VLOOKUP(B1018,'112年全品項生產鍋數'!A:H,3,0)</f>
        <v>3</v>
      </c>
      <c r="F1018" s="45">
        <f>VLOOKUP(B1018,'112年全品項生產鍋數'!A:H,7,0)</f>
        <v>30.8</v>
      </c>
      <c r="G1018" s="49">
        <f t="shared" si="108"/>
        <v>646.80000000000007</v>
      </c>
      <c r="H1018" s="144">
        <v>648</v>
      </c>
      <c r="I1018" s="111">
        <f t="shared" si="111"/>
        <v>1944</v>
      </c>
      <c r="J1018" s="50">
        <f t="shared" si="115"/>
        <v>1.0018552875695732</v>
      </c>
      <c r="K1018" s="51">
        <f>VLOOKUP(B:B,'生產達成率(目標)'!A:C,3,0)</f>
        <v>1</v>
      </c>
      <c r="L1018" s="20">
        <f t="shared" si="109"/>
        <v>2E-3</v>
      </c>
      <c r="M1018" s="41" t="str">
        <f>工時!R202</f>
        <v>570</v>
      </c>
      <c r="N1018" s="159"/>
      <c r="O1018" s="144">
        <f t="shared" si="114"/>
        <v>0</v>
      </c>
      <c r="P1018" s="144">
        <v>648</v>
      </c>
      <c r="Q1018" s="98">
        <f t="shared" si="113"/>
        <v>1</v>
      </c>
      <c r="R1018" s="23"/>
      <c r="S1018" s="173"/>
      <c r="T1018" s="30"/>
      <c r="U1018" s="23"/>
      <c r="V1018" s="458"/>
      <c r="W1018" s="421"/>
      <c r="X1018" s="458"/>
      <c r="Y1018" s="421"/>
      <c r="Z1018" s="421"/>
      <c r="AA1018" s="421"/>
      <c r="AB1018" s="421"/>
      <c r="AC1018" s="421"/>
      <c r="AD1018" s="421"/>
    </row>
    <row r="1019" spans="1:30" s="22" customFormat="1" x14ac:dyDescent="0.4">
      <c r="A1019" s="177" t="s">
        <v>865</v>
      </c>
      <c r="B1019" s="149" t="s">
        <v>65</v>
      </c>
      <c r="C1019" s="30" t="str">
        <f>VLOOKUP(B1019,'112年全品項生產鍋數'!A:H,2,0)</f>
        <v>＃1花生(1*2.8kg)</v>
      </c>
      <c r="D1019" s="285">
        <v>72</v>
      </c>
      <c r="E1019" s="48">
        <f>VLOOKUP(B1019,'112年全品項生產鍋數'!A:H,3,0)</f>
        <v>2.8</v>
      </c>
      <c r="F1019" s="45">
        <f>VLOOKUP(B1019,'112年全品項生產鍋數'!A:H,7,0)</f>
        <v>44.5</v>
      </c>
      <c r="G1019" s="49">
        <f t="shared" si="108"/>
        <v>3204</v>
      </c>
      <c r="H1019" s="144">
        <v>3239</v>
      </c>
      <c r="I1019" s="111">
        <f t="shared" si="111"/>
        <v>9069.1999999999989</v>
      </c>
      <c r="J1019" s="50">
        <f t="shared" si="115"/>
        <v>1.0109238451935081</v>
      </c>
      <c r="K1019" s="51">
        <f>VLOOKUP(B:B,'生產達成率(目標)'!A:C,3,0)</f>
        <v>1</v>
      </c>
      <c r="L1019" s="20">
        <f t="shared" si="109"/>
        <v>1.0999999999999999E-2</v>
      </c>
      <c r="M1019" s="41" t="str">
        <f>工時!R203</f>
        <v>660</v>
      </c>
      <c r="N1019" s="159"/>
      <c r="O1019" s="144">
        <f t="shared" si="114"/>
        <v>1</v>
      </c>
      <c r="P1019" s="144">
        <v>3238</v>
      </c>
      <c r="Q1019" s="98">
        <f t="shared" si="113"/>
        <v>0.9996912627354122</v>
      </c>
      <c r="R1019" s="23"/>
      <c r="S1019" s="173"/>
      <c r="T1019" s="30"/>
      <c r="U1019" s="23"/>
      <c r="V1019" s="458"/>
      <c r="W1019" s="421"/>
      <c r="X1019" s="458"/>
      <c r="Y1019" s="421"/>
      <c r="Z1019" s="421"/>
      <c r="AA1019" s="421"/>
      <c r="AB1019" s="421"/>
      <c r="AC1019" s="421"/>
      <c r="AD1019" s="421"/>
    </row>
    <row r="1020" spans="1:30" s="22" customFormat="1" x14ac:dyDescent="0.4">
      <c r="A1020" s="177" t="s">
        <v>866</v>
      </c>
      <c r="B1020" s="149" t="s">
        <v>71</v>
      </c>
      <c r="C1020" s="30" t="str">
        <f>VLOOKUP(B1020,'112年全品項生產鍋數'!A:H,2,0)</f>
        <v>＃1草莓(1*3.2kg)</v>
      </c>
      <c r="D1020" s="285">
        <v>72</v>
      </c>
      <c r="E1020" s="48">
        <f>VLOOKUP(B1020,'112年全品項生產鍋數'!A:H,3,0)</f>
        <v>3.2</v>
      </c>
      <c r="F1020" s="45">
        <f>VLOOKUP(B1020,'112年全品項生產鍋數'!A:H,7,0)</f>
        <v>46.8</v>
      </c>
      <c r="G1020" s="49">
        <f t="shared" si="108"/>
        <v>3369.6</v>
      </c>
      <c r="H1020" s="144">
        <v>3442</v>
      </c>
      <c r="I1020" s="111">
        <f t="shared" si="111"/>
        <v>11014.400000000001</v>
      </c>
      <c r="J1020" s="50">
        <f t="shared" si="115"/>
        <v>1.0214862298195633</v>
      </c>
      <c r="K1020" s="51">
        <f>VLOOKUP(B:B,'生產達成率(目標)'!A:C,3,0)</f>
        <v>1</v>
      </c>
      <c r="L1020" s="20">
        <f t="shared" si="109"/>
        <v>2.1000000000000001E-2</v>
      </c>
      <c r="M1020" s="41" t="str">
        <f>工時!R204</f>
        <v>540</v>
      </c>
      <c r="N1020" s="159"/>
      <c r="O1020" s="144">
        <f t="shared" si="114"/>
        <v>2</v>
      </c>
      <c r="P1020" s="144">
        <v>3440</v>
      </c>
      <c r="Q1020" s="98">
        <f t="shared" si="113"/>
        <v>0.99941894247530505</v>
      </c>
      <c r="R1020" s="23"/>
      <c r="S1020" s="173"/>
      <c r="T1020" s="30"/>
      <c r="U1020" s="23"/>
      <c r="V1020" s="458"/>
      <c r="W1020" s="421"/>
      <c r="X1020" s="458"/>
      <c r="Y1020" s="421"/>
      <c r="Z1020" s="421"/>
      <c r="AA1020" s="421"/>
      <c r="AB1020" s="421"/>
      <c r="AC1020" s="421"/>
      <c r="AD1020" s="421"/>
    </row>
    <row r="1021" spans="1:30" s="22" customFormat="1" x14ac:dyDescent="0.4">
      <c r="A1021" s="177" t="s">
        <v>866</v>
      </c>
      <c r="B1021" s="149" t="s">
        <v>55</v>
      </c>
      <c r="C1021" s="30" t="str">
        <f>VLOOKUP(B1021,'112年全品項生產鍋數'!A:H,2,0)</f>
        <v>天天開心草莓餡4.5KG</v>
      </c>
      <c r="D1021" s="285">
        <v>20</v>
      </c>
      <c r="E1021" s="48">
        <f>VLOOKUP(B1021,'112年全品項生產鍋數'!A:H,3,0)</f>
        <v>4.5</v>
      </c>
      <c r="F1021" s="45">
        <f>VLOOKUP(B1021,'112年全品項生產鍋數'!A:H,7,0)</f>
        <v>36.299999999999997</v>
      </c>
      <c r="G1021" s="49">
        <f t="shared" si="108"/>
        <v>726</v>
      </c>
      <c r="H1021" s="144">
        <v>722</v>
      </c>
      <c r="I1021" s="111">
        <f t="shared" si="111"/>
        <v>3249</v>
      </c>
      <c r="J1021" s="50">
        <f t="shared" si="115"/>
        <v>0.99449035812672182</v>
      </c>
      <c r="K1021" s="51">
        <f>VLOOKUP(B:B,'生產達成率(目標)'!A:C,3,0)</f>
        <v>1</v>
      </c>
      <c r="L1021" s="20">
        <f t="shared" si="109"/>
        <v>-6.0000000000000001E-3</v>
      </c>
      <c r="M1021" s="41" t="str">
        <f>工時!R205</f>
        <v>340</v>
      </c>
      <c r="N1021" s="159"/>
      <c r="O1021" s="144">
        <f t="shared" si="114"/>
        <v>0</v>
      </c>
      <c r="P1021" s="144">
        <v>722</v>
      </c>
      <c r="Q1021" s="98">
        <f t="shared" si="113"/>
        <v>1</v>
      </c>
      <c r="R1021" s="23"/>
      <c r="S1021" s="173"/>
      <c r="T1021" s="30"/>
      <c r="U1021" s="23"/>
      <c r="V1021" s="458"/>
      <c r="W1021" s="421"/>
      <c r="X1021" s="458"/>
      <c r="Y1021" s="421"/>
      <c r="Z1021" s="421"/>
      <c r="AA1021" s="421"/>
      <c r="AB1021" s="421"/>
      <c r="AC1021" s="421"/>
      <c r="AD1021" s="421"/>
    </row>
    <row r="1022" spans="1:30" s="22" customFormat="1" x14ac:dyDescent="0.4">
      <c r="A1022" s="177" t="s">
        <v>866</v>
      </c>
      <c r="B1022" s="149" t="s">
        <v>63</v>
      </c>
      <c r="C1022" s="30" t="str">
        <f>VLOOKUP(B1022,'112年全品項生產鍋數'!A:H,2,0)</f>
        <v>草莓蒟蒻餡(1*6kg)</v>
      </c>
      <c r="D1022" s="285">
        <v>24</v>
      </c>
      <c r="E1022" s="48">
        <f>VLOOKUP(B1022,'112年全品項生產鍋數'!A:H,3,0)</f>
        <v>6</v>
      </c>
      <c r="F1022" s="45">
        <f>VLOOKUP(B1022,'112年全品項生產鍋數'!A:H,7,0)</f>
        <v>25.7</v>
      </c>
      <c r="G1022" s="49">
        <f t="shared" si="108"/>
        <v>616.79999999999995</v>
      </c>
      <c r="H1022" s="144">
        <f>302+319</f>
        <v>621</v>
      </c>
      <c r="I1022" s="111">
        <f t="shared" si="111"/>
        <v>3726</v>
      </c>
      <c r="J1022" s="50">
        <f t="shared" si="115"/>
        <v>1.0068093385214008</v>
      </c>
      <c r="K1022" s="51">
        <f>VLOOKUP(B:B,'生產達成率(目標)'!A:C,3,0)</f>
        <v>1</v>
      </c>
      <c r="L1022" s="20">
        <f t="shared" si="109"/>
        <v>7.0000000000000001E-3</v>
      </c>
      <c r="M1022" s="41" t="str">
        <f>工時!R206</f>
        <v>300</v>
      </c>
      <c r="N1022" s="159"/>
      <c r="O1022" s="144">
        <f t="shared" si="114"/>
        <v>1</v>
      </c>
      <c r="P1022" s="144">
        <f>301+319</f>
        <v>620</v>
      </c>
      <c r="Q1022" s="98">
        <f t="shared" si="113"/>
        <v>0.99838969404186795</v>
      </c>
      <c r="R1022" s="23"/>
      <c r="S1022" s="173"/>
      <c r="T1022" s="30"/>
      <c r="U1022" s="23"/>
      <c r="V1022" s="458"/>
      <c r="W1022" s="421"/>
      <c r="X1022" s="458"/>
      <c r="Y1022" s="421"/>
      <c r="Z1022" s="421"/>
      <c r="AA1022" s="421"/>
      <c r="AB1022" s="421"/>
      <c r="AC1022" s="421"/>
      <c r="AD1022" s="421"/>
    </row>
    <row r="1023" spans="1:30" s="22" customFormat="1" x14ac:dyDescent="0.4">
      <c r="A1023" s="177" t="s">
        <v>866</v>
      </c>
      <c r="B1023" s="149" t="s">
        <v>65</v>
      </c>
      <c r="C1023" s="30" t="str">
        <f>VLOOKUP(B1023,'112年全品項生產鍋數'!A:H,2,0)</f>
        <v>＃1花生(1*2.8kg)</v>
      </c>
      <c r="D1023" s="285">
        <v>36</v>
      </c>
      <c r="E1023" s="48">
        <f>VLOOKUP(B1023,'112年全品項生產鍋數'!A:H,3,0)</f>
        <v>2.8</v>
      </c>
      <c r="F1023" s="45">
        <f>VLOOKUP(B1023,'112年全品項生產鍋數'!A:H,7,0)</f>
        <v>44.5</v>
      </c>
      <c r="G1023" s="49">
        <f t="shared" si="108"/>
        <v>1602</v>
      </c>
      <c r="H1023" s="144">
        <v>1612</v>
      </c>
      <c r="I1023" s="111">
        <f t="shared" si="111"/>
        <v>4513.5999999999995</v>
      </c>
      <c r="J1023" s="50">
        <f t="shared" si="115"/>
        <v>1.0062421972534332</v>
      </c>
      <c r="K1023" s="51">
        <f>VLOOKUP(B:B,'生產達成率(目標)'!A:C,3,0)</f>
        <v>1</v>
      </c>
      <c r="L1023" s="20">
        <f t="shared" si="109"/>
        <v>6.0000000000000001E-3</v>
      </c>
      <c r="M1023" s="41" t="str">
        <f>工時!R207</f>
        <v>390</v>
      </c>
      <c r="N1023" s="159"/>
      <c r="O1023" s="144">
        <f t="shared" si="114"/>
        <v>1</v>
      </c>
      <c r="P1023" s="144">
        <v>1611</v>
      </c>
      <c r="Q1023" s="98">
        <f t="shared" si="113"/>
        <v>0.99937965260545902</v>
      </c>
      <c r="R1023" s="23"/>
      <c r="S1023" s="173"/>
      <c r="T1023" s="30"/>
      <c r="U1023" s="23"/>
      <c r="V1023" s="458"/>
      <c r="W1023" s="421"/>
      <c r="X1023" s="458"/>
      <c r="Y1023" s="421"/>
      <c r="Z1023" s="421"/>
      <c r="AA1023" s="421"/>
      <c r="AB1023" s="421"/>
      <c r="AC1023" s="421"/>
      <c r="AD1023" s="421"/>
    </row>
    <row r="1024" spans="1:30" s="22" customFormat="1" x14ac:dyDescent="0.4">
      <c r="A1024" s="177" t="s">
        <v>866</v>
      </c>
      <c r="B1024" s="149" t="s">
        <v>58</v>
      </c>
      <c r="C1024" s="30" t="str">
        <f>VLOOKUP(B1024,'112年全品項生產鍋數'!A:H,2,0)</f>
        <v>PET大花生(1*400g)</v>
      </c>
      <c r="D1024" s="285">
        <v>20</v>
      </c>
      <c r="E1024" s="48">
        <f>VLOOKUP(B1024,'112年全品項生產鍋數'!A:H,3,0)</f>
        <v>0.4</v>
      </c>
      <c r="F1024" s="45">
        <f>VLOOKUP(B1024,'112年全品項生產鍋數'!A:H,7,0)</f>
        <v>309.2</v>
      </c>
      <c r="G1024" s="49">
        <f t="shared" si="108"/>
        <v>6184</v>
      </c>
      <c r="H1024" s="144">
        <v>6200</v>
      </c>
      <c r="I1024" s="111">
        <f t="shared" si="111"/>
        <v>2480</v>
      </c>
      <c r="J1024" s="50">
        <f t="shared" si="115"/>
        <v>1.0025873221216042</v>
      </c>
      <c r="K1024" s="51">
        <f>VLOOKUP(B:B,'生產達成率(目標)'!A:C,3,0)</f>
        <v>1</v>
      </c>
      <c r="L1024" s="20">
        <f t="shared" si="109"/>
        <v>3.0000000000000001E-3</v>
      </c>
      <c r="M1024" s="41" t="str">
        <f>工時!R208</f>
        <v>260</v>
      </c>
      <c r="N1024" s="159"/>
      <c r="O1024" s="144">
        <f t="shared" si="114"/>
        <v>3</v>
      </c>
      <c r="P1024" s="144">
        <v>6197</v>
      </c>
      <c r="Q1024" s="98">
        <f t="shared" si="113"/>
        <v>0.99951612903225806</v>
      </c>
      <c r="R1024" s="23"/>
      <c r="S1024" s="173"/>
      <c r="T1024" s="30"/>
      <c r="U1024" s="23"/>
      <c r="V1024" s="458"/>
      <c r="W1024" s="421"/>
      <c r="X1024" s="458"/>
      <c r="Y1024" s="421"/>
      <c r="Z1024" s="421"/>
      <c r="AA1024" s="421"/>
      <c r="AB1024" s="421"/>
      <c r="AC1024" s="421"/>
      <c r="AD1024" s="421"/>
    </row>
    <row r="1025" spans="1:30" s="22" customFormat="1" x14ac:dyDescent="0.4">
      <c r="A1025" s="177" t="s">
        <v>867</v>
      </c>
      <c r="B1025" s="149" t="s">
        <v>61</v>
      </c>
      <c r="C1025" s="30" t="str">
        <f>VLOOKUP(B1025,'112年全品項生產鍋數'!A:H,2,0)</f>
        <v>大圓草莓-新</v>
      </c>
      <c r="D1025" s="285">
        <v>40</v>
      </c>
      <c r="E1025" s="48">
        <f>VLOOKUP(B1025,'112年全品項生產鍋數'!A:H,3,0)</f>
        <v>0.44</v>
      </c>
      <c r="F1025" s="45">
        <f>VLOOKUP(B1025,'112年全品項生產鍋數'!A:H,7,0)</f>
        <v>344</v>
      </c>
      <c r="G1025" s="49">
        <f t="shared" si="108"/>
        <v>13760</v>
      </c>
      <c r="H1025" s="144">
        <v>14008</v>
      </c>
      <c r="I1025" s="111">
        <f t="shared" si="111"/>
        <v>6163.52</v>
      </c>
      <c r="J1025" s="50">
        <f t="shared" si="115"/>
        <v>1.0180232558139535</v>
      </c>
      <c r="K1025" s="51">
        <f>VLOOKUP(B:B,'生產達成率(目標)'!A:C,3,0)</f>
        <v>1</v>
      </c>
      <c r="L1025" s="20">
        <f t="shared" si="109"/>
        <v>1.7999999999999999E-2</v>
      </c>
      <c r="M1025" s="41" t="str">
        <f>工時!R209</f>
        <v>510</v>
      </c>
      <c r="N1025" s="159"/>
      <c r="O1025" s="144">
        <f t="shared" si="114"/>
        <v>12</v>
      </c>
      <c r="P1025" s="144">
        <v>13996</v>
      </c>
      <c r="Q1025" s="98">
        <f t="shared" si="113"/>
        <v>0.99914334665905202</v>
      </c>
      <c r="R1025" s="23"/>
      <c r="S1025" s="173"/>
      <c r="T1025" s="30"/>
      <c r="U1025" s="23"/>
      <c r="V1025" s="458"/>
      <c r="W1025" s="421"/>
      <c r="X1025" s="458"/>
      <c r="Y1025" s="421"/>
      <c r="Z1025" s="421"/>
      <c r="AA1025" s="421"/>
      <c r="AB1025" s="421"/>
      <c r="AC1025" s="421"/>
      <c r="AD1025" s="421"/>
    </row>
    <row r="1026" spans="1:30" s="22" customFormat="1" x14ac:dyDescent="0.4">
      <c r="A1026" s="177" t="s">
        <v>867</v>
      </c>
      <c r="B1026" s="149" t="s">
        <v>75</v>
      </c>
      <c r="C1026" s="30" t="str">
        <f>VLOOKUP(B1026,'112年全品項生產鍋數'!A:H,2,0)</f>
        <v>草莓椰果餡(1*6Kg)</v>
      </c>
      <c r="D1026" s="285">
        <v>20</v>
      </c>
      <c r="E1026" s="48">
        <f>VLOOKUP(B1026,'112年全品項生產鍋數'!A:H,3,0)</f>
        <v>6</v>
      </c>
      <c r="F1026" s="45">
        <f>VLOOKUP(B1026,'112年全品項生產鍋數'!A:H,7,0)</f>
        <v>26.4</v>
      </c>
      <c r="G1026" s="49">
        <f t="shared" ref="G1026:G1077" si="116">D1026*F1026</f>
        <v>528</v>
      </c>
      <c r="H1026" s="144">
        <v>524</v>
      </c>
      <c r="I1026" s="111">
        <f t="shared" si="111"/>
        <v>3144</v>
      </c>
      <c r="J1026" s="50">
        <f t="shared" si="115"/>
        <v>0.99242424242424243</v>
      </c>
      <c r="K1026" s="51">
        <f>VLOOKUP(B:B,'生產達成率(目標)'!A:C,3,0)</f>
        <v>1</v>
      </c>
      <c r="L1026" s="20">
        <f t="shared" si="109"/>
        <v>-8.0000000000000002E-3</v>
      </c>
      <c r="M1026" s="41" t="str">
        <f>工時!R210</f>
        <v>270</v>
      </c>
      <c r="N1026" s="159"/>
      <c r="O1026" s="144">
        <f t="shared" si="114"/>
        <v>2</v>
      </c>
      <c r="P1026" s="144">
        <v>522</v>
      </c>
      <c r="Q1026" s="98">
        <f t="shared" si="113"/>
        <v>0.99618320610687028</v>
      </c>
      <c r="R1026" s="23"/>
      <c r="S1026" s="173"/>
      <c r="T1026" s="30"/>
      <c r="U1026" s="23"/>
      <c r="V1026" s="458"/>
      <c r="W1026" s="421"/>
      <c r="X1026" s="458"/>
      <c r="Y1026" s="421"/>
      <c r="Z1026" s="421"/>
      <c r="AA1026" s="421"/>
      <c r="AB1026" s="421"/>
      <c r="AC1026" s="421"/>
      <c r="AD1026" s="421"/>
    </row>
    <row r="1027" spans="1:30" s="22" customFormat="1" x14ac:dyDescent="0.4">
      <c r="A1027" s="177" t="s">
        <v>867</v>
      </c>
      <c r="B1027" s="149" t="s">
        <v>63</v>
      </c>
      <c r="C1027" s="30" t="str">
        <f>VLOOKUP(B1027,'112年全品項生產鍋數'!A:H,2,0)</f>
        <v>草莓蒟蒻餡(1*6kg)</v>
      </c>
      <c r="D1027" s="285">
        <v>24</v>
      </c>
      <c r="E1027" s="48">
        <f>VLOOKUP(B1027,'112年全品項生產鍋數'!A:H,3,0)</f>
        <v>6</v>
      </c>
      <c r="F1027" s="45">
        <f>VLOOKUP(B1027,'112年全品項生產鍋數'!A:H,7,0)</f>
        <v>25.7</v>
      </c>
      <c r="G1027" s="49">
        <f t="shared" si="116"/>
        <v>616.79999999999995</v>
      </c>
      <c r="H1027" s="144">
        <f>303+318</f>
        <v>621</v>
      </c>
      <c r="I1027" s="111">
        <f t="shared" si="111"/>
        <v>3726</v>
      </c>
      <c r="J1027" s="50">
        <f t="shared" si="115"/>
        <v>1.0068093385214008</v>
      </c>
      <c r="K1027" s="51">
        <f>VLOOKUP(B:B,'生產達成率(目標)'!A:C,3,0)</f>
        <v>1</v>
      </c>
      <c r="L1027" s="20">
        <f t="shared" ref="L1027:L1090" si="117">IF(G1027=0,"無法預估數據",ROUND(J1027-K1027,3))</f>
        <v>7.0000000000000001E-3</v>
      </c>
      <c r="M1027" s="41" t="str">
        <f>工時!R211</f>
        <v>338</v>
      </c>
      <c r="N1027" s="159"/>
      <c r="O1027" s="144">
        <f t="shared" si="114"/>
        <v>2</v>
      </c>
      <c r="P1027" s="144">
        <f>302+317</f>
        <v>619</v>
      </c>
      <c r="Q1027" s="98">
        <f t="shared" si="113"/>
        <v>0.9967793880837359</v>
      </c>
      <c r="R1027" s="23"/>
      <c r="S1027" s="173"/>
      <c r="T1027" s="30"/>
      <c r="U1027" s="23"/>
      <c r="V1027" s="458"/>
      <c r="W1027" s="421"/>
      <c r="X1027" s="458"/>
      <c r="Y1027" s="421"/>
      <c r="Z1027" s="421"/>
      <c r="AA1027" s="421"/>
      <c r="AB1027" s="421"/>
      <c r="AC1027" s="421"/>
      <c r="AD1027" s="421"/>
    </row>
    <row r="1028" spans="1:30" s="22" customFormat="1" x14ac:dyDescent="0.4">
      <c r="A1028" s="177" t="s">
        <v>867</v>
      </c>
      <c r="B1028" s="149" t="s">
        <v>73</v>
      </c>
      <c r="C1028" s="30" t="str">
        <f>VLOOKUP(B1028,'112年全品項生產鍋數'!A:H,2,0)</f>
        <v>顆粒花生醬(1*12KG)</v>
      </c>
      <c r="D1028" s="285">
        <v>21</v>
      </c>
      <c r="E1028" s="48">
        <f>VLOOKUP(B1028,'112年全品項生產鍋數'!A:H,3,0)</f>
        <v>3</v>
      </c>
      <c r="F1028" s="45">
        <f>VLOOKUP(B1028,'112年全品項生產鍋數'!A:H,7,0)</f>
        <v>29.7</v>
      </c>
      <c r="G1028" s="49">
        <f t="shared" si="116"/>
        <v>623.69999999999993</v>
      </c>
      <c r="H1028" s="144">
        <v>632</v>
      </c>
      <c r="I1028" s="111">
        <f t="shared" si="111"/>
        <v>1896</v>
      </c>
      <c r="J1028" s="50">
        <f t="shared" si="115"/>
        <v>1.0133076799743468</v>
      </c>
      <c r="K1028" s="51">
        <f>VLOOKUP(B:B,'生產達成率(目標)'!A:C,3,0)</f>
        <v>1</v>
      </c>
      <c r="L1028" s="20">
        <f t="shared" si="117"/>
        <v>1.2999999999999999E-2</v>
      </c>
      <c r="M1028" s="41" t="str">
        <f>工時!R212</f>
        <v>540</v>
      </c>
      <c r="N1028" s="159"/>
      <c r="O1028" s="144">
        <f t="shared" si="114"/>
        <v>0</v>
      </c>
      <c r="P1028" s="144">
        <v>632</v>
      </c>
      <c r="Q1028" s="98">
        <f t="shared" si="113"/>
        <v>1</v>
      </c>
      <c r="R1028" s="23"/>
      <c r="S1028" s="173"/>
      <c r="T1028" s="30"/>
      <c r="U1028" s="23"/>
      <c r="V1028" s="458"/>
      <c r="W1028" s="421"/>
      <c r="X1028" s="458"/>
      <c r="Y1028" s="421"/>
      <c r="Z1028" s="421"/>
      <c r="AA1028" s="421"/>
      <c r="AB1028" s="421"/>
      <c r="AC1028" s="421"/>
      <c r="AD1028" s="421"/>
    </row>
    <row r="1029" spans="1:30" s="22" customFormat="1" x14ac:dyDescent="0.4">
      <c r="A1029" s="177" t="s">
        <v>868</v>
      </c>
      <c r="B1029" s="149" t="s">
        <v>71</v>
      </c>
      <c r="C1029" s="30" t="str">
        <f>VLOOKUP(B1029,'112年全品項生產鍋數'!A:H,2,0)</f>
        <v>＃1草莓(1*3.2kg)</v>
      </c>
      <c r="D1029" s="285">
        <v>72</v>
      </c>
      <c r="E1029" s="48">
        <f>VLOOKUP(B1029,'112年全品項生產鍋數'!A:H,3,0)</f>
        <v>3.2</v>
      </c>
      <c r="F1029" s="45">
        <f>VLOOKUP(B1029,'112年全品項生產鍋數'!A:H,7,0)</f>
        <v>46.8</v>
      </c>
      <c r="G1029" s="49">
        <f t="shared" si="116"/>
        <v>3369.6</v>
      </c>
      <c r="H1029" s="144">
        <v>3419</v>
      </c>
      <c r="I1029" s="23">
        <f t="shared" si="111"/>
        <v>10940.800000000001</v>
      </c>
      <c r="J1029" s="50">
        <f t="shared" si="115"/>
        <v>1.0146604938271606</v>
      </c>
      <c r="K1029" s="51">
        <f>VLOOKUP(B:B,'生產達成率(目標)'!A:C,3,0)</f>
        <v>1</v>
      </c>
      <c r="L1029" s="20">
        <f t="shared" si="117"/>
        <v>1.4999999999999999E-2</v>
      </c>
      <c r="M1029" s="41" t="str">
        <f>工時!R213</f>
        <v>540</v>
      </c>
      <c r="N1029" s="159"/>
      <c r="O1029" s="144">
        <f t="shared" si="114"/>
        <v>2</v>
      </c>
      <c r="P1029" s="144">
        <v>3417</v>
      </c>
      <c r="Q1029" s="98">
        <f t="shared" si="113"/>
        <v>0.99941503363556594</v>
      </c>
      <c r="R1029" s="23"/>
      <c r="S1029" s="173"/>
      <c r="T1029" s="30"/>
      <c r="U1029" s="23"/>
      <c r="V1029" s="458"/>
      <c r="W1029" s="421"/>
      <c r="X1029" s="458"/>
      <c r="Y1029" s="421"/>
      <c r="Z1029" s="421"/>
      <c r="AA1029" s="421"/>
      <c r="AB1029" s="421"/>
      <c r="AC1029" s="421"/>
      <c r="AD1029" s="421"/>
    </row>
    <row r="1030" spans="1:30" s="22" customFormat="1" x14ac:dyDescent="0.4">
      <c r="A1030" s="177" t="s">
        <v>868</v>
      </c>
      <c r="B1030" s="149" t="s">
        <v>116</v>
      </c>
      <c r="C1030" s="30" t="str">
        <f>VLOOKUP(B1030,'112年全品項生產鍋數'!A:H,2,0)</f>
        <v>藍莓餡（大）(1*9.08kg)</v>
      </c>
      <c r="D1030" s="285">
        <v>12</v>
      </c>
      <c r="E1030" s="48">
        <f>VLOOKUP(B1030,'112年全品項生產鍋數'!A:H,3,0)</f>
        <v>9.08</v>
      </c>
      <c r="F1030" s="45">
        <f>VLOOKUP(B1030,'112年全品項生產鍋數'!A:H,7,0)</f>
        <v>17.8</v>
      </c>
      <c r="G1030" s="49">
        <f t="shared" si="116"/>
        <v>213.60000000000002</v>
      </c>
      <c r="H1030" s="144">
        <v>209</v>
      </c>
      <c r="I1030" s="23">
        <f t="shared" si="111"/>
        <v>1897.72</v>
      </c>
      <c r="J1030" s="50">
        <f t="shared" si="115"/>
        <v>0.97846441947565532</v>
      </c>
      <c r="K1030" s="51">
        <f>VLOOKUP(B:B,'生產達成率(目標)'!A:C,3,0)</f>
        <v>1</v>
      </c>
      <c r="L1030" s="20">
        <f t="shared" si="117"/>
        <v>-2.1999999999999999E-2</v>
      </c>
      <c r="M1030" s="41" t="str">
        <f>工時!R214</f>
        <v>210</v>
      </c>
      <c r="N1030" s="159"/>
      <c r="O1030" s="144">
        <f t="shared" si="114"/>
        <v>0</v>
      </c>
      <c r="P1030" s="144">
        <v>209</v>
      </c>
      <c r="Q1030" s="98">
        <f t="shared" si="113"/>
        <v>1</v>
      </c>
      <c r="R1030" s="23"/>
      <c r="S1030" s="173"/>
      <c r="T1030" s="30"/>
      <c r="U1030" s="23"/>
      <c r="V1030" s="458"/>
      <c r="W1030" s="421"/>
      <c r="X1030" s="458"/>
      <c r="Y1030" s="421"/>
      <c r="Z1030" s="421"/>
      <c r="AA1030" s="421"/>
      <c r="AB1030" s="421"/>
      <c r="AC1030" s="421"/>
      <c r="AD1030" s="421"/>
    </row>
    <row r="1031" spans="1:30" s="22" customFormat="1" x14ac:dyDescent="0.4">
      <c r="A1031" s="177" t="s">
        <v>868</v>
      </c>
      <c r="B1031" s="149" t="s">
        <v>41</v>
      </c>
      <c r="C1031" s="30" t="str">
        <f>VLOOKUP(B1031,'112年全品項生產鍋數'!A:H,2,0)</f>
        <v>天天開心藍莓餡4.5KG</v>
      </c>
      <c r="D1031" s="285">
        <v>8</v>
      </c>
      <c r="E1031" s="48">
        <f>VLOOKUP(B1031,'112年全品項生產鍋數'!A:H,3,0)</f>
        <v>4.5</v>
      </c>
      <c r="F1031" s="45">
        <f>VLOOKUP(B1031,'112年全品項生產鍋數'!A:H,7,0)</f>
        <v>36.799999999999997</v>
      </c>
      <c r="G1031" s="49">
        <f t="shared" si="116"/>
        <v>294.39999999999998</v>
      </c>
      <c r="H1031" s="144">
        <v>295</v>
      </c>
      <c r="I1031" s="23">
        <f t="shared" si="111"/>
        <v>1327.5</v>
      </c>
      <c r="J1031" s="50">
        <f t="shared" si="115"/>
        <v>1.002038043478261</v>
      </c>
      <c r="K1031" s="51">
        <f>VLOOKUP(B:B,'生產達成率(目標)'!A:C,3,0)</f>
        <v>1</v>
      </c>
      <c r="L1031" s="20">
        <f t="shared" si="117"/>
        <v>2E-3</v>
      </c>
      <c r="M1031" s="41" t="str">
        <f>工時!R215</f>
        <v>170</v>
      </c>
      <c r="N1031" s="159"/>
      <c r="O1031" s="144">
        <f t="shared" si="114"/>
        <v>0</v>
      </c>
      <c r="P1031" s="144">
        <v>295</v>
      </c>
      <c r="Q1031" s="98">
        <f t="shared" si="113"/>
        <v>1</v>
      </c>
      <c r="R1031" s="23"/>
      <c r="S1031" s="173"/>
      <c r="T1031" s="30" t="s">
        <v>618</v>
      </c>
      <c r="U1031" s="23"/>
      <c r="V1031" s="458"/>
      <c r="W1031" s="421"/>
      <c r="X1031" s="458"/>
      <c r="Y1031" s="421"/>
      <c r="Z1031" s="421"/>
      <c r="AA1031" s="421"/>
      <c r="AB1031" s="421"/>
      <c r="AC1031" s="421"/>
      <c r="AD1031" s="421"/>
    </row>
    <row r="1032" spans="1:30" s="22" customFormat="1" x14ac:dyDescent="0.4">
      <c r="A1032" s="177" t="s">
        <v>868</v>
      </c>
      <c r="B1032" s="149" t="s">
        <v>107</v>
      </c>
      <c r="C1032" s="30" t="str">
        <f>VLOOKUP(B1032,'112年全品項生產鍋數'!A:H,2,0)</f>
        <v>藍莓餡(1*6kg)</v>
      </c>
      <c r="D1032" s="285">
        <v>24</v>
      </c>
      <c r="E1032" s="48">
        <f>VLOOKUP(B1032,'112年全品項生產鍋數'!A:H,3,0)</f>
        <v>6</v>
      </c>
      <c r="F1032" s="45">
        <f>VLOOKUP(B1032,'112年全品項生產鍋數'!A:H,7,0)</f>
        <v>26.4</v>
      </c>
      <c r="G1032" s="49">
        <f t="shared" si="116"/>
        <v>633.59999999999991</v>
      </c>
      <c r="H1032" s="144">
        <v>642</v>
      </c>
      <c r="I1032" s="111">
        <f t="shared" si="111"/>
        <v>3852</v>
      </c>
      <c r="J1032" s="50">
        <f t="shared" si="115"/>
        <v>1.0132575757575759</v>
      </c>
      <c r="K1032" s="51">
        <f>VLOOKUP(B:B,'生產達成率(目標)'!A:C,3,0)</f>
        <v>1</v>
      </c>
      <c r="L1032" s="20">
        <f t="shared" si="117"/>
        <v>1.2999999999999999E-2</v>
      </c>
      <c r="M1032" s="41" t="str">
        <f>工時!R216</f>
        <v>300</v>
      </c>
      <c r="N1032" s="159"/>
      <c r="O1032" s="144">
        <f t="shared" si="114"/>
        <v>1</v>
      </c>
      <c r="P1032" s="144">
        <v>641</v>
      </c>
      <c r="Q1032" s="98">
        <f t="shared" si="113"/>
        <v>0.99844236760124616</v>
      </c>
      <c r="R1032" s="23"/>
      <c r="S1032" s="173"/>
      <c r="T1032" s="30" t="s">
        <v>619</v>
      </c>
      <c r="U1032" s="23"/>
      <c r="V1032" s="458"/>
      <c r="W1032" s="421"/>
      <c r="X1032" s="458"/>
      <c r="Y1032" s="421"/>
      <c r="Z1032" s="421"/>
      <c r="AA1032" s="421"/>
      <c r="AB1032" s="421"/>
      <c r="AC1032" s="421"/>
      <c r="AD1032" s="421"/>
    </row>
    <row r="1033" spans="1:30" s="22" customFormat="1" x14ac:dyDescent="0.4">
      <c r="A1033" s="177" t="s">
        <v>868</v>
      </c>
      <c r="B1033" s="151" t="s">
        <v>18</v>
      </c>
      <c r="C1033" s="30" t="str">
        <f>VLOOKUP(B1033,'112年全品項生產鍋數'!A:H,2,0)</f>
        <v>PET瓶花生(粒)(1*340g)</v>
      </c>
      <c r="D1033" s="285">
        <v>16</v>
      </c>
      <c r="E1033" s="48">
        <f>VLOOKUP(B1033,'112年全品項生產鍋數'!A:H,3,0)</f>
        <v>0.34</v>
      </c>
      <c r="F1033" s="45">
        <f>VLOOKUP(B1033,'112年全品項生產鍋數'!A:H,7,0)</f>
        <v>366</v>
      </c>
      <c r="G1033" s="49">
        <f t="shared" si="116"/>
        <v>5856</v>
      </c>
      <c r="H1033" s="144">
        <f>3518+2402</f>
        <v>5920</v>
      </c>
      <c r="I1033" s="23">
        <f t="shared" si="111"/>
        <v>2012.8000000000002</v>
      </c>
      <c r="J1033" s="50">
        <f t="shared" si="115"/>
        <v>1.0109289617486339</v>
      </c>
      <c r="K1033" s="51">
        <f>VLOOKUP(B:B,'生產達成率(目標)'!A:C,3,0)</f>
        <v>1</v>
      </c>
      <c r="L1033" s="20">
        <f t="shared" si="117"/>
        <v>1.0999999999999999E-2</v>
      </c>
      <c r="M1033" s="41" t="str">
        <f>工時!R217</f>
        <v>540</v>
      </c>
      <c r="N1033" s="159"/>
      <c r="O1033" s="144">
        <f t="shared" si="114"/>
        <v>5</v>
      </c>
      <c r="P1033" s="144">
        <f>3515+2400</f>
        <v>5915</v>
      </c>
      <c r="Q1033" s="98">
        <f t="shared" si="113"/>
        <v>0.99915540540540537</v>
      </c>
      <c r="R1033" s="23"/>
      <c r="S1033" s="173">
        <v>72</v>
      </c>
      <c r="T1033" s="30" t="s">
        <v>922</v>
      </c>
      <c r="U1033" s="23"/>
      <c r="V1033" s="458"/>
      <c r="W1033" s="421"/>
      <c r="X1033" s="458"/>
      <c r="Y1033" s="421"/>
      <c r="Z1033" s="421"/>
      <c r="AA1033" s="421"/>
      <c r="AB1033" s="421"/>
      <c r="AC1033" s="421"/>
      <c r="AD1033" s="421"/>
    </row>
    <row r="1034" spans="1:30" s="22" customFormat="1" x14ac:dyDescent="0.4">
      <c r="A1034" s="177" t="s">
        <v>868</v>
      </c>
      <c r="B1034" s="149" t="s">
        <v>82</v>
      </c>
      <c r="C1034" s="30" t="str">
        <f>VLOOKUP(B1034,'112年全品項生產鍋數'!A:H,2,0)</f>
        <v>顆粒花生醬(全)</v>
      </c>
      <c r="D1034" s="285">
        <v>20</v>
      </c>
      <c r="E1034" s="48">
        <f>VLOOKUP(B1034,'112年全品項生產鍋數'!A:H,3,0)</f>
        <v>0.34</v>
      </c>
      <c r="F1034" s="45">
        <f>VLOOKUP(B1034,'112年全品項生產鍋數'!A:H,7,0)</f>
        <v>364.6</v>
      </c>
      <c r="G1034" s="49">
        <f t="shared" si="116"/>
        <v>7292</v>
      </c>
      <c r="H1034" s="144">
        <v>7391</v>
      </c>
      <c r="I1034" s="23">
        <f t="shared" si="111"/>
        <v>2512.94</v>
      </c>
      <c r="J1034" s="50">
        <f t="shared" si="115"/>
        <v>1.0135765222161273</v>
      </c>
      <c r="K1034" s="51">
        <f>VLOOKUP(B:B,'生產達成率(目標)'!A:C,3,0)</f>
        <v>1</v>
      </c>
      <c r="L1034" s="20">
        <f t="shared" si="117"/>
        <v>1.4E-2</v>
      </c>
      <c r="M1034" s="41" t="str">
        <f>工時!R218</f>
        <v>540</v>
      </c>
      <c r="N1034" s="159"/>
      <c r="O1034" s="144">
        <f t="shared" si="114"/>
        <v>3</v>
      </c>
      <c r="P1034" s="144">
        <v>7388</v>
      </c>
      <c r="Q1034" s="98">
        <f t="shared" si="113"/>
        <v>0.99959410093356782</v>
      </c>
      <c r="R1034" s="23"/>
      <c r="S1034" s="173">
        <v>90</v>
      </c>
      <c r="T1034" s="30" t="s">
        <v>921</v>
      </c>
      <c r="U1034" s="23"/>
      <c r="V1034" s="458"/>
      <c r="W1034" s="421"/>
      <c r="X1034" s="458"/>
      <c r="Y1034" s="421"/>
      <c r="Z1034" s="421"/>
      <c r="AA1034" s="421"/>
      <c r="AB1034" s="421"/>
      <c r="AC1034" s="421"/>
      <c r="AD1034" s="421"/>
    </row>
    <row r="1035" spans="1:30" s="22" customFormat="1" x14ac:dyDescent="0.4">
      <c r="A1035" s="177" t="s">
        <v>869</v>
      </c>
      <c r="B1035" s="149" t="s">
        <v>36</v>
      </c>
      <c r="C1035" s="30" t="str">
        <f>VLOOKUP(B1035,'112年全品項生產鍋數'!A:H,2,0)</f>
        <v>開心草莓果醬(1*430g)</v>
      </c>
      <c r="D1035" s="285">
        <v>15</v>
      </c>
      <c r="E1035" s="48">
        <f>VLOOKUP(B1035,'112年全品項生產鍋數'!A:H,3,0)</f>
        <v>0.43</v>
      </c>
      <c r="F1035" s="45">
        <f>VLOOKUP(B1035,'112年全品項生產鍋數'!A:H,7,0)</f>
        <v>364</v>
      </c>
      <c r="G1035" s="49">
        <f t="shared" si="116"/>
        <v>5460</v>
      </c>
      <c r="H1035" s="144">
        <v>5599</v>
      </c>
      <c r="I1035" s="23">
        <f t="shared" si="111"/>
        <v>2407.5700000000002</v>
      </c>
      <c r="J1035" s="50">
        <f t="shared" si="115"/>
        <v>1.0254578754578754</v>
      </c>
      <c r="K1035" s="51">
        <f>VLOOKUP(B:B,'生產達成率(目標)'!A:C,3,0)</f>
        <v>1</v>
      </c>
      <c r="L1035" s="20">
        <f t="shared" si="117"/>
        <v>2.5000000000000001E-2</v>
      </c>
      <c r="M1035" s="41" t="str">
        <f>工時!R219</f>
        <v>330</v>
      </c>
      <c r="N1035" s="159"/>
      <c r="O1035" s="144">
        <f t="shared" si="114"/>
        <v>26</v>
      </c>
      <c r="P1035" s="144">
        <v>5573</v>
      </c>
      <c r="Q1035" s="98">
        <f t="shared" si="113"/>
        <v>0.99535631362743349</v>
      </c>
      <c r="R1035" s="23"/>
      <c r="S1035" s="173"/>
      <c r="T1035" s="30"/>
      <c r="U1035" s="23"/>
      <c r="V1035" s="458"/>
      <c r="W1035" s="421"/>
      <c r="X1035" s="458"/>
      <c r="Y1035" s="421"/>
      <c r="Z1035" s="421"/>
      <c r="AA1035" s="421"/>
      <c r="AB1035" s="421"/>
      <c r="AC1035" s="421"/>
      <c r="AD1035" s="421"/>
    </row>
    <row r="1036" spans="1:30" s="22" customFormat="1" x14ac:dyDescent="0.4">
      <c r="A1036" s="177" t="s">
        <v>869</v>
      </c>
      <c r="B1036" s="149" t="s">
        <v>106</v>
      </c>
      <c r="C1036" s="30" t="str">
        <f>VLOOKUP(B1036,'112年全品項生產鍋數'!A:H,2,0)</f>
        <v>小藍莓1*260G</v>
      </c>
      <c r="D1036" s="285">
        <v>16</v>
      </c>
      <c r="E1036" s="48">
        <f>VLOOKUP(B1036,'112年全品項生產鍋數'!A:H,3,0)</f>
        <v>0.26</v>
      </c>
      <c r="F1036" s="45">
        <f>VLOOKUP(B1036,'112年全品項生產鍋數'!A:H,7,0)</f>
        <v>584.29999999999995</v>
      </c>
      <c r="G1036" s="49">
        <f t="shared" si="116"/>
        <v>9348.7999999999993</v>
      </c>
      <c r="H1036" s="144">
        <v>9485</v>
      </c>
      <c r="I1036" s="23">
        <f t="shared" si="111"/>
        <v>2466.1</v>
      </c>
      <c r="J1036" s="50">
        <f t="shared" si="115"/>
        <v>1.014568714701352</v>
      </c>
      <c r="K1036" s="51">
        <f>VLOOKUP(B:B,'生產達成率(目標)'!A:C,3,0)</f>
        <v>1</v>
      </c>
      <c r="L1036" s="20">
        <f t="shared" si="117"/>
        <v>1.4999999999999999E-2</v>
      </c>
      <c r="M1036" s="41" t="str">
        <f>工時!R220</f>
        <v>300</v>
      </c>
      <c r="N1036" s="159"/>
      <c r="O1036" s="144">
        <f t="shared" si="114"/>
        <v>13</v>
      </c>
      <c r="P1036" s="144">
        <v>9472</v>
      </c>
      <c r="Q1036" s="98">
        <f t="shared" si="113"/>
        <v>0.99862941486557721</v>
      </c>
      <c r="R1036" s="23"/>
      <c r="S1036" s="173"/>
      <c r="T1036" s="30"/>
      <c r="U1036" s="23"/>
      <c r="V1036" s="458"/>
      <c r="W1036" s="421"/>
      <c r="X1036" s="458"/>
      <c r="Y1036" s="421"/>
      <c r="Z1036" s="421"/>
      <c r="AA1036" s="421"/>
      <c r="AB1036" s="421"/>
      <c r="AC1036" s="421"/>
      <c r="AD1036" s="421"/>
    </row>
    <row r="1037" spans="1:30" s="22" customFormat="1" x14ac:dyDescent="0.4">
      <c r="A1037" s="177" t="s">
        <v>869</v>
      </c>
      <c r="B1037" s="149" t="s">
        <v>63</v>
      </c>
      <c r="C1037" s="30" t="str">
        <f>VLOOKUP(B1037,'112年全品項生產鍋數'!A:H,2,0)</f>
        <v>草莓蒟蒻餡(1*6kg)</v>
      </c>
      <c r="D1037" s="285">
        <v>20</v>
      </c>
      <c r="E1037" s="48">
        <f>VLOOKUP(B1037,'112年全品項生產鍋數'!A:H,3,0)</f>
        <v>6</v>
      </c>
      <c r="F1037" s="45">
        <f>VLOOKUP(B1037,'112年全品項生產鍋數'!A:H,7,0)</f>
        <v>25.7</v>
      </c>
      <c r="G1037" s="49">
        <f t="shared" si="116"/>
        <v>514</v>
      </c>
      <c r="H1037" s="144">
        <f>302+214</f>
        <v>516</v>
      </c>
      <c r="I1037" s="23">
        <f t="shared" si="111"/>
        <v>3096</v>
      </c>
      <c r="J1037" s="50">
        <f t="shared" si="115"/>
        <v>1.0038910505836576</v>
      </c>
      <c r="K1037" s="51">
        <f>VLOOKUP(B:B,'生產達成率(目標)'!A:C,3,0)</f>
        <v>1</v>
      </c>
      <c r="L1037" s="20">
        <f t="shared" si="117"/>
        <v>4.0000000000000001E-3</v>
      </c>
      <c r="M1037" s="41" t="str">
        <f>工時!R221</f>
        <v>300</v>
      </c>
      <c r="N1037" s="159"/>
      <c r="O1037" s="144">
        <f t="shared" si="114"/>
        <v>1</v>
      </c>
      <c r="P1037" s="144">
        <f>301+214</f>
        <v>515</v>
      </c>
      <c r="Q1037" s="98">
        <f t="shared" si="113"/>
        <v>0.99806201550387597</v>
      </c>
      <c r="R1037" s="23"/>
      <c r="S1037" s="173"/>
      <c r="T1037" s="30"/>
      <c r="U1037" s="23"/>
      <c r="V1037" s="458"/>
      <c r="W1037" s="421"/>
      <c r="X1037" s="458"/>
      <c r="Y1037" s="421"/>
      <c r="Z1037" s="421"/>
      <c r="AA1037" s="421"/>
      <c r="AB1037" s="421"/>
      <c r="AC1037" s="421"/>
      <c r="AD1037" s="421"/>
    </row>
    <row r="1038" spans="1:30" s="22" customFormat="1" x14ac:dyDescent="0.4">
      <c r="A1038" s="177" t="s">
        <v>869</v>
      </c>
      <c r="B1038" s="149" t="s">
        <v>81</v>
      </c>
      <c r="C1038" s="30" t="str">
        <f>VLOOKUP(B1038,'112年全品項生產鍋數'!A:H,2,0)</f>
        <v>藍莓餡(1*6Kg)</v>
      </c>
      <c r="D1038" s="285">
        <v>12</v>
      </c>
      <c r="E1038" s="48">
        <f>VLOOKUP(B1038,'112年全品項生產鍋數'!A:H,3,0)</f>
        <v>6</v>
      </c>
      <c r="F1038" s="45">
        <f>VLOOKUP(B1038,'112年全品項生產鍋數'!A:H,7,0)</f>
        <v>25.1</v>
      </c>
      <c r="G1038" s="49">
        <f t="shared" si="116"/>
        <v>301.20000000000005</v>
      </c>
      <c r="H1038" s="144">
        <v>303</v>
      </c>
      <c r="I1038" s="23">
        <f t="shared" si="111"/>
        <v>1818</v>
      </c>
      <c r="J1038" s="50">
        <f t="shared" si="115"/>
        <v>1.0059760956175297</v>
      </c>
      <c r="K1038" s="51">
        <f>VLOOKUP(B:B,'生產達成率(目標)'!A:C,3,0)</f>
        <v>1</v>
      </c>
      <c r="L1038" s="20">
        <f t="shared" si="117"/>
        <v>6.0000000000000001E-3</v>
      </c>
      <c r="M1038" s="41" t="str">
        <f>工時!R222</f>
        <v>260</v>
      </c>
      <c r="N1038" s="159"/>
      <c r="O1038" s="144">
        <f t="shared" si="114"/>
        <v>1</v>
      </c>
      <c r="P1038" s="144">
        <v>302</v>
      </c>
      <c r="Q1038" s="98">
        <f t="shared" si="113"/>
        <v>0.99669966996699666</v>
      </c>
      <c r="R1038" s="23"/>
      <c r="S1038" s="173"/>
      <c r="T1038" s="30"/>
      <c r="U1038" s="23"/>
      <c r="V1038" s="458"/>
      <c r="W1038" s="421"/>
      <c r="X1038" s="458"/>
      <c r="Y1038" s="421"/>
      <c r="Z1038" s="421"/>
      <c r="AA1038" s="421"/>
      <c r="AB1038" s="421"/>
      <c r="AC1038" s="421"/>
      <c r="AD1038" s="421"/>
    </row>
    <row r="1039" spans="1:30" s="22" customFormat="1" x14ac:dyDescent="0.4">
      <c r="A1039" s="177" t="s">
        <v>869</v>
      </c>
      <c r="B1039" s="149" t="s">
        <v>571</v>
      </c>
      <c r="C1039" s="30" t="str">
        <f>VLOOKUP(B1039,'112年全品項生產鍋數'!A:H,2,0)</f>
        <v>綜合莓果餡(1*6Kg)</v>
      </c>
      <c r="D1039" s="285">
        <v>8</v>
      </c>
      <c r="E1039" s="48">
        <f>VLOOKUP(B1039,'112年全品項生產鍋數'!A:H,3,0)</f>
        <v>6</v>
      </c>
      <c r="F1039" s="45">
        <f>VLOOKUP(B1039,'112年全品項生產鍋數'!A:H,7,0)</f>
        <v>26</v>
      </c>
      <c r="G1039" s="49">
        <f t="shared" si="116"/>
        <v>208</v>
      </c>
      <c r="H1039" s="144">
        <v>207</v>
      </c>
      <c r="I1039" s="111">
        <f t="shared" si="111"/>
        <v>1242</v>
      </c>
      <c r="J1039" s="50">
        <f t="shared" si="115"/>
        <v>0.99519230769230771</v>
      </c>
      <c r="K1039" s="51">
        <f>VLOOKUP(B:B,'生產達成率(目標)'!A:C,3,0)</f>
        <v>1</v>
      </c>
      <c r="L1039" s="20">
        <f t="shared" si="117"/>
        <v>-5.0000000000000001E-3</v>
      </c>
      <c r="M1039" s="41" t="str">
        <f>工時!R223</f>
        <v>182</v>
      </c>
      <c r="N1039" s="159"/>
      <c r="O1039" s="144">
        <f t="shared" si="114"/>
        <v>1</v>
      </c>
      <c r="P1039" s="144">
        <v>206</v>
      </c>
      <c r="Q1039" s="98">
        <f t="shared" si="113"/>
        <v>0.99516908212560384</v>
      </c>
      <c r="R1039" s="23"/>
      <c r="S1039" s="173"/>
      <c r="T1039" s="30"/>
      <c r="U1039" s="23"/>
      <c r="V1039" s="458"/>
      <c r="W1039" s="421"/>
      <c r="X1039" s="458"/>
      <c r="Y1039" s="421"/>
      <c r="Z1039" s="421"/>
      <c r="AA1039" s="421"/>
      <c r="AB1039" s="421"/>
      <c r="AC1039" s="421"/>
      <c r="AD1039" s="421"/>
    </row>
    <row r="1040" spans="1:30" s="22" customFormat="1" x14ac:dyDescent="0.4">
      <c r="A1040" s="177" t="s">
        <v>869</v>
      </c>
      <c r="B1040" s="149" t="s">
        <v>123</v>
      </c>
      <c r="C1040" s="30" t="str">
        <f>VLOOKUP(B1040,'112年全品項生產鍋數'!A:H,2,0)</f>
        <v>深烤焙花生醬(1*18KG)</v>
      </c>
      <c r="D1040" s="285">
        <v>60</v>
      </c>
      <c r="E1040" s="48">
        <f>VLOOKUP(B1040,'112年全品項生產鍋數'!A:H,3,0)</f>
        <v>18</v>
      </c>
      <c r="F1040" s="45">
        <f>VLOOKUP(B1040,'112年全品項生產鍋數'!A:H,7,0)</f>
        <v>6.9</v>
      </c>
      <c r="G1040" s="49">
        <f t="shared" si="116"/>
        <v>414</v>
      </c>
      <c r="H1040" s="144">
        <v>409</v>
      </c>
      <c r="I1040" s="111">
        <f t="shared" si="111"/>
        <v>7362</v>
      </c>
      <c r="J1040" s="50">
        <f t="shared" si="115"/>
        <v>0.98792270531400961</v>
      </c>
      <c r="K1040" s="51">
        <f>VLOOKUP(B:B,'生產達成率(目標)'!A:C,3,0)</f>
        <v>1</v>
      </c>
      <c r="L1040" s="20">
        <f t="shared" si="117"/>
        <v>-1.2E-2</v>
      </c>
      <c r="M1040" s="41" t="str">
        <f>工時!R224</f>
        <v>570</v>
      </c>
      <c r="N1040" s="159"/>
      <c r="O1040" s="144">
        <f t="shared" si="114"/>
        <v>0</v>
      </c>
      <c r="P1040" s="144">
        <v>409</v>
      </c>
      <c r="Q1040" s="98">
        <f t="shared" si="113"/>
        <v>1</v>
      </c>
      <c r="R1040" s="23"/>
      <c r="S1040" s="173"/>
      <c r="T1040" s="30"/>
      <c r="U1040" s="23"/>
      <c r="V1040" s="458"/>
      <c r="W1040" s="421"/>
      <c r="X1040" s="458"/>
      <c r="Y1040" s="421"/>
      <c r="Z1040" s="421"/>
      <c r="AA1040" s="421"/>
      <c r="AB1040" s="421"/>
      <c r="AC1040" s="421"/>
      <c r="AD1040" s="421"/>
    </row>
    <row r="1041" spans="1:30" s="22" customFormat="1" x14ac:dyDescent="0.4">
      <c r="A1041" s="177" t="s">
        <v>870</v>
      </c>
      <c r="B1041" s="149" t="s">
        <v>72</v>
      </c>
      <c r="C1041" s="30" t="str">
        <f>VLOOKUP(B1041,'112年全品項生產鍋數'!A:H,2,0)</f>
        <v>草莓餡45%(1*6Kg)</v>
      </c>
      <c r="D1041" s="285">
        <v>20</v>
      </c>
      <c r="E1041" s="48">
        <f>VLOOKUP(B1041,'112年全品項生產鍋數'!A:H,3,0)</f>
        <v>6</v>
      </c>
      <c r="F1041" s="45">
        <f>VLOOKUP(B1041,'112年全品項生產鍋數'!A:H,7,0)</f>
        <v>26.1</v>
      </c>
      <c r="G1041" s="49">
        <f t="shared" si="116"/>
        <v>522</v>
      </c>
      <c r="H1041" s="144">
        <v>525</v>
      </c>
      <c r="I1041" s="111">
        <f t="shared" si="111"/>
        <v>3150</v>
      </c>
      <c r="J1041" s="50">
        <f t="shared" si="115"/>
        <v>1.0057471264367817</v>
      </c>
      <c r="K1041" s="51">
        <f>VLOOKUP(B:B,'生產達成率(目標)'!A:C,3,0)</f>
        <v>1</v>
      </c>
      <c r="L1041" s="20">
        <f t="shared" si="117"/>
        <v>6.0000000000000001E-3</v>
      </c>
      <c r="M1041" s="41" t="str">
        <f>工時!R225</f>
        <v>300</v>
      </c>
      <c r="N1041" s="159"/>
      <c r="O1041" s="144">
        <f t="shared" si="114"/>
        <v>2</v>
      </c>
      <c r="P1041" s="144">
        <v>523</v>
      </c>
      <c r="Q1041" s="98">
        <f t="shared" si="113"/>
        <v>0.99619047619047618</v>
      </c>
      <c r="R1041" s="23"/>
      <c r="S1041" s="173"/>
      <c r="T1041" s="30"/>
      <c r="U1041" s="23"/>
      <c r="V1041" s="458"/>
      <c r="W1041" s="421"/>
      <c r="X1041" s="458"/>
      <c r="Y1041" s="421"/>
      <c r="Z1041" s="421"/>
      <c r="AA1041" s="421"/>
      <c r="AB1041" s="421"/>
      <c r="AC1041" s="421"/>
      <c r="AD1041" s="421"/>
    </row>
    <row r="1042" spans="1:30" s="22" customFormat="1" x14ac:dyDescent="0.4">
      <c r="A1042" s="177" t="s">
        <v>870</v>
      </c>
      <c r="B1042" s="149" t="s">
        <v>108</v>
      </c>
      <c r="C1042" s="30" t="str">
        <f>VLOOKUP(B1042,'112年全品項生產鍋數'!A:H,2,0)</f>
        <v>顆粒花生醬(1*12KG)</v>
      </c>
      <c r="D1042" s="285">
        <v>21</v>
      </c>
      <c r="E1042" s="48">
        <f>VLOOKUP(B1042,'112年全品項生產鍋數'!A:H,3,0)</f>
        <v>3</v>
      </c>
      <c r="F1042" s="45">
        <f>VLOOKUP(B1042,'112年全品項生產鍋數'!A:H,7,0)</f>
        <v>31.6</v>
      </c>
      <c r="G1042" s="49">
        <f t="shared" si="116"/>
        <v>663.6</v>
      </c>
      <c r="H1042" s="144">
        <v>668</v>
      </c>
      <c r="I1042" s="111">
        <f t="shared" si="111"/>
        <v>2004</v>
      </c>
      <c r="J1042" s="50">
        <f t="shared" si="115"/>
        <v>1.0066305003013862</v>
      </c>
      <c r="K1042" s="51">
        <f>VLOOKUP(B:B,'生產達成率(目標)'!A:C,3,0)</f>
        <v>1</v>
      </c>
      <c r="L1042" s="20">
        <f t="shared" si="117"/>
        <v>7.0000000000000001E-3</v>
      </c>
      <c r="M1042" s="41" t="str">
        <f>工時!R226</f>
        <v>600</v>
      </c>
      <c r="N1042" s="159"/>
      <c r="O1042" s="144">
        <f t="shared" si="114"/>
        <v>0</v>
      </c>
      <c r="P1042" s="144">
        <v>668</v>
      </c>
      <c r="Q1042" s="98">
        <f t="shared" si="113"/>
        <v>1</v>
      </c>
      <c r="R1042" s="23"/>
      <c r="S1042" s="173"/>
      <c r="T1042" s="30"/>
      <c r="U1042" s="23"/>
      <c r="V1042" s="458"/>
      <c r="W1042" s="421"/>
      <c r="X1042" s="458"/>
      <c r="Y1042" s="421"/>
      <c r="Z1042" s="421"/>
      <c r="AA1042" s="421"/>
      <c r="AB1042" s="421"/>
      <c r="AC1042" s="421"/>
      <c r="AD1042" s="421"/>
    </row>
    <row r="1043" spans="1:30" s="22" customFormat="1" x14ac:dyDescent="0.4">
      <c r="A1043" s="177" t="s">
        <v>870</v>
      </c>
      <c r="B1043" s="149" t="s">
        <v>23</v>
      </c>
      <c r="C1043" s="30" t="str">
        <f>VLOOKUP(B1043,'112年全品項生產鍋數'!A:H,2,0)</f>
        <v>＃1花生(粒)(1*2.8kg)</v>
      </c>
      <c r="D1043" s="285">
        <v>72</v>
      </c>
      <c r="E1043" s="48">
        <f>VLOOKUP(B1043,'112年全品項生產鍋數'!A:H,3,0)</f>
        <v>2.8</v>
      </c>
      <c r="F1043" s="45">
        <f>VLOOKUP(B1043,'112年全品項生產鍋數'!A:H,7,0)</f>
        <v>44.2</v>
      </c>
      <c r="G1043" s="49">
        <f t="shared" si="116"/>
        <v>3182.4</v>
      </c>
      <c r="H1043" s="144">
        <v>2229</v>
      </c>
      <c r="I1043" s="111">
        <f t="shared" si="111"/>
        <v>6241.2</v>
      </c>
      <c r="J1043" s="50">
        <f t="shared" si="115"/>
        <v>0.70041478129713419</v>
      </c>
      <c r="K1043" s="51">
        <f>VLOOKUP(B:B,'生產達成率(目標)'!A:C,3,0)</f>
        <v>1</v>
      </c>
      <c r="L1043" s="20">
        <f t="shared" si="117"/>
        <v>-0.3</v>
      </c>
      <c r="M1043" s="41" t="str">
        <f>工時!R227</f>
        <v>570</v>
      </c>
      <c r="N1043" s="159"/>
      <c r="O1043" s="144">
        <f t="shared" si="114"/>
        <v>1</v>
      </c>
      <c r="P1043" s="144">
        <v>2228</v>
      </c>
      <c r="Q1043" s="98">
        <f t="shared" si="113"/>
        <v>0.99955136832660385</v>
      </c>
      <c r="R1043" s="23"/>
      <c r="S1043" s="173"/>
      <c r="T1043" s="30" t="s">
        <v>620</v>
      </c>
      <c r="U1043" s="23"/>
      <c r="V1043" s="458"/>
      <c r="W1043" s="421"/>
      <c r="X1043" s="458"/>
      <c r="Y1043" s="421"/>
      <c r="Z1043" s="421"/>
      <c r="AA1043" s="421"/>
      <c r="AB1043" s="421"/>
      <c r="AC1043" s="421"/>
      <c r="AD1043" s="421"/>
    </row>
    <row r="1044" spans="1:30" s="22" customFormat="1" x14ac:dyDescent="0.4">
      <c r="A1044" s="177" t="s">
        <v>871</v>
      </c>
      <c r="B1044" s="149" t="s">
        <v>54</v>
      </c>
      <c r="C1044" s="30" t="str">
        <f>VLOOKUP(B1044,'112年全品項生產鍋數'!A:H,2,0)</f>
        <v>草莓醬(1*6kg)</v>
      </c>
      <c r="D1044" s="285">
        <v>28</v>
      </c>
      <c r="E1044" s="48">
        <f>VLOOKUP(B1044,'112年全品項生產鍋數'!A:H,3,0)</f>
        <v>6</v>
      </c>
      <c r="F1044" s="45">
        <f>VLOOKUP(B1044,'112年全品項生產鍋數'!A:H,7,0)</f>
        <v>26.6</v>
      </c>
      <c r="G1044" s="49">
        <f t="shared" si="116"/>
        <v>744.80000000000007</v>
      </c>
      <c r="H1044" s="144">
        <v>754</v>
      </c>
      <c r="I1044" s="111">
        <f t="shared" si="111"/>
        <v>4524</v>
      </c>
      <c r="J1044" s="50">
        <f t="shared" si="115"/>
        <v>1.0123523093447904</v>
      </c>
      <c r="K1044" s="51">
        <f>VLOOKUP(B:B,'生產達成率(目標)'!A:C,3,0)</f>
        <v>1</v>
      </c>
      <c r="L1044" s="20">
        <f t="shared" si="117"/>
        <v>1.2E-2</v>
      </c>
      <c r="M1044" s="41" t="str">
        <f>工時!R228</f>
        <v>390</v>
      </c>
      <c r="N1044" s="159"/>
      <c r="O1044" s="144">
        <f t="shared" si="114"/>
        <v>2</v>
      </c>
      <c r="P1044" s="144">
        <v>752</v>
      </c>
      <c r="Q1044" s="98">
        <f t="shared" si="113"/>
        <v>0.99734748010610075</v>
      </c>
      <c r="R1044" s="23"/>
      <c r="S1044" s="173"/>
      <c r="T1044" s="30"/>
      <c r="U1044" s="23"/>
      <c r="V1044" s="458"/>
      <c r="W1044" s="421"/>
      <c r="X1044" s="458"/>
      <c r="Y1044" s="421"/>
      <c r="Z1044" s="421"/>
      <c r="AA1044" s="421"/>
      <c r="AB1044" s="421"/>
      <c r="AC1044" s="421"/>
      <c r="AD1044" s="421"/>
    </row>
    <row r="1045" spans="1:30" s="22" customFormat="1" x14ac:dyDescent="0.4">
      <c r="A1045" s="177" t="s">
        <v>871</v>
      </c>
      <c r="B1045" s="149" t="s">
        <v>51</v>
      </c>
      <c r="C1045" s="30" t="str">
        <f>VLOOKUP(B1045,'112年全品項生產鍋數'!A:H,2,0)</f>
        <v>藍莓醬(1*6kg)</v>
      </c>
      <c r="D1045" s="285">
        <v>12</v>
      </c>
      <c r="E1045" s="48">
        <f>VLOOKUP(B1045,'112年全品項生產鍋數'!A:H,3,0)</f>
        <v>6</v>
      </c>
      <c r="F1045" s="45">
        <f>VLOOKUP(B1045,'112年全品項生產鍋數'!A:H,7,0)</f>
        <v>25.5</v>
      </c>
      <c r="G1045" s="49">
        <f t="shared" si="116"/>
        <v>306</v>
      </c>
      <c r="H1045" s="144">
        <v>313</v>
      </c>
      <c r="I1045" s="111">
        <f t="shared" si="111"/>
        <v>1878</v>
      </c>
      <c r="J1045" s="50">
        <f t="shared" si="115"/>
        <v>1.022875816993464</v>
      </c>
      <c r="K1045" s="51">
        <f>VLOOKUP(B:B,'生產達成率(目標)'!A:C,3,0)</f>
        <v>1</v>
      </c>
      <c r="L1045" s="20">
        <f t="shared" si="117"/>
        <v>2.3E-2</v>
      </c>
      <c r="M1045" s="41" t="str">
        <f>工時!R229</f>
        <v>248</v>
      </c>
      <c r="N1045" s="159"/>
      <c r="O1045" s="144">
        <f t="shared" si="114"/>
        <v>1</v>
      </c>
      <c r="P1045" s="144">
        <v>312</v>
      </c>
      <c r="Q1045" s="98">
        <f t="shared" si="113"/>
        <v>0.99680511182108622</v>
      </c>
      <c r="R1045" s="23"/>
      <c r="S1045" s="173"/>
      <c r="T1045" s="30"/>
      <c r="U1045" s="23"/>
      <c r="V1045" s="458"/>
      <c r="W1045" s="421"/>
      <c r="X1045" s="458"/>
      <c r="Y1045" s="421"/>
      <c r="Z1045" s="421"/>
      <c r="AA1045" s="421"/>
      <c r="AB1045" s="421"/>
      <c r="AC1045" s="421"/>
      <c r="AD1045" s="421"/>
    </row>
    <row r="1046" spans="1:30" s="22" customFormat="1" x14ac:dyDescent="0.4">
      <c r="A1046" s="177" t="s">
        <v>871</v>
      </c>
      <c r="B1046" s="149" t="s">
        <v>63</v>
      </c>
      <c r="C1046" s="30" t="str">
        <f>VLOOKUP(B1046,'112年全品項生產鍋數'!A:H,2,0)</f>
        <v>草莓蒟蒻餡(1*6kg)</v>
      </c>
      <c r="D1046" s="285">
        <v>28</v>
      </c>
      <c r="E1046" s="48">
        <f>VLOOKUP(B1046,'112年全品項生產鍋數'!A:H,3,0)</f>
        <v>6</v>
      </c>
      <c r="F1046" s="45">
        <f>VLOOKUP(B1046,'112年全品項生產鍋數'!A:H,7,0)</f>
        <v>25.7</v>
      </c>
      <c r="G1046" s="49">
        <f t="shared" si="116"/>
        <v>719.6</v>
      </c>
      <c r="H1046" s="144">
        <f>404+312</f>
        <v>716</v>
      </c>
      <c r="I1046" s="111">
        <f t="shared" si="111"/>
        <v>4296</v>
      </c>
      <c r="J1046" s="50">
        <f t="shared" si="115"/>
        <v>0.99499722067815455</v>
      </c>
      <c r="K1046" s="51">
        <f>VLOOKUP(B:B,'生產達成率(目標)'!A:C,3,0)</f>
        <v>1</v>
      </c>
      <c r="L1046" s="20">
        <f t="shared" si="117"/>
        <v>-5.0000000000000001E-3</v>
      </c>
      <c r="M1046" s="41" t="str">
        <f>工時!R230</f>
        <v>392</v>
      </c>
      <c r="N1046" s="159"/>
      <c r="O1046" s="144">
        <f t="shared" si="114"/>
        <v>2</v>
      </c>
      <c r="P1046" s="144">
        <f>403+311</f>
        <v>714</v>
      </c>
      <c r="Q1046" s="98">
        <f t="shared" si="113"/>
        <v>0.9972067039106145</v>
      </c>
      <c r="R1046" s="23"/>
      <c r="S1046" s="173"/>
      <c r="T1046" s="30"/>
      <c r="U1046" s="23"/>
      <c r="V1046" s="458"/>
      <c r="W1046" s="421"/>
      <c r="X1046" s="458"/>
      <c r="Y1046" s="421"/>
      <c r="Z1046" s="421"/>
      <c r="AA1046" s="421"/>
      <c r="AB1046" s="421"/>
      <c r="AC1046" s="421"/>
      <c r="AD1046" s="421"/>
    </row>
    <row r="1047" spans="1:30" s="22" customFormat="1" x14ac:dyDescent="0.4">
      <c r="A1047" s="177" t="s">
        <v>871</v>
      </c>
      <c r="B1047" s="149" t="s">
        <v>504</v>
      </c>
      <c r="C1047" s="30" t="str">
        <f>VLOOKUP(B1047,'112年全品項生產鍋數'!A:H,2,0)</f>
        <v>蘋果餡(1*6Kg)</v>
      </c>
      <c r="D1047" s="285">
        <v>12</v>
      </c>
      <c r="E1047" s="48">
        <f>VLOOKUP(B1047,'112年全品項生產鍋數'!A:H,3,0)</f>
        <v>6</v>
      </c>
      <c r="F1047" s="45">
        <f>VLOOKUP(B1047,'112年全品項生產鍋數'!A:H,7,0)</f>
        <v>25.6</v>
      </c>
      <c r="G1047" s="49">
        <f t="shared" si="116"/>
        <v>307.20000000000005</v>
      </c>
      <c r="H1047" s="144">
        <v>309</v>
      </c>
      <c r="I1047" s="111">
        <f t="shared" si="111"/>
        <v>1854</v>
      </c>
      <c r="J1047" s="50">
        <f t="shared" si="115"/>
        <v>1.0058593749999998</v>
      </c>
      <c r="K1047" s="51">
        <f>VLOOKUP(B:B,'生產達成率(目標)'!A:C,3,0)</f>
        <v>1</v>
      </c>
      <c r="L1047" s="20">
        <f t="shared" si="117"/>
        <v>6.0000000000000001E-3</v>
      </c>
      <c r="M1047" s="41" t="str">
        <f>工時!R231</f>
        <v>190</v>
      </c>
      <c r="N1047" s="159"/>
      <c r="O1047" s="144">
        <f t="shared" si="114"/>
        <v>1</v>
      </c>
      <c r="P1047" s="144">
        <v>308</v>
      </c>
      <c r="Q1047" s="98">
        <f t="shared" si="113"/>
        <v>0.99676375404530748</v>
      </c>
      <c r="R1047" s="23"/>
      <c r="S1047" s="173"/>
      <c r="T1047" s="30"/>
      <c r="U1047" s="23"/>
      <c r="V1047" s="458"/>
      <c r="W1047" s="421"/>
      <c r="X1047" s="458"/>
      <c r="Y1047" s="421"/>
      <c r="Z1047" s="421"/>
      <c r="AA1047" s="421"/>
      <c r="AB1047" s="421"/>
      <c r="AC1047" s="421"/>
      <c r="AD1047" s="421"/>
    </row>
    <row r="1048" spans="1:30" s="22" customFormat="1" x14ac:dyDescent="0.4">
      <c r="A1048" s="177" t="s">
        <v>871</v>
      </c>
      <c r="B1048" s="149" t="s">
        <v>82</v>
      </c>
      <c r="C1048" s="30" t="str">
        <f>VLOOKUP(B1048,'112年全品項生產鍋數'!A:H,2,0)</f>
        <v>顆粒花生醬(全)</v>
      </c>
      <c r="D1048" s="285">
        <v>20</v>
      </c>
      <c r="E1048" s="48">
        <f>VLOOKUP(B1048,'112年全品項生產鍋數'!A:H,3,0)</f>
        <v>0.34</v>
      </c>
      <c r="F1048" s="45">
        <f>VLOOKUP(B1048,'112年全品項生產鍋數'!A:H,7,0)</f>
        <v>364.6</v>
      </c>
      <c r="G1048" s="49">
        <f t="shared" si="116"/>
        <v>7292</v>
      </c>
      <c r="H1048" s="144">
        <v>7415</v>
      </c>
      <c r="I1048" s="111">
        <f t="shared" si="111"/>
        <v>2521.1000000000004</v>
      </c>
      <c r="J1048" s="50">
        <f t="shared" si="115"/>
        <v>1.0168678003291278</v>
      </c>
      <c r="K1048" s="51">
        <f>VLOOKUP(B:B,'生產達成率(目標)'!A:C,3,0)</f>
        <v>1</v>
      </c>
      <c r="L1048" s="20">
        <f t="shared" si="117"/>
        <v>1.7000000000000001E-2</v>
      </c>
      <c r="M1048" s="41" t="str">
        <f>工時!R232</f>
        <v>275</v>
      </c>
      <c r="N1048" s="159"/>
      <c r="O1048" s="144">
        <f t="shared" si="114"/>
        <v>3</v>
      </c>
      <c r="P1048" s="144">
        <v>7412</v>
      </c>
      <c r="Q1048" s="98">
        <f t="shared" si="113"/>
        <v>0.99959541469993252</v>
      </c>
      <c r="R1048" s="23"/>
      <c r="S1048" s="173">
        <v>90</v>
      </c>
      <c r="T1048" s="30" t="s">
        <v>920</v>
      </c>
      <c r="U1048" s="23"/>
      <c r="V1048" s="458"/>
      <c r="W1048" s="421"/>
      <c r="X1048" s="458"/>
      <c r="Y1048" s="421"/>
      <c r="Z1048" s="421"/>
      <c r="AA1048" s="421"/>
      <c r="AB1048" s="421"/>
      <c r="AC1048" s="421"/>
      <c r="AD1048" s="421"/>
    </row>
    <row r="1049" spans="1:30" s="22" customFormat="1" x14ac:dyDescent="0.4">
      <c r="A1049" s="177" t="s">
        <v>871</v>
      </c>
      <c r="B1049" s="149" t="s">
        <v>65</v>
      </c>
      <c r="C1049" s="30" t="str">
        <f>VLOOKUP(B1049,'112年全品項生產鍋數'!A:H,2,0)</f>
        <v>＃1花生(1*2.8kg)</v>
      </c>
      <c r="D1049" s="285">
        <v>32</v>
      </c>
      <c r="E1049" s="48">
        <f>VLOOKUP(B1049,'112年全品項生產鍋數'!A:H,3,0)</f>
        <v>2.8</v>
      </c>
      <c r="F1049" s="45">
        <f>VLOOKUP(B1049,'112年全品項生產鍋數'!A:H,7,0)</f>
        <v>44.5</v>
      </c>
      <c r="G1049" s="49">
        <f t="shared" si="116"/>
        <v>1424</v>
      </c>
      <c r="H1049" s="144">
        <v>1439</v>
      </c>
      <c r="I1049" s="111">
        <f t="shared" si="111"/>
        <v>4029.2</v>
      </c>
      <c r="J1049" s="50">
        <f t="shared" si="115"/>
        <v>1.0105337078651686</v>
      </c>
      <c r="K1049" s="51">
        <f>VLOOKUP(B:B,'生產達成率(目標)'!A:C,3,0)</f>
        <v>1</v>
      </c>
      <c r="L1049" s="20">
        <f t="shared" si="117"/>
        <v>1.0999999999999999E-2</v>
      </c>
      <c r="M1049" s="41" t="str">
        <f>工時!R233</f>
        <v>340</v>
      </c>
      <c r="N1049" s="159"/>
      <c r="O1049" s="144">
        <f t="shared" si="114"/>
        <v>1</v>
      </c>
      <c r="P1049" s="144">
        <v>1438</v>
      </c>
      <c r="Q1049" s="98">
        <f t="shared" si="113"/>
        <v>0.99930507296733839</v>
      </c>
      <c r="R1049" s="23"/>
      <c r="S1049" s="173"/>
      <c r="T1049" s="30"/>
      <c r="U1049" s="23"/>
      <c r="V1049" s="458"/>
      <c r="W1049" s="421"/>
      <c r="X1049" s="458"/>
      <c r="Y1049" s="421"/>
      <c r="Z1049" s="421"/>
      <c r="AA1049" s="421"/>
      <c r="AB1049" s="421"/>
      <c r="AC1049" s="421"/>
      <c r="AD1049" s="421"/>
    </row>
    <row r="1050" spans="1:30" s="22" customFormat="1" x14ac:dyDescent="0.4">
      <c r="A1050" s="177" t="s">
        <v>872</v>
      </c>
      <c r="B1050" s="149" t="s">
        <v>87</v>
      </c>
      <c r="C1050" s="30" t="str">
        <f>VLOOKUP(B1050,'112年全品項生產鍋數'!A:H,2,0)</f>
        <v>＃1藍莓(1*3.2kg)</v>
      </c>
      <c r="D1050" s="285">
        <v>70</v>
      </c>
      <c r="E1050" s="48">
        <f>VLOOKUP(B1050,'112年全品項生產鍋數'!A:H,3,0)</f>
        <v>3.2</v>
      </c>
      <c r="F1050" s="45">
        <f>VLOOKUP(B1050,'112年全品項生產鍋數'!A:H,7,0)</f>
        <v>47.5</v>
      </c>
      <c r="G1050" s="49">
        <f t="shared" si="116"/>
        <v>3325</v>
      </c>
      <c r="H1050" s="144">
        <v>3399</v>
      </c>
      <c r="I1050" s="111">
        <f t="shared" si="111"/>
        <v>10876.800000000001</v>
      </c>
      <c r="J1050" s="50">
        <f t="shared" si="115"/>
        <v>1.0222556390977444</v>
      </c>
      <c r="K1050" s="51">
        <f>VLOOKUP(B:B,'生產達成率(目標)'!A:C,3,0)</f>
        <v>1</v>
      </c>
      <c r="L1050" s="20">
        <f t="shared" si="117"/>
        <v>2.1999999999999999E-2</v>
      </c>
      <c r="M1050" s="41" t="str">
        <f>工時!R234</f>
        <v>540</v>
      </c>
      <c r="N1050" s="159"/>
      <c r="O1050" s="144">
        <f t="shared" si="114"/>
        <v>2</v>
      </c>
      <c r="P1050" s="144">
        <v>3397</v>
      </c>
      <c r="Q1050" s="98">
        <f t="shared" si="113"/>
        <v>0.99941159164460136</v>
      </c>
      <c r="R1050" s="23"/>
      <c r="S1050" s="173"/>
      <c r="T1050" s="30"/>
      <c r="U1050" s="23"/>
      <c r="V1050" s="458"/>
      <c r="W1050" s="421"/>
      <c r="X1050" s="458"/>
      <c r="Y1050" s="421"/>
      <c r="Z1050" s="421"/>
      <c r="AA1050" s="421"/>
      <c r="AB1050" s="421"/>
      <c r="AC1050" s="421"/>
      <c r="AD1050" s="421"/>
    </row>
    <row r="1051" spans="1:30" s="22" customFormat="1" x14ac:dyDescent="0.4">
      <c r="A1051" s="177" t="s">
        <v>872</v>
      </c>
      <c r="B1051" s="149" t="s">
        <v>547</v>
      </c>
      <c r="C1051" s="30" t="str">
        <f>VLOOKUP(B1051,'112年全品項生產鍋數'!A:H,2,0)</f>
        <v>草莓果醬(桶)(1*9.5KG)</v>
      </c>
      <c r="D1051" s="285">
        <v>12</v>
      </c>
      <c r="E1051" s="48">
        <f>VLOOKUP(B1051,'112年全品項生產鍋數'!A:H,3,0)</f>
        <v>9.5</v>
      </c>
      <c r="F1051" s="45">
        <f>VLOOKUP(B1051,'112年全品項生產鍋數'!A:H,7,0)</f>
        <v>16.600000000000001</v>
      </c>
      <c r="G1051" s="49">
        <f t="shared" si="116"/>
        <v>199.20000000000002</v>
      </c>
      <c r="H1051" s="144">
        <v>200</v>
      </c>
      <c r="I1051" s="111">
        <f t="shared" si="111"/>
        <v>1900</v>
      </c>
      <c r="J1051" s="50">
        <f t="shared" si="115"/>
        <v>1.0040160642570279</v>
      </c>
      <c r="K1051" s="51">
        <f>VLOOKUP(B:B,'生產達成率(目標)'!A:C,3,0)</f>
        <v>1</v>
      </c>
      <c r="L1051" s="20">
        <f t="shared" si="117"/>
        <v>4.0000000000000001E-3</v>
      </c>
      <c r="M1051" s="41" t="str">
        <f>工時!R235</f>
        <v>210</v>
      </c>
      <c r="N1051" s="159"/>
      <c r="O1051" s="144">
        <f t="shared" si="114"/>
        <v>0</v>
      </c>
      <c r="P1051" s="144">
        <v>200</v>
      </c>
      <c r="Q1051" s="98">
        <f t="shared" si="113"/>
        <v>1</v>
      </c>
      <c r="R1051" s="23"/>
      <c r="S1051" s="173"/>
      <c r="T1051" s="30"/>
      <c r="U1051" s="23"/>
      <c r="V1051" s="458"/>
      <c r="W1051" s="421"/>
      <c r="X1051" s="458"/>
      <c r="Y1051" s="421"/>
      <c r="Z1051" s="421"/>
      <c r="AA1051" s="421"/>
      <c r="AB1051" s="421"/>
      <c r="AC1051" s="421"/>
      <c r="AD1051" s="421"/>
    </row>
    <row r="1052" spans="1:30" s="22" customFormat="1" x14ac:dyDescent="0.4">
      <c r="A1052" s="177" t="s">
        <v>872</v>
      </c>
      <c r="B1052" s="149" t="s">
        <v>117</v>
      </c>
      <c r="C1052" s="30" t="str">
        <f>VLOOKUP(B1052,'112年全品項生產鍋數'!A:H,2,0)</f>
        <v>草莓餡(1*4.5Kg)</v>
      </c>
      <c r="D1052" s="285">
        <v>8</v>
      </c>
      <c r="E1052" s="48">
        <f>VLOOKUP(B1052,'112年全品項生產鍋數'!A:H,3,0)</f>
        <v>4.5</v>
      </c>
      <c r="F1052" s="45">
        <f>VLOOKUP(B1052,'112年全品項生產鍋數'!A:H,7,0)</f>
        <v>35.6</v>
      </c>
      <c r="G1052" s="49">
        <f t="shared" si="116"/>
        <v>284.8</v>
      </c>
      <c r="H1052" s="144">
        <v>288</v>
      </c>
      <c r="I1052" s="111">
        <f t="shared" si="111"/>
        <v>1296</v>
      </c>
      <c r="J1052" s="50">
        <f t="shared" si="115"/>
        <v>1.0112359550561798</v>
      </c>
      <c r="K1052" s="51">
        <f>VLOOKUP(B:B,'生產達成率(目標)'!A:C,3,0)</f>
        <v>1</v>
      </c>
      <c r="L1052" s="20">
        <f t="shared" si="117"/>
        <v>1.0999999999999999E-2</v>
      </c>
      <c r="M1052" s="41" t="str">
        <f>工時!R236</f>
        <v>174</v>
      </c>
      <c r="N1052" s="159"/>
      <c r="O1052" s="144">
        <f t="shared" si="114"/>
        <v>0</v>
      </c>
      <c r="P1052" s="144">
        <v>288</v>
      </c>
      <c r="Q1052" s="98">
        <f t="shared" si="113"/>
        <v>1</v>
      </c>
      <c r="R1052" s="23"/>
      <c r="S1052" s="173"/>
      <c r="T1052" s="30"/>
      <c r="U1052" s="23"/>
      <c r="V1052" s="458"/>
      <c r="W1052" s="421"/>
      <c r="X1052" s="458"/>
      <c r="Y1052" s="421"/>
      <c r="Z1052" s="421"/>
      <c r="AA1052" s="421"/>
      <c r="AB1052" s="421"/>
      <c r="AC1052" s="421"/>
      <c r="AD1052" s="421"/>
    </row>
    <row r="1053" spans="1:30" s="22" customFormat="1" x14ac:dyDescent="0.4">
      <c r="A1053" s="177" t="s">
        <v>872</v>
      </c>
      <c r="B1053" s="149" t="s">
        <v>63</v>
      </c>
      <c r="C1053" s="30" t="str">
        <f>VLOOKUP(B1053,'112年全品項生產鍋數'!A:H,2,0)</f>
        <v>草莓蒟蒻餡(1*6kg)</v>
      </c>
      <c r="D1053" s="285">
        <v>20</v>
      </c>
      <c r="E1053" s="48">
        <f>VLOOKUP(B1053,'112年全品項生產鍋數'!A:H,3,0)</f>
        <v>6</v>
      </c>
      <c r="F1053" s="45">
        <f>VLOOKUP(B1053,'112年全品項生產鍋數'!A:H,7,0)</f>
        <v>25.7</v>
      </c>
      <c r="G1053" s="49">
        <f t="shared" si="116"/>
        <v>514</v>
      </c>
      <c r="H1053" s="144">
        <f>293+215</f>
        <v>508</v>
      </c>
      <c r="I1053" s="111">
        <f t="shared" ref="I1053:I1116" si="118">H1053*E1053</f>
        <v>3048</v>
      </c>
      <c r="J1053" s="50">
        <f t="shared" si="115"/>
        <v>0.98832684824902728</v>
      </c>
      <c r="K1053" s="51">
        <f>VLOOKUP(B:B,'生產達成率(目標)'!A:C,3,0)</f>
        <v>1</v>
      </c>
      <c r="L1053" s="20">
        <f t="shared" si="117"/>
        <v>-1.2E-2</v>
      </c>
      <c r="M1053" s="41" t="str">
        <f>工時!R237</f>
        <v>240</v>
      </c>
      <c r="N1053" s="159"/>
      <c r="O1053" s="144">
        <f t="shared" si="114"/>
        <v>2</v>
      </c>
      <c r="P1053" s="144">
        <f>291+215</f>
        <v>506</v>
      </c>
      <c r="Q1053" s="98">
        <f t="shared" ref="Q1053:Q1116" si="119">P1053/H1053</f>
        <v>0.99606299212598426</v>
      </c>
      <c r="R1053" s="23"/>
      <c r="S1053" s="173"/>
      <c r="T1053" s="30"/>
      <c r="U1053" s="23"/>
      <c r="V1053" s="458"/>
      <c r="W1053" s="421"/>
      <c r="X1053" s="458"/>
      <c r="Y1053" s="421"/>
      <c r="Z1053" s="421"/>
      <c r="AA1053" s="421"/>
      <c r="AB1053" s="421"/>
      <c r="AC1053" s="421"/>
      <c r="AD1053" s="421"/>
    </row>
    <row r="1054" spans="1:30" s="22" customFormat="1" x14ac:dyDescent="0.4">
      <c r="A1054" s="177" t="s">
        <v>872</v>
      </c>
      <c r="B1054" s="149" t="s">
        <v>65</v>
      </c>
      <c r="C1054" s="30" t="str">
        <f>VLOOKUP(B1054,'112年全品項生產鍋數'!A:H,2,0)</f>
        <v>＃1花生(1*2.8kg)</v>
      </c>
      <c r="D1054" s="285">
        <v>72</v>
      </c>
      <c r="E1054" s="48">
        <f>VLOOKUP(B1054,'112年全品項生產鍋數'!A:H,3,0)</f>
        <v>2.8</v>
      </c>
      <c r="F1054" s="45">
        <f>VLOOKUP(B1054,'112年全品項生產鍋數'!A:H,7,0)</f>
        <v>44.5</v>
      </c>
      <c r="G1054" s="49">
        <f t="shared" si="116"/>
        <v>3204</v>
      </c>
      <c r="H1054" s="144">
        <v>3217</v>
      </c>
      <c r="I1054" s="111">
        <f t="shared" si="118"/>
        <v>9007.5999999999985</v>
      </c>
      <c r="J1054" s="50">
        <f t="shared" si="115"/>
        <v>1.0040574282147317</v>
      </c>
      <c r="K1054" s="51">
        <f>VLOOKUP(B:B,'生產達成率(目標)'!A:C,3,0)</f>
        <v>1</v>
      </c>
      <c r="L1054" s="20">
        <f t="shared" si="117"/>
        <v>4.0000000000000001E-3</v>
      </c>
      <c r="M1054" s="41" t="str">
        <f>工時!R238</f>
        <v>660</v>
      </c>
      <c r="N1054" s="159"/>
      <c r="O1054" s="144">
        <f t="shared" si="114"/>
        <v>2</v>
      </c>
      <c r="P1054" s="144">
        <v>3215</v>
      </c>
      <c r="Q1054" s="98">
        <f t="shared" si="119"/>
        <v>0.99937830276655271</v>
      </c>
      <c r="R1054" s="23"/>
      <c r="S1054" s="173"/>
      <c r="T1054" s="30"/>
      <c r="U1054" s="23"/>
      <c r="V1054" s="458"/>
      <c r="W1054" s="421"/>
      <c r="X1054" s="458"/>
      <c r="Y1054" s="421"/>
      <c r="Z1054" s="421"/>
      <c r="AA1054" s="421"/>
      <c r="AB1054" s="421"/>
      <c r="AC1054" s="421"/>
      <c r="AD1054" s="421"/>
    </row>
    <row r="1055" spans="1:30" s="22" customFormat="1" x14ac:dyDescent="0.4">
      <c r="A1055" s="177" t="s">
        <v>873</v>
      </c>
      <c r="B1055" s="149" t="s">
        <v>11</v>
      </c>
      <c r="C1055" s="30" t="str">
        <f>VLOOKUP(B1055,'112年全品項生產鍋數'!A:H,2,0)</f>
        <v>#2草莓果醬(1*900g)</v>
      </c>
      <c r="D1055" s="285">
        <v>40</v>
      </c>
      <c r="E1055" s="48">
        <f>VLOOKUP(B1055,'112年全品項生產鍋數'!A:H,3,0)</f>
        <v>0.9</v>
      </c>
      <c r="F1055" s="45">
        <f>VLOOKUP(B1055,'112年全品項生產鍋數'!A:H,7,0)</f>
        <v>160.5</v>
      </c>
      <c r="G1055" s="49">
        <f t="shared" si="116"/>
        <v>6420</v>
      </c>
      <c r="H1055" s="144">
        <f>4810+1800</f>
        <v>6610</v>
      </c>
      <c r="I1055" s="111">
        <f t="shared" si="118"/>
        <v>5949</v>
      </c>
      <c r="J1055" s="50">
        <f t="shared" si="115"/>
        <v>1.029595015576324</v>
      </c>
      <c r="K1055" s="51">
        <f>VLOOKUP(B:B,'生產達成率(目標)'!A:C,3,0)</f>
        <v>1</v>
      </c>
      <c r="L1055" s="20">
        <f t="shared" si="117"/>
        <v>0.03</v>
      </c>
      <c r="M1055" s="41" t="str">
        <f>工時!R239</f>
        <v>540</v>
      </c>
      <c r="N1055" s="159"/>
      <c r="O1055" s="144">
        <f t="shared" si="114"/>
        <v>22</v>
      </c>
      <c r="P1055" s="144">
        <f>4788+1800</f>
        <v>6588</v>
      </c>
      <c r="Q1055" s="98">
        <f t="shared" si="119"/>
        <v>0.99667170953101358</v>
      </c>
      <c r="R1055" s="23"/>
      <c r="S1055" s="173"/>
      <c r="T1055" s="30" t="s">
        <v>627</v>
      </c>
      <c r="W1055" s="421"/>
      <c r="Y1055" s="421"/>
      <c r="Z1055" s="421"/>
      <c r="AA1055" s="421"/>
      <c r="AB1055" s="421"/>
      <c r="AC1055" s="421"/>
      <c r="AD1055" s="421"/>
    </row>
    <row r="1056" spans="1:30" s="22" customFormat="1" x14ac:dyDescent="0.4">
      <c r="A1056" s="177" t="s">
        <v>873</v>
      </c>
      <c r="B1056" s="149" t="s">
        <v>100</v>
      </c>
      <c r="C1056" s="30" t="str">
        <f>VLOOKUP(B1056,'112年全品項生產鍋數'!A:H,2,0)</f>
        <v>芒果蜜桃醬(1*6kg)</v>
      </c>
      <c r="D1056" s="285">
        <v>6</v>
      </c>
      <c r="E1056" s="48">
        <f>VLOOKUP(B1056,'112年全品項生產鍋數'!A:H,3,0)</f>
        <v>6</v>
      </c>
      <c r="F1056" s="45">
        <f>VLOOKUP(B1056,'112年全品項生產鍋數'!A:H,7,0)</f>
        <v>25.6</v>
      </c>
      <c r="G1056" s="49">
        <f t="shared" si="116"/>
        <v>153.60000000000002</v>
      </c>
      <c r="H1056" s="144">
        <v>159</v>
      </c>
      <c r="I1056" s="111">
        <f t="shared" si="118"/>
        <v>954</v>
      </c>
      <c r="J1056" s="50">
        <f t="shared" si="115"/>
        <v>1.0351562499999998</v>
      </c>
      <c r="K1056" s="51">
        <f>VLOOKUP(B:B,'生產達成率(目標)'!A:C,3,0)</f>
        <v>1</v>
      </c>
      <c r="L1056" s="20">
        <f t="shared" si="117"/>
        <v>3.5000000000000003E-2</v>
      </c>
      <c r="M1056" s="41" t="str">
        <f>工時!R240</f>
        <v>130</v>
      </c>
      <c r="N1056" s="159"/>
      <c r="O1056" s="144">
        <f t="shared" si="114"/>
        <v>1</v>
      </c>
      <c r="P1056" s="144">
        <v>158</v>
      </c>
      <c r="Q1056" s="98">
        <f t="shared" si="119"/>
        <v>0.99371069182389937</v>
      </c>
      <c r="R1056" s="23"/>
      <c r="S1056" s="173"/>
      <c r="T1056" s="30"/>
      <c r="W1056" s="421"/>
      <c r="Y1056" s="421"/>
      <c r="Z1056" s="421"/>
      <c r="AA1056" s="421"/>
      <c r="AB1056" s="421"/>
      <c r="AC1056" s="421"/>
      <c r="AD1056" s="421"/>
    </row>
    <row r="1057" spans="1:30" s="22" customFormat="1" x14ac:dyDescent="0.4">
      <c r="A1057" s="177" t="s">
        <v>873</v>
      </c>
      <c r="B1057" s="149" t="s">
        <v>435</v>
      </c>
      <c r="C1057" s="30" t="str">
        <f>VLOOKUP(B1057,'112年全品項生產鍋數'!A:H,2,0)</f>
        <v>蜂蜜柚香醬(1*6KG)</v>
      </c>
      <c r="D1057" s="285">
        <v>6</v>
      </c>
      <c r="E1057" s="48">
        <f>VLOOKUP(B1057,'112年全品項生產鍋數'!A:H,3,0)</f>
        <v>6</v>
      </c>
      <c r="F1057" s="45">
        <f>VLOOKUP(B1057,'112年全品項生產鍋數'!A:H,7,0)</f>
        <v>25.8</v>
      </c>
      <c r="G1057" s="49">
        <f t="shared" si="116"/>
        <v>154.80000000000001</v>
      </c>
      <c r="H1057" s="144">
        <v>154</v>
      </c>
      <c r="I1057" s="111">
        <f t="shared" si="118"/>
        <v>924</v>
      </c>
      <c r="J1057" s="50">
        <f t="shared" si="115"/>
        <v>0.9948320413436692</v>
      </c>
      <c r="K1057" s="51">
        <f>VLOOKUP(B:B,'生產達成率(目標)'!A:C,3,0)</f>
        <v>1</v>
      </c>
      <c r="L1057" s="20">
        <f t="shared" si="117"/>
        <v>-5.0000000000000001E-3</v>
      </c>
      <c r="M1057" s="41" t="str">
        <f>工時!R241</f>
        <v>120</v>
      </c>
      <c r="N1057" s="159"/>
      <c r="O1057" s="144">
        <f t="shared" si="114"/>
        <v>1</v>
      </c>
      <c r="P1057" s="144">
        <v>153</v>
      </c>
      <c r="Q1057" s="98">
        <f t="shared" si="119"/>
        <v>0.99350649350649356</v>
      </c>
      <c r="R1057" s="23"/>
      <c r="S1057" s="173"/>
      <c r="T1057" s="30"/>
      <c r="W1057" s="421"/>
      <c r="Y1057" s="421"/>
      <c r="Z1057" s="421"/>
      <c r="AA1057" s="421"/>
      <c r="AB1057" s="421"/>
      <c r="AC1057" s="421"/>
      <c r="AD1057" s="421"/>
    </row>
    <row r="1058" spans="1:30" s="22" customFormat="1" x14ac:dyDescent="0.4">
      <c r="A1058" s="177" t="s">
        <v>873</v>
      </c>
      <c r="B1058" s="149" t="s">
        <v>54</v>
      </c>
      <c r="C1058" s="30" t="str">
        <f>VLOOKUP(B1058,'112年全品項生產鍋數'!A:H,2,0)</f>
        <v>草莓醬(1*6kg)</v>
      </c>
      <c r="D1058" s="285">
        <v>28</v>
      </c>
      <c r="E1058" s="48">
        <f>VLOOKUP(B1058,'112年全品項生產鍋數'!A:H,3,0)</f>
        <v>6</v>
      </c>
      <c r="F1058" s="45">
        <f>VLOOKUP(B1058,'112年全品項生產鍋數'!A:H,7,0)</f>
        <v>26.6</v>
      </c>
      <c r="G1058" s="49">
        <f t="shared" si="116"/>
        <v>744.80000000000007</v>
      </c>
      <c r="H1058" s="144">
        <v>759</v>
      </c>
      <c r="I1058" s="111">
        <f t="shared" si="118"/>
        <v>4554</v>
      </c>
      <c r="J1058" s="50">
        <f t="shared" si="115"/>
        <v>1.0190655209452202</v>
      </c>
      <c r="K1058" s="51">
        <f>VLOOKUP(B:B,'生產達成率(目標)'!A:C,3,0)</f>
        <v>1</v>
      </c>
      <c r="L1058" s="20">
        <f t="shared" si="117"/>
        <v>1.9E-2</v>
      </c>
      <c r="M1058" s="41" t="str">
        <f>工時!R242</f>
        <v>330</v>
      </c>
      <c r="N1058" s="159"/>
      <c r="O1058" s="144">
        <f t="shared" ref="O1058:O1121" si="120">H1058-N1058-P1058</f>
        <v>4</v>
      </c>
      <c r="P1058" s="144">
        <v>755</v>
      </c>
      <c r="Q1058" s="98">
        <f t="shared" si="119"/>
        <v>0.99472990777338599</v>
      </c>
      <c r="R1058" s="23"/>
      <c r="S1058" s="173"/>
      <c r="T1058" s="30"/>
      <c r="W1058" s="421"/>
      <c r="Y1058" s="421"/>
      <c r="Z1058" s="421"/>
      <c r="AA1058" s="421"/>
      <c r="AB1058" s="421"/>
      <c r="AC1058" s="421"/>
      <c r="AD1058" s="421"/>
    </row>
    <row r="1059" spans="1:30" s="22" customFormat="1" x14ac:dyDescent="0.4">
      <c r="A1059" s="177" t="s">
        <v>873</v>
      </c>
      <c r="B1059" s="149" t="s">
        <v>65</v>
      </c>
      <c r="C1059" s="30" t="str">
        <f>VLOOKUP(B1059,'112年全品項生產鍋數'!A:H,2,0)</f>
        <v>＃1花生(1*2.8kg)</v>
      </c>
      <c r="D1059" s="285">
        <v>72</v>
      </c>
      <c r="E1059" s="48">
        <f>VLOOKUP(B1059,'112年全品項生產鍋數'!A:H,3,0)</f>
        <v>2.8</v>
      </c>
      <c r="F1059" s="45">
        <f>VLOOKUP(B1059,'112年全品項生產鍋數'!A:H,7,0)</f>
        <v>44.5</v>
      </c>
      <c r="G1059" s="49">
        <f t="shared" si="116"/>
        <v>3204</v>
      </c>
      <c r="H1059" s="144">
        <f>2329+900</f>
        <v>3229</v>
      </c>
      <c r="I1059" s="111">
        <f t="shared" si="118"/>
        <v>9041.1999999999989</v>
      </c>
      <c r="J1059" s="50">
        <f t="shared" ref="J1059:J1122" si="121">IF(G1059=0,"無法預估數據",H1059/G1059)</f>
        <v>1.0078027465667916</v>
      </c>
      <c r="K1059" s="51">
        <f>VLOOKUP(B:B,'生產達成率(目標)'!A:C,3,0)</f>
        <v>1</v>
      </c>
      <c r="L1059" s="20">
        <f t="shared" si="117"/>
        <v>8.0000000000000002E-3</v>
      </c>
      <c r="M1059" s="41" t="str">
        <f>工時!R243</f>
        <v>660</v>
      </c>
      <c r="N1059" s="159"/>
      <c r="O1059" s="144">
        <f t="shared" si="120"/>
        <v>1</v>
      </c>
      <c r="P1059" s="144">
        <f>2328+900</f>
        <v>3228</v>
      </c>
      <c r="Q1059" s="98">
        <f t="shared" si="119"/>
        <v>0.99969030659646951</v>
      </c>
      <c r="R1059" s="23"/>
      <c r="S1059" s="173"/>
      <c r="T1059" s="30" t="s">
        <v>628</v>
      </c>
      <c r="W1059" s="421"/>
      <c r="Y1059" s="421"/>
      <c r="Z1059" s="421"/>
      <c r="AA1059" s="421"/>
      <c r="AB1059" s="421"/>
      <c r="AC1059" s="421"/>
      <c r="AD1059" s="421"/>
    </row>
    <row r="1060" spans="1:30" s="22" customFormat="1" x14ac:dyDescent="0.4">
      <c r="A1060" s="177" t="s">
        <v>873</v>
      </c>
      <c r="B1060" s="149">
        <v>153010</v>
      </c>
      <c r="C1060" s="30" t="str">
        <f>VLOOKUP(B1060,'112年全品項生產鍋數'!A:H,2,0)</f>
        <v>蜜桔皮6m/m</v>
      </c>
      <c r="D1060" s="285">
        <v>1</v>
      </c>
      <c r="E1060" s="48">
        <f>VLOOKUP(B1060,'112年全品項生產鍋數'!A:H,3,0)</f>
        <v>1</v>
      </c>
      <c r="F1060" s="45">
        <f>VLOOKUP(B1060,'112年全品項生產鍋數'!A:H,7,0)</f>
        <v>591</v>
      </c>
      <c r="G1060" s="49">
        <f t="shared" si="116"/>
        <v>591</v>
      </c>
      <c r="H1060" s="144">
        <v>592</v>
      </c>
      <c r="I1060" s="111">
        <f t="shared" si="118"/>
        <v>592</v>
      </c>
      <c r="J1060" s="50">
        <f t="shared" si="121"/>
        <v>1.0016920473773265</v>
      </c>
      <c r="K1060" s="51">
        <f>VLOOKUP(B:B,'生產達成率(目標)'!A:C,3,0)</f>
        <v>1</v>
      </c>
      <c r="L1060" s="20">
        <f t="shared" si="117"/>
        <v>2E-3</v>
      </c>
      <c r="M1060" s="41" t="str">
        <f>工時!R244</f>
        <v>0</v>
      </c>
      <c r="N1060" s="159"/>
      <c r="O1060" s="144">
        <f t="shared" si="120"/>
        <v>0</v>
      </c>
      <c r="P1060" s="144">
        <v>592</v>
      </c>
      <c r="Q1060" s="98">
        <f t="shared" si="119"/>
        <v>1</v>
      </c>
      <c r="R1060" s="23"/>
      <c r="S1060" s="173"/>
      <c r="T1060" s="30"/>
      <c r="W1060" s="421"/>
      <c r="Y1060" s="421"/>
      <c r="Z1060" s="421"/>
      <c r="AA1060" s="421"/>
      <c r="AB1060" s="421"/>
      <c r="AC1060" s="421"/>
      <c r="AD1060" s="421"/>
    </row>
    <row r="1061" spans="1:30" s="22" customFormat="1" x14ac:dyDescent="0.4">
      <c r="A1061" s="177" t="s">
        <v>874</v>
      </c>
      <c r="B1061" s="149" t="s">
        <v>61</v>
      </c>
      <c r="C1061" s="30" t="str">
        <f>VLOOKUP(B1061,'112年全品項生產鍋數'!A:H,2,0)</f>
        <v>大圓草莓-新</v>
      </c>
      <c r="D1061" s="285">
        <v>20</v>
      </c>
      <c r="E1061" s="48">
        <f>VLOOKUP(B1061,'112年全品項生產鍋數'!A:H,3,0)</f>
        <v>0.44</v>
      </c>
      <c r="F1061" s="45">
        <f>VLOOKUP(B1061,'112年全品項生產鍋數'!A:H,7,0)</f>
        <v>344</v>
      </c>
      <c r="G1061" s="49">
        <f t="shared" si="116"/>
        <v>6880</v>
      </c>
      <c r="H1061" s="144">
        <v>6970</v>
      </c>
      <c r="I1061" s="111">
        <f t="shared" si="118"/>
        <v>3066.8</v>
      </c>
      <c r="J1061" s="50">
        <f t="shared" si="121"/>
        <v>1.0130813953488371</v>
      </c>
      <c r="K1061" s="51">
        <f>VLOOKUP(B:B,'生產達成率(目標)'!A:C,3,0)</f>
        <v>1</v>
      </c>
      <c r="L1061" s="20">
        <f t="shared" si="117"/>
        <v>1.2999999999999999E-2</v>
      </c>
      <c r="M1061" s="41" t="str">
        <f>工時!R245</f>
        <v>300</v>
      </c>
      <c r="N1061" s="159"/>
      <c r="O1061" s="144">
        <f t="shared" si="120"/>
        <v>12</v>
      </c>
      <c r="P1061" s="144">
        <v>6958</v>
      </c>
      <c r="Q1061" s="98">
        <f t="shared" si="119"/>
        <v>0.99827833572453373</v>
      </c>
      <c r="R1061" s="23"/>
      <c r="S1061" s="173"/>
      <c r="T1061" s="30"/>
      <c r="W1061" s="421"/>
      <c r="Y1061" s="421"/>
      <c r="Z1061" s="421"/>
      <c r="AA1061" s="421"/>
      <c r="AB1061" s="421"/>
      <c r="AC1061" s="421"/>
      <c r="AD1061" s="421"/>
    </row>
    <row r="1062" spans="1:30" s="22" customFormat="1" x14ac:dyDescent="0.4">
      <c r="A1062" s="177" t="s">
        <v>874</v>
      </c>
      <c r="B1062" s="149" t="s">
        <v>630</v>
      </c>
      <c r="C1062" s="30" t="str">
        <f>VLOOKUP(B1062,'112年全品項生產鍋數'!A:H,2,0)</f>
        <v>藍莓寡糖果醬(1*200G)</v>
      </c>
      <c r="D1062" s="285">
        <v>4</v>
      </c>
      <c r="E1062" s="48">
        <f>VLOOKUP(B1062,'112年全品項生產鍋數'!A:H,3,0)</f>
        <v>0.2</v>
      </c>
      <c r="F1062" s="45">
        <f>VLOOKUP(B1062,'112年全品項生產鍋數'!A:H,7,0)</f>
        <v>763</v>
      </c>
      <c r="G1062" s="49">
        <f t="shared" si="116"/>
        <v>3052</v>
      </c>
      <c r="H1062" s="144">
        <v>3067</v>
      </c>
      <c r="I1062" s="111">
        <f t="shared" si="118"/>
        <v>613.4</v>
      </c>
      <c r="J1062" s="50">
        <f t="shared" si="121"/>
        <v>1.0049148099606815</v>
      </c>
      <c r="K1062" s="51">
        <f>VLOOKUP(B:B,'生產達成率(目標)'!A:C,3,0)</f>
        <v>1</v>
      </c>
      <c r="L1062" s="20">
        <f t="shared" si="117"/>
        <v>5.0000000000000001E-3</v>
      </c>
      <c r="M1062" s="41" t="str">
        <f>工時!R246</f>
        <v>270</v>
      </c>
      <c r="N1062" s="159"/>
      <c r="O1062" s="144">
        <f t="shared" si="120"/>
        <v>7</v>
      </c>
      <c r="P1062" s="144">
        <v>3060</v>
      </c>
      <c r="Q1062" s="98">
        <f t="shared" si="119"/>
        <v>0.99771763938702318</v>
      </c>
      <c r="R1062" s="23"/>
      <c r="S1062" s="173"/>
      <c r="T1062" s="30"/>
      <c r="W1062" s="421"/>
      <c r="Y1062" s="421"/>
      <c r="Z1062" s="421"/>
      <c r="AA1062" s="421"/>
      <c r="AB1062" s="421"/>
      <c r="AC1062" s="421"/>
      <c r="AD1062" s="421"/>
    </row>
    <row r="1063" spans="1:30" s="22" customFormat="1" x14ac:dyDescent="0.4">
      <c r="A1063" s="177" t="s">
        <v>874</v>
      </c>
      <c r="B1063" s="149" t="s">
        <v>631</v>
      </c>
      <c r="C1063" s="30" t="str">
        <f>VLOOKUP(B1063,'112年全品項生產鍋數'!A:H,2,0)</f>
        <v>＃1蘋果果醬(1*3.3kg)</v>
      </c>
      <c r="D1063" s="285">
        <v>4</v>
      </c>
      <c r="E1063" s="48">
        <f>VLOOKUP(B1063,'112年全品項生產鍋數'!A:H,3,0)</f>
        <v>3.3</v>
      </c>
      <c r="F1063" s="45">
        <f>VLOOKUP(B1063,'112年全品項生產鍋數'!A:H,7,0)</f>
        <v>47.3</v>
      </c>
      <c r="G1063" s="49">
        <f t="shared" si="116"/>
        <v>189.2</v>
      </c>
      <c r="H1063" s="144">
        <v>190</v>
      </c>
      <c r="I1063" s="111">
        <f t="shared" si="118"/>
        <v>627</v>
      </c>
      <c r="J1063" s="50">
        <f t="shared" si="121"/>
        <v>1.0042283298097252</v>
      </c>
      <c r="K1063" s="51">
        <f>VLOOKUP(B:B,'生產達成率(目標)'!A:C,3,0)</f>
        <v>1</v>
      </c>
      <c r="L1063" s="20">
        <f t="shared" si="117"/>
        <v>4.0000000000000001E-3</v>
      </c>
      <c r="M1063" s="41" t="str">
        <f>工時!R247</f>
        <v>120</v>
      </c>
      <c r="N1063" s="159"/>
      <c r="O1063" s="144">
        <f t="shared" si="120"/>
        <v>1</v>
      </c>
      <c r="P1063" s="144">
        <v>189</v>
      </c>
      <c r="Q1063" s="98">
        <f t="shared" si="119"/>
        <v>0.99473684210526314</v>
      </c>
      <c r="R1063" s="23"/>
      <c r="S1063" s="173"/>
      <c r="T1063" s="30"/>
      <c r="W1063" s="421"/>
      <c r="Y1063" s="421"/>
      <c r="Z1063" s="421"/>
      <c r="AA1063" s="421"/>
      <c r="AB1063" s="421"/>
      <c r="AC1063" s="421"/>
      <c r="AD1063" s="421"/>
    </row>
    <row r="1064" spans="1:30" s="22" customFormat="1" x14ac:dyDescent="0.4">
      <c r="A1064" s="177" t="s">
        <v>874</v>
      </c>
      <c r="B1064" s="149" t="s">
        <v>64</v>
      </c>
      <c r="C1064" s="30" t="str">
        <f>VLOOKUP(B1064,'112年全品項生產鍋數'!A:H,2,0)</f>
        <v>藍莓餡(1*6KG)</v>
      </c>
      <c r="D1064" s="285">
        <v>24</v>
      </c>
      <c r="E1064" s="48">
        <f>VLOOKUP(B1064,'112年全品項生產鍋數'!A:H,3,0)</f>
        <v>6</v>
      </c>
      <c r="F1064" s="45">
        <f>VLOOKUP(B1064,'112年全品項生產鍋數'!A:H,7,0)</f>
        <v>25.4</v>
      </c>
      <c r="G1064" s="49">
        <f t="shared" si="116"/>
        <v>609.59999999999991</v>
      </c>
      <c r="H1064" s="144">
        <f>303+321</f>
        <v>624</v>
      </c>
      <c r="I1064" s="111">
        <f t="shared" si="118"/>
        <v>3744</v>
      </c>
      <c r="J1064" s="50">
        <f t="shared" si="121"/>
        <v>1.0236220472440947</v>
      </c>
      <c r="K1064" s="51">
        <f>VLOOKUP(B:B,'生產達成率(目標)'!A:C,3,0)</f>
        <v>1</v>
      </c>
      <c r="L1064" s="20">
        <f t="shared" si="117"/>
        <v>2.4E-2</v>
      </c>
      <c r="M1064" s="41" t="str">
        <f>工時!R248</f>
        <v>330</v>
      </c>
      <c r="N1064" s="159"/>
      <c r="O1064" s="144">
        <f t="shared" si="120"/>
        <v>1</v>
      </c>
      <c r="P1064" s="144">
        <f>302+321</f>
        <v>623</v>
      </c>
      <c r="Q1064" s="98">
        <f t="shared" si="119"/>
        <v>0.9983974358974359</v>
      </c>
      <c r="R1064" s="23"/>
      <c r="S1064" s="173"/>
      <c r="T1064" s="30"/>
      <c r="W1064" s="421"/>
      <c r="Y1064" s="421"/>
      <c r="Z1064" s="421"/>
      <c r="AA1064" s="421"/>
      <c r="AB1064" s="421"/>
      <c r="AC1064" s="421"/>
      <c r="AD1064" s="421"/>
    </row>
    <row r="1065" spans="1:30" s="22" customFormat="1" x14ac:dyDescent="0.4">
      <c r="A1065" s="177" t="s">
        <v>874</v>
      </c>
      <c r="B1065" s="149" t="s">
        <v>63</v>
      </c>
      <c r="C1065" s="30" t="str">
        <f>VLOOKUP(B1065,'112年全品項生產鍋數'!A:H,2,0)</f>
        <v>草莓蒟蒻餡(1*6kg)</v>
      </c>
      <c r="D1065" s="285">
        <v>20</v>
      </c>
      <c r="E1065" s="48">
        <f>VLOOKUP(B1065,'112年全品項生產鍋數'!A:H,3,0)</f>
        <v>6</v>
      </c>
      <c r="F1065" s="45">
        <f>VLOOKUP(B1065,'112年全品項生產鍋數'!A:H,7,0)</f>
        <v>25.7</v>
      </c>
      <c r="G1065" s="49">
        <f t="shared" si="116"/>
        <v>514</v>
      </c>
      <c r="H1065" s="144">
        <f>301+210</f>
        <v>511</v>
      </c>
      <c r="I1065" s="111">
        <f t="shared" si="118"/>
        <v>3066</v>
      </c>
      <c r="J1065" s="50">
        <f t="shared" si="121"/>
        <v>0.99416342412451364</v>
      </c>
      <c r="K1065" s="51">
        <f>VLOOKUP(B:B,'生產達成率(目標)'!A:C,3,0)</f>
        <v>1</v>
      </c>
      <c r="L1065" s="20">
        <f t="shared" si="117"/>
        <v>-6.0000000000000001E-3</v>
      </c>
      <c r="M1065" s="41" t="str">
        <f>工時!R249</f>
        <v>270</v>
      </c>
      <c r="N1065" s="159"/>
      <c r="O1065" s="144">
        <f t="shared" si="120"/>
        <v>4</v>
      </c>
      <c r="P1065" s="144">
        <f>297+210</f>
        <v>507</v>
      </c>
      <c r="Q1065" s="98">
        <f t="shared" si="119"/>
        <v>0.99217221135029354</v>
      </c>
      <c r="R1065" s="23"/>
      <c r="S1065" s="173"/>
      <c r="T1065" s="30"/>
      <c r="W1065" s="421"/>
      <c r="Y1065" s="421"/>
      <c r="Z1065" s="421"/>
      <c r="AA1065" s="421"/>
      <c r="AB1065" s="421"/>
      <c r="AC1065" s="421"/>
      <c r="AD1065" s="421"/>
    </row>
    <row r="1066" spans="1:30" s="22" customFormat="1" x14ac:dyDescent="0.4">
      <c r="A1066" s="177" t="s">
        <v>874</v>
      </c>
      <c r="B1066" s="149" t="s">
        <v>65</v>
      </c>
      <c r="C1066" s="30" t="str">
        <f>VLOOKUP(B1066,'112年全品項生產鍋數'!A:H,2,0)</f>
        <v>＃1花生(1*2.8kg)</v>
      </c>
      <c r="D1066" s="285">
        <v>72</v>
      </c>
      <c r="E1066" s="48">
        <f>VLOOKUP(B1066,'112年全品項生產鍋數'!A:H,3,0)</f>
        <v>2.8</v>
      </c>
      <c r="F1066" s="45">
        <f>VLOOKUP(B1066,'112年全品項生產鍋數'!A:H,7,0)</f>
        <v>44.5</v>
      </c>
      <c r="G1066" s="49">
        <f t="shared" si="116"/>
        <v>3204</v>
      </c>
      <c r="H1066" s="144">
        <v>3221</v>
      </c>
      <c r="I1066" s="111">
        <f t="shared" si="118"/>
        <v>9018.7999999999993</v>
      </c>
      <c r="J1066" s="50">
        <f t="shared" si="121"/>
        <v>1.0053058676654183</v>
      </c>
      <c r="K1066" s="51">
        <f>VLOOKUP(B:B,'生產達成率(目標)'!A:C,3,0)</f>
        <v>1</v>
      </c>
      <c r="L1066" s="20">
        <f t="shared" si="117"/>
        <v>5.0000000000000001E-3</v>
      </c>
      <c r="M1066" s="41" t="str">
        <f>工時!R250</f>
        <v>630</v>
      </c>
      <c r="N1066" s="159"/>
      <c r="O1066" s="144">
        <f t="shared" si="120"/>
        <v>1</v>
      </c>
      <c r="P1066" s="144">
        <v>3220</v>
      </c>
      <c r="Q1066" s="98">
        <f t="shared" si="119"/>
        <v>0.99968953741074196</v>
      </c>
      <c r="R1066" s="23"/>
      <c r="S1066" s="173"/>
      <c r="T1066" s="30"/>
      <c r="W1066" s="421"/>
      <c r="Y1066" s="421"/>
      <c r="Z1066" s="421"/>
      <c r="AA1066" s="421"/>
      <c r="AB1066" s="421"/>
      <c r="AC1066" s="421"/>
      <c r="AD1066" s="421"/>
    </row>
    <row r="1067" spans="1:30" s="22" customFormat="1" x14ac:dyDescent="0.4">
      <c r="A1067" s="177" t="s">
        <v>875</v>
      </c>
      <c r="B1067" s="149" t="s">
        <v>86</v>
      </c>
      <c r="C1067" s="30" t="str">
        <f>VLOOKUP(B1067,'112年全品項生產鍋數'!A:H,2,0)</f>
        <v>＃2藍莓(1*900g)</v>
      </c>
      <c r="D1067" s="285">
        <v>40</v>
      </c>
      <c r="E1067" s="48">
        <f>VLOOKUP(B1067,'112年全品項生產鍋數'!A:H,3,0)</f>
        <v>0.9</v>
      </c>
      <c r="F1067" s="45">
        <f>VLOOKUP(B1067,'112年全品項生產鍋數'!A:H,7,0)</f>
        <v>163</v>
      </c>
      <c r="G1067" s="49">
        <f t="shared" si="116"/>
        <v>6520</v>
      </c>
      <c r="H1067" s="144">
        <v>6594</v>
      </c>
      <c r="I1067" s="111">
        <f t="shared" si="118"/>
        <v>5934.6</v>
      </c>
      <c r="J1067" s="50">
        <f t="shared" si="121"/>
        <v>1.0113496932515338</v>
      </c>
      <c r="K1067" s="51">
        <f>VLOOKUP(B:B,'生產達成率(目標)'!A:C,3,0)</f>
        <v>1</v>
      </c>
      <c r="L1067" s="20">
        <f t="shared" si="117"/>
        <v>1.0999999999999999E-2</v>
      </c>
      <c r="M1067" s="41" t="str">
        <f>工時!R251</f>
        <v>540</v>
      </c>
      <c r="N1067" s="159"/>
      <c r="O1067" s="144">
        <f t="shared" si="120"/>
        <v>3</v>
      </c>
      <c r="P1067" s="144">
        <v>6591</v>
      </c>
      <c r="Q1067" s="98">
        <f t="shared" si="119"/>
        <v>0.9995450409463148</v>
      </c>
      <c r="R1067" s="23"/>
      <c r="S1067" s="173"/>
      <c r="T1067" s="30"/>
      <c r="W1067" s="421"/>
      <c r="Y1067" s="421"/>
      <c r="Z1067" s="421"/>
      <c r="AA1067" s="421"/>
      <c r="AB1067" s="421"/>
      <c r="AC1067" s="421"/>
      <c r="AD1067" s="421"/>
    </row>
    <row r="1068" spans="1:30" s="22" customFormat="1" x14ac:dyDescent="0.4">
      <c r="A1068" s="177" t="s">
        <v>875</v>
      </c>
      <c r="B1068" s="149" t="s">
        <v>93</v>
      </c>
      <c r="C1068" s="30" t="str">
        <f>VLOOKUP(B1068,'112年全品項生產鍋數'!A:H,2,0)</f>
        <v>草莓餡42°(1*6KG)</v>
      </c>
      <c r="D1068" s="285">
        <v>24</v>
      </c>
      <c r="E1068" s="48">
        <f>VLOOKUP(B1068,'112年全品項生產鍋數'!A:H,3,0)</f>
        <v>6</v>
      </c>
      <c r="F1068" s="45">
        <f>VLOOKUP(B1068,'112年全品項生產鍋數'!A:H,7,0)</f>
        <v>25.2</v>
      </c>
      <c r="G1068" s="49">
        <f t="shared" si="116"/>
        <v>604.79999999999995</v>
      </c>
      <c r="H1068" s="144">
        <v>588</v>
      </c>
      <c r="I1068" s="111">
        <f t="shared" si="118"/>
        <v>3528</v>
      </c>
      <c r="J1068" s="50">
        <f t="shared" si="121"/>
        <v>0.97222222222222232</v>
      </c>
      <c r="K1068" s="51">
        <f>VLOOKUP(B:B,'生產達成率(目標)'!A:C,3,0)</f>
        <v>1</v>
      </c>
      <c r="L1068" s="20">
        <f t="shared" si="117"/>
        <v>-2.8000000000000001E-2</v>
      </c>
      <c r="M1068" s="41" t="str">
        <f>工時!R252</f>
        <v>330</v>
      </c>
      <c r="N1068" s="159"/>
      <c r="O1068" s="144">
        <f t="shared" si="120"/>
        <v>4</v>
      </c>
      <c r="P1068" s="144">
        <v>584</v>
      </c>
      <c r="Q1068" s="98">
        <f t="shared" si="119"/>
        <v>0.99319727891156462</v>
      </c>
      <c r="R1068" s="23"/>
      <c r="S1068" s="173"/>
      <c r="T1068" s="30" t="s">
        <v>918</v>
      </c>
      <c r="W1068" s="421"/>
      <c r="Y1068" s="421"/>
      <c r="Z1068" s="421"/>
      <c r="AA1068" s="421"/>
      <c r="AB1068" s="421"/>
      <c r="AC1068" s="421"/>
      <c r="AD1068" s="421"/>
    </row>
    <row r="1069" spans="1:30" s="22" customFormat="1" x14ac:dyDescent="0.4">
      <c r="A1069" s="177" t="s">
        <v>875</v>
      </c>
      <c r="B1069" s="149" t="s">
        <v>102</v>
      </c>
      <c r="C1069" s="30" t="str">
        <f>VLOOKUP(B1069,'112年全品項生產鍋數'!A:H,2,0)</f>
        <v>耐烤草莓餡(1*4.5KG)</v>
      </c>
      <c r="D1069" s="285">
        <v>12</v>
      </c>
      <c r="E1069" s="48">
        <f>VLOOKUP(B1069,'112年全品項生產鍋數'!A:H,3,0)</f>
        <v>4.5</v>
      </c>
      <c r="F1069" s="45">
        <f>VLOOKUP(B1069,'112年全品項生產鍋數'!A:H,7,0)</f>
        <v>36</v>
      </c>
      <c r="G1069" s="49">
        <f t="shared" si="116"/>
        <v>432</v>
      </c>
      <c r="H1069" s="144">
        <v>435</v>
      </c>
      <c r="I1069" s="111">
        <f t="shared" si="118"/>
        <v>1957.5</v>
      </c>
      <c r="J1069" s="50">
        <f t="shared" si="121"/>
        <v>1.0069444444444444</v>
      </c>
      <c r="K1069" s="51">
        <f>VLOOKUP(B:B,'生產達成率(目標)'!A:C,3,0)</f>
        <v>1</v>
      </c>
      <c r="L1069" s="20">
        <f t="shared" si="117"/>
        <v>7.0000000000000001E-3</v>
      </c>
      <c r="M1069" s="41" t="str">
        <f>工時!R253</f>
        <v>210</v>
      </c>
      <c r="N1069" s="159"/>
      <c r="O1069" s="144">
        <f t="shared" si="120"/>
        <v>0</v>
      </c>
      <c r="P1069" s="144">
        <v>435</v>
      </c>
      <c r="Q1069" s="98">
        <f t="shared" si="119"/>
        <v>1</v>
      </c>
      <c r="R1069" s="23"/>
      <c r="S1069" s="173"/>
      <c r="T1069" s="30"/>
      <c r="W1069" s="421"/>
      <c r="Y1069" s="421"/>
      <c r="Z1069" s="421"/>
      <c r="AA1069" s="421"/>
      <c r="AB1069" s="421"/>
      <c r="AC1069" s="421"/>
      <c r="AD1069" s="421"/>
    </row>
    <row r="1070" spans="1:30" s="22" customFormat="1" x14ac:dyDescent="0.4">
      <c r="A1070" s="177" t="s">
        <v>875</v>
      </c>
      <c r="B1070" s="149" t="s">
        <v>58</v>
      </c>
      <c r="C1070" s="30" t="str">
        <f>VLOOKUP(B1070,'112年全品項生產鍋數'!A:H,2,0)</f>
        <v>PET大花生(1*400g)</v>
      </c>
      <c r="D1070" s="285">
        <v>36</v>
      </c>
      <c r="E1070" s="48">
        <f>VLOOKUP(B1070,'112年全品項生產鍋數'!A:H,3,0)</f>
        <v>0.4</v>
      </c>
      <c r="F1070" s="45">
        <f>VLOOKUP(B1070,'112年全品項生產鍋數'!A:H,7,0)</f>
        <v>309.2</v>
      </c>
      <c r="G1070" s="49">
        <f t="shared" si="116"/>
        <v>11131.199999999999</v>
      </c>
      <c r="H1070" s="144">
        <v>11317</v>
      </c>
      <c r="I1070" s="111">
        <f t="shared" si="118"/>
        <v>4526.8</v>
      </c>
      <c r="J1070" s="50">
        <f t="shared" si="121"/>
        <v>1.0166918211872935</v>
      </c>
      <c r="K1070" s="51">
        <f>VLOOKUP(B:B,'生產達成率(目標)'!A:C,3,0)</f>
        <v>1</v>
      </c>
      <c r="L1070" s="20">
        <f t="shared" si="117"/>
        <v>1.7000000000000001E-2</v>
      </c>
      <c r="M1070" s="41" t="str">
        <f>工時!R254</f>
        <v>480</v>
      </c>
      <c r="N1070" s="159"/>
      <c r="O1070" s="144">
        <f t="shared" si="120"/>
        <v>3</v>
      </c>
      <c r="P1070" s="144">
        <v>11314</v>
      </c>
      <c r="Q1070" s="98">
        <f t="shared" si="119"/>
        <v>0.99973491207917298</v>
      </c>
      <c r="R1070" s="23"/>
      <c r="S1070" s="173"/>
      <c r="T1070" s="30"/>
      <c r="W1070" s="421"/>
      <c r="Y1070" s="421"/>
      <c r="Z1070" s="421"/>
      <c r="AA1070" s="421"/>
      <c r="AB1070" s="421"/>
      <c r="AC1070" s="421"/>
      <c r="AD1070" s="421"/>
    </row>
    <row r="1071" spans="1:30" s="22" customFormat="1" x14ac:dyDescent="0.4">
      <c r="A1071" s="177" t="s">
        <v>876</v>
      </c>
      <c r="B1071" s="149" t="s">
        <v>71</v>
      </c>
      <c r="C1071" s="30" t="str">
        <f>VLOOKUP(B1071,'112年全品項生產鍋數'!A:H,2,0)</f>
        <v>＃1草莓(1*3.2kg)</v>
      </c>
      <c r="D1071" s="285">
        <v>72</v>
      </c>
      <c r="E1071" s="48">
        <f>VLOOKUP(B1071,'112年全品項生產鍋數'!A:H,3,0)</f>
        <v>3.2</v>
      </c>
      <c r="F1071" s="45">
        <f>VLOOKUP(B1071,'112年全品項生產鍋數'!A:H,7,0)</f>
        <v>46.8</v>
      </c>
      <c r="G1071" s="49">
        <f t="shared" si="116"/>
        <v>3369.6</v>
      </c>
      <c r="H1071" s="144">
        <v>3412</v>
      </c>
      <c r="I1071" s="111">
        <f t="shared" si="118"/>
        <v>10918.400000000001</v>
      </c>
      <c r="J1071" s="50">
        <f t="shared" si="121"/>
        <v>1.0125830959164293</v>
      </c>
      <c r="K1071" s="51">
        <f>VLOOKUP(B:B,'生產達成率(目標)'!A:C,3,0)</f>
        <v>1</v>
      </c>
      <c r="L1071" s="20">
        <f t="shared" si="117"/>
        <v>1.2999999999999999E-2</v>
      </c>
      <c r="M1071" s="41" t="str">
        <f>工時!R255</f>
        <v>540</v>
      </c>
      <c r="N1071" s="159"/>
      <c r="O1071" s="144">
        <f t="shared" si="120"/>
        <v>2</v>
      </c>
      <c r="P1071" s="144">
        <v>3410</v>
      </c>
      <c r="Q1071" s="98">
        <f t="shared" si="119"/>
        <v>0.99941383352872215</v>
      </c>
      <c r="R1071" s="23"/>
      <c r="S1071" s="173"/>
      <c r="T1071" s="30"/>
      <c r="W1071" s="421"/>
      <c r="Y1071" s="421"/>
      <c r="Z1071" s="421"/>
      <c r="AA1071" s="421"/>
      <c r="AB1071" s="421"/>
      <c r="AC1071" s="421"/>
      <c r="AD1071" s="421"/>
    </row>
    <row r="1072" spans="1:30" s="22" customFormat="1" x14ac:dyDescent="0.4">
      <c r="A1072" s="177" t="s">
        <v>876</v>
      </c>
      <c r="B1072" s="149" t="s">
        <v>63</v>
      </c>
      <c r="C1072" s="30" t="str">
        <f>VLOOKUP(B1072,'112年全品項生產鍋數'!A:H,2,0)</f>
        <v>草莓蒟蒻餡(1*6kg)</v>
      </c>
      <c r="D1072" s="285">
        <v>20</v>
      </c>
      <c r="E1072" s="48">
        <f>VLOOKUP(B1072,'112年全品項生產鍋數'!A:H,3,0)</f>
        <v>6</v>
      </c>
      <c r="F1072" s="45">
        <f>VLOOKUP(B1072,'112年全品項生產鍋數'!A:H,7,0)</f>
        <v>25.7</v>
      </c>
      <c r="G1072" s="49">
        <f t="shared" si="116"/>
        <v>514</v>
      </c>
      <c r="H1072" s="144">
        <f>300+214</f>
        <v>514</v>
      </c>
      <c r="I1072" s="111">
        <f t="shared" si="118"/>
        <v>3084</v>
      </c>
      <c r="J1072" s="50">
        <f t="shared" si="121"/>
        <v>1</v>
      </c>
      <c r="K1072" s="51">
        <f>VLOOKUP(B:B,'生產達成率(目標)'!A:C,3,0)</f>
        <v>1</v>
      </c>
      <c r="L1072" s="20">
        <f t="shared" si="117"/>
        <v>0</v>
      </c>
      <c r="M1072" s="41" t="str">
        <f>工時!R256</f>
        <v>283</v>
      </c>
      <c r="N1072" s="159"/>
      <c r="O1072" s="144">
        <f t="shared" si="120"/>
        <v>1</v>
      </c>
      <c r="P1072" s="144">
        <f>299+214</f>
        <v>513</v>
      </c>
      <c r="Q1072" s="98">
        <f t="shared" si="119"/>
        <v>0.99805447470817121</v>
      </c>
      <c r="R1072" s="23"/>
      <c r="S1072" s="173"/>
      <c r="T1072" s="30"/>
      <c r="W1072" s="421"/>
      <c r="Y1072" s="421"/>
      <c r="Z1072" s="421"/>
      <c r="AA1072" s="421"/>
      <c r="AB1072" s="421"/>
      <c r="AC1072" s="421"/>
      <c r="AD1072" s="421"/>
    </row>
    <row r="1073" spans="1:30" s="22" customFormat="1" x14ac:dyDescent="0.4">
      <c r="A1073" s="177" t="s">
        <v>876</v>
      </c>
      <c r="B1073" s="149" t="s">
        <v>109</v>
      </c>
      <c r="C1073" s="30" t="str">
        <f>VLOOKUP(B1073,'112年全品項生產鍋數'!A:H,2,0)</f>
        <v>蔓越莓醬(1*6KG)</v>
      </c>
      <c r="D1073" s="285">
        <v>12</v>
      </c>
      <c r="E1073" s="48">
        <f>VLOOKUP(B1073,'112年全品項生產鍋數'!A:H,3,0)</f>
        <v>6</v>
      </c>
      <c r="F1073" s="45">
        <f>VLOOKUP(B1073,'112年全品項生產鍋數'!A:H,7,0)</f>
        <v>25.6</v>
      </c>
      <c r="G1073" s="49">
        <f t="shared" si="116"/>
        <v>307.20000000000005</v>
      </c>
      <c r="H1073" s="144">
        <f>313</f>
        <v>313</v>
      </c>
      <c r="I1073" s="111">
        <f t="shared" si="118"/>
        <v>1878</v>
      </c>
      <c r="J1073" s="50">
        <f t="shared" si="121"/>
        <v>1.0188802083333333</v>
      </c>
      <c r="K1073" s="51">
        <f>VLOOKUP(B:B,'生產達成率(目標)'!A:C,3,0)</f>
        <v>1</v>
      </c>
      <c r="L1073" s="20">
        <f t="shared" si="117"/>
        <v>1.9E-2</v>
      </c>
      <c r="M1073" s="41" t="str">
        <f>工時!R257</f>
        <v>164</v>
      </c>
      <c r="N1073" s="159"/>
      <c r="O1073" s="144">
        <f t="shared" si="120"/>
        <v>2</v>
      </c>
      <c r="P1073" s="144">
        <v>311</v>
      </c>
      <c r="Q1073" s="98">
        <f t="shared" si="119"/>
        <v>0.99361022364217255</v>
      </c>
      <c r="R1073" s="23"/>
      <c r="S1073" s="173"/>
      <c r="T1073" s="30"/>
      <c r="W1073" s="421"/>
      <c r="Y1073" s="421"/>
      <c r="Z1073" s="421"/>
      <c r="AA1073" s="421"/>
      <c r="AB1073" s="421"/>
      <c r="AC1073" s="421"/>
      <c r="AD1073" s="421"/>
    </row>
    <row r="1074" spans="1:30" s="22" customFormat="1" x14ac:dyDescent="0.4">
      <c r="A1074" s="177" t="s">
        <v>876</v>
      </c>
      <c r="B1074" s="149" t="s">
        <v>571</v>
      </c>
      <c r="C1074" s="30" t="str">
        <f>VLOOKUP(B1074,'112年全品項生產鍋數'!A:H,2,0)</f>
        <v>綜合莓果餡(1*6Kg)</v>
      </c>
      <c r="D1074" s="285">
        <v>8</v>
      </c>
      <c r="E1074" s="48">
        <f>VLOOKUP(B1074,'112年全品項生產鍋數'!A:H,3,0)</f>
        <v>6</v>
      </c>
      <c r="F1074" s="45">
        <f>VLOOKUP(B1074,'112年全品項生產鍋數'!A:H,7,0)</f>
        <v>26</v>
      </c>
      <c r="G1074" s="49">
        <f t="shared" si="116"/>
        <v>208</v>
      </c>
      <c r="H1074" s="144">
        <v>214</v>
      </c>
      <c r="I1074" s="111">
        <f t="shared" si="118"/>
        <v>1284</v>
      </c>
      <c r="J1074" s="50">
        <f t="shared" si="121"/>
        <v>1.0288461538461537</v>
      </c>
      <c r="K1074" s="51">
        <f>VLOOKUP(B:B,'生產達成率(目標)'!A:C,3,0)</f>
        <v>1</v>
      </c>
      <c r="L1074" s="20">
        <f t="shared" si="117"/>
        <v>2.9000000000000001E-2</v>
      </c>
      <c r="M1074" s="41" t="str">
        <f>工時!R258</f>
        <v>120</v>
      </c>
      <c r="N1074" s="159"/>
      <c r="O1074" s="144">
        <f t="shared" si="120"/>
        <v>12</v>
      </c>
      <c r="P1074" s="144">
        <v>202</v>
      </c>
      <c r="Q1074" s="98">
        <f t="shared" si="119"/>
        <v>0.94392523364485981</v>
      </c>
      <c r="R1074" s="23"/>
      <c r="S1074" s="173"/>
      <c r="T1074" s="30"/>
      <c r="W1074" s="421"/>
      <c r="Y1074" s="421"/>
      <c r="Z1074" s="421"/>
      <c r="AA1074" s="421"/>
      <c r="AB1074" s="421"/>
      <c r="AC1074" s="421"/>
      <c r="AD1074" s="421"/>
    </row>
    <row r="1075" spans="1:30" s="22" customFormat="1" x14ac:dyDescent="0.4">
      <c r="A1075" s="177" t="s">
        <v>876</v>
      </c>
      <c r="B1075" s="149" t="s">
        <v>73</v>
      </c>
      <c r="C1075" s="30" t="str">
        <f>VLOOKUP(B1075,'112年全品項生產鍋數'!A:H,2,0)</f>
        <v>顆粒花生醬(1*12KG)</v>
      </c>
      <c r="D1075" s="285">
        <v>21</v>
      </c>
      <c r="E1075" s="48">
        <f>VLOOKUP(B1075,'112年全品項生產鍋數'!A:H,3,0)</f>
        <v>3</v>
      </c>
      <c r="F1075" s="45">
        <f>VLOOKUP(B1075,'112年全品項生產鍋數'!A:H,7,0)</f>
        <v>29.7</v>
      </c>
      <c r="G1075" s="49">
        <f t="shared" si="116"/>
        <v>623.69999999999993</v>
      </c>
      <c r="H1075" s="144">
        <v>632</v>
      </c>
      <c r="I1075" s="23">
        <f t="shared" si="118"/>
        <v>1896</v>
      </c>
      <c r="J1075" s="50">
        <f t="shared" si="121"/>
        <v>1.0133076799743468</v>
      </c>
      <c r="K1075" s="51">
        <f>VLOOKUP(B:B,'生產達成率(目標)'!A:C,3,0)</f>
        <v>1</v>
      </c>
      <c r="L1075" s="20">
        <f t="shared" si="117"/>
        <v>1.2999999999999999E-2</v>
      </c>
      <c r="M1075" s="41" t="str">
        <f>工時!R259</f>
        <v>540</v>
      </c>
      <c r="N1075" s="159"/>
      <c r="O1075" s="144">
        <f t="shared" si="120"/>
        <v>0</v>
      </c>
      <c r="P1075" s="144">
        <v>632</v>
      </c>
      <c r="Q1075" s="98">
        <f t="shared" si="119"/>
        <v>1</v>
      </c>
      <c r="R1075" s="23"/>
      <c r="S1075" s="173"/>
      <c r="T1075" s="30"/>
      <c r="W1075" s="421"/>
      <c r="Y1075" s="421"/>
      <c r="Z1075" s="421"/>
      <c r="AA1075" s="421"/>
      <c r="AB1075" s="421"/>
      <c r="AC1075" s="421"/>
      <c r="AD1075" s="421"/>
    </row>
    <row r="1076" spans="1:30" s="22" customFormat="1" x14ac:dyDescent="0.4">
      <c r="A1076" s="177" t="s">
        <v>877</v>
      </c>
      <c r="B1076" s="149" t="s">
        <v>91</v>
      </c>
      <c r="C1076" s="30" t="str">
        <f>VLOOKUP(B1076,'112年全品項生產鍋數'!A:H,2,0)</f>
        <v>梨山草莓果醬(1*430g)</v>
      </c>
      <c r="D1076" s="285">
        <v>16</v>
      </c>
      <c r="E1076" s="48">
        <f>VLOOKUP(B1076,'112年全品項生產鍋數'!A:H,3,0)</f>
        <v>0.43</v>
      </c>
      <c r="F1076" s="45">
        <f>VLOOKUP(B1076,'112年全品項生產鍋數'!A:H,7,0)</f>
        <v>340.4</v>
      </c>
      <c r="G1076" s="49">
        <f t="shared" si="116"/>
        <v>5446.4</v>
      </c>
      <c r="H1076" s="144">
        <f>3473+2162</f>
        <v>5635</v>
      </c>
      <c r="I1076" s="23">
        <f t="shared" si="118"/>
        <v>2423.0500000000002</v>
      </c>
      <c r="J1076" s="50">
        <f t="shared" si="121"/>
        <v>1.0346283783783785</v>
      </c>
      <c r="K1076" s="51">
        <f>VLOOKUP(B:B,'生產達成率(目標)'!A:C,3,0)</f>
        <v>1</v>
      </c>
      <c r="L1076" s="20">
        <f t="shared" si="117"/>
        <v>3.5000000000000003E-2</v>
      </c>
      <c r="M1076" s="41" t="str">
        <f>工時!R260</f>
        <v>330</v>
      </c>
      <c r="N1076" s="159"/>
      <c r="O1076" s="144">
        <f t="shared" si="120"/>
        <v>19</v>
      </c>
      <c r="P1076" s="144">
        <f>3456+2160</f>
        <v>5616</v>
      </c>
      <c r="Q1076" s="98">
        <f t="shared" si="119"/>
        <v>0.99662821650399291</v>
      </c>
      <c r="R1076" s="23"/>
      <c r="S1076" s="173"/>
      <c r="T1076" s="30" t="s">
        <v>635</v>
      </c>
      <c r="W1076" s="421"/>
      <c r="Y1076" s="421"/>
      <c r="Z1076" s="421"/>
      <c r="AA1076" s="421"/>
      <c r="AB1076" s="421"/>
      <c r="AC1076" s="421"/>
      <c r="AD1076" s="421"/>
    </row>
    <row r="1077" spans="1:30" s="22" customFormat="1" x14ac:dyDescent="0.4">
      <c r="A1077" s="177" t="s">
        <v>877</v>
      </c>
      <c r="B1077" s="149" t="s">
        <v>158</v>
      </c>
      <c r="C1077" s="30" t="str">
        <f>VLOOKUP(B1077,'112年全品項生產鍋數'!A:H,2,0)</f>
        <v>小圓草莓(1*170g)</v>
      </c>
      <c r="D1077" s="285">
        <v>8</v>
      </c>
      <c r="E1077" s="48">
        <f>VLOOKUP(B1077,'112年全品項生產鍋數'!A:H,3,0)</f>
        <v>0.17</v>
      </c>
      <c r="F1077" s="45">
        <f>VLOOKUP(B1077,'112年全品項生產鍋數'!A:H,7,0)</f>
        <v>912.6</v>
      </c>
      <c r="G1077" s="49">
        <f t="shared" si="116"/>
        <v>7300.8</v>
      </c>
      <c r="H1077" s="144">
        <v>7434</v>
      </c>
      <c r="I1077" s="23">
        <f t="shared" si="118"/>
        <v>1263.7800000000002</v>
      </c>
      <c r="J1077" s="50">
        <f t="shared" si="121"/>
        <v>1.0182445759368837</v>
      </c>
      <c r="K1077" s="51">
        <f>VLOOKUP(B:B,'生產達成率(目標)'!A:C,3,0)</f>
        <v>1</v>
      </c>
      <c r="L1077" s="20">
        <f t="shared" si="117"/>
        <v>1.7999999999999999E-2</v>
      </c>
      <c r="M1077" s="41" t="str">
        <f>工時!R261</f>
        <v>170</v>
      </c>
      <c r="N1077" s="159"/>
      <c r="O1077" s="144">
        <f t="shared" si="120"/>
        <v>8</v>
      </c>
      <c r="P1077" s="144">
        <v>7426</v>
      </c>
      <c r="Q1077" s="98">
        <f t="shared" si="119"/>
        <v>0.99892386333064298</v>
      </c>
      <c r="R1077" s="23"/>
      <c r="S1077" s="173"/>
      <c r="T1077" s="30"/>
      <c r="W1077" s="421"/>
      <c r="Y1077" s="421"/>
      <c r="Z1077" s="421"/>
      <c r="AA1077" s="421"/>
      <c r="AB1077" s="421"/>
      <c r="AC1077" s="421"/>
      <c r="AD1077" s="421"/>
    </row>
    <row r="1078" spans="1:30" s="22" customFormat="1" x14ac:dyDescent="0.4">
      <c r="A1078" s="177" t="s">
        <v>877</v>
      </c>
      <c r="B1078" s="149" t="s">
        <v>636</v>
      </c>
      <c r="C1078" s="30" t="s">
        <v>637</v>
      </c>
      <c r="D1078" s="286">
        <f>G1078/150</f>
        <v>2.0833333333333335</v>
      </c>
      <c r="E1078" s="23">
        <v>0.16</v>
      </c>
      <c r="F1078" s="45" t="e">
        <f>VLOOKUP(B1078,'112年全品項生產鍋數'!A:H,7,0)</f>
        <v>#N/A</v>
      </c>
      <c r="G1078" s="23">
        <f>50/0.16</f>
        <v>312.5</v>
      </c>
      <c r="H1078" s="144">
        <v>295</v>
      </c>
      <c r="I1078" s="23">
        <f t="shared" si="118"/>
        <v>47.2</v>
      </c>
      <c r="J1078" s="50">
        <f>IF(G1078=0,"無法預估數據",H1078/G1078)</f>
        <v>0.94399999999999995</v>
      </c>
      <c r="K1078" s="51" t="e">
        <f>VLOOKUP(B:B,'生產達成率(目標)'!A:C,3,0)</f>
        <v>#N/A</v>
      </c>
      <c r="L1078" s="20" t="e">
        <f t="shared" si="117"/>
        <v>#N/A</v>
      </c>
      <c r="M1078" s="41" t="str">
        <f>工時!R262</f>
        <v>70</v>
      </c>
      <c r="N1078" s="159"/>
      <c r="O1078" s="144">
        <f t="shared" si="120"/>
        <v>3</v>
      </c>
      <c r="P1078" s="144">
        <v>292</v>
      </c>
      <c r="Q1078" s="98">
        <f t="shared" si="119"/>
        <v>0.98983050847457632</v>
      </c>
      <c r="R1078" s="23"/>
      <c r="S1078" s="173"/>
      <c r="T1078" s="30"/>
      <c r="W1078" s="421"/>
      <c r="Y1078" s="421"/>
      <c r="Z1078" s="421"/>
      <c r="AA1078" s="421"/>
      <c r="AB1078" s="421"/>
      <c r="AC1078" s="421"/>
      <c r="AD1078" s="421"/>
    </row>
    <row r="1079" spans="1:30" s="22" customFormat="1" x14ac:dyDescent="0.4">
      <c r="A1079" s="177" t="s">
        <v>877</v>
      </c>
      <c r="B1079" s="149" t="s">
        <v>636</v>
      </c>
      <c r="C1079" s="30" t="s">
        <v>638</v>
      </c>
      <c r="D1079" s="286">
        <f>G1079/150</f>
        <v>2.0833333333333335</v>
      </c>
      <c r="E1079" s="23">
        <v>0.16</v>
      </c>
      <c r="F1079" s="45" t="e">
        <f>VLOOKUP(B1079,'112年全品項生產鍋數'!A:H,7,0)</f>
        <v>#N/A</v>
      </c>
      <c r="G1079" s="23">
        <f>50/0.16</f>
        <v>312.5</v>
      </c>
      <c r="H1079" s="144">
        <v>331</v>
      </c>
      <c r="I1079" s="23">
        <f t="shared" si="118"/>
        <v>52.96</v>
      </c>
      <c r="J1079" s="50">
        <f t="shared" ref="J1079" si="122">IF(G1079=0,"無法預估數據",H1079/G1079)</f>
        <v>1.0591999999999999</v>
      </c>
      <c r="K1079" s="51" t="e">
        <f>VLOOKUP(B:B,'生產達成率(目標)'!A:C,3,0)</f>
        <v>#N/A</v>
      </c>
      <c r="L1079" s="20" t="e">
        <f t="shared" si="117"/>
        <v>#N/A</v>
      </c>
      <c r="M1079" s="41" t="str">
        <f>工時!R263</f>
        <v>90</v>
      </c>
      <c r="N1079" s="159"/>
      <c r="O1079" s="144">
        <f t="shared" si="120"/>
        <v>3</v>
      </c>
      <c r="P1079" s="144">
        <v>328</v>
      </c>
      <c r="Q1079" s="98">
        <f t="shared" si="119"/>
        <v>0.99093655589123864</v>
      </c>
      <c r="R1079" s="23"/>
      <c r="S1079" s="173"/>
      <c r="T1079" s="30"/>
      <c r="W1079" s="421"/>
      <c r="Y1079" s="421"/>
      <c r="Z1079" s="421"/>
      <c r="AA1079" s="421"/>
      <c r="AB1079" s="421"/>
      <c r="AC1079" s="421"/>
      <c r="AD1079" s="421"/>
    </row>
    <row r="1080" spans="1:30" s="22" customFormat="1" x14ac:dyDescent="0.4">
      <c r="A1080" s="177" t="s">
        <v>877</v>
      </c>
      <c r="B1080" s="149" t="s">
        <v>63</v>
      </c>
      <c r="C1080" s="30" t="str">
        <f>VLOOKUP(B1080,'112年全品項生產鍋數'!A:H,2,0)</f>
        <v>草莓蒟蒻餡(1*6kg)</v>
      </c>
      <c r="D1080" s="285">
        <v>24</v>
      </c>
      <c r="E1080" s="48">
        <f>VLOOKUP(B1080,'112年全品項生產鍋數'!A:H,3,0)</f>
        <v>6</v>
      </c>
      <c r="F1080" s="45">
        <f>VLOOKUP(B1080,'112年全品項生產鍋數'!A:H,7,0)</f>
        <v>25.7</v>
      </c>
      <c r="G1080" s="49">
        <f t="shared" ref="G1080:G1090" si="123">D1080*F1080</f>
        <v>616.79999999999995</v>
      </c>
      <c r="H1080" s="144">
        <f>304+318</f>
        <v>622</v>
      </c>
      <c r="I1080" s="23">
        <f t="shared" si="118"/>
        <v>3732</v>
      </c>
      <c r="J1080" s="50">
        <f t="shared" si="121"/>
        <v>1.0084306095979247</v>
      </c>
      <c r="K1080" s="51">
        <f>VLOOKUP(B:B,'生產達成率(目標)'!A:C,3,0)</f>
        <v>1</v>
      </c>
      <c r="L1080" s="20">
        <f t="shared" si="117"/>
        <v>8.0000000000000002E-3</v>
      </c>
      <c r="M1080" s="41" t="str">
        <f>工時!R264</f>
        <v>323</v>
      </c>
      <c r="N1080" s="159"/>
      <c r="O1080" s="144">
        <f t="shared" si="120"/>
        <v>2</v>
      </c>
      <c r="P1080" s="144">
        <f>302+318</f>
        <v>620</v>
      </c>
      <c r="Q1080" s="98">
        <f t="shared" si="119"/>
        <v>0.99678456591639875</v>
      </c>
      <c r="R1080" s="23"/>
      <c r="S1080" s="173"/>
      <c r="T1080" s="30"/>
      <c r="W1080" s="421"/>
      <c r="Y1080" s="421"/>
      <c r="Z1080" s="421"/>
      <c r="AA1080" s="421"/>
      <c r="AB1080" s="421"/>
      <c r="AC1080" s="421"/>
      <c r="AD1080" s="421"/>
    </row>
    <row r="1081" spans="1:30" s="22" customFormat="1" x14ac:dyDescent="0.4">
      <c r="A1081" s="177" t="s">
        <v>877</v>
      </c>
      <c r="B1081" s="149" t="s">
        <v>639</v>
      </c>
      <c r="C1081" s="30" t="str">
        <f>VLOOKUP(B1081,'112年全品項生產鍋數'!A:H,2,0)</f>
        <v>草莓醬(1*6Kg)</v>
      </c>
      <c r="D1081" s="285">
        <v>8</v>
      </c>
      <c r="E1081" s="48">
        <f>VLOOKUP(B1081,'112年全品項生產鍋數'!A:H,3,0)</f>
        <v>6</v>
      </c>
      <c r="F1081" s="45">
        <f>VLOOKUP(B1081,'112年全品項生產鍋數'!A:H,7,0)</f>
        <v>24.9</v>
      </c>
      <c r="G1081" s="49">
        <f t="shared" si="123"/>
        <v>199.2</v>
      </c>
      <c r="H1081" s="144">
        <v>208</v>
      </c>
      <c r="I1081" s="23">
        <f t="shared" si="118"/>
        <v>1248</v>
      </c>
      <c r="J1081" s="50">
        <f t="shared" si="121"/>
        <v>1.0441767068273093</v>
      </c>
      <c r="K1081" s="51">
        <f>VLOOKUP(B:B,'生產達成率(目標)'!A:C,3,0)</f>
        <v>1</v>
      </c>
      <c r="L1081" s="20">
        <f t="shared" si="117"/>
        <v>4.3999999999999997E-2</v>
      </c>
      <c r="M1081" s="41" t="str">
        <f>工時!R265</f>
        <v>150</v>
      </c>
      <c r="N1081" s="159"/>
      <c r="O1081" s="144">
        <f t="shared" si="120"/>
        <v>2</v>
      </c>
      <c r="P1081" s="144">
        <v>206</v>
      </c>
      <c r="Q1081" s="98">
        <f t="shared" si="119"/>
        <v>0.99038461538461542</v>
      </c>
      <c r="R1081" s="23"/>
      <c r="S1081" s="173"/>
      <c r="T1081" s="30"/>
      <c r="W1081" s="421"/>
      <c r="Y1081" s="421"/>
      <c r="Z1081" s="421"/>
      <c r="AA1081" s="421"/>
      <c r="AB1081" s="421"/>
      <c r="AC1081" s="421"/>
      <c r="AD1081" s="421"/>
    </row>
    <row r="1082" spans="1:30" s="22" customFormat="1" x14ac:dyDescent="0.4">
      <c r="A1082" s="177" t="s">
        <v>877</v>
      </c>
      <c r="B1082" s="149" t="s">
        <v>128</v>
      </c>
      <c r="C1082" s="30" t="str">
        <f>VLOOKUP(B1082,'112年全品項生產鍋數'!A:H,2,0)</f>
        <v>草莓椰果漿(1*6KG)</v>
      </c>
      <c r="D1082" s="285">
        <v>8</v>
      </c>
      <c r="E1082" s="48">
        <f>VLOOKUP(B1082,'112年全品項生產鍋數'!A:H,3,0)</f>
        <v>6</v>
      </c>
      <c r="F1082" s="45">
        <f>VLOOKUP(B1082,'112年全品項生產鍋數'!A:H,7,0)</f>
        <v>25.7</v>
      </c>
      <c r="G1082" s="49">
        <f t="shared" si="123"/>
        <v>205.6</v>
      </c>
      <c r="H1082" s="144">
        <v>204</v>
      </c>
      <c r="I1082" s="23">
        <f t="shared" si="118"/>
        <v>1224</v>
      </c>
      <c r="J1082" s="50">
        <f t="shared" si="121"/>
        <v>0.99221789883268485</v>
      </c>
      <c r="K1082" s="51">
        <f>VLOOKUP(B:B,'生產達成率(目標)'!A:C,3,0)</f>
        <v>1</v>
      </c>
      <c r="L1082" s="20">
        <f t="shared" si="117"/>
        <v>-8.0000000000000002E-3</v>
      </c>
      <c r="M1082" s="41" t="str">
        <f>工時!R266</f>
        <v>150</v>
      </c>
      <c r="N1082" s="159"/>
      <c r="O1082" s="144">
        <f t="shared" si="120"/>
        <v>1</v>
      </c>
      <c r="P1082" s="144">
        <v>203</v>
      </c>
      <c r="Q1082" s="98">
        <f t="shared" si="119"/>
        <v>0.99509803921568629</v>
      </c>
      <c r="R1082" s="23"/>
      <c r="S1082" s="173"/>
      <c r="T1082" s="30"/>
      <c r="W1082" s="421"/>
      <c r="Y1082" s="421"/>
      <c r="Z1082" s="421"/>
      <c r="AA1082" s="421"/>
      <c r="AB1082" s="421"/>
      <c r="AC1082" s="421"/>
      <c r="AD1082" s="421"/>
    </row>
    <row r="1083" spans="1:30" s="22" customFormat="1" x14ac:dyDescent="0.4">
      <c r="A1083" s="177" t="s">
        <v>877</v>
      </c>
      <c r="B1083" s="149" t="s">
        <v>23</v>
      </c>
      <c r="C1083" s="30" t="str">
        <f>VLOOKUP(B1083,'112年全品項生產鍋數'!A:H,2,0)</f>
        <v>＃1花生(粒)(1*2.8kg)</v>
      </c>
      <c r="D1083" s="285">
        <v>72</v>
      </c>
      <c r="E1083" s="48">
        <f>VLOOKUP(B1083,'112年全品項生產鍋數'!A:H,3,0)</f>
        <v>2.8</v>
      </c>
      <c r="F1083" s="45">
        <f>VLOOKUP(B1083,'112年全品項生產鍋數'!A:H,7,0)</f>
        <v>44.2</v>
      </c>
      <c r="G1083" s="49">
        <f t="shared" si="123"/>
        <v>3182.4</v>
      </c>
      <c r="H1083" s="144">
        <v>3174</v>
      </c>
      <c r="I1083" s="23">
        <f t="shared" si="118"/>
        <v>8887.1999999999989</v>
      </c>
      <c r="J1083" s="50">
        <f t="shared" si="121"/>
        <v>0.99736048265460031</v>
      </c>
      <c r="K1083" s="51">
        <f>VLOOKUP(B:B,'生產達成率(目標)'!A:C,3,0)</f>
        <v>1</v>
      </c>
      <c r="L1083" s="20">
        <f t="shared" si="117"/>
        <v>-3.0000000000000001E-3</v>
      </c>
      <c r="M1083" s="41" t="str">
        <f>工時!R267</f>
        <v>570</v>
      </c>
      <c r="N1083" s="159"/>
      <c r="O1083" s="144">
        <f t="shared" si="120"/>
        <v>1</v>
      </c>
      <c r="P1083" s="144">
        <v>3173</v>
      </c>
      <c r="Q1083" s="98">
        <f t="shared" si="119"/>
        <v>0.9996849401386263</v>
      </c>
      <c r="R1083" s="23"/>
      <c r="S1083" s="173"/>
      <c r="T1083" s="30"/>
      <c r="W1083" s="421"/>
      <c r="Y1083" s="421"/>
      <c r="Z1083" s="421"/>
      <c r="AA1083" s="421"/>
      <c r="AB1083" s="421"/>
      <c r="AC1083" s="421"/>
      <c r="AD1083" s="421"/>
    </row>
    <row r="1084" spans="1:30" s="22" customFormat="1" x14ac:dyDescent="0.4">
      <c r="A1084" s="177" t="s">
        <v>878</v>
      </c>
      <c r="B1084" s="149" t="s">
        <v>71</v>
      </c>
      <c r="C1084" s="30" t="str">
        <f>VLOOKUP(B1084,'112年全品項生產鍋數'!A:H,2,0)</f>
        <v>＃1草莓(1*3.2kg)</v>
      </c>
      <c r="D1084" s="285">
        <v>72</v>
      </c>
      <c r="E1084" s="48">
        <f>VLOOKUP(B1084,'112年全品項生產鍋數'!A:H,3,0)</f>
        <v>3.2</v>
      </c>
      <c r="F1084" s="45">
        <f>VLOOKUP(B1084,'112年全品項生產鍋數'!A:H,7,0)</f>
        <v>46.8</v>
      </c>
      <c r="G1084" s="49">
        <f t="shared" si="123"/>
        <v>3369.6</v>
      </c>
      <c r="H1084" s="144">
        <v>3410</v>
      </c>
      <c r="I1084" s="23">
        <f t="shared" si="118"/>
        <v>10912</v>
      </c>
      <c r="J1084" s="50">
        <f t="shared" si="121"/>
        <v>1.0119895536562205</v>
      </c>
      <c r="K1084" s="51">
        <f>VLOOKUP(B:B,'生產達成率(目標)'!A:C,3,0)</f>
        <v>1</v>
      </c>
      <c r="L1084" s="20">
        <f t="shared" si="117"/>
        <v>1.2E-2</v>
      </c>
      <c r="M1084" s="41" t="str">
        <f>工時!R268</f>
        <v>540</v>
      </c>
      <c r="N1084" s="159"/>
      <c r="O1084" s="144">
        <f t="shared" si="120"/>
        <v>2</v>
      </c>
      <c r="P1084" s="144">
        <v>3408</v>
      </c>
      <c r="Q1084" s="98">
        <f t="shared" si="119"/>
        <v>0.99941348973607036</v>
      </c>
      <c r="R1084" s="23"/>
      <c r="S1084" s="173"/>
      <c r="T1084" s="30"/>
      <c r="W1084" s="421"/>
      <c r="Y1084" s="421"/>
      <c r="Z1084" s="421"/>
      <c r="AA1084" s="421"/>
      <c r="AB1084" s="421"/>
      <c r="AC1084" s="421"/>
      <c r="AD1084" s="421"/>
    </row>
    <row r="1085" spans="1:30" s="22" customFormat="1" x14ac:dyDescent="0.4">
      <c r="A1085" s="177" t="s">
        <v>878</v>
      </c>
      <c r="B1085" s="149" t="s">
        <v>646</v>
      </c>
      <c r="C1085" s="30" t="str">
        <f>VLOOKUP(B1085,'112年全品項生產鍋數'!A:H,2,0)</f>
        <v>玫瑰洛神餡(1*4.5KG)</v>
      </c>
      <c r="D1085" s="285">
        <v>3</v>
      </c>
      <c r="E1085" s="48">
        <f>VLOOKUP(B1085,'112年全品項生產鍋數'!A:H,3,0)</f>
        <v>4.5</v>
      </c>
      <c r="F1085" s="45">
        <f>VLOOKUP(B1085,'112年全品項生產鍋數'!A:H,7,0)</f>
        <v>32.9</v>
      </c>
      <c r="G1085" s="49">
        <f t="shared" si="123"/>
        <v>98.699999999999989</v>
      </c>
      <c r="H1085" s="144">
        <v>98</v>
      </c>
      <c r="I1085" s="23">
        <f t="shared" si="118"/>
        <v>441</v>
      </c>
      <c r="J1085" s="50">
        <f t="shared" si="121"/>
        <v>0.99290780141843982</v>
      </c>
      <c r="K1085" s="51">
        <f>VLOOKUP(B:B,'生產達成率(目標)'!A:C,3,0)</f>
        <v>1</v>
      </c>
      <c r="L1085" s="20">
        <f t="shared" si="117"/>
        <v>-7.0000000000000001E-3</v>
      </c>
      <c r="M1085" s="41" t="str">
        <f>工時!R269</f>
        <v>100</v>
      </c>
      <c r="N1085" s="159"/>
      <c r="O1085" s="144">
        <f t="shared" si="120"/>
        <v>0</v>
      </c>
      <c r="P1085" s="144">
        <v>98</v>
      </c>
      <c r="Q1085" s="98">
        <f t="shared" si="119"/>
        <v>1</v>
      </c>
      <c r="R1085" s="23"/>
      <c r="S1085" s="173"/>
      <c r="T1085" s="30"/>
      <c r="W1085" s="421"/>
      <c r="Y1085" s="421"/>
      <c r="Z1085" s="421"/>
      <c r="AA1085" s="421"/>
      <c r="AB1085" s="421"/>
      <c r="AC1085" s="421"/>
      <c r="AD1085" s="421"/>
    </row>
    <row r="1086" spans="1:30" s="22" customFormat="1" x14ac:dyDescent="0.4">
      <c r="A1086" s="177" t="s">
        <v>878</v>
      </c>
      <c r="B1086" s="149" t="s">
        <v>548</v>
      </c>
      <c r="C1086" s="30" t="str">
        <f>VLOOKUP(B1086,'112年全品項生產鍋數'!A:H,2,0)</f>
        <v>天天開心芒果餡4.5KG</v>
      </c>
      <c r="D1086" s="285">
        <v>8</v>
      </c>
      <c r="E1086" s="48">
        <f>VLOOKUP(B1086,'112年全品項生產鍋數'!A:H,3,0)</f>
        <v>4.5</v>
      </c>
      <c r="F1086" s="45">
        <f>VLOOKUP(B1086,'112年全品項生產鍋數'!A:H,7,0)</f>
        <v>33.200000000000003</v>
      </c>
      <c r="G1086" s="49">
        <f t="shared" si="123"/>
        <v>265.60000000000002</v>
      </c>
      <c r="H1086" s="144">
        <v>273</v>
      </c>
      <c r="I1086" s="23">
        <f t="shared" si="118"/>
        <v>1228.5</v>
      </c>
      <c r="J1086" s="50">
        <f t="shared" si="121"/>
        <v>1.0278614457831325</v>
      </c>
      <c r="K1086" s="51">
        <f>VLOOKUP(B:B,'生產達成率(目標)'!A:C,3,0)</f>
        <v>1</v>
      </c>
      <c r="L1086" s="20">
        <f t="shared" si="117"/>
        <v>2.8000000000000001E-2</v>
      </c>
      <c r="M1086" s="41" t="str">
        <f>工時!R270</f>
        <v>180</v>
      </c>
      <c r="N1086" s="159"/>
      <c r="O1086" s="144">
        <f t="shared" si="120"/>
        <v>0</v>
      </c>
      <c r="P1086" s="144">
        <v>273</v>
      </c>
      <c r="Q1086" s="98">
        <f t="shared" si="119"/>
        <v>1</v>
      </c>
      <c r="R1086" s="23"/>
      <c r="S1086" s="173"/>
      <c r="T1086" s="30"/>
      <c r="W1086" s="421"/>
      <c r="Y1086" s="421"/>
      <c r="Z1086" s="421"/>
      <c r="AA1086" s="421"/>
      <c r="AB1086" s="421"/>
      <c r="AC1086" s="421"/>
      <c r="AD1086" s="421"/>
    </row>
    <row r="1087" spans="1:30" s="22" customFormat="1" x14ac:dyDescent="0.4">
      <c r="A1087" s="177" t="s">
        <v>878</v>
      </c>
      <c r="B1087" s="149" t="s">
        <v>63</v>
      </c>
      <c r="C1087" s="30" t="str">
        <f>VLOOKUP(B1087,'112年全品項生產鍋數'!A:H,2,0)</f>
        <v>草莓蒟蒻餡(1*6kg)</v>
      </c>
      <c r="D1087" s="285">
        <v>16</v>
      </c>
      <c r="E1087" s="48">
        <f>VLOOKUP(B1087,'112年全品項生產鍋數'!A:H,3,0)</f>
        <v>6</v>
      </c>
      <c r="F1087" s="45">
        <f>VLOOKUP(B1087,'112年全品項生產鍋數'!A:H,7,0)</f>
        <v>25.7</v>
      </c>
      <c r="G1087" s="49">
        <f t="shared" si="123"/>
        <v>411.2</v>
      </c>
      <c r="H1087" s="144">
        <f>221+193</f>
        <v>414</v>
      </c>
      <c r="I1087" s="23">
        <f t="shared" si="118"/>
        <v>2484</v>
      </c>
      <c r="J1087" s="50">
        <f t="shared" si="121"/>
        <v>1.0068093385214008</v>
      </c>
      <c r="K1087" s="51">
        <f>VLOOKUP(B:B,'生產達成率(目標)'!A:C,3,0)</f>
        <v>1</v>
      </c>
      <c r="L1087" s="20">
        <f t="shared" si="117"/>
        <v>7.0000000000000001E-3</v>
      </c>
      <c r="M1087" s="41" t="str">
        <f>工時!R271</f>
        <v>360</v>
      </c>
      <c r="N1087" s="159"/>
      <c r="O1087" s="144">
        <f t="shared" si="120"/>
        <v>11</v>
      </c>
      <c r="P1087" s="144">
        <f>219+184</f>
        <v>403</v>
      </c>
      <c r="Q1087" s="98">
        <f t="shared" si="119"/>
        <v>0.97342995169082125</v>
      </c>
      <c r="R1087" s="23"/>
      <c r="S1087" s="173"/>
      <c r="T1087" s="30"/>
      <c r="W1087" s="421"/>
      <c r="Y1087" s="421"/>
      <c r="Z1087" s="421"/>
      <c r="AA1087" s="421"/>
      <c r="AB1087" s="421"/>
      <c r="AC1087" s="421"/>
      <c r="AD1087" s="421"/>
    </row>
    <row r="1088" spans="1:30" s="22" customFormat="1" x14ac:dyDescent="0.4">
      <c r="A1088" s="177" t="s">
        <v>878</v>
      </c>
      <c r="B1088" s="149" t="s">
        <v>470</v>
      </c>
      <c r="C1088" s="30" t="str">
        <f>VLOOKUP(B1088,'112年全品項生產鍋數'!A:H,2,0)</f>
        <v>藍莓餡（小）(1*4.5kg)</v>
      </c>
      <c r="D1088" s="285">
        <v>8</v>
      </c>
      <c r="E1088" s="48">
        <f>VLOOKUP(B1088,'112年全品項生產鍋數'!A:H,3,0)</f>
        <v>4.5</v>
      </c>
      <c r="F1088" s="45">
        <f>VLOOKUP(B1088,'112年全品項生產鍋數'!A:H,7,0)</f>
        <v>35</v>
      </c>
      <c r="G1088" s="49">
        <f t="shared" si="123"/>
        <v>280</v>
      </c>
      <c r="H1088" s="144">
        <v>286</v>
      </c>
      <c r="I1088" s="23">
        <f t="shared" si="118"/>
        <v>1287</v>
      </c>
      <c r="J1088" s="50">
        <f t="shared" si="121"/>
        <v>1.0214285714285714</v>
      </c>
      <c r="K1088" s="51">
        <f>VLOOKUP(B:B,'生產達成率(目標)'!A:C,3,0)</f>
        <v>1</v>
      </c>
      <c r="L1088" s="20">
        <f t="shared" si="117"/>
        <v>2.1000000000000001E-2</v>
      </c>
      <c r="M1088" s="41" t="str">
        <f>工時!R272</f>
        <v>435</v>
      </c>
      <c r="N1088" s="159"/>
      <c r="O1088" s="144">
        <f t="shared" si="120"/>
        <v>0</v>
      </c>
      <c r="P1088" s="144">
        <v>286</v>
      </c>
      <c r="Q1088" s="98">
        <f t="shared" si="119"/>
        <v>1</v>
      </c>
      <c r="R1088" s="23"/>
      <c r="S1088" s="173"/>
      <c r="T1088" s="30"/>
      <c r="W1088" s="421"/>
      <c r="Y1088" s="421"/>
      <c r="Z1088" s="421"/>
      <c r="AA1088" s="421"/>
      <c r="AB1088" s="421"/>
      <c r="AC1088" s="421"/>
      <c r="AD1088" s="421"/>
    </row>
    <row r="1089" spans="1:30" s="22" customFormat="1" x14ac:dyDescent="0.4">
      <c r="A1089" s="177" t="s">
        <v>878</v>
      </c>
      <c r="B1089" s="149" t="s">
        <v>97</v>
      </c>
      <c r="C1089" s="30" t="str">
        <f>VLOOKUP(B1089,'112年全品項生產鍋數'!A:H,2,0)</f>
        <v>花生醬(1*18KG)</v>
      </c>
      <c r="D1089" s="285">
        <v>24</v>
      </c>
      <c r="E1089" s="48">
        <f>VLOOKUP(B1089,'112年全品項生產鍋數'!A:H,3,0)</f>
        <v>18</v>
      </c>
      <c r="F1089" s="45">
        <f>VLOOKUP(B1089,'112年全品項生產鍋數'!A:H,7,0)</f>
        <v>6.6</v>
      </c>
      <c r="G1089" s="49">
        <f t="shared" si="123"/>
        <v>158.39999999999998</v>
      </c>
      <c r="H1089" s="144">
        <v>163</v>
      </c>
      <c r="I1089" s="23">
        <f t="shared" si="118"/>
        <v>2934</v>
      </c>
      <c r="J1089" s="50">
        <f t="shared" si="121"/>
        <v>1.0290404040404042</v>
      </c>
      <c r="K1089" s="51">
        <f>VLOOKUP(B:B,'生產達成率(目標)'!A:C,3,0)</f>
        <v>1</v>
      </c>
      <c r="L1089" s="20">
        <f t="shared" si="117"/>
        <v>2.9000000000000001E-2</v>
      </c>
      <c r="M1089" s="41" t="str">
        <f>工時!R273</f>
        <v>410</v>
      </c>
      <c r="N1089" s="159"/>
      <c r="O1089" s="144">
        <f t="shared" si="120"/>
        <v>0</v>
      </c>
      <c r="P1089" s="144">
        <v>163</v>
      </c>
      <c r="Q1089" s="98">
        <f t="shared" si="119"/>
        <v>1</v>
      </c>
      <c r="R1089" s="23"/>
      <c r="S1089" s="173"/>
      <c r="T1089" s="30"/>
      <c r="W1089" s="421"/>
      <c r="Y1089" s="421"/>
      <c r="Z1089" s="421"/>
      <c r="AA1089" s="421"/>
      <c r="AB1089" s="421"/>
      <c r="AC1089" s="421"/>
      <c r="AD1089" s="421"/>
    </row>
    <row r="1090" spans="1:30" s="22" customFormat="1" x14ac:dyDescent="0.4">
      <c r="A1090" s="177" t="s">
        <v>878</v>
      </c>
      <c r="B1090" s="149" t="s">
        <v>131</v>
      </c>
      <c r="C1090" s="30" t="str">
        <f>VLOOKUP(B1090,'112年全品項生產鍋數'!A:H,2,0)</f>
        <v>花生醬(1*18KG)</v>
      </c>
      <c r="D1090" s="285">
        <v>40</v>
      </c>
      <c r="E1090" s="48">
        <f>VLOOKUP(B1090,'112年全品項生產鍋數'!A:H,3,0)</f>
        <v>18</v>
      </c>
      <c r="F1090" s="45">
        <f>VLOOKUP(B1090,'112年全品項生產鍋數'!A:H,7,0)</f>
        <v>6.9</v>
      </c>
      <c r="G1090" s="49">
        <f t="shared" si="123"/>
        <v>276</v>
      </c>
      <c r="H1090" s="144">
        <v>278</v>
      </c>
      <c r="I1090" s="23">
        <f t="shared" si="118"/>
        <v>5004</v>
      </c>
      <c r="J1090" s="50">
        <f t="shared" si="121"/>
        <v>1.0072463768115942</v>
      </c>
      <c r="K1090" s="51">
        <f>VLOOKUP(B:B,'生產達成率(目標)'!A:C,3,0)</f>
        <v>1</v>
      </c>
      <c r="L1090" s="20">
        <f t="shared" si="117"/>
        <v>7.0000000000000001E-3</v>
      </c>
      <c r="M1090" s="41" t="str">
        <f>工時!R274</f>
        <v>280</v>
      </c>
      <c r="N1090" s="159"/>
      <c r="O1090" s="144">
        <f t="shared" si="120"/>
        <v>0</v>
      </c>
      <c r="P1090" s="144">
        <v>278</v>
      </c>
      <c r="Q1090" s="98">
        <f t="shared" si="119"/>
        <v>1</v>
      </c>
      <c r="R1090" s="23"/>
      <c r="S1090" s="173"/>
      <c r="T1090" s="30"/>
      <c r="W1090" s="421"/>
      <c r="Y1090" s="421"/>
      <c r="Z1090" s="421"/>
      <c r="AA1090" s="421"/>
      <c r="AB1090" s="421"/>
      <c r="AC1090" s="421"/>
      <c r="AD1090" s="421"/>
    </row>
    <row r="1091" spans="1:30" s="22" customFormat="1" x14ac:dyDescent="0.4">
      <c r="A1091" s="177" t="s">
        <v>878</v>
      </c>
      <c r="B1091" s="149" t="s">
        <v>636</v>
      </c>
      <c r="C1091" s="30" t="s">
        <v>647</v>
      </c>
      <c r="D1091" s="286">
        <v>100</v>
      </c>
      <c r="E1091" s="23">
        <f>190/1000</f>
        <v>0.19</v>
      </c>
      <c r="F1091" s="45" t="e">
        <f>VLOOKUP(B1091,'112年全品項生產鍋數'!A:H,7,0)</f>
        <v>#N/A</v>
      </c>
      <c r="G1091" s="23" t="e">
        <f t="shared" ref="G1091:G1127" si="124">D1091*F1091</f>
        <v>#N/A</v>
      </c>
      <c r="H1091" s="144">
        <v>120</v>
      </c>
      <c r="I1091" s="23">
        <f t="shared" si="118"/>
        <v>22.8</v>
      </c>
      <c r="J1091" s="50" t="e">
        <f t="shared" si="121"/>
        <v>#N/A</v>
      </c>
      <c r="K1091" s="51" t="e">
        <f>VLOOKUP(B:B,'生產達成率(目標)'!A:C,3,0)</f>
        <v>#N/A</v>
      </c>
      <c r="L1091" s="20" t="e">
        <f t="shared" ref="L1091:L1154" si="125">IF(G1091=0,"無法預估數據",ROUND(J1091-K1091,3))</f>
        <v>#N/A</v>
      </c>
      <c r="M1091" s="41" t="str">
        <f>工時!R275</f>
        <v>0</v>
      </c>
      <c r="N1091" s="159"/>
      <c r="O1091" s="144">
        <f t="shared" si="120"/>
        <v>2</v>
      </c>
      <c r="P1091" s="144">
        <v>118</v>
      </c>
      <c r="Q1091" s="98">
        <f t="shared" si="119"/>
        <v>0.98333333333333328</v>
      </c>
      <c r="R1091" s="23"/>
      <c r="S1091" s="173"/>
      <c r="T1091" s="30"/>
      <c r="W1091" s="421"/>
      <c r="Y1091" s="421"/>
      <c r="Z1091" s="421"/>
      <c r="AA1091" s="421"/>
      <c r="AB1091" s="421"/>
      <c r="AC1091" s="421"/>
      <c r="AD1091" s="421"/>
    </row>
    <row r="1092" spans="1:30" s="22" customFormat="1" x14ac:dyDescent="0.4">
      <c r="A1092" s="177" t="s">
        <v>878</v>
      </c>
      <c r="B1092" s="149" t="s">
        <v>636</v>
      </c>
      <c r="C1092" s="30" t="s">
        <v>648</v>
      </c>
      <c r="D1092" s="286">
        <v>300</v>
      </c>
      <c r="E1092" s="23">
        <v>0.15</v>
      </c>
      <c r="F1092" s="45" t="e">
        <f>VLOOKUP(B1092,'112年全品項生產鍋數'!A:H,7,0)</f>
        <v>#N/A</v>
      </c>
      <c r="G1092" s="23" t="e">
        <f t="shared" si="124"/>
        <v>#N/A</v>
      </c>
      <c r="H1092" s="144">
        <v>313</v>
      </c>
      <c r="I1092" s="23">
        <f t="shared" si="118"/>
        <v>46.949999999999996</v>
      </c>
      <c r="J1092" s="50" t="e">
        <f t="shared" si="121"/>
        <v>#N/A</v>
      </c>
      <c r="K1092" s="51" t="e">
        <f>VLOOKUP(B:B,'生產達成率(目標)'!A:C,3,0)</f>
        <v>#N/A</v>
      </c>
      <c r="L1092" s="20" t="e">
        <f t="shared" si="125"/>
        <v>#N/A</v>
      </c>
      <c r="M1092" s="41" t="str">
        <f>工時!R276</f>
        <v>0</v>
      </c>
      <c r="N1092" s="159"/>
      <c r="O1092" s="144">
        <f t="shared" si="120"/>
        <v>3</v>
      </c>
      <c r="P1092" s="144">
        <v>310</v>
      </c>
      <c r="Q1092" s="98">
        <f t="shared" si="119"/>
        <v>0.99041533546325877</v>
      </c>
      <c r="R1092" s="23"/>
      <c r="S1092" s="173"/>
      <c r="T1092" s="30"/>
      <c r="W1092" s="421"/>
      <c r="Y1092" s="421"/>
      <c r="Z1092" s="421"/>
      <c r="AA1092" s="421"/>
      <c r="AB1092" s="421"/>
      <c r="AC1092" s="421"/>
      <c r="AD1092" s="421"/>
    </row>
    <row r="1093" spans="1:30" s="22" customFormat="1" x14ac:dyDescent="0.4">
      <c r="A1093" s="177" t="s">
        <v>879</v>
      </c>
      <c r="B1093" s="149" t="s">
        <v>81</v>
      </c>
      <c r="C1093" s="30" t="str">
        <f>VLOOKUP(B1093,'112年全品項生產鍋數'!A:H,2,0)</f>
        <v>藍莓餡(1*6Kg)</v>
      </c>
      <c r="D1093" s="285">
        <v>32</v>
      </c>
      <c r="E1093" s="48">
        <f>VLOOKUP(B1093,'112年全品項生產鍋數'!A:H,3,0)</f>
        <v>6</v>
      </c>
      <c r="F1093" s="45">
        <f>VLOOKUP(B1093,'112年全品項生產鍋數'!A:H,7,0)</f>
        <v>25.1</v>
      </c>
      <c r="G1093" s="49">
        <f t="shared" si="124"/>
        <v>803.2</v>
      </c>
      <c r="H1093" s="144">
        <v>806</v>
      </c>
      <c r="I1093" s="23">
        <f t="shared" si="118"/>
        <v>4836</v>
      </c>
      <c r="J1093" s="50">
        <f t="shared" si="121"/>
        <v>1.0034860557768923</v>
      </c>
      <c r="K1093" s="51">
        <f>VLOOKUP(B:B,'生產達成率(目標)'!A:C,3,0)</f>
        <v>1</v>
      </c>
      <c r="L1093" s="20">
        <f t="shared" si="125"/>
        <v>3.0000000000000001E-3</v>
      </c>
      <c r="M1093" s="41" t="str">
        <f>工時!R277</f>
        <v>464</v>
      </c>
      <c r="N1093" s="159"/>
      <c r="O1093" s="144">
        <f t="shared" si="120"/>
        <v>3</v>
      </c>
      <c r="P1093" s="144">
        <f>803</f>
        <v>803</v>
      </c>
      <c r="Q1093" s="98">
        <f t="shared" si="119"/>
        <v>0.99627791563275436</v>
      </c>
      <c r="R1093" s="23"/>
      <c r="S1093" s="173"/>
      <c r="T1093" s="30" t="s">
        <v>649</v>
      </c>
      <c r="W1093" s="421"/>
      <c r="Y1093" s="421"/>
      <c r="Z1093" s="421"/>
      <c r="AA1093" s="421"/>
      <c r="AB1093" s="421"/>
      <c r="AC1093" s="421"/>
      <c r="AD1093" s="421"/>
    </row>
    <row r="1094" spans="1:30" s="22" customFormat="1" x14ac:dyDescent="0.4">
      <c r="A1094" s="177" t="s">
        <v>879</v>
      </c>
      <c r="B1094" s="149" t="s">
        <v>451</v>
      </c>
      <c r="C1094" s="30" t="str">
        <f>VLOOKUP(B1094,'112年全品項生產鍋數'!A:H,2,0)</f>
        <v>水蜜桃醬(1*6kg)</v>
      </c>
      <c r="D1094" s="285">
        <v>6</v>
      </c>
      <c r="E1094" s="48">
        <f>VLOOKUP(B1094,'112年全品項生產鍋數'!A:H,3,0)</f>
        <v>6</v>
      </c>
      <c r="F1094" s="45">
        <f>VLOOKUP(B1094,'112年全品項生產鍋數'!A:H,7,0)</f>
        <v>24.5</v>
      </c>
      <c r="G1094" s="49">
        <f t="shared" si="124"/>
        <v>147</v>
      </c>
      <c r="H1094" s="144">
        <v>150</v>
      </c>
      <c r="I1094" s="23">
        <f t="shared" si="118"/>
        <v>900</v>
      </c>
      <c r="J1094" s="50">
        <f t="shared" si="121"/>
        <v>1.0204081632653061</v>
      </c>
      <c r="K1094" s="51">
        <f>VLOOKUP(B:B,'生產達成率(目標)'!A:C,3,0)</f>
        <v>1</v>
      </c>
      <c r="L1094" s="20">
        <f t="shared" si="125"/>
        <v>0.02</v>
      </c>
      <c r="M1094" s="41" t="str">
        <f>工時!R278</f>
        <v>120</v>
      </c>
      <c r="N1094" s="159"/>
      <c r="O1094" s="144">
        <f t="shared" si="120"/>
        <v>1</v>
      </c>
      <c r="P1094" s="144">
        <v>149</v>
      </c>
      <c r="Q1094" s="98">
        <f t="shared" si="119"/>
        <v>0.99333333333333329</v>
      </c>
      <c r="R1094" s="23"/>
      <c r="S1094" s="173"/>
      <c r="T1094" s="30"/>
      <c r="W1094" s="421"/>
      <c r="Y1094" s="421"/>
      <c r="Z1094" s="421"/>
      <c r="AA1094" s="421"/>
      <c r="AB1094" s="421"/>
      <c r="AC1094" s="421"/>
      <c r="AD1094" s="421"/>
    </row>
    <row r="1095" spans="1:30" s="22" customFormat="1" x14ac:dyDescent="0.4">
      <c r="A1095" s="177" t="s">
        <v>879</v>
      </c>
      <c r="B1095" s="149" t="s">
        <v>110</v>
      </c>
      <c r="C1095" s="30" t="str">
        <f>VLOOKUP(B1095,'112年全品項生產鍋數'!A:H,2,0)</f>
        <v>顆粒花生醬(1*12KG)</v>
      </c>
      <c r="D1095" s="285">
        <v>21</v>
      </c>
      <c r="E1095" s="48">
        <f>VLOOKUP(B1095,'112年全品項生產鍋數'!A:H,3,0)</f>
        <v>3</v>
      </c>
      <c r="F1095" s="45">
        <f>VLOOKUP(B1095,'112年全品項生產鍋數'!A:H,7,0)</f>
        <v>30.8</v>
      </c>
      <c r="G1095" s="49">
        <f t="shared" si="124"/>
        <v>646.80000000000007</v>
      </c>
      <c r="H1095" s="144">
        <v>648</v>
      </c>
      <c r="I1095" s="23">
        <f t="shared" si="118"/>
        <v>1944</v>
      </c>
      <c r="J1095" s="50">
        <f t="shared" si="121"/>
        <v>1.0018552875695732</v>
      </c>
      <c r="K1095" s="51">
        <f>VLOOKUP(B:B,'生產達成率(目標)'!A:C,3,0)</f>
        <v>1</v>
      </c>
      <c r="L1095" s="20">
        <f t="shared" si="125"/>
        <v>2E-3</v>
      </c>
      <c r="M1095" s="41" t="str">
        <f>工時!R279</f>
        <v>540</v>
      </c>
      <c r="N1095" s="159"/>
      <c r="O1095" s="144">
        <f t="shared" si="120"/>
        <v>0</v>
      </c>
      <c r="P1095" s="144">
        <v>648</v>
      </c>
      <c r="Q1095" s="98">
        <f t="shared" si="119"/>
        <v>1</v>
      </c>
      <c r="R1095" s="23"/>
      <c r="S1095" s="173"/>
      <c r="T1095" s="30"/>
      <c r="W1095" s="421"/>
      <c r="Y1095" s="421"/>
      <c r="Z1095" s="421"/>
      <c r="AA1095" s="421"/>
      <c r="AB1095" s="421"/>
      <c r="AC1095" s="421"/>
      <c r="AD1095" s="421"/>
    </row>
    <row r="1096" spans="1:30" s="22" customFormat="1" x14ac:dyDescent="0.4">
      <c r="A1096" s="177" t="s">
        <v>879</v>
      </c>
      <c r="B1096" s="149" t="s">
        <v>96</v>
      </c>
      <c r="C1096" s="30" t="str">
        <f>VLOOKUP(B1096,'112年全品項生產鍋數'!A:H,2,0)</f>
        <v>PET瓶花生(1*340g)</v>
      </c>
      <c r="D1096" s="285">
        <v>28</v>
      </c>
      <c r="E1096" s="48">
        <f>VLOOKUP(B1096,'112年全品項生產鍋數'!A:H,3,0)</f>
        <v>0.34</v>
      </c>
      <c r="F1096" s="45">
        <f>VLOOKUP(B1096,'112年全品項生產鍋數'!A:H,7,0)</f>
        <v>358.3</v>
      </c>
      <c r="G1096" s="49">
        <f t="shared" si="124"/>
        <v>10032.4</v>
      </c>
      <c r="H1096" s="144">
        <f>5635+5402</f>
        <v>11037</v>
      </c>
      <c r="I1096" s="23">
        <f t="shared" si="118"/>
        <v>3752.5800000000004</v>
      </c>
      <c r="J1096" s="50">
        <f t="shared" si="121"/>
        <v>1.100135560783063</v>
      </c>
      <c r="K1096" s="51">
        <f>VLOOKUP(B:B,'生產達成率(目標)'!A:C,3,0)</f>
        <v>1</v>
      </c>
      <c r="L1096" s="20">
        <f t="shared" si="125"/>
        <v>0.1</v>
      </c>
      <c r="M1096" s="41" t="str">
        <f>工時!R280</f>
        <v>455</v>
      </c>
      <c r="N1096" s="159"/>
      <c r="O1096" s="144">
        <f t="shared" si="120"/>
        <v>4</v>
      </c>
      <c r="P1096" s="144">
        <f>5633+5400</f>
        <v>11033</v>
      </c>
      <c r="Q1096" s="98">
        <f t="shared" si="119"/>
        <v>0.99963758267645197</v>
      </c>
      <c r="R1096" s="23"/>
      <c r="S1096" s="173"/>
      <c r="T1096" s="30" t="s">
        <v>650</v>
      </c>
      <c r="W1096" s="421"/>
      <c r="Y1096" s="421"/>
      <c r="Z1096" s="421"/>
      <c r="AA1096" s="421"/>
      <c r="AB1096" s="421"/>
      <c r="AC1096" s="421"/>
      <c r="AD1096" s="421"/>
    </row>
    <row r="1097" spans="1:30" s="22" customFormat="1" x14ac:dyDescent="0.4">
      <c r="A1097" s="177" t="s">
        <v>879</v>
      </c>
      <c r="B1097" s="149" t="s">
        <v>640</v>
      </c>
      <c r="C1097" s="30" t="str">
        <f>VLOOKUP(B1097,'112年全品項生產鍋數'!A:H,2,0)</f>
        <v>花生醬(1*290g)</v>
      </c>
      <c r="D1097" s="285">
        <v>8</v>
      </c>
      <c r="E1097" s="48">
        <f>VLOOKUP(B1097,'112年全品項生產鍋數'!A:H,3,0)</f>
        <v>0.28999999999999998</v>
      </c>
      <c r="F1097" s="45">
        <f>VLOOKUP(B1097,'112年全品項生產鍋數'!A:H,7,0)</f>
        <v>0</v>
      </c>
      <c r="G1097" s="49">
        <f t="shared" si="124"/>
        <v>0</v>
      </c>
      <c r="H1097" s="144">
        <v>2407</v>
      </c>
      <c r="I1097" s="23">
        <f t="shared" si="118"/>
        <v>698.03</v>
      </c>
      <c r="J1097" s="50" t="str">
        <f t="shared" si="121"/>
        <v>無法預估數據</v>
      </c>
      <c r="K1097" s="51">
        <f>VLOOKUP(B:B,'生產達成率(目標)'!A:C,3,0)</f>
        <v>1</v>
      </c>
      <c r="L1097" s="20" t="str">
        <f t="shared" si="125"/>
        <v>無法預估數據</v>
      </c>
      <c r="M1097" s="41" t="str">
        <f>工時!R281</f>
        <v>220</v>
      </c>
      <c r="N1097" s="159"/>
      <c r="O1097" s="144">
        <f t="shared" si="120"/>
        <v>7</v>
      </c>
      <c r="P1097" s="144">
        <v>2400</v>
      </c>
      <c r="Q1097" s="98">
        <f t="shared" si="119"/>
        <v>0.99709181553801407</v>
      </c>
      <c r="R1097" s="23"/>
      <c r="S1097" s="173"/>
      <c r="T1097" s="30" t="s">
        <v>651</v>
      </c>
      <c r="W1097" s="421"/>
      <c r="Y1097" s="421"/>
      <c r="Z1097" s="421"/>
      <c r="AA1097" s="421"/>
      <c r="AB1097" s="421"/>
      <c r="AC1097" s="421"/>
      <c r="AD1097" s="421"/>
    </row>
    <row r="1098" spans="1:30" s="22" customFormat="1" x14ac:dyDescent="0.4">
      <c r="A1098" s="177" t="s">
        <v>880</v>
      </c>
      <c r="B1098" s="149" t="s">
        <v>61</v>
      </c>
      <c r="C1098" s="30" t="str">
        <f>VLOOKUP(B1098,'112年全品項生產鍋數'!A:H,2,0)</f>
        <v>大圓草莓-新</v>
      </c>
      <c r="D1098" s="285">
        <v>28</v>
      </c>
      <c r="E1098" s="48">
        <f>VLOOKUP(B1098,'112年全品項生產鍋數'!A:H,3,0)</f>
        <v>0.44</v>
      </c>
      <c r="F1098" s="45">
        <f>VLOOKUP(B1098,'112年全品項生產鍋數'!A:H,7,0)</f>
        <v>344</v>
      </c>
      <c r="G1098" s="49">
        <f t="shared" si="124"/>
        <v>9632</v>
      </c>
      <c r="H1098" s="144">
        <v>9732</v>
      </c>
      <c r="I1098" s="23">
        <f t="shared" si="118"/>
        <v>4282.08</v>
      </c>
      <c r="J1098" s="50">
        <f t="shared" si="121"/>
        <v>1.0103820598006645</v>
      </c>
      <c r="K1098" s="51">
        <f>VLOOKUP(B:B,'生產達成率(目標)'!A:C,3,0)</f>
        <v>1</v>
      </c>
      <c r="L1098" s="20">
        <f t="shared" si="125"/>
        <v>0.01</v>
      </c>
      <c r="M1098" s="41" t="str">
        <f>工時!R282</f>
        <v>450</v>
      </c>
      <c r="N1098" s="159"/>
      <c r="O1098" s="144">
        <f t="shared" si="120"/>
        <v>12</v>
      </c>
      <c r="P1098" s="144">
        <v>9720</v>
      </c>
      <c r="Q1098" s="98">
        <f t="shared" si="119"/>
        <v>0.998766954377312</v>
      </c>
      <c r="R1098" s="23"/>
      <c r="S1098" s="173"/>
      <c r="T1098" s="30"/>
      <c r="W1098" s="421"/>
      <c r="Y1098" s="421"/>
      <c r="Z1098" s="421"/>
      <c r="AA1098" s="421"/>
      <c r="AB1098" s="421"/>
      <c r="AC1098" s="421"/>
      <c r="AD1098" s="421"/>
    </row>
    <row r="1099" spans="1:30" s="160" customFormat="1" x14ac:dyDescent="0.4">
      <c r="A1099" s="180" t="s">
        <v>880</v>
      </c>
      <c r="B1099" s="149" t="s">
        <v>472</v>
      </c>
      <c r="C1099" s="140" t="str">
        <f>VLOOKUP(B1099,'112年全品項生產鍋數'!A:H,2,0)</f>
        <v>藍莓果醬(1*210G)</v>
      </c>
      <c r="D1099" s="285">
        <v>4</v>
      </c>
      <c r="E1099" s="141">
        <f>VLOOKUP(B1099,'112年全品項生產鍋數'!A:H,3,0)</f>
        <v>0.21</v>
      </c>
      <c r="F1099" s="142">
        <f>VLOOKUP(B1099,'112年全品項生產鍋數'!A:H,7,0)</f>
        <v>698.4</v>
      </c>
      <c r="G1099" s="143">
        <f t="shared" si="124"/>
        <v>2793.6</v>
      </c>
      <c r="H1099" s="144">
        <v>2866</v>
      </c>
      <c r="I1099" s="144">
        <f t="shared" si="118"/>
        <v>601.86</v>
      </c>
      <c r="J1099" s="50">
        <f t="shared" si="121"/>
        <v>1.0259163802978237</v>
      </c>
      <c r="K1099" s="51">
        <f>VLOOKUP(B:B,'生產達成率(目標)'!A:C,3,0)</f>
        <v>1</v>
      </c>
      <c r="L1099" s="20">
        <f t="shared" si="125"/>
        <v>2.5999999999999999E-2</v>
      </c>
      <c r="M1099" s="41" t="str">
        <f>工時!R283</f>
        <v>175</v>
      </c>
      <c r="N1099" s="159"/>
      <c r="O1099" s="144">
        <f t="shared" si="120"/>
        <v>17</v>
      </c>
      <c r="P1099" s="144">
        <v>2849</v>
      </c>
      <c r="Q1099" s="145">
        <f t="shared" si="119"/>
        <v>0.99406838799720865</v>
      </c>
      <c r="R1099" s="144"/>
      <c r="S1099" s="153"/>
      <c r="T1099" s="140"/>
      <c r="W1099" s="421"/>
      <c r="Y1099" s="421"/>
      <c r="Z1099" s="421"/>
      <c r="AA1099" s="421"/>
      <c r="AB1099" s="421"/>
      <c r="AC1099" s="421"/>
      <c r="AD1099" s="421"/>
    </row>
    <row r="1100" spans="1:30" s="22" customFormat="1" x14ac:dyDescent="0.4">
      <c r="A1100" s="177" t="s">
        <v>880</v>
      </c>
      <c r="B1100" s="149" t="s">
        <v>63</v>
      </c>
      <c r="C1100" s="30" t="str">
        <f>VLOOKUP(B1100,'112年全品項生產鍋數'!A:H,2,0)</f>
        <v>草莓蒟蒻餡(1*6kg)</v>
      </c>
      <c r="D1100" s="285">
        <v>24</v>
      </c>
      <c r="E1100" s="48">
        <f>VLOOKUP(B1100,'112年全品項生產鍋數'!A:H,3,0)</f>
        <v>6</v>
      </c>
      <c r="F1100" s="45">
        <f>VLOOKUP(B1100,'112年全品項生產鍋數'!A:H,7,0)</f>
        <v>25.7</v>
      </c>
      <c r="G1100" s="49">
        <f t="shared" si="124"/>
        <v>616.79999999999995</v>
      </c>
      <c r="H1100" s="144">
        <f>305+314</f>
        <v>619</v>
      </c>
      <c r="I1100" s="23">
        <f t="shared" si="118"/>
        <v>3714</v>
      </c>
      <c r="J1100" s="50">
        <f t="shared" si="121"/>
        <v>1.0035667963683528</v>
      </c>
      <c r="K1100" s="51">
        <f>VLOOKUP(B:B,'生產達成率(目標)'!A:C,3,0)</f>
        <v>1</v>
      </c>
      <c r="L1100" s="20">
        <f t="shared" si="125"/>
        <v>4.0000000000000001E-3</v>
      </c>
      <c r="M1100" s="41" t="str">
        <f>工時!R284</f>
        <v>300</v>
      </c>
      <c r="N1100" s="159"/>
      <c r="O1100" s="144">
        <f t="shared" si="120"/>
        <v>3</v>
      </c>
      <c r="P1100" s="144">
        <f>304+312</f>
        <v>616</v>
      </c>
      <c r="Q1100" s="98">
        <f t="shared" si="119"/>
        <v>0.99515347334410342</v>
      </c>
      <c r="R1100" s="23"/>
      <c r="S1100" s="173"/>
      <c r="T1100" s="30"/>
      <c r="W1100" s="421"/>
      <c r="Y1100" s="421"/>
      <c r="Z1100" s="421"/>
      <c r="AA1100" s="421"/>
      <c r="AB1100" s="421"/>
      <c r="AC1100" s="421"/>
      <c r="AD1100" s="421"/>
    </row>
    <row r="1101" spans="1:30" s="22" customFormat="1" x14ac:dyDescent="0.4">
      <c r="A1101" s="177" t="s">
        <v>880</v>
      </c>
      <c r="B1101" s="149" t="s">
        <v>64</v>
      </c>
      <c r="C1101" s="30" t="str">
        <f>VLOOKUP(B1101,'112年全品項生產鍋數'!A:H,2,0)</f>
        <v>藍莓餡(1*6KG)</v>
      </c>
      <c r="D1101" s="285">
        <v>20</v>
      </c>
      <c r="E1101" s="48">
        <f>VLOOKUP(B1101,'112年全品項生產鍋數'!A:H,3,0)</f>
        <v>6</v>
      </c>
      <c r="F1101" s="45">
        <f>VLOOKUP(B1101,'112年全品項生產鍋數'!A:H,7,0)</f>
        <v>25.4</v>
      </c>
      <c r="G1101" s="49">
        <f t="shared" si="124"/>
        <v>508</v>
      </c>
      <c r="H1101" s="144">
        <f>295+214</f>
        <v>509</v>
      </c>
      <c r="I1101" s="23">
        <f t="shared" si="118"/>
        <v>3054</v>
      </c>
      <c r="J1101" s="50">
        <f t="shared" si="121"/>
        <v>1.0019685039370079</v>
      </c>
      <c r="K1101" s="51">
        <f>VLOOKUP(B:B,'生產達成率(目標)'!A:C,3,0)</f>
        <v>1</v>
      </c>
      <c r="L1101" s="20">
        <f t="shared" si="125"/>
        <v>2E-3</v>
      </c>
      <c r="M1101" s="41" t="str">
        <f>工時!R285</f>
        <v>280</v>
      </c>
      <c r="N1101" s="159"/>
      <c r="O1101" s="144">
        <f t="shared" si="120"/>
        <v>1</v>
      </c>
      <c r="P1101" s="144">
        <f>294+214</f>
        <v>508</v>
      </c>
      <c r="Q1101" s="98">
        <f t="shared" si="119"/>
        <v>0.99803536345776034</v>
      </c>
      <c r="R1101" s="23"/>
      <c r="S1101" s="173"/>
      <c r="T1101" s="30"/>
      <c r="W1101" s="421"/>
      <c r="Y1101" s="421"/>
      <c r="Z1101" s="421"/>
      <c r="AA1101" s="421"/>
      <c r="AB1101" s="421"/>
      <c r="AC1101" s="421"/>
      <c r="AD1101" s="421"/>
    </row>
    <row r="1102" spans="1:30" s="22" customFormat="1" x14ac:dyDescent="0.4">
      <c r="A1102" s="177" t="s">
        <v>880</v>
      </c>
      <c r="B1102" s="149" t="s">
        <v>65</v>
      </c>
      <c r="C1102" s="30" t="str">
        <f>VLOOKUP(B1102,'112年全品項生產鍋數'!A:H,2,0)</f>
        <v>＃1花生(1*2.8kg)</v>
      </c>
      <c r="D1102" s="285">
        <v>36</v>
      </c>
      <c r="E1102" s="48">
        <f>VLOOKUP(B1102,'112年全品項生產鍋數'!A:H,3,0)</f>
        <v>2.8</v>
      </c>
      <c r="F1102" s="45">
        <f>VLOOKUP(B1102,'112年全品項生產鍋數'!A:H,7,0)</f>
        <v>44.5</v>
      </c>
      <c r="G1102" s="49">
        <f t="shared" si="124"/>
        <v>1602</v>
      </c>
      <c r="H1102" s="144">
        <v>1191</v>
      </c>
      <c r="I1102" s="23">
        <f t="shared" si="118"/>
        <v>3334.7999999999997</v>
      </c>
      <c r="J1102" s="50">
        <f t="shared" si="121"/>
        <v>0.74344569288389517</v>
      </c>
      <c r="K1102" s="51">
        <f>VLOOKUP(B:B,'生產達成率(目標)'!A:C,3,0)</f>
        <v>1</v>
      </c>
      <c r="L1102" s="20">
        <f t="shared" si="125"/>
        <v>-0.25700000000000001</v>
      </c>
      <c r="M1102" s="41" t="str">
        <f>工時!R286</f>
        <v>350</v>
      </c>
      <c r="N1102" s="159"/>
      <c r="O1102" s="144">
        <f t="shared" si="120"/>
        <v>1</v>
      </c>
      <c r="P1102" s="144">
        <v>1190</v>
      </c>
      <c r="Q1102" s="98">
        <f t="shared" si="119"/>
        <v>0.99916036943744757</v>
      </c>
      <c r="R1102" s="23"/>
      <c r="S1102" s="173"/>
      <c r="T1102" s="30" t="s">
        <v>652</v>
      </c>
      <c r="W1102" s="421"/>
      <c r="Y1102" s="421"/>
      <c r="Z1102" s="421"/>
      <c r="AA1102" s="421"/>
      <c r="AB1102" s="421"/>
      <c r="AC1102" s="421"/>
      <c r="AD1102" s="421"/>
    </row>
    <row r="1103" spans="1:30" s="22" customFormat="1" x14ac:dyDescent="0.4">
      <c r="A1103" s="177" t="s">
        <v>881</v>
      </c>
      <c r="B1103" s="149" t="s">
        <v>66</v>
      </c>
      <c r="C1103" s="30" t="str">
        <f>VLOOKUP(B1103,'112年全品項生產鍋數'!A:H,2,0)</f>
        <v>＃2花生(1*800g)</v>
      </c>
      <c r="D1103" s="285">
        <v>20</v>
      </c>
      <c r="E1103" s="48">
        <f>VLOOKUP(B1103,'112年全品項生產鍋數'!A:H,3,0)</f>
        <v>0.8</v>
      </c>
      <c r="F1103" s="45">
        <f>VLOOKUP(B1103,'112年全品項生產鍋數'!A:H,7,0)</f>
        <v>157.69999999999999</v>
      </c>
      <c r="G1103" s="49">
        <f t="shared" si="124"/>
        <v>3154</v>
      </c>
      <c r="H1103" s="144">
        <v>3228</v>
      </c>
      <c r="I1103" s="23">
        <f t="shared" si="118"/>
        <v>2582.4</v>
      </c>
      <c r="J1103" s="50">
        <f t="shared" si="121"/>
        <v>1.0234622701331642</v>
      </c>
      <c r="K1103" s="51">
        <f>VLOOKUP(B:B,'生產達成率(目標)'!A:C,3,0)</f>
        <v>1</v>
      </c>
      <c r="L1103" s="20">
        <f t="shared" si="125"/>
        <v>2.3E-2</v>
      </c>
      <c r="M1103" s="41" t="str">
        <f>工時!R287</f>
        <v>270</v>
      </c>
      <c r="N1103" s="159"/>
      <c r="O1103" s="144">
        <f t="shared" si="120"/>
        <v>2</v>
      </c>
      <c r="P1103" s="144">
        <v>3226</v>
      </c>
      <c r="Q1103" s="98">
        <f t="shared" si="119"/>
        <v>0.99938042131350679</v>
      </c>
      <c r="R1103" s="23"/>
      <c r="S1103" s="173"/>
      <c r="T1103" s="30"/>
      <c r="W1103" s="421"/>
      <c r="Y1103" s="421"/>
      <c r="Z1103" s="421"/>
      <c r="AA1103" s="421"/>
      <c r="AB1103" s="421"/>
      <c r="AC1103" s="421"/>
      <c r="AD1103" s="421"/>
    </row>
    <row r="1104" spans="1:30" s="22" customFormat="1" x14ac:dyDescent="0.4">
      <c r="A1104" s="177" t="s">
        <v>881</v>
      </c>
      <c r="B1104" s="149" t="s">
        <v>71</v>
      </c>
      <c r="C1104" s="30" t="str">
        <f>VLOOKUP(B1104,'112年全品項生產鍋數'!A:H,2,0)</f>
        <v>＃1草莓(1*3.2kg)</v>
      </c>
      <c r="D1104" s="285">
        <v>72</v>
      </c>
      <c r="E1104" s="48">
        <f>VLOOKUP(B1104,'112年全品項生產鍋數'!A:H,3,0)</f>
        <v>3.2</v>
      </c>
      <c r="F1104" s="45">
        <f>VLOOKUP(B1104,'112年全品項生產鍋數'!A:H,7,0)</f>
        <v>46.8</v>
      </c>
      <c r="G1104" s="49">
        <f t="shared" si="124"/>
        <v>3369.6</v>
      </c>
      <c r="H1104" s="144">
        <v>3453</v>
      </c>
      <c r="I1104" s="23">
        <f t="shared" si="118"/>
        <v>11049.6</v>
      </c>
      <c r="J1104" s="50">
        <f t="shared" si="121"/>
        <v>1.0247507122507122</v>
      </c>
      <c r="K1104" s="51">
        <f>VLOOKUP(B:B,'生產達成率(目標)'!A:C,3,0)</f>
        <v>1</v>
      </c>
      <c r="L1104" s="20">
        <f t="shared" si="125"/>
        <v>2.5000000000000001E-2</v>
      </c>
      <c r="M1104" s="41" t="str">
        <f>工時!R288</f>
        <v>540</v>
      </c>
      <c r="N1104" s="159"/>
      <c r="O1104" s="144">
        <f t="shared" si="120"/>
        <v>3</v>
      </c>
      <c r="P1104" s="144">
        <v>3450</v>
      </c>
      <c r="Q1104" s="98">
        <f t="shared" si="119"/>
        <v>0.99913119026933106</v>
      </c>
      <c r="R1104" s="23"/>
      <c r="S1104" s="173">
        <v>158</v>
      </c>
      <c r="T1104" s="30" t="s">
        <v>925</v>
      </c>
      <c r="W1104" s="421"/>
      <c r="Y1104" s="421"/>
      <c r="Z1104" s="421"/>
      <c r="AA1104" s="421"/>
      <c r="AB1104" s="421"/>
      <c r="AC1104" s="421"/>
      <c r="AD1104" s="421"/>
    </row>
    <row r="1105" spans="1:30" s="22" customFormat="1" x14ac:dyDescent="0.4">
      <c r="A1105" s="177" t="s">
        <v>881</v>
      </c>
      <c r="B1105" s="149" t="s">
        <v>63</v>
      </c>
      <c r="C1105" s="30" t="str">
        <f>VLOOKUP(B1105,'112年全品項生產鍋數'!A:H,2,0)</f>
        <v>草莓蒟蒻餡(1*6kg)</v>
      </c>
      <c r="D1105" s="285">
        <v>20</v>
      </c>
      <c r="E1105" s="48">
        <f>VLOOKUP(B1105,'112年全品項生產鍋數'!A:H,3,0)</f>
        <v>6</v>
      </c>
      <c r="F1105" s="45">
        <f>VLOOKUP(B1105,'112年全品項生產鍋數'!A:H,7,0)</f>
        <v>25.7</v>
      </c>
      <c r="G1105" s="49">
        <f t="shared" si="124"/>
        <v>514</v>
      </c>
      <c r="H1105" s="144">
        <f>304+212</f>
        <v>516</v>
      </c>
      <c r="I1105" s="23">
        <f t="shared" si="118"/>
        <v>3096</v>
      </c>
      <c r="J1105" s="50">
        <f t="shared" si="121"/>
        <v>1.0038910505836576</v>
      </c>
      <c r="K1105" s="51">
        <f>VLOOKUP(B:B,'生產達成率(目標)'!A:C,3,0)</f>
        <v>1</v>
      </c>
      <c r="L1105" s="20">
        <f t="shared" si="125"/>
        <v>4.0000000000000001E-3</v>
      </c>
      <c r="M1105" s="41" t="str">
        <f>工時!R289</f>
        <v>240</v>
      </c>
      <c r="N1105" s="159"/>
      <c r="O1105" s="144">
        <f t="shared" si="120"/>
        <v>2</v>
      </c>
      <c r="P1105" s="144">
        <f>303+211</f>
        <v>514</v>
      </c>
      <c r="Q1105" s="98">
        <f t="shared" si="119"/>
        <v>0.99612403100775193</v>
      </c>
      <c r="R1105" s="23"/>
      <c r="S1105" s="173"/>
      <c r="T1105" s="30"/>
      <c r="W1105" s="421"/>
      <c r="Y1105" s="421"/>
      <c r="Z1105" s="421"/>
      <c r="AA1105" s="421"/>
      <c r="AB1105" s="421"/>
      <c r="AC1105" s="421"/>
      <c r="AD1105" s="421"/>
    </row>
    <row r="1106" spans="1:30" s="22" customFormat="1" x14ac:dyDescent="0.4">
      <c r="A1106" s="177" t="s">
        <v>881</v>
      </c>
      <c r="B1106" s="149" t="s">
        <v>75</v>
      </c>
      <c r="C1106" s="30" t="str">
        <f>VLOOKUP(B1106,'112年全品項生產鍋數'!A:H,2,0)</f>
        <v>草莓椰果餡(1*6Kg)</v>
      </c>
      <c r="D1106" s="285">
        <v>24</v>
      </c>
      <c r="E1106" s="48">
        <f>VLOOKUP(B1106,'112年全品項生產鍋數'!A:H,3,0)</f>
        <v>6</v>
      </c>
      <c r="F1106" s="45">
        <f>VLOOKUP(B1106,'112年全品項生產鍋數'!A:H,7,0)</f>
        <v>26.4</v>
      </c>
      <c r="G1106" s="49">
        <f t="shared" si="124"/>
        <v>633.59999999999991</v>
      </c>
      <c r="H1106" s="144">
        <v>636</v>
      </c>
      <c r="I1106" s="23">
        <f t="shared" si="118"/>
        <v>3816</v>
      </c>
      <c r="J1106" s="50">
        <f t="shared" si="121"/>
        <v>1.0037878787878789</v>
      </c>
      <c r="K1106" s="51">
        <f>VLOOKUP(B:B,'生產達成率(目標)'!A:C,3,0)</f>
        <v>1</v>
      </c>
      <c r="L1106" s="20">
        <f t="shared" si="125"/>
        <v>4.0000000000000001E-3</v>
      </c>
      <c r="M1106" s="41" t="str">
        <f>工時!R290</f>
        <v>330</v>
      </c>
      <c r="N1106" s="159"/>
      <c r="O1106" s="144">
        <f t="shared" si="120"/>
        <v>8</v>
      </c>
      <c r="P1106" s="144">
        <v>628</v>
      </c>
      <c r="Q1106" s="98">
        <f t="shared" si="119"/>
        <v>0.98742138364779874</v>
      </c>
      <c r="R1106" s="23"/>
      <c r="S1106" s="173"/>
      <c r="T1106" s="30"/>
      <c r="W1106" s="421"/>
      <c r="Y1106" s="421"/>
      <c r="Z1106" s="421"/>
      <c r="AA1106" s="421"/>
      <c r="AB1106" s="421"/>
      <c r="AC1106" s="421"/>
      <c r="AD1106" s="421"/>
    </row>
    <row r="1107" spans="1:30" s="22" customFormat="1" x14ac:dyDescent="0.4">
      <c r="A1107" s="177" t="s">
        <v>881</v>
      </c>
      <c r="B1107" s="149" t="s">
        <v>82</v>
      </c>
      <c r="C1107" s="30" t="str">
        <f>VLOOKUP(B1107,'112年全品項生產鍋數'!A:H,2,0)</f>
        <v>顆粒花生醬(全)</v>
      </c>
      <c r="D1107" s="285">
        <v>12</v>
      </c>
      <c r="E1107" s="48">
        <f>VLOOKUP(B1107,'112年全品項生產鍋數'!A:H,3,0)</f>
        <v>0.34</v>
      </c>
      <c r="F1107" s="45">
        <f>VLOOKUP(B1107,'112年全品項生產鍋數'!A:H,7,0)</f>
        <v>364.6</v>
      </c>
      <c r="G1107" s="49">
        <f t="shared" si="124"/>
        <v>4375.2000000000007</v>
      </c>
      <c r="H1107" s="144">
        <v>5347</v>
      </c>
      <c r="I1107" s="23">
        <f t="shared" si="118"/>
        <v>1817.98</v>
      </c>
      <c r="J1107" s="50">
        <f t="shared" si="121"/>
        <v>1.222115560431523</v>
      </c>
      <c r="K1107" s="51">
        <f>VLOOKUP(B:B,'生產達成率(目標)'!A:C,3,0)</f>
        <v>1</v>
      </c>
      <c r="L1107" s="20">
        <f t="shared" si="125"/>
        <v>0.222</v>
      </c>
      <c r="M1107" s="41" t="str">
        <f>工時!R291</f>
        <v>320</v>
      </c>
      <c r="N1107" s="159"/>
      <c r="O1107" s="144">
        <f t="shared" si="120"/>
        <v>3</v>
      </c>
      <c r="P1107" s="144">
        <v>5344</v>
      </c>
      <c r="Q1107" s="98">
        <f t="shared" si="119"/>
        <v>0.99943893772208714</v>
      </c>
      <c r="R1107" s="23"/>
      <c r="S1107" s="173">
        <v>54</v>
      </c>
      <c r="T1107" s="30" t="s">
        <v>926</v>
      </c>
      <c r="W1107" s="421"/>
      <c r="Y1107" s="421"/>
      <c r="Z1107" s="421"/>
      <c r="AA1107" s="421"/>
      <c r="AB1107" s="421"/>
      <c r="AC1107" s="421"/>
      <c r="AD1107" s="421"/>
    </row>
    <row r="1108" spans="1:30" s="22" customFormat="1" x14ac:dyDescent="0.4">
      <c r="A1108" s="177" t="s">
        <v>881</v>
      </c>
      <c r="B1108" s="149" t="s">
        <v>641</v>
      </c>
      <c r="C1108" s="30" t="str">
        <f>VLOOKUP(B1108,'112年全品項生產鍋數'!A:H,2,0)</f>
        <v>花生醬(粒)(1*290g)</v>
      </c>
      <c r="D1108" s="285">
        <v>8</v>
      </c>
      <c r="E1108" s="48">
        <f>VLOOKUP(B1108,'112年全品項生產鍋數'!A:H,3,0)</f>
        <v>0.28999999999999998</v>
      </c>
      <c r="F1108" s="45">
        <f>VLOOKUP(B1108,'112年全品項生產鍋數'!A:H,7,0)</f>
        <v>0</v>
      </c>
      <c r="G1108" s="49">
        <f t="shared" si="124"/>
        <v>0</v>
      </c>
      <c r="H1108" s="144">
        <v>2407</v>
      </c>
      <c r="I1108" s="23">
        <f t="shared" si="118"/>
        <v>698.03</v>
      </c>
      <c r="J1108" s="50" t="str">
        <f t="shared" si="121"/>
        <v>無法預估數據</v>
      </c>
      <c r="K1108" s="51">
        <f>VLOOKUP(B:B,'生產達成率(目標)'!A:C,3,0)</f>
        <v>1</v>
      </c>
      <c r="L1108" s="20" t="str">
        <f t="shared" si="125"/>
        <v>無法預估數據</v>
      </c>
      <c r="M1108" s="41" t="str">
        <f>工時!R292</f>
        <v>260</v>
      </c>
      <c r="N1108" s="159"/>
      <c r="O1108" s="144">
        <f t="shared" si="120"/>
        <v>7</v>
      </c>
      <c r="P1108" s="144">
        <v>2400</v>
      </c>
      <c r="Q1108" s="98">
        <f t="shared" si="119"/>
        <v>0.99709181553801407</v>
      </c>
      <c r="R1108" s="23"/>
      <c r="S1108" s="173"/>
      <c r="T1108" s="30" t="s">
        <v>653</v>
      </c>
      <c r="W1108" s="421"/>
      <c r="Y1108" s="421"/>
      <c r="Z1108" s="421"/>
      <c r="AA1108" s="421"/>
      <c r="AB1108" s="421"/>
      <c r="AC1108" s="421"/>
      <c r="AD1108" s="421"/>
    </row>
    <row r="1109" spans="1:30" s="22" customFormat="1" x14ac:dyDescent="0.4">
      <c r="A1109" s="177" t="s">
        <v>881</v>
      </c>
      <c r="B1109" s="149" t="s">
        <v>59</v>
      </c>
      <c r="C1109" s="30" t="str">
        <f>VLOOKUP(B1109,'112年全品項生產鍋數'!A:H,2,0)</f>
        <v>＃2花生（粒）(1*900g)</v>
      </c>
      <c r="D1109" s="285">
        <v>16</v>
      </c>
      <c r="E1109" s="48">
        <f>VLOOKUP(B1109,'112年全品項生產鍋數'!A:H,3,0)</f>
        <v>0.9</v>
      </c>
      <c r="F1109" s="45">
        <f>VLOOKUP(B1109,'112年全品項生產鍋數'!A:H,7,0)</f>
        <v>139.30000000000001</v>
      </c>
      <c r="G1109" s="49">
        <f t="shared" si="124"/>
        <v>2228.8000000000002</v>
      </c>
      <c r="H1109" s="144">
        <v>2373</v>
      </c>
      <c r="I1109" s="23">
        <f t="shared" si="118"/>
        <v>2135.7000000000003</v>
      </c>
      <c r="J1109" s="50">
        <f t="shared" si="121"/>
        <v>1.0646984924623115</v>
      </c>
      <c r="K1109" s="51">
        <f>VLOOKUP(B:B,'生產達成率(目標)'!A:C,3,0)</f>
        <v>1</v>
      </c>
      <c r="L1109" s="20">
        <f t="shared" si="125"/>
        <v>6.5000000000000002E-2</v>
      </c>
      <c r="M1109" s="41" t="str">
        <f>工時!R293</f>
        <v>310</v>
      </c>
      <c r="N1109" s="159"/>
      <c r="O1109" s="144">
        <f t="shared" si="120"/>
        <v>2</v>
      </c>
      <c r="P1109" s="144">
        <v>2371</v>
      </c>
      <c r="Q1109" s="98">
        <f t="shared" si="119"/>
        <v>0.99915718499789297</v>
      </c>
      <c r="R1109" s="23"/>
      <c r="S1109" s="173"/>
      <c r="T1109" s="30" t="s">
        <v>654</v>
      </c>
      <c r="W1109" s="421"/>
      <c r="Y1109" s="421"/>
      <c r="Z1109" s="421"/>
      <c r="AA1109" s="421"/>
      <c r="AB1109" s="421"/>
      <c r="AC1109" s="421"/>
      <c r="AD1109" s="421"/>
    </row>
    <row r="1110" spans="1:30" s="22" customFormat="1" x14ac:dyDescent="0.4">
      <c r="A1110" s="177" t="s">
        <v>881</v>
      </c>
      <c r="B1110" s="149" t="s">
        <v>642</v>
      </c>
      <c r="C1110" s="30" t="str">
        <f>VLOOKUP(B1110,'112年全品項生產鍋數'!A:H,2,0)</f>
        <v>＃2花生（粒）(1*800g)</v>
      </c>
      <c r="D1110" s="285">
        <v>4</v>
      </c>
      <c r="E1110" s="48">
        <f>VLOOKUP(B1110,'112年全品項生產鍋數'!A:H,3,0)</f>
        <v>0.8</v>
      </c>
      <c r="F1110" s="45">
        <f>VLOOKUP(B1110,'112年全品項生產鍋數'!A:H,7,0)</f>
        <v>155.5</v>
      </c>
      <c r="G1110" s="49">
        <f t="shared" si="124"/>
        <v>622</v>
      </c>
      <c r="H1110" s="144">
        <v>442</v>
      </c>
      <c r="I1110" s="23">
        <f t="shared" si="118"/>
        <v>353.6</v>
      </c>
      <c r="J1110" s="50">
        <f t="shared" si="121"/>
        <v>0.71061093247588425</v>
      </c>
      <c r="K1110" s="51">
        <f>VLOOKUP(B:B,'生產達成率(目標)'!A:C,3,0)</f>
        <v>1</v>
      </c>
      <c r="L1110" s="20">
        <f t="shared" si="125"/>
        <v>-0.28899999999999998</v>
      </c>
      <c r="M1110" s="41" t="str">
        <f>工時!R294</f>
        <v>310</v>
      </c>
      <c r="N1110" s="159"/>
      <c r="O1110" s="144">
        <f t="shared" si="120"/>
        <v>2</v>
      </c>
      <c r="P1110" s="144">
        <v>440</v>
      </c>
      <c r="Q1110" s="98">
        <f t="shared" si="119"/>
        <v>0.99547511312217196</v>
      </c>
      <c r="R1110" s="23"/>
      <c r="S1110" s="173"/>
      <c r="T1110" s="30" t="s">
        <v>606</v>
      </c>
      <c r="W1110" s="421"/>
      <c r="Y1110" s="421"/>
      <c r="Z1110" s="421"/>
      <c r="AA1110" s="421"/>
      <c r="AB1110" s="421"/>
      <c r="AC1110" s="421"/>
      <c r="AD1110" s="421"/>
    </row>
    <row r="1111" spans="1:30" s="22" customFormat="1" x14ac:dyDescent="0.4">
      <c r="A1111" s="177" t="s">
        <v>882</v>
      </c>
      <c r="B1111" s="149" t="s">
        <v>88</v>
      </c>
      <c r="C1111" s="30" t="str">
        <f>VLOOKUP(B1111,'112年全品項生產鍋數'!A:H,2,0)</f>
        <v>草莓餡(1*6KG)</v>
      </c>
      <c r="D1111" s="285">
        <v>32</v>
      </c>
      <c r="E1111" s="48">
        <f>VLOOKUP(B1111,'112年全品項生產鍋數'!A:H,3,0)</f>
        <v>6</v>
      </c>
      <c r="F1111" s="45">
        <f>VLOOKUP(B1111,'112年全品項生產鍋數'!A:H,7,0)</f>
        <v>25.5</v>
      </c>
      <c r="G1111" s="49">
        <f t="shared" si="124"/>
        <v>816</v>
      </c>
      <c r="H1111" s="144">
        <v>833</v>
      </c>
      <c r="I1111" s="23">
        <f t="shared" si="118"/>
        <v>4998</v>
      </c>
      <c r="J1111" s="50">
        <f t="shared" si="121"/>
        <v>1.0208333333333333</v>
      </c>
      <c r="K1111" s="51">
        <f>VLOOKUP(B:B,'生產達成率(目標)'!A:C,3,0)</f>
        <v>1</v>
      </c>
      <c r="L1111" s="20">
        <f t="shared" si="125"/>
        <v>2.1000000000000001E-2</v>
      </c>
      <c r="M1111" s="41" t="str">
        <f>工時!R295</f>
        <v>440</v>
      </c>
      <c r="N1111" s="159"/>
      <c r="O1111" s="144">
        <f t="shared" si="120"/>
        <v>3</v>
      </c>
      <c r="P1111" s="144">
        <v>830</v>
      </c>
      <c r="Q1111" s="98">
        <f t="shared" si="119"/>
        <v>0.99639855942376954</v>
      </c>
      <c r="R1111" s="23"/>
      <c r="S1111" s="173"/>
      <c r="T1111" s="30" t="s">
        <v>655</v>
      </c>
      <c r="W1111" s="421"/>
      <c r="Y1111" s="421"/>
      <c r="Z1111" s="421"/>
      <c r="AA1111" s="421"/>
      <c r="AB1111" s="421"/>
      <c r="AC1111" s="421"/>
      <c r="AD1111" s="421"/>
    </row>
    <row r="1112" spans="1:30" s="22" customFormat="1" x14ac:dyDescent="0.4">
      <c r="A1112" s="177" t="s">
        <v>882</v>
      </c>
      <c r="B1112" s="149" t="s">
        <v>461</v>
      </c>
      <c r="C1112" s="30" t="str">
        <f>VLOOKUP(B1112,'112年全品項生產鍋數'!A:H,2,0)</f>
        <v>綜合莓果餡(1*6Kg)</v>
      </c>
      <c r="D1112" s="285">
        <v>4</v>
      </c>
      <c r="E1112" s="48">
        <f>VLOOKUP(B1112,'112年全品項生產鍋數'!A:H,3,0)</f>
        <v>6</v>
      </c>
      <c r="F1112" s="45">
        <f>VLOOKUP(B1112,'112年全品項生產鍋數'!A:H,7,0)</f>
        <v>25.1</v>
      </c>
      <c r="G1112" s="49">
        <f t="shared" si="124"/>
        <v>100.4</v>
      </c>
      <c r="H1112" s="144">
        <v>101</v>
      </c>
      <c r="I1112" s="23">
        <f t="shared" si="118"/>
        <v>606</v>
      </c>
      <c r="J1112" s="50">
        <f t="shared" si="121"/>
        <v>1.0059760956175299</v>
      </c>
      <c r="K1112" s="51">
        <f>VLOOKUP(B:B,'生產達成率(目標)'!A:C,3,0)</f>
        <v>1</v>
      </c>
      <c r="L1112" s="20">
        <f t="shared" si="125"/>
        <v>6.0000000000000001E-3</v>
      </c>
      <c r="M1112" s="41" t="str">
        <f>工時!R296</f>
        <v>168</v>
      </c>
      <c r="N1112" s="159"/>
      <c r="O1112" s="144">
        <f t="shared" si="120"/>
        <v>4</v>
      </c>
      <c r="P1112" s="144">
        <v>97</v>
      </c>
      <c r="Q1112" s="98">
        <f t="shared" si="119"/>
        <v>0.96039603960396036</v>
      </c>
      <c r="R1112" s="23"/>
      <c r="S1112" s="173"/>
      <c r="T1112" s="30"/>
      <c r="W1112" s="421"/>
      <c r="Y1112" s="421"/>
      <c r="Z1112" s="421"/>
      <c r="AA1112" s="421"/>
      <c r="AB1112" s="421"/>
      <c r="AC1112" s="421"/>
      <c r="AD1112" s="421"/>
    </row>
    <row r="1113" spans="1:30" s="22" customFormat="1" x14ac:dyDescent="0.4">
      <c r="A1113" s="177" t="s">
        <v>882</v>
      </c>
      <c r="B1113" s="149" t="s">
        <v>73</v>
      </c>
      <c r="C1113" s="30" t="str">
        <f>VLOOKUP(B1113,'112年全品項生產鍋數'!A:H,2,0)</f>
        <v>顆粒花生醬(1*12KG)</v>
      </c>
      <c r="D1113" s="285">
        <v>21</v>
      </c>
      <c r="E1113" s="48">
        <f>VLOOKUP(B1113,'112年全品項生產鍋數'!A:H,3,0)</f>
        <v>3</v>
      </c>
      <c r="F1113" s="45">
        <f>VLOOKUP(B1113,'112年全品項生產鍋數'!A:H,7,0)</f>
        <v>29.7</v>
      </c>
      <c r="G1113" s="49">
        <f t="shared" si="124"/>
        <v>623.69999999999993</v>
      </c>
      <c r="H1113" s="144">
        <v>628</v>
      </c>
      <c r="I1113" s="23">
        <f t="shared" si="118"/>
        <v>1884</v>
      </c>
      <c r="J1113" s="50">
        <f t="shared" si="121"/>
        <v>1.0068943402276738</v>
      </c>
      <c r="K1113" s="51">
        <f>VLOOKUP(B:B,'生產達成率(目標)'!A:C,3,0)</f>
        <v>1</v>
      </c>
      <c r="L1113" s="20">
        <f t="shared" si="125"/>
        <v>7.0000000000000001E-3</v>
      </c>
      <c r="M1113" s="41" t="str">
        <f>工時!R297</f>
        <v>540</v>
      </c>
      <c r="N1113" s="159"/>
      <c r="O1113" s="144">
        <f t="shared" si="120"/>
        <v>0</v>
      </c>
      <c r="P1113" s="144">
        <v>628</v>
      </c>
      <c r="Q1113" s="98">
        <f t="shared" si="119"/>
        <v>1</v>
      </c>
      <c r="R1113" s="23"/>
      <c r="S1113" s="173"/>
      <c r="T1113" s="30"/>
      <c r="W1113" s="421"/>
      <c r="Y1113" s="421"/>
      <c r="Z1113" s="421"/>
      <c r="AA1113" s="421"/>
      <c r="AB1113" s="421"/>
      <c r="AC1113" s="421"/>
      <c r="AD1113" s="421"/>
    </row>
    <row r="1114" spans="1:30" s="22" customFormat="1" x14ac:dyDescent="0.4">
      <c r="A1114" s="177" t="s">
        <v>882</v>
      </c>
      <c r="B1114" s="149" t="s">
        <v>65</v>
      </c>
      <c r="C1114" s="30" t="str">
        <f>VLOOKUP(B1114,'112年全品項生產鍋數'!A:H,2,0)</f>
        <v>＃1花生(1*2.8kg)</v>
      </c>
      <c r="D1114" s="285">
        <v>56</v>
      </c>
      <c r="E1114" s="48">
        <f>VLOOKUP(B1114,'112年全品項生產鍋數'!A:H,3,0)</f>
        <v>2.8</v>
      </c>
      <c r="F1114" s="45">
        <f>VLOOKUP(B1114,'112年全品項生產鍋數'!A:H,7,0)</f>
        <v>44.5</v>
      </c>
      <c r="G1114" s="49">
        <f t="shared" si="124"/>
        <v>2492</v>
      </c>
      <c r="H1114" s="144">
        <v>2214</v>
      </c>
      <c r="I1114" s="23">
        <f t="shared" si="118"/>
        <v>6199.2</v>
      </c>
      <c r="J1114" s="50">
        <f t="shared" si="121"/>
        <v>0.8884430176565008</v>
      </c>
      <c r="K1114" s="51">
        <f>VLOOKUP(B:B,'生產達成率(目標)'!A:C,3,0)</f>
        <v>1</v>
      </c>
      <c r="L1114" s="20">
        <f t="shared" si="125"/>
        <v>-0.112</v>
      </c>
      <c r="M1114" s="41" t="str">
        <f>工時!R298</f>
        <v>630</v>
      </c>
      <c r="N1114" s="159"/>
      <c r="O1114" s="144">
        <f t="shared" si="120"/>
        <v>2</v>
      </c>
      <c r="P1114" s="144">
        <v>2212</v>
      </c>
      <c r="Q1114" s="98">
        <f t="shared" si="119"/>
        <v>0.99909665763324296</v>
      </c>
      <c r="R1114" s="23"/>
      <c r="S1114" s="173"/>
      <c r="T1114" s="30" t="s">
        <v>656</v>
      </c>
      <c r="W1114" s="421"/>
      <c r="Y1114" s="421"/>
      <c r="Z1114" s="421"/>
      <c r="AA1114" s="421"/>
      <c r="AB1114" s="421"/>
      <c r="AC1114" s="421"/>
      <c r="AD1114" s="421"/>
    </row>
    <row r="1115" spans="1:30" s="22" customFormat="1" x14ac:dyDescent="0.4">
      <c r="A1115" s="177" t="s">
        <v>882</v>
      </c>
      <c r="B1115" s="149" t="s">
        <v>10</v>
      </c>
      <c r="C1115" s="30" t="str">
        <f>VLOOKUP(B1115,'112年全品項生產鍋數'!A:H,2,0)</f>
        <v>＃2花生(1*800g)</v>
      </c>
      <c r="D1115" s="285">
        <v>4</v>
      </c>
      <c r="E1115" s="48">
        <f>VLOOKUP(B1115,'112年全品項生產鍋數'!A:H,3,0)</f>
        <v>0.8</v>
      </c>
      <c r="F1115" s="45">
        <f>VLOOKUP(B1115,'112年全品項生產鍋數'!A:H,7,0)</f>
        <v>157.69999999999999</v>
      </c>
      <c r="G1115" s="49">
        <f t="shared" si="124"/>
        <v>630.79999999999995</v>
      </c>
      <c r="H1115" s="144">
        <v>675</v>
      </c>
      <c r="I1115" s="23">
        <f t="shared" si="118"/>
        <v>540</v>
      </c>
      <c r="J1115" s="50">
        <f t="shared" si="121"/>
        <v>1.0700697526949905</v>
      </c>
      <c r="K1115" s="51">
        <f>VLOOKUP(B:B,'生產達成率(目標)'!A:C,3,0)</f>
        <v>1</v>
      </c>
      <c r="L1115" s="20">
        <f t="shared" si="125"/>
        <v>7.0000000000000007E-2</v>
      </c>
      <c r="M1115" s="41" t="str">
        <f>工時!R299</f>
        <v>630</v>
      </c>
      <c r="N1115" s="159"/>
      <c r="O1115" s="144">
        <f t="shared" si="120"/>
        <v>0</v>
      </c>
      <c r="P1115" s="144">
        <v>675</v>
      </c>
      <c r="Q1115" s="98">
        <f t="shared" si="119"/>
        <v>1</v>
      </c>
      <c r="R1115" s="23"/>
      <c r="S1115" s="173"/>
      <c r="T1115" s="30"/>
      <c r="W1115" s="421"/>
      <c r="Y1115" s="421"/>
      <c r="Z1115" s="421"/>
      <c r="AA1115" s="421"/>
      <c r="AB1115" s="421"/>
      <c r="AC1115" s="421"/>
      <c r="AD1115" s="421"/>
    </row>
    <row r="1116" spans="1:30" s="22" customFormat="1" x14ac:dyDescent="0.4">
      <c r="A1116" s="177" t="s">
        <v>883</v>
      </c>
      <c r="B1116" s="149" t="s">
        <v>61</v>
      </c>
      <c r="C1116" s="30" t="str">
        <f>VLOOKUP(B1116,'112年全品項生產鍋數'!A:H,2,0)</f>
        <v>大圓草莓-新</v>
      </c>
      <c r="D1116" s="285">
        <v>28</v>
      </c>
      <c r="E1116" s="48">
        <f>VLOOKUP(B1116,'112年全品項生產鍋數'!A:H,3,0)</f>
        <v>0.44</v>
      </c>
      <c r="F1116" s="45">
        <f>VLOOKUP(B1116,'112年全品項生產鍋數'!A:H,7,0)</f>
        <v>344</v>
      </c>
      <c r="G1116" s="49">
        <f t="shared" si="124"/>
        <v>9632</v>
      </c>
      <c r="H1116" s="144">
        <v>9761</v>
      </c>
      <c r="I1116" s="23">
        <f t="shared" si="118"/>
        <v>4294.84</v>
      </c>
      <c r="J1116" s="50">
        <f t="shared" si="121"/>
        <v>1.0133928571428572</v>
      </c>
      <c r="K1116" s="51">
        <f>VLOOKUP(B:B,'生產達成率(目標)'!A:C,3,0)</f>
        <v>1</v>
      </c>
      <c r="L1116" s="20">
        <f t="shared" si="125"/>
        <v>1.2999999999999999E-2</v>
      </c>
      <c r="M1116" s="41" t="str">
        <f>工時!R300</f>
        <v>390</v>
      </c>
      <c r="N1116" s="159"/>
      <c r="O1116" s="144">
        <f t="shared" si="120"/>
        <v>0</v>
      </c>
      <c r="P1116" s="144">
        <v>9761</v>
      </c>
      <c r="Q1116" s="98">
        <f t="shared" si="119"/>
        <v>1</v>
      </c>
      <c r="R1116" s="23"/>
      <c r="S1116" s="173"/>
      <c r="T1116" s="30"/>
      <c r="W1116" s="421"/>
      <c r="Y1116" s="421"/>
      <c r="Z1116" s="421"/>
      <c r="AA1116" s="421"/>
      <c r="AB1116" s="421"/>
      <c r="AC1116" s="421"/>
      <c r="AD1116" s="421"/>
    </row>
    <row r="1117" spans="1:30" s="22" customFormat="1" x14ac:dyDescent="0.4">
      <c r="A1117" s="177" t="s">
        <v>883</v>
      </c>
      <c r="B1117" s="149" t="s">
        <v>106</v>
      </c>
      <c r="C1117" s="30" t="str">
        <f>VLOOKUP(B1117,'112年全品項生產鍋數'!A:H,2,0)</f>
        <v>小藍莓1*260G</v>
      </c>
      <c r="D1117" s="285">
        <v>6</v>
      </c>
      <c r="E1117" s="48">
        <f>VLOOKUP(B1117,'112年全品項生產鍋數'!A:H,3,0)</f>
        <v>0.26</v>
      </c>
      <c r="F1117" s="45">
        <f>VLOOKUP(B1117,'112年全品項生產鍋數'!A:H,7,0)</f>
        <v>584.29999999999995</v>
      </c>
      <c r="G1117" s="49">
        <f t="shared" si="124"/>
        <v>3505.7999999999997</v>
      </c>
      <c r="H1117" s="144">
        <v>3372</v>
      </c>
      <c r="I1117" s="23">
        <f t="shared" ref="I1117:I1163" si="126">H1117*E1117</f>
        <v>876.72</v>
      </c>
      <c r="J1117" s="50">
        <f t="shared" si="121"/>
        <v>0.96183467396885169</v>
      </c>
      <c r="K1117" s="51">
        <f>VLOOKUP(B:B,'生產達成率(目標)'!A:C,3,0)</f>
        <v>1</v>
      </c>
      <c r="L1117" s="20">
        <f t="shared" si="125"/>
        <v>-3.7999999999999999E-2</v>
      </c>
      <c r="M1117" s="41" t="str">
        <f>工時!R301</f>
        <v>172</v>
      </c>
      <c r="N1117" s="159"/>
      <c r="O1117" s="144">
        <f t="shared" si="120"/>
        <v>12</v>
      </c>
      <c r="P1117" s="144">
        <v>3360</v>
      </c>
      <c r="Q1117" s="98">
        <f t="shared" ref="Q1117:Q1163" si="127">P1117/H1117</f>
        <v>0.99644128113879005</v>
      </c>
      <c r="R1117" s="23"/>
      <c r="S1117" s="173"/>
      <c r="T1117" s="30"/>
      <c r="W1117" s="421"/>
      <c r="Y1117" s="421"/>
      <c r="Z1117" s="421"/>
      <c r="AA1117" s="421"/>
      <c r="AB1117" s="421"/>
      <c r="AC1117" s="421"/>
      <c r="AD1117" s="421"/>
    </row>
    <row r="1118" spans="1:30" s="22" customFormat="1" x14ac:dyDescent="0.4">
      <c r="A1118" s="177" t="s">
        <v>883</v>
      </c>
      <c r="B1118" s="149" t="s">
        <v>529</v>
      </c>
      <c r="C1118" s="30" t="str">
        <f>VLOOKUP(B1118,'112年全品項生產鍋數'!A:H,2,0)</f>
        <v>小藍莓1*260G</v>
      </c>
      <c r="D1118" s="285">
        <v>2</v>
      </c>
      <c r="E1118" s="48">
        <f>VLOOKUP(B1118,'112年全品項生產鍋數'!A:H,3,0)</f>
        <v>0.26</v>
      </c>
      <c r="F1118" s="45">
        <f>VLOOKUP(B1118,'112年全品項生產鍋數'!A:H,7,0)</f>
        <v>592</v>
      </c>
      <c r="G1118" s="49">
        <f t="shared" si="124"/>
        <v>1184</v>
      </c>
      <c r="H1118" s="144">
        <v>1188</v>
      </c>
      <c r="I1118" s="23">
        <f t="shared" si="126"/>
        <v>308.88</v>
      </c>
      <c r="J1118" s="50">
        <f t="shared" si="121"/>
        <v>1.0033783783783783</v>
      </c>
      <c r="K1118" s="51">
        <f>VLOOKUP(B:B,'生產達成率(目標)'!A:C,3,0)</f>
        <v>1</v>
      </c>
      <c r="L1118" s="20">
        <f t="shared" si="125"/>
        <v>3.0000000000000001E-3</v>
      </c>
      <c r="M1118" s="41" t="str">
        <f>工時!R302</f>
        <v>52</v>
      </c>
      <c r="N1118" s="159"/>
      <c r="O1118" s="144">
        <f t="shared" si="120"/>
        <v>6</v>
      </c>
      <c r="P1118" s="144">
        <v>1182</v>
      </c>
      <c r="Q1118" s="98">
        <f t="shared" si="127"/>
        <v>0.99494949494949492</v>
      </c>
      <c r="R1118" s="23"/>
      <c r="S1118" s="173"/>
      <c r="T1118" s="30"/>
      <c r="W1118" s="421"/>
      <c r="Y1118" s="421"/>
      <c r="Z1118" s="421"/>
      <c r="AA1118" s="421"/>
      <c r="AB1118" s="421"/>
      <c r="AC1118" s="421"/>
      <c r="AD1118" s="421"/>
    </row>
    <row r="1119" spans="1:30" s="22" customFormat="1" x14ac:dyDescent="0.4">
      <c r="A1119" s="177" t="s">
        <v>883</v>
      </c>
      <c r="B1119" s="149" t="s">
        <v>116</v>
      </c>
      <c r="C1119" s="30" t="str">
        <f>VLOOKUP(B1119,'112年全品項生產鍋數'!A:H,2,0)</f>
        <v>藍莓餡（大）(1*9.08kg)</v>
      </c>
      <c r="D1119" s="285">
        <v>12</v>
      </c>
      <c r="E1119" s="48">
        <f>VLOOKUP(B1119,'112年全品項生產鍋數'!A:H,3,0)</f>
        <v>9.08</v>
      </c>
      <c r="F1119" s="45">
        <f>VLOOKUP(B1119,'112年全品項生產鍋數'!A:H,7,0)</f>
        <v>17.8</v>
      </c>
      <c r="G1119" s="49">
        <f t="shared" si="124"/>
        <v>213.60000000000002</v>
      </c>
      <c r="H1119" s="144">
        <v>209</v>
      </c>
      <c r="I1119" s="23">
        <f t="shared" si="126"/>
        <v>1897.72</v>
      </c>
      <c r="J1119" s="50">
        <f t="shared" si="121"/>
        <v>0.97846441947565532</v>
      </c>
      <c r="K1119" s="51">
        <f>VLOOKUP(B:B,'生產達成率(目標)'!A:C,3,0)</f>
        <v>1</v>
      </c>
      <c r="L1119" s="20">
        <f t="shared" si="125"/>
        <v>-2.1999999999999999E-2</v>
      </c>
      <c r="M1119" s="41" t="str">
        <f>工時!R303</f>
        <v>200</v>
      </c>
      <c r="N1119" s="159"/>
      <c r="O1119" s="144">
        <f t="shared" si="120"/>
        <v>0</v>
      </c>
      <c r="P1119" s="144">
        <v>209</v>
      </c>
      <c r="Q1119" s="98">
        <f t="shared" si="127"/>
        <v>1</v>
      </c>
      <c r="R1119" s="23"/>
      <c r="S1119" s="173"/>
      <c r="T1119" s="30"/>
      <c r="W1119" s="421"/>
      <c r="Y1119" s="421"/>
      <c r="Z1119" s="421"/>
      <c r="AA1119" s="421"/>
      <c r="AB1119" s="421"/>
      <c r="AC1119" s="421"/>
      <c r="AD1119" s="421"/>
    </row>
    <row r="1120" spans="1:30" s="22" customFormat="1" x14ac:dyDescent="0.4">
      <c r="A1120" s="177" t="s">
        <v>883</v>
      </c>
      <c r="B1120" s="149" t="s">
        <v>126</v>
      </c>
      <c r="C1120" s="30" t="str">
        <f>VLOOKUP(B1120,'112年全品項生產鍋數'!A:H,2,0)</f>
        <v>開心草莓餡P(1*6KG)</v>
      </c>
      <c r="D1120" s="285">
        <v>6</v>
      </c>
      <c r="E1120" s="48">
        <f>VLOOKUP(B1120,'112年全品項生產鍋數'!A:H,3,0)</f>
        <v>6</v>
      </c>
      <c r="F1120" s="45">
        <f>VLOOKUP(B1120,'112年全品項生產鍋數'!A:H,7,0)</f>
        <v>25.3</v>
      </c>
      <c r="G1120" s="49">
        <f t="shared" si="124"/>
        <v>151.80000000000001</v>
      </c>
      <c r="H1120" s="144">
        <v>154</v>
      </c>
      <c r="I1120" s="23">
        <f t="shared" si="126"/>
        <v>924</v>
      </c>
      <c r="J1120" s="50">
        <f t="shared" si="121"/>
        <v>1.0144927536231882</v>
      </c>
      <c r="K1120" s="51">
        <f>VLOOKUP(B:B,'生產達成率(目標)'!A:C,3,0)</f>
        <v>1</v>
      </c>
      <c r="L1120" s="20">
        <f t="shared" si="125"/>
        <v>1.4E-2</v>
      </c>
      <c r="M1120" s="41" t="str">
        <f>工時!R304</f>
        <v>185</v>
      </c>
      <c r="N1120" s="159"/>
      <c r="O1120" s="144">
        <f t="shared" si="120"/>
        <v>1</v>
      </c>
      <c r="P1120" s="144">
        <v>153</v>
      </c>
      <c r="Q1120" s="98">
        <f t="shared" si="127"/>
        <v>0.99350649350649356</v>
      </c>
      <c r="R1120" s="23"/>
      <c r="S1120" s="173"/>
      <c r="T1120" s="30"/>
      <c r="W1120" s="421"/>
      <c r="Y1120" s="421"/>
      <c r="Z1120" s="421"/>
      <c r="AA1120" s="421"/>
      <c r="AB1120" s="421"/>
      <c r="AC1120" s="421"/>
      <c r="AD1120" s="421"/>
    </row>
    <row r="1121" spans="1:30" s="22" customFormat="1" x14ac:dyDescent="0.4">
      <c r="A1121" s="177" t="s">
        <v>883</v>
      </c>
      <c r="B1121" s="149" t="s">
        <v>64</v>
      </c>
      <c r="C1121" s="30" t="str">
        <f>VLOOKUP(B1121,'112年全品項生產鍋數'!A:H,2,0)</f>
        <v>藍莓餡(1*6KG)</v>
      </c>
      <c r="D1121" s="285">
        <v>20</v>
      </c>
      <c r="E1121" s="48">
        <f>VLOOKUP(B1121,'112年全品項生產鍋數'!A:H,3,0)</f>
        <v>6</v>
      </c>
      <c r="F1121" s="45">
        <f>VLOOKUP(B1121,'112年全品項生產鍋數'!A:H,7,0)</f>
        <v>25.4</v>
      </c>
      <c r="G1121" s="49">
        <f t="shared" si="124"/>
        <v>508</v>
      </c>
      <c r="H1121" s="144">
        <f>295+206</f>
        <v>501</v>
      </c>
      <c r="I1121" s="23">
        <f t="shared" si="126"/>
        <v>3006</v>
      </c>
      <c r="J1121" s="50">
        <f t="shared" si="121"/>
        <v>0.98622047244094491</v>
      </c>
      <c r="K1121" s="51">
        <f>VLOOKUP(B:B,'生產達成率(目標)'!A:C,3,0)</f>
        <v>1</v>
      </c>
      <c r="L1121" s="20">
        <f t="shared" si="125"/>
        <v>-1.4E-2</v>
      </c>
      <c r="M1121" s="41" t="str">
        <f>工時!R305</f>
        <v>270</v>
      </c>
      <c r="N1121" s="159"/>
      <c r="O1121" s="144">
        <f t="shared" si="120"/>
        <v>1</v>
      </c>
      <c r="P1121" s="144">
        <f>294+206</f>
        <v>500</v>
      </c>
      <c r="Q1121" s="98">
        <f t="shared" si="127"/>
        <v>0.99800399201596801</v>
      </c>
      <c r="R1121" s="23"/>
      <c r="S1121" s="173"/>
      <c r="T1121" s="30"/>
      <c r="W1121" s="421"/>
      <c r="Y1121" s="421"/>
      <c r="Z1121" s="421"/>
      <c r="AA1121" s="421"/>
      <c r="AB1121" s="421"/>
      <c r="AC1121" s="421"/>
      <c r="AD1121" s="421"/>
    </row>
    <row r="1122" spans="1:30" s="22" customFormat="1" x14ac:dyDescent="0.4">
      <c r="A1122" s="177" t="s">
        <v>883</v>
      </c>
      <c r="B1122" s="149" t="s">
        <v>131</v>
      </c>
      <c r="C1122" s="30" t="str">
        <f>VLOOKUP(B1122,'112年全品項生產鍋數'!A:H,2,0)</f>
        <v>花生醬(1*18KG)</v>
      </c>
      <c r="D1122" s="285">
        <v>28</v>
      </c>
      <c r="E1122" s="48">
        <f>VLOOKUP(B1122,'112年全品項生產鍋數'!A:H,3,0)</f>
        <v>18</v>
      </c>
      <c r="F1122" s="45">
        <f>VLOOKUP(B1122,'112年全品項生產鍋數'!A:H,7,0)</f>
        <v>6.9</v>
      </c>
      <c r="G1122" s="49">
        <f t="shared" si="124"/>
        <v>193.20000000000002</v>
      </c>
      <c r="H1122" s="144">
        <v>198</v>
      </c>
      <c r="I1122" s="23">
        <f t="shared" si="126"/>
        <v>3564</v>
      </c>
      <c r="J1122" s="50">
        <f t="shared" si="121"/>
        <v>1.0248447204968942</v>
      </c>
      <c r="K1122" s="51">
        <f>VLOOKUP(B:B,'生產達成率(目標)'!A:C,3,0)</f>
        <v>1</v>
      </c>
      <c r="L1122" s="20">
        <f t="shared" si="125"/>
        <v>2.5000000000000001E-2</v>
      </c>
      <c r="M1122" s="41" t="str">
        <f>工時!R306</f>
        <v>330</v>
      </c>
      <c r="N1122" s="159"/>
      <c r="O1122" s="144">
        <f t="shared" ref="O1122:O1163" si="128">H1122-N1122-P1122</f>
        <v>0</v>
      </c>
      <c r="P1122" s="144">
        <v>198</v>
      </c>
      <c r="Q1122" s="98">
        <f t="shared" si="127"/>
        <v>1</v>
      </c>
      <c r="R1122" s="23"/>
      <c r="S1122" s="173"/>
      <c r="T1122" s="30"/>
      <c r="W1122" s="421"/>
      <c r="Y1122" s="421"/>
      <c r="Z1122" s="421"/>
      <c r="AA1122" s="421"/>
      <c r="AB1122" s="421"/>
      <c r="AC1122" s="421"/>
      <c r="AD1122" s="421"/>
    </row>
    <row r="1123" spans="1:30" s="22" customFormat="1" x14ac:dyDescent="0.4">
      <c r="A1123" s="177" t="s">
        <v>883</v>
      </c>
      <c r="B1123" s="149" t="s">
        <v>66</v>
      </c>
      <c r="C1123" s="30" t="str">
        <f>VLOOKUP(B1123,'112年全品項生產鍋數'!A:H,2,0)</f>
        <v>＃2花生(1*800g)</v>
      </c>
      <c r="D1123" s="285">
        <v>20</v>
      </c>
      <c r="E1123" s="48">
        <f>VLOOKUP(B1123,'112年全品項生產鍋數'!A:H,3,0)</f>
        <v>0.8</v>
      </c>
      <c r="F1123" s="45">
        <f>VLOOKUP(B1123,'112年全品項生產鍋數'!A:H,7,0)</f>
        <v>157.69999999999999</v>
      </c>
      <c r="G1123" s="49">
        <f t="shared" si="124"/>
        <v>3154</v>
      </c>
      <c r="H1123" s="144">
        <v>3156</v>
      </c>
      <c r="I1123" s="23">
        <f t="shared" si="126"/>
        <v>2524.8000000000002</v>
      </c>
      <c r="J1123" s="50">
        <f t="shared" ref="J1123:J1163" si="129">IF(G1123=0,"無法預估數據",H1123/G1123)</f>
        <v>1.0006341154090044</v>
      </c>
      <c r="K1123" s="51">
        <f>VLOOKUP(B:B,'生產達成率(目標)'!A:C,3,0)</f>
        <v>1</v>
      </c>
      <c r="L1123" s="20">
        <f t="shared" si="125"/>
        <v>1E-3</v>
      </c>
      <c r="M1123" s="41" t="str">
        <f>工時!R307</f>
        <v>270</v>
      </c>
      <c r="N1123" s="159"/>
      <c r="O1123" s="144">
        <f t="shared" si="128"/>
        <v>2</v>
      </c>
      <c r="P1123" s="144">
        <v>3154</v>
      </c>
      <c r="Q1123" s="98">
        <f t="shared" si="127"/>
        <v>0.99936628643852976</v>
      </c>
      <c r="R1123" s="23"/>
      <c r="S1123" s="173"/>
      <c r="T1123" s="30"/>
      <c r="W1123" s="421"/>
      <c r="Y1123" s="421"/>
      <c r="Z1123" s="421"/>
      <c r="AA1123" s="421"/>
      <c r="AB1123" s="421"/>
      <c r="AC1123" s="421"/>
      <c r="AD1123" s="421"/>
    </row>
    <row r="1124" spans="1:30" s="22" customFormat="1" x14ac:dyDescent="0.4">
      <c r="A1124" s="177" t="s">
        <v>884</v>
      </c>
      <c r="B1124" s="149" t="s">
        <v>75</v>
      </c>
      <c r="C1124" s="30" t="str">
        <f>VLOOKUP(B1124,'112年全品項生產鍋數'!A:H,2,0)</f>
        <v>草莓椰果餡(1*6Kg)</v>
      </c>
      <c r="D1124" s="285">
        <v>20</v>
      </c>
      <c r="E1124" s="48">
        <f>VLOOKUP(B1124,'112年全品項生產鍋數'!A:H,3,0)</f>
        <v>6</v>
      </c>
      <c r="F1124" s="45">
        <f>VLOOKUP(B1124,'112年全品項生產鍋數'!A:H,7,0)</f>
        <v>26.4</v>
      </c>
      <c r="G1124" s="49">
        <f t="shared" si="124"/>
        <v>528</v>
      </c>
      <c r="H1124" s="144">
        <v>538</v>
      </c>
      <c r="I1124" s="23">
        <f t="shared" si="126"/>
        <v>3228</v>
      </c>
      <c r="J1124" s="50">
        <f t="shared" si="129"/>
        <v>1.018939393939394</v>
      </c>
      <c r="K1124" s="51">
        <f>VLOOKUP(B:B,'生產達成率(目標)'!A:C,3,0)</f>
        <v>1</v>
      </c>
      <c r="L1124" s="20">
        <f t="shared" si="125"/>
        <v>1.9E-2</v>
      </c>
      <c r="M1124" s="41" t="str">
        <f>工時!R308</f>
        <v>240</v>
      </c>
      <c r="N1124" s="159"/>
      <c r="O1124" s="144">
        <f t="shared" si="128"/>
        <v>1</v>
      </c>
      <c r="P1124" s="144">
        <v>537</v>
      </c>
      <c r="Q1124" s="98">
        <f t="shared" si="127"/>
        <v>0.9981412639405205</v>
      </c>
      <c r="R1124" s="23"/>
      <c r="S1124" s="173"/>
      <c r="T1124" s="30"/>
      <c r="W1124" s="421"/>
      <c r="Y1124" s="421"/>
      <c r="Z1124" s="421"/>
      <c r="AA1124" s="421"/>
      <c r="AB1124" s="421"/>
      <c r="AC1124" s="421"/>
      <c r="AD1124" s="421"/>
    </row>
    <row r="1125" spans="1:30" s="22" customFormat="1" x14ac:dyDescent="0.4">
      <c r="A1125" s="177" t="s">
        <v>884</v>
      </c>
      <c r="B1125" s="149" t="s">
        <v>63</v>
      </c>
      <c r="C1125" s="30" t="str">
        <f>VLOOKUP(B1125,'112年全品項生產鍋數'!A:H,2,0)</f>
        <v>草莓蒟蒻餡(1*6kg)</v>
      </c>
      <c r="D1125" s="285">
        <v>24</v>
      </c>
      <c r="E1125" s="48">
        <f>VLOOKUP(B1125,'112年全品項生產鍋數'!A:H,3,0)</f>
        <v>6</v>
      </c>
      <c r="F1125" s="45">
        <f>VLOOKUP(B1125,'112年全品項生產鍋數'!A:H,7,0)</f>
        <v>25.7</v>
      </c>
      <c r="G1125" s="49">
        <f t="shared" si="124"/>
        <v>616.79999999999995</v>
      </c>
      <c r="H1125" s="144">
        <f>305+316</f>
        <v>621</v>
      </c>
      <c r="I1125" s="23">
        <f t="shared" si="126"/>
        <v>3726</v>
      </c>
      <c r="J1125" s="50">
        <f t="shared" si="129"/>
        <v>1.0068093385214008</v>
      </c>
      <c r="K1125" s="51">
        <f>VLOOKUP(B:B,'生產達成率(目標)'!A:C,3,0)</f>
        <v>1</v>
      </c>
      <c r="L1125" s="20">
        <f t="shared" si="125"/>
        <v>7.0000000000000001E-3</v>
      </c>
      <c r="M1125" s="41" t="str">
        <f>工時!R309</f>
        <v>330</v>
      </c>
      <c r="N1125" s="159"/>
      <c r="O1125" s="144">
        <f t="shared" si="128"/>
        <v>1</v>
      </c>
      <c r="P1125" s="144">
        <f>304+316</f>
        <v>620</v>
      </c>
      <c r="Q1125" s="98">
        <f t="shared" si="127"/>
        <v>0.99838969404186795</v>
      </c>
      <c r="R1125" s="23"/>
      <c r="S1125" s="173"/>
      <c r="T1125" s="30"/>
      <c r="W1125" s="421"/>
      <c r="Y1125" s="421"/>
      <c r="Z1125" s="421"/>
      <c r="AA1125" s="421"/>
      <c r="AB1125" s="421"/>
      <c r="AC1125" s="421"/>
      <c r="AD1125" s="421"/>
    </row>
    <row r="1126" spans="1:30" s="22" customFormat="1" x14ac:dyDescent="0.4">
      <c r="A1126" s="177" t="s">
        <v>884</v>
      </c>
      <c r="B1126" s="149" t="s">
        <v>108</v>
      </c>
      <c r="C1126" s="30" t="str">
        <f>VLOOKUP(B1126,'112年全品項生產鍋數'!A:H,2,0)</f>
        <v>顆粒花生醬(1*12KG)</v>
      </c>
      <c r="D1126" s="285">
        <v>21</v>
      </c>
      <c r="E1126" s="48">
        <f>VLOOKUP(B1126,'112年全品項生產鍋數'!A:H,3,0)</f>
        <v>3</v>
      </c>
      <c r="F1126" s="45">
        <f>VLOOKUP(B1126,'112年全品項生產鍋數'!A:H,7,0)</f>
        <v>31.6</v>
      </c>
      <c r="G1126" s="49">
        <f t="shared" si="124"/>
        <v>663.6</v>
      </c>
      <c r="H1126" s="144">
        <v>668</v>
      </c>
      <c r="I1126" s="23">
        <f t="shared" si="126"/>
        <v>2004</v>
      </c>
      <c r="J1126" s="50">
        <f t="shared" si="129"/>
        <v>1.0066305003013862</v>
      </c>
      <c r="K1126" s="51">
        <f>VLOOKUP(B:B,'生產達成率(目標)'!A:C,3,0)</f>
        <v>1</v>
      </c>
      <c r="L1126" s="20">
        <f t="shared" si="125"/>
        <v>7.0000000000000001E-3</v>
      </c>
      <c r="M1126" s="41" t="str">
        <f>工時!R310</f>
        <v>500</v>
      </c>
      <c r="N1126" s="159"/>
      <c r="O1126" s="144">
        <f t="shared" si="128"/>
        <v>0</v>
      </c>
      <c r="P1126" s="144">
        <v>668</v>
      </c>
      <c r="Q1126" s="98">
        <f t="shared" si="127"/>
        <v>1</v>
      </c>
      <c r="R1126" s="23"/>
      <c r="S1126" s="173"/>
      <c r="T1126" s="30"/>
      <c r="W1126" s="421"/>
      <c r="Y1126" s="421"/>
      <c r="Z1126" s="421"/>
      <c r="AA1126" s="421"/>
      <c r="AB1126" s="421"/>
      <c r="AC1126" s="421"/>
      <c r="AD1126" s="421"/>
    </row>
    <row r="1127" spans="1:30" s="22" customFormat="1" x14ac:dyDescent="0.4">
      <c r="A1127" s="177" t="s">
        <v>884</v>
      </c>
      <c r="B1127" s="149" t="s">
        <v>471</v>
      </c>
      <c r="C1127" s="30" t="str">
        <f>VLOOKUP(B1127,'112年全品項生產鍋數'!A:H,2,0)</f>
        <v>花生醬(1*290g)</v>
      </c>
      <c r="D1127" s="285">
        <v>8</v>
      </c>
      <c r="E1127" s="48">
        <f>VLOOKUP(B1127,'112年全品項生產鍋數'!A:H,3,0)</f>
        <v>0.28999999999999998</v>
      </c>
      <c r="F1127" s="45">
        <f>VLOOKUP(B1127,'112年全品項生產鍋數'!A:H,7,0)</f>
        <v>412.6</v>
      </c>
      <c r="G1127" s="49">
        <f t="shared" si="124"/>
        <v>3300.8</v>
      </c>
      <c r="H1127" s="144">
        <v>3397</v>
      </c>
      <c r="I1127" s="23">
        <f t="shared" si="126"/>
        <v>985.12999999999988</v>
      </c>
      <c r="J1127" s="50">
        <f t="shared" si="129"/>
        <v>1.0291444498303441</v>
      </c>
      <c r="K1127" s="51">
        <f>VLOOKUP(B:B,'生產達成率(目標)'!A:C,3,0)</f>
        <v>1</v>
      </c>
      <c r="L1127" s="20">
        <f t="shared" si="125"/>
        <v>2.9000000000000001E-2</v>
      </c>
      <c r="M1127" s="41" t="str">
        <f>工時!R311</f>
        <v>360</v>
      </c>
      <c r="N1127" s="159"/>
      <c r="O1127" s="144">
        <f t="shared" si="128"/>
        <v>4</v>
      </c>
      <c r="P1127" s="144">
        <v>3393</v>
      </c>
      <c r="Q1127" s="98">
        <f t="shared" si="127"/>
        <v>0.99882249043273474</v>
      </c>
      <c r="R1127" s="23"/>
      <c r="S1127" s="173"/>
      <c r="T1127" s="30"/>
      <c r="W1127" s="421"/>
      <c r="Y1127" s="421"/>
      <c r="Z1127" s="421"/>
      <c r="AA1127" s="421"/>
      <c r="AB1127" s="421"/>
      <c r="AC1127" s="421"/>
      <c r="AD1127" s="421"/>
    </row>
    <row r="1128" spans="1:30" s="22" customFormat="1" ht="17.5" thickBot="1" x14ac:dyDescent="0.45">
      <c r="A1128" s="322" t="s">
        <v>884</v>
      </c>
      <c r="B1128" s="323" t="s">
        <v>597</v>
      </c>
      <c r="C1128" s="324" t="str">
        <f>VLOOKUP(B1128,'112年全品項生產鍋數'!A:H,2,0)</f>
        <v>無加糖花生醬(1*290g)</v>
      </c>
      <c r="D1128" s="325">
        <v>8</v>
      </c>
      <c r="E1128" s="326">
        <f>VLOOKUP(B1128,'112年全品項生產鍋數'!A:H,3,0)</f>
        <v>0.28999999999999998</v>
      </c>
      <c r="F1128" s="327">
        <f>VLOOKUP(B1128,'112年全品項生產鍋數'!A:H,7,0)</f>
        <v>388</v>
      </c>
      <c r="G1128" s="328">
        <f t="shared" ref="G1128:G1163" si="130">D1128*F1128</f>
        <v>3104</v>
      </c>
      <c r="H1128" s="329">
        <v>3261</v>
      </c>
      <c r="I1128" s="330">
        <f t="shared" si="126"/>
        <v>945.68999999999994</v>
      </c>
      <c r="J1128" s="331">
        <f t="shared" si="129"/>
        <v>1.0505798969072164</v>
      </c>
      <c r="K1128" s="332">
        <f>VLOOKUP(B:B,'生產達成率(目標)'!A:C,3,0)</f>
        <v>1</v>
      </c>
      <c r="L1128" s="333">
        <f t="shared" si="125"/>
        <v>5.0999999999999997E-2</v>
      </c>
      <c r="M1128" s="334" t="str">
        <f>工時!R312</f>
        <v>210</v>
      </c>
      <c r="N1128" s="335"/>
      <c r="O1128" s="329">
        <f t="shared" si="128"/>
        <v>6</v>
      </c>
      <c r="P1128" s="329">
        <v>3255</v>
      </c>
      <c r="Q1128" s="336">
        <f t="shared" si="127"/>
        <v>0.99816007359705616</v>
      </c>
      <c r="R1128" s="330"/>
      <c r="S1128" s="337"/>
      <c r="T1128" s="324"/>
      <c r="W1128" s="421"/>
      <c r="Y1128" s="421"/>
      <c r="Z1128" s="421"/>
      <c r="AA1128" s="421"/>
      <c r="AB1128" s="421"/>
      <c r="AC1128" s="421"/>
      <c r="AD1128" s="421"/>
    </row>
    <row r="1129" spans="1:30" ht="17.5" thickTop="1" x14ac:dyDescent="0.4">
      <c r="A1129" s="306" t="s">
        <v>899</v>
      </c>
      <c r="B1129" s="307" t="s">
        <v>11</v>
      </c>
      <c r="C1129" s="308" t="str">
        <f>VLOOKUP(B1129,'112年全品項生產鍋數'!A:H,2,0)</f>
        <v>#2草莓果醬(1*900g)</v>
      </c>
      <c r="D1129" s="309">
        <v>20</v>
      </c>
      <c r="E1129" s="310">
        <f>VLOOKUP(B1129,'112年全品項生產鍋數'!A:H,3,0)</f>
        <v>0.9</v>
      </c>
      <c r="F1129" s="311">
        <f>VLOOKUP(B1129,'112年全品項生產鍋數'!A:H,7,0)</f>
        <v>160.5</v>
      </c>
      <c r="G1129" s="312">
        <f t="shared" si="130"/>
        <v>3210</v>
      </c>
      <c r="H1129" s="313">
        <v>3233</v>
      </c>
      <c r="I1129" s="314">
        <f t="shared" si="126"/>
        <v>2909.7000000000003</v>
      </c>
      <c r="J1129" s="315">
        <f t="shared" si="129"/>
        <v>1.0071651090342679</v>
      </c>
      <c r="K1129" s="316">
        <f>VLOOKUP(B:B,'生產達成率(目標)'!A:C,3,0)</f>
        <v>1</v>
      </c>
      <c r="L1129" s="317">
        <f t="shared" si="125"/>
        <v>7.0000000000000001E-3</v>
      </c>
      <c r="M1129" s="318" t="str">
        <f>工時!R313</f>
        <v>270</v>
      </c>
      <c r="N1129" s="319"/>
      <c r="O1129" s="313">
        <f t="shared" si="128"/>
        <v>2</v>
      </c>
      <c r="P1129" s="313">
        <v>3231</v>
      </c>
      <c r="Q1129" s="320">
        <f t="shared" si="127"/>
        <v>0.99938137952366224</v>
      </c>
      <c r="R1129" s="314"/>
      <c r="S1129" s="321"/>
      <c r="T1129" s="308"/>
    </row>
    <row r="1130" spans="1:30" x14ac:dyDescent="0.4">
      <c r="A1130" s="179" t="s">
        <v>899</v>
      </c>
      <c r="B1130" s="139" t="s">
        <v>80</v>
      </c>
      <c r="C1130" s="30" t="str">
        <f>VLOOKUP(B1130,'112年全品項生產鍋數'!A:H,2,0)</f>
        <v>＃1桔子(1*3.2kg)</v>
      </c>
      <c r="D1130" s="286">
        <v>40</v>
      </c>
      <c r="E1130" s="48">
        <f>VLOOKUP(B1130,'112年全品項生產鍋數'!A:H,3,0)</f>
        <v>3.2</v>
      </c>
      <c r="F1130" s="45">
        <f>VLOOKUP(B1130,'112年全品項生產鍋數'!A:H,7,0)</f>
        <v>46.4</v>
      </c>
      <c r="G1130" s="49">
        <f t="shared" si="130"/>
        <v>1856</v>
      </c>
      <c r="H1130" s="144">
        <v>1834</v>
      </c>
      <c r="I1130" s="23">
        <f t="shared" si="126"/>
        <v>5868.8</v>
      </c>
      <c r="J1130" s="100">
        <f t="shared" si="129"/>
        <v>0.9881465517241379</v>
      </c>
      <c r="K1130" s="51">
        <f>VLOOKUP(B:B,'生產達成率(目標)'!A:C,3,0)</f>
        <v>1</v>
      </c>
      <c r="L1130" s="20">
        <f t="shared" si="125"/>
        <v>-1.2E-2</v>
      </c>
      <c r="M1130" s="41" t="str">
        <f>工時!R314</f>
        <v>320</v>
      </c>
      <c r="N1130" s="159"/>
      <c r="O1130" s="144">
        <f t="shared" si="128"/>
        <v>1</v>
      </c>
      <c r="P1130" s="144">
        <v>1833</v>
      </c>
      <c r="Q1130" s="98">
        <f t="shared" si="127"/>
        <v>0.9994547437295529</v>
      </c>
      <c r="R1130" s="23"/>
      <c r="S1130" s="173"/>
      <c r="T1130" s="30"/>
    </row>
    <row r="1131" spans="1:30" x14ac:dyDescent="0.4">
      <c r="A1131" s="179" t="s">
        <v>899</v>
      </c>
      <c r="B1131" s="149" t="s">
        <v>140</v>
      </c>
      <c r="C1131" s="30" t="str">
        <f>VLOOKUP(B1131,'112年全品項生產鍋數'!A:H,2,0)</f>
        <v>草莓餡(1*6Kg)</v>
      </c>
      <c r="D1131" s="286">
        <v>20</v>
      </c>
      <c r="E1131" s="48">
        <f>VLOOKUP(B1131,'112年全品項生產鍋數'!A:H,3,0)</f>
        <v>6</v>
      </c>
      <c r="F1131" s="45">
        <f>VLOOKUP(B1131,'112年全品項生產鍋數'!A:H,7,0)</f>
        <v>25.5</v>
      </c>
      <c r="G1131" s="49">
        <f t="shared" si="130"/>
        <v>510</v>
      </c>
      <c r="H1131" s="144">
        <v>508</v>
      </c>
      <c r="I1131" s="23">
        <f t="shared" si="126"/>
        <v>3048</v>
      </c>
      <c r="J1131" s="100">
        <f t="shared" si="129"/>
        <v>0.99607843137254903</v>
      </c>
      <c r="K1131" s="51">
        <f>VLOOKUP(B:B,'生產達成率(目標)'!A:C,3,0)</f>
        <v>1</v>
      </c>
      <c r="L1131" s="20">
        <f t="shared" si="125"/>
        <v>-4.0000000000000001E-3</v>
      </c>
      <c r="M1131" s="41" t="str">
        <f>工時!R315</f>
        <v>250</v>
      </c>
      <c r="N1131" s="159"/>
      <c r="O1131" s="144">
        <f t="shared" si="128"/>
        <v>2</v>
      </c>
      <c r="P1131" s="144">
        <v>506</v>
      </c>
      <c r="Q1131" s="98">
        <f t="shared" si="127"/>
        <v>0.99606299212598426</v>
      </c>
      <c r="R1131" s="23"/>
      <c r="S1131" s="173"/>
      <c r="T1131" s="30"/>
    </row>
    <row r="1132" spans="1:30" x14ac:dyDescent="0.4">
      <c r="A1132" s="179" t="s">
        <v>899</v>
      </c>
      <c r="B1132" s="139" t="s">
        <v>63</v>
      </c>
      <c r="C1132" s="30" t="str">
        <f>VLOOKUP(B1132,'112年全品項生產鍋數'!A:H,2,0)</f>
        <v>草莓蒟蒻餡(1*6kg)</v>
      </c>
      <c r="D1132" s="286">
        <v>24</v>
      </c>
      <c r="E1132" s="48">
        <f>VLOOKUP(B1132,'112年全品項生產鍋數'!A:H,3,0)</f>
        <v>6</v>
      </c>
      <c r="F1132" s="45">
        <f>VLOOKUP(B1132,'112年全品項生產鍋數'!A:H,7,0)</f>
        <v>25.7</v>
      </c>
      <c r="G1132" s="49">
        <f t="shared" si="130"/>
        <v>616.79999999999995</v>
      </c>
      <c r="H1132" s="144">
        <f>292+318</f>
        <v>610</v>
      </c>
      <c r="I1132" s="23">
        <f t="shared" si="126"/>
        <v>3660</v>
      </c>
      <c r="J1132" s="100">
        <f t="shared" si="129"/>
        <v>0.98897535667963687</v>
      </c>
      <c r="K1132" s="51">
        <f>VLOOKUP(B:B,'生產達成率(目標)'!A:C,3,0)</f>
        <v>1</v>
      </c>
      <c r="L1132" s="20">
        <f t="shared" si="125"/>
        <v>-1.0999999999999999E-2</v>
      </c>
      <c r="M1132" s="41" t="str">
        <f>工時!R316</f>
        <v>335</v>
      </c>
      <c r="N1132" s="159"/>
      <c r="O1132" s="144">
        <f t="shared" si="128"/>
        <v>1</v>
      </c>
      <c r="P1132" s="144">
        <f>291+318</f>
        <v>609</v>
      </c>
      <c r="Q1132" s="98">
        <f t="shared" si="127"/>
        <v>0.99836065573770494</v>
      </c>
      <c r="R1132" s="23"/>
      <c r="S1132" s="173"/>
      <c r="T1132" s="30"/>
    </row>
    <row r="1133" spans="1:30" x14ac:dyDescent="0.4">
      <c r="A1133" s="179" t="s">
        <v>899</v>
      </c>
      <c r="B1133" s="151" t="s">
        <v>18</v>
      </c>
      <c r="C1133" s="30" t="str">
        <f>VLOOKUP(B1133,'112年全品項生產鍋數'!A:H,2,0)</f>
        <v>PET瓶花生(粒)(1*340g)</v>
      </c>
      <c r="D1133" s="286">
        <v>20</v>
      </c>
      <c r="E1133" s="48">
        <f>VLOOKUP(B1133,'112年全品項生產鍋數'!A:H,3,0)</f>
        <v>0.34</v>
      </c>
      <c r="F1133" s="45">
        <f>VLOOKUP(B1133,'112年全品項生產鍋數'!A:H,7,0)</f>
        <v>366</v>
      </c>
      <c r="G1133" s="49">
        <f t="shared" si="130"/>
        <v>7320</v>
      </c>
      <c r="H1133" s="144">
        <f>3821+3602</f>
        <v>7423</v>
      </c>
      <c r="I1133" s="23">
        <f t="shared" si="126"/>
        <v>2523.8200000000002</v>
      </c>
      <c r="J1133" s="100">
        <f t="shared" si="129"/>
        <v>1.014071038251366</v>
      </c>
      <c r="K1133" s="51">
        <f>VLOOKUP(B:B,'生產達成率(目標)'!A:C,3,0)</f>
        <v>1</v>
      </c>
      <c r="L1133" s="20">
        <f t="shared" si="125"/>
        <v>1.4E-2</v>
      </c>
      <c r="M1133" s="41" t="str">
        <f>工時!R317</f>
        <v>330</v>
      </c>
      <c r="N1133" s="159"/>
      <c r="O1133" s="144">
        <f t="shared" si="128"/>
        <v>5</v>
      </c>
      <c r="P1133" s="144">
        <f>3818+3600</f>
        <v>7418</v>
      </c>
      <c r="Q1133" s="98">
        <f t="shared" si="127"/>
        <v>0.99932641789034082</v>
      </c>
      <c r="R1133" s="23"/>
      <c r="S1133" s="173">
        <v>90</v>
      </c>
      <c r="T1133" s="30" t="s">
        <v>926</v>
      </c>
    </row>
    <row r="1134" spans="1:30" x14ac:dyDescent="0.4">
      <c r="A1134" s="179" t="s">
        <v>899</v>
      </c>
      <c r="B1134" s="139" t="s">
        <v>536</v>
      </c>
      <c r="C1134" s="30" t="str">
        <f>VLOOKUP(B1134,'112年全品項生產鍋數'!A:H,2,0)</f>
        <v>花生醬(1*3.5KG)</v>
      </c>
      <c r="D1134" s="286">
        <v>6</v>
      </c>
      <c r="E1134" s="48">
        <f>VLOOKUP(B1134,'112年全品項生產鍋數'!A:H,3,0)</f>
        <v>3.5</v>
      </c>
      <c r="F1134" s="45">
        <f>VLOOKUP(B1134,'112年全品項生產鍋數'!A:H,7,0)</f>
        <v>25.4</v>
      </c>
      <c r="G1134" s="49">
        <f t="shared" si="130"/>
        <v>152.39999999999998</v>
      </c>
      <c r="H1134" s="144">
        <v>152</v>
      </c>
      <c r="I1134" s="23">
        <f t="shared" si="126"/>
        <v>532</v>
      </c>
      <c r="J1134" s="100">
        <f t="shared" si="129"/>
        <v>0.99737532808398965</v>
      </c>
      <c r="K1134" s="51">
        <f>VLOOKUP(B:B,'生產達成率(目標)'!A:C,3,0)</f>
        <v>1</v>
      </c>
      <c r="L1134" s="20">
        <f t="shared" si="125"/>
        <v>-3.0000000000000001E-3</v>
      </c>
      <c r="M1134" s="41" t="str">
        <f>工時!R318</f>
        <v>300</v>
      </c>
      <c r="N1134" s="159"/>
      <c r="O1134" s="144">
        <f t="shared" si="128"/>
        <v>0</v>
      </c>
      <c r="P1134" s="144">
        <v>152</v>
      </c>
      <c r="Q1134" s="98">
        <f t="shared" si="127"/>
        <v>1</v>
      </c>
      <c r="R1134" s="23"/>
      <c r="S1134" s="173"/>
      <c r="T1134" s="30"/>
    </row>
    <row r="1135" spans="1:30" x14ac:dyDescent="0.4">
      <c r="A1135" s="179" t="s">
        <v>900</v>
      </c>
      <c r="B1135" s="139" t="s">
        <v>55</v>
      </c>
      <c r="C1135" s="30" t="str">
        <f>VLOOKUP(B1135,'112年全品項生產鍋數'!A:H,2,0)</f>
        <v>天天開心草莓餡4.5KG</v>
      </c>
      <c r="D1135" s="286">
        <v>12</v>
      </c>
      <c r="E1135" s="48">
        <f>VLOOKUP(B1135,'112年全品項生產鍋數'!A:H,3,0)</f>
        <v>4.5</v>
      </c>
      <c r="F1135" s="45">
        <f>VLOOKUP(B1135,'112年全品項生產鍋數'!A:H,7,0)</f>
        <v>36.299999999999997</v>
      </c>
      <c r="G1135" s="49">
        <f t="shared" si="130"/>
        <v>435.59999999999997</v>
      </c>
      <c r="H1135" s="144">
        <v>422</v>
      </c>
      <c r="I1135" s="23">
        <f t="shared" si="126"/>
        <v>1899</v>
      </c>
      <c r="J1135" s="100">
        <f t="shared" si="129"/>
        <v>0.96877869605142342</v>
      </c>
      <c r="K1135" s="51">
        <f>VLOOKUP(B:B,'生產達成率(目標)'!A:C,3,0)</f>
        <v>1</v>
      </c>
      <c r="L1135" s="20">
        <f t="shared" si="125"/>
        <v>-3.1E-2</v>
      </c>
      <c r="M1135" s="41" t="str">
        <f>工時!R319</f>
        <v>265</v>
      </c>
      <c r="N1135" s="159"/>
      <c r="O1135" s="144">
        <f t="shared" si="128"/>
        <v>0</v>
      </c>
      <c r="P1135" s="144">
        <v>422</v>
      </c>
      <c r="Q1135" s="98">
        <f t="shared" si="127"/>
        <v>1</v>
      </c>
      <c r="R1135" s="23"/>
      <c r="S1135" s="173"/>
      <c r="T1135" s="30"/>
    </row>
    <row r="1136" spans="1:30" x14ac:dyDescent="0.4">
      <c r="A1136" s="179" t="s">
        <v>900</v>
      </c>
      <c r="B1136" s="139" t="s">
        <v>661</v>
      </c>
      <c r="C1136" s="30" t="str">
        <f>VLOOKUP(B1136,'112年全品項生產鍋數'!A:H,2,0)</f>
        <v>上好佳藍莓餡(大)4.5KG</v>
      </c>
      <c r="D1136" s="286">
        <v>20</v>
      </c>
      <c r="E1136" s="48">
        <f>VLOOKUP(B1136,'112年全品項生產鍋數'!A:H,3,0)</f>
        <v>4.5</v>
      </c>
      <c r="F1136" s="45">
        <f>VLOOKUP(B1136,'112年全品項生產鍋數'!A:H,7,0)</f>
        <v>37</v>
      </c>
      <c r="G1136" s="49">
        <f t="shared" si="130"/>
        <v>740</v>
      </c>
      <c r="H1136" s="144">
        <v>742</v>
      </c>
      <c r="I1136" s="23">
        <f t="shared" si="126"/>
        <v>3339</v>
      </c>
      <c r="J1136" s="100">
        <f t="shared" si="129"/>
        <v>1.0027027027027027</v>
      </c>
      <c r="K1136" s="51">
        <f>VLOOKUP(B:B,'生產達成率(目標)'!A:C,3,0)</f>
        <v>1</v>
      </c>
      <c r="L1136" s="20">
        <f t="shared" si="125"/>
        <v>3.0000000000000001E-3</v>
      </c>
      <c r="M1136" s="41" t="str">
        <f>工時!R320</f>
        <v>324</v>
      </c>
      <c r="N1136" s="159"/>
      <c r="O1136" s="144">
        <f t="shared" si="128"/>
        <v>0</v>
      </c>
      <c r="P1136" s="144">
        <v>742</v>
      </c>
      <c r="Q1136" s="98">
        <f t="shared" si="127"/>
        <v>1</v>
      </c>
      <c r="R1136" s="23"/>
      <c r="S1136" s="173"/>
      <c r="T1136" s="30"/>
    </row>
    <row r="1137" spans="1:20" x14ac:dyDescent="0.4">
      <c r="A1137" s="179" t="s">
        <v>900</v>
      </c>
      <c r="B1137" s="149" t="s">
        <v>41</v>
      </c>
      <c r="C1137" s="30" t="str">
        <f>VLOOKUP(B1137,'112年全品項生產鍋數'!A:H,2,0)</f>
        <v>天天開心藍莓餡4.5KG</v>
      </c>
      <c r="D1137" s="286">
        <v>8</v>
      </c>
      <c r="E1137" s="48">
        <f>VLOOKUP(B1137,'112年全品項生產鍋數'!A:H,3,0)</f>
        <v>4.5</v>
      </c>
      <c r="F1137" s="45">
        <f>VLOOKUP(B1137,'112年全品項生產鍋數'!A:H,7,0)</f>
        <v>36.799999999999997</v>
      </c>
      <c r="G1137" s="49">
        <f t="shared" si="130"/>
        <v>294.39999999999998</v>
      </c>
      <c r="H1137" s="144">
        <v>307</v>
      </c>
      <c r="I1137" s="23">
        <f t="shared" si="126"/>
        <v>1381.5</v>
      </c>
      <c r="J1137" s="100">
        <f t="shared" si="129"/>
        <v>1.0427989130434783</v>
      </c>
      <c r="K1137" s="51">
        <f>VLOOKUP(B:B,'生產達成率(目標)'!A:C,3,0)</f>
        <v>1</v>
      </c>
      <c r="L1137" s="20">
        <f t="shared" si="125"/>
        <v>4.2999999999999997E-2</v>
      </c>
      <c r="M1137" s="41" t="str">
        <f>工時!R321</f>
        <v>201</v>
      </c>
      <c r="N1137" s="159"/>
      <c r="O1137" s="144">
        <f t="shared" si="128"/>
        <v>0</v>
      </c>
      <c r="P1137" s="144">
        <v>307</v>
      </c>
      <c r="Q1137" s="98">
        <f t="shared" si="127"/>
        <v>1</v>
      </c>
      <c r="R1137" s="23"/>
      <c r="S1137" s="173"/>
      <c r="T1137" s="30"/>
    </row>
    <row r="1138" spans="1:20" x14ac:dyDescent="0.4">
      <c r="A1138" s="179" t="s">
        <v>900</v>
      </c>
      <c r="B1138" s="149" t="s">
        <v>13</v>
      </c>
      <c r="C1138" s="30" t="str">
        <f>VLOOKUP(B1138,'112年全品項生產鍋數'!A:H,2,0)</f>
        <v>顆粒花生醬(1*12KG)</v>
      </c>
      <c r="D1138" s="286">
        <v>21</v>
      </c>
      <c r="E1138" s="48">
        <f>VLOOKUP(B1138,'112年全品項生產鍋數'!A:H,3,0)</f>
        <v>3</v>
      </c>
      <c r="F1138" s="45">
        <f>VLOOKUP(B1138,'112年全品項生產鍋數'!A:H,7,0)</f>
        <v>29.7</v>
      </c>
      <c r="G1138" s="49">
        <f t="shared" si="130"/>
        <v>623.69999999999993</v>
      </c>
      <c r="H1138" s="144">
        <v>628</v>
      </c>
      <c r="I1138" s="23">
        <f t="shared" si="126"/>
        <v>1884</v>
      </c>
      <c r="J1138" s="100">
        <f t="shared" si="129"/>
        <v>1.0068943402276738</v>
      </c>
      <c r="K1138" s="51">
        <f>VLOOKUP(B:B,'生產達成率(目標)'!A:C,3,0)</f>
        <v>1</v>
      </c>
      <c r="L1138" s="20">
        <f t="shared" si="125"/>
        <v>7.0000000000000001E-3</v>
      </c>
      <c r="M1138" s="41" t="str">
        <f>工時!R322</f>
        <v>540</v>
      </c>
      <c r="N1138" s="159"/>
      <c r="O1138" s="144">
        <f t="shared" si="128"/>
        <v>0</v>
      </c>
      <c r="P1138" s="144">
        <v>628</v>
      </c>
      <c r="Q1138" s="98">
        <f t="shared" si="127"/>
        <v>1</v>
      </c>
      <c r="R1138" s="23"/>
      <c r="S1138" s="173"/>
      <c r="T1138" s="30"/>
    </row>
    <row r="1139" spans="1:20" x14ac:dyDescent="0.4">
      <c r="A1139" s="179" t="s">
        <v>900</v>
      </c>
      <c r="B1139" s="149" t="s">
        <v>4</v>
      </c>
      <c r="C1139" s="30" t="str">
        <f>VLOOKUP(B1139,'112年全品項生產鍋數'!A:H,2,0)</f>
        <v>PET大花生(1*400g)</v>
      </c>
      <c r="D1139" s="286">
        <v>36</v>
      </c>
      <c r="E1139" s="48">
        <f>VLOOKUP(B1139,'112年全品項生產鍋數'!A:H,3,0)</f>
        <v>0.4</v>
      </c>
      <c r="F1139" s="45">
        <f>VLOOKUP(B1139,'112年全品項生產鍋數'!A:H,7,0)</f>
        <v>309.2</v>
      </c>
      <c r="G1139" s="49">
        <f t="shared" si="130"/>
        <v>11131.199999999999</v>
      </c>
      <c r="H1139" s="144">
        <v>11229</v>
      </c>
      <c r="I1139" s="23">
        <f t="shared" si="126"/>
        <v>4491.6000000000004</v>
      </c>
      <c r="J1139" s="100">
        <f t="shared" si="129"/>
        <v>1.0087861147046142</v>
      </c>
      <c r="K1139" s="51">
        <f>VLOOKUP(B:B,'生產達成率(目標)'!A:C,3,0)</f>
        <v>1</v>
      </c>
      <c r="L1139" s="20">
        <f t="shared" si="125"/>
        <v>8.9999999999999993E-3</v>
      </c>
      <c r="M1139" s="41" t="str">
        <f>工時!R323</f>
        <v>490</v>
      </c>
      <c r="N1139" s="159"/>
      <c r="O1139" s="144">
        <f t="shared" si="128"/>
        <v>0</v>
      </c>
      <c r="P1139" s="144">
        <v>11229</v>
      </c>
      <c r="Q1139" s="98">
        <f t="shared" si="127"/>
        <v>1</v>
      </c>
      <c r="R1139" s="23"/>
      <c r="S1139" s="173"/>
      <c r="T1139" s="30"/>
    </row>
    <row r="1140" spans="1:20" x14ac:dyDescent="0.4">
      <c r="A1140" s="179" t="s">
        <v>901</v>
      </c>
      <c r="B1140" s="139" t="s">
        <v>88</v>
      </c>
      <c r="C1140" s="30" t="str">
        <f>VLOOKUP(B1140,'112年全品項生產鍋數'!A:H,2,0)</f>
        <v>草莓餡(1*6KG)</v>
      </c>
      <c r="D1140" s="286">
        <v>40</v>
      </c>
      <c r="E1140" s="48">
        <f>VLOOKUP(B1140,'112年全品項生產鍋數'!A:H,3,0)</f>
        <v>6</v>
      </c>
      <c r="F1140" s="45">
        <f>VLOOKUP(B1140,'112年全品項生產鍋數'!A:H,7,0)</f>
        <v>25.5</v>
      </c>
      <c r="G1140" s="49">
        <f t="shared" si="130"/>
        <v>1020</v>
      </c>
      <c r="H1140" s="144">
        <v>1007</v>
      </c>
      <c r="I1140" s="23">
        <f t="shared" si="126"/>
        <v>6042</v>
      </c>
      <c r="J1140" s="100">
        <f t="shared" si="129"/>
        <v>0.98725490196078436</v>
      </c>
      <c r="K1140" s="51">
        <f>VLOOKUP(B:B,'生產達成率(目標)'!A:C,3,0)</f>
        <v>1</v>
      </c>
      <c r="L1140" s="20">
        <f t="shared" si="125"/>
        <v>-1.2999999999999999E-2</v>
      </c>
      <c r="M1140" s="41" t="str">
        <f>工時!R324</f>
        <v>510</v>
      </c>
      <c r="N1140" s="159"/>
      <c r="O1140" s="144">
        <f t="shared" si="128"/>
        <v>12</v>
      </c>
      <c r="P1140" s="144">
        <v>995</v>
      </c>
      <c r="Q1140" s="98">
        <f t="shared" si="127"/>
        <v>0.98808341608738826</v>
      </c>
      <c r="R1140" s="23"/>
      <c r="S1140" s="173"/>
      <c r="T1140" s="30"/>
    </row>
    <row r="1141" spans="1:20" x14ac:dyDescent="0.4">
      <c r="A1141" s="179" t="s">
        <v>901</v>
      </c>
      <c r="B1141" s="139" t="s">
        <v>110</v>
      </c>
      <c r="C1141" s="30" t="str">
        <f>VLOOKUP(B1141,'112年全品項生產鍋數'!A:H,2,0)</f>
        <v>顆粒花生醬(1*12KG)</v>
      </c>
      <c r="D1141" s="286">
        <v>21</v>
      </c>
      <c r="E1141" s="48">
        <f>VLOOKUP(B1141,'112年全品項生產鍋數'!A:H,3,0)</f>
        <v>3</v>
      </c>
      <c r="F1141" s="45">
        <f>VLOOKUP(B1141,'112年全品項生產鍋數'!A:H,7,0)</f>
        <v>30.8</v>
      </c>
      <c r="G1141" s="49">
        <f t="shared" si="130"/>
        <v>646.80000000000007</v>
      </c>
      <c r="H1141" s="144">
        <v>648</v>
      </c>
      <c r="I1141" s="23">
        <f t="shared" si="126"/>
        <v>1944</v>
      </c>
      <c r="J1141" s="100">
        <f t="shared" si="129"/>
        <v>1.0018552875695732</v>
      </c>
      <c r="K1141" s="51">
        <f>VLOOKUP(B:B,'生產達成率(目標)'!A:C,3,0)</f>
        <v>1</v>
      </c>
      <c r="L1141" s="20">
        <f t="shared" si="125"/>
        <v>2E-3</v>
      </c>
      <c r="M1141" s="41" t="str">
        <f>工時!R325</f>
        <v>540</v>
      </c>
      <c r="N1141" s="159"/>
      <c r="O1141" s="144">
        <f t="shared" si="128"/>
        <v>0</v>
      </c>
      <c r="P1141" s="144">
        <v>648</v>
      </c>
      <c r="Q1141" s="98">
        <f t="shared" si="127"/>
        <v>1</v>
      </c>
      <c r="R1141" s="23"/>
      <c r="S1141" s="173"/>
      <c r="T1141" s="30"/>
    </row>
    <row r="1142" spans="1:20" x14ac:dyDescent="0.4">
      <c r="A1142" s="179" t="s">
        <v>901</v>
      </c>
      <c r="B1142" s="139" t="s">
        <v>65</v>
      </c>
      <c r="C1142" s="30" t="str">
        <f>VLOOKUP(B1142,'112年全品項生產鍋數'!A:H,2,0)</f>
        <v>＃1花生(1*2.8kg)</v>
      </c>
      <c r="D1142" s="286">
        <v>72</v>
      </c>
      <c r="E1142" s="48">
        <f>VLOOKUP(B1142,'112年全品項生產鍋數'!A:H,3,0)</f>
        <v>2.8</v>
      </c>
      <c r="F1142" s="45">
        <f>VLOOKUP(B1142,'112年全品項生產鍋數'!A:H,7,0)</f>
        <v>44.5</v>
      </c>
      <c r="G1142" s="49">
        <f t="shared" si="130"/>
        <v>3204</v>
      </c>
      <c r="H1142" s="144">
        <f>2530+600</f>
        <v>3130</v>
      </c>
      <c r="I1142" s="23">
        <f t="shared" si="126"/>
        <v>8764</v>
      </c>
      <c r="J1142" s="100">
        <f t="shared" si="129"/>
        <v>0.97690387016229718</v>
      </c>
      <c r="K1142" s="51">
        <f>VLOOKUP(B:B,'生產達成率(目標)'!A:C,3,0)</f>
        <v>1</v>
      </c>
      <c r="L1142" s="20">
        <f t="shared" si="125"/>
        <v>-2.3E-2</v>
      </c>
      <c r="M1142" s="41" t="str">
        <f>工時!R326</f>
        <v>660</v>
      </c>
      <c r="N1142" s="159"/>
      <c r="O1142" s="144">
        <f t="shared" si="128"/>
        <v>2</v>
      </c>
      <c r="P1142" s="144">
        <f>2528+600</f>
        <v>3128</v>
      </c>
      <c r="Q1142" s="98">
        <f t="shared" si="127"/>
        <v>0.9993610223642172</v>
      </c>
      <c r="R1142" s="23"/>
      <c r="S1142" s="173"/>
      <c r="T1142" s="30" t="s">
        <v>890</v>
      </c>
    </row>
    <row r="1143" spans="1:20" x14ac:dyDescent="0.4">
      <c r="A1143" s="179" t="s">
        <v>902</v>
      </c>
      <c r="B1143" s="149" t="s">
        <v>87</v>
      </c>
      <c r="C1143" s="30" t="str">
        <f>VLOOKUP(B1143,'112年全品項生產鍋數'!A:H,2,0)</f>
        <v>＃1藍莓(1*3.2kg)</v>
      </c>
      <c r="D1143" s="286">
        <v>36</v>
      </c>
      <c r="E1143" s="48">
        <f>VLOOKUP(B1143,'112年全品項生產鍋數'!A:H,3,0)</f>
        <v>3.2</v>
      </c>
      <c r="F1143" s="45">
        <f>VLOOKUP(B1143,'112年全品項生產鍋數'!A:H,7,0)</f>
        <v>47.5</v>
      </c>
      <c r="G1143" s="49">
        <f t="shared" si="130"/>
        <v>1710</v>
      </c>
      <c r="H1143" s="144">
        <v>1665</v>
      </c>
      <c r="I1143" s="23">
        <f t="shared" si="126"/>
        <v>5328</v>
      </c>
      <c r="J1143" s="100">
        <f t="shared" si="129"/>
        <v>0.97368421052631582</v>
      </c>
      <c r="K1143" s="51">
        <f>VLOOKUP(B:B,'生產達成率(目標)'!A:C,3,0)</f>
        <v>1</v>
      </c>
      <c r="L1143" s="20">
        <f t="shared" si="125"/>
        <v>-2.5999999999999999E-2</v>
      </c>
      <c r="M1143" s="41" t="str">
        <f>工時!R327</f>
        <v>270</v>
      </c>
      <c r="N1143" s="159"/>
      <c r="O1143" s="144">
        <f t="shared" si="128"/>
        <v>1</v>
      </c>
      <c r="P1143" s="144">
        <v>1664</v>
      </c>
      <c r="Q1143" s="98">
        <f t="shared" si="127"/>
        <v>0.99939939939939937</v>
      </c>
      <c r="R1143" s="23"/>
      <c r="S1143" s="173"/>
      <c r="T1143" s="30"/>
    </row>
    <row r="1144" spans="1:20" x14ac:dyDescent="0.4">
      <c r="A1144" s="179" t="s">
        <v>902</v>
      </c>
      <c r="B1144" s="149" t="s">
        <v>36</v>
      </c>
      <c r="C1144" s="30" t="str">
        <f>VLOOKUP(B1144,'112年全品項生產鍋數'!A:H,2,0)</f>
        <v>開心草莓果醬(1*430g)</v>
      </c>
      <c r="D1144" s="286">
        <v>12</v>
      </c>
      <c r="E1144" s="48">
        <f>VLOOKUP(B1144,'112年全品項生產鍋數'!A:H,3,0)</f>
        <v>0.43</v>
      </c>
      <c r="F1144" s="45">
        <f>VLOOKUP(B1144,'112年全品項生產鍋數'!A:H,7,0)</f>
        <v>364</v>
      </c>
      <c r="G1144" s="49">
        <f t="shared" si="130"/>
        <v>4368</v>
      </c>
      <c r="H1144" s="144">
        <v>4606</v>
      </c>
      <c r="I1144" s="23">
        <f t="shared" si="126"/>
        <v>1980.58</v>
      </c>
      <c r="J1144" s="100">
        <f t="shared" si="129"/>
        <v>1.0544871794871795</v>
      </c>
      <c r="K1144" s="51">
        <f>VLOOKUP(B:B,'生產達成率(目標)'!A:C,3,0)</f>
        <v>1</v>
      </c>
      <c r="L1144" s="20">
        <f t="shared" si="125"/>
        <v>5.3999999999999999E-2</v>
      </c>
      <c r="M1144" s="41" t="str">
        <f>工時!R328</f>
        <v>300</v>
      </c>
      <c r="N1144" s="159"/>
      <c r="O1144" s="144">
        <f t="shared" si="128"/>
        <v>11</v>
      </c>
      <c r="P1144" s="144">
        <v>4595</v>
      </c>
      <c r="Q1144" s="98">
        <f t="shared" si="127"/>
        <v>0.99761181068171945</v>
      </c>
      <c r="R1144" s="23"/>
      <c r="S1144" s="173"/>
      <c r="T1144" s="30"/>
    </row>
    <row r="1145" spans="1:20" x14ac:dyDescent="0.4">
      <c r="A1145" s="179" t="s">
        <v>902</v>
      </c>
      <c r="B1145" s="149" t="s">
        <v>72</v>
      </c>
      <c r="C1145" s="30" t="str">
        <f>VLOOKUP(B1145,'112年全品項生產鍋數'!A:H,2,0)</f>
        <v>草莓餡45%(1*6Kg)</v>
      </c>
      <c r="D1145" s="286">
        <v>20</v>
      </c>
      <c r="E1145" s="48">
        <f>VLOOKUP(B1145,'112年全品項生產鍋數'!A:H,3,0)</f>
        <v>6</v>
      </c>
      <c r="F1145" s="45">
        <f>VLOOKUP(B1145,'112年全品項生產鍋數'!A:H,7,0)</f>
        <v>26.1</v>
      </c>
      <c r="G1145" s="49">
        <f t="shared" si="130"/>
        <v>522</v>
      </c>
      <c r="H1145" s="144">
        <v>527</v>
      </c>
      <c r="I1145" s="23">
        <f t="shared" si="126"/>
        <v>3162</v>
      </c>
      <c r="J1145" s="100">
        <f t="shared" si="129"/>
        <v>1.0095785440613028</v>
      </c>
      <c r="K1145" s="51">
        <f>VLOOKUP(B:B,'生產達成率(目標)'!A:C,3,0)</f>
        <v>1</v>
      </c>
      <c r="L1145" s="20">
        <f t="shared" si="125"/>
        <v>0.01</v>
      </c>
      <c r="M1145" s="41" t="str">
        <f>工時!R329</f>
        <v>480</v>
      </c>
      <c r="N1145" s="159"/>
      <c r="O1145" s="144">
        <f t="shared" si="128"/>
        <v>3</v>
      </c>
      <c r="P1145" s="144">
        <v>524</v>
      </c>
      <c r="Q1145" s="98">
        <f t="shared" si="127"/>
        <v>0.9943074003795066</v>
      </c>
      <c r="R1145" s="23"/>
      <c r="S1145" s="173"/>
      <c r="T1145" s="30"/>
    </row>
    <row r="1146" spans="1:20" x14ac:dyDescent="0.4">
      <c r="A1146" s="179" t="s">
        <v>902</v>
      </c>
      <c r="B1146" s="139" t="s">
        <v>93</v>
      </c>
      <c r="C1146" s="30" t="str">
        <f>VLOOKUP(B1146,'112年全品項生產鍋數'!A:H,2,0)</f>
        <v>草莓餡42°(1*6KG)</v>
      </c>
      <c r="D1146" s="286">
        <v>16</v>
      </c>
      <c r="E1146" s="48">
        <f>VLOOKUP(B1146,'112年全品項生產鍋數'!A:H,3,0)</f>
        <v>6</v>
      </c>
      <c r="F1146" s="45">
        <f>VLOOKUP(B1146,'112年全品項生產鍋數'!A:H,7,0)</f>
        <v>25.2</v>
      </c>
      <c r="G1146" s="49">
        <f t="shared" si="130"/>
        <v>403.2</v>
      </c>
      <c r="H1146" s="144">
        <v>400</v>
      </c>
      <c r="I1146" s="23">
        <f t="shared" si="126"/>
        <v>2400</v>
      </c>
      <c r="J1146" s="100">
        <f t="shared" si="129"/>
        <v>0.99206349206349209</v>
      </c>
      <c r="K1146" s="51">
        <f>VLOOKUP(B:B,'生產達成率(目標)'!A:C,3,0)</f>
        <v>1</v>
      </c>
      <c r="L1146" s="20">
        <f t="shared" si="125"/>
        <v>-8.0000000000000002E-3</v>
      </c>
      <c r="M1146" s="41" t="str">
        <f>工時!R330</f>
        <v>510</v>
      </c>
      <c r="N1146" s="159"/>
      <c r="O1146" s="144">
        <f t="shared" si="128"/>
        <v>2</v>
      </c>
      <c r="P1146" s="144">
        <v>398</v>
      </c>
      <c r="Q1146" s="98">
        <f t="shared" si="127"/>
        <v>0.995</v>
      </c>
      <c r="R1146" s="23"/>
      <c r="S1146" s="173"/>
      <c r="T1146" s="30"/>
    </row>
    <row r="1147" spans="1:20" x14ac:dyDescent="0.4">
      <c r="A1147" s="179" t="s">
        <v>902</v>
      </c>
      <c r="B1147" s="149" t="s">
        <v>23</v>
      </c>
      <c r="C1147" s="30" t="str">
        <f>VLOOKUP(B1147,'112年全品項生產鍋數'!A:H,2,0)</f>
        <v>＃1花生(粒)(1*2.8kg)</v>
      </c>
      <c r="D1147" s="286">
        <v>72</v>
      </c>
      <c r="E1147" s="48">
        <f>VLOOKUP(B1147,'112年全品項生產鍋數'!A:H,3,0)</f>
        <v>2.8</v>
      </c>
      <c r="F1147" s="45">
        <f>VLOOKUP(B1147,'112年全品項生產鍋數'!A:H,7,0)</f>
        <v>44.2</v>
      </c>
      <c r="G1147" s="49">
        <f t="shared" si="130"/>
        <v>3182.4</v>
      </c>
      <c r="H1147" s="144">
        <v>3193</v>
      </c>
      <c r="I1147" s="23">
        <f t="shared" si="126"/>
        <v>8940.4</v>
      </c>
      <c r="J1147" s="100">
        <f t="shared" si="129"/>
        <v>1.0033308195072901</v>
      </c>
      <c r="K1147" s="51">
        <f>VLOOKUP(B:B,'生產達成率(目標)'!A:C,3,0)</f>
        <v>1</v>
      </c>
      <c r="L1147" s="20">
        <f t="shared" si="125"/>
        <v>3.0000000000000001E-3</v>
      </c>
      <c r="M1147" s="41" t="str">
        <f>工時!R331</f>
        <v>570</v>
      </c>
      <c r="N1147" s="159"/>
      <c r="O1147" s="144">
        <f t="shared" si="128"/>
        <v>1</v>
      </c>
      <c r="P1147" s="144">
        <v>3192</v>
      </c>
      <c r="Q1147" s="98">
        <f t="shared" si="127"/>
        <v>0.99968681490761035</v>
      </c>
      <c r="R1147" s="23"/>
      <c r="S1147" s="173"/>
      <c r="T1147" s="30"/>
    </row>
    <row r="1148" spans="1:20" x14ac:dyDescent="0.4">
      <c r="A1148" s="179" t="s">
        <v>903</v>
      </c>
      <c r="B1148" s="151" t="s">
        <v>54</v>
      </c>
      <c r="C1148" s="30" t="str">
        <f>VLOOKUP(B1148,'112年全品項生產鍋數'!A:H,2,0)</f>
        <v>草莓醬(1*6kg)</v>
      </c>
      <c r="D1148" s="286">
        <v>30</v>
      </c>
      <c r="E1148" s="48">
        <f>VLOOKUP(B1148,'112年全品項生產鍋數'!A:H,3,0)</f>
        <v>6</v>
      </c>
      <c r="F1148" s="45">
        <f>VLOOKUP(B1148,'112年全品項生產鍋數'!A:H,7,0)</f>
        <v>26.6</v>
      </c>
      <c r="G1148" s="49">
        <f t="shared" si="130"/>
        <v>798</v>
      </c>
      <c r="H1148" s="144">
        <v>788</v>
      </c>
      <c r="I1148" s="23">
        <f t="shared" si="126"/>
        <v>4728</v>
      </c>
      <c r="J1148" s="100">
        <f t="shared" si="129"/>
        <v>0.98746867167919794</v>
      </c>
      <c r="K1148" s="51">
        <f>VLOOKUP(B:B,'生產達成率(目標)'!A:C,3,0)</f>
        <v>1</v>
      </c>
      <c r="L1148" s="20">
        <f t="shared" si="125"/>
        <v>-1.2999999999999999E-2</v>
      </c>
      <c r="M1148" s="41" t="str">
        <f>工時!R332</f>
        <v>490</v>
      </c>
      <c r="N1148" s="159"/>
      <c r="O1148" s="144">
        <f t="shared" si="128"/>
        <v>5</v>
      </c>
      <c r="P1148" s="144">
        <v>783</v>
      </c>
      <c r="Q1148" s="98">
        <f t="shared" si="127"/>
        <v>0.99365482233502533</v>
      </c>
      <c r="R1148" s="23"/>
      <c r="S1148" s="173"/>
      <c r="T1148" s="30"/>
    </row>
    <row r="1149" spans="1:20" x14ac:dyDescent="0.4">
      <c r="A1149" s="179" t="s">
        <v>903</v>
      </c>
      <c r="B1149" s="139" t="s">
        <v>51</v>
      </c>
      <c r="C1149" s="30" t="str">
        <f>VLOOKUP(B1149,'112年全品項生產鍋數'!A:H,2,0)</f>
        <v>藍莓醬(1*6kg)</v>
      </c>
      <c r="D1149" s="286">
        <v>12</v>
      </c>
      <c r="E1149" s="48">
        <f>VLOOKUP(B1149,'112年全品項生產鍋數'!A:H,3,0)</f>
        <v>6</v>
      </c>
      <c r="F1149" s="45">
        <f>VLOOKUP(B1149,'112年全品項生產鍋數'!A:H,7,0)</f>
        <v>25.5</v>
      </c>
      <c r="G1149" s="49">
        <f t="shared" si="130"/>
        <v>306</v>
      </c>
      <c r="H1149" s="144">
        <v>293</v>
      </c>
      <c r="I1149" s="23">
        <f t="shared" si="126"/>
        <v>1758</v>
      </c>
      <c r="J1149" s="100">
        <f t="shared" si="129"/>
        <v>0.95751633986928109</v>
      </c>
      <c r="K1149" s="51">
        <f>VLOOKUP(B:B,'生產達成率(目標)'!A:C,3,0)</f>
        <v>1</v>
      </c>
      <c r="L1149" s="20">
        <f t="shared" si="125"/>
        <v>-4.2000000000000003E-2</v>
      </c>
      <c r="M1149" s="41" t="str">
        <f>工時!R333</f>
        <v>260</v>
      </c>
      <c r="N1149" s="159"/>
      <c r="O1149" s="144">
        <f t="shared" si="128"/>
        <v>2</v>
      </c>
      <c r="P1149" s="144">
        <v>291</v>
      </c>
      <c r="Q1149" s="98">
        <f t="shared" si="127"/>
        <v>0.99317406143344711</v>
      </c>
      <c r="R1149" s="23"/>
      <c r="S1149" s="173"/>
      <c r="T1149" s="30"/>
    </row>
    <row r="1150" spans="1:20" x14ac:dyDescent="0.4">
      <c r="A1150" s="179" t="s">
        <v>903</v>
      </c>
      <c r="B1150" s="139" t="s">
        <v>118</v>
      </c>
      <c r="C1150" s="30" t="str">
        <f>VLOOKUP(B1150,'112年全品項生產鍋數'!A:H,2,0)</f>
        <v>草莓餡(1*4.5kg)</v>
      </c>
      <c r="D1150" s="286">
        <v>4</v>
      </c>
      <c r="E1150" s="48">
        <f>VLOOKUP(B1150,'112年全品項生產鍋數'!A:H,3,0)</f>
        <v>4.5</v>
      </c>
      <c r="F1150" s="45">
        <f>VLOOKUP(B1150,'112年全品項生產鍋數'!A:H,7,0)</f>
        <v>34.5</v>
      </c>
      <c r="G1150" s="49">
        <f t="shared" si="130"/>
        <v>138</v>
      </c>
      <c r="H1150" s="144">
        <v>139</v>
      </c>
      <c r="I1150" s="23">
        <f t="shared" si="126"/>
        <v>625.5</v>
      </c>
      <c r="J1150" s="100">
        <f t="shared" si="129"/>
        <v>1.0072463768115942</v>
      </c>
      <c r="K1150" s="51">
        <f>VLOOKUP(B:B,'生產達成率(目標)'!A:C,3,0)</f>
        <v>1</v>
      </c>
      <c r="L1150" s="20">
        <f t="shared" si="125"/>
        <v>7.0000000000000001E-3</v>
      </c>
      <c r="M1150" s="41" t="str">
        <f>工時!R334</f>
        <v>115</v>
      </c>
      <c r="N1150" s="159"/>
      <c r="O1150" s="144">
        <f t="shared" si="128"/>
        <v>0</v>
      </c>
      <c r="P1150" s="144">
        <v>139</v>
      </c>
      <c r="Q1150" s="98">
        <f t="shared" si="127"/>
        <v>1</v>
      </c>
      <c r="R1150" s="23"/>
      <c r="S1150" s="173"/>
      <c r="T1150" s="30"/>
    </row>
    <row r="1151" spans="1:20" x14ac:dyDescent="0.4">
      <c r="A1151" s="179" t="s">
        <v>903</v>
      </c>
      <c r="B1151" s="139" t="s">
        <v>55</v>
      </c>
      <c r="C1151" s="30" t="str">
        <f>VLOOKUP(B1151,'112年全品項生產鍋數'!A:H,2,0)</f>
        <v>天天開心草莓餡4.5KG</v>
      </c>
      <c r="D1151" s="286">
        <v>24</v>
      </c>
      <c r="E1151" s="48">
        <f>VLOOKUP(B1151,'112年全品項生產鍋數'!A:H,3,0)</f>
        <v>4.5</v>
      </c>
      <c r="F1151" s="45">
        <f>VLOOKUP(B1151,'112年全品項生產鍋數'!A:H,7,0)</f>
        <v>36.299999999999997</v>
      </c>
      <c r="G1151" s="49">
        <f t="shared" si="130"/>
        <v>871.19999999999993</v>
      </c>
      <c r="H1151" s="144">
        <v>877</v>
      </c>
      <c r="I1151" s="23">
        <f t="shared" si="126"/>
        <v>3946.5</v>
      </c>
      <c r="J1151" s="100">
        <f t="shared" si="129"/>
        <v>1.0066574839302114</v>
      </c>
      <c r="K1151" s="51">
        <f>VLOOKUP(B:B,'生產達成率(目標)'!A:C,3,0)</f>
        <v>1</v>
      </c>
      <c r="L1151" s="20">
        <f t="shared" si="125"/>
        <v>7.0000000000000001E-3</v>
      </c>
      <c r="M1151" s="41" t="str">
        <f>工時!R335</f>
        <v>409</v>
      </c>
      <c r="N1151" s="159"/>
      <c r="O1151" s="144">
        <f t="shared" si="128"/>
        <v>0</v>
      </c>
      <c r="P1151" s="144">
        <v>877</v>
      </c>
      <c r="Q1151" s="98">
        <f t="shared" si="127"/>
        <v>1</v>
      </c>
      <c r="R1151" s="23"/>
      <c r="S1151" s="173"/>
      <c r="T1151" s="30"/>
    </row>
    <row r="1152" spans="1:20" x14ac:dyDescent="0.4">
      <c r="A1152" s="179" t="s">
        <v>903</v>
      </c>
      <c r="B1152" s="139" t="s">
        <v>885</v>
      </c>
      <c r="C1152" s="30" t="str">
        <f>VLOOKUP(B1152,'112年全品項生產鍋數'!A:H,2,0)</f>
        <v>草莓蔓越莓餡(1*6KG)</v>
      </c>
      <c r="D1152" s="286">
        <v>6</v>
      </c>
      <c r="E1152" s="48">
        <f>VLOOKUP(B1152,'112年全品項生產鍋數'!A:H,3,0)</f>
        <v>6</v>
      </c>
      <c r="F1152" s="45">
        <f>VLOOKUP(B1152,'112年全品項生產鍋數'!A:H,7,0)</f>
        <v>25.2</v>
      </c>
      <c r="G1152" s="49">
        <f t="shared" si="130"/>
        <v>151.19999999999999</v>
      </c>
      <c r="H1152" s="144">
        <v>152</v>
      </c>
      <c r="I1152" s="23">
        <f t="shared" si="126"/>
        <v>912</v>
      </c>
      <c r="J1152" s="100">
        <f t="shared" si="129"/>
        <v>1.0052910052910053</v>
      </c>
      <c r="K1152" s="51">
        <f>VLOOKUP(B:B,'生產達成率(目標)'!A:C,3,0)</f>
        <v>1</v>
      </c>
      <c r="L1152" s="20">
        <f t="shared" si="125"/>
        <v>5.0000000000000001E-3</v>
      </c>
      <c r="M1152" s="41" t="str">
        <f>工時!R336</f>
        <v>160</v>
      </c>
      <c r="N1152" s="159"/>
      <c r="O1152" s="144">
        <f t="shared" si="128"/>
        <v>4</v>
      </c>
      <c r="P1152" s="144">
        <v>148</v>
      </c>
      <c r="Q1152" s="98">
        <f t="shared" si="127"/>
        <v>0.97368421052631582</v>
      </c>
      <c r="R1152" s="23"/>
      <c r="S1152" s="173"/>
      <c r="T1152" s="30"/>
    </row>
    <row r="1153" spans="1:30" x14ac:dyDescent="0.4">
      <c r="A1153" s="179" t="s">
        <v>903</v>
      </c>
      <c r="B1153" s="139" t="s">
        <v>123</v>
      </c>
      <c r="C1153" s="30" t="str">
        <f>VLOOKUP(B1153,'112年全品項生產鍋數'!A:H,2,0)</f>
        <v>深烤焙花生醬(1*18KG)</v>
      </c>
      <c r="D1153" s="286">
        <v>40</v>
      </c>
      <c r="E1153" s="48">
        <f>VLOOKUP(B1153,'112年全品項生產鍋數'!A:H,3,0)</f>
        <v>18</v>
      </c>
      <c r="F1153" s="45">
        <f>VLOOKUP(B1153,'112年全品項生產鍋數'!A:H,7,0)</f>
        <v>6.9</v>
      </c>
      <c r="G1153" s="49">
        <f t="shared" si="130"/>
        <v>276</v>
      </c>
      <c r="H1153" s="144">
        <v>280</v>
      </c>
      <c r="I1153" s="23">
        <f t="shared" si="126"/>
        <v>5040</v>
      </c>
      <c r="J1153" s="100">
        <f t="shared" si="129"/>
        <v>1.0144927536231885</v>
      </c>
      <c r="K1153" s="51">
        <f>VLOOKUP(B:B,'生產達成率(目標)'!A:C,3,0)</f>
        <v>1</v>
      </c>
      <c r="L1153" s="20">
        <f t="shared" si="125"/>
        <v>1.4E-2</v>
      </c>
      <c r="M1153" s="41" t="str">
        <f>工時!R337</f>
        <v>430</v>
      </c>
      <c r="N1153" s="159"/>
      <c r="O1153" s="144">
        <f t="shared" si="128"/>
        <v>0</v>
      </c>
      <c r="P1153" s="144">
        <v>280</v>
      </c>
      <c r="Q1153" s="98">
        <f t="shared" si="127"/>
        <v>1</v>
      </c>
      <c r="R1153" s="23"/>
      <c r="S1153" s="173"/>
      <c r="T1153" s="30"/>
    </row>
    <row r="1154" spans="1:30" x14ac:dyDescent="0.4">
      <c r="A1154" s="179" t="s">
        <v>904</v>
      </c>
      <c r="B1154" s="149" t="s">
        <v>12</v>
      </c>
      <c r="C1154" s="30" t="str">
        <f>VLOOKUP(B1154,'112年全品項生產鍋數'!A:H,2,0)</f>
        <v>＃1草莓(1*3.2kg)</v>
      </c>
      <c r="D1154" s="286">
        <v>72</v>
      </c>
      <c r="E1154" s="48">
        <f>VLOOKUP(B1154,'112年全品項生產鍋數'!A:H,3,0)</f>
        <v>3.2</v>
      </c>
      <c r="F1154" s="45">
        <f>VLOOKUP(B1154,'112年全品項生產鍋數'!A:H,7,0)</f>
        <v>46.8</v>
      </c>
      <c r="G1154" s="49">
        <f t="shared" si="130"/>
        <v>3369.6</v>
      </c>
      <c r="H1154" s="144">
        <v>3394</v>
      </c>
      <c r="I1154" s="23">
        <f t="shared" si="126"/>
        <v>10860.800000000001</v>
      </c>
      <c r="J1154" s="100">
        <f t="shared" si="129"/>
        <v>1.0072412155745489</v>
      </c>
      <c r="K1154" s="51">
        <f>VLOOKUP(B:B,'生產達成率(目標)'!A:C,3,0)</f>
        <v>1</v>
      </c>
      <c r="L1154" s="20">
        <f t="shared" si="125"/>
        <v>7.0000000000000001E-3</v>
      </c>
      <c r="M1154" s="41" t="str">
        <f>工時!R338</f>
        <v>540</v>
      </c>
      <c r="N1154" s="159"/>
      <c r="O1154" s="144">
        <f t="shared" si="128"/>
        <v>5</v>
      </c>
      <c r="P1154" s="144">
        <v>3389</v>
      </c>
      <c r="Q1154" s="98">
        <f t="shared" si="127"/>
        <v>0.99852681202121396</v>
      </c>
      <c r="R1154" s="23"/>
      <c r="S1154" s="173"/>
      <c r="T1154" s="30"/>
    </row>
    <row r="1155" spans="1:30" x14ac:dyDescent="0.4">
      <c r="A1155" s="179" t="s">
        <v>904</v>
      </c>
      <c r="B1155" s="149" t="s">
        <v>13</v>
      </c>
      <c r="C1155" s="30" t="str">
        <f>VLOOKUP(B1155,'112年全品項生產鍋數'!A:H,2,0)</f>
        <v>顆粒花生醬(1*12KG)</v>
      </c>
      <c r="D1155" s="286">
        <v>21</v>
      </c>
      <c r="E1155" s="48">
        <f>VLOOKUP(B1155,'112年全品項生產鍋數'!A:H,3,0)</f>
        <v>3</v>
      </c>
      <c r="F1155" s="45">
        <f>VLOOKUP(B1155,'112年全品項生產鍋數'!A:H,7,0)</f>
        <v>29.7</v>
      </c>
      <c r="G1155" s="49">
        <f t="shared" si="130"/>
        <v>623.69999999999993</v>
      </c>
      <c r="H1155" s="144">
        <v>628</v>
      </c>
      <c r="I1155" s="23">
        <f t="shared" si="126"/>
        <v>1884</v>
      </c>
      <c r="J1155" s="100">
        <f t="shared" si="129"/>
        <v>1.0068943402276738</v>
      </c>
      <c r="K1155" s="51">
        <f>VLOOKUP(B:B,'生產達成率(目標)'!A:C,3,0)</f>
        <v>1</v>
      </c>
      <c r="L1155" s="20">
        <f t="shared" ref="L1155:L1163" si="131">IF(G1155=0,"無法預估數據",ROUND(J1155-K1155,3))</f>
        <v>7.0000000000000001E-3</v>
      </c>
      <c r="M1155" s="41" t="str">
        <f>工時!R339</f>
        <v>540</v>
      </c>
      <c r="N1155" s="159"/>
      <c r="O1155" s="144">
        <f t="shared" si="128"/>
        <v>0</v>
      </c>
      <c r="P1155" s="144">
        <v>628</v>
      </c>
      <c r="Q1155" s="98">
        <f t="shared" si="127"/>
        <v>1</v>
      </c>
      <c r="R1155" s="23"/>
      <c r="S1155" s="173"/>
      <c r="T1155" s="30"/>
    </row>
    <row r="1156" spans="1:30" x14ac:dyDescent="0.4">
      <c r="A1156" s="179" t="s">
        <v>904</v>
      </c>
      <c r="B1156" s="139" t="s">
        <v>65</v>
      </c>
      <c r="C1156" s="30" t="str">
        <f>VLOOKUP(B1156,'112年全品項生產鍋數'!A:H,2,0)</f>
        <v>＃1花生(1*2.8kg)</v>
      </c>
      <c r="D1156" s="286">
        <v>36</v>
      </c>
      <c r="E1156" s="48">
        <f>VLOOKUP(B1156,'112年全品項生產鍋數'!A:H,3,0)</f>
        <v>2.8</v>
      </c>
      <c r="F1156" s="45">
        <f>VLOOKUP(B1156,'112年全品項生產鍋數'!A:H,7,0)</f>
        <v>44.5</v>
      </c>
      <c r="G1156" s="49">
        <f>D1156*F1156-18*85/E1156</f>
        <v>1055.5714285714284</v>
      </c>
      <c r="H1156" s="144">
        <v>1061</v>
      </c>
      <c r="I1156" s="23">
        <f t="shared" si="126"/>
        <v>2970.7999999999997</v>
      </c>
      <c r="J1156" s="100">
        <f t="shared" si="129"/>
        <v>1.0051427798078225</v>
      </c>
      <c r="K1156" s="51">
        <f>VLOOKUP(B:B,'生產達成率(目標)'!A:C,3,0)</f>
        <v>1</v>
      </c>
      <c r="L1156" s="20">
        <f t="shared" si="131"/>
        <v>5.0000000000000001E-3</v>
      </c>
      <c r="M1156" s="41" t="str">
        <f>工時!R340</f>
        <v>360</v>
      </c>
      <c r="N1156" s="159"/>
      <c r="O1156" s="144">
        <f t="shared" si="128"/>
        <v>1</v>
      </c>
      <c r="P1156" s="144">
        <v>1060</v>
      </c>
      <c r="Q1156" s="98">
        <f t="shared" si="127"/>
        <v>0.99905749293119694</v>
      </c>
      <c r="R1156" s="23"/>
      <c r="S1156" s="173"/>
      <c r="T1156" s="30" t="s">
        <v>894</v>
      </c>
    </row>
    <row r="1157" spans="1:30" x14ac:dyDescent="0.4">
      <c r="A1157" s="179" t="s">
        <v>904</v>
      </c>
      <c r="B1157" s="139" t="s">
        <v>602</v>
      </c>
      <c r="C1157" s="30" t="str">
        <f>VLOOKUP(B1157,'112年全品項生產鍋數'!A:H,2,0)</f>
        <v>顆粒花生醬(1*8kg)</v>
      </c>
      <c r="D1157" s="286">
        <v>8</v>
      </c>
      <c r="E1157" s="48">
        <f>VLOOKUP(B1157,'112年全品項生產鍋數'!A:H,3,0)</f>
        <v>8</v>
      </c>
      <c r="F1157" s="45">
        <f>VLOOKUP(B1157,'112年全品項生產鍋數'!A:H,7,0)</f>
        <v>19.600000000000001</v>
      </c>
      <c r="G1157" s="49">
        <f t="shared" si="130"/>
        <v>156.80000000000001</v>
      </c>
      <c r="H1157" s="144">
        <v>157</v>
      </c>
      <c r="I1157" s="23">
        <f t="shared" si="126"/>
        <v>1256</v>
      </c>
      <c r="J1157" s="100">
        <f t="shared" si="129"/>
        <v>1.0012755102040816</v>
      </c>
      <c r="K1157" s="51">
        <f>VLOOKUP(B:B,'生產達成率(目標)'!A:C,3,0)</f>
        <v>1</v>
      </c>
      <c r="L1157" s="20">
        <f t="shared" si="131"/>
        <v>1E-3</v>
      </c>
      <c r="M1157" s="41" t="str">
        <f>工時!R341</f>
        <v>270</v>
      </c>
      <c r="N1157" s="159"/>
      <c r="O1157" s="144">
        <f t="shared" si="128"/>
        <v>0</v>
      </c>
      <c r="P1157" s="144">
        <v>157</v>
      </c>
      <c r="Q1157" s="98">
        <f t="shared" si="127"/>
        <v>1</v>
      </c>
      <c r="R1157" s="23"/>
      <c r="S1157" s="173"/>
      <c r="T1157" s="30"/>
    </row>
    <row r="1158" spans="1:30" x14ac:dyDescent="0.4">
      <c r="A1158" s="179" t="s">
        <v>905</v>
      </c>
      <c r="B1158" s="149" t="s">
        <v>24</v>
      </c>
      <c r="C1158" s="30" t="str">
        <f>VLOOKUP(B1158,'112年全品項生產鍋數'!A:H,2,0)</f>
        <v>小藍莓1*260G</v>
      </c>
      <c r="D1158" s="286">
        <v>12</v>
      </c>
      <c r="E1158" s="48">
        <f>VLOOKUP(B1158,'112年全品項生產鍋數'!A:H,3,0)</f>
        <v>0.26</v>
      </c>
      <c r="F1158" s="45">
        <f>VLOOKUP(B1158,'112年全品項生產鍋數'!A:H,7,0)</f>
        <v>584.29999999999995</v>
      </c>
      <c r="G1158" s="49">
        <f t="shared" si="130"/>
        <v>7011.5999999999995</v>
      </c>
      <c r="H1158" s="144">
        <f>6733+108</f>
        <v>6841</v>
      </c>
      <c r="I1158" s="23">
        <f t="shared" si="126"/>
        <v>1778.66</v>
      </c>
      <c r="J1158" s="100">
        <f t="shared" si="129"/>
        <v>0.97566889155114389</v>
      </c>
      <c r="K1158" s="51">
        <f>VLOOKUP(B:B,'生產達成率(目標)'!A:C,3,0)</f>
        <v>1</v>
      </c>
      <c r="L1158" s="20">
        <f t="shared" si="131"/>
        <v>-2.4E-2</v>
      </c>
      <c r="M1158" s="41" t="str">
        <f>工時!R342</f>
        <v>300</v>
      </c>
      <c r="N1158" s="159"/>
      <c r="O1158" s="144">
        <f t="shared" si="128"/>
        <v>121</v>
      </c>
      <c r="P1158" s="144">
        <v>6720</v>
      </c>
      <c r="Q1158" s="98">
        <f t="shared" si="127"/>
        <v>0.98231252740827368</v>
      </c>
      <c r="R1158" s="23"/>
      <c r="S1158" s="173"/>
      <c r="T1158" s="30" t="s">
        <v>897</v>
      </c>
    </row>
    <row r="1159" spans="1:30" x14ac:dyDescent="0.4">
      <c r="A1159" s="179" t="s">
        <v>905</v>
      </c>
      <c r="B1159" s="139" t="s">
        <v>887</v>
      </c>
      <c r="C1159" s="30" t="str">
        <f>VLOOKUP(B1159,'112年全品項生產鍋數'!A:H,2,0)</f>
        <v>檸檬藍莓醬1*260G</v>
      </c>
      <c r="D1159" s="286">
        <v>4</v>
      </c>
      <c r="E1159" s="48">
        <f>VLOOKUP(B1159,'112年全品項生產鍋數'!A:H,3,0)</f>
        <v>0.26</v>
      </c>
      <c r="F1159" s="45">
        <f>VLOOKUP(B1159,'112年全品項生產鍋數'!A:H,7,0)</f>
        <v>612</v>
      </c>
      <c r="G1159" s="49">
        <f t="shared" si="130"/>
        <v>2448</v>
      </c>
      <c r="H1159" s="144">
        <v>2460</v>
      </c>
      <c r="I1159" s="23">
        <f t="shared" si="126"/>
        <v>639.6</v>
      </c>
      <c r="J1159" s="100">
        <f t="shared" si="129"/>
        <v>1.0049019607843137</v>
      </c>
      <c r="K1159" s="51">
        <f>VLOOKUP(B:B,'生產達成率(目標)'!A:C,3,0)</f>
        <v>1</v>
      </c>
      <c r="L1159" s="20">
        <f t="shared" si="131"/>
        <v>5.0000000000000001E-3</v>
      </c>
      <c r="M1159" s="41" t="str">
        <f>工時!R343</f>
        <v>180</v>
      </c>
      <c r="N1159" s="159"/>
      <c r="O1159" s="144">
        <f t="shared" si="128"/>
        <v>12</v>
      </c>
      <c r="P1159" s="144">
        <v>2448</v>
      </c>
      <c r="Q1159" s="98">
        <f t="shared" si="127"/>
        <v>0.99512195121951219</v>
      </c>
      <c r="R1159" s="23"/>
      <c r="S1159" s="173"/>
      <c r="T1159" s="30"/>
    </row>
    <row r="1160" spans="1:30" s="146" customFormat="1" x14ac:dyDescent="0.4">
      <c r="A1160" s="201" t="s">
        <v>906</v>
      </c>
      <c r="B1160" s="139" t="s">
        <v>473</v>
      </c>
      <c r="C1160" s="140" t="str">
        <f>VLOOKUP(B1160,'112年全品項生產鍋數'!A:H,2,0)</f>
        <v>桑椹果粒茶(1*400G)</v>
      </c>
      <c r="D1160" s="286">
        <v>8</v>
      </c>
      <c r="E1160" s="141">
        <f>VLOOKUP(B1160,'112年全品項生產鍋數'!A:H,3,0)</f>
        <v>0.4</v>
      </c>
      <c r="F1160" s="142">
        <f>VLOOKUP(B1160,'112年全品項生產鍋數'!A:H,7,0)</f>
        <v>366.4</v>
      </c>
      <c r="G1160" s="143">
        <f t="shared" si="130"/>
        <v>2931.2</v>
      </c>
      <c r="H1160" s="144">
        <v>2957</v>
      </c>
      <c r="I1160" s="144">
        <f t="shared" si="126"/>
        <v>1182.8</v>
      </c>
      <c r="J1160" s="100">
        <f t="shared" si="129"/>
        <v>1.0088018558951966</v>
      </c>
      <c r="K1160" s="51">
        <f>VLOOKUP(B:B,'生產達成率(目標)'!A:C,3,0)</f>
        <v>1</v>
      </c>
      <c r="L1160" s="20">
        <f t="shared" si="131"/>
        <v>8.9999999999999993E-3</v>
      </c>
      <c r="M1160" s="41" t="str">
        <f>工時!R344</f>
        <v>243</v>
      </c>
      <c r="N1160" s="159"/>
      <c r="O1160" s="144">
        <f t="shared" si="128"/>
        <v>30</v>
      </c>
      <c r="P1160" s="186">
        <v>2927</v>
      </c>
      <c r="Q1160" s="145">
        <f t="shared" si="127"/>
        <v>0.98985458234697332</v>
      </c>
      <c r="R1160" s="144"/>
      <c r="S1160" s="153"/>
      <c r="T1160" s="140"/>
      <c r="V1160" s="381"/>
      <c r="W1160" s="421"/>
      <c r="X1160" s="381"/>
      <c r="Y1160" s="421"/>
      <c r="Z1160" s="421"/>
      <c r="AA1160" s="421"/>
      <c r="AB1160" s="421"/>
      <c r="AC1160" s="421"/>
      <c r="AD1160" s="421"/>
    </row>
    <row r="1161" spans="1:30" x14ac:dyDescent="0.4">
      <c r="A1161" s="179" t="s">
        <v>905</v>
      </c>
      <c r="B1161" s="139" t="s">
        <v>88</v>
      </c>
      <c r="C1161" s="30" t="str">
        <f>VLOOKUP(B1161,'112年全品項生產鍋數'!A:H,2,0)</f>
        <v>草莓餡(1*6KG)</v>
      </c>
      <c r="D1161" s="286">
        <v>40</v>
      </c>
      <c r="E1161" s="48">
        <f>VLOOKUP(B1161,'112年全品項生產鍋數'!A:H,3,0)</f>
        <v>6</v>
      </c>
      <c r="F1161" s="45">
        <f>VLOOKUP(B1161,'112年全品項生產鍋數'!A:H,7,0)</f>
        <v>25.5</v>
      </c>
      <c r="G1161" s="49">
        <f t="shared" si="130"/>
        <v>1020</v>
      </c>
      <c r="H1161" s="144">
        <v>1027</v>
      </c>
      <c r="I1161" s="23">
        <f t="shared" si="126"/>
        <v>6162</v>
      </c>
      <c r="J1161" s="100">
        <f t="shared" si="129"/>
        <v>1.0068627450980392</v>
      </c>
      <c r="K1161" s="51">
        <f>VLOOKUP(B:B,'生產達成率(目標)'!A:C,3,0)</f>
        <v>1</v>
      </c>
      <c r="L1161" s="20">
        <f t="shared" si="131"/>
        <v>7.0000000000000001E-3</v>
      </c>
      <c r="M1161" s="41" t="str">
        <f>工時!R345</f>
        <v>510</v>
      </c>
      <c r="N1161" s="159"/>
      <c r="O1161" s="144">
        <f t="shared" si="128"/>
        <v>5</v>
      </c>
      <c r="P1161" s="144">
        <v>1022</v>
      </c>
      <c r="Q1161" s="98">
        <f t="shared" si="127"/>
        <v>0.99513145082765331</v>
      </c>
      <c r="R1161" s="23"/>
      <c r="S1161" s="173"/>
      <c r="T1161" s="30"/>
    </row>
    <row r="1162" spans="1:30" s="22" customFormat="1" x14ac:dyDescent="0.4">
      <c r="A1162" s="179" t="s">
        <v>905</v>
      </c>
      <c r="B1162" s="149" t="s">
        <v>65</v>
      </c>
      <c r="C1162" s="30" t="str">
        <f>VLOOKUP(B1162,'112年全品項生產鍋數'!A:H,2,0)</f>
        <v>＃1花生(1*2.8kg)</v>
      </c>
      <c r="D1162" s="292">
        <v>72</v>
      </c>
      <c r="E1162" s="48">
        <f>VLOOKUP(B1162,'112年全品項生產鍋數'!A:H,3,0)</f>
        <v>2.8</v>
      </c>
      <c r="F1162" s="45">
        <f>VLOOKUP(B1162,'112年全品項生產鍋數'!A:H,7,0)</f>
        <v>44.5</v>
      </c>
      <c r="G1162" s="49">
        <f>D1162*F1162-18*100/E1162</f>
        <v>2561.1428571428569</v>
      </c>
      <c r="H1162" s="144">
        <v>2580</v>
      </c>
      <c r="I1162" s="23">
        <f t="shared" si="126"/>
        <v>7223.9999999999991</v>
      </c>
      <c r="J1162" s="50">
        <f t="shared" si="129"/>
        <v>1.0073627844712183</v>
      </c>
      <c r="K1162" s="51">
        <f>VLOOKUP(B:B,'生產達成率(目標)'!A:C,3,0)</f>
        <v>1</v>
      </c>
      <c r="L1162" s="20">
        <f t="shared" si="131"/>
        <v>7.0000000000000001E-3</v>
      </c>
      <c r="M1162" s="41" t="str">
        <f>工時!R346</f>
        <v>690</v>
      </c>
      <c r="N1162" s="159"/>
      <c r="O1162" s="144">
        <f t="shared" si="128"/>
        <v>3</v>
      </c>
      <c r="P1162" s="144">
        <v>2577</v>
      </c>
      <c r="Q1162" s="98">
        <f t="shared" si="127"/>
        <v>0.99883720930232556</v>
      </c>
      <c r="R1162" s="23"/>
      <c r="S1162" s="173"/>
      <c r="T1162" s="30" t="s">
        <v>898</v>
      </c>
      <c r="W1162" s="421"/>
      <c r="Y1162" s="421"/>
      <c r="Z1162" s="421"/>
      <c r="AA1162" s="421"/>
      <c r="AB1162" s="421"/>
      <c r="AC1162" s="421"/>
      <c r="AD1162" s="421"/>
    </row>
    <row r="1163" spans="1:30" x14ac:dyDescent="0.4">
      <c r="A1163" s="179" t="s">
        <v>905</v>
      </c>
      <c r="B1163" s="149">
        <v>151010</v>
      </c>
      <c r="C1163" s="30" t="str">
        <f>VLOOKUP(B1163,'112年全品項生產鍋數'!A:H,2,0)</f>
        <v>蜜紅果6m/m</v>
      </c>
      <c r="D1163" s="286">
        <v>1</v>
      </c>
      <c r="E1163" s="48">
        <f>VLOOKUP(B1163,'112年全品項生產鍋數'!A:H,3,0)</f>
        <v>1</v>
      </c>
      <c r="F1163" s="45">
        <f>VLOOKUP(B1163,'112年全品項生產鍋數'!A:H,7,0)</f>
        <v>142</v>
      </c>
      <c r="G1163" s="49">
        <f t="shared" si="130"/>
        <v>142</v>
      </c>
      <c r="H1163" s="144">
        <v>139</v>
      </c>
      <c r="I1163" s="23">
        <f t="shared" si="126"/>
        <v>139</v>
      </c>
      <c r="J1163" s="100">
        <f t="shared" si="129"/>
        <v>0.97887323943661975</v>
      </c>
      <c r="K1163" s="51">
        <f>VLOOKUP(B:B,'生產達成率(目標)'!A:C,3,0)</f>
        <v>1</v>
      </c>
      <c r="L1163" s="20">
        <f t="shared" si="131"/>
        <v>-2.1000000000000001E-2</v>
      </c>
      <c r="M1163" s="41" t="str">
        <f>工時!R347</f>
        <v>0</v>
      </c>
      <c r="N1163" s="159"/>
      <c r="O1163" s="144">
        <f t="shared" si="128"/>
        <v>0</v>
      </c>
      <c r="P1163" s="144">
        <v>139</v>
      </c>
      <c r="Q1163" s="98">
        <f t="shared" si="127"/>
        <v>1</v>
      </c>
      <c r="R1163" s="23"/>
      <c r="S1163" s="173"/>
      <c r="T1163" s="30"/>
    </row>
    <row r="1164" spans="1:30" x14ac:dyDescent="0.4">
      <c r="A1164" s="181">
        <v>45670</v>
      </c>
      <c r="B1164" s="139" t="s">
        <v>91</v>
      </c>
      <c r="C1164" s="30" t="str">
        <f>VLOOKUP(B1164,'112年全品項生產鍋數'!A:H,2,0)</f>
        <v>梨山草莓果醬(1*430g)</v>
      </c>
      <c r="D1164" s="286">
        <v>16</v>
      </c>
      <c r="E1164" s="48">
        <f>VLOOKUP(B1164,'112年全品項生產鍋數'!A:H,3,0)</f>
        <v>0.43</v>
      </c>
      <c r="F1164" s="45">
        <f>VLOOKUP(B1164,'112年全品項生產鍋數'!A:H,7,0)</f>
        <v>340.4</v>
      </c>
      <c r="G1164" s="49">
        <f t="shared" ref="G1164:G1212" si="132">D1164*F1164</f>
        <v>5446.4</v>
      </c>
      <c r="H1164" s="144">
        <f>3300+2162</f>
        <v>5462</v>
      </c>
      <c r="I1164" s="23">
        <f t="shared" ref="I1164:I1212" si="133">H1164*E1164</f>
        <v>2348.66</v>
      </c>
      <c r="J1164" s="100">
        <f t="shared" ref="J1164:J1212" si="134">IF(G1164=0,"無法預估數據",H1164/G1164)</f>
        <v>1.0028642773207992</v>
      </c>
      <c r="K1164" s="51">
        <f>VLOOKUP(B:B,'生產達成率(目標)'!A:C,3,0)</f>
        <v>1</v>
      </c>
      <c r="L1164" s="20">
        <f t="shared" ref="L1164:L1212" si="135">IF(G1164=0,"無法預估數據",ROUND(J1164-K1164,3))</f>
        <v>3.0000000000000001E-3</v>
      </c>
      <c r="M1164" s="137" t="str">
        <f>工時!R348</f>
        <v>300</v>
      </c>
      <c r="N1164" s="144"/>
      <c r="O1164" s="144">
        <f t="shared" ref="O1164:O1212" si="136">H1164-N1164-P1164</f>
        <v>15</v>
      </c>
      <c r="P1164" s="144">
        <f>3287+2160</f>
        <v>5447</v>
      </c>
      <c r="Q1164" s="98">
        <f t="shared" ref="Q1164:Q1212" si="137">P1164/H1164</f>
        <v>0.9972537532039546</v>
      </c>
      <c r="R1164" s="23"/>
      <c r="S1164" s="173"/>
      <c r="T1164" s="30" t="s">
        <v>916</v>
      </c>
    </row>
    <row r="1165" spans="1:30" x14ac:dyDescent="0.4">
      <c r="A1165" s="181">
        <v>45670</v>
      </c>
      <c r="B1165" s="139" t="s">
        <v>158</v>
      </c>
      <c r="C1165" s="30" t="str">
        <f>VLOOKUP(B1165,'112年全品項生產鍋數'!A:H,2,0)</f>
        <v>小圓草莓(1*170g)</v>
      </c>
      <c r="D1165" s="286">
        <v>4</v>
      </c>
      <c r="E1165" s="48">
        <f>VLOOKUP(B1165,'112年全品項生產鍋數'!A:H,3,0)</f>
        <v>0.17</v>
      </c>
      <c r="F1165" s="45">
        <f>VLOOKUP(B1165,'112年全品項生產鍋數'!A:H,7,0)</f>
        <v>912.6</v>
      </c>
      <c r="G1165" s="49">
        <f t="shared" si="132"/>
        <v>3650.4</v>
      </c>
      <c r="H1165" s="144">
        <v>3775</v>
      </c>
      <c r="I1165" s="23">
        <f t="shared" si="133"/>
        <v>641.75</v>
      </c>
      <c r="J1165" s="100">
        <f t="shared" si="134"/>
        <v>1.0341332456717072</v>
      </c>
      <c r="K1165" s="51">
        <f>VLOOKUP(B:B,'生產達成率(目標)'!A:C,3,0)</f>
        <v>1</v>
      </c>
      <c r="L1165" s="20">
        <f t="shared" si="135"/>
        <v>3.4000000000000002E-2</v>
      </c>
      <c r="M1165" s="137" t="str">
        <f>工時!R349</f>
        <v>92</v>
      </c>
      <c r="N1165" s="144"/>
      <c r="O1165" s="144">
        <f t="shared" si="136"/>
        <v>4</v>
      </c>
      <c r="P1165" s="144">
        <v>3771</v>
      </c>
      <c r="Q1165" s="98">
        <f t="shared" si="137"/>
        <v>0.99894039735099338</v>
      </c>
      <c r="R1165" s="23"/>
      <c r="S1165" s="173"/>
      <c r="T1165" s="30"/>
    </row>
    <row r="1166" spans="1:30" x14ac:dyDescent="0.4">
      <c r="A1166" s="181">
        <v>45670</v>
      </c>
      <c r="B1166" s="139" t="s">
        <v>636</v>
      </c>
      <c r="C1166" s="30" t="s">
        <v>637</v>
      </c>
      <c r="D1166" s="293">
        <v>0.42666666666666669</v>
      </c>
      <c r="E1166" s="48">
        <v>0.16</v>
      </c>
      <c r="F1166" s="45" t="e">
        <f>VLOOKUP(B1166,'112年全品項生產鍋數'!A:H,7,0)</f>
        <v>#N/A</v>
      </c>
      <c r="G1166" s="49">
        <v>400</v>
      </c>
      <c r="H1166" s="144">
        <v>409</v>
      </c>
      <c r="I1166" s="23">
        <f t="shared" si="133"/>
        <v>65.44</v>
      </c>
      <c r="J1166" s="100">
        <f t="shared" si="134"/>
        <v>1.0225</v>
      </c>
      <c r="K1166" s="51" t="e">
        <f>VLOOKUP(B:B,'生產達成率(目標)'!A:C,3,0)</f>
        <v>#N/A</v>
      </c>
      <c r="L1166" s="20" t="e">
        <f t="shared" si="135"/>
        <v>#N/A</v>
      </c>
      <c r="M1166" s="137" t="str">
        <f>工時!R350</f>
        <v>98</v>
      </c>
      <c r="N1166" s="144"/>
      <c r="O1166" s="144">
        <f t="shared" si="136"/>
        <v>2</v>
      </c>
      <c r="P1166" s="144">
        <v>407</v>
      </c>
      <c r="Q1166" s="98">
        <f t="shared" si="137"/>
        <v>0.99511002444987773</v>
      </c>
      <c r="R1166" s="23"/>
      <c r="S1166" s="173"/>
      <c r="T1166" s="30"/>
    </row>
    <row r="1167" spans="1:30" x14ac:dyDescent="0.4">
      <c r="A1167" s="181">
        <v>45670</v>
      </c>
      <c r="B1167" s="139" t="s">
        <v>636</v>
      </c>
      <c r="C1167" s="30" t="s">
        <v>638</v>
      </c>
      <c r="D1167" s="293">
        <v>0.42666666666666669</v>
      </c>
      <c r="E1167" s="48">
        <v>0.16</v>
      </c>
      <c r="F1167" s="45" t="e">
        <f>VLOOKUP(B1167,'112年全品項生產鍋數'!A:H,7,0)</f>
        <v>#N/A</v>
      </c>
      <c r="G1167" s="49">
        <v>400</v>
      </c>
      <c r="H1167" s="144">
        <v>417</v>
      </c>
      <c r="I1167" s="23">
        <f t="shared" si="133"/>
        <v>66.72</v>
      </c>
      <c r="J1167" s="100">
        <f t="shared" si="134"/>
        <v>1.0425</v>
      </c>
      <c r="K1167" s="51" t="e">
        <f>VLOOKUP(B:B,'生產達成率(目標)'!A:C,3,0)</f>
        <v>#N/A</v>
      </c>
      <c r="L1167" s="20" t="e">
        <f t="shared" si="135"/>
        <v>#N/A</v>
      </c>
      <c r="M1167" s="137" t="str">
        <f>工時!R351</f>
        <v>130</v>
      </c>
      <c r="N1167" s="144"/>
      <c r="O1167" s="144">
        <f t="shared" si="136"/>
        <v>2</v>
      </c>
      <c r="P1167" s="144">
        <v>415</v>
      </c>
      <c r="Q1167" s="98">
        <f t="shared" si="137"/>
        <v>0.99520383693045567</v>
      </c>
      <c r="R1167" s="23"/>
      <c r="S1167" s="173"/>
      <c r="T1167" s="30"/>
    </row>
    <row r="1168" spans="1:30" x14ac:dyDescent="0.4">
      <c r="A1168" s="181">
        <v>45670</v>
      </c>
      <c r="B1168" s="139" t="s">
        <v>88</v>
      </c>
      <c r="C1168" s="30" t="str">
        <f>VLOOKUP(B1168,'112年全品項生產鍋數'!A:H,2,0)</f>
        <v>草莓餡(1*6KG)</v>
      </c>
      <c r="D1168" s="286">
        <v>44</v>
      </c>
      <c r="E1168" s="48">
        <f>VLOOKUP(B1168,'112年全品項生產鍋數'!A:H,3,0)</f>
        <v>6</v>
      </c>
      <c r="F1168" s="45">
        <f>VLOOKUP(B1168,'112年全品項生產鍋數'!A:H,7,0)</f>
        <v>25.5</v>
      </c>
      <c r="G1168" s="49">
        <f t="shared" si="132"/>
        <v>1122</v>
      </c>
      <c r="H1168" s="144">
        <v>1141</v>
      </c>
      <c r="I1168" s="23">
        <f t="shared" si="133"/>
        <v>6846</v>
      </c>
      <c r="J1168" s="100">
        <f t="shared" si="134"/>
        <v>1.016934046345811</v>
      </c>
      <c r="K1168" s="51">
        <f>VLOOKUP(B:B,'生產達成率(目標)'!A:C,3,0)</f>
        <v>1</v>
      </c>
      <c r="L1168" s="20">
        <f t="shared" si="135"/>
        <v>1.7000000000000001E-2</v>
      </c>
      <c r="M1168" s="137" t="str">
        <f>工時!R352</f>
        <v>510</v>
      </c>
      <c r="N1168" s="144"/>
      <c r="O1168" s="144">
        <f t="shared" si="136"/>
        <v>5</v>
      </c>
      <c r="P1168" s="144">
        <v>1136</v>
      </c>
      <c r="Q1168" s="98">
        <f t="shared" si="137"/>
        <v>0.99561787905346188</v>
      </c>
      <c r="R1168" s="23"/>
      <c r="S1168" s="173"/>
      <c r="T1168" s="30"/>
    </row>
    <row r="1169" spans="1:20" x14ac:dyDescent="0.4">
      <c r="A1169" s="181">
        <v>45670</v>
      </c>
      <c r="B1169" s="139" t="s">
        <v>65</v>
      </c>
      <c r="C1169" s="30" t="str">
        <f>VLOOKUP(B1169,'112年全品項生產鍋數'!A:H,2,0)</f>
        <v>＃1花生(1*2.8kg)</v>
      </c>
      <c r="D1169" s="286">
        <v>72</v>
      </c>
      <c r="E1169" s="48">
        <f>VLOOKUP(B1169,'112年全品項生產鍋數'!A:H,3,0)</f>
        <v>2.8</v>
      </c>
      <c r="F1169" s="45">
        <f>VLOOKUP(B1169,'112年全品項生產鍋數'!A:H,7,0)</f>
        <v>44.5</v>
      </c>
      <c r="G1169" s="49">
        <f t="shared" si="132"/>
        <v>3204</v>
      </c>
      <c r="H1169" s="144">
        <v>3212</v>
      </c>
      <c r="I1169" s="23">
        <f t="shared" si="133"/>
        <v>8993.5999999999985</v>
      </c>
      <c r="J1169" s="100">
        <f t="shared" si="134"/>
        <v>1.0024968789013733</v>
      </c>
      <c r="K1169" s="51">
        <f>VLOOKUP(B:B,'生產達成率(目標)'!A:C,3,0)</f>
        <v>1</v>
      </c>
      <c r="L1169" s="20">
        <f t="shared" si="135"/>
        <v>2E-3</v>
      </c>
      <c r="M1169" s="137" t="str">
        <f>工時!R353</f>
        <v>660</v>
      </c>
      <c r="N1169" s="144"/>
      <c r="O1169" s="144">
        <f t="shared" si="136"/>
        <v>1</v>
      </c>
      <c r="P1169" s="144">
        <v>3211</v>
      </c>
      <c r="Q1169" s="98">
        <f t="shared" si="137"/>
        <v>0.99968866749688667</v>
      </c>
      <c r="R1169" s="23"/>
      <c r="S1169" s="173"/>
      <c r="T1169" s="30"/>
    </row>
    <row r="1170" spans="1:20" x14ac:dyDescent="0.4">
      <c r="A1170" s="181">
        <v>45671</v>
      </c>
      <c r="B1170" s="139" t="s">
        <v>53</v>
      </c>
      <c r="C1170" s="30" t="str">
        <f>VLOOKUP(B1170,'112年全品項生產鍋數'!A:H,2,0)</f>
        <v>鳳梨芒果百香果醬(1*6KG)</v>
      </c>
      <c r="D1170" s="286">
        <v>14</v>
      </c>
      <c r="E1170" s="48">
        <f>VLOOKUP(B1170,'112年全品項生產鍋數'!A:H,3,0)</f>
        <v>6</v>
      </c>
      <c r="F1170" s="45">
        <f>VLOOKUP(B1170,'112年全品項生產鍋數'!A:H,7,0)</f>
        <v>25.7</v>
      </c>
      <c r="G1170" s="49">
        <f t="shared" si="132"/>
        <v>359.8</v>
      </c>
      <c r="H1170" s="144">
        <v>349</v>
      </c>
      <c r="I1170" s="23">
        <f t="shared" si="133"/>
        <v>2094</v>
      </c>
      <c r="J1170" s="100">
        <f t="shared" si="134"/>
        <v>0.96998332406892718</v>
      </c>
      <c r="K1170" s="51">
        <f>VLOOKUP(B:B,'生產達成率(目標)'!A:C,3,0)</f>
        <v>1</v>
      </c>
      <c r="L1170" s="20">
        <f t="shared" si="135"/>
        <v>-0.03</v>
      </c>
      <c r="M1170" s="137" t="str">
        <f>工時!R354</f>
        <v>240</v>
      </c>
      <c r="N1170" s="144"/>
      <c r="O1170" s="144">
        <f t="shared" si="136"/>
        <v>2</v>
      </c>
      <c r="P1170" s="144">
        <v>347</v>
      </c>
      <c r="Q1170" s="98">
        <f t="shared" si="137"/>
        <v>0.99426934097421205</v>
      </c>
      <c r="R1170" s="23"/>
      <c r="S1170" s="173"/>
      <c r="T1170" s="30"/>
    </row>
    <row r="1171" spans="1:20" x14ac:dyDescent="0.4">
      <c r="A1171" s="181">
        <v>45671</v>
      </c>
      <c r="B1171" s="139" t="s">
        <v>109</v>
      </c>
      <c r="C1171" s="30" t="str">
        <f>VLOOKUP(B1171,'112年全品項生產鍋數'!A:H,2,0)</f>
        <v>蔓越莓醬(1*6KG)</v>
      </c>
      <c r="D1171" s="286">
        <v>12</v>
      </c>
      <c r="E1171" s="48">
        <f>VLOOKUP(B1171,'112年全品項生產鍋數'!A:H,3,0)</f>
        <v>6</v>
      </c>
      <c r="F1171" s="45">
        <f>VLOOKUP(B1171,'112年全品項生產鍋數'!A:H,7,0)</f>
        <v>25.6</v>
      </c>
      <c r="G1171" s="49">
        <f t="shared" si="132"/>
        <v>307.20000000000005</v>
      </c>
      <c r="H1171" s="144">
        <v>311</v>
      </c>
      <c r="I1171" s="23">
        <f t="shared" si="133"/>
        <v>1866</v>
      </c>
      <c r="J1171" s="100">
        <f t="shared" si="134"/>
        <v>1.0123697916666665</v>
      </c>
      <c r="K1171" s="51">
        <f>VLOOKUP(B:B,'生產達成率(目標)'!A:C,3,0)</f>
        <v>1</v>
      </c>
      <c r="L1171" s="20">
        <f t="shared" si="135"/>
        <v>1.2E-2</v>
      </c>
      <c r="M1171" s="137" t="str">
        <f>工時!R355</f>
        <v>267</v>
      </c>
      <c r="N1171" s="144"/>
      <c r="O1171" s="144">
        <f t="shared" si="136"/>
        <v>2</v>
      </c>
      <c r="P1171" s="144">
        <v>309</v>
      </c>
      <c r="Q1171" s="98">
        <f t="shared" si="137"/>
        <v>0.99356913183279738</v>
      </c>
      <c r="R1171" s="23"/>
      <c r="S1171" s="173"/>
      <c r="T1171" s="30"/>
    </row>
    <row r="1172" spans="1:20" x14ac:dyDescent="0.4">
      <c r="A1172" s="181">
        <v>45671</v>
      </c>
      <c r="B1172" s="139" t="s">
        <v>51</v>
      </c>
      <c r="C1172" s="30" t="str">
        <f>VLOOKUP(B1172,'112年全品項生產鍋數'!A:H,2,0)</f>
        <v>藍莓醬(1*6kg)</v>
      </c>
      <c r="D1172" s="286">
        <v>12</v>
      </c>
      <c r="E1172" s="48">
        <f>VLOOKUP(B1172,'112年全品項生產鍋數'!A:H,3,0)</f>
        <v>6</v>
      </c>
      <c r="F1172" s="45">
        <f>VLOOKUP(B1172,'112年全品項生產鍋數'!A:H,7,0)</f>
        <v>25.5</v>
      </c>
      <c r="G1172" s="49">
        <f t="shared" si="132"/>
        <v>306</v>
      </c>
      <c r="H1172" s="144">
        <v>299</v>
      </c>
      <c r="I1172" s="23">
        <f t="shared" si="133"/>
        <v>1794</v>
      </c>
      <c r="J1172" s="100">
        <f t="shared" si="134"/>
        <v>0.97712418300653592</v>
      </c>
      <c r="K1172" s="51">
        <f>VLOOKUP(B:B,'生產達成率(目標)'!A:C,3,0)</f>
        <v>1</v>
      </c>
      <c r="L1172" s="20">
        <f t="shared" si="135"/>
        <v>-2.3E-2</v>
      </c>
      <c r="M1172" s="137" t="str">
        <f>工時!R356</f>
        <v>269</v>
      </c>
      <c r="N1172" s="144"/>
      <c r="O1172" s="144">
        <f t="shared" si="136"/>
        <v>2</v>
      </c>
      <c r="P1172" s="144">
        <v>297</v>
      </c>
      <c r="Q1172" s="98">
        <f t="shared" si="137"/>
        <v>0.99331103678929766</v>
      </c>
      <c r="R1172" s="23"/>
      <c r="S1172" s="173"/>
      <c r="T1172" s="30"/>
    </row>
    <row r="1173" spans="1:20" x14ac:dyDescent="0.4">
      <c r="A1173" s="181">
        <v>45671</v>
      </c>
      <c r="B1173" s="139" t="s">
        <v>661</v>
      </c>
      <c r="C1173" s="30" t="str">
        <f>VLOOKUP(B1173,'112年全品項生產鍋數'!A:H,2,0)</f>
        <v>上好佳藍莓餡(大)4.5KG</v>
      </c>
      <c r="D1173" s="286">
        <v>32</v>
      </c>
      <c r="E1173" s="48">
        <f>VLOOKUP(B1173,'112年全品項生產鍋數'!A:H,3,0)</f>
        <v>4.5</v>
      </c>
      <c r="F1173" s="45">
        <f>VLOOKUP(B1173,'112年全品項生產鍋數'!A:H,7,0)</f>
        <v>37</v>
      </c>
      <c r="G1173" s="49">
        <f t="shared" si="132"/>
        <v>1184</v>
      </c>
      <c r="H1173" s="144">
        <v>1199</v>
      </c>
      <c r="I1173" s="23">
        <f t="shared" si="133"/>
        <v>5395.5</v>
      </c>
      <c r="J1173" s="100">
        <f t="shared" si="134"/>
        <v>1.0126689189189189</v>
      </c>
      <c r="K1173" s="51">
        <f>VLOOKUP(B:B,'生產達成率(目標)'!A:C,3,0)</f>
        <v>1</v>
      </c>
      <c r="L1173" s="20">
        <f t="shared" si="135"/>
        <v>1.2999999999999999E-2</v>
      </c>
      <c r="M1173" s="137" t="str">
        <f>工時!R357</f>
        <v>470</v>
      </c>
      <c r="N1173" s="144"/>
      <c r="O1173" s="144">
        <f t="shared" si="136"/>
        <v>0</v>
      </c>
      <c r="P1173" s="144">
        <v>1199</v>
      </c>
      <c r="Q1173" s="98">
        <f t="shared" si="137"/>
        <v>1</v>
      </c>
      <c r="R1173" s="23"/>
      <c r="S1173" s="173"/>
      <c r="T1173" s="30"/>
    </row>
    <row r="1174" spans="1:20" x14ac:dyDescent="0.4">
      <c r="A1174" s="181">
        <v>45671</v>
      </c>
      <c r="B1174" s="139" t="s">
        <v>77</v>
      </c>
      <c r="C1174" s="30" t="str">
        <f>VLOOKUP(B1174,'112年全品項生產鍋數'!A:H,2,0)</f>
        <v>草莓餡50°(1*6Kg)</v>
      </c>
      <c r="D1174" s="286">
        <v>8</v>
      </c>
      <c r="E1174" s="48">
        <f>VLOOKUP(B1174,'112年全品項生產鍋數'!A:H,3,0)</f>
        <v>6</v>
      </c>
      <c r="F1174" s="45">
        <f>VLOOKUP(B1174,'112年全品項生產鍋數'!A:H,7,0)</f>
        <v>25</v>
      </c>
      <c r="G1174" s="49">
        <f t="shared" si="132"/>
        <v>200</v>
      </c>
      <c r="H1174" s="144">
        <v>198</v>
      </c>
      <c r="I1174" s="23">
        <f t="shared" si="133"/>
        <v>1188</v>
      </c>
      <c r="J1174" s="100">
        <f t="shared" si="134"/>
        <v>0.99</v>
      </c>
      <c r="K1174" s="51">
        <f>VLOOKUP(B:B,'生產達成率(目標)'!A:C,3,0)</f>
        <v>1</v>
      </c>
      <c r="L1174" s="20">
        <f t="shared" si="135"/>
        <v>-0.01</v>
      </c>
      <c r="M1174" s="137" t="str">
        <f>工時!R358</f>
        <v>163</v>
      </c>
      <c r="N1174" s="144"/>
      <c r="O1174" s="144">
        <f t="shared" si="136"/>
        <v>1</v>
      </c>
      <c r="P1174" s="144">
        <v>197</v>
      </c>
      <c r="Q1174" s="98">
        <f t="shared" si="137"/>
        <v>0.99494949494949492</v>
      </c>
      <c r="R1174" s="23"/>
      <c r="S1174" s="173"/>
      <c r="T1174" s="30"/>
    </row>
    <row r="1175" spans="1:20" x14ac:dyDescent="0.4">
      <c r="A1175" s="181">
        <v>45671</v>
      </c>
      <c r="B1175" s="139" t="s">
        <v>82</v>
      </c>
      <c r="C1175" s="30" t="str">
        <f>VLOOKUP(B1175,'112年全品項生產鍋數'!A:H,2,0)</f>
        <v>顆粒花生醬(全)</v>
      </c>
      <c r="D1175" s="286">
        <v>28</v>
      </c>
      <c r="E1175" s="48">
        <f>VLOOKUP(B1175,'112年全品項生產鍋數'!A:H,3,0)</f>
        <v>0.34</v>
      </c>
      <c r="F1175" s="45">
        <f>VLOOKUP(B1175,'112年全品項生產鍋數'!A:H,7,0)</f>
        <v>364.6</v>
      </c>
      <c r="G1175" s="49">
        <f t="shared" si="132"/>
        <v>10208.800000000001</v>
      </c>
      <c r="H1175" s="144">
        <v>10260</v>
      </c>
      <c r="I1175" s="23">
        <f t="shared" si="133"/>
        <v>3488.4</v>
      </c>
      <c r="J1175" s="100">
        <f t="shared" si="134"/>
        <v>1.005015280934096</v>
      </c>
      <c r="K1175" s="51">
        <f>VLOOKUP(B:B,'生產達成率(目標)'!A:C,3,0)</f>
        <v>1</v>
      </c>
      <c r="L1175" s="20">
        <f t="shared" si="135"/>
        <v>5.0000000000000001E-3</v>
      </c>
      <c r="M1175" s="137" t="str">
        <f>工時!R359</f>
        <v>545</v>
      </c>
      <c r="N1175" s="144"/>
      <c r="O1175" s="144">
        <f t="shared" si="136"/>
        <v>3</v>
      </c>
      <c r="P1175" s="144">
        <v>10257</v>
      </c>
      <c r="Q1175" s="98">
        <f t="shared" si="137"/>
        <v>0.99970760233918132</v>
      </c>
      <c r="R1175" s="23"/>
      <c r="S1175" s="173">
        <f>191/2</f>
        <v>95.5</v>
      </c>
      <c r="T1175" s="30" t="s">
        <v>927</v>
      </c>
    </row>
    <row r="1176" spans="1:20" x14ac:dyDescent="0.4">
      <c r="A1176" s="181">
        <v>45671</v>
      </c>
      <c r="B1176" s="139" t="s">
        <v>83</v>
      </c>
      <c r="C1176" s="30" t="str">
        <f>VLOOKUP(B1176,'112年全品項生產鍋數'!A:H,2,0)</f>
        <v>PET瓶花生(粒)(1*340g)</v>
      </c>
      <c r="D1176" s="286">
        <v>8</v>
      </c>
      <c r="E1176" s="48">
        <f>VLOOKUP(B1176,'112年全品項生產鍋數'!A:H,3,0)</f>
        <v>0.34</v>
      </c>
      <c r="F1176" s="45">
        <f>VLOOKUP(B1176,'112年全品項生產鍋數'!A:H,7,0)</f>
        <v>366</v>
      </c>
      <c r="G1176" s="49">
        <f t="shared" si="132"/>
        <v>2928</v>
      </c>
      <c r="H1176" s="144">
        <v>3151</v>
      </c>
      <c r="I1176" s="23">
        <f t="shared" si="133"/>
        <v>1071.3400000000001</v>
      </c>
      <c r="J1176" s="100">
        <f t="shared" si="134"/>
        <v>1.0761612021857923</v>
      </c>
      <c r="K1176" s="51">
        <f>VLOOKUP(B:B,'生產達成率(目標)'!A:C,3,0)</f>
        <v>1</v>
      </c>
      <c r="L1176" s="20">
        <f t="shared" si="135"/>
        <v>7.5999999999999998E-2</v>
      </c>
      <c r="M1176" s="137" t="str">
        <f>工時!R360</f>
        <v>545</v>
      </c>
      <c r="N1176" s="144"/>
      <c r="O1176" s="144">
        <f t="shared" si="136"/>
        <v>3</v>
      </c>
      <c r="P1176" s="144">
        <v>3148</v>
      </c>
      <c r="Q1176" s="98">
        <f t="shared" si="137"/>
        <v>0.999047921294827</v>
      </c>
      <c r="R1176" s="23"/>
      <c r="S1176" s="173">
        <f>191/2</f>
        <v>95.5</v>
      </c>
      <c r="T1176" s="30" t="s">
        <v>928</v>
      </c>
    </row>
    <row r="1177" spans="1:20" x14ac:dyDescent="0.4">
      <c r="A1177" s="181">
        <v>45672</v>
      </c>
      <c r="B1177" s="139" t="s">
        <v>68</v>
      </c>
      <c r="C1177" s="30" t="str">
        <f>VLOOKUP(B1177,'112年全品項生產鍋數'!A:H,2,0)</f>
        <v>#2草莓果醬(1*900g)</v>
      </c>
      <c r="D1177" s="286">
        <v>20</v>
      </c>
      <c r="E1177" s="48">
        <f>VLOOKUP(B1177,'112年全品項生產鍋數'!A:H,3,0)</f>
        <v>0.9</v>
      </c>
      <c r="F1177" s="45">
        <f>VLOOKUP(B1177,'112年全品項生產鍋數'!A:H,7,0)</f>
        <v>160.5</v>
      </c>
      <c r="G1177" s="49">
        <f t="shared" si="132"/>
        <v>3210</v>
      </c>
      <c r="H1177" s="144">
        <v>3199</v>
      </c>
      <c r="I1177" s="23">
        <f t="shared" si="133"/>
        <v>2879.1</v>
      </c>
      <c r="J1177" s="100">
        <f t="shared" si="134"/>
        <v>0.99657320872274147</v>
      </c>
      <c r="K1177" s="51">
        <f>VLOOKUP(B:B,'生產達成率(目標)'!A:C,3,0)</f>
        <v>1</v>
      </c>
      <c r="L1177" s="20">
        <f t="shared" si="135"/>
        <v>-3.0000000000000001E-3</v>
      </c>
      <c r="M1177" s="137" t="str">
        <f>工時!R361</f>
        <v>330</v>
      </c>
      <c r="N1177" s="144"/>
      <c r="O1177" s="144">
        <f t="shared" si="136"/>
        <v>2</v>
      </c>
      <c r="P1177" s="144">
        <v>3197</v>
      </c>
      <c r="Q1177" s="98">
        <f t="shared" si="137"/>
        <v>0.99937480462644579</v>
      </c>
      <c r="R1177" s="23"/>
      <c r="S1177" s="173"/>
      <c r="T1177" s="30"/>
    </row>
    <row r="1178" spans="1:20" x14ac:dyDescent="0.4">
      <c r="A1178" s="181">
        <v>45672</v>
      </c>
      <c r="B1178" s="139" t="s">
        <v>61</v>
      </c>
      <c r="C1178" s="30" t="str">
        <f>VLOOKUP(B1178,'112年全品項生產鍋數'!A:H,2,0)</f>
        <v>大圓草莓-新</v>
      </c>
      <c r="D1178" s="286">
        <v>24</v>
      </c>
      <c r="E1178" s="48">
        <f>VLOOKUP(B1178,'112年全品項生產鍋數'!A:H,3,0)</f>
        <v>0.44</v>
      </c>
      <c r="F1178" s="45">
        <f>VLOOKUP(B1178,'112年全品項生產鍋數'!A:H,7,0)</f>
        <v>344</v>
      </c>
      <c r="G1178" s="49">
        <f t="shared" si="132"/>
        <v>8256</v>
      </c>
      <c r="H1178" s="144">
        <v>8171</v>
      </c>
      <c r="I1178" s="23">
        <f t="shared" si="133"/>
        <v>3595.2400000000002</v>
      </c>
      <c r="J1178" s="100">
        <f t="shared" si="134"/>
        <v>0.98970445736434109</v>
      </c>
      <c r="K1178" s="51">
        <f>VLOOKUP(B:B,'生產達成率(目標)'!A:C,3,0)</f>
        <v>1</v>
      </c>
      <c r="L1178" s="20">
        <f t="shared" si="135"/>
        <v>-0.01</v>
      </c>
      <c r="M1178" s="137" t="str">
        <f>工時!R362</f>
        <v>300</v>
      </c>
      <c r="N1178" s="144"/>
      <c r="O1178" s="144">
        <f t="shared" si="136"/>
        <v>10</v>
      </c>
      <c r="P1178" s="144">
        <v>8161</v>
      </c>
      <c r="Q1178" s="98">
        <f t="shared" si="137"/>
        <v>0.99877615958878962</v>
      </c>
      <c r="R1178" s="23"/>
      <c r="S1178" s="173"/>
      <c r="T1178" s="30"/>
    </row>
    <row r="1179" spans="1:20" x14ac:dyDescent="0.4">
      <c r="A1179" s="181">
        <v>45672</v>
      </c>
      <c r="B1179" s="139" t="s">
        <v>88</v>
      </c>
      <c r="C1179" s="30" t="str">
        <f>VLOOKUP(B1179,'112年全品項生產鍋數'!A:H,2,0)</f>
        <v>草莓餡(1*6KG)</v>
      </c>
      <c r="D1179" s="286">
        <v>16</v>
      </c>
      <c r="E1179" s="48">
        <f>VLOOKUP(B1179,'112年全品項生產鍋數'!A:H,3,0)</f>
        <v>6</v>
      </c>
      <c r="F1179" s="45">
        <f>VLOOKUP(B1179,'112年全品項生產鍋數'!A:H,7,0)</f>
        <v>25.5</v>
      </c>
      <c r="G1179" s="49">
        <f t="shared" si="132"/>
        <v>408</v>
      </c>
      <c r="H1179" s="144">
        <v>414</v>
      </c>
      <c r="I1179" s="23">
        <f t="shared" si="133"/>
        <v>2484</v>
      </c>
      <c r="J1179" s="100">
        <f t="shared" si="134"/>
        <v>1.0147058823529411</v>
      </c>
      <c r="K1179" s="51">
        <f>VLOOKUP(B:B,'生產達成率(目標)'!A:C,3,0)</f>
        <v>1</v>
      </c>
      <c r="L1179" s="20">
        <f t="shared" si="135"/>
        <v>1.4999999999999999E-2</v>
      </c>
      <c r="M1179" s="137" t="str">
        <f>工時!R363</f>
        <v>191</v>
      </c>
      <c r="N1179" s="144"/>
      <c r="O1179" s="144">
        <f t="shared" si="136"/>
        <v>1</v>
      </c>
      <c r="P1179" s="144">
        <v>413</v>
      </c>
      <c r="Q1179" s="98">
        <f t="shared" si="137"/>
        <v>0.99758454106280192</v>
      </c>
      <c r="R1179" s="23"/>
      <c r="S1179" s="173"/>
      <c r="T1179" s="30"/>
    </row>
    <row r="1180" spans="1:20" x14ac:dyDescent="0.4">
      <c r="A1180" s="181">
        <v>45672</v>
      </c>
      <c r="B1180" s="139" t="s">
        <v>357</v>
      </c>
      <c r="C1180" s="30" t="str">
        <f>VLOOKUP(B1180,'112年全品項生產鍋數'!A:H,2,0)</f>
        <v>草莓醬(1*6Kg)</v>
      </c>
      <c r="D1180" s="286">
        <v>12</v>
      </c>
      <c r="E1180" s="48">
        <f>VLOOKUP(B1180,'112年全品項生產鍋數'!A:H,3,0)</f>
        <v>6</v>
      </c>
      <c r="F1180" s="45">
        <f>VLOOKUP(B1180,'112年全品項生產鍋數'!A:H,7,0)</f>
        <v>25.5</v>
      </c>
      <c r="G1180" s="49">
        <f t="shared" si="132"/>
        <v>306</v>
      </c>
      <c r="H1180" s="144">
        <v>297</v>
      </c>
      <c r="I1180" s="23">
        <f t="shared" si="133"/>
        <v>1782</v>
      </c>
      <c r="J1180" s="100">
        <f t="shared" si="134"/>
        <v>0.97058823529411764</v>
      </c>
      <c r="K1180" s="51">
        <f>VLOOKUP(B:B,'生產達成率(目標)'!A:C,3,0)</f>
        <v>1</v>
      </c>
      <c r="L1180" s="20">
        <f t="shared" si="135"/>
        <v>-2.9000000000000001E-2</v>
      </c>
      <c r="M1180" s="137" t="str">
        <f>工時!R364</f>
        <v>180</v>
      </c>
      <c r="N1180" s="144"/>
      <c r="O1180" s="144">
        <f t="shared" si="136"/>
        <v>1</v>
      </c>
      <c r="P1180" s="144">
        <v>296</v>
      </c>
      <c r="Q1180" s="98">
        <f t="shared" si="137"/>
        <v>0.99663299663299665</v>
      </c>
      <c r="R1180" s="23"/>
      <c r="S1180" s="173"/>
      <c r="T1180" s="30"/>
    </row>
    <row r="1181" spans="1:20" x14ac:dyDescent="0.4">
      <c r="A1181" s="181">
        <v>45672</v>
      </c>
      <c r="B1181" s="139" t="s">
        <v>538</v>
      </c>
      <c r="C1181" s="30" t="str">
        <f>VLOOKUP(B1181,'112年全品項生產鍋數'!A:H,2,0)</f>
        <v>蜂蜜蘋果醬(1*6KG)</v>
      </c>
      <c r="D1181" s="286">
        <v>6</v>
      </c>
      <c r="E1181" s="48">
        <f>VLOOKUP(B1181,'112年全品項生產鍋數'!A:H,3,0)</f>
        <v>6</v>
      </c>
      <c r="F1181" s="45">
        <f>VLOOKUP(B1181,'112年全品項生產鍋數'!A:H,7,0)</f>
        <v>25.2</v>
      </c>
      <c r="G1181" s="49">
        <f t="shared" si="132"/>
        <v>151.19999999999999</v>
      </c>
      <c r="H1181" s="144">
        <v>153</v>
      </c>
      <c r="I1181" s="23">
        <f t="shared" si="133"/>
        <v>918</v>
      </c>
      <c r="J1181" s="100">
        <f t="shared" si="134"/>
        <v>1.0119047619047621</v>
      </c>
      <c r="K1181" s="51">
        <f>VLOOKUP(B:B,'生產達成率(目標)'!A:C,3,0)</f>
        <v>1</v>
      </c>
      <c r="L1181" s="20">
        <f t="shared" si="135"/>
        <v>1.2E-2</v>
      </c>
      <c r="M1181" s="137" t="str">
        <f>工時!R365</f>
        <v>118</v>
      </c>
      <c r="N1181" s="144"/>
      <c r="O1181" s="144">
        <f t="shared" si="136"/>
        <v>1</v>
      </c>
      <c r="P1181" s="144">
        <v>152</v>
      </c>
      <c r="Q1181" s="98">
        <f t="shared" si="137"/>
        <v>0.99346405228758172</v>
      </c>
      <c r="R1181" s="23"/>
      <c r="S1181" s="173"/>
      <c r="T1181" s="30"/>
    </row>
    <row r="1182" spans="1:20" x14ac:dyDescent="0.4">
      <c r="A1182" s="181">
        <v>45672</v>
      </c>
      <c r="B1182" s="139" t="s">
        <v>99</v>
      </c>
      <c r="C1182" s="30" t="str">
        <f>VLOOKUP(B1182,'112年全品項生產鍋數'!A:H,2,0)</f>
        <v>葡萄奇異果醬(1*6kg)</v>
      </c>
      <c r="D1182" s="286">
        <v>6</v>
      </c>
      <c r="E1182" s="48">
        <f>VLOOKUP(B1182,'112年全品項生產鍋數'!A:H,3,0)</f>
        <v>6</v>
      </c>
      <c r="F1182" s="45">
        <f>VLOOKUP(B1182,'112年全品項生產鍋數'!A:H,7,0)</f>
        <v>24.3</v>
      </c>
      <c r="G1182" s="49">
        <f t="shared" si="132"/>
        <v>145.80000000000001</v>
      </c>
      <c r="H1182" s="144">
        <v>154</v>
      </c>
      <c r="I1182" s="23">
        <f t="shared" si="133"/>
        <v>924</v>
      </c>
      <c r="J1182" s="100">
        <f t="shared" si="134"/>
        <v>1.056241426611797</v>
      </c>
      <c r="K1182" s="51">
        <f>VLOOKUP(B:B,'生產達成率(目標)'!A:C,3,0)</f>
        <v>1</v>
      </c>
      <c r="L1182" s="20">
        <f t="shared" si="135"/>
        <v>5.6000000000000001E-2</v>
      </c>
      <c r="M1182" s="137" t="str">
        <f>工時!R366</f>
        <v>140</v>
      </c>
      <c r="N1182" s="144"/>
      <c r="O1182" s="144">
        <f t="shared" si="136"/>
        <v>2</v>
      </c>
      <c r="P1182" s="144">
        <v>152</v>
      </c>
      <c r="Q1182" s="98">
        <f t="shared" si="137"/>
        <v>0.98701298701298701</v>
      </c>
      <c r="R1182" s="23"/>
      <c r="S1182" s="173"/>
      <c r="T1182" s="30"/>
    </row>
    <row r="1183" spans="1:20" x14ac:dyDescent="0.4">
      <c r="A1183" s="181">
        <v>45672</v>
      </c>
      <c r="B1183" s="139" t="s">
        <v>65</v>
      </c>
      <c r="C1183" s="30" t="str">
        <f>VLOOKUP(B1183,'112年全品項生產鍋數'!A:H,2,0)</f>
        <v>＃1花生(1*2.8kg)</v>
      </c>
      <c r="D1183" s="286">
        <v>72</v>
      </c>
      <c r="E1183" s="48">
        <f>VLOOKUP(B1183,'112年全品項生產鍋數'!A:H,3,0)</f>
        <v>2.8</v>
      </c>
      <c r="F1183" s="45">
        <f>VLOOKUP(B1183,'112年全品項生產鍋數'!A:H,7,0)</f>
        <v>44.5</v>
      </c>
      <c r="G1183" s="49">
        <f t="shared" si="132"/>
        <v>3204</v>
      </c>
      <c r="H1183" s="144">
        <v>3213</v>
      </c>
      <c r="I1183" s="23">
        <f t="shared" si="133"/>
        <v>8996.4</v>
      </c>
      <c r="J1183" s="100">
        <f t="shared" si="134"/>
        <v>1.002808988764045</v>
      </c>
      <c r="K1183" s="51">
        <f>VLOOKUP(B:B,'生產達成率(目標)'!A:C,3,0)</f>
        <v>1</v>
      </c>
      <c r="L1183" s="20">
        <f t="shared" si="135"/>
        <v>3.0000000000000001E-3</v>
      </c>
      <c r="M1183" s="137" t="str">
        <f>工時!R367</f>
        <v>660</v>
      </c>
      <c r="N1183" s="144"/>
      <c r="O1183" s="144">
        <f t="shared" si="136"/>
        <v>2</v>
      </c>
      <c r="P1183" s="144">
        <v>3211</v>
      </c>
      <c r="Q1183" s="98">
        <f t="shared" si="137"/>
        <v>0.99937752878929353</v>
      </c>
      <c r="R1183" s="23"/>
      <c r="S1183" s="173"/>
      <c r="T1183" s="30"/>
    </row>
    <row r="1184" spans="1:20" x14ac:dyDescent="0.4">
      <c r="A1184" s="181">
        <v>45673</v>
      </c>
      <c r="B1184" s="139" t="s">
        <v>88</v>
      </c>
      <c r="C1184" s="30" t="str">
        <f>VLOOKUP(B1184,'112年全品項生產鍋數'!A:H,2,0)</f>
        <v>草莓餡(1*6KG)</v>
      </c>
      <c r="D1184" s="286">
        <v>44</v>
      </c>
      <c r="E1184" s="48">
        <f>VLOOKUP(B1184,'112年全品項生產鍋數'!A:H,3,0)</f>
        <v>6</v>
      </c>
      <c r="F1184" s="45">
        <f>VLOOKUP(B1184,'112年全品項生產鍋數'!A:H,7,0)</f>
        <v>25.5</v>
      </c>
      <c r="G1184" s="49">
        <f t="shared" si="132"/>
        <v>1122</v>
      </c>
      <c r="H1184" s="144">
        <v>1113</v>
      </c>
      <c r="I1184" s="23">
        <f t="shared" si="133"/>
        <v>6678</v>
      </c>
      <c r="J1184" s="100">
        <f t="shared" si="134"/>
        <v>0.99197860962566842</v>
      </c>
      <c r="K1184" s="51">
        <f>VLOOKUP(B:B,'生產達成率(目標)'!A:C,3,0)</f>
        <v>1</v>
      </c>
      <c r="L1184" s="20">
        <f t="shared" si="135"/>
        <v>-8.0000000000000002E-3</v>
      </c>
      <c r="M1184" s="137" t="str">
        <f>工時!R368</f>
        <v>510</v>
      </c>
      <c r="N1184" s="144"/>
      <c r="O1184" s="144">
        <f t="shared" si="136"/>
        <v>1</v>
      </c>
      <c r="P1184" s="144">
        <v>1112</v>
      </c>
      <c r="Q1184" s="98">
        <f t="shared" si="137"/>
        <v>0.99910152740341418</v>
      </c>
      <c r="R1184" s="23"/>
      <c r="S1184" s="173"/>
      <c r="T1184" s="30"/>
    </row>
    <row r="1185" spans="1:30" x14ac:dyDescent="0.4">
      <c r="A1185" s="181">
        <v>45673</v>
      </c>
      <c r="B1185" s="139" t="s">
        <v>108</v>
      </c>
      <c r="C1185" s="30" t="str">
        <f>VLOOKUP(B1185,'112年全品項生產鍋數'!A:H,2,0)</f>
        <v>顆粒花生醬(1*12KG)</v>
      </c>
      <c r="D1185" s="286">
        <v>21</v>
      </c>
      <c r="E1185" s="48">
        <f>VLOOKUP(B1185,'112年全品項生產鍋數'!A:H,3,0)</f>
        <v>3</v>
      </c>
      <c r="F1185" s="45">
        <f>VLOOKUP(B1185,'112年全品項生產鍋數'!A:H,7,0)</f>
        <v>31.6</v>
      </c>
      <c r="G1185" s="49">
        <f t="shared" si="132"/>
        <v>663.6</v>
      </c>
      <c r="H1185" s="144">
        <v>672</v>
      </c>
      <c r="I1185" s="23">
        <f t="shared" si="133"/>
        <v>2016</v>
      </c>
      <c r="J1185" s="100">
        <f t="shared" si="134"/>
        <v>1.0126582278481013</v>
      </c>
      <c r="K1185" s="51">
        <f>VLOOKUP(B:B,'生產達成率(目標)'!A:C,3,0)</f>
        <v>1</v>
      </c>
      <c r="L1185" s="20">
        <f t="shared" si="135"/>
        <v>1.2999999999999999E-2</v>
      </c>
      <c r="M1185" s="137" t="str">
        <f>工時!R369</f>
        <v>540</v>
      </c>
      <c r="N1185" s="144"/>
      <c r="O1185" s="144">
        <f t="shared" si="136"/>
        <v>0</v>
      </c>
      <c r="P1185" s="144">
        <v>672</v>
      </c>
      <c r="Q1185" s="98">
        <f t="shared" si="137"/>
        <v>1</v>
      </c>
      <c r="R1185" s="23"/>
      <c r="S1185" s="173"/>
      <c r="T1185" s="30"/>
    </row>
    <row r="1186" spans="1:30" s="146" customFormat="1" x14ac:dyDescent="0.4">
      <c r="A1186" s="182">
        <v>45673</v>
      </c>
      <c r="B1186" s="139" t="s">
        <v>58</v>
      </c>
      <c r="C1186" s="140" t="str">
        <f>VLOOKUP(B1186,'112年全品項生產鍋數'!A:H,2,0)</f>
        <v>PET大花生(1*400g)</v>
      </c>
      <c r="D1186" s="286">
        <v>24</v>
      </c>
      <c r="E1186" s="141">
        <f>VLOOKUP(B1186,'112年全品項生產鍋數'!A:H,3,0)</f>
        <v>0.4</v>
      </c>
      <c r="F1186" s="142">
        <f>VLOOKUP(B1186,'112年全品項生產鍋數'!A:H,7,0)</f>
        <v>309.2</v>
      </c>
      <c r="G1186" s="143">
        <f t="shared" si="132"/>
        <v>7420.7999999999993</v>
      </c>
      <c r="H1186" s="144">
        <v>7621</v>
      </c>
      <c r="I1186" s="144">
        <f t="shared" si="133"/>
        <v>3048.4</v>
      </c>
      <c r="J1186" s="100">
        <f t="shared" si="134"/>
        <v>1.0269782233721432</v>
      </c>
      <c r="K1186" s="51">
        <f>VLOOKUP(B:B,'生產達成率(目標)'!A:C,3,0)</f>
        <v>1</v>
      </c>
      <c r="L1186" s="20">
        <f t="shared" si="135"/>
        <v>2.7E-2</v>
      </c>
      <c r="M1186" s="137" t="str">
        <f>工時!R370</f>
        <v>540</v>
      </c>
      <c r="N1186" s="144"/>
      <c r="O1186" s="144">
        <f t="shared" si="136"/>
        <v>3</v>
      </c>
      <c r="P1186" s="144">
        <v>7618</v>
      </c>
      <c r="Q1186" s="145">
        <f t="shared" si="137"/>
        <v>0.99960635087258887</v>
      </c>
      <c r="R1186" s="144"/>
      <c r="S1186" s="153"/>
      <c r="T1186" s="140"/>
      <c r="V1186" s="381"/>
      <c r="W1186" s="421"/>
      <c r="X1186" s="381"/>
      <c r="Y1186" s="421"/>
      <c r="Z1186" s="421"/>
      <c r="AA1186" s="421"/>
      <c r="AB1186" s="421"/>
      <c r="AC1186" s="421"/>
      <c r="AD1186" s="421"/>
    </row>
    <row r="1187" spans="1:30" s="146" customFormat="1" x14ac:dyDescent="0.4">
      <c r="A1187" s="182">
        <v>45673</v>
      </c>
      <c r="B1187" s="139" t="s">
        <v>96</v>
      </c>
      <c r="C1187" s="140" t="str">
        <f>VLOOKUP(B1187,'112年全品項生產鍋數'!A:H,2,0)</f>
        <v>PET瓶花生(1*340g)</v>
      </c>
      <c r="D1187" s="286">
        <v>16</v>
      </c>
      <c r="E1187" s="141">
        <f>VLOOKUP(B1187,'112年全品項生產鍋數'!A:H,3,0)</f>
        <v>0.34</v>
      </c>
      <c r="F1187" s="142">
        <f>VLOOKUP(B1187,'112年全品項生產鍋數'!A:H,7,0)</f>
        <v>358.3</v>
      </c>
      <c r="G1187" s="143">
        <f t="shared" si="132"/>
        <v>5732.8</v>
      </c>
      <c r="H1187" s="144">
        <v>5696</v>
      </c>
      <c r="I1187" s="144">
        <f t="shared" si="133"/>
        <v>1936.64</v>
      </c>
      <c r="J1187" s="100">
        <f t="shared" si="134"/>
        <v>0.99358079821378731</v>
      </c>
      <c r="K1187" s="51">
        <f>VLOOKUP(B:B,'生產達成率(目標)'!A:C,3,0)</f>
        <v>1</v>
      </c>
      <c r="L1187" s="20">
        <f t="shared" si="135"/>
        <v>-6.0000000000000001E-3</v>
      </c>
      <c r="M1187" s="137" t="str">
        <f>工時!R371</f>
        <v>540</v>
      </c>
      <c r="N1187" s="144"/>
      <c r="O1187" s="144">
        <f t="shared" si="136"/>
        <v>3</v>
      </c>
      <c r="P1187" s="144">
        <v>5693</v>
      </c>
      <c r="Q1187" s="145">
        <f t="shared" si="137"/>
        <v>0.9994733146067416</v>
      </c>
      <c r="R1187" s="144"/>
      <c r="S1187" s="153"/>
      <c r="T1187" s="140"/>
      <c r="V1187" s="381"/>
      <c r="W1187" s="421"/>
      <c r="X1187" s="381"/>
      <c r="Y1187" s="421"/>
      <c r="Z1187" s="421"/>
      <c r="AA1187" s="421"/>
      <c r="AB1187" s="421"/>
      <c r="AC1187" s="421"/>
      <c r="AD1187" s="421"/>
    </row>
    <row r="1188" spans="1:30" s="146" customFormat="1" x14ac:dyDescent="0.4">
      <c r="A1188" s="182">
        <v>45673</v>
      </c>
      <c r="B1188" s="139">
        <v>152010</v>
      </c>
      <c r="C1188" s="140" t="str">
        <f>VLOOKUP(B1188,'112年全品項生產鍋數'!A:H,2,0)</f>
        <v>蜜綠果6m/m</v>
      </c>
      <c r="D1188" s="286">
        <v>1</v>
      </c>
      <c r="E1188" s="141">
        <f>VLOOKUP(B1188,'112年全品項生產鍋數'!A:H,3,0)</f>
        <v>1</v>
      </c>
      <c r="F1188" s="142">
        <f>VLOOKUP(B1188,'112年全品項生產鍋數'!A:H,7,0)</f>
        <v>139</v>
      </c>
      <c r="G1188" s="143">
        <f t="shared" si="132"/>
        <v>139</v>
      </c>
      <c r="H1188" s="144">
        <v>141</v>
      </c>
      <c r="I1188" s="144">
        <f t="shared" si="133"/>
        <v>141</v>
      </c>
      <c r="J1188" s="100">
        <f t="shared" si="134"/>
        <v>1.014388489208633</v>
      </c>
      <c r="K1188" s="51">
        <f>VLOOKUP(B:B,'生產達成率(目標)'!A:C,3,0)</f>
        <v>1</v>
      </c>
      <c r="L1188" s="20">
        <f t="shared" si="135"/>
        <v>1.4E-2</v>
      </c>
      <c r="M1188" s="137" t="str">
        <f>工時!R372</f>
        <v>0</v>
      </c>
      <c r="N1188" s="144"/>
      <c r="O1188" s="144">
        <f t="shared" si="136"/>
        <v>0</v>
      </c>
      <c r="P1188" s="144">
        <v>141</v>
      </c>
      <c r="Q1188" s="145">
        <f t="shared" si="137"/>
        <v>1</v>
      </c>
      <c r="R1188" s="144"/>
      <c r="S1188" s="153"/>
      <c r="T1188" s="140"/>
      <c r="V1188" s="381"/>
      <c r="W1188" s="421"/>
      <c r="X1188" s="381"/>
      <c r="Y1188" s="421"/>
      <c r="Z1188" s="421"/>
      <c r="AA1188" s="421"/>
      <c r="AB1188" s="421"/>
      <c r="AC1188" s="421"/>
      <c r="AD1188" s="421"/>
    </row>
    <row r="1189" spans="1:30" s="146" customFormat="1" x14ac:dyDescent="0.4">
      <c r="A1189" s="182">
        <v>45674</v>
      </c>
      <c r="B1189" s="139" t="s">
        <v>71</v>
      </c>
      <c r="C1189" s="140" t="str">
        <f>VLOOKUP(B1189,'112年全品項生產鍋數'!A:H,2,0)</f>
        <v>＃1草莓(1*3.2kg)</v>
      </c>
      <c r="D1189" s="286">
        <v>72</v>
      </c>
      <c r="E1189" s="141">
        <f>VLOOKUP(B1189,'112年全品項生產鍋數'!A:H,3,0)</f>
        <v>3.2</v>
      </c>
      <c r="F1189" s="142">
        <f>VLOOKUP(B1189,'112年全品項生產鍋數'!A:H,7,0)</f>
        <v>46.8</v>
      </c>
      <c r="G1189" s="143">
        <f t="shared" si="132"/>
        <v>3369.6</v>
      </c>
      <c r="H1189" s="144">
        <v>3355</v>
      </c>
      <c r="I1189" s="144">
        <f t="shared" si="133"/>
        <v>10736</v>
      </c>
      <c r="J1189" s="100">
        <f t="shared" si="134"/>
        <v>0.99566714150047486</v>
      </c>
      <c r="K1189" s="51">
        <f>VLOOKUP(B:B,'生產達成率(目標)'!A:C,3,0)</f>
        <v>1</v>
      </c>
      <c r="L1189" s="20">
        <f t="shared" si="135"/>
        <v>-4.0000000000000001E-3</v>
      </c>
      <c r="M1189" s="137" t="str">
        <f>工時!R373</f>
        <v>600</v>
      </c>
      <c r="N1189" s="144"/>
      <c r="O1189" s="144">
        <f t="shared" si="136"/>
        <v>1</v>
      </c>
      <c r="P1189" s="144">
        <v>3354</v>
      </c>
      <c r="Q1189" s="145">
        <f t="shared" si="137"/>
        <v>0.99970193740685542</v>
      </c>
      <c r="R1189" s="144"/>
      <c r="S1189" s="153"/>
      <c r="T1189" s="140"/>
      <c r="V1189" s="381"/>
      <c r="W1189" s="421"/>
      <c r="X1189" s="381"/>
      <c r="Y1189" s="421"/>
      <c r="Z1189" s="421"/>
      <c r="AA1189" s="421"/>
      <c r="AB1189" s="421"/>
      <c r="AC1189" s="421"/>
      <c r="AD1189" s="421"/>
    </row>
    <row r="1190" spans="1:30" s="146" customFormat="1" x14ac:dyDescent="0.4">
      <c r="A1190" s="182">
        <v>45674</v>
      </c>
      <c r="B1190" s="139" t="s">
        <v>81</v>
      </c>
      <c r="C1190" s="140" t="str">
        <f>VLOOKUP(B1190,'112年全品項生產鍋數'!A:H,2,0)</f>
        <v>藍莓餡(1*6Kg)</v>
      </c>
      <c r="D1190" s="286">
        <v>20</v>
      </c>
      <c r="E1190" s="141">
        <f>VLOOKUP(B1190,'112年全品項生產鍋數'!A:H,3,0)</f>
        <v>6</v>
      </c>
      <c r="F1190" s="142">
        <f>VLOOKUP(B1190,'112年全品項生產鍋數'!A:H,7,0)</f>
        <v>25.1</v>
      </c>
      <c r="G1190" s="143">
        <f t="shared" si="132"/>
        <v>502</v>
      </c>
      <c r="H1190" s="144">
        <v>496</v>
      </c>
      <c r="I1190" s="144">
        <f t="shared" si="133"/>
        <v>2976</v>
      </c>
      <c r="J1190" s="100">
        <f t="shared" si="134"/>
        <v>0.98804780876494025</v>
      </c>
      <c r="K1190" s="51">
        <f>VLOOKUP(B:B,'生產達成率(目標)'!A:C,3,0)</f>
        <v>1</v>
      </c>
      <c r="L1190" s="20">
        <f t="shared" si="135"/>
        <v>-1.2E-2</v>
      </c>
      <c r="M1190" s="137" t="str">
        <f>工時!R374</f>
        <v>275</v>
      </c>
      <c r="N1190" s="144"/>
      <c r="O1190" s="144">
        <f t="shared" si="136"/>
        <v>2</v>
      </c>
      <c r="P1190" s="144">
        <v>494</v>
      </c>
      <c r="Q1190" s="145">
        <f t="shared" si="137"/>
        <v>0.99596774193548387</v>
      </c>
      <c r="R1190" s="144"/>
      <c r="S1190" s="153"/>
      <c r="T1190" s="140"/>
      <c r="V1190" s="381"/>
      <c r="W1190" s="421"/>
      <c r="X1190" s="381"/>
      <c r="Y1190" s="421"/>
      <c r="Z1190" s="421"/>
      <c r="AA1190" s="421"/>
      <c r="AB1190" s="421"/>
      <c r="AC1190" s="421"/>
      <c r="AD1190" s="421"/>
    </row>
    <row r="1191" spans="1:30" s="146" customFormat="1" x14ac:dyDescent="0.4">
      <c r="A1191" s="182">
        <v>45674</v>
      </c>
      <c r="B1191" s="139" t="s">
        <v>64</v>
      </c>
      <c r="C1191" s="140" t="str">
        <f>VLOOKUP(B1191,'112年全品項生產鍋數'!A:H,2,0)</f>
        <v>藍莓餡(1*6KG)</v>
      </c>
      <c r="D1191" s="286">
        <v>16</v>
      </c>
      <c r="E1191" s="141">
        <f>VLOOKUP(B1191,'112年全品項生產鍋數'!A:H,3,0)</f>
        <v>6</v>
      </c>
      <c r="F1191" s="142">
        <f>VLOOKUP(B1191,'112年全品項生產鍋數'!A:H,7,0)</f>
        <v>25.4</v>
      </c>
      <c r="G1191" s="143">
        <f t="shared" si="132"/>
        <v>406.4</v>
      </c>
      <c r="H1191" s="144">
        <v>376</v>
      </c>
      <c r="I1191" s="144">
        <f t="shared" si="133"/>
        <v>2256</v>
      </c>
      <c r="J1191" s="100">
        <f t="shared" si="134"/>
        <v>0.92519685039370081</v>
      </c>
      <c r="K1191" s="51">
        <f>VLOOKUP(B:B,'生產達成率(目標)'!A:C,3,0)</f>
        <v>1</v>
      </c>
      <c r="L1191" s="20">
        <f t="shared" si="135"/>
        <v>-7.4999999999999997E-2</v>
      </c>
      <c r="M1191" s="137" t="str">
        <f>工時!R375</f>
        <v>368</v>
      </c>
      <c r="N1191" s="144"/>
      <c r="O1191" s="144">
        <f t="shared" si="136"/>
        <v>1</v>
      </c>
      <c r="P1191" s="144">
        <v>375</v>
      </c>
      <c r="Q1191" s="145">
        <f t="shared" si="137"/>
        <v>0.99734042553191493</v>
      </c>
      <c r="R1191" s="144" t="s">
        <v>1017</v>
      </c>
      <c r="S1191" s="153"/>
      <c r="T1191" s="140" t="s">
        <v>1018</v>
      </c>
      <c r="V1191" s="381"/>
      <c r="W1191" s="421"/>
      <c r="X1191" s="381"/>
      <c r="Y1191" s="421"/>
      <c r="Z1191" s="421"/>
      <c r="AA1191" s="421"/>
      <c r="AB1191" s="421"/>
      <c r="AC1191" s="421"/>
      <c r="AD1191" s="421"/>
    </row>
    <row r="1192" spans="1:30" s="146" customFormat="1" x14ac:dyDescent="0.4">
      <c r="A1192" s="182">
        <v>45674</v>
      </c>
      <c r="B1192" s="139" t="s">
        <v>65</v>
      </c>
      <c r="C1192" s="140" t="str">
        <f>VLOOKUP(B1192,'112年全品項生產鍋數'!A:H,2,0)</f>
        <v>＃1花生(1*2.8kg)</v>
      </c>
      <c r="D1192" s="286">
        <v>72</v>
      </c>
      <c r="E1192" s="141">
        <f>VLOOKUP(B1192,'112年全品項生產鍋數'!A:H,3,0)</f>
        <v>2.8</v>
      </c>
      <c r="F1192" s="142">
        <f>VLOOKUP(B1192,'112年全品項生產鍋數'!A:H,7,0)</f>
        <v>44.5</v>
      </c>
      <c r="G1192" s="143">
        <f t="shared" si="132"/>
        <v>3204</v>
      </c>
      <c r="H1192" s="144">
        <f>2910+300</f>
        <v>3210</v>
      </c>
      <c r="I1192" s="144">
        <f t="shared" si="133"/>
        <v>8988</v>
      </c>
      <c r="J1192" s="100">
        <f t="shared" si="134"/>
        <v>1.0018726591760299</v>
      </c>
      <c r="K1192" s="51">
        <f>VLOOKUP(B:B,'生產達成率(目標)'!A:C,3,0)</f>
        <v>1</v>
      </c>
      <c r="L1192" s="20">
        <f t="shared" si="135"/>
        <v>2E-3</v>
      </c>
      <c r="M1192" s="137" t="str">
        <f>工時!R376</f>
        <v>660</v>
      </c>
      <c r="N1192" s="144"/>
      <c r="O1192" s="144">
        <f t="shared" si="136"/>
        <v>1</v>
      </c>
      <c r="P1192" s="144">
        <f>2909+300</f>
        <v>3209</v>
      </c>
      <c r="Q1192" s="145">
        <f t="shared" si="137"/>
        <v>0.99968847352024925</v>
      </c>
      <c r="R1192" s="144"/>
      <c r="S1192" s="153"/>
      <c r="T1192" s="140" t="s">
        <v>917</v>
      </c>
      <c r="V1192" s="381"/>
      <c r="W1192" s="421"/>
      <c r="X1192" s="381"/>
      <c r="Y1192" s="421"/>
      <c r="Z1192" s="421"/>
      <c r="AA1192" s="421"/>
      <c r="AB1192" s="421"/>
      <c r="AC1192" s="421"/>
      <c r="AD1192" s="421"/>
    </row>
    <row r="1193" spans="1:30" s="146" customFormat="1" x14ac:dyDescent="0.4">
      <c r="A1193" s="182">
        <v>45675</v>
      </c>
      <c r="B1193" s="139" t="s">
        <v>64</v>
      </c>
      <c r="C1193" s="140" t="str">
        <f>VLOOKUP(B1193,'112年全品項生產鍋數'!A:H,2,0)</f>
        <v>藍莓餡(1*6KG)</v>
      </c>
      <c r="D1193" s="286">
        <v>12</v>
      </c>
      <c r="E1193" s="141">
        <f>VLOOKUP(B1193,'112年全品項生產鍋數'!A:H,3,0)</f>
        <v>6</v>
      </c>
      <c r="F1193" s="142">
        <f>VLOOKUP(B1193,'112年全品項生產鍋數'!A:H,7,0)</f>
        <v>25.4</v>
      </c>
      <c r="G1193" s="143">
        <f t="shared" si="132"/>
        <v>304.79999999999995</v>
      </c>
      <c r="H1193" s="144">
        <v>312</v>
      </c>
      <c r="I1193" s="144">
        <f t="shared" si="133"/>
        <v>1872</v>
      </c>
      <c r="J1193" s="100">
        <f t="shared" si="134"/>
        <v>1.0236220472440947</v>
      </c>
      <c r="K1193" s="51">
        <f>VLOOKUP(B:B,'生產達成率(目標)'!A:C,3,0)</f>
        <v>1</v>
      </c>
      <c r="L1193" s="20">
        <f t="shared" si="135"/>
        <v>2.4E-2</v>
      </c>
      <c r="M1193" s="137" t="str">
        <f>工時!R377</f>
        <v>240</v>
      </c>
      <c r="N1193" s="144"/>
      <c r="O1193" s="144">
        <f t="shared" si="136"/>
        <v>1</v>
      </c>
      <c r="P1193" s="144">
        <v>311</v>
      </c>
      <c r="Q1193" s="145">
        <f t="shared" si="137"/>
        <v>0.99679487179487181</v>
      </c>
      <c r="R1193" s="144"/>
      <c r="S1193" s="153"/>
      <c r="T1193" s="140"/>
      <c r="V1193" s="381"/>
      <c r="W1193" s="421"/>
      <c r="X1193" s="381"/>
      <c r="Y1193" s="421"/>
      <c r="Z1193" s="421"/>
      <c r="AA1193" s="421"/>
      <c r="AB1193" s="421"/>
      <c r="AC1193" s="421"/>
      <c r="AD1193" s="421"/>
    </row>
    <row r="1194" spans="1:30" x14ac:dyDescent="0.4">
      <c r="A1194" s="181">
        <v>45677</v>
      </c>
      <c r="B1194" s="139" t="s">
        <v>71</v>
      </c>
      <c r="C1194" s="30" t="str">
        <f>VLOOKUP(B1194,'112年全品項生產鍋數'!A:H,2,0)</f>
        <v>＃1草莓(1*3.2kg)</v>
      </c>
      <c r="D1194" s="290">
        <v>72</v>
      </c>
      <c r="E1194" s="48">
        <f>VLOOKUP(B1194,'112年全品項生產鍋數'!A:H,3,0)</f>
        <v>3.2</v>
      </c>
      <c r="F1194" s="45">
        <f>VLOOKUP(B1194,'112年全品項生產鍋數'!A:H,7,0)</f>
        <v>46.8</v>
      </c>
      <c r="G1194" s="49">
        <f t="shared" si="132"/>
        <v>3369.6</v>
      </c>
      <c r="H1194" s="158">
        <v>3351</v>
      </c>
      <c r="I1194" s="23">
        <f t="shared" si="133"/>
        <v>10723.2</v>
      </c>
      <c r="J1194" s="100">
        <f t="shared" si="134"/>
        <v>0.99448005698005704</v>
      </c>
      <c r="K1194" s="51">
        <f>VLOOKUP(B:B,'生產達成率(目標)'!A:C,3,0)</f>
        <v>1</v>
      </c>
      <c r="L1194" s="20">
        <f t="shared" si="135"/>
        <v>-6.0000000000000001E-3</v>
      </c>
      <c r="M1194" s="137" t="str">
        <f>工時!R378</f>
        <v>600</v>
      </c>
      <c r="N1194" s="144"/>
      <c r="O1194" s="144">
        <f t="shared" si="136"/>
        <v>2</v>
      </c>
      <c r="P1194" s="156">
        <v>3349</v>
      </c>
      <c r="Q1194" s="98">
        <f t="shared" si="137"/>
        <v>0.99940316323485523</v>
      </c>
      <c r="R1194" s="23"/>
      <c r="S1194" s="173"/>
      <c r="T1194" s="30"/>
    </row>
    <row r="1195" spans="1:30" x14ac:dyDescent="0.4">
      <c r="A1195" s="181">
        <v>45677</v>
      </c>
      <c r="B1195" s="139" t="s">
        <v>55</v>
      </c>
      <c r="C1195" s="30" t="str">
        <f>VLOOKUP(B1195,'112年全品項生產鍋數'!A:H,2,0)</f>
        <v>天天開心草莓餡4.5KG</v>
      </c>
      <c r="D1195" s="290">
        <v>32</v>
      </c>
      <c r="E1195" s="48">
        <f>VLOOKUP(B1195,'112年全品項生產鍋數'!A:H,3,0)</f>
        <v>4.5</v>
      </c>
      <c r="F1195" s="45">
        <f>VLOOKUP(B1195,'112年全品項生產鍋數'!A:H,7,0)</f>
        <v>36.299999999999997</v>
      </c>
      <c r="G1195" s="49">
        <f t="shared" si="132"/>
        <v>1161.5999999999999</v>
      </c>
      <c r="H1195" s="158">
        <v>1163</v>
      </c>
      <c r="I1195" s="23">
        <f t="shared" si="133"/>
        <v>5233.5</v>
      </c>
      <c r="J1195" s="100">
        <f t="shared" si="134"/>
        <v>1.0012052341597797</v>
      </c>
      <c r="K1195" s="51">
        <f>VLOOKUP(B:B,'生產達成率(目標)'!A:C,3,0)</f>
        <v>1</v>
      </c>
      <c r="L1195" s="20">
        <f t="shared" si="135"/>
        <v>1E-3</v>
      </c>
      <c r="M1195" s="137" t="str">
        <f>工時!R379</f>
        <v>460</v>
      </c>
      <c r="N1195" s="144"/>
      <c r="O1195" s="144">
        <f t="shared" si="136"/>
        <v>0</v>
      </c>
      <c r="P1195" s="156">
        <v>1163</v>
      </c>
      <c r="Q1195" s="98">
        <f t="shared" si="137"/>
        <v>1</v>
      </c>
      <c r="R1195" s="23"/>
      <c r="S1195" s="173"/>
      <c r="T1195" s="30"/>
    </row>
    <row r="1196" spans="1:30" x14ac:dyDescent="0.4">
      <c r="A1196" s="181">
        <v>45677</v>
      </c>
      <c r="B1196" s="139" t="s">
        <v>101</v>
      </c>
      <c r="C1196" s="30" t="str">
        <f>VLOOKUP(B1196,'112年全品項生產鍋數'!A:H,2,0)</f>
        <v>上好佳綜合莓餡4.5KG</v>
      </c>
      <c r="D1196" s="290">
        <v>3</v>
      </c>
      <c r="E1196" s="48">
        <f>VLOOKUP(B1196,'112年全品項生產鍋數'!A:H,3,0)</f>
        <v>4.5</v>
      </c>
      <c r="F1196" s="45">
        <f>VLOOKUP(B1196,'112年全品項生產鍋數'!A:H,7,0)</f>
        <v>32.799999999999997</v>
      </c>
      <c r="G1196" s="49">
        <f t="shared" si="132"/>
        <v>98.399999999999991</v>
      </c>
      <c r="H1196" s="158">
        <v>103</v>
      </c>
      <c r="I1196" s="23">
        <f t="shared" si="133"/>
        <v>463.5</v>
      </c>
      <c r="J1196" s="100">
        <f t="shared" si="134"/>
        <v>1.0467479674796749</v>
      </c>
      <c r="K1196" s="51">
        <f>VLOOKUP(B:B,'生產達成率(目標)'!A:C,3,0)</f>
        <v>1</v>
      </c>
      <c r="L1196" s="20">
        <f t="shared" si="135"/>
        <v>4.7E-2</v>
      </c>
      <c r="M1196" s="137" t="str">
        <f>工時!R380</f>
        <v>153</v>
      </c>
      <c r="N1196" s="144"/>
      <c r="O1196" s="144">
        <f t="shared" si="136"/>
        <v>0</v>
      </c>
      <c r="P1196" s="156">
        <v>103</v>
      </c>
      <c r="Q1196" s="98">
        <f t="shared" si="137"/>
        <v>1</v>
      </c>
      <c r="R1196" s="23"/>
      <c r="S1196" s="173"/>
      <c r="T1196" s="30"/>
    </row>
    <row r="1197" spans="1:30" s="146" customFormat="1" x14ac:dyDescent="0.4">
      <c r="A1197" s="182">
        <v>45677</v>
      </c>
      <c r="B1197" s="139" t="s">
        <v>58</v>
      </c>
      <c r="C1197" s="140" t="str">
        <f>VLOOKUP(B1197,'112年全品項生產鍋數'!A:H,2,0)</f>
        <v>PET大花生(1*400g)</v>
      </c>
      <c r="D1197" s="290">
        <v>36</v>
      </c>
      <c r="E1197" s="141">
        <f>VLOOKUP(B1197,'112年全品項生產鍋數'!A:H,3,0)</f>
        <v>0.4</v>
      </c>
      <c r="F1197" s="142">
        <f>VLOOKUP(B1197,'112年全品項生產鍋數'!A:H,7,0)</f>
        <v>309.2</v>
      </c>
      <c r="G1197" s="143">
        <f t="shared" si="132"/>
        <v>11131.199999999999</v>
      </c>
      <c r="H1197" s="158">
        <v>11182</v>
      </c>
      <c r="I1197" s="144">
        <f t="shared" si="133"/>
        <v>4472.8</v>
      </c>
      <c r="J1197" s="100">
        <f t="shared" si="134"/>
        <v>1.0045637487422741</v>
      </c>
      <c r="K1197" s="51">
        <f>VLOOKUP(B:B,'生產達成率(目標)'!A:C,3,0)</f>
        <v>1</v>
      </c>
      <c r="L1197" s="20">
        <f t="shared" si="135"/>
        <v>5.0000000000000001E-3</v>
      </c>
      <c r="M1197" s="137" t="str">
        <f>工時!R381</f>
        <v>540</v>
      </c>
      <c r="N1197" s="144"/>
      <c r="O1197" s="144">
        <f t="shared" si="136"/>
        <v>3</v>
      </c>
      <c r="P1197" s="156">
        <v>11179</v>
      </c>
      <c r="Q1197" s="145">
        <f t="shared" si="137"/>
        <v>0.99973171167948494</v>
      </c>
      <c r="R1197" s="144"/>
      <c r="S1197" s="153"/>
      <c r="T1197" s="140"/>
      <c r="V1197" s="381"/>
      <c r="W1197" s="421"/>
      <c r="X1197" s="381"/>
      <c r="Y1197" s="421"/>
      <c r="Z1197" s="421"/>
      <c r="AA1197" s="421"/>
      <c r="AB1197" s="421"/>
      <c r="AC1197" s="421"/>
      <c r="AD1197" s="421"/>
    </row>
    <row r="1198" spans="1:30" x14ac:dyDescent="0.4">
      <c r="A1198" s="181">
        <v>45678</v>
      </c>
      <c r="B1198" s="139" t="s">
        <v>61</v>
      </c>
      <c r="C1198" s="30" t="str">
        <f>VLOOKUP(B1198,'112年全品項生產鍋數'!A:H,2,0)</f>
        <v>大圓草莓-新</v>
      </c>
      <c r="D1198" s="290">
        <v>40</v>
      </c>
      <c r="E1198" s="48">
        <f>VLOOKUP(B1198,'112年全品項生產鍋數'!A:H,3,0)</f>
        <v>0.44</v>
      </c>
      <c r="F1198" s="45">
        <f>VLOOKUP(B1198,'112年全品項生產鍋數'!A:H,7,0)</f>
        <v>344</v>
      </c>
      <c r="G1198" s="49">
        <f t="shared" si="132"/>
        <v>13760</v>
      </c>
      <c r="H1198" s="158">
        <v>13673</v>
      </c>
      <c r="I1198" s="23">
        <f t="shared" si="133"/>
        <v>6016.12</v>
      </c>
      <c r="J1198" s="100">
        <f t="shared" si="134"/>
        <v>0.99367732558139532</v>
      </c>
      <c r="K1198" s="51">
        <f>VLOOKUP(B:B,'生產達成率(目標)'!A:C,3,0)</f>
        <v>1</v>
      </c>
      <c r="L1198" s="20">
        <f t="shared" si="135"/>
        <v>-6.0000000000000001E-3</v>
      </c>
      <c r="M1198" s="137" t="str">
        <f>工時!R382</f>
        <v>540</v>
      </c>
      <c r="N1198" s="144"/>
      <c r="O1198" s="144">
        <f t="shared" si="136"/>
        <v>8</v>
      </c>
      <c r="P1198" s="156">
        <v>13665</v>
      </c>
      <c r="Q1198" s="98">
        <f t="shared" si="137"/>
        <v>0.99941490528779342</v>
      </c>
      <c r="R1198" s="23"/>
      <c r="S1198" s="173"/>
      <c r="T1198" s="30"/>
    </row>
    <row r="1199" spans="1:30" x14ac:dyDescent="0.4">
      <c r="A1199" s="181">
        <v>45678</v>
      </c>
      <c r="B1199" s="139" t="s">
        <v>128</v>
      </c>
      <c r="C1199" s="30" t="str">
        <f>VLOOKUP(B1199,'112年全品項生產鍋數'!A:H,2,0)</f>
        <v>草莓椰果漿(1*6KG)</v>
      </c>
      <c r="D1199" s="290">
        <v>8</v>
      </c>
      <c r="E1199" s="48">
        <f>VLOOKUP(B1199,'112年全品項生產鍋數'!A:H,3,0)</f>
        <v>6</v>
      </c>
      <c r="F1199" s="45">
        <f>VLOOKUP(B1199,'112年全品項生產鍋數'!A:H,7,0)</f>
        <v>25.7</v>
      </c>
      <c r="G1199" s="49">
        <f t="shared" si="132"/>
        <v>205.6</v>
      </c>
      <c r="H1199" s="158">
        <v>203</v>
      </c>
      <c r="I1199" s="23">
        <f t="shared" si="133"/>
        <v>1218</v>
      </c>
      <c r="J1199" s="100">
        <f t="shared" si="134"/>
        <v>0.98735408560311289</v>
      </c>
      <c r="K1199" s="51">
        <f>VLOOKUP(B:B,'生產達成率(目標)'!A:C,3,0)</f>
        <v>1</v>
      </c>
      <c r="L1199" s="20">
        <f t="shared" si="135"/>
        <v>-1.2999999999999999E-2</v>
      </c>
      <c r="M1199" s="137" t="str">
        <f>工時!R383</f>
        <v>190</v>
      </c>
      <c r="N1199" s="144"/>
      <c r="O1199" s="144">
        <f t="shared" si="136"/>
        <v>2</v>
      </c>
      <c r="P1199" s="156">
        <v>201</v>
      </c>
      <c r="Q1199" s="98">
        <f t="shared" si="137"/>
        <v>0.99014778325123154</v>
      </c>
      <c r="R1199" s="23"/>
      <c r="S1199" s="173"/>
      <c r="T1199" s="30"/>
    </row>
    <row r="1200" spans="1:30" x14ac:dyDescent="0.4">
      <c r="A1200" s="181">
        <v>45678</v>
      </c>
      <c r="B1200" s="139" t="s">
        <v>107</v>
      </c>
      <c r="C1200" s="30" t="str">
        <f>VLOOKUP(B1200,'112年全品項生產鍋數'!A:H,2,0)</f>
        <v>藍莓餡(1*6kg)</v>
      </c>
      <c r="D1200" s="290">
        <v>8</v>
      </c>
      <c r="E1200" s="48">
        <f>VLOOKUP(B1200,'112年全品項生產鍋數'!A:H,3,0)</f>
        <v>6</v>
      </c>
      <c r="F1200" s="45">
        <f>VLOOKUP(B1200,'112年全品項生產鍋數'!A:H,7,0)</f>
        <v>26.4</v>
      </c>
      <c r="G1200" s="49">
        <f t="shared" si="132"/>
        <v>211.2</v>
      </c>
      <c r="H1200" s="158">
        <v>210</v>
      </c>
      <c r="I1200" s="23">
        <f t="shared" si="133"/>
        <v>1260</v>
      </c>
      <c r="J1200" s="100">
        <f t="shared" si="134"/>
        <v>0.99431818181818188</v>
      </c>
      <c r="K1200" s="51">
        <f>VLOOKUP(B:B,'生產達成率(目標)'!A:C,3,0)</f>
        <v>1</v>
      </c>
      <c r="L1200" s="20">
        <f t="shared" si="135"/>
        <v>-6.0000000000000001E-3</v>
      </c>
      <c r="M1200" s="137" t="str">
        <f>工時!R384</f>
        <v>190</v>
      </c>
      <c r="N1200" s="144"/>
      <c r="O1200" s="144">
        <f t="shared" si="136"/>
        <v>2</v>
      </c>
      <c r="P1200" s="156">
        <v>208</v>
      </c>
      <c r="Q1200" s="98">
        <f t="shared" si="137"/>
        <v>0.99047619047619051</v>
      </c>
      <c r="R1200" s="23"/>
      <c r="S1200" s="173"/>
      <c r="T1200" s="30"/>
    </row>
    <row r="1201" spans="1:30" x14ac:dyDescent="0.4">
      <c r="A1201" s="181">
        <v>45678</v>
      </c>
      <c r="B1201" s="139" t="s">
        <v>63</v>
      </c>
      <c r="C1201" s="30" t="str">
        <f>VLOOKUP(B1201,'112年全品項生產鍋數'!A:H,2,0)</f>
        <v>草莓蒟蒻餡(1*6kg)</v>
      </c>
      <c r="D1201" s="290">
        <v>20</v>
      </c>
      <c r="E1201" s="48">
        <f>VLOOKUP(B1201,'112年全品項生產鍋數'!A:H,3,0)</f>
        <v>6</v>
      </c>
      <c r="F1201" s="45">
        <f>VLOOKUP(B1201,'112年全品項生產鍋數'!A:H,7,0)</f>
        <v>25.7</v>
      </c>
      <c r="G1201" s="49">
        <f t="shared" si="132"/>
        <v>514</v>
      </c>
      <c r="H1201" s="158">
        <f>298+210</f>
        <v>508</v>
      </c>
      <c r="I1201" s="23">
        <f t="shared" si="133"/>
        <v>3048</v>
      </c>
      <c r="J1201" s="100">
        <f t="shared" si="134"/>
        <v>0.98832684824902728</v>
      </c>
      <c r="K1201" s="51">
        <f>VLOOKUP(B:B,'生產達成率(目標)'!A:C,3,0)</f>
        <v>1</v>
      </c>
      <c r="L1201" s="20">
        <f t="shared" si="135"/>
        <v>-1.2E-2</v>
      </c>
      <c r="M1201" s="137" t="str">
        <f>工時!R385</f>
        <v>240</v>
      </c>
      <c r="N1201" s="144"/>
      <c r="O1201" s="144">
        <f t="shared" si="136"/>
        <v>1</v>
      </c>
      <c r="P1201" s="156">
        <f>297+210</f>
        <v>507</v>
      </c>
      <c r="Q1201" s="98">
        <f t="shared" si="137"/>
        <v>0.99803149606299213</v>
      </c>
      <c r="R1201" s="23"/>
      <c r="S1201" s="173"/>
      <c r="T1201" s="30"/>
    </row>
    <row r="1202" spans="1:30" x14ac:dyDescent="0.4">
      <c r="A1202" s="181">
        <v>45678</v>
      </c>
      <c r="B1202" s="139" t="s">
        <v>104</v>
      </c>
      <c r="C1202" s="30" t="str">
        <f>VLOOKUP(B1202,'112年全品項生產鍋數'!A:H,2,0)</f>
        <v>＃1花生(粒)(1*2.8kg)</v>
      </c>
      <c r="D1202" s="290">
        <v>60</v>
      </c>
      <c r="E1202" s="48">
        <f>VLOOKUP(B1202,'112年全品項生產鍋數'!A:H,3,0)</f>
        <v>2.8</v>
      </c>
      <c r="F1202" s="45">
        <f>VLOOKUP(B1202,'112年全品項生產鍋數'!A:H,7,0)</f>
        <v>44.2</v>
      </c>
      <c r="G1202" s="49">
        <f t="shared" si="132"/>
        <v>2652</v>
      </c>
      <c r="H1202" s="158">
        <v>2674</v>
      </c>
      <c r="I1202" s="23">
        <f t="shared" si="133"/>
        <v>7487.2</v>
      </c>
      <c r="J1202" s="100">
        <f t="shared" si="134"/>
        <v>1.0082956259426847</v>
      </c>
      <c r="K1202" s="51">
        <f>VLOOKUP(B:B,'生產達成率(目標)'!A:C,3,0)</f>
        <v>1</v>
      </c>
      <c r="L1202" s="20">
        <f t="shared" si="135"/>
        <v>8.0000000000000002E-3</v>
      </c>
      <c r="M1202" s="137" t="str">
        <f>工時!R386</f>
        <v>540</v>
      </c>
      <c r="N1202" s="144"/>
      <c r="O1202" s="144">
        <f t="shared" si="136"/>
        <v>1</v>
      </c>
      <c r="P1202" s="156">
        <v>2673</v>
      </c>
      <c r="Q1202" s="98">
        <f t="shared" si="137"/>
        <v>0.9996260284218399</v>
      </c>
      <c r="R1202" s="23"/>
      <c r="S1202" s="173"/>
      <c r="T1202" s="30"/>
    </row>
    <row r="1203" spans="1:30" s="146" customFormat="1" x14ac:dyDescent="0.4">
      <c r="A1203" s="182">
        <v>45679</v>
      </c>
      <c r="B1203" s="139" t="s">
        <v>86</v>
      </c>
      <c r="C1203" s="140" t="str">
        <f>VLOOKUP(B1203,'112年全品項生產鍋數'!A:H,2,0)</f>
        <v>＃2藍莓(1*900g)</v>
      </c>
      <c r="D1203" s="290">
        <v>20</v>
      </c>
      <c r="E1203" s="141">
        <f>VLOOKUP(B1203,'112年全品項生產鍋數'!A:H,3,0)</f>
        <v>0.9</v>
      </c>
      <c r="F1203" s="142">
        <f>VLOOKUP(B1203,'112年全品項生產鍋數'!A:H,7,0)</f>
        <v>163</v>
      </c>
      <c r="G1203" s="143">
        <f t="shared" si="132"/>
        <v>3260</v>
      </c>
      <c r="H1203" s="158">
        <v>3390</v>
      </c>
      <c r="I1203" s="144">
        <f t="shared" si="133"/>
        <v>3051</v>
      </c>
      <c r="J1203" s="100">
        <f t="shared" si="134"/>
        <v>1.0398773006134969</v>
      </c>
      <c r="K1203" s="51">
        <f>VLOOKUP(B:B,'生產達成率(目標)'!A:C,3,0)</f>
        <v>1</v>
      </c>
      <c r="L1203" s="20">
        <f t="shared" si="135"/>
        <v>0.04</v>
      </c>
      <c r="M1203" s="137" t="str">
        <f>工時!R387</f>
        <v>290</v>
      </c>
      <c r="N1203" s="144"/>
      <c r="O1203" s="144">
        <f t="shared" si="136"/>
        <v>2</v>
      </c>
      <c r="P1203" s="156">
        <v>3388</v>
      </c>
      <c r="Q1203" s="145">
        <f t="shared" si="137"/>
        <v>0.99941002949852509</v>
      </c>
      <c r="R1203" s="144"/>
      <c r="S1203" s="153"/>
      <c r="T1203" s="140"/>
      <c r="V1203" s="381"/>
      <c r="W1203" s="421"/>
      <c r="X1203" s="381"/>
      <c r="Y1203" s="421"/>
      <c r="Z1203" s="421"/>
      <c r="AA1203" s="421"/>
      <c r="AB1203" s="421"/>
      <c r="AC1203" s="421"/>
      <c r="AD1203" s="421"/>
    </row>
    <row r="1204" spans="1:30" x14ac:dyDescent="0.4">
      <c r="A1204" s="181">
        <v>45679</v>
      </c>
      <c r="B1204" s="139" t="s">
        <v>87</v>
      </c>
      <c r="C1204" s="30" t="str">
        <f>VLOOKUP(B1204,'112年全品項生產鍋數'!A:H,2,0)</f>
        <v>＃1藍莓(1*3.2kg)</v>
      </c>
      <c r="D1204" s="290">
        <v>36</v>
      </c>
      <c r="E1204" s="48">
        <f>VLOOKUP(B1204,'112年全品項生產鍋數'!A:H,3,0)</f>
        <v>3.2</v>
      </c>
      <c r="F1204" s="45">
        <f>VLOOKUP(B1204,'112年全品項生產鍋數'!A:H,7,0)</f>
        <v>47.5</v>
      </c>
      <c r="G1204" s="49">
        <f t="shared" si="132"/>
        <v>1710</v>
      </c>
      <c r="H1204" s="158">
        <v>1699</v>
      </c>
      <c r="I1204" s="23">
        <f t="shared" si="133"/>
        <v>5436.8</v>
      </c>
      <c r="J1204" s="100">
        <f t="shared" si="134"/>
        <v>0.99356725146198832</v>
      </c>
      <c r="K1204" s="51">
        <f>VLOOKUP(B:B,'生產達成率(目標)'!A:C,3,0)</f>
        <v>1</v>
      </c>
      <c r="L1204" s="20">
        <f t="shared" si="135"/>
        <v>-6.0000000000000001E-3</v>
      </c>
      <c r="M1204" s="137" t="str">
        <f>工時!R388</f>
        <v>300</v>
      </c>
      <c r="N1204" s="144"/>
      <c r="O1204" s="144">
        <f t="shared" si="136"/>
        <v>1</v>
      </c>
      <c r="P1204" s="156">
        <v>1698</v>
      </c>
      <c r="Q1204" s="98">
        <f t="shared" si="137"/>
        <v>0.99941141848145965</v>
      </c>
      <c r="R1204" s="23"/>
      <c r="S1204" s="173"/>
      <c r="T1204" s="30"/>
    </row>
    <row r="1205" spans="1:30" x14ac:dyDescent="0.4">
      <c r="A1205" s="181">
        <v>45679</v>
      </c>
      <c r="B1205" s="139" t="s">
        <v>72</v>
      </c>
      <c r="C1205" s="30" t="str">
        <f>VLOOKUP(B1205,'112年全品項生產鍋數'!A:H,2,0)</f>
        <v>草莓餡45%(1*6Kg)</v>
      </c>
      <c r="D1205" s="290">
        <v>16</v>
      </c>
      <c r="E1205" s="48">
        <f>VLOOKUP(B1205,'112年全品項生產鍋數'!A:H,3,0)</f>
        <v>6</v>
      </c>
      <c r="F1205" s="45">
        <f>VLOOKUP(B1205,'112年全品項生產鍋數'!A:H,7,0)</f>
        <v>26.1</v>
      </c>
      <c r="G1205" s="49">
        <f t="shared" si="132"/>
        <v>417.6</v>
      </c>
      <c r="H1205" s="158">
        <v>414</v>
      </c>
      <c r="I1205" s="23">
        <f t="shared" si="133"/>
        <v>2484</v>
      </c>
      <c r="J1205" s="100">
        <f t="shared" si="134"/>
        <v>0.99137931034482751</v>
      </c>
      <c r="K1205" s="51">
        <f>VLOOKUP(B:B,'生產達成率(目標)'!A:C,3,0)</f>
        <v>1</v>
      </c>
      <c r="L1205" s="20">
        <f t="shared" si="135"/>
        <v>-8.9999999999999993E-3</v>
      </c>
      <c r="M1205" s="137" t="str">
        <f>工時!R389</f>
        <v>230</v>
      </c>
      <c r="N1205" s="144"/>
      <c r="O1205" s="144">
        <f t="shared" si="136"/>
        <v>1</v>
      </c>
      <c r="P1205" s="156">
        <v>413</v>
      </c>
      <c r="Q1205" s="98">
        <f t="shared" si="137"/>
        <v>0.99758454106280192</v>
      </c>
      <c r="R1205" s="23"/>
      <c r="S1205" s="173"/>
      <c r="T1205" s="30"/>
    </row>
    <row r="1206" spans="1:30" x14ac:dyDescent="0.4">
      <c r="A1206" s="181">
        <v>45679</v>
      </c>
      <c r="B1206" s="139" t="s">
        <v>63</v>
      </c>
      <c r="C1206" s="30" t="str">
        <f>VLOOKUP(B1206,'112年全品項生產鍋數'!A:H,2,0)</f>
        <v>草莓蒟蒻餡(1*6kg)</v>
      </c>
      <c r="D1206" s="290">
        <v>24</v>
      </c>
      <c r="E1206" s="48">
        <f>VLOOKUP(B1206,'112年全品項生產鍋數'!A:H,3,0)</f>
        <v>6</v>
      </c>
      <c r="F1206" s="45">
        <f>VLOOKUP(B1206,'112年全品項生產鍋數'!A:H,7,0)</f>
        <v>25.7</v>
      </c>
      <c r="G1206" s="49">
        <f t="shared" si="132"/>
        <v>616.79999999999995</v>
      </c>
      <c r="H1206" s="158">
        <f>303+314</f>
        <v>617</v>
      </c>
      <c r="I1206" s="23">
        <f t="shared" si="133"/>
        <v>3702</v>
      </c>
      <c r="J1206" s="100">
        <f t="shared" si="134"/>
        <v>1.0003242542153048</v>
      </c>
      <c r="K1206" s="51">
        <f>VLOOKUP(B:B,'生產達成率(目標)'!A:C,3,0)</f>
        <v>1</v>
      </c>
      <c r="L1206" s="20">
        <f t="shared" si="135"/>
        <v>0</v>
      </c>
      <c r="M1206" s="137" t="str">
        <f>工時!R390</f>
        <v>840</v>
      </c>
      <c r="N1206" s="144"/>
      <c r="O1206" s="144">
        <f t="shared" si="136"/>
        <v>3</v>
      </c>
      <c r="P1206" s="156">
        <f>300+314</f>
        <v>614</v>
      </c>
      <c r="Q1206" s="98">
        <f t="shared" si="137"/>
        <v>0.99513776337115067</v>
      </c>
      <c r="R1206" s="23"/>
      <c r="S1206" s="173"/>
      <c r="T1206" s="30"/>
    </row>
    <row r="1207" spans="1:30" s="146" customFormat="1" x14ac:dyDescent="0.4">
      <c r="A1207" s="182">
        <v>45679</v>
      </c>
      <c r="B1207" s="139" t="s">
        <v>65</v>
      </c>
      <c r="C1207" s="140" t="str">
        <f>VLOOKUP(B1207,'112年全品項生產鍋數'!A:H,2,0)</f>
        <v>＃1花生(1*2.8kg)</v>
      </c>
      <c r="D1207" s="290">
        <v>60</v>
      </c>
      <c r="E1207" s="141">
        <f>VLOOKUP(B1207,'112年全品項生產鍋數'!A:H,3,0)</f>
        <v>2.8</v>
      </c>
      <c r="F1207" s="142">
        <f>VLOOKUP(B1207,'112年全品項生產鍋數'!A:H,7,0)</f>
        <v>44.5</v>
      </c>
      <c r="G1207" s="143">
        <f t="shared" si="132"/>
        <v>2670</v>
      </c>
      <c r="H1207" s="158">
        <v>2669</v>
      </c>
      <c r="I1207" s="144">
        <f t="shared" si="133"/>
        <v>7473.2</v>
      </c>
      <c r="J1207" s="100">
        <f t="shared" si="134"/>
        <v>0.99962546816479403</v>
      </c>
      <c r="K1207" s="51">
        <f>VLOOKUP(B:B,'生產達成率(目標)'!A:C,3,0)</f>
        <v>1</v>
      </c>
      <c r="L1207" s="20">
        <f t="shared" si="135"/>
        <v>0</v>
      </c>
      <c r="M1207" s="137" t="str">
        <f>工時!R391</f>
        <v>550</v>
      </c>
      <c r="N1207" s="144"/>
      <c r="O1207" s="144">
        <f t="shared" si="136"/>
        <v>1</v>
      </c>
      <c r="P1207" s="156">
        <v>2668</v>
      </c>
      <c r="Q1207" s="145">
        <f t="shared" si="137"/>
        <v>0.99962532783814162</v>
      </c>
      <c r="R1207" s="144"/>
      <c r="S1207" s="153"/>
      <c r="T1207" s="140"/>
      <c r="V1207" s="381"/>
      <c r="W1207" s="421"/>
      <c r="X1207" s="381"/>
      <c r="Y1207" s="421"/>
      <c r="Z1207" s="421"/>
      <c r="AA1207" s="421"/>
      <c r="AB1207" s="421"/>
      <c r="AC1207" s="421"/>
      <c r="AD1207" s="421"/>
    </row>
    <row r="1208" spans="1:30" s="146" customFormat="1" x14ac:dyDescent="0.4">
      <c r="A1208" s="182">
        <v>45680</v>
      </c>
      <c r="B1208" s="139" t="s">
        <v>54</v>
      </c>
      <c r="C1208" s="140" t="str">
        <f>VLOOKUP(B1208,'112年全品項生產鍋數'!A:H,2,0)</f>
        <v>草莓醬(1*6kg)</v>
      </c>
      <c r="D1208" s="290">
        <v>40</v>
      </c>
      <c r="E1208" s="141">
        <f>VLOOKUP(B1208,'112年全品項生產鍋數'!A:H,3,0)</f>
        <v>6</v>
      </c>
      <c r="F1208" s="142">
        <f>VLOOKUP(B1208,'112年全品項生產鍋數'!A:H,7,0)</f>
        <v>26.6</v>
      </c>
      <c r="G1208" s="143">
        <f t="shared" si="132"/>
        <v>1064</v>
      </c>
      <c r="H1208" s="158">
        <v>1058</v>
      </c>
      <c r="I1208" s="144">
        <f t="shared" si="133"/>
        <v>6348</v>
      </c>
      <c r="J1208" s="100">
        <f t="shared" si="134"/>
        <v>0.99436090225563911</v>
      </c>
      <c r="K1208" s="51">
        <f>VLOOKUP(B:B,'生產達成率(目標)'!A:C,3,0)</f>
        <v>1</v>
      </c>
      <c r="L1208" s="20">
        <f t="shared" si="135"/>
        <v>-6.0000000000000001E-3</v>
      </c>
      <c r="M1208" s="137" t="str">
        <f>工時!R392</f>
        <v>510</v>
      </c>
      <c r="N1208" s="144"/>
      <c r="O1208" s="144">
        <f t="shared" si="136"/>
        <v>7</v>
      </c>
      <c r="P1208" s="156">
        <v>1051</v>
      </c>
      <c r="Q1208" s="145">
        <f t="shared" si="137"/>
        <v>0.99338374291115317</v>
      </c>
      <c r="R1208" s="144"/>
      <c r="S1208" s="153"/>
      <c r="T1208" s="140"/>
      <c r="V1208" s="381"/>
      <c r="W1208" s="421"/>
      <c r="X1208" s="381"/>
      <c r="Y1208" s="421"/>
      <c r="Z1208" s="421"/>
      <c r="AA1208" s="421"/>
      <c r="AB1208" s="421"/>
      <c r="AC1208" s="421"/>
      <c r="AD1208" s="421"/>
    </row>
    <row r="1209" spans="1:30" x14ac:dyDescent="0.4">
      <c r="A1209" s="181">
        <v>45680</v>
      </c>
      <c r="B1209" s="139" t="s">
        <v>110</v>
      </c>
      <c r="C1209" s="30" t="str">
        <f>VLOOKUP(B1209,'112年全品項生產鍋數'!A:H,2,0)</f>
        <v>顆粒花生醬(1*12KG)</v>
      </c>
      <c r="D1209" s="290">
        <v>21</v>
      </c>
      <c r="E1209" s="48">
        <f>VLOOKUP(B1209,'112年全品項生產鍋數'!A:H,3,0)</f>
        <v>3</v>
      </c>
      <c r="F1209" s="45">
        <f>VLOOKUP(B1209,'112年全品項生產鍋數'!A:H,7,0)</f>
        <v>30.8</v>
      </c>
      <c r="G1209" s="49">
        <f t="shared" si="132"/>
        <v>646.80000000000007</v>
      </c>
      <c r="H1209" s="158">
        <v>648</v>
      </c>
      <c r="I1209" s="23">
        <f t="shared" si="133"/>
        <v>1944</v>
      </c>
      <c r="J1209" s="100">
        <f t="shared" si="134"/>
        <v>1.0018552875695732</v>
      </c>
      <c r="K1209" s="51">
        <f>VLOOKUP(B:B,'生產達成率(目標)'!A:C,3,0)</f>
        <v>1</v>
      </c>
      <c r="L1209" s="20">
        <f t="shared" si="135"/>
        <v>2E-3</v>
      </c>
      <c r="M1209" s="137" t="str">
        <f>工時!R393</f>
        <v>540</v>
      </c>
      <c r="N1209" s="144"/>
      <c r="O1209" s="144">
        <f t="shared" si="136"/>
        <v>0</v>
      </c>
      <c r="P1209" s="156">
        <v>648</v>
      </c>
      <c r="Q1209" s="98">
        <f t="shared" si="137"/>
        <v>1</v>
      </c>
      <c r="R1209" s="23"/>
      <c r="S1209" s="173"/>
      <c r="T1209" s="30"/>
    </row>
    <row r="1210" spans="1:30" s="146" customFormat="1" x14ac:dyDescent="0.4">
      <c r="A1210" s="182">
        <v>45680</v>
      </c>
      <c r="B1210" s="139" t="s">
        <v>65</v>
      </c>
      <c r="C1210" s="140" t="str">
        <f>VLOOKUP(B1210,'112年全品項生產鍋數'!A:H,2,0)</f>
        <v>＃1花生(1*2.8kg)</v>
      </c>
      <c r="D1210" s="290">
        <v>60</v>
      </c>
      <c r="E1210" s="141">
        <f>VLOOKUP(B1210,'112年全品項生產鍋數'!A:H,3,0)</f>
        <v>2.8</v>
      </c>
      <c r="F1210" s="142">
        <f>VLOOKUP(B1210,'112年全品項生產鍋數'!A:H,7,0)</f>
        <v>44.5</v>
      </c>
      <c r="G1210" s="143">
        <f t="shared" si="132"/>
        <v>2670</v>
      </c>
      <c r="H1210" s="158">
        <v>2681</v>
      </c>
      <c r="I1210" s="144">
        <f t="shared" si="133"/>
        <v>7506.7999999999993</v>
      </c>
      <c r="J1210" s="100">
        <f t="shared" si="134"/>
        <v>1.0041198501872659</v>
      </c>
      <c r="K1210" s="51">
        <f>VLOOKUP(B:B,'生產達成率(目標)'!A:C,3,0)</f>
        <v>1</v>
      </c>
      <c r="L1210" s="20">
        <f t="shared" si="135"/>
        <v>4.0000000000000001E-3</v>
      </c>
      <c r="M1210" s="137" t="str">
        <f>工時!R394</f>
        <v>540</v>
      </c>
      <c r="N1210" s="144"/>
      <c r="O1210" s="144">
        <f t="shared" si="136"/>
        <v>1</v>
      </c>
      <c r="P1210" s="156">
        <v>2680</v>
      </c>
      <c r="Q1210" s="145">
        <f t="shared" si="137"/>
        <v>0.99962700484893696</v>
      </c>
      <c r="R1210" s="144"/>
      <c r="S1210" s="153"/>
      <c r="T1210" s="140"/>
      <c r="V1210" s="381"/>
      <c r="W1210" s="421"/>
      <c r="X1210" s="381"/>
      <c r="Y1210" s="421"/>
      <c r="Z1210" s="421"/>
      <c r="AA1210" s="421"/>
      <c r="AB1210" s="421"/>
      <c r="AC1210" s="421"/>
      <c r="AD1210" s="421"/>
    </row>
    <row r="1211" spans="1:30" s="146" customFormat="1" x14ac:dyDescent="0.4">
      <c r="A1211" s="182">
        <v>45681</v>
      </c>
      <c r="B1211" s="139" t="s">
        <v>114</v>
      </c>
      <c r="C1211" s="140" t="str">
        <f>VLOOKUP(B1211,'112年全品項生產鍋數'!A:H,2,0)</f>
        <v>開心草莓果醬(1*430g)</v>
      </c>
      <c r="D1211" s="290">
        <v>12</v>
      </c>
      <c r="E1211" s="141">
        <f>VLOOKUP(B1211,'112年全品項生產鍋數'!A:H,3,0)</f>
        <v>0.43</v>
      </c>
      <c r="F1211" s="142">
        <f>VLOOKUP(B1211,'112年全品項生產鍋數'!A:H,7,0)</f>
        <v>364</v>
      </c>
      <c r="G1211" s="143">
        <f t="shared" si="132"/>
        <v>4368</v>
      </c>
      <c r="H1211" s="158">
        <v>4541</v>
      </c>
      <c r="I1211" s="144">
        <f t="shared" si="133"/>
        <v>1952.6299999999999</v>
      </c>
      <c r="J1211" s="100">
        <f t="shared" si="134"/>
        <v>1.0396062271062272</v>
      </c>
      <c r="K1211" s="51">
        <f>VLOOKUP(B:B,'生產達成率(目標)'!A:C,3,0)</f>
        <v>1</v>
      </c>
      <c r="L1211" s="20">
        <f t="shared" si="135"/>
        <v>0.04</v>
      </c>
      <c r="M1211" s="137" t="str">
        <f>工時!R395</f>
        <v>300</v>
      </c>
      <c r="N1211" s="144"/>
      <c r="O1211" s="144">
        <f t="shared" si="136"/>
        <v>12</v>
      </c>
      <c r="P1211" s="156">
        <v>4529</v>
      </c>
      <c r="Q1211" s="145">
        <f t="shared" si="137"/>
        <v>0.99735741026205682</v>
      </c>
      <c r="R1211" s="144"/>
      <c r="S1211" s="153"/>
      <c r="T1211" s="140"/>
      <c r="V1211" s="381"/>
      <c r="W1211" s="421"/>
      <c r="X1211" s="381"/>
      <c r="Y1211" s="421"/>
      <c r="Z1211" s="421"/>
      <c r="AA1211" s="421"/>
      <c r="AB1211" s="421"/>
      <c r="AC1211" s="421"/>
      <c r="AD1211" s="421"/>
    </row>
    <row r="1212" spans="1:30" s="146" customFormat="1" x14ac:dyDescent="0.4">
      <c r="A1212" s="182">
        <v>45681</v>
      </c>
      <c r="B1212" s="139" t="s">
        <v>64</v>
      </c>
      <c r="C1212" s="140" t="str">
        <f>VLOOKUP(B1212,'112年全品項生產鍋數'!A:H,2,0)</f>
        <v>藍莓餡(1*6KG)</v>
      </c>
      <c r="D1212" s="290">
        <v>20</v>
      </c>
      <c r="E1212" s="141">
        <f>VLOOKUP(B1212,'112年全品項生產鍋數'!A:H,3,0)</f>
        <v>6</v>
      </c>
      <c r="F1212" s="142">
        <f>VLOOKUP(B1212,'112年全品項生產鍋數'!A:H,7,0)</f>
        <v>25.4</v>
      </c>
      <c r="G1212" s="143">
        <f t="shared" si="132"/>
        <v>508</v>
      </c>
      <c r="H1212" s="158">
        <f>293+208</f>
        <v>501</v>
      </c>
      <c r="I1212" s="144">
        <f t="shared" si="133"/>
        <v>3006</v>
      </c>
      <c r="J1212" s="100">
        <f t="shared" si="134"/>
        <v>0.98622047244094491</v>
      </c>
      <c r="K1212" s="51">
        <f>VLOOKUP(B:B,'生產達成率(目標)'!A:C,3,0)</f>
        <v>1</v>
      </c>
      <c r="L1212" s="20">
        <f t="shared" si="135"/>
        <v>-1.4E-2</v>
      </c>
      <c r="M1212" s="137" t="str">
        <f>工時!R396</f>
        <v>330</v>
      </c>
      <c r="N1212" s="144"/>
      <c r="O1212" s="144">
        <f t="shared" si="136"/>
        <v>1</v>
      </c>
      <c r="P1212" s="156">
        <f>292+208</f>
        <v>500</v>
      </c>
      <c r="Q1212" s="145">
        <f t="shared" si="137"/>
        <v>0.99800399201596801</v>
      </c>
      <c r="R1212" s="144"/>
      <c r="S1212" s="153"/>
      <c r="T1212" s="140"/>
      <c r="V1212" s="381"/>
      <c r="W1212" s="421"/>
      <c r="X1212" s="381"/>
      <c r="Y1212" s="421"/>
      <c r="Z1212" s="421"/>
      <c r="AA1212" s="421"/>
      <c r="AB1212" s="421"/>
      <c r="AC1212" s="421"/>
      <c r="AD1212" s="421"/>
    </row>
    <row r="1213" spans="1:30" s="146" customFormat="1" x14ac:dyDescent="0.4">
      <c r="A1213" s="182">
        <v>45681</v>
      </c>
      <c r="B1213" s="139" t="s">
        <v>63</v>
      </c>
      <c r="C1213" s="140" t="str">
        <f>VLOOKUP(B1213,'112年全品項生產鍋數'!A:H,2,0)</f>
        <v>草莓蒟蒻餡(1*6kg)</v>
      </c>
      <c r="D1213" s="290">
        <v>16</v>
      </c>
      <c r="E1213" s="141">
        <f>VLOOKUP(B1213,'112年全品項生產鍋數'!A:H,3,0)</f>
        <v>6</v>
      </c>
      <c r="F1213" s="142">
        <f>VLOOKUP(B1213,'112年全品項生產鍋數'!A:H,7,0)</f>
        <v>25.7</v>
      </c>
      <c r="G1213" s="143">
        <f t="shared" ref="G1213:G1229" si="138">D1213*F1213</f>
        <v>411.2</v>
      </c>
      <c r="H1213" s="158">
        <f>192+211</f>
        <v>403</v>
      </c>
      <c r="I1213" s="144">
        <f t="shared" ref="I1213:I1229" si="139">H1213*E1213</f>
        <v>2418</v>
      </c>
      <c r="J1213" s="100">
        <f t="shared" ref="J1213:J1229" si="140">IF(G1213=0,"無法預估數據",H1213/G1213)</f>
        <v>0.98005836575875493</v>
      </c>
      <c r="K1213" s="51">
        <f>VLOOKUP(B:B,'生產達成率(目標)'!A:C,3,0)</f>
        <v>1</v>
      </c>
      <c r="L1213" s="20">
        <f t="shared" ref="L1213:L1229" si="141">IF(G1213=0,"無法預估數據",ROUND(J1213-K1213,3))</f>
        <v>-0.02</v>
      </c>
      <c r="M1213" s="137" t="str">
        <f>工時!R397</f>
        <v>210</v>
      </c>
      <c r="N1213" s="144"/>
      <c r="O1213" s="144">
        <f t="shared" ref="O1213:O1229" si="142">H1213-N1213-P1213</f>
        <v>1</v>
      </c>
      <c r="P1213" s="156">
        <f>191+211</f>
        <v>402</v>
      </c>
      <c r="Q1213" s="145">
        <f t="shared" ref="Q1213:Q1229" si="143">P1213/H1213</f>
        <v>0.9975186104218362</v>
      </c>
      <c r="R1213" s="144"/>
      <c r="S1213" s="153"/>
      <c r="T1213" s="140"/>
      <c r="V1213" s="381"/>
      <c r="W1213" s="421"/>
      <c r="X1213" s="381"/>
      <c r="Y1213" s="421"/>
      <c r="Z1213" s="421"/>
      <c r="AA1213" s="421"/>
      <c r="AB1213" s="421"/>
      <c r="AC1213" s="421"/>
      <c r="AD1213" s="421"/>
    </row>
    <row r="1214" spans="1:30" s="146" customFormat="1" x14ac:dyDescent="0.4">
      <c r="A1214" s="182">
        <v>45681</v>
      </c>
      <c r="B1214" s="139" t="s">
        <v>65</v>
      </c>
      <c r="C1214" s="140" t="str">
        <f>VLOOKUP(B1214,'112年全品項生產鍋數'!A:H,2,0)</f>
        <v>＃1花生(1*2.8kg)</v>
      </c>
      <c r="D1214" s="290">
        <v>40</v>
      </c>
      <c r="E1214" s="141">
        <f>VLOOKUP(B1214,'112年全品項生產鍋數'!A:H,3,0)</f>
        <v>2.8</v>
      </c>
      <c r="F1214" s="142">
        <f>VLOOKUP(B1214,'112年全品項生產鍋數'!A:H,7,0)</f>
        <v>44.5</v>
      </c>
      <c r="G1214" s="143">
        <f>D1214*F1214-(100*18/E1214)</f>
        <v>1137.1428571428571</v>
      </c>
      <c r="H1214" s="158">
        <v>1158</v>
      </c>
      <c r="I1214" s="144">
        <f t="shared" si="139"/>
        <v>3242.3999999999996</v>
      </c>
      <c r="J1214" s="100">
        <f t="shared" si="140"/>
        <v>1.0183417085427136</v>
      </c>
      <c r="K1214" s="51">
        <f>VLOOKUP(B:B,'生產達成率(目標)'!A:C,3,0)</f>
        <v>1</v>
      </c>
      <c r="L1214" s="20">
        <f t="shared" si="141"/>
        <v>1.7999999999999999E-2</v>
      </c>
      <c r="M1214" s="137" t="str">
        <f>工時!R398</f>
        <v>450</v>
      </c>
      <c r="N1214" s="144"/>
      <c r="O1214" s="144">
        <f t="shared" si="142"/>
        <v>1</v>
      </c>
      <c r="P1214" s="156">
        <v>1157</v>
      </c>
      <c r="Q1214" s="145">
        <f t="shared" si="143"/>
        <v>0.99913644214162345</v>
      </c>
      <c r="R1214" s="144"/>
      <c r="S1214" s="153"/>
      <c r="T1214" s="171" t="s">
        <v>919</v>
      </c>
      <c r="V1214" s="381"/>
      <c r="W1214" s="421"/>
      <c r="X1214" s="381"/>
      <c r="Y1214" s="421"/>
      <c r="Z1214" s="421"/>
      <c r="AA1214" s="421"/>
      <c r="AB1214" s="421"/>
      <c r="AC1214" s="421"/>
      <c r="AD1214" s="421"/>
    </row>
    <row r="1215" spans="1:30" x14ac:dyDescent="0.4">
      <c r="A1215" s="181">
        <v>45691</v>
      </c>
      <c r="B1215" s="139" t="s">
        <v>68</v>
      </c>
      <c r="C1215" s="30" t="str">
        <f>VLOOKUP(B1215,'112年全品項生產鍋數'!A:H,2,0)</f>
        <v>#2草莓果醬(1*900g)</v>
      </c>
      <c r="D1215" s="290">
        <v>40</v>
      </c>
      <c r="E1215" s="48">
        <f>VLOOKUP(B1215,'112年全品項生產鍋數'!A:H,3,0)</f>
        <v>0.9</v>
      </c>
      <c r="F1215" s="45">
        <f>VLOOKUP(B1215,'112年全品項生產鍋數'!A:H,7,0)</f>
        <v>160.5</v>
      </c>
      <c r="G1215" s="49">
        <f t="shared" si="138"/>
        <v>6420</v>
      </c>
      <c r="H1215" s="158">
        <v>6549</v>
      </c>
      <c r="I1215" s="23">
        <f t="shared" si="139"/>
        <v>5894.1</v>
      </c>
      <c r="J1215" s="100">
        <f t="shared" si="140"/>
        <v>1.0200934579439251</v>
      </c>
      <c r="K1215" s="51">
        <f>VLOOKUP(B:B,'生產達成率(目標)'!A:C,3,0)</f>
        <v>1</v>
      </c>
      <c r="L1215" s="20">
        <f t="shared" si="141"/>
        <v>0.02</v>
      </c>
      <c r="M1215" s="137" t="str">
        <f>工時!R399</f>
        <v>540</v>
      </c>
      <c r="N1215" s="144"/>
      <c r="O1215" s="144">
        <f t="shared" si="142"/>
        <v>2</v>
      </c>
      <c r="P1215" s="156">
        <v>6547</v>
      </c>
      <c r="Q1215" s="98">
        <f t="shared" si="143"/>
        <v>0.99969460986410141</v>
      </c>
      <c r="R1215" s="23"/>
      <c r="S1215" s="173"/>
      <c r="T1215" s="30"/>
    </row>
    <row r="1216" spans="1:30" x14ac:dyDescent="0.4">
      <c r="A1216" s="181">
        <v>45691</v>
      </c>
      <c r="B1216" s="139" t="s">
        <v>73</v>
      </c>
      <c r="C1216" s="30" t="str">
        <f>VLOOKUP(B1216,'112年全品項生產鍋數'!A:H,2,0)</f>
        <v>顆粒花生醬(1*12KG)</v>
      </c>
      <c r="D1216" s="290">
        <v>21</v>
      </c>
      <c r="E1216" s="48">
        <f>VLOOKUP(B1216,'112年全品項生產鍋數'!A:H,3,0)</f>
        <v>3</v>
      </c>
      <c r="F1216" s="45">
        <f>VLOOKUP(B1216,'112年全品項生產鍋數'!A:H,7,0)</f>
        <v>29.7</v>
      </c>
      <c r="G1216" s="49">
        <f t="shared" si="138"/>
        <v>623.69999999999993</v>
      </c>
      <c r="H1216" s="158">
        <v>632</v>
      </c>
      <c r="I1216" s="23">
        <f t="shared" si="139"/>
        <v>1896</v>
      </c>
      <c r="J1216" s="100">
        <f t="shared" si="140"/>
        <v>1.0133076799743468</v>
      </c>
      <c r="K1216" s="51">
        <f>VLOOKUP(B:B,'生產達成率(目標)'!A:C,3,0)</f>
        <v>1</v>
      </c>
      <c r="L1216" s="20">
        <f t="shared" si="141"/>
        <v>1.2999999999999999E-2</v>
      </c>
      <c r="M1216" s="137" t="str">
        <f>工時!R400</f>
        <v>540</v>
      </c>
      <c r="N1216" s="144"/>
      <c r="O1216" s="144">
        <f t="shared" si="142"/>
        <v>0</v>
      </c>
      <c r="P1216" s="156">
        <v>632</v>
      </c>
      <c r="Q1216" s="98">
        <f t="shared" si="143"/>
        <v>1</v>
      </c>
      <c r="R1216" s="23"/>
      <c r="S1216" s="173"/>
      <c r="T1216" s="30"/>
    </row>
    <row r="1217" spans="1:30" x14ac:dyDescent="0.4">
      <c r="A1217" s="181">
        <v>45691</v>
      </c>
      <c r="B1217" s="139" t="s">
        <v>65</v>
      </c>
      <c r="C1217" s="30" t="str">
        <f>VLOOKUP(B1217,'112年全品項生產鍋數'!A:H,2,0)</f>
        <v>＃1花生(1*2.8kg)</v>
      </c>
      <c r="D1217" s="290">
        <v>60</v>
      </c>
      <c r="E1217" s="48">
        <f>VLOOKUP(B1217,'112年全品項生產鍋數'!A:H,3,0)</f>
        <v>2.8</v>
      </c>
      <c r="F1217" s="45">
        <f>VLOOKUP(B1217,'112年全品項生產鍋數'!A:H,7,0)</f>
        <v>44.5</v>
      </c>
      <c r="G1217" s="49">
        <f t="shared" si="138"/>
        <v>2670</v>
      </c>
      <c r="H1217" s="158">
        <v>2668</v>
      </c>
      <c r="I1217" s="23">
        <f t="shared" si="139"/>
        <v>7470.4</v>
      </c>
      <c r="J1217" s="100">
        <f t="shared" si="140"/>
        <v>0.99925093632958806</v>
      </c>
      <c r="K1217" s="51">
        <f>VLOOKUP(B:B,'生產達成率(目標)'!A:C,3,0)</f>
        <v>1</v>
      </c>
      <c r="L1217" s="20">
        <f t="shared" si="141"/>
        <v>-1E-3</v>
      </c>
      <c r="M1217" s="137" t="str">
        <f>工時!R401</f>
        <v>600</v>
      </c>
      <c r="N1217" s="144"/>
      <c r="O1217" s="144">
        <f t="shared" si="142"/>
        <v>1</v>
      </c>
      <c r="P1217" s="156">
        <v>2667</v>
      </c>
      <c r="Q1217" s="98">
        <f t="shared" si="143"/>
        <v>0.9996251874062968</v>
      </c>
      <c r="R1217" s="23"/>
      <c r="S1217" s="173"/>
      <c r="T1217" s="30"/>
    </row>
    <row r="1218" spans="1:30" s="146" customFormat="1" ht="17.25" customHeight="1" x14ac:dyDescent="0.4">
      <c r="A1218" s="182">
        <v>45691</v>
      </c>
      <c r="B1218" s="139">
        <v>153010</v>
      </c>
      <c r="C1218" s="140" t="str">
        <f>VLOOKUP(B1218,'112年全品項生產鍋數'!A:H,2,0)</f>
        <v>蜜桔皮6m/m</v>
      </c>
      <c r="D1218" s="290">
        <v>1</v>
      </c>
      <c r="E1218" s="141">
        <f>VLOOKUP(B1218,'112年全品項生產鍋數'!A:H,3,0)</f>
        <v>1</v>
      </c>
      <c r="F1218" s="142">
        <f>VLOOKUP(B1218,'112年全品項生產鍋數'!A:H,7,0)</f>
        <v>591</v>
      </c>
      <c r="G1218" s="143">
        <f t="shared" si="138"/>
        <v>591</v>
      </c>
      <c r="H1218" s="158">
        <v>612</v>
      </c>
      <c r="I1218" s="144">
        <f t="shared" si="139"/>
        <v>612</v>
      </c>
      <c r="J1218" s="100">
        <f t="shared" si="140"/>
        <v>1.0355329949238579</v>
      </c>
      <c r="K1218" s="51">
        <f>VLOOKUP(B:B,'生產達成率(目標)'!A:C,3,0)</f>
        <v>1</v>
      </c>
      <c r="L1218" s="20">
        <f t="shared" si="141"/>
        <v>3.5999999999999997E-2</v>
      </c>
      <c r="M1218" s="137" t="str">
        <f>工時!R402</f>
        <v>0</v>
      </c>
      <c r="N1218" s="144"/>
      <c r="O1218" s="144">
        <f t="shared" si="142"/>
        <v>0</v>
      </c>
      <c r="P1218" s="156">
        <v>612</v>
      </c>
      <c r="Q1218" s="145">
        <f t="shared" si="143"/>
        <v>1</v>
      </c>
      <c r="R1218" s="144"/>
      <c r="S1218" s="153"/>
      <c r="T1218" s="140"/>
      <c r="V1218" s="381"/>
      <c r="W1218" s="421"/>
      <c r="X1218" s="381"/>
      <c r="Y1218" s="421"/>
      <c r="Z1218" s="421"/>
      <c r="AA1218" s="421"/>
      <c r="AB1218" s="421"/>
      <c r="AC1218" s="421"/>
      <c r="AD1218" s="421"/>
    </row>
    <row r="1219" spans="1:30" s="146" customFormat="1" x14ac:dyDescent="0.4">
      <c r="A1219" s="182">
        <v>45692</v>
      </c>
      <c r="B1219" s="139" t="s">
        <v>456</v>
      </c>
      <c r="C1219" s="140" t="str">
        <f>VLOOKUP(B1219,'112年全品項生產鍋數'!A:H,2,0)</f>
        <v>桑椹果醬(1*190g)</v>
      </c>
      <c r="D1219" s="290">
        <v>3</v>
      </c>
      <c r="E1219" s="141">
        <f>VLOOKUP(B1219,'112年全品項生產鍋數'!A:H,3,0)</f>
        <v>0.19</v>
      </c>
      <c r="F1219" s="142">
        <f>VLOOKUP(B1219,'112年全品項生產鍋數'!A:H,7,0)</f>
        <v>759.3</v>
      </c>
      <c r="G1219" s="143">
        <f t="shared" si="138"/>
        <v>2277.8999999999996</v>
      </c>
      <c r="H1219" s="158">
        <v>2267</v>
      </c>
      <c r="I1219" s="144">
        <f t="shared" si="139"/>
        <v>430.73</v>
      </c>
      <c r="J1219" s="100">
        <f t="shared" si="140"/>
        <v>0.99521489090829285</v>
      </c>
      <c r="K1219" s="51">
        <f>VLOOKUP(B:B,'生產達成率(目標)'!A:C,3,0)</f>
        <v>1</v>
      </c>
      <c r="L1219" s="20">
        <f t="shared" si="141"/>
        <v>-5.0000000000000001E-3</v>
      </c>
      <c r="M1219" s="137" t="str">
        <f>工時!R403</f>
        <v>224</v>
      </c>
      <c r="N1219" s="144"/>
      <c r="O1219" s="144">
        <f t="shared" si="142"/>
        <v>10</v>
      </c>
      <c r="P1219" s="156">
        <v>2257</v>
      </c>
      <c r="Q1219" s="145">
        <f t="shared" si="143"/>
        <v>0.99558888398764889</v>
      </c>
      <c r="R1219" s="144" t="s">
        <v>1015</v>
      </c>
      <c r="S1219" s="153"/>
      <c r="T1219" s="140" t="s">
        <v>1016</v>
      </c>
      <c r="V1219" s="381"/>
      <c r="W1219" s="421"/>
      <c r="X1219" s="381"/>
      <c r="Y1219" s="421"/>
      <c r="Z1219" s="421"/>
      <c r="AA1219" s="421"/>
      <c r="AB1219" s="421"/>
      <c r="AC1219" s="421"/>
      <c r="AD1219" s="421"/>
    </row>
    <row r="1220" spans="1:30" x14ac:dyDescent="0.4">
      <c r="A1220" s="181">
        <v>45692</v>
      </c>
      <c r="B1220" s="139" t="s">
        <v>106</v>
      </c>
      <c r="C1220" s="30" t="str">
        <f>VLOOKUP(B1220,'112年全品項生產鍋數'!A:H,2,0)</f>
        <v>小藍莓1*260G</v>
      </c>
      <c r="D1220" s="290">
        <v>24</v>
      </c>
      <c r="E1220" s="48">
        <f>VLOOKUP(B1220,'112年全品項生產鍋數'!A:H,3,0)</f>
        <v>0.26</v>
      </c>
      <c r="F1220" s="45">
        <f>VLOOKUP(B1220,'112年全品項生產鍋數'!A:H,7,0)</f>
        <v>584.29999999999995</v>
      </c>
      <c r="G1220" s="49">
        <f t="shared" si="138"/>
        <v>14023.199999999999</v>
      </c>
      <c r="H1220" s="158">
        <v>14261</v>
      </c>
      <c r="I1220" s="23">
        <f t="shared" si="139"/>
        <v>3707.86</v>
      </c>
      <c r="J1220" s="100">
        <f t="shared" si="140"/>
        <v>1.0169576130982942</v>
      </c>
      <c r="K1220" s="51">
        <f>VLOOKUP(B:B,'生產達成率(目標)'!A:C,3,0)</f>
        <v>1</v>
      </c>
      <c r="L1220" s="20">
        <f t="shared" si="141"/>
        <v>1.7000000000000001E-2</v>
      </c>
      <c r="M1220" s="137" t="str">
        <f>工時!R404</f>
        <v>480</v>
      </c>
      <c r="N1220" s="144"/>
      <c r="O1220" s="144">
        <f t="shared" si="142"/>
        <v>21</v>
      </c>
      <c r="P1220" s="156">
        <v>14240</v>
      </c>
      <c r="Q1220" s="98">
        <f t="shared" si="143"/>
        <v>0.99852745249281261</v>
      </c>
      <c r="R1220" s="144" t="s">
        <v>1015</v>
      </c>
      <c r="S1220" s="153"/>
      <c r="T1220" s="140" t="s">
        <v>1016</v>
      </c>
    </row>
    <row r="1221" spans="1:30" x14ac:dyDescent="0.4">
      <c r="A1221" s="181">
        <v>45692</v>
      </c>
      <c r="B1221" s="139" t="s">
        <v>64</v>
      </c>
      <c r="C1221" s="30" t="str">
        <f>VLOOKUP(B1221,'112年全品項生產鍋數'!A:H,2,0)</f>
        <v>藍莓餡(1*6KG)</v>
      </c>
      <c r="D1221" s="290">
        <v>24</v>
      </c>
      <c r="E1221" s="48">
        <f>VLOOKUP(B1221,'112年全品項生產鍋數'!A:H,3,0)</f>
        <v>6</v>
      </c>
      <c r="F1221" s="45">
        <f>VLOOKUP(B1221,'112年全品項生產鍋數'!A:H,7,0)</f>
        <v>25.4</v>
      </c>
      <c r="G1221" s="49">
        <f t="shared" si="138"/>
        <v>609.59999999999991</v>
      </c>
      <c r="H1221" s="158">
        <f>295+305</f>
        <v>600</v>
      </c>
      <c r="I1221" s="23">
        <f t="shared" si="139"/>
        <v>3600</v>
      </c>
      <c r="J1221" s="100">
        <f t="shared" si="140"/>
        <v>0.98425196850393715</v>
      </c>
      <c r="K1221" s="51">
        <f>VLOOKUP(B:B,'生產達成率(目標)'!A:C,3,0)</f>
        <v>1</v>
      </c>
      <c r="L1221" s="20">
        <f t="shared" si="141"/>
        <v>-1.6E-2</v>
      </c>
      <c r="M1221" s="137" t="str">
        <f>工時!R405</f>
        <v>330</v>
      </c>
      <c r="N1221" s="144"/>
      <c r="O1221" s="144">
        <f t="shared" si="142"/>
        <v>2</v>
      </c>
      <c r="P1221" s="156">
        <f>294+304</f>
        <v>598</v>
      </c>
      <c r="Q1221" s="98">
        <f t="shared" si="143"/>
        <v>0.9966666666666667</v>
      </c>
      <c r="R1221" s="23"/>
      <c r="S1221" s="173"/>
      <c r="T1221" s="30"/>
    </row>
    <row r="1222" spans="1:30" x14ac:dyDescent="0.4">
      <c r="A1222" s="181">
        <v>45692</v>
      </c>
      <c r="B1222" s="139" t="s">
        <v>63</v>
      </c>
      <c r="C1222" s="30" t="str">
        <f>VLOOKUP(B1222,'112年全品項生產鍋數'!A:H,2,0)</f>
        <v>草莓蒟蒻餡(1*6kg)</v>
      </c>
      <c r="D1222" s="290">
        <v>16</v>
      </c>
      <c r="E1222" s="48">
        <f>VLOOKUP(B1222,'112年全品項生產鍋數'!A:H,3,0)</f>
        <v>6</v>
      </c>
      <c r="F1222" s="45">
        <f>VLOOKUP(B1222,'112年全品項生產鍋數'!A:H,7,0)</f>
        <v>25.7</v>
      </c>
      <c r="G1222" s="49">
        <f t="shared" si="138"/>
        <v>411.2</v>
      </c>
      <c r="H1222" s="158">
        <f>193+210</f>
        <v>403</v>
      </c>
      <c r="I1222" s="23">
        <f t="shared" si="139"/>
        <v>2418</v>
      </c>
      <c r="J1222" s="100">
        <f t="shared" si="140"/>
        <v>0.98005836575875493</v>
      </c>
      <c r="K1222" s="51">
        <f>VLOOKUP(B:B,'生產達成率(目標)'!A:C,3,0)</f>
        <v>1</v>
      </c>
      <c r="L1222" s="20">
        <f t="shared" si="141"/>
        <v>-0.02</v>
      </c>
      <c r="M1222" s="137" t="str">
        <f>工時!R406</f>
        <v>210</v>
      </c>
      <c r="N1222" s="144"/>
      <c r="O1222" s="144">
        <f t="shared" si="142"/>
        <v>1</v>
      </c>
      <c r="P1222" s="156">
        <f>192+210</f>
        <v>402</v>
      </c>
      <c r="Q1222" s="98">
        <f t="shared" si="143"/>
        <v>0.9975186104218362</v>
      </c>
      <c r="R1222" s="23"/>
      <c r="S1222" s="173"/>
      <c r="T1222" s="30"/>
    </row>
    <row r="1223" spans="1:30" s="146" customFormat="1" x14ac:dyDescent="0.4">
      <c r="A1223" s="182">
        <v>45692</v>
      </c>
      <c r="B1223" s="139" t="s">
        <v>97</v>
      </c>
      <c r="C1223" s="140" t="str">
        <f>VLOOKUP(B1223,'112年全品項生產鍋數'!A:H,2,0)</f>
        <v>花生醬(1*18KG)</v>
      </c>
      <c r="D1223" s="290">
        <v>16</v>
      </c>
      <c r="E1223" s="141">
        <f>VLOOKUP(B1223,'112年全品項生產鍋數'!A:H,3,0)</f>
        <v>18</v>
      </c>
      <c r="F1223" s="142">
        <f>VLOOKUP(B1223,'112年全品項生產鍋數'!A:H,7,0)</f>
        <v>6.6</v>
      </c>
      <c r="G1223" s="143">
        <f t="shared" si="138"/>
        <v>105.6</v>
      </c>
      <c r="H1223" s="158">
        <v>107</v>
      </c>
      <c r="I1223" s="144">
        <f t="shared" si="139"/>
        <v>1926</v>
      </c>
      <c r="J1223" s="100">
        <f t="shared" si="140"/>
        <v>1.0132575757575759</v>
      </c>
      <c r="K1223" s="51">
        <f>VLOOKUP(B:B,'生產達成率(目標)'!A:C,3,0)</f>
        <v>1</v>
      </c>
      <c r="L1223" s="20">
        <f t="shared" si="141"/>
        <v>1.2999999999999999E-2</v>
      </c>
      <c r="M1223" s="137" t="str">
        <f>工時!R407</f>
        <v>195</v>
      </c>
      <c r="N1223" s="144"/>
      <c r="O1223" s="144">
        <f t="shared" si="142"/>
        <v>0</v>
      </c>
      <c r="P1223" s="156">
        <v>107</v>
      </c>
      <c r="Q1223" s="145">
        <f t="shared" si="143"/>
        <v>1</v>
      </c>
      <c r="R1223" s="144"/>
      <c r="S1223" s="153"/>
      <c r="T1223" s="140"/>
      <c r="V1223" s="381"/>
      <c r="W1223" s="421"/>
      <c r="X1223" s="381"/>
      <c r="Y1223" s="421"/>
      <c r="Z1223" s="421"/>
      <c r="AA1223" s="421"/>
      <c r="AB1223" s="421"/>
      <c r="AC1223" s="421"/>
      <c r="AD1223" s="421"/>
    </row>
    <row r="1224" spans="1:30" x14ac:dyDescent="0.4">
      <c r="A1224" s="181">
        <v>45692</v>
      </c>
      <c r="B1224" s="139" t="s">
        <v>66</v>
      </c>
      <c r="C1224" s="30" t="str">
        <f>VLOOKUP(B1224,'112年全品項生產鍋數'!A:H,2,0)</f>
        <v>＃2花生(1*800g)</v>
      </c>
      <c r="D1224" s="290">
        <v>20</v>
      </c>
      <c r="E1224" s="48">
        <f>VLOOKUP(B1224,'112年全品項生產鍋數'!A:H,3,0)</f>
        <v>0.8</v>
      </c>
      <c r="F1224" s="45">
        <f>VLOOKUP(B1224,'112年全品項生產鍋數'!A:H,7,0)</f>
        <v>157.69999999999999</v>
      </c>
      <c r="G1224" s="49">
        <f t="shared" si="138"/>
        <v>3154</v>
      </c>
      <c r="H1224" s="158">
        <v>3222</v>
      </c>
      <c r="I1224" s="23">
        <f t="shared" si="139"/>
        <v>2577.6000000000004</v>
      </c>
      <c r="J1224" s="100">
        <f t="shared" si="140"/>
        <v>1.021559923906151</v>
      </c>
      <c r="K1224" s="51">
        <f>VLOOKUP(B:B,'生產達成率(目標)'!A:C,3,0)</f>
        <v>1</v>
      </c>
      <c r="L1224" s="20">
        <f t="shared" si="141"/>
        <v>2.1999999999999999E-2</v>
      </c>
      <c r="M1224" s="137" t="str">
        <f>工時!R408</f>
        <v>350</v>
      </c>
      <c r="N1224" s="144"/>
      <c r="O1224" s="144">
        <f t="shared" si="142"/>
        <v>2</v>
      </c>
      <c r="P1224" s="156">
        <v>3220</v>
      </c>
      <c r="Q1224" s="98">
        <f t="shared" si="143"/>
        <v>0.99937926753569206</v>
      </c>
      <c r="R1224" s="23"/>
      <c r="S1224" s="173"/>
      <c r="T1224" s="30"/>
    </row>
    <row r="1225" spans="1:30" x14ac:dyDescent="0.4">
      <c r="A1225" s="181">
        <v>45693</v>
      </c>
      <c r="B1225" s="139" t="s">
        <v>71</v>
      </c>
      <c r="C1225" s="30" t="str">
        <f>VLOOKUP(B1225,'112年全品項生產鍋數'!A:H,2,0)</f>
        <v>＃1草莓(1*3.2kg)</v>
      </c>
      <c r="D1225" s="290">
        <v>72</v>
      </c>
      <c r="E1225" s="48">
        <f>VLOOKUP(B1225,'112年全品項生產鍋數'!A:H,3,0)</f>
        <v>3.2</v>
      </c>
      <c r="F1225" s="45">
        <f>VLOOKUP(B1225,'112年全品項生產鍋數'!A:H,7,0)</f>
        <v>46.8</v>
      </c>
      <c r="G1225" s="49">
        <f t="shared" si="138"/>
        <v>3369.6</v>
      </c>
      <c r="H1225" s="158">
        <v>3372</v>
      </c>
      <c r="I1225" s="23">
        <f t="shared" si="139"/>
        <v>10790.400000000001</v>
      </c>
      <c r="J1225" s="100">
        <f t="shared" si="140"/>
        <v>1.0007122507122508</v>
      </c>
      <c r="K1225" s="51">
        <f>VLOOKUP(B:B,'生產達成率(目標)'!A:C,3,0)</f>
        <v>1</v>
      </c>
      <c r="L1225" s="20">
        <f t="shared" si="141"/>
        <v>1E-3</v>
      </c>
      <c r="M1225" s="137" t="str">
        <f>工時!R409</f>
        <v>540</v>
      </c>
      <c r="N1225" s="144"/>
      <c r="O1225" s="144">
        <f t="shared" si="142"/>
        <v>2</v>
      </c>
      <c r="P1225" s="156">
        <v>3370</v>
      </c>
      <c r="Q1225" s="98">
        <f t="shared" si="143"/>
        <v>0.99940688018979829</v>
      </c>
      <c r="R1225" s="23"/>
      <c r="S1225" s="173"/>
      <c r="T1225" s="30"/>
    </row>
    <row r="1226" spans="1:30" x14ac:dyDescent="0.4">
      <c r="A1226" s="181">
        <v>45693</v>
      </c>
      <c r="B1226" s="139" t="s">
        <v>72</v>
      </c>
      <c r="C1226" s="30" t="str">
        <f>VLOOKUP(B1226,'112年全品項生產鍋數'!A:H,2,0)</f>
        <v>草莓餡45%(1*6Kg)</v>
      </c>
      <c r="D1226" s="290">
        <v>12</v>
      </c>
      <c r="E1226" s="48">
        <f>VLOOKUP(B1226,'112年全品項生產鍋數'!A:H,3,0)</f>
        <v>6</v>
      </c>
      <c r="F1226" s="45">
        <f>VLOOKUP(B1226,'112年全品項生產鍋數'!A:H,7,0)</f>
        <v>26.1</v>
      </c>
      <c r="G1226" s="49">
        <f t="shared" si="138"/>
        <v>313.20000000000005</v>
      </c>
      <c r="H1226" s="158">
        <v>309</v>
      </c>
      <c r="I1226" s="23">
        <f t="shared" si="139"/>
        <v>1854</v>
      </c>
      <c r="J1226" s="100">
        <f t="shared" si="140"/>
        <v>0.98659003831417613</v>
      </c>
      <c r="K1226" s="51">
        <f>VLOOKUP(B:B,'生產達成率(目標)'!A:C,3,0)</f>
        <v>1</v>
      </c>
      <c r="L1226" s="20">
        <f t="shared" si="141"/>
        <v>-1.2999999999999999E-2</v>
      </c>
      <c r="M1226" s="137" t="str">
        <f>工時!R410</f>
        <v>180</v>
      </c>
      <c r="N1226" s="144"/>
      <c r="O1226" s="144">
        <f t="shared" si="142"/>
        <v>1</v>
      </c>
      <c r="P1226" s="156">
        <v>308</v>
      </c>
      <c r="Q1226" s="98">
        <f t="shared" si="143"/>
        <v>0.99676375404530748</v>
      </c>
      <c r="R1226" s="23"/>
      <c r="S1226" s="173"/>
      <c r="T1226" s="30"/>
    </row>
    <row r="1227" spans="1:30" x14ac:dyDescent="0.4">
      <c r="A1227" s="181">
        <v>45693</v>
      </c>
      <c r="B1227" s="139" t="s">
        <v>76</v>
      </c>
      <c r="C1227" s="30" t="str">
        <f>VLOOKUP(B1227,'112年全品項生產鍋數'!A:H,2,0)</f>
        <v>草莓餡(1*6Kg)</v>
      </c>
      <c r="D1227" s="290">
        <v>12</v>
      </c>
      <c r="E1227" s="48">
        <f>VLOOKUP(B1227,'112年全品項生產鍋數'!A:H,3,0)</f>
        <v>6</v>
      </c>
      <c r="F1227" s="45">
        <f>VLOOKUP(B1227,'112年全品項生產鍋數'!A:H,7,0)</f>
        <v>25.5</v>
      </c>
      <c r="G1227" s="49">
        <f t="shared" si="138"/>
        <v>306</v>
      </c>
      <c r="H1227" s="158">
        <v>303</v>
      </c>
      <c r="I1227" s="23">
        <f t="shared" si="139"/>
        <v>1818</v>
      </c>
      <c r="J1227" s="100">
        <f t="shared" si="140"/>
        <v>0.99019607843137258</v>
      </c>
      <c r="K1227" s="51">
        <f>VLOOKUP(B:B,'生產達成率(目標)'!A:C,3,0)</f>
        <v>1</v>
      </c>
      <c r="L1227" s="20">
        <f t="shared" si="141"/>
        <v>-0.01</v>
      </c>
      <c r="M1227" s="137" t="str">
        <f>工時!R411</f>
        <v>186</v>
      </c>
      <c r="N1227" s="144"/>
      <c r="O1227" s="144">
        <f t="shared" si="142"/>
        <v>1</v>
      </c>
      <c r="P1227" s="156">
        <v>302</v>
      </c>
      <c r="Q1227" s="98">
        <f t="shared" si="143"/>
        <v>0.99669966996699666</v>
      </c>
      <c r="R1227" s="23"/>
      <c r="S1227" s="173"/>
      <c r="T1227" s="30"/>
    </row>
    <row r="1228" spans="1:30" x14ac:dyDescent="0.4">
      <c r="A1228" s="181">
        <v>45693</v>
      </c>
      <c r="B1228" s="139" t="s">
        <v>63</v>
      </c>
      <c r="C1228" s="30" t="str">
        <f>VLOOKUP(B1228,'112年全品項生產鍋數'!A:H,2,0)</f>
        <v>草莓蒟蒻餡(1*6kg)</v>
      </c>
      <c r="D1228" s="290">
        <v>16</v>
      </c>
      <c r="E1228" s="48">
        <f>VLOOKUP(B1228,'112年全品項生產鍋數'!A:H,3,0)</f>
        <v>6</v>
      </c>
      <c r="F1228" s="45">
        <f>VLOOKUP(B1228,'112年全品項生產鍋數'!A:H,7,0)</f>
        <v>25.7</v>
      </c>
      <c r="G1228" s="49">
        <f t="shared" si="138"/>
        <v>411.2</v>
      </c>
      <c r="H1228" s="158">
        <f>198+215</f>
        <v>413</v>
      </c>
      <c r="I1228" s="23">
        <f t="shared" si="139"/>
        <v>2478</v>
      </c>
      <c r="J1228" s="100">
        <f t="shared" si="140"/>
        <v>1.0043774319066148</v>
      </c>
      <c r="K1228" s="51">
        <f>VLOOKUP(B:B,'生產達成率(目標)'!A:C,3,0)</f>
        <v>1</v>
      </c>
      <c r="L1228" s="20">
        <f t="shared" si="141"/>
        <v>4.0000000000000001E-3</v>
      </c>
      <c r="M1228" s="137" t="str">
        <f>工時!R412</f>
        <v>240</v>
      </c>
      <c r="N1228" s="144"/>
      <c r="O1228" s="144">
        <f t="shared" si="142"/>
        <v>1</v>
      </c>
      <c r="P1228" s="156">
        <f>197+215</f>
        <v>412</v>
      </c>
      <c r="Q1228" s="98">
        <f t="shared" si="143"/>
        <v>0.99757869249394671</v>
      </c>
      <c r="R1228" s="23"/>
      <c r="S1228" s="173"/>
      <c r="T1228" s="30"/>
    </row>
    <row r="1229" spans="1:30" x14ac:dyDescent="0.4">
      <c r="A1229" s="181">
        <v>45693</v>
      </c>
      <c r="B1229" s="139" t="s">
        <v>65</v>
      </c>
      <c r="C1229" s="30" t="str">
        <f>VLOOKUP(B1229,'112年全品項生產鍋數'!A:H,2,0)</f>
        <v>＃1花生(1*2.8kg)</v>
      </c>
      <c r="D1229" s="290">
        <v>60</v>
      </c>
      <c r="E1229" s="48">
        <f>VLOOKUP(B1229,'112年全品項生產鍋數'!A:H,3,0)</f>
        <v>2.8</v>
      </c>
      <c r="F1229" s="45">
        <f>VLOOKUP(B1229,'112年全品項生產鍋數'!A:H,7,0)</f>
        <v>44.5</v>
      </c>
      <c r="G1229" s="49">
        <f t="shared" si="138"/>
        <v>2670</v>
      </c>
      <c r="H1229" s="158">
        <v>2679</v>
      </c>
      <c r="I1229" s="23">
        <f t="shared" si="139"/>
        <v>7501.2</v>
      </c>
      <c r="J1229" s="100">
        <f t="shared" si="140"/>
        <v>1.003370786516854</v>
      </c>
      <c r="K1229" s="51">
        <f>VLOOKUP(B:B,'生產達成率(目標)'!A:C,3,0)</f>
        <v>1</v>
      </c>
      <c r="L1229" s="20">
        <f t="shared" si="141"/>
        <v>3.0000000000000001E-3</v>
      </c>
      <c r="M1229" s="137" t="str">
        <f>工時!R413</f>
        <v>540</v>
      </c>
      <c r="N1229" s="144"/>
      <c r="O1229" s="144">
        <f t="shared" si="142"/>
        <v>1</v>
      </c>
      <c r="P1229" s="156">
        <v>2678</v>
      </c>
      <c r="Q1229" s="98">
        <f t="shared" si="143"/>
        <v>0.99962672639044414</v>
      </c>
      <c r="R1229" s="23"/>
      <c r="S1229" s="173"/>
      <c r="T1229" s="30"/>
    </row>
    <row r="1230" spans="1:30" x14ac:dyDescent="0.4">
      <c r="A1230" s="181">
        <v>45694</v>
      </c>
      <c r="B1230" s="139" t="s">
        <v>63</v>
      </c>
      <c r="C1230" s="30" t="str">
        <f>VLOOKUP(B1230,'112年全品項生產鍋數'!A:H,2,0)</f>
        <v>草莓蒟蒻餡(1*6kg)</v>
      </c>
      <c r="D1230" s="290">
        <v>24</v>
      </c>
      <c r="E1230" s="48">
        <f>VLOOKUP(B1230,'112年全品項生產鍋數'!A:H,3,0)</f>
        <v>6</v>
      </c>
      <c r="F1230" s="45">
        <f>VLOOKUP(B1230,'112年全品項生產鍋數'!A:H,7,0)</f>
        <v>25.7</v>
      </c>
      <c r="G1230" s="49">
        <f t="shared" ref="G1230:G1249" si="144">D1230*F1230</f>
        <v>616.79999999999995</v>
      </c>
      <c r="H1230" s="158">
        <f>297+313</f>
        <v>610</v>
      </c>
      <c r="I1230" s="23">
        <f t="shared" ref="I1230:I1249" si="145">H1230*E1230</f>
        <v>3660</v>
      </c>
      <c r="J1230" s="100">
        <f t="shared" ref="J1230:J1249" si="146">IF(G1230=0,"無法預估數據",H1230/G1230)</f>
        <v>0.98897535667963687</v>
      </c>
      <c r="K1230" s="51">
        <f>VLOOKUP(B:B,'生產達成率(目標)'!A:C,3,0)</f>
        <v>1</v>
      </c>
      <c r="L1230" s="20">
        <f t="shared" ref="L1230:L1249" si="147">IF(G1230=0,"無法預估數據",ROUND(J1230-K1230,3))</f>
        <v>-1.0999999999999999E-2</v>
      </c>
      <c r="M1230" s="137" t="str">
        <f>工時!R414</f>
        <v>355</v>
      </c>
      <c r="N1230" s="144"/>
      <c r="O1230" s="144">
        <f t="shared" ref="O1230:O1249" si="148">H1230-N1230-P1230</f>
        <v>4</v>
      </c>
      <c r="P1230" s="156">
        <f>294+312</f>
        <v>606</v>
      </c>
      <c r="Q1230" s="98">
        <f t="shared" ref="Q1230:Q1249" si="149">P1230/H1230</f>
        <v>0.99344262295081964</v>
      </c>
      <c r="R1230" s="23"/>
      <c r="S1230" s="173"/>
      <c r="T1230" s="30"/>
    </row>
    <row r="1231" spans="1:30" x14ac:dyDescent="0.4">
      <c r="A1231" s="181">
        <v>45694</v>
      </c>
      <c r="B1231" s="139" t="s">
        <v>75</v>
      </c>
      <c r="C1231" s="30" t="str">
        <f>VLOOKUP(B1231,'112年全品項生產鍋數'!A:H,2,0)</f>
        <v>草莓椰果餡(1*6Kg)</v>
      </c>
      <c r="D1231" s="290">
        <v>16</v>
      </c>
      <c r="E1231" s="48">
        <f>VLOOKUP(B1231,'112年全品項生產鍋數'!A:H,3,0)</f>
        <v>6</v>
      </c>
      <c r="F1231" s="45">
        <f>VLOOKUP(B1231,'112年全品項生產鍋數'!A:H,7,0)</f>
        <v>26.4</v>
      </c>
      <c r="G1231" s="49">
        <f t="shared" si="144"/>
        <v>422.4</v>
      </c>
      <c r="H1231" s="158">
        <v>417</v>
      </c>
      <c r="I1231" s="23">
        <f t="shared" si="145"/>
        <v>2502</v>
      </c>
      <c r="J1231" s="100">
        <f t="shared" si="146"/>
        <v>0.98721590909090917</v>
      </c>
      <c r="K1231" s="51">
        <f>VLOOKUP(B:B,'生產達成率(目標)'!A:C,3,0)</f>
        <v>1</v>
      </c>
      <c r="L1231" s="20">
        <f t="shared" si="147"/>
        <v>-1.2999999999999999E-2</v>
      </c>
      <c r="M1231" s="137" t="str">
        <f>工時!R415</f>
        <v>240</v>
      </c>
      <c r="N1231" s="144"/>
      <c r="O1231" s="144">
        <f t="shared" si="148"/>
        <v>1</v>
      </c>
      <c r="P1231" s="156">
        <v>416</v>
      </c>
      <c r="Q1231" s="98">
        <f t="shared" si="149"/>
        <v>0.99760191846522783</v>
      </c>
      <c r="R1231" s="23"/>
      <c r="S1231" s="173"/>
      <c r="T1231" s="30"/>
    </row>
    <row r="1232" spans="1:30" x14ac:dyDescent="0.4">
      <c r="A1232" s="181">
        <v>45694</v>
      </c>
      <c r="B1232" s="139" t="s">
        <v>108</v>
      </c>
      <c r="C1232" s="30" t="str">
        <f>VLOOKUP(B1232,'112年全品項生產鍋數'!A:H,2,0)</f>
        <v>顆粒花生醬(1*12KG)</v>
      </c>
      <c r="D1232" s="290">
        <v>21</v>
      </c>
      <c r="E1232" s="48">
        <f>VLOOKUP(B1232,'112年全品項生產鍋數'!A:H,3,0)</f>
        <v>3</v>
      </c>
      <c r="F1232" s="45">
        <f>VLOOKUP(B1232,'112年全品項生產鍋數'!A:H,7,0)</f>
        <v>31.6</v>
      </c>
      <c r="G1232" s="49">
        <f t="shared" si="144"/>
        <v>663.6</v>
      </c>
      <c r="H1232" s="158">
        <v>676</v>
      </c>
      <c r="I1232" s="23">
        <f t="shared" si="145"/>
        <v>2028</v>
      </c>
      <c r="J1232" s="100">
        <f t="shared" si="146"/>
        <v>1.0186859553948162</v>
      </c>
      <c r="K1232" s="51">
        <f>VLOOKUP(B:B,'生產達成率(目標)'!A:C,3,0)</f>
        <v>1</v>
      </c>
      <c r="L1232" s="20">
        <f t="shared" si="147"/>
        <v>1.9E-2</v>
      </c>
      <c r="M1232" s="137" t="str">
        <f>工時!R416</f>
        <v>540</v>
      </c>
      <c r="N1232" s="144"/>
      <c r="O1232" s="144">
        <f t="shared" si="148"/>
        <v>0</v>
      </c>
      <c r="P1232" s="156">
        <v>676</v>
      </c>
      <c r="Q1232" s="98">
        <f t="shared" si="149"/>
        <v>1</v>
      </c>
      <c r="R1232" s="23"/>
      <c r="S1232" s="173"/>
      <c r="T1232" s="30"/>
    </row>
    <row r="1233" spans="1:30" s="146" customFormat="1" x14ac:dyDescent="0.4">
      <c r="A1233" s="182">
        <v>45694</v>
      </c>
      <c r="B1233" s="139" t="s">
        <v>82</v>
      </c>
      <c r="C1233" s="140" t="str">
        <f>VLOOKUP(B1233,'112年全品項生產鍋數'!A:H,2,0)</f>
        <v>顆粒花生醬(全)</v>
      </c>
      <c r="D1233" s="290">
        <v>36</v>
      </c>
      <c r="E1233" s="141">
        <f>VLOOKUP(B1233,'112年全品項生產鍋數'!A:H,3,0)</f>
        <v>0.34</v>
      </c>
      <c r="F1233" s="142">
        <f>VLOOKUP(B1233,'112年全品項生產鍋數'!A:H,7,0)</f>
        <v>364.6</v>
      </c>
      <c r="G1233" s="143">
        <f t="shared" si="144"/>
        <v>13125.6</v>
      </c>
      <c r="H1233" s="158">
        <v>12952</v>
      </c>
      <c r="I1233" s="144">
        <f t="shared" si="145"/>
        <v>4403.68</v>
      </c>
      <c r="J1233" s="100">
        <f t="shared" si="146"/>
        <v>0.98677393795331259</v>
      </c>
      <c r="K1233" s="51">
        <f>VLOOKUP(B:B,'生產達成率(目標)'!A:C,3,0)</f>
        <v>1</v>
      </c>
      <c r="L1233" s="20">
        <f t="shared" si="147"/>
        <v>-1.2999999999999999E-2</v>
      </c>
      <c r="M1233" s="137" t="str">
        <f>工時!R417</f>
        <v>540</v>
      </c>
      <c r="N1233" s="144"/>
      <c r="O1233" s="186">
        <f t="shared" si="148"/>
        <v>3</v>
      </c>
      <c r="P1233" s="156">
        <v>12949</v>
      </c>
      <c r="Q1233" s="145">
        <f t="shared" si="149"/>
        <v>0.99976837554045705</v>
      </c>
      <c r="R1233" s="144"/>
      <c r="S1233" s="153"/>
      <c r="T1233" s="140"/>
      <c r="V1233" s="381"/>
      <c r="W1233" s="421"/>
      <c r="X1233" s="381"/>
      <c r="Y1233" s="421"/>
      <c r="Z1233" s="421"/>
      <c r="AA1233" s="421"/>
      <c r="AB1233" s="421"/>
      <c r="AC1233" s="421"/>
      <c r="AD1233" s="421"/>
    </row>
    <row r="1234" spans="1:30" s="146" customFormat="1" x14ac:dyDescent="0.4">
      <c r="A1234" s="182">
        <v>45695</v>
      </c>
      <c r="B1234" s="139" t="s">
        <v>91</v>
      </c>
      <c r="C1234" s="140" t="str">
        <f>VLOOKUP(B1234,'112年全品項生產鍋數'!A:H,2,0)</f>
        <v>梨山草莓果醬(1*430g)</v>
      </c>
      <c r="D1234" s="290">
        <v>12</v>
      </c>
      <c r="E1234" s="141">
        <f>VLOOKUP(B1234,'112年全品項生產鍋數'!A:H,3,0)</f>
        <v>0.43</v>
      </c>
      <c r="F1234" s="142">
        <f>VLOOKUP(B1234,'112年全品項生產鍋數'!A:H,7,0)</f>
        <v>340.4</v>
      </c>
      <c r="G1234" s="143">
        <f t="shared" si="144"/>
        <v>4084.7999999999997</v>
      </c>
      <c r="H1234" s="158">
        <f>1829+2162</f>
        <v>3991</v>
      </c>
      <c r="I1234" s="144">
        <f t="shared" si="145"/>
        <v>1716.1299999999999</v>
      </c>
      <c r="J1234" s="100">
        <f t="shared" si="146"/>
        <v>0.97703681942812382</v>
      </c>
      <c r="K1234" s="51">
        <f>VLOOKUP(B:B,'生產達成率(目標)'!A:C,3,0)</f>
        <v>1</v>
      </c>
      <c r="L1234" s="20">
        <f t="shared" si="147"/>
        <v>-2.3E-2</v>
      </c>
      <c r="M1234" s="137" t="str">
        <f>工時!R418</f>
        <v>300</v>
      </c>
      <c r="N1234" s="144"/>
      <c r="O1234" s="186">
        <f t="shared" si="148"/>
        <v>23</v>
      </c>
      <c r="P1234" s="156">
        <f>1808+2160</f>
        <v>3968</v>
      </c>
      <c r="Q1234" s="145">
        <f t="shared" si="149"/>
        <v>0.99423703332498126</v>
      </c>
      <c r="R1234" s="144"/>
      <c r="S1234" s="153"/>
      <c r="T1234" s="140" t="s">
        <v>942</v>
      </c>
      <c r="V1234" s="381"/>
      <c r="W1234" s="421"/>
      <c r="X1234" s="381"/>
      <c r="Y1234" s="421"/>
      <c r="Z1234" s="421"/>
      <c r="AA1234" s="421"/>
      <c r="AB1234" s="421"/>
      <c r="AC1234" s="421"/>
      <c r="AD1234" s="421"/>
    </row>
    <row r="1235" spans="1:30" s="146" customFormat="1" x14ac:dyDescent="0.4">
      <c r="A1235" s="182">
        <v>45695</v>
      </c>
      <c r="B1235" s="139" t="s">
        <v>100</v>
      </c>
      <c r="C1235" s="140" t="str">
        <f>VLOOKUP(B1235,'112年全品項生產鍋數'!A:H,2,0)</f>
        <v>芒果蜜桃醬(1*6kg)</v>
      </c>
      <c r="D1235" s="290">
        <v>6</v>
      </c>
      <c r="E1235" s="141">
        <f>VLOOKUP(B1235,'112年全品項生產鍋數'!A:H,3,0)</f>
        <v>6</v>
      </c>
      <c r="F1235" s="142">
        <f>VLOOKUP(B1235,'112年全品項生產鍋數'!A:H,7,0)</f>
        <v>25.6</v>
      </c>
      <c r="G1235" s="143">
        <f t="shared" si="144"/>
        <v>153.60000000000002</v>
      </c>
      <c r="H1235" s="158">
        <v>151</v>
      </c>
      <c r="I1235" s="144">
        <f t="shared" si="145"/>
        <v>906</v>
      </c>
      <c r="J1235" s="100">
        <f t="shared" si="146"/>
        <v>0.98307291666666652</v>
      </c>
      <c r="K1235" s="51">
        <f>VLOOKUP(B:B,'生產達成率(目標)'!A:C,3,0)</f>
        <v>1</v>
      </c>
      <c r="L1235" s="20">
        <f t="shared" si="147"/>
        <v>-1.7000000000000001E-2</v>
      </c>
      <c r="M1235" s="137" t="str">
        <f>工時!R419</f>
        <v>140</v>
      </c>
      <c r="N1235" s="144"/>
      <c r="O1235" s="144">
        <f t="shared" si="148"/>
        <v>1</v>
      </c>
      <c r="P1235" s="156">
        <v>150</v>
      </c>
      <c r="Q1235" s="145">
        <f t="shared" si="149"/>
        <v>0.99337748344370858</v>
      </c>
      <c r="R1235" s="144"/>
      <c r="S1235" s="153"/>
      <c r="T1235" s="140"/>
      <c r="V1235" s="381"/>
      <c r="W1235" s="421"/>
      <c r="X1235" s="381"/>
      <c r="Y1235" s="421"/>
      <c r="Z1235" s="421"/>
      <c r="AA1235" s="421"/>
      <c r="AB1235" s="421"/>
      <c r="AC1235" s="421"/>
      <c r="AD1235" s="421"/>
    </row>
    <row r="1236" spans="1:30" s="146" customFormat="1" x14ac:dyDescent="0.4">
      <c r="A1236" s="182">
        <v>45695</v>
      </c>
      <c r="B1236" s="139" t="s">
        <v>51</v>
      </c>
      <c r="C1236" s="140" t="str">
        <f>VLOOKUP(B1236,'112年全品項生產鍋數'!A:H,2,0)</f>
        <v>藍莓醬(1*6kg)</v>
      </c>
      <c r="D1236" s="290">
        <v>12</v>
      </c>
      <c r="E1236" s="141">
        <f>VLOOKUP(B1236,'112年全品項生產鍋數'!A:H,3,0)</f>
        <v>6</v>
      </c>
      <c r="F1236" s="142">
        <f>VLOOKUP(B1236,'112年全品項生產鍋數'!A:H,7,0)</f>
        <v>25.5</v>
      </c>
      <c r="G1236" s="143">
        <f t="shared" si="144"/>
        <v>306</v>
      </c>
      <c r="H1236" s="158">
        <v>310</v>
      </c>
      <c r="I1236" s="144">
        <f t="shared" si="145"/>
        <v>1860</v>
      </c>
      <c r="J1236" s="100">
        <f t="shared" si="146"/>
        <v>1.0130718954248366</v>
      </c>
      <c r="K1236" s="51">
        <f>VLOOKUP(B:B,'生產達成率(目標)'!A:C,3,0)</f>
        <v>1</v>
      </c>
      <c r="L1236" s="20">
        <f t="shared" si="147"/>
        <v>1.2999999999999999E-2</v>
      </c>
      <c r="M1236" s="137" t="str">
        <f>工時!R420</f>
        <v>200</v>
      </c>
      <c r="N1236" s="144"/>
      <c r="O1236" s="144">
        <f t="shared" si="148"/>
        <v>2</v>
      </c>
      <c r="P1236" s="156">
        <v>308</v>
      </c>
      <c r="Q1236" s="145">
        <f t="shared" si="149"/>
        <v>0.99354838709677418</v>
      </c>
      <c r="R1236" s="144"/>
      <c r="S1236" s="153"/>
      <c r="T1236" s="140"/>
      <c r="V1236" s="381"/>
      <c r="W1236" s="421"/>
      <c r="X1236" s="381"/>
      <c r="Y1236" s="421"/>
      <c r="Z1236" s="421"/>
      <c r="AA1236" s="421"/>
      <c r="AB1236" s="421"/>
      <c r="AC1236" s="421"/>
      <c r="AD1236" s="421"/>
    </row>
    <row r="1237" spans="1:30" s="146" customFormat="1" x14ac:dyDescent="0.4">
      <c r="A1237" s="182">
        <v>45695</v>
      </c>
      <c r="B1237" s="139" t="s">
        <v>55</v>
      </c>
      <c r="C1237" s="140" t="str">
        <f>VLOOKUP(B1237,'112年全品項生產鍋數'!A:H,2,0)</f>
        <v>天天開心草莓餡4.5KG</v>
      </c>
      <c r="D1237" s="290">
        <v>28</v>
      </c>
      <c r="E1237" s="141">
        <f>VLOOKUP(B1237,'112年全品項生產鍋數'!A:H,3,0)</f>
        <v>4.5</v>
      </c>
      <c r="F1237" s="142">
        <f>VLOOKUP(B1237,'112年全品項生產鍋數'!A:H,7,0)</f>
        <v>36.299999999999997</v>
      </c>
      <c r="G1237" s="143">
        <f t="shared" si="144"/>
        <v>1016.3999999999999</v>
      </c>
      <c r="H1237" s="158">
        <v>1004</v>
      </c>
      <c r="I1237" s="144">
        <f t="shared" si="145"/>
        <v>4518</v>
      </c>
      <c r="J1237" s="100">
        <f t="shared" si="146"/>
        <v>0.98780007870916975</v>
      </c>
      <c r="K1237" s="51">
        <f>VLOOKUP(B:B,'生產達成率(目標)'!A:C,3,0)</f>
        <v>1</v>
      </c>
      <c r="L1237" s="20">
        <f t="shared" si="147"/>
        <v>-1.2E-2</v>
      </c>
      <c r="M1237" s="137" t="str">
        <f>工時!R421</f>
        <v>417</v>
      </c>
      <c r="N1237" s="144"/>
      <c r="O1237" s="144">
        <f t="shared" si="148"/>
        <v>0</v>
      </c>
      <c r="P1237" s="156">
        <v>1004</v>
      </c>
      <c r="Q1237" s="145">
        <f t="shared" si="149"/>
        <v>1</v>
      </c>
      <c r="R1237" s="144"/>
      <c r="S1237" s="153"/>
      <c r="T1237" s="140"/>
      <c r="V1237" s="381"/>
      <c r="W1237" s="421"/>
      <c r="X1237" s="381"/>
      <c r="Y1237" s="421"/>
      <c r="Z1237" s="421"/>
      <c r="AA1237" s="421"/>
      <c r="AB1237" s="421"/>
      <c r="AC1237" s="421"/>
      <c r="AD1237" s="421"/>
    </row>
    <row r="1238" spans="1:30" s="146" customFormat="1" x14ac:dyDescent="0.4">
      <c r="A1238" s="182">
        <v>45695</v>
      </c>
      <c r="B1238" s="139" t="s">
        <v>117</v>
      </c>
      <c r="C1238" s="140" t="str">
        <f>VLOOKUP(B1238,'112年全品項生產鍋數'!A:H,2,0)</f>
        <v>草莓餡(1*4.5Kg)</v>
      </c>
      <c r="D1238" s="290">
        <v>8</v>
      </c>
      <c r="E1238" s="141">
        <f>VLOOKUP(B1238,'112年全品項生產鍋數'!A:H,3,0)</f>
        <v>4.5</v>
      </c>
      <c r="F1238" s="142">
        <f>VLOOKUP(B1238,'112年全品項生產鍋數'!A:H,7,0)</f>
        <v>35.6</v>
      </c>
      <c r="G1238" s="143">
        <f t="shared" si="144"/>
        <v>284.8</v>
      </c>
      <c r="H1238" s="158">
        <v>271</v>
      </c>
      <c r="I1238" s="144">
        <f t="shared" si="145"/>
        <v>1219.5</v>
      </c>
      <c r="J1238" s="100">
        <f t="shared" si="146"/>
        <v>0.9515449438202247</v>
      </c>
      <c r="K1238" s="51">
        <f>VLOOKUP(B:B,'生產達成率(目標)'!A:C,3,0)</f>
        <v>1</v>
      </c>
      <c r="L1238" s="20">
        <f t="shared" si="147"/>
        <v>-4.8000000000000001E-2</v>
      </c>
      <c r="M1238" s="137" t="str">
        <f>工時!R422</f>
        <v>160</v>
      </c>
      <c r="N1238" s="144"/>
      <c r="O1238" s="144">
        <f t="shared" si="148"/>
        <v>0</v>
      </c>
      <c r="P1238" s="156">
        <v>271</v>
      </c>
      <c r="Q1238" s="145">
        <f t="shared" si="149"/>
        <v>1</v>
      </c>
      <c r="R1238" s="144"/>
      <c r="S1238" s="153"/>
      <c r="T1238" s="140"/>
      <c r="V1238" s="381"/>
      <c r="W1238" s="421"/>
      <c r="X1238" s="381"/>
      <c r="Y1238" s="421"/>
      <c r="Z1238" s="421"/>
      <c r="AA1238" s="421"/>
      <c r="AB1238" s="421"/>
      <c r="AC1238" s="421"/>
      <c r="AD1238" s="421"/>
    </row>
    <row r="1239" spans="1:30" s="146" customFormat="1" x14ac:dyDescent="0.4">
      <c r="A1239" s="182">
        <v>45695</v>
      </c>
      <c r="B1239" s="139" t="s">
        <v>104</v>
      </c>
      <c r="C1239" s="140" t="str">
        <f>VLOOKUP(B1239,'112年全品項生產鍋數'!A:H,2,0)</f>
        <v>＃1花生(粒)(1*2.8kg)</v>
      </c>
      <c r="D1239" s="290">
        <v>60</v>
      </c>
      <c r="E1239" s="141">
        <f>VLOOKUP(B1239,'112年全品項生產鍋數'!A:H,3,0)</f>
        <v>2.8</v>
      </c>
      <c r="F1239" s="142">
        <f>VLOOKUP(B1239,'112年全品項生產鍋數'!A:H,7,0)</f>
        <v>44.2</v>
      </c>
      <c r="G1239" s="143">
        <f t="shared" si="144"/>
        <v>2652</v>
      </c>
      <c r="H1239" s="158">
        <v>2624</v>
      </c>
      <c r="I1239" s="144">
        <f t="shared" si="145"/>
        <v>7347.2</v>
      </c>
      <c r="J1239" s="100">
        <f t="shared" si="146"/>
        <v>0.98944193061840124</v>
      </c>
      <c r="K1239" s="51">
        <f>VLOOKUP(B:B,'生產達成率(目標)'!A:C,3,0)</f>
        <v>1</v>
      </c>
      <c r="L1239" s="20">
        <f t="shared" si="147"/>
        <v>-1.0999999999999999E-2</v>
      </c>
      <c r="M1239" s="137" t="str">
        <f>工時!R423</f>
        <v>540</v>
      </c>
      <c r="N1239" s="144"/>
      <c r="O1239" s="144">
        <f t="shared" si="148"/>
        <v>1</v>
      </c>
      <c r="P1239" s="156">
        <v>2623</v>
      </c>
      <c r="Q1239" s="145">
        <f t="shared" si="149"/>
        <v>0.9996189024390244</v>
      </c>
      <c r="R1239" s="144"/>
      <c r="S1239" s="153"/>
      <c r="T1239" s="140"/>
      <c r="V1239" s="381"/>
      <c r="W1239" s="421"/>
      <c r="X1239" s="381"/>
      <c r="Y1239" s="421"/>
      <c r="Z1239" s="421"/>
      <c r="AA1239" s="421"/>
      <c r="AB1239" s="421"/>
      <c r="AC1239" s="421"/>
      <c r="AD1239" s="421"/>
    </row>
    <row r="1240" spans="1:30" s="146" customFormat="1" x14ac:dyDescent="0.4">
      <c r="A1240" s="182">
        <v>45698</v>
      </c>
      <c r="B1240" s="139" t="s">
        <v>539</v>
      </c>
      <c r="C1240" s="140" t="str">
        <f>VLOOKUP(B1240,'112年全品項生產鍋數'!A:H,2,0)</f>
        <v>文旦柚茶(1*420g)</v>
      </c>
      <c r="D1240" s="290">
        <v>6</v>
      </c>
      <c r="E1240" s="141">
        <f>VLOOKUP(B1240,'112年全品項生產鍋數'!A:H,3,0)</f>
        <v>0.42</v>
      </c>
      <c r="F1240" s="142">
        <f>VLOOKUP(B1240,'112年全品項生產鍋數'!A:H,7,0)</f>
        <v>365.1</v>
      </c>
      <c r="G1240" s="143">
        <f t="shared" si="144"/>
        <v>2190.6000000000004</v>
      </c>
      <c r="H1240" s="158">
        <v>2211</v>
      </c>
      <c r="I1240" s="144">
        <f t="shared" si="145"/>
        <v>928.62</v>
      </c>
      <c r="J1240" s="100">
        <f t="shared" si="146"/>
        <v>1.0093125171185975</v>
      </c>
      <c r="K1240" s="51">
        <f>VLOOKUP(B:B,'生產達成率(目標)'!A:C,3,0)</f>
        <v>1</v>
      </c>
      <c r="L1240" s="20">
        <f t="shared" si="147"/>
        <v>8.9999999999999993E-3</v>
      </c>
      <c r="M1240" s="137" t="str">
        <f>工時!R424</f>
        <v>240</v>
      </c>
      <c r="N1240" s="144"/>
      <c r="O1240" s="186">
        <f t="shared" si="148"/>
        <v>9</v>
      </c>
      <c r="P1240" s="156">
        <v>2202</v>
      </c>
      <c r="Q1240" s="145">
        <f t="shared" si="149"/>
        <v>0.99592944369063774</v>
      </c>
      <c r="R1240" s="144"/>
      <c r="S1240" s="153"/>
      <c r="T1240" s="140"/>
      <c r="V1240" s="381"/>
      <c r="W1240" s="421"/>
      <c r="X1240" s="381"/>
      <c r="Y1240" s="421"/>
      <c r="Z1240" s="421"/>
      <c r="AA1240" s="421"/>
      <c r="AB1240" s="421"/>
      <c r="AC1240" s="421"/>
      <c r="AD1240" s="421"/>
    </row>
    <row r="1241" spans="1:30" x14ac:dyDescent="0.4">
      <c r="A1241" s="181">
        <v>45698</v>
      </c>
      <c r="B1241" s="139" t="s">
        <v>71</v>
      </c>
      <c r="C1241" s="30" t="str">
        <f>VLOOKUP(B1241,'112年全品項生產鍋數'!A:H,2,0)</f>
        <v>＃1草莓(1*3.2kg)</v>
      </c>
      <c r="D1241" s="290">
        <v>36</v>
      </c>
      <c r="E1241" s="48">
        <f>VLOOKUP(B1241,'112年全品項生產鍋數'!A:H,3,0)</f>
        <v>3.2</v>
      </c>
      <c r="F1241" s="45">
        <f>VLOOKUP(B1241,'112年全品項生產鍋數'!A:H,7,0)</f>
        <v>46.8</v>
      </c>
      <c r="G1241" s="49">
        <f t="shared" si="144"/>
        <v>1684.8</v>
      </c>
      <c r="H1241" s="158">
        <v>1665</v>
      </c>
      <c r="I1241" s="23">
        <f t="shared" si="145"/>
        <v>5328</v>
      </c>
      <c r="J1241" s="100">
        <f t="shared" si="146"/>
        <v>0.98824786324786329</v>
      </c>
      <c r="K1241" s="51">
        <f>VLOOKUP(B:B,'生產達成率(目標)'!A:C,3,0)</f>
        <v>1</v>
      </c>
      <c r="L1241" s="20">
        <f t="shared" si="147"/>
        <v>-1.2E-2</v>
      </c>
      <c r="M1241" s="137" t="str">
        <f>工時!R425</f>
        <v>390</v>
      </c>
      <c r="N1241" s="144"/>
      <c r="O1241" s="144">
        <f t="shared" si="148"/>
        <v>0</v>
      </c>
      <c r="P1241" s="156">
        <v>1665</v>
      </c>
      <c r="Q1241" s="98">
        <f t="shared" si="149"/>
        <v>1</v>
      </c>
      <c r="R1241" s="23"/>
      <c r="S1241" s="173"/>
      <c r="T1241" s="30"/>
    </row>
    <row r="1242" spans="1:30" x14ac:dyDescent="0.4">
      <c r="A1242" s="181">
        <v>45698</v>
      </c>
      <c r="B1242" s="139" t="s">
        <v>63</v>
      </c>
      <c r="C1242" s="30" t="str">
        <f>VLOOKUP(B1242,'112年全品項生產鍋數'!A:H,2,0)</f>
        <v>草莓蒟蒻餡(1*6kg)</v>
      </c>
      <c r="D1242" s="290">
        <v>20</v>
      </c>
      <c r="E1242" s="48">
        <f>VLOOKUP(B1242,'112年全品項生產鍋數'!A:H,3,0)</f>
        <v>6</v>
      </c>
      <c r="F1242" s="45">
        <f>VLOOKUP(B1242,'112年全品項生產鍋數'!A:H,7,0)</f>
        <v>25.7</v>
      </c>
      <c r="G1242" s="49">
        <f t="shared" si="144"/>
        <v>514</v>
      </c>
      <c r="H1242" s="158">
        <f>297+211</f>
        <v>508</v>
      </c>
      <c r="I1242" s="23">
        <f t="shared" si="145"/>
        <v>3048</v>
      </c>
      <c r="J1242" s="100">
        <f t="shared" si="146"/>
        <v>0.98832684824902728</v>
      </c>
      <c r="K1242" s="51">
        <f>VLOOKUP(B:B,'生產達成率(目標)'!A:C,3,0)</f>
        <v>1</v>
      </c>
      <c r="L1242" s="20">
        <f t="shared" si="147"/>
        <v>-1.2E-2</v>
      </c>
      <c r="M1242" s="137" t="str">
        <f>工時!R426</f>
        <v>322</v>
      </c>
      <c r="N1242" s="144"/>
      <c r="O1242" s="144">
        <f t="shared" si="148"/>
        <v>1</v>
      </c>
      <c r="P1242" s="156">
        <f>296+211</f>
        <v>507</v>
      </c>
      <c r="Q1242" s="98">
        <f t="shared" si="149"/>
        <v>0.99803149606299213</v>
      </c>
      <c r="R1242" s="23"/>
      <c r="S1242" s="173"/>
      <c r="T1242" s="30"/>
    </row>
    <row r="1243" spans="1:30" x14ac:dyDescent="0.4">
      <c r="A1243" s="181">
        <v>45698</v>
      </c>
      <c r="B1243" s="139" t="s">
        <v>64</v>
      </c>
      <c r="C1243" s="30" t="str">
        <f>VLOOKUP(B1243,'112年全品項生產鍋數'!A:H,2,0)</f>
        <v>藍莓餡(1*6KG)</v>
      </c>
      <c r="D1243" s="290">
        <v>16</v>
      </c>
      <c r="E1243" s="48">
        <f>VLOOKUP(B1243,'112年全品項生產鍋數'!A:H,3,0)</f>
        <v>6</v>
      </c>
      <c r="F1243" s="45">
        <f>VLOOKUP(B1243,'112年全品項生產鍋數'!A:H,7,0)</f>
        <v>25.4</v>
      </c>
      <c r="G1243" s="49">
        <f t="shared" si="144"/>
        <v>406.4</v>
      </c>
      <c r="H1243" s="158">
        <f>190+203</f>
        <v>393</v>
      </c>
      <c r="I1243" s="23">
        <f t="shared" si="145"/>
        <v>2358</v>
      </c>
      <c r="J1243" s="100">
        <f t="shared" si="146"/>
        <v>0.96702755905511817</v>
      </c>
      <c r="K1243" s="51">
        <f>VLOOKUP(B:B,'生產達成率(目標)'!A:C,3,0)</f>
        <v>1</v>
      </c>
      <c r="L1243" s="20">
        <f t="shared" si="147"/>
        <v>-3.3000000000000002E-2</v>
      </c>
      <c r="M1243" s="137" t="str">
        <f>工時!R427</f>
        <v>240</v>
      </c>
      <c r="N1243" s="144"/>
      <c r="O1243" s="144">
        <f t="shared" si="148"/>
        <v>2</v>
      </c>
      <c r="P1243" s="156">
        <f>189+202</f>
        <v>391</v>
      </c>
      <c r="Q1243" s="98">
        <f t="shared" si="149"/>
        <v>0.99491094147582693</v>
      </c>
      <c r="R1243" s="23"/>
      <c r="S1243" s="173"/>
      <c r="T1243" s="30"/>
    </row>
    <row r="1244" spans="1:30" x14ac:dyDescent="0.4">
      <c r="A1244" s="181">
        <v>45698</v>
      </c>
      <c r="B1244" s="139" t="s">
        <v>65</v>
      </c>
      <c r="C1244" s="30" t="str">
        <f>VLOOKUP(B1244,'112年全品項生產鍋數'!A:H,2,0)</f>
        <v>＃1花生(1*2.8kg)</v>
      </c>
      <c r="D1244" s="290">
        <v>60</v>
      </c>
      <c r="E1244" s="48">
        <f>VLOOKUP(B1244,'112年全品項生產鍋數'!A:H,3,0)</f>
        <v>2.8</v>
      </c>
      <c r="F1244" s="45">
        <f>VLOOKUP(B1244,'112年全品項生產鍋數'!A:H,7,0)</f>
        <v>44.5</v>
      </c>
      <c r="G1244" s="49">
        <f t="shared" si="144"/>
        <v>2670</v>
      </c>
      <c r="H1244" s="158">
        <f>600+2070</f>
        <v>2670</v>
      </c>
      <c r="I1244" s="23">
        <f t="shared" si="145"/>
        <v>7475.9999999999991</v>
      </c>
      <c r="J1244" s="100">
        <f t="shared" si="146"/>
        <v>1</v>
      </c>
      <c r="K1244" s="51">
        <f>VLOOKUP(B:B,'生產達成率(目標)'!A:C,3,0)</f>
        <v>1</v>
      </c>
      <c r="L1244" s="20">
        <f t="shared" si="147"/>
        <v>0</v>
      </c>
      <c r="M1244" s="137" t="str">
        <f>工時!R428</f>
        <v>600</v>
      </c>
      <c r="N1244" s="144"/>
      <c r="O1244" s="144">
        <f t="shared" si="148"/>
        <v>1</v>
      </c>
      <c r="P1244" s="156">
        <f>2069+600</f>
        <v>2669</v>
      </c>
      <c r="Q1244" s="98">
        <f t="shared" si="149"/>
        <v>0.99962546816479403</v>
      </c>
      <c r="R1244" s="23"/>
      <c r="S1244" s="173"/>
      <c r="T1244" s="30" t="s">
        <v>944</v>
      </c>
    </row>
    <row r="1245" spans="1:30" s="146" customFormat="1" x14ac:dyDescent="0.4">
      <c r="A1245" s="182">
        <v>45698</v>
      </c>
      <c r="B1245" s="139" t="s">
        <v>943</v>
      </c>
      <c r="C1245" s="140" t="str">
        <f>VLOOKUP(B1245,'112年全品項生產鍋數'!A:H,2,0)</f>
        <v>蜜桔皮(10kg/桶)</v>
      </c>
      <c r="D1245" s="290">
        <v>1</v>
      </c>
      <c r="E1245" s="141">
        <f>VLOOKUP(B1245,'112年全品項生產鍋數'!A:H,3,0)</f>
        <v>1</v>
      </c>
      <c r="F1245" s="142">
        <f>VLOOKUP(B1245,'112年全品項生產鍋數'!A:H,7,0)</f>
        <v>0</v>
      </c>
      <c r="G1245" s="143">
        <f t="shared" si="144"/>
        <v>0</v>
      </c>
      <c r="H1245" s="158">
        <v>560</v>
      </c>
      <c r="I1245" s="144">
        <f t="shared" si="145"/>
        <v>560</v>
      </c>
      <c r="J1245" s="100" t="str">
        <f t="shared" si="146"/>
        <v>無法預估數據</v>
      </c>
      <c r="K1245" s="51">
        <f>VLOOKUP(B:B,'生產達成率(目標)'!A:C,3,0)</f>
        <v>1</v>
      </c>
      <c r="L1245" s="20" t="str">
        <f t="shared" si="147"/>
        <v>無法預估數據</v>
      </c>
      <c r="M1245" s="137" t="str">
        <f>工時!R429</f>
        <v>0</v>
      </c>
      <c r="N1245" s="144"/>
      <c r="O1245" s="144">
        <f t="shared" si="148"/>
        <v>0</v>
      </c>
      <c r="P1245" s="156">
        <v>560</v>
      </c>
      <c r="Q1245" s="145">
        <f t="shared" si="149"/>
        <v>1</v>
      </c>
      <c r="R1245" s="144"/>
      <c r="S1245" s="153"/>
      <c r="T1245" s="140"/>
      <c r="V1245" s="381"/>
      <c r="W1245" s="421"/>
      <c r="X1245" s="381"/>
      <c r="Y1245" s="421"/>
      <c r="Z1245" s="421"/>
      <c r="AA1245" s="421"/>
      <c r="AB1245" s="421"/>
      <c r="AC1245" s="421"/>
      <c r="AD1245" s="421"/>
    </row>
    <row r="1246" spans="1:30" x14ac:dyDescent="0.4">
      <c r="A1246" s="181">
        <v>45699</v>
      </c>
      <c r="B1246" s="139" t="s">
        <v>54</v>
      </c>
      <c r="C1246" s="30" t="str">
        <f>VLOOKUP(B1246,'112年全品項生產鍋數'!A:H,2,0)</f>
        <v>草莓醬(1*6kg)</v>
      </c>
      <c r="D1246" s="290">
        <v>36</v>
      </c>
      <c r="E1246" s="48">
        <f>VLOOKUP(B1246,'112年全品項生產鍋數'!A:H,3,0)</f>
        <v>6</v>
      </c>
      <c r="F1246" s="45">
        <f>VLOOKUP(B1246,'112年全品項生產鍋數'!A:H,7,0)</f>
        <v>26.6</v>
      </c>
      <c r="G1246" s="49">
        <f t="shared" si="144"/>
        <v>957.6</v>
      </c>
      <c r="H1246" s="158">
        <v>946</v>
      </c>
      <c r="I1246" s="23">
        <f t="shared" si="145"/>
        <v>5676</v>
      </c>
      <c r="J1246" s="100">
        <f t="shared" si="146"/>
        <v>0.9878863826232247</v>
      </c>
      <c r="K1246" s="51">
        <f>VLOOKUP(B:B,'生產達成率(目標)'!A:C,3,0)</f>
        <v>1</v>
      </c>
      <c r="L1246" s="20">
        <f t="shared" si="147"/>
        <v>-1.2E-2</v>
      </c>
      <c r="M1246" s="137" t="str">
        <f>工時!R430</f>
        <v>510</v>
      </c>
      <c r="N1246" s="144"/>
      <c r="O1246" s="186">
        <f t="shared" si="148"/>
        <v>4</v>
      </c>
      <c r="P1246" s="156">
        <v>942</v>
      </c>
      <c r="Q1246" s="98">
        <f t="shared" si="149"/>
        <v>0.99577167019027479</v>
      </c>
      <c r="R1246" s="23"/>
      <c r="S1246" s="173"/>
      <c r="T1246" s="30"/>
    </row>
    <row r="1247" spans="1:30" x14ac:dyDescent="0.4">
      <c r="A1247" s="181">
        <v>45699</v>
      </c>
      <c r="B1247" s="139" t="s">
        <v>547</v>
      </c>
      <c r="C1247" s="30" t="str">
        <f>VLOOKUP(B1247,'112年全品項生產鍋數'!A:H,2,0)</f>
        <v>草莓果醬(桶)(1*9.5KG)</v>
      </c>
      <c r="D1247" s="290">
        <v>8</v>
      </c>
      <c r="E1247" s="48">
        <f>VLOOKUP(B1247,'112年全品項生產鍋數'!A:H,3,0)</f>
        <v>9.5</v>
      </c>
      <c r="F1247" s="45">
        <f>VLOOKUP(B1247,'112年全品項生產鍋數'!A:H,7,0)</f>
        <v>16.600000000000001</v>
      </c>
      <c r="G1247" s="49">
        <f t="shared" si="144"/>
        <v>132.80000000000001</v>
      </c>
      <c r="H1247" s="158">
        <v>128</v>
      </c>
      <c r="I1247" s="23">
        <f t="shared" si="145"/>
        <v>1216</v>
      </c>
      <c r="J1247" s="100">
        <f t="shared" si="146"/>
        <v>0.96385542168674687</v>
      </c>
      <c r="K1247" s="51">
        <f>VLOOKUP(B:B,'生產達成率(目標)'!A:C,3,0)</f>
        <v>1</v>
      </c>
      <c r="L1247" s="20">
        <f t="shared" si="147"/>
        <v>-3.5999999999999997E-2</v>
      </c>
      <c r="M1247" s="137" t="str">
        <f>工時!R431</f>
        <v>220</v>
      </c>
      <c r="N1247" s="144"/>
      <c r="O1247" s="144">
        <f t="shared" si="148"/>
        <v>0</v>
      </c>
      <c r="P1247" s="156">
        <v>128</v>
      </c>
      <c r="Q1247" s="98">
        <f t="shared" si="149"/>
        <v>1</v>
      </c>
      <c r="R1247" s="23"/>
      <c r="S1247" s="173"/>
      <c r="T1247" s="30"/>
    </row>
    <row r="1248" spans="1:30" x14ac:dyDescent="0.4">
      <c r="A1248" s="181">
        <v>45699</v>
      </c>
      <c r="B1248" s="139" t="s">
        <v>115</v>
      </c>
      <c r="C1248" s="30" t="str">
        <f>VLOOKUP(B1248,'112年全品項生產鍋數'!A:H,2,0)</f>
        <v>天天開心藍莓餡4.5KG</v>
      </c>
      <c r="D1248" s="290">
        <v>12</v>
      </c>
      <c r="E1248" s="48">
        <f>VLOOKUP(B1248,'112年全品項生產鍋數'!A:H,3,0)</f>
        <v>4.5</v>
      </c>
      <c r="F1248" s="45">
        <f>VLOOKUP(B1248,'112年全品項生產鍋數'!A:H,7,0)</f>
        <v>36.799999999999997</v>
      </c>
      <c r="G1248" s="49">
        <f t="shared" si="144"/>
        <v>441.59999999999997</v>
      </c>
      <c r="H1248" s="158">
        <v>443</v>
      </c>
      <c r="I1248" s="23">
        <f t="shared" si="145"/>
        <v>1993.5</v>
      </c>
      <c r="J1248" s="100">
        <f t="shared" si="146"/>
        <v>1.0031702898550725</v>
      </c>
      <c r="K1248" s="51">
        <f>VLOOKUP(B:B,'生產達成率(目標)'!A:C,3,0)</f>
        <v>1</v>
      </c>
      <c r="L1248" s="20">
        <f t="shared" si="147"/>
        <v>3.0000000000000001E-3</v>
      </c>
      <c r="M1248" s="137" t="str">
        <f>工時!R432</f>
        <v>214</v>
      </c>
      <c r="N1248" s="144"/>
      <c r="O1248" s="144">
        <f t="shared" si="148"/>
        <v>0</v>
      </c>
      <c r="P1248" s="156">
        <v>443</v>
      </c>
      <c r="Q1248" s="98">
        <f t="shared" si="149"/>
        <v>1</v>
      </c>
      <c r="R1248" s="23"/>
      <c r="S1248" s="173"/>
      <c r="T1248" s="30"/>
    </row>
    <row r="1249" spans="1:30" x14ac:dyDescent="0.4">
      <c r="A1249" s="181">
        <v>45699</v>
      </c>
      <c r="B1249" s="139" t="s">
        <v>130</v>
      </c>
      <c r="C1249" s="30" t="str">
        <f>VLOOKUP(B1249,'112年全品項生產鍋數'!A:H,2,0)</f>
        <v>天天開心柳橙餡4.5KG</v>
      </c>
      <c r="D1249" s="290">
        <v>12</v>
      </c>
      <c r="E1249" s="48">
        <f>VLOOKUP(B1249,'112年全品項生產鍋數'!A:H,3,0)</f>
        <v>4.5</v>
      </c>
      <c r="F1249" s="45">
        <f>VLOOKUP(B1249,'112年全品項生產鍋數'!A:H,7,0)</f>
        <v>34.9</v>
      </c>
      <c r="G1249" s="49">
        <f t="shared" si="144"/>
        <v>418.79999999999995</v>
      </c>
      <c r="H1249" s="158">
        <v>427</v>
      </c>
      <c r="I1249" s="23">
        <f t="shared" si="145"/>
        <v>1921.5</v>
      </c>
      <c r="J1249" s="100">
        <f t="shared" si="146"/>
        <v>1.0195797516714424</v>
      </c>
      <c r="K1249" s="51">
        <f>VLOOKUP(B:B,'生產達成率(目標)'!A:C,3,0)</f>
        <v>1</v>
      </c>
      <c r="L1249" s="20">
        <f t="shared" si="147"/>
        <v>0.02</v>
      </c>
      <c r="M1249" s="137" t="str">
        <f>工時!R433</f>
        <v>290</v>
      </c>
      <c r="N1249" s="144"/>
      <c r="O1249" s="144">
        <f t="shared" si="148"/>
        <v>0</v>
      </c>
      <c r="P1249" s="156">
        <v>427</v>
      </c>
      <c r="Q1249" s="98">
        <f t="shared" si="149"/>
        <v>1</v>
      </c>
      <c r="R1249" s="23"/>
      <c r="S1249" s="173"/>
      <c r="T1249" s="30"/>
    </row>
    <row r="1250" spans="1:30" x14ac:dyDescent="0.4">
      <c r="A1250" s="181">
        <v>45699</v>
      </c>
      <c r="B1250" s="139" t="s">
        <v>96</v>
      </c>
      <c r="C1250" s="30" t="str">
        <f>VLOOKUP(B1250,'112年全品項生產鍋數'!A:H,2,0)</f>
        <v>PET瓶花生(1*340g)</v>
      </c>
      <c r="D1250" s="290">
        <v>16</v>
      </c>
      <c r="E1250" s="48">
        <f>VLOOKUP(B1250,'112年全品項生產鍋數'!A:H,3,0)</f>
        <v>0.34</v>
      </c>
      <c r="F1250" s="45">
        <f>VLOOKUP(B1250,'112年全品項生產鍋數'!A:H,7,0)</f>
        <v>358.3</v>
      </c>
      <c r="G1250" s="49">
        <f t="shared" ref="G1250:G1294" si="150">D1250*F1250</f>
        <v>5732.8</v>
      </c>
      <c r="H1250" s="158">
        <f>3205+2402</f>
        <v>5607</v>
      </c>
      <c r="I1250" s="23">
        <f t="shared" ref="I1250:I1295" si="151">H1250*E1250</f>
        <v>1906.38</v>
      </c>
      <c r="J1250" s="100">
        <f t="shared" ref="J1250:J1294" si="152">IF(G1250=0,"無法預估數據",H1250/G1250)</f>
        <v>0.97805609824169693</v>
      </c>
      <c r="K1250" s="51">
        <f>VLOOKUP(B:B,'生產達成率(目標)'!A:C,3,0)</f>
        <v>1</v>
      </c>
      <c r="L1250" s="20">
        <f t="shared" ref="L1250:L1295" si="153">IF(G1250=0,"無法預估數據",ROUND(J1250-K1250,3))</f>
        <v>-2.1999999999999999E-2</v>
      </c>
      <c r="M1250" s="137" t="str">
        <f>工時!R434</f>
        <v>245</v>
      </c>
      <c r="N1250" s="144"/>
      <c r="O1250" s="186">
        <f t="shared" ref="O1250:O1295" si="154">H1250-N1250-P1250</f>
        <v>5</v>
      </c>
      <c r="P1250" s="156">
        <f>3202+2400</f>
        <v>5602</v>
      </c>
      <c r="Q1250" s="98">
        <f t="shared" ref="Q1250:Q1295" si="155">P1250/H1250</f>
        <v>0.99910825753522381</v>
      </c>
      <c r="R1250" s="23"/>
      <c r="S1250" s="173"/>
      <c r="T1250" s="30" t="s">
        <v>945</v>
      </c>
    </row>
    <row r="1251" spans="1:30" x14ac:dyDescent="0.4">
      <c r="A1251" s="181">
        <v>45699</v>
      </c>
      <c r="B1251" s="139" t="s">
        <v>65</v>
      </c>
      <c r="C1251" s="30" t="str">
        <f>VLOOKUP(B1251,'112年全品項生產鍋數'!A:H,2,0)</f>
        <v>＃1花生(1*2.8kg)</v>
      </c>
      <c r="D1251" s="290">
        <v>32</v>
      </c>
      <c r="E1251" s="48">
        <f>VLOOKUP(B1251,'112年全品項生產鍋數'!A:H,3,0)</f>
        <v>2.8</v>
      </c>
      <c r="F1251" s="45">
        <f>VLOOKUP(B1251,'112年全品項生產鍋數'!A:H,7,0)</f>
        <v>44.5</v>
      </c>
      <c r="G1251" s="49">
        <f t="shared" si="150"/>
        <v>1424</v>
      </c>
      <c r="H1251" s="158">
        <v>1459</v>
      </c>
      <c r="I1251" s="23">
        <f t="shared" si="151"/>
        <v>4085.2</v>
      </c>
      <c r="J1251" s="100">
        <f t="shared" si="152"/>
        <v>1.0245786516853932</v>
      </c>
      <c r="K1251" s="51">
        <f>VLOOKUP(B:B,'生產達成率(目標)'!A:C,3,0)</f>
        <v>1</v>
      </c>
      <c r="L1251" s="20">
        <f t="shared" si="153"/>
        <v>2.5000000000000001E-2</v>
      </c>
      <c r="M1251" s="137" t="str">
        <f>工時!R435</f>
        <v>400</v>
      </c>
      <c r="N1251" s="144"/>
      <c r="O1251" s="186">
        <f t="shared" si="154"/>
        <v>2</v>
      </c>
      <c r="P1251" s="156">
        <v>1457</v>
      </c>
      <c r="Q1251" s="98">
        <f t="shared" si="155"/>
        <v>0.99862919808087736</v>
      </c>
      <c r="R1251" s="23"/>
      <c r="S1251" s="173"/>
      <c r="T1251" s="30"/>
    </row>
    <row r="1252" spans="1:30" x14ac:dyDescent="0.4">
      <c r="A1252" s="181">
        <v>45700</v>
      </c>
      <c r="B1252" s="139" t="s">
        <v>77</v>
      </c>
      <c r="C1252" s="30" t="str">
        <f>VLOOKUP(B1252,'112年全品項生產鍋數'!A:H,2,0)</f>
        <v>草莓餡50°(1*6Kg)</v>
      </c>
      <c r="D1252" s="290">
        <v>8</v>
      </c>
      <c r="E1252" s="48">
        <f>VLOOKUP(B1252,'112年全品項生產鍋數'!A:H,3,0)</f>
        <v>6</v>
      </c>
      <c r="F1252" s="45">
        <f>VLOOKUP(B1252,'112年全品項生產鍋數'!A:H,7,0)</f>
        <v>25</v>
      </c>
      <c r="G1252" s="49">
        <f t="shared" si="150"/>
        <v>200</v>
      </c>
      <c r="H1252" s="158">
        <v>198</v>
      </c>
      <c r="I1252" s="23">
        <f t="shared" si="151"/>
        <v>1188</v>
      </c>
      <c r="J1252" s="100">
        <f t="shared" si="152"/>
        <v>0.99</v>
      </c>
      <c r="K1252" s="51">
        <f>VLOOKUP(B:B,'生產達成率(目標)'!A:C,3,0)</f>
        <v>1</v>
      </c>
      <c r="L1252" s="20">
        <f t="shared" si="153"/>
        <v>-0.01</v>
      </c>
      <c r="M1252" s="137" t="str">
        <f>工時!R436</f>
        <v>150</v>
      </c>
      <c r="N1252" s="144"/>
      <c r="O1252" s="144">
        <f t="shared" si="154"/>
        <v>1</v>
      </c>
      <c r="P1252" s="156">
        <v>197</v>
      </c>
      <c r="Q1252" s="98">
        <f t="shared" si="155"/>
        <v>0.99494949494949492</v>
      </c>
      <c r="R1252" s="23"/>
      <c r="S1252" s="173"/>
      <c r="T1252" s="30"/>
    </row>
    <row r="1253" spans="1:30" x14ac:dyDescent="0.4">
      <c r="A1253" s="181">
        <v>45700</v>
      </c>
      <c r="B1253" s="139" t="s">
        <v>63</v>
      </c>
      <c r="C1253" s="30" t="str">
        <f>VLOOKUP(B1253,'112年全品項生產鍋數'!A:H,2,0)</f>
        <v>草莓蒟蒻餡(1*6kg)</v>
      </c>
      <c r="D1253" s="290">
        <v>28</v>
      </c>
      <c r="E1253" s="48">
        <f>VLOOKUP(B1253,'112年全品項生產鍋數'!A:H,3,0)</f>
        <v>6</v>
      </c>
      <c r="F1253" s="45">
        <f>VLOOKUP(B1253,'112年全品項生產鍋數'!A:H,7,0)</f>
        <v>25.7</v>
      </c>
      <c r="G1253" s="49">
        <f t="shared" si="150"/>
        <v>719.6</v>
      </c>
      <c r="H1253" s="158">
        <f>413+308</f>
        <v>721</v>
      </c>
      <c r="I1253" s="23">
        <f t="shared" si="151"/>
        <v>4326</v>
      </c>
      <c r="J1253" s="100">
        <f t="shared" si="152"/>
        <v>1.0019455252918288</v>
      </c>
      <c r="K1253" s="51">
        <f>VLOOKUP(B:B,'生產達成率(目標)'!A:C,3,0)</f>
        <v>1</v>
      </c>
      <c r="L1253" s="20">
        <f t="shared" si="153"/>
        <v>2E-3</v>
      </c>
      <c r="M1253" s="137" t="str">
        <f>工時!R437</f>
        <v>409</v>
      </c>
      <c r="N1253" s="144"/>
      <c r="O1253" s="186">
        <f t="shared" si="154"/>
        <v>4</v>
      </c>
      <c r="P1253" s="156">
        <f>412+305</f>
        <v>717</v>
      </c>
      <c r="Q1253" s="98">
        <f t="shared" si="155"/>
        <v>0.99445214979195562</v>
      </c>
      <c r="R1253" s="23"/>
      <c r="S1253" s="173"/>
      <c r="T1253" s="30"/>
    </row>
    <row r="1254" spans="1:30" x14ac:dyDescent="0.4">
      <c r="A1254" s="181">
        <v>45700</v>
      </c>
      <c r="B1254" s="139" t="s">
        <v>73</v>
      </c>
      <c r="C1254" s="30" t="str">
        <f>VLOOKUP(B1254,'112年全品項生產鍋數'!A:H,2,0)</f>
        <v>顆粒花生醬(1*12KG)</v>
      </c>
      <c r="D1254" s="290">
        <v>21</v>
      </c>
      <c r="E1254" s="48">
        <f>VLOOKUP(B1254,'112年全品項生產鍋數'!A:H,3,0)</f>
        <v>3</v>
      </c>
      <c r="F1254" s="45">
        <f>VLOOKUP(B1254,'112年全品項生產鍋數'!A:H,7,0)</f>
        <v>29.7</v>
      </c>
      <c r="G1254" s="49">
        <f t="shared" si="150"/>
        <v>623.69999999999993</v>
      </c>
      <c r="H1254" s="158">
        <v>632</v>
      </c>
      <c r="I1254" s="23">
        <f t="shared" si="151"/>
        <v>1896</v>
      </c>
      <c r="J1254" s="100">
        <f t="shared" si="152"/>
        <v>1.0133076799743468</v>
      </c>
      <c r="K1254" s="51">
        <f>VLOOKUP(B:B,'生產達成率(目標)'!A:C,3,0)</f>
        <v>1</v>
      </c>
      <c r="L1254" s="20">
        <f t="shared" si="153"/>
        <v>1.2999999999999999E-2</v>
      </c>
      <c r="M1254" s="137" t="str">
        <f>工時!R438</f>
        <v>540</v>
      </c>
      <c r="N1254" s="144"/>
      <c r="O1254" s="144">
        <f t="shared" si="154"/>
        <v>0</v>
      </c>
      <c r="P1254" s="156">
        <v>632</v>
      </c>
      <c r="Q1254" s="98">
        <f t="shared" si="155"/>
        <v>1</v>
      </c>
      <c r="R1254" s="23" t="s">
        <v>1037</v>
      </c>
      <c r="S1254" s="173"/>
      <c r="T1254" s="30" t="s">
        <v>1038</v>
      </c>
    </row>
    <row r="1255" spans="1:30" x14ac:dyDescent="0.4">
      <c r="A1255" s="181">
        <v>45700</v>
      </c>
      <c r="B1255" s="139" t="s">
        <v>65</v>
      </c>
      <c r="C1255" s="30" t="str">
        <f>VLOOKUP(B1255,'112年全品項生產鍋數'!A:H,2,0)</f>
        <v>＃1花生(1*2.8kg)</v>
      </c>
      <c r="D1255" s="290">
        <v>60</v>
      </c>
      <c r="E1255" s="48">
        <f>VLOOKUP(B1255,'112年全品項生產鍋數'!A:H,3,0)</f>
        <v>2.8</v>
      </c>
      <c r="F1255" s="45">
        <f>VLOOKUP(B1255,'112年全品項生產鍋數'!A:H,7,0)</f>
        <v>44.5</v>
      </c>
      <c r="G1255" s="49">
        <f>D1255*F1255-(15*18/E1255)</f>
        <v>2573.5714285714284</v>
      </c>
      <c r="H1255" s="158">
        <v>2584</v>
      </c>
      <c r="I1255" s="23">
        <f t="shared" si="151"/>
        <v>7235.2</v>
      </c>
      <c r="J1255" s="100">
        <f t="shared" si="152"/>
        <v>1.004052178739939</v>
      </c>
      <c r="K1255" s="51">
        <f>VLOOKUP(B:B,'生產達成率(目標)'!A:C,3,0)</f>
        <v>1</v>
      </c>
      <c r="L1255" s="20">
        <f t="shared" si="153"/>
        <v>4.0000000000000001E-3</v>
      </c>
      <c r="M1255" s="137" t="str">
        <f>工時!R439</f>
        <v>540</v>
      </c>
      <c r="N1255" s="144"/>
      <c r="O1255" s="144">
        <f t="shared" si="154"/>
        <v>3</v>
      </c>
      <c r="P1255" s="156">
        <v>2581</v>
      </c>
      <c r="Q1255" s="98">
        <f t="shared" si="155"/>
        <v>0.99883900928792568</v>
      </c>
      <c r="R1255" s="23"/>
      <c r="S1255" s="173"/>
      <c r="T1255" s="30" t="s">
        <v>946</v>
      </c>
    </row>
    <row r="1256" spans="1:30" x14ac:dyDescent="0.4">
      <c r="A1256" s="181">
        <v>45701</v>
      </c>
      <c r="B1256" s="139" t="s">
        <v>87</v>
      </c>
      <c r="C1256" s="30" t="str">
        <f>VLOOKUP(B1256,'112年全品項生產鍋數'!A:H,2,0)</f>
        <v>＃1藍莓(1*3.2kg)</v>
      </c>
      <c r="D1256" s="290">
        <v>36</v>
      </c>
      <c r="E1256" s="48">
        <f>VLOOKUP(B1256,'112年全品項生產鍋數'!A:H,3,0)</f>
        <v>3.2</v>
      </c>
      <c r="F1256" s="45">
        <f>VLOOKUP(B1256,'112年全品項生產鍋數'!A:H,7,0)</f>
        <v>47.5</v>
      </c>
      <c r="G1256" s="49">
        <f t="shared" si="150"/>
        <v>1710</v>
      </c>
      <c r="H1256" s="158">
        <v>1671</v>
      </c>
      <c r="I1256" s="23">
        <f t="shared" si="151"/>
        <v>5347.2000000000007</v>
      </c>
      <c r="J1256" s="100">
        <f t="shared" si="152"/>
        <v>0.97719298245614039</v>
      </c>
      <c r="K1256" s="51">
        <f>VLOOKUP(B:B,'生產達成率(目標)'!A:C,3,0)</f>
        <v>1</v>
      </c>
      <c r="L1256" s="20">
        <f t="shared" si="153"/>
        <v>-2.3E-2</v>
      </c>
      <c r="M1256" s="137" t="str">
        <f>工時!R440</f>
        <v>540</v>
      </c>
      <c r="N1256" s="144"/>
      <c r="O1256" s="144">
        <f t="shared" si="154"/>
        <v>1</v>
      </c>
      <c r="P1256" s="156">
        <v>1670</v>
      </c>
      <c r="Q1256" s="98">
        <f t="shared" si="155"/>
        <v>0.99940155595451829</v>
      </c>
      <c r="R1256" s="23"/>
      <c r="S1256" s="173"/>
      <c r="T1256" s="30"/>
    </row>
    <row r="1257" spans="1:30" x14ac:dyDescent="0.4">
      <c r="A1257" s="181">
        <v>45701</v>
      </c>
      <c r="B1257" s="139" t="s">
        <v>532</v>
      </c>
      <c r="C1257" s="30" t="str">
        <f>VLOOKUP(B1257,'112年全品項生產鍋數'!A:H,2,0)</f>
        <v>特殊藍莓餡(1*9.08kg)</v>
      </c>
      <c r="D1257" s="290">
        <v>12</v>
      </c>
      <c r="E1257" s="48">
        <f>VLOOKUP(B1257,'112年全品項生產鍋數'!A:H,3,0)</f>
        <v>9.08</v>
      </c>
      <c r="F1257" s="45">
        <f>VLOOKUP(B1257,'112年全品項生產鍋數'!A:H,7,0)</f>
        <v>17.5</v>
      </c>
      <c r="G1257" s="49">
        <f t="shared" si="150"/>
        <v>210</v>
      </c>
      <c r="H1257" s="158">
        <v>210</v>
      </c>
      <c r="I1257" s="23">
        <f t="shared" si="151"/>
        <v>1906.8</v>
      </c>
      <c r="J1257" s="100">
        <f t="shared" si="152"/>
        <v>1</v>
      </c>
      <c r="K1257" s="51">
        <f>VLOOKUP(B:B,'生產達成率(目標)'!A:C,3,0)</f>
        <v>1</v>
      </c>
      <c r="L1257" s="20">
        <f t="shared" si="153"/>
        <v>0</v>
      </c>
      <c r="M1257" s="137" t="str">
        <f>工時!R441</f>
        <v>300</v>
      </c>
      <c r="N1257" s="144"/>
      <c r="O1257" s="144">
        <f t="shared" si="154"/>
        <v>0</v>
      </c>
      <c r="P1257" s="156">
        <v>210</v>
      </c>
      <c r="Q1257" s="98">
        <f t="shared" si="155"/>
        <v>1</v>
      </c>
      <c r="R1257" s="23"/>
      <c r="S1257" s="173"/>
      <c r="T1257" s="30"/>
    </row>
    <row r="1258" spans="1:30" s="146" customFormat="1" ht="18" customHeight="1" x14ac:dyDescent="0.4">
      <c r="A1258" s="182">
        <v>45701</v>
      </c>
      <c r="B1258" s="139" t="s">
        <v>83</v>
      </c>
      <c r="C1258" s="140" t="str">
        <f>VLOOKUP(B1258,'112年全品項生產鍋數'!A:H,2,0)</f>
        <v>PET瓶花生(粒)(1*340g)</v>
      </c>
      <c r="D1258" s="290">
        <v>16</v>
      </c>
      <c r="E1258" s="141">
        <f>VLOOKUP(B1258,'112年全品項生產鍋數'!A:H,3,0)</f>
        <v>0.34</v>
      </c>
      <c r="F1258" s="142">
        <f>VLOOKUP(B1258,'112年全品項生產鍋數'!A:H,7,0)</f>
        <v>366</v>
      </c>
      <c r="G1258" s="143">
        <f t="shared" si="150"/>
        <v>5856</v>
      </c>
      <c r="H1258" s="158">
        <f>3490+2402</f>
        <v>5892</v>
      </c>
      <c r="I1258" s="144">
        <f t="shared" si="151"/>
        <v>2003.2800000000002</v>
      </c>
      <c r="J1258" s="100">
        <f t="shared" si="152"/>
        <v>1.0061475409836065</v>
      </c>
      <c r="K1258" s="51">
        <f>VLOOKUP(B:B,'生產達成率(目標)'!A:C,3,0)</f>
        <v>1</v>
      </c>
      <c r="L1258" s="20">
        <f t="shared" si="153"/>
        <v>6.0000000000000001E-3</v>
      </c>
      <c r="M1258" s="137" t="str">
        <f>工時!R442</f>
        <v>300</v>
      </c>
      <c r="N1258" s="144"/>
      <c r="O1258" s="144">
        <f t="shared" si="154"/>
        <v>5</v>
      </c>
      <c r="P1258" s="156">
        <f>3487+2400</f>
        <v>5887</v>
      </c>
      <c r="Q1258" s="145">
        <f t="shared" si="155"/>
        <v>0.99915139171758316</v>
      </c>
      <c r="R1258" s="144"/>
      <c r="S1258" s="153"/>
      <c r="T1258" s="140" t="s">
        <v>947</v>
      </c>
      <c r="V1258" s="381"/>
      <c r="W1258" s="421"/>
      <c r="X1258" s="381"/>
      <c r="Y1258" s="421"/>
      <c r="Z1258" s="421"/>
      <c r="AA1258" s="421"/>
      <c r="AB1258" s="421"/>
      <c r="AC1258" s="421"/>
      <c r="AD1258" s="421"/>
    </row>
    <row r="1259" spans="1:30" s="146" customFormat="1" x14ac:dyDescent="0.4">
      <c r="A1259" s="182">
        <v>45702</v>
      </c>
      <c r="B1259" s="139" t="s">
        <v>61</v>
      </c>
      <c r="C1259" s="140" t="str">
        <f>VLOOKUP(B1259,'112年全品項生產鍋數'!A:H,2,0)</f>
        <v>大圓草莓-新</v>
      </c>
      <c r="D1259" s="290">
        <v>40</v>
      </c>
      <c r="E1259" s="141">
        <f>VLOOKUP(B1259,'112年全品項生產鍋數'!A:H,3,0)</f>
        <v>0.44</v>
      </c>
      <c r="F1259" s="142">
        <f>VLOOKUP(B1259,'112年全品項生產鍋數'!A:H,7,0)</f>
        <v>344</v>
      </c>
      <c r="G1259" s="143">
        <f t="shared" si="150"/>
        <v>13760</v>
      </c>
      <c r="H1259" s="158">
        <v>13899</v>
      </c>
      <c r="I1259" s="144">
        <f t="shared" si="151"/>
        <v>6115.56</v>
      </c>
      <c r="J1259" s="100">
        <f t="shared" si="152"/>
        <v>1.0101017441860465</v>
      </c>
      <c r="K1259" s="51">
        <f>VLOOKUP(B:B,'生產達成率(目標)'!A:C,3,0)</f>
        <v>1</v>
      </c>
      <c r="L1259" s="20">
        <f t="shared" si="153"/>
        <v>0.01</v>
      </c>
      <c r="M1259" s="137" t="str">
        <f>工時!R443</f>
        <v>540</v>
      </c>
      <c r="N1259" s="144"/>
      <c r="O1259" s="186">
        <f t="shared" si="154"/>
        <v>8</v>
      </c>
      <c r="P1259" s="156">
        <v>13891</v>
      </c>
      <c r="Q1259" s="145">
        <f t="shared" si="155"/>
        <v>0.99942441902295132</v>
      </c>
      <c r="R1259" s="144"/>
      <c r="S1259" s="153"/>
      <c r="T1259" s="140"/>
      <c r="V1259" s="381"/>
      <c r="W1259" s="421"/>
      <c r="X1259" s="381"/>
      <c r="Y1259" s="421"/>
      <c r="Z1259" s="421"/>
      <c r="AA1259" s="421"/>
      <c r="AB1259" s="421"/>
      <c r="AC1259" s="421"/>
      <c r="AD1259" s="421"/>
    </row>
    <row r="1260" spans="1:30" s="146" customFormat="1" x14ac:dyDescent="0.4">
      <c r="A1260" s="182">
        <v>45702</v>
      </c>
      <c r="B1260" s="139" t="s">
        <v>81</v>
      </c>
      <c r="C1260" s="140" t="str">
        <f>VLOOKUP(B1260,'112年全品項生產鍋數'!A:H,2,0)</f>
        <v>藍莓餡(1*6Kg)</v>
      </c>
      <c r="D1260" s="290">
        <v>12</v>
      </c>
      <c r="E1260" s="141">
        <f>VLOOKUP(B1260,'112年全品項生產鍋數'!A:H,3,0)</f>
        <v>6</v>
      </c>
      <c r="F1260" s="142">
        <f>VLOOKUP(B1260,'112年全品項生產鍋數'!A:H,7,0)</f>
        <v>25.1</v>
      </c>
      <c r="G1260" s="143">
        <f t="shared" si="150"/>
        <v>301.20000000000005</v>
      </c>
      <c r="H1260" s="158">
        <v>299</v>
      </c>
      <c r="I1260" s="144">
        <f t="shared" si="151"/>
        <v>1794</v>
      </c>
      <c r="J1260" s="100">
        <f t="shared" si="152"/>
        <v>0.99269588313413004</v>
      </c>
      <c r="K1260" s="51">
        <f>VLOOKUP(B:B,'生產達成率(目標)'!A:C,3,0)</f>
        <v>1</v>
      </c>
      <c r="L1260" s="20">
        <f t="shared" si="153"/>
        <v>-7.0000000000000001E-3</v>
      </c>
      <c r="M1260" s="137" t="str">
        <f>工時!R444</f>
        <v>210</v>
      </c>
      <c r="N1260" s="144"/>
      <c r="O1260" s="186">
        <f t="shared" si="154"/>
        <v>3</v>
      </c>
      <c r="P1260" s="156">
        <v>296</v>
      </c>
      <c r="Q1260" s="145">
        <f t="shared" si="155"/>
        <v>0.98996655518394649</v>
      </c>
      <c r="R1260" s="144"/>
      <c r="S1260" s="153"/>
      <c r="T1260" s="140"/>
      <c r="V1260" s="381"/>
      <c r="W1260" s="421"/>
      <c r="X1260" s="381"/>
      <c r="Y1260" s="421"/>
      <c r="Z1260" s="421"/>
      <c r="AA1260" s="421"/>
      <c r="AB1260" s="421"/>
      <c r="AC1260" s="421"/>
      <c r="AD1260" s="421"/>
    </row>
    <row r="1261" spans="1:30" s="146" customFormat="1" x14ac:dyDescent="0.4">
      <c r="A1261" s="182">
        <v>45702</v>
      </c>
      <c r="B1261" s="139" t="s">
        <v>63</v>
      </c>
      <c r="C1261" s="140" t="str">
        <f>VLOOKUP(B1261,'112年全品項生產鍋數'!A:H,2,0)</f>
        <v>草莓蒟蒻餡(1*6kg)</v>
      </c>
      <c r="D1261" s="290">
        <v>24</v>
      </c>
      <c r="E1261" s="141">
        <f>VLOOKUP(B1261,'112年全品項生產鍋數'!A:H,3,0)</f>
        <v>6</v>
      </c>
      <c r="F1261" s="142">
        <f>VLOOKUP(B1261,'112年全品項生產鍋數'!A:H,7,0)</f>
        <v>25.7</v>
      </c>
      <c r="G1261" s="143">
        <f t="shared" si="150"/>
        <v>616.79999999999995</v>
      </c>
      <c r="H1261" s="188">
        <v>618</v>
      </c>
      <c r="I1261" s="144">
        <f t="shared" si="151"/>
        <v>3708</v>
      </c>
      <c r="J1261" s="100">
        <f t="shared" si="152"/>
        <v>1.0019455252918288</v>
      </c>
      <c r="K1261" s="51">
        <f>VLOOKUP(B:B,'生產達成率(目標)'!A:C,3,0)</f>
        <v>1</v>
      </c>
      <c r="L1261" s="20">
        <f t="shared" si="153"/>
        <v>2E-3</v>
      </c>
      <c r="M1261" s="137" t="str">
        <f>工時!R445</f>
        <v>346</v>
      </c>
      <c r="N1261" s="144"/>
      <c r="O1261" s="144">
        <f t="shared" si="154"/>
        <v>2</v>
      </c>
      <c r="P1261" s="144">
        <v>616</v>
      </c>
      <c r="Q1261" s="145">
        <f t="shared" si="155"/>
        <v>0.99676375404530748</v>
      </c>
      <c r="R1261" s="144"/>
      <c r="S1261" s="153"/>
      <c r="T1261" s="140" t="s">
        <v>950</v>
      </c>
      <c r="V1261" s="381"/>
      <c r="W1261" s="421"/>
      <c r="X1261" s="381"/>
      <c r="Y1261" s="421"/>
      <c r="Z1261" s="421"/>
      <c r="AA1261" s="421"/>
      <c r="AB1261" s="421"/>
      <c r="AC1261" s="421"/>
      <c r="AD1261" s="421"/>
    </row>
    <row r="1262" spans="1:30" s="146" customFormat="1" x14ac:dyDescent="0.4">
      <c r="A1262" s="182">
        <v>45702</v>
      </c>
      <c r="B1262" s="139" t="s">
        <v>104</v>
      </c>
      <c r="C1262" s="140" t="str">
        <f>VLOOKUP(B1262,'112年全品項生產鍋數'!A:H,2,0)</f>
        <v>＃1花生(粒)(1*2.8kg)</v>
      </c>
      <c r="D1262" s="290">
        <v>32</v>
      </c>
      <c r="E1262" s="141">
        <f>VLOOKUP(B1262,'112年全品項生產鍋數'!A:H,3,0)</f>
        <v>2.8</v>
      </c>
      <c r="F1262" s="142">
        <f>VLOOKUP(B1262,'112年全品項生產鍋數'!A:H,7,0)</f>
        <v>44.2</v>
      </c>
      <c r="G1262" s="143">
        <f>D1262*F1262-(10*18/E1262)</f>
        <v>1350.1142857142859</v>
      </c>
      <c r="H1262" s="158">
        <v>1305</v>
      </c>
      <c r="I1262" s="144">
        <f t="shared" si="151"/>
        <v>3653.9999999999995</v>
      </c>
      <c r="J1262" s="100">
        <f t="shared" si="152"/>
        <v>0.96658483937867679</v>
      </c>
      <c r="K1262" s="51">
        <f>VLOOKUP(B:B,'生產達成率(目標)'!A:C,3,0)</f>
        <v>1</v>
      </c>
      <c r="L1262" s="20">
        <f t="shared" si="153"/>
        <v>-3.3000000000000002E-2</v>
      </c>
      <c r="M1262" s="137" t="str">
        <f>工時!R446</f>
        <v>540</v>
      </c>
      <c r="N1262" s="144"/>
      <c r="O1262" s="144">
        <f t="shared" si="154"/>
        <v>1</v>
      </c>
      <c r="P1262" s="156">
        <v>1304</v>
      </c>
      <c r="Q1262" s="145">
        <f t="shared" si="155"/>
        <v>0.99923371647509573</v>
      </c>
      <c r="R1262" s="144"/>
      <c r="S1262" s="153"/>
      <c r="T1262" s="140" t="s">
        <v>948</v>
      </c>
      <c r="V1262" s="381"/>
      <c r="W1262" s="421"/>
      <c r="X1262" s="381"/>
      <c r="Y1262" s="421"/>
      <c r="Z1262" s="421"/>
      <c r="AA1262" s="421"/>
      <c r="AB1262" s="421"/>
      <c r="AC1262" s="421"/>
      <c r="AD1262" s="421"/>
    </row>
    <row r="1263" spans="1:30" s="146" customFormat="1" x14ac:dyDescent="0.4">
      <c r="A1263" s="182">
        <v>45702</v>
      </c>
      <c r="B1263" s="139" t="s">
        <v>642</v>
      </c>
      <c r="C1263" s="140" t="str">
        <f>VLOOKUP(B1263,'112年全品項生產鍋數'!A:H,2,0)</f>
        <v>＃2花生（粒）(1*800g)</v>
      </c>
      <c r="D1263" s="290">
        <v>20</v>
      </c>
      <c r="E1263" s="141">
        <f>VLOOKUP(B1263,'112年全品項生產鍋數'!A:H,3,0)</f>
        <v>0.8</v>
      </c>
      <c r="F1263" s="142">
        <f>VLOOKUP(B1263,'112年全品項生產鍋數'!A:H,7,0)</f>
        <v>155.5</v>
      </c>
      <c r="G1263" s="143">
        <f t="shared" si="150"/>
        <v>3110</v>
      </c>
      <c r="H1263" s="188">
        <v>3146</v>
      </c>
      <c r="I1263" s="144">
        <f t="shared" si="151"/>
        <v>2516.8000000000002</v>
      </c>
      <c r="J1263" s="100">
        <f t="shared" si="152"/>
        <v>1.0115755627009646</v>
      </c>
      <c r="K1263" s="51">
        <f>VLOOKUP(B:B,'生產達成率(目標)'!A:C,3,0)</f>
        <v>1</v>
      </c>
      <c r="L1263" s="20">
        <f t="shared" si="153"/>
        <v>1.2E-2</v>
      </c>
      <c r="M1263" s="137" t="str">
        <f>工時!R447</f>
        <v>540</v>
      </c>
      <c r="N1263" s="144"/>
      <c r="O1263" s="144">
        <f t="shared" si="154"/>
        <v>2</v>
      </c>
      <c r="P1263" s="156">
        <v>3144</v>
      </c>
      <c r="Q1263" s="145">
        <f t="shared" si="155"/>
        <v>0.99936427209154477</v>
      </c>
      <c r="R1263" s="144"/>
      <c r="S1263" s="153"/>
      <c r="T1263" s="140"/>
      <c r="V1263" s="381"/>
      <c r="W1263" s="421"/>
      <c r="X1263" s="381"/>
      <c r="Y1263" s="421"/>
      <c r="Z1263" s="421"/>
      <c r="AA1263" s="421"/>
      <c r="AB1263" s="421"/>
      <c r="AC1263" s="421"/>
      <c r="AD1263" s="421"/>
    </row>
    <row r="1264" spans="1:30" x14ac:dyDescent="0.4">
      <c r="A1264" s="181">
        <v>45705</v>
      </c>
      <c r="B1264" s="139" t="s">
        <v>80</v>
      </c>
      <c r="C1264" s="30" t="str">
        <f>VLOOKUP(B1264,'112年全品項生產鍋數'!A:H,2,0)</f>
        <v>＃1桔子(1*3.2kg)</v>
      </c>
      <c r="D1264" s="290">
        <v>32</v>
      </c>
      <c r="E1264" s="48">
        <f>VLOOKUP(B1264,'112年全品項生產鍋數'!A:H,3,0)</f>
        <v>3.2</v>
      </c>
      <c r="F1264" s="45">
        <f>VLOOKUP(B1264,'112年全品項生產鍋數'!A:H,7,0)</f>
        <v>46.4</v>
      </c>
      <c r="G1264" s="49">
        <f t="shared" si="150"/>
        <v>1484.8</v>
      </c>
      <c r="H1264" s="158">
        <v>1478</v>
      </c>
      <c r="I1264" s="23">
        <f t="shared" si="151"/>
        <v>4729.6000000000004</v>
      </c>
      <c r="J1264" s="100">
        <f t="shared" si="152"/>
        <v>0.99542025862068972</v>
      </c>
      <c r="K1264" s="51">
        <f>VLOOKUP(B:B,'生產達成率(目標)'!A:C,3,0)</f>
        <v>1</v>
      </c>
      <c r="L1264" s="20">
        <f t="shared" si="153"/>
        <v>-5.0000000000000001E-3</v>
      </c>
      <c r="M1264" s="137" t="str">
        <f>工時!R448</f>
        <v>270</v>
      </c>
      <c r="N1264" s="144"/>
      <c r="O1264" s="144">
        <f t="shared" si="154"/>
        <v>1</v>
      </c>
      <c r="P1264" s="156">
        <v>1477</v>
      </c>
      <c r="Q1264" s="98">
        <f t="shared" si="155"/>
        <v>0.99932341001353175</v>
      </c>
      <c r="R1264" s="23"/>
      <c r="S1264" s="173"/>
      <c r="T1264" s="30"/>
    </row>
    <row r="1265" spans="1:30" x14ac:dyDescent="0.4">
      <c r="A1265" s="181">
        <v>45705</v>
      </c>
      <c r="B1265" s="139" t="s">
        <v>109</v>
      </c>
      <c r="C1265" s="30" t="str">
        <f>VLOOKUP(B1265,'112年全品項生產鍋數'!A:H,2,0)</f>
        <v>蔓越莓醬(1*6KG)</v>
      </c>
      <c r="D1265" s="290">
        <v>12</v>
      </c>
      <c r="E1265" s="48">
        <f>VLOOKUP(B1265,'112年全品項生產鍋數'!A:H,3,0)</f>
        <v>6</v>
      </c>
      <c r="F1265" s="45">
        <f>VLOOKUP(B1265,'112年全品項生產鍋數'!A:H,7,0)</f>
        <v>25.6</v>
      </c>
      <c r="G1265" s="49">
        <f t="shared" si="150"/>
        <v>307.20000000000005</v>
      </c>
      <c r="H1265" s="158">
        <v>305</v>
      </c>
      <c r="I1265" s="23">
        <f t="shared" si="151"/>
        <v>1830</v>
      </c>
      <c r="J1265" s="100">
        <f t="shared" si="152"/>
        <v>0.99283854166666652</v>
      </c>
      <c r="K1265" s="51">
        <f>VLOOKUP(B:B,'生產達成率(目標)'!A:C,3,0)</f>
        <v>1</v>
      </c>
      <c r="L1265" s="20">
        <f t="shared" si="153"/>
        <v>-7.0000000000000001E-3</v>
      </c>
      <c r="M1265" s="137" t="str">
        <f>工時!R449</f>
        <v>254</v>
      </c>
      <c r="N1265" s="144"/>
      <c r="O1265" s="144">
        <f t="shared" si="154"/>
        <v>2</v>
      </c>
      <c r="P1265" s="156">
        <v>303</v>
      </c>
      <c r="Q1265" s="98">
        <f t="shared" si="155"/>
        <v>0.99344262295081964</v>
      </c>
      <c r="R1265" s="23"/>
      <c r="S1265" s="173"/>
      <c r="T1265" s="30"/>
    </row>
    <row r="1266" spans="1:30" x14ac:dyDescent="0.4">
      <c r="A1266" s="181">
        <v>45705</v>
      </c>
      <c r="B1266" s="139" t="s">
        <v>51</v>
      </c>
      <c r="C1266" s="30" t="str">
        <f>VLOOKUP(B1266,'112年全品項生產鍋數'!A:H,2,0)</f>
        <v>藍莓醬(1*6kg)</v>
      </c>
      <c r="D1266" s="290">
        <v>12</v>
      </c>
      <c r="E1266" s="48">
        <f>VLOOKUP(B1266,'112年全品項生產鍋數'!A:H,3,0)</f>
        <v>6</v>
      </c>
      <c r="F1266" s="45">
        <f>VLOOKUP(B1266,'112年全品項生產鍋數'!A:H,7,0)</f>
        <v>25.5</v>
      </c>
      <c r="G1266" s="49">
        <f t="shared" si="150"/>
        <v>306</v>
      </c>
      <c r="H1266" s="158">
        <v>296</v>
      </c>
      <c r="I1266" s="23">
        <f t="shared" si="151"/>
        <v>1776</v>
      </c>
      <c r="J1266" s="100">
        <f t="shared" si="152"/>
        <v>0.9673202614379085</v>
      </c>
      <c r="K1266" s="51">
        <f>VLOOKUP(B:B,'生產達成率(目標)'!A:C,3,0)</f>
        <v>1</v>
      </c>
      <c r="L1266" s="20">
        <f t="shared" si="153"/>
        <v>-3.3000000000000002E-2</v>
      </c>
      <c r="M1266" s="137" t="str">
        <f>工時!R450</f>
        <v>228</v>
      </c>
      <c r="N1266" s="144"/>
      <c r="O1266" s="144">
        <f t="shared" si="154"/>
        <v>2</v>
      </c>
      <c r="P1266" s="156">
        <v>294</v>
      </c>
      <c r="Q1266" s="98">
        <f t="shared" si="155"/>
        <v>0.9932432432432432</v>
      </c>
      <c r="R1266" s="23"/>
      <c r="S1266" s="173"/>
      <c r="T1266" s="30"/>
    </row>
    <row r="1267" spans="1:30" x14ac:dyDescent="0.4">
      <c r="A1267" s="181">
        <v>45705</v>
      </c>
      <c r="B1267" s="139" t="s">
        <v>93</v>
      </c>
      <c r="C1267" s="30" t="str">
        <f>VLOOKUP(B1267,'112年全品項生產鍋數'!A:H,2,0)</f>
        <v>草莓餡42°(1*6KG)</v>
      </c>
      <c r="D1267" s="290">
        <v>16</v>
      </c>
      <c r="E1267" s="48">
        <f>VLOOKUP(B1267,'112年全品項生產鍋數'!A:H,3,0)</f>
        <v>6</v>
      </c>
      <c r="F1267" s="45">
        <f>VLOOKUP(B1267,'112年全品項生產鍋數'!A:H,7,0)</f>
        <v>25.2</v>
      </c>
      <c r="G1267" s="49">
        <f t="shared" si="150"/>
        <v>403.2</v>
      </c>
      <c r="H1267" s="158">
        <v>402</v>
      </c>
      <c r="I1267" s="23">
        <f t="shared" si="151"/>
        <v>2412</v>
      </c>
      <c r="J1267" s="100">
        <f t="shared" si="152"/>
        <v>0.99702380952380953</v>
      </c>
      <c r="K1267" s="51">
        <f>VLOOKUP(B:B,'生產達成率(目標)'!A:C,3,0)</f>
        <v>1</v>
      </c>
      <c r="L1267" s="20">
        <f t="shared" si="153"/>
        <v>-3.0000000000000001E-3</v>
      </c>
      <c r="M1267" s="137" t="str">
        <f>工時!R451</f>
        <v>240</v>
      </c>
      <c r="N1267" s="144"/>
      <c r="O1267" s="144">
        <f t="shared" si="154"/>
        <v>2</v>
      </c>
      <c r="P1267" s="156">
        <v>400</v>
      </c>
      <c r="Q1267" s="98">
        <f t="shared" si="155"/>
        <v>0.99502487562189057</v>
      </c>
      <c r="R1267" s="23"/>
      <c r="S1267" s="173"/>
      <c r="T1267" s="30"/>
    </row>
    <row r="1268" spans="1:30" x14ac:dyDescent="0.4">
      <c r="A1268" s="181">
        <v>45705</v>
      </c>
      <c r="B1268" s="139" t="s">
        <v>357</v>
      </c>
      <c r="C1268" s="30" t="str">
        <f>VLOOKUP(B1268,'112年全品項生產鍋數'!A:H,2,0)</f>
        <v>草莓醬(1*6Kg)</v>
      </c>
      <c r="D1268" s="290">
        <v>4</v>
      </c>
      <c r="E1268" s="48">
        <f>VLOOKUP(B1268,'112年全品項生產鍋數'!A:H,3,0)</f>
        <v>6</v>
      </c>
      <c r="F1268" s="45">
        <f>VLOOKUP(B1268,'112年全品項生產鍋數'!A:H,7,0)</f>
        <v>25.5</v>
      </c>
      <c r="G1268" s="49">
        <f t="shared" si="150"/>
        <v>102</v>
      </c>
      <c r="H1268" s="158">
        <v>98</v>
      </c>
      <c r="I1268" s="23">
        <f t="shared" si="151"/>
        <v>588</v>
      </c>
      <c r="J1268" s="100">
        <f t="shared" si="152"/>
        <v>0.96078431372549022</v>
      </c>
      <c r="K1268" s="51">
        <f>VLOOKUP(B:B,'生產達成率(目標)'!A:C,3,0)</f>
        <v>1</v>
      </c>
      <c r="L1268" s="20">
        <f t="shared" si="153"/>
        <v>-3.9E-2</v>
      </c>
      <c r="M1268" s="137" t="str">
        <f>工時!R452</f>
        <v>94</v>
      </c>
      <c r="N1268" s="144"/>
      <c r="O1268" s="144">
        <f t="shared" si="154"/>
        <v>1</v>
      </c>
      <c r="P1268" s="156">
        <v>97</v>
      </c>
      <c r="Q1268" s="98">
        <f t="shared" si="155"/>
        <v>0.98979591836734693</v>
      </c>
      <c r="R1268" s="23"/>
      <c r="S1268" s="173"/>
      <c r="T1268" s="30"/>
    </row>
    <row r="1269" spans="1:30" x14ac:dyDescent="0.4">
      <c r="A1269" s="181">
        <v>45705</v>
      </c>
      <c r="B1269" s="139" t="s">
        <v>63</v>
      </c>
      <c r="C1269" s="30" t="str">
        <f>VLOOKUP(B1269,'112年全品項生產鍋數'!A:H,2,0)</f>
        <v>草莓蒟蒻餡(1*6kg)</v>
      </c>
      <c r="D1269" s="290">
        <v>16</v>
      </c>
      <c r="E1269" s="48">
        <f>VLOOKUP(B1269,'112年全品項生產鍋數'!A:H,3,0)</f>
        <v>6</v>
      </c>
      <c r="F1269" s="45">
        <f>VLOOKUP(B1269,'112年全品項生產鍋數'!A:H,7,0)</f>
        <v>25.7</v>
      </c>
      <c r="G1269" s="49">
        <f t="shared" si="150"/>
        <v>411.2</v>
      </c>
      <c r="H1269" s="158">
        <f>200+218</f>
        <v>418</v>
      </c>
      <c r="I1269" s="23">
        <f t="shared" si="151"/>
        <v>2508</v>
      </c>
      <c r="J1269" s="100">
        <f t="shared" si="152"/>
        <v>1.0165369649805447</v>
      </c>
      <c r="K1269" s="51">
        <f>VLOOKUP(B:B,'生產達成率(目標)'!A:C,3,0)</f>
        <v>1</v>
      </c>
      <c r="L1269" s="20">
        <f t="shared" si="153"/>
        <v>1.7000000000000001E-2</v>
      </c>
      <c r="M1269" s="137" t="str">
        <f>工時!R453</f>
        <v>245</v>
      </c>
      <c r="N1269" s="144"/>
      <c r="O1269" s="144">
        <f t="shared" si="154"/>
        <v>1</v>
      </c>
      <c r="P1269" s="156">
        <f>199+218</f>
        <v>417</v>
      </c>
      <c r="Q1269" s="98">
        <f t="shared" si="155"/>
        <v>0.99760765550239239</v>
      </c>
      <c r="R1269" s="23"/>
      <c r="S1269" s="173"/>
      <c r="T1269" s="30"/>
    </row>
    <row r="1270" spans="1:30" x14ac:dyDescent="0.4">
      <c r="A1270" s="181">
        <v>45705</v>
      </c>
      <c r="B1270" s="139" t="s">
        <v>65</v>
      </c>
      <c r="C1270" s="30" t="str">
        <f>VLOOKUP(B1270,'112年全品項生產鍋數'!A:H,2,0)</f>
        <v>＃1花生(1*2.8kg)</v>
      </c>
      <c r="D1270" s="290">
        <v>56</v>
      </c>
      <c r="E1270" s="48">
        <f>VLOOKUP(B1270,'112年全品項生產鍋數'!A:H,3,0)</f>
        <v>2.8</v>
      </c>
      <c r="F1270" s="45">
        <f>VLOOKUP(B1270,'112年全品項生產鍋數'!A:H,7,0)</f>
        <v>44.5</v>
      </c>
      <c r="G1270" s="49">
        <f>D1270*F1270-(20*18/E1270)</f>
        <v>2363.4285714285716</v>
      </c>
      <c r="H1270" s="158">
        <v>2376</v>
      </c>
      <c r="I1270" s="23">
        <f t="shared" si="151"/>
        <v>6652.7999999999993</v>
      </c>
      <c r="J1270" s="100">
        <f t="shared" si="152"/>
        <v>1.0053191489361701</v>
      </c>
      <c r="K1270" s="51">
        <f>VLOOKUP(B:B,'生產達成率(目標)'!A:C,3,0)</f>
        <v>1</v>
      </c>
      <c r="L1270" s="20">
        <f t="shared" si="153"/>
        <v>5.0000000000000001E-3</v>
      </c>
      <c r="M1270" s="137" t="str">
        <f>工時!R454</f>
        <v>540</v>
      </c>
      <c r="N1270" s="144"/>
      <c r="O1270" s="144">
        <f t="shared" si="154"/>
        <v>1</v>
      </c>
      <c r="P1270" s="156">
        <v>2375</v>
      </c>
      <c r="Q1270" s="98">
        <f t="shared" si="155"/>
        <v>0.99957912457912457</v>
      </c>
      <c r="R1270" s="23"/>
      <c r="S1270" s="173"/>
      <c r="T1270" s="30" t="s">
        <v>953</v>
      </c>
    </row>
    <row r="1271" spans="1:30" s="146" customFormat="1" x14ac:dyDescent="0.4">
      <c r="A1271" s="182">
        <v>45705</v>
      </c>
      <c r="B1271" s="139" t="s">
        <v>594</v>
      </c>
      <c r="C1271" s="140" t="str">
        <f>VLOOKUP(B1271,'112年全品項生產鍋數'!A:H,2,0)</f>
        <v>柚皮鮮果乾(100g)</v>
      </c>
      <c r="D1271" s="290">
        <v>1</v>
      </c>
      <c r="E1271" s="141">
        <f>VLOOKUP(B1271,'112年全品項生產鍋數'!A:H,3,0)</f>
        <v>0.1</v>
      </c>
      <c r="F1271" s="142">
        <f>VLOOKUP(B1271,'112年全品項生產鍋數'!A:H,7,0)</f>
        <v>1732</v>
      </c>
      <c r="G1271" s="143">
        <f t="shared" si="150"/>
        <v>1732</v>
      </c>
      <c r="H1271" s="158">
        <v>1830</v>
      </c>
      <c r="I1271" s="144">
        <f t="shared" si="151"/>
        <v>183</v>
      </c>
      <c r="J1271" s="100">
        <f t="shared" si="152"/>
        <v>1.0565819861431871</v>
      </c>
      <c r="K1271" s="51">
        <f>VLOOKUP(B:B,'生產達成率(目標)'!A:C,3,0)</f>
        <v>1</v>
      </c>
      <c r="L1271" s="20">
        <f t="shared" si="153"/>
        <v>5.7000000000000002E-2</v>
      </c>
      <c r="M1271" s="137" t="str">
        <f>工時!R455</f>
        <v>0</v>
      </c>
      <c r="N1271" s="144"/>
      <c r="O1271" s="144">
        <f t="shared" si="154"/>
        <v>60</v>
      </c>
      <c r="P1271" s="156">
        <f>1470+300</f>
        <v>1770</v>
      </c>
      <c r="Q1271" s="145">
        <f t="shared" si="155"/>
        <v>0.96721311475409832</v>
      </c>
      <c r="R1271" s="144"/>
      <c r="S1271" s="153"/>
      <c r="T1271" s="140"/>
      <c r="V1271" s="381"/>
      <c r="W1271" s="421"/>
      <c r="X1271" s="381"/>
      <c r="Y1271" s="421"/>
      <c r="Z1271" s="421"/>
      <c r="AA1271" s="421"/>
      <c r="AB1271" s="421"/>
      <c r="AC1271" s="421"/>
      <c r="AD1271" s="421"/>
    </row>
    <row r="1272" spans="1:30" x14ac:dyDescent="0.4">
      <c r="A1272" s="181">
        <v>45706</v>
      </c>
      <c r="B1272" s="139" t="s">
        <v>54</v>
      </c>
      <c r="C1272" s="30" t="str">
        <f>VLOOKUP(B1272,'112年全品項生產鍋數'!A:H,2,0)</f>
        <v>草莓醬(1*6kg)</v>
      </c>
      <c r="D1272" s="290">
        <v>36</v>
      </c>
      <c r="E1272" s="48">
        <f>VLOOKUP(B1272,'112年全品項生產鍋數'!A:H,3,0)</f>
        <v>6</v>
      </c>
      <c r="F1272" s="45">
        <f>VLOOKUP(B1272,'112年全品項生產鍋數'!A:H,7,0)</f>
        <v>26.6</v>
      </c>
      <c r="G1272" s="49">
        <f t="shared" si="150"/>
        <v>957.6</v>
      </c>
      <c r="H1272" s="158">
        <v>935</v>
      </c>
      <c r="I1272" s="23">
        <f t="shared" si="151"/>
        <v>5610</v>
      </c>
      <c r="J1272" s="100">
        <f t="shared" si="152"/>
        <v>0.97639933166248949</v>
      </c>
      <c r="K1272" s="51">
        <f>VLOOKUP(B:B,'生產達成率(目標)'!A:C,3,0)</f>
        <v>1</v>
      </c>
      <c r="L1272" s="20">
        <f t="shared" si="153"/>
        <v>-2.4E-2</v>
      </c>
      <c r="M1272" s="137" t="str">
        <f>工時!R456</f>
        <v>540</v>
      </c>
      <c r="N1272" s="144"/>
      <c r="O1272" s="144">
        <f t="shared" si="154"/>
        <v>8</v>
      </c>
      <c r="P1272" s="156">
        <v>927</v>
      </c>
      <c r="Q1272" s="98">
        <f t="shared" si="155"/>
        <v>0.99144385026737969</v>
      </c>
      <c r="R1272" s="23"/>
      <c r="S1272" s="173"/>
      <c r="T1272" s="30"/>
    </row>
    <row r="1273" spans="1:30" x14ac:dyDescent="0.4">
      <c r="A1273" s="181">
        <v>45706</v>
      </c>
      <c r="B1273" s="139" t="s">
        <v>55</v>
      </c>
      <c r="C1273" s="30" t="str">
        <f>VLOOKUP(B1273,'112年全品項生產鍋數'!A:H,2,0)</f>
        <v>天天開心草莓餡4.5KG</v>
      </c>
      <c r="D1273" s="290">
        <v>24</v>
      </c>
      <c r="E1273" s="48">
        <f>VLOOKUP(B1273,'112年全品項生產鍋數'!A:H,3,0)</f>
        <v>4.5</v>
      </c>
      <c r="F1273" s="45">
        <f>VLOOKUP(B1273,'112年全品項生產鍋數'!A:H,7,0)</f>
        <v>36.299999999999997</v>
      </c>
      <c r="G1273" s="49">
        <f t="shared" si="150"/>
        <v>871.19999999999993</v>
      </c>
      <c r="H1273" s="158">
        <v>875</v>
      </c>
      <c r="I1273" s="23">
        <f t="shared" si="151"/>
        <v>3937.5</v>
      </c>
      <c r="J1273" s="100">
        <f t="shared" si="152"/>
        <v>1.0043617998163454</v>
      </c>
      <c r="K1273" s="51">
        <f>VLOOKUP(B:B,'生產達成率(目標)'!A:C,3,0)</f>
        <v>1</v>
      </c>
      <c r="L1273" s="20">
        <f t="shared" si="153"/>
        <v>4.0000000000000001E-3</v>
      </c>
      <c r="M1273" s="137" t="str">
        <f>工時!R457</f>
        <v>340</v>
      </c>
      <c r="N1273" s="144"/>
      <c r="O1273" s="144">
        <f t="shared" si="154"/>
        <v>0</v>
      </c>
      <c r="P1273" s="156">
        <v>875</v>
      </c>
      <c r="Q1273" s="98">
        <f t="shared" si="155"/>
        <v>1</v>
      </c>
      <c r="R1273" s="23"/>
      <c r="S1273" s="173"/>
      <c r="T1273" s="30"/>
    </row>
    <row r="1274" spans="1:30" x14ac:dyDescent="0.4">
      <c r="A1274" s="181">
        <v>45706</v>
      </c>
      <c r="B1274" s="139" t="s">
        <v>470</v>
      </c>
      <c r="C1274" s="30" t="str">
        <f>VLOOKUP(B1274,'112年全品項生產鍋數'!A:H,2,0)</f>
        <v>藍莓餡（小）(1*4.5kg)</v>
      </c>
      <c r="D1274" s="290">
        <v>4</v>
      </c>
      <c r="E1274" s="48">
        <f>VLOOKUP(B1274,'112年全品項生產鍋數'!A:H,3,0)</f>
        <v>4.5</v>
      </c>
      <c r="F1274" s="45">
        <f>VLOOKUP(B1274,'112年全品項生產鍋數'!A:H,7,0)</f>
        <v>35</v>
      </c>
      <c r="G1274" s="49">
        <f t="shared" si="150"/>
        <v>140</v>
      </c>
      <c r="H1274" s="158">
        <v>138</v>
      </c>
      <c r="I1274" s="23">
        <f t="shared" si="151"/>
        <v>621</v>
      </c>
      <c r="J1274" s="100">
        <f t="shared" si="152"/>
        <v>0.98571428571428577</v>
      </c>
      <c r="K1274" s="51">
        <f>VLOOKUP(B:B,'生產達成率(目標)'!A:C,3,0)</f>
        <v>1</v>
      </c>
      <c r="L1274" s="20">
        <f t="shared" si="153"/>
        <v>-1.4E-2</v>
      </c>
      <c r="M1274" s="137" t="str">
        <f>工時!R458</f>
        <v>154</v>
      </c>
      <c r="N1274" s="144"/>
      <c r="O1274" s="144">
        <f t="shared" si="154"/>
        <v>0</v>
      </c>
      <c r="P1274" s="156">
        <v>138</v>
      </c>
      <c r="Q1274" s="98">
        <f t="shared" si="155"/>
        <v>1</v>
      </c>
      <c r="R1274" s="23"/>
      <c r="S1274" s="173"/>
      <c r="T1274" s="30"/>
    </row>
    <row r="1275" spans="1:30" x14ac:dyDescent="0.4">
      <c r="A1275" s="181">
        <v>45706</v>
      </c>
      <c r="B1275" s="139" t="s">
        <v>56</v>
      </c>
      <c r="C1275" s="30" t="str">
        <f>VLOOKUP(B1275,'112年全品項生產鍋數'!A:H,2,0)</f>
        <v>天天熱帶水果餡 4.5KG</v>
      </c>
      <c r="D1275" s="290">
        <v>8</v>
      </c>
      <c r="E1275" s="48">
        <f>VLOOKUP(B1275,'112年全品項生產鍋數'!A:H,3,0)</f>
        <v>4.5</v>
      </c>
      <c r="F1275" s="45">
        <f>VLOOKUP(B1275,'112年全品項生產鍋數'!A:H,7,0)</f>
        <v>34.5</v>
      </c>
      <c r="G1275" s="49">
        <f t="shared" si="150"/>
        <v>276</v>
      </c>
      <c r="H1275" s="158">
        <v>280</v>
      </c>
      <c r="I1275" s="23">
        <f t="shared" si="151"/>
        <v>1260</v>
      </c>
      <c r="J1275" s="100">
        <f t="shared" si="152"/>
        <v>1.0144927536231885</v>
      </c>
      <c r="K1275" s="51">
        <f>VLOOKUP(B:B,'生產達成率(目標)'!A:C,3,0)</f>
        <v>1</v>
      </c>
      <c r="L1275" s="20">
        <f t="shared" si="153"/>
        <v>1.4E-2</v>
      </c>
      <c r="M1275" s="137" t="str">
        <f>工時!R459</f>
        <v>180</v>
      </c>
      <c r="N1275" s="144"/>
      <c r="O1275" s="186">
        <f t="shared" si="154"/>
        <v>0</v>
      </c>
      <c r="P1275" s="156">
        <v>280</v>
      </c>
      <c r="Q1275" s="98">
        <f t="shared" si="155"/>
        <v>1</v>
      </c>
      <c r="R1275" s="23"/>
      <c r="S1275" s="173"/>
      <c r="T1275" s="30"/>
    </row>
    <row r="1276" spans="1:30" x14ac:dyDescent="0.4">
      <c r="A1276" s="181">
        <v>45706</v>
      </c>
      <c r="B1276" s="139" t="s">
        <v>104</v>
      </c>
      <c r="C1276" s="30" t="str">
        <f>VLOOKUP(B1276,'112年全品項生產鍋數'!A:H,2,0)</f>
        <v>＃1花生(粒)(1*2.8kg)</v>
      </c>
      <c r="D1276" s="290">
        <v>56</v>
      </c>
      <c r="E1276" s="48">
        <f>VLOOKUP(B1276,'112年全品項生產鍋數'!A:H,3,0)</f>
        <v>2.8</v>
      </c>
      <c r="F1276" s="45">
        <f>VLOOKUP(B1276,'112年全品項生產鍋數'!A:H,7,0)</f>
        <v>44.2</v>
      </c>
      <c r="G1276" s="49">
        <f t="shared" si="150"/>
        <v>2475.2000000000003</v>
      </c>
      <c r="H1276" s="158">
        <v>2475</v>
      </c>
      <c r="I1276" s="23">
        <f t="shared" si="151"/>
        <v>6930</v>
      </c>
      <c r="J1276" s="100">
        <f t="shared" si="152"/>
        <v>0.9999191984486101</v>
      </c>
      <c r="K1276" s="51">
        <f>VLOOKUP(B:B,'生產達成率(目標)'!A:C,3,0)</f>
        <v>1</v>
      </c>
      <c r="L1276" s="20">
        <f t="shared" si="153"/>
        <v>0</v>
      </c>
      <c r="M1276" s="137" t="str">
        <f>工時!R460</f>
        <v>480</v>
      </c>
      <c r="N1276" s="144"/>
      <c r="O1276" s="186">
        <f t="shared" si="154"/>
        <v>1</v>
      </c>
      <c r="P1276" s="156">
        <v>2474</v>
      </c>
      <c r="Q1276" s="98">
        <f t="shared" si="155"/>
        <v>0.99959595959595959</v>
      </c>
      <c r="R1276" s="23"/>
      <c r="S1276" s="173"/>
      <c r="T1276" s="30"/>
    </row>
    <row r="1277" spans="1:30" x14ac:dyDescent="0.4">
      <c r="A1277" s="181">
        <v>45707</v>
      </c>
      <c r="B1277" s="139" t="s">
        <v>81</v>
      </c>
      <c r="C1277" s="30" t="str">
        <f>VLOOKUP(B1277,'112年全品項生產鍋數'!A:H,2,0)</f>
        <v>藍莓餡(1*6Kg)</v>
      </c>
      <c r="D1277" s="290">
        <v>16</v>
      </c>
      <c r="E1277" s="48">
        <f>VLOOKUP(B1277,'112年全品項生產鍋數'!A:H,3,0)</f>
        <v>6</v>
      </c>
      <c r="F1277" s="45">
        <f>VLOOKUP(B1277,'112年全品項生產鍋數'!A:H,7,0)</f>
        <v>25.1</v>
      </c>
      <c r="G1277" s="49">
        <f t="shared" si="150"/>
        <v>401.6</v>
      </c>
      <c r="H1277" s="158">
        <v>399</v>
      </c>
      <c r="I1277" s="23">
        <f t="shared" si="151"/>
        <v>2394</v>
      </c>
      <c r="J1277" s="100">
        <f t="shared" si="152"/>
        <v>0.99352589641434252</v>
      </c>
      <c r="K1277" s="51">
        <f>VLOOKUP(B:B,'生產達成率(目標)'!A:C,3,0)</f>
        <v>1</v>
      </c>
      <c r="L1277" s="20">
        <f t="shared" si="153"/>
        <v>-6.0000000000000001E-3</v>
      </c>
      <c r="M1277" s="137" t="str">
        <f>工時!R461</f>
        <v>420</v>
      </c>
      <c r="N1277" s="144"/>
      <c r="O1277" s="144">
        <f t="shared" si="154"/>
        <v>1</v>
      </c>
      <c r="P1277" s="156">
        <v>398</v>
      </c>
      <c r="Q1277" s="98">
        <f t="shared" si="155"/>
        <v>0.99749373433583954</v>
      </c>
      <c r="R1277" s="23"/>
      <c r="S1277" s="173"/>
      <c r="T1277" s="30"/>
    </row>
    <row r="1278" spans="1:30" x14ac:dyDescent="0.4">
      <c r="A1278" s="181">
        <v>45707</v>
      </c>
      <c r="B1278" s="139" t="s">
        <v>72</v>
      </c>
      <c r="C1278" s="30" t="str">
        <f>VLOOKUP(B1278,'112年全品項生產鍋數'!A:H,2,0)</f>
        <v>草莓餡45%(1*6Kg)</v>
      </c>
      <c r="D1278" s="290">
        <v>24</v>
      </c>
      <c r="E1278" s="48">
        <f>VLOOKUP(B1278,'112年全品項生產鍋數'!A:H,3,0)</f>
        <v>6</v>
      </c>
      <c r="F1278" s="45">
        <f>VLOOKUP(B1278,'112年全品項生產鍋數'!A:H,7,0)</f>
        <v>26.1</v>
      </c>
      <c r="G1278" s="49">
        <f t="shared" si="150"/>
        <v>626.40000000000009</v>
      </c>
      <c r="H1278" s="158">
        <v>624</v>
      </c>
      <c r="I1278" s="23">
        <f t="shared" si="151"/>
        <v>3744</v>
      </c>
      <c r="J1278" s="100">
        <f t="shared" si="152"/>
        <v>0.99616858237547878</v>
      </c>
      <c r="K1278" s="51">
        <f>VLOOKUP(B:B,'生產達成率(目標)'!A:C,3,0)</f>
        <v>1</v>
      </c>
      <c r="L1278" s="20">
        <f t="shared" si="153"/>
        <v>-4.0000000000000001E-3</v>
      </c>
      <c r="M1278" s="137" t="str">
        <f>工時!R462</f>
        <v>390</v>
      </c>
      <c r="N1278" s="144"/>
      <c r="O1278" s="144">
        <f t="shared" si="154"/>
        <v>2</v>
      </c>
      <c r="P1278" s="156">
        <v>622</v>
      </c>
      <c r="Q1278" s="98">
        <f t="shared" si="155"/>
        <v>0.99679487179487181</v>
      </c>
      <c r="R1278" s="23"/>
      <c r="S1278" s="173"/>
      <c r="T1278" s="30"/>
    </row>
    <row r="1279" spans="1:30" s="146" customFormat="1" x14ac:dyDescent="0.4">
      <c r="A1279" s="182">
        <v>45707</v>
      </c>
      <c r="B1279" s="139" t="s">
        <v>110</v>
      </c>
      <c r="C1279" s="140" t="str">
        <f>VLOOKUP(B1279,'112年全品項生產鍋數'!A:H,2,0)</f>
        <v>顆粒花生醬(1*12KG)</v>
      </c>
      <c r="D1279" s="290">
        <v>21</v>
      </c>
      <c r="E1279" s="141">
        <f>VLOOKUP(B1279,'112年全品項生產鍋數'!A:H,3,0)</f>
        <v>3</v>
      </c>
      <c r="F1279" s="142">
        <f>VLOOKUP(B1279,'112年全品項生產鍋數'!A:H,7,0)</f>
        <v>30.8</v>
      </c>
      <c r="G1279" s="143">
        <f t="shared" si="150"/>
        <v>646.80000000000007</v>
      </c>
      <c r="H1279" s="158">
        <v>648</v>
      </c>
      <c r="I1279" s="144">
        <f t="shared" si="151"/>
        <v>1944</v>
      </c>
      <c r="J1279" s="100">
        <f t="shared" si="152"/>
        <v>1.0018552875695732</v>
      </c>
      <c r="K1279" s="51">
        <f>VLOOKUP(B:B,'生產達成率(目標)'!A:C,3,0)</f>
        <v>1</v>
      </c>
      <c r="L1279" s="20">
        <f t="shared" si="153"/>
        <v>2E-3</v>
      </c>
      <c r="M1279" s="137" t="str">
        <f>工時!R463</f>
        <v>540</v>
      </c>
      <c r="N1279" s="144"/>
      <c r="O1279" s="144">
        <f t="shared" si="154"/>
        <v>0</v>
      </c>
      <c r="P1279" s="156">
        <v>648</v>
      </c>
      <c r="Q1279" s="145">
        <f t="shared" si="155"/>
        <v>1</v>
      </c>
      <c r="R1279" s="144"/>
      <c r="S1279" s="153"/>
      <c r="T1279" s="140"/>
      <c r="V1279" s="381"/>
      <c r="W1279" s="421"/>
      <c r="X1279" s="381"/>
      <c r="Y1279" s="421"/>
      <c r="Z1279" s="421"/>
      <c r="AA1279" s="421"/>
      <c r="AB1279" s="421"/>
      <c r="AC1279" s="421"/>
      <c r="AD1279" s="421"/>
    </row>
    <row r="1280" spans="1:30" s="146" customFormat="1" x14ac:dyDescent="0.4">
      <c r="A1280" s="182">
        <v>45707</v>
      </c>
      <c r="B1280" s="139" t="s">
        <v>97</v>
      </c>
      <c r="C1280" s="140" t="str">
        <f>VLOOKUP(B1280,'112年全品項生產鍋數'!A:H,2,0)</f>
        <v>花生醬(1*18KG)</v>
      </c>
      <c r="D1280" s="290">
        <v>8</v>
      </c>
      <c r="E1280" s="141">
        <f>VLOOKUP(B1280,'112年全品項生產鍋數'!A:H,3,0)</f>
        <v>18</v>
      </c>
      <c r="F1280" s="142">
        <f>VLOOKUP(B1280,'112年全品項生產鍋數'!A:H,7,0)</f>
        <v>6.6</v>
      </c>
      <c r="G1280" s="143">
        <f t="shared" si="150"/>
        <v>52.8</v>
      </c>
      <c r="H1280" s="158">
        <v>48</v>
      </c>
      <c r="I1280" s="144">
        <f t="shared" si="151"/>
        <v>864</v>
      </c>
      <c r="J1280" s="100">
        <f t="shared" si="152"/>
        <v>0.90909090909090917</v>
      </c>
      <c r="K1280" s="51">
        <f>VLOOKUP(B:B,'生產達成率(目標)'!A:C,3,0)</f>
        <v>1</v>
      </c>
      <c r="L1280" s="20">
        <f t="shared" si="153"/>
        <v>-9.0999999999999998E-2</v>
      </c>
      <c r="M1280" s="137" t="str">
        <f>工時!R464</f>
        <v>360</v>
      </c>
      <c r="N1280" s="144"/>
      <c r="O1280" s="144">
        <f t="shared" si="154"/>
        <v>0</v>
      </c>
      <c r="P1280" s="156">
        <v>48</v>
      </c>
      <c r="Q1280" s="145">
        <f t="shared" si="155"/>
        <v>1</v>
      </c>
      <c r="R1280" s="144"/>
      <c r="S1280" s="153"/>
      <c r="T1280" s="140"/>
      <c r="V1280" s="381"/>
      <c r="W1280" s="421"/>
      <c r="X1280" s="381"/>
      <c r="Y1280" s="421"/>
      <c r="Z1280" s="421"/>
      <c r="AA1280" s="421"/>
      <c r="AB1280" s="421"/>
      <c r="AC1280" s="421"/>
      <c r="AD1280" s="421"/>
    </row>
    <row r="1281" spans="1:30" s="146" customFormat="1" x14ac:dyDescent="0.4">
      <c r="A1281" s="182">
        <v>45707</v>
      </c>
      <c r="B1281" s="139" t="s">
        <v>597</v>
      </c>
      <c r="C1281" s="140" t="str">
        <f>VLOOKUP(B1281,'112年全品項生產鍋數'!A:H,2,0)</f>
        <v>無加糖花生醬(1*290g)</v>
      </c>
      <c r="D1281" s="290">
        <v>8</v>
      </c>
      <c r="E1281" s="141">
        <f>VLOOKUP(B1281,'112年全品項生產鍋數'!A:H,3,0)</f>
        <v>0.28999999999999998</v>
      </c>
      <c r="F1281" s="142">
        <f>VLOOKUP(B1281,'112年全品項生產鍋數'!A:H,7,0)</f>
        <v>388</v>
      </c>
      <c r="G1281" s="143">
        <f t="shared" si="150"/>
        <v>3104</v>
      </c>
      <c r="H1281" s="158">
        <v>3521</v>
      </c>
      <c r="I1281" s="144">
        <f t="shared" si="151"/>
        <v>1021.0899999999999</v>
      </c>
      <c r="J1281" s="100">
        <f t="shared" si="152"/>
        <v>1.1343427835051547</v>
      </c>
      <c r="K1281" s="51">
        <f>VLOOKUP(B:B,'生產達成率(目標)'!A:C,3,0)</f>
        <v>1</v>
      </c>
      <c r="L1281" s="20">
        <f t="shared" si="153"/>
        <v>0.13400000000000001</v>
      </c>
      <c r="M1281" s="137" t="str">
        <f>工時!R465</f>
        <v>375</v>
      </c>
      <c r="N1281" s="144"/>
      <c r="O1281" s="144">
        <f t="shared" si="154"/>
        <v>6</v>
      </c>
      <c r="P1281" s="156">
        <v>3515</v>
      </c>
      <c r="Q1281" s="145">
        <f t="shared" si="155"/>
        <v>0.99829593865379151</v>
      </c>
      <c r="R1281" s="144" t="s">
        <v>1035</v>
      </c>
      <c r="S1281" s="153"/>
      <c r="T1281" s="140" t="s">
        <v>1036</v>
      </c>
      <c r="V1281" s="381"/>
      <c r="W1281" s="421"/>
      <c r="X1281" s="381"/>
      <c r="Y1281" s="421"/>
      <c r="Z1281" s="421"/>
      <c r="AA1281" s="421"/>
      <c r="AB1281" s="421"/>
      <c r="AC1281" s="421"/>
      <c r="AD1281" s="421"/>
    </row>
    <row r="1282" spans="1:30" s="146" customFormat="1" x14ac:dyDescent="0.4">
      <c r="A1282" s="182">
        <v>45707</v>
      </c>
      <c r="B1282" s="139" t="s">
        <v>96</v>
      </c>
      <c r="C1282" s="140" t="str">
        <f>VLOOKUP(B1282,'112年全品項生產鍋數'!A:H,2,0)</f>
        <v>PET瓶花生(1*340g)</v>
      </c>
      <c r="D1282" s="290">
        <v>8</v>
      </c>
      <c r="E1282" s="141">
        <f>VLOOKUP(B1282,'112年全品項生產鍋數'!A:H,3,0)</f>
        <v>0.34</v>
      </c>
      <c r="F1282" s="142">
        <f>VLOOKUP(B1282,'112年全品項生產鍋數'!A:H,7,0)</f>
        <v>358.3</v>
      </c>
      <c r="G1282" s="143">
        <f t="shared" si="150"/>
        <v>2866.4</v>
      </c>
      <c r="H1282" s="158">
        <v>3064</v>
      </c>
      <c r="I1282" s="144">
        <f t="shared" si="151"/>
        <v>1041.76</v>
      </c>
      <c r="J1282" s="100">
        <f t="shared" si="152"/>
        <v>1.0689366452693274</v>
      </c>
      <c r="K1282" s="51">
        <f>VLOOKUP(B:B,'生產達成率(目標)'!A:C,3,0)</f>
        <v>1</v>
      </c>
      <c r="L1282" s="20">
        <f t="shared" si="153"/>
        <v>6.9000000000000006E-2</v>
      </c>
      <c r="M1282" s="137" t="str">
        <f>工時!R466</f>
        <v>480</v>
      </c>
      <c r="N1282" s="144"/>
      <c r="O1282" s="144">
        <f t="shared" si="154"/>
        <v>3</v>
      </c>
      <c r="P1282" s="156">
        <v>3061</v>
      </c>
      <c r="Q1282" s="145">
        <f t="shared" si="155"/>
        <v>0.99902088772845954</v>
      </c>
      <c r="R1282" s="144"/>
      <c r="S1282" s="153"/>
      <c r="T1282" s="140"/>
      <c r="V1282" s="381"/>
      <c r="W1282" s="421"/>
      <c r="X1282" s="381"/>
      <c r="Y1282" s="421"/>
      <c r="Z1282" s="421"/>
      <c r="AA1282" s="421"/>
      <c r="AB1282" s="421"/>
      <c r="AC1282" s="421"/>
      <c r="AD1282" s="421"/>
    </row>
    <row r="1283" spans="1:30" s="146" customFormat="1" x14ac:dyDescent="0.4">
      <c r="A1283" s="182">
        <v>45708</v>
      </c>
      <c r="B1283" s="139" t="s">
        <v>61</v>
      </c>
      <c r="C1283" s="140" t="str">
        <f>VLOOKUP(B1283,'112年全品項生產鍋數'!A:H,2,0)</f>
        <v>大圓草莓-新</v>
      </c>
      <c r="D1283" s="290">
        <v>32</v>
      </c>
      <c r="E1283" s="141">
        <f>VLOOKUP(B1283,'112年全品項生產鍋數'!A:H,3,0)</f>
        <v>0.44</v>
      </c>
      <c r="F1283" s="142">
        <f>VLOOKUP(B1283,'112年全品項生產鍋數'!A:H,7,0)</f>
        <v>344</v>
      </c>
      <c r="G1283" s="143">
        <f t="shared" si="150"/>
        <v>11008</v>
      </c>
      <c r="H1283" s="158">
        <v>10921</v>
      </c>
      <c r="I1283" s="144">
        <f t="shared" si="151"/>
        <v>4805.24</v>
      </c>
      <c r="J1283" s="100">
        <f t="shared" si="152"/>
        <v>0.99209665697674421</v>
      </c>
      <c r="K1283" s="51">
        <f>VLOOKUP(B:B,'生產達成率(目標)'!A:C,3,0)</f>
        <v>1</v>
      </c>
      <c r="L1283" s="20">
        <f t="shared" si="153"/>
        <v>-8.0000000000000002E-3</v>
      </c>
      <c r="M1283" s="137" t="str">
        <f>工時!R467</f>
        <v>430</v>
      </c>
      <c r="N1283" s="144"/>
      <c r="O1283" s="144">
        <f t="shared" si="154"/>
        <v>11</v>
      </c>
      <c r="P1283" s="156">
        <v>10910</v>
      </c>
      <c r="Q1283" s="145">
        <f t="shared" si="155"/>
        <v>0.99899276623019873</v>
      </c>
      <c r="R1283" s="144"/>
      <c r="S1283" s="153"/>
      <c r="T1283" s="140"/>
      <c r="V1283" s="381"/>
      <c r="W1283" s="421"/>
      <c r="X1283" s="381"/>
      <c r="Y1283" s="421"/>
      <c r="Z1283" s="421"/>
      <c r="AA1283" s="421"/>
      <c r="AB1283" s="421"/>
      <c r="AC1283" s="421"/>
      <c r="AD1283" s="421"/>
    </row>
    <row r="1284" spans="1:30" s="146" customFormat="1" x14ac:dyDescent="0.4">
      <c r="A1284" s="182">
        <v>45708</v>
      </c>
      <c r="B1284" s="139" t="s">
        <v>158</v>
      </c>
      <c r="C1284" s="140" t="str">
        <f>VLOOKUP(B1284,'112年全品項生產鍋數'!A:H,2,0)</f>
        <v>小圓草莓(1*170g)</v>
      </c>
      <c r="D1284" s="290">
        <v>4</v>
      </c>
      <c r="E1284" s="141">
        <f>VLOOKUP(B1284,'112年全品項生產鍋數'!A:H,3,0)</f>
        <v>0.17</v>
      </c>
      <c r="F1284" s="142">
        <f>VLOOKUP(B1284,'112年全品項生產鍋數'!A:H,7,0)</f>
        <v>912.6</v>
      </c>
      <c r="G1284" s="143">
        <f t="shared" si="150"/>
        <v>3650.4</v>
      </c>
      <c r="H1284" s="158">
        <v>3459</v>
      </c>
      <c r="I1284" s="144">
        <f t="shared" si="151"/>
        <v>588.03000000000009</v>
      </c>
      <c r="J1284" s="100">
        <f t="shared" si="152"/>
        <v>0.94756738987508216</v>
      </c>
      <c r="K1284" s="51">
        <f>VLOOKUP(B:B,'生產達成率(目標)'!A:C,3,0)</f>
        <v>1</v>
      </c>
      <c r="L1284" s="20">
        <f t="shared" si="153"/>
        <v>-5.1999999999999998E-2</v>
      </c>
      <c r="M1284" s="137" t="str">
        <f>工時!R468</f>
        <v>210</v>
      </c>
      <c r="N1284" s="144"/>
      <c r="O1284" s="144">
        <f t="shared" si="154"/>
        <v>3</v>
      </c>
      <c r="P1284" s="156">
        <v>3456</v>
      </c>
      <c r="Q1284" s="145">
        <f t="shared" si="155"/>
        <v>0.99913269731136167</v>
      </c>
      <c r="R1284" s="144"/>
      <c r="S1284" s="153"/>
      <c r="T1284" s="140"/>
      <c r="V1284" s="381"/>
      <c r="W1284" s="421"/>
      <c r="X1284" s="381"/>
      <c r="Y1284" s="421"/>
      <c r="Z1284" s="421"/>
      <c r="AA1284" s="421"/>
      <c r="AB1284" s="421"/>
      <c r="AC1284" s="421"/>
      <c r="AD1284" s="421"/>
    </row>
    <row r="1285" spans="1:30" s="146" customFormat="1" x14ac:dyDescent="0.4">
      <c r="A1285" s="182">
        <v>45708</v>
      </c>
      <c r="B1285" s="139" t="s">
        <v>951</v>
      </c>
      <c r="C1285" s="140" t="str">
        <f>VLOOKUP(B1285,'112年全品項生產鍋數'!A:H,2,0)</f>
        <v>雙曲藍莓餡(1*9.08kg)</v>
      </c>
      <c r="D1285" s="290">
        <v>12</v>
      </c>
      <c r="E1285" s="141">
        <f>VLOOKUP(B1285,'112年全品項生產鍋數'!A:H,3,0)</f>
        <v>9.08</v>
      </c>
      <c r="F1285" s="142">
        <f>VLOOKUP(B1285,'112年全品項生產鍋數'!A:H,7,0)</f>
        <v>17.600000000000001</v>
      </c>
      <c r="G1285" s="143">
        <f t="shared" si="150"/>
        <v>211.20000000000002</v>
      </c>
      <c r="H1285" s="158">
        <v>222</v>
      </c>
      <c r="I1285" s="144">
        <f t="shared" si="151"/>
        <v>2015.76</v>
      </c>
      <c r="J1285" s="100">
        <f t="shared" si="152"/>
        <v>1.0511363636363635</v>
      </c>
      <c r="K1285" s="51">
        <f>VLOOKUP(B:B,'生產達成率(目標)'!A:C,3,0)</f>
        <v>1</v>
      </c>
      <c r="L1285" s="20">
        <f t="shared" si="153"/>
        <v>5.0999999999999997E-2</v>
      </c>
      <c r="M1285" s="137" t="str">
        <f>工時!R469</f>
        <v>190</v>
      </c>
      <c r="N1285" s="144"/>
      <c r="O1285" s="144">
        <f t="shared" si="154"/>
        <v>0</v>
      </c>
      <c r="P1285" s="156">
        <v>222</v>
      </c>
      <c r="Q1285" s="145">
        <f t="shared" si="155"/>
        <v>1</v>
      </c>
      <c r="R1285" s="144"/>
      <c r="S1285" s="153"/>
      <c r="T1285" s="140"/>
      <c r="V1285" s="381"/>
      <c r="W1285" s="421"/>
      <c r="X1285" s="381"/>
      <c r="Y1285" s="421"/>
      <c r="Z1285" s="421"/>
      <c r="AA1285" s="421"/>
      <c r="AB1285" s="421"/>
      <c r="AC1285" s="421"/>
      <c r="AD1285" s="421"/>
    </row>
    <row r="1286" spans="1:30" s="146" customFormat="1" x14ac:dyDescent="0.4">
      <c r="A1286" s="182">
        <v>45708</v>
      </c>
      <c r="B1286" s="139" t="s">
        <v>116</v>
      </c>
      <c r="C1286" s="140" t="str">
        <f>VLOOKUP(B1286,'112年全品項生產鍋數'!A:H,2,0)</f>
        <v>藍莓餡（大）(1*9.08kg)</v>
      </c>
      <c r="D1286" s="290">
        <v>8</v>
      </c>
      <c r="E1286" s="141">
        <f>VLOOKUP(B1286,'112年全品項生產鍋數'!A:H,3,0)</f>
        <v>9.08</v>
      </c>
      <c r="F1286" s="142">
        <f>VLOOKUP(B1286,'112年全品項生產鍋數'!A:H,7,0)</f>
        <v>17.8</v>
      </c>
      <c r="G1286" s="143">
        <f t="shared" si="150"/>
        <v>142.4</v>
      </c>
      <c r="H1286" s="158">
        <v>144</v>
      </c>
      <c r="I1286" s="144">
        <f t="shared" si="151"/>
        <v>1307.52</v>
      </c>
      <c r="J1286" s="100">
        <f t="shared" si="152"/>
        <v>1.0112359550561798</v>
      </c>
      <c r="K1286" s="51">
        <f>VLOOKUP(B:B,'生產達成率(目標)'!A:C,3,0)</f>
        <v>1</v>
      </c>
      <c r="L1286" s="20">
        <f t="shared" si="153"/>
        <v>1.0999999999999999E-2</v>
      </c>
      <c r="M1286" s="137" t="str">
        <f>工時!R470</f>
        <v>191</v>
      </c>
      <c r="N1286" s="144"/>
      <c r="O1286" s="144">
        <f t="shared" si="154"/>
        <v>0</v>
      </c>
      <c r="P1286" s="156">
        <v>144</v>
      </c>
      <c r="Q1286" s="145">
        <f t="shared" si="155"/>
        <v>1</v>
      </c>
      <c r="R1286" s="144"/>
      <c r="S1286" s="153"/>
      <c r="T1286" s="140"/>
      <c r="V1286" s="381"/>
      <c r="W1286" s="421"/>
      <c r="X1286" s="381"/>
      <c r="Y1286" s="421"/>
      <c r="Z1286" s="421"/>
      <c r="AA1286" s="421"/>
      <c r="AB1286" s="421"/>
      <c r="AC1286" s="421"/>
      <c r="AD1286" s="421"/>
    </row>
    <row r="1287" spans="1:30" s="146" customFormat="1" x14ac:dyDescent="0.4">
      <c r="A1287" s="182">
        <v>45708</v>
      </c>
      <c r="B1287" s="139" t="s">
        <v>75</v>
      </c>
      <c r="C1287" s="140" t="str">
        <f>VLOOKUP(B1287,'112年全品項生產鍋數'!A:H,2,0)</f>
        <v>草莓椰果餡(1*6Kg)</v>
      </c>
      <c r="D1287" s="290">
        <v>16</v>
      </c>
      <c r="E1287" s="141">
        <f>VLOOKUP(B1287,'112年全品項生產鍋數'!A:H,3,0)</f>
        <v>6</v>
      </c>
      <c r="F1287" s="142">
        <f>VLOOKUP(B1287,'112年全品項生產鍋數'!A:H,7,0)</f>
        <v>26.4</v>
      </c>
      <c r="G1287" s="143">
        <f t="shared" si="150"/>
        <v>422.4</v>
      </c>
      <c r="H1287" s="158">
        <v>422</v>
      </c>
      <c r="I1287" s="144">
        <f t="shared" si="151"/>
        <v>2532</v>
      </c>
      <c r="J1287" s="100">
        <f t="shared" si="152"/>
        <v>0.99905303030303039</v>
      </c>
      <c r="K1287" s="51">
        <f>VLOOKUP(B:B,'生產達成率(目標)'!A:C,3,0)</f>
        <v>1</v>
      </c>
      <c r="L1287" s="20">
        <f t="shared" si="153"/>
        <v>-1E-3</v>
      </c>
      <c r="M1287" s="137" t="str">
        <f>工時!R471</f>
        <v>210</v>
      </c>
      <c r="N1287" s="144"/>
      <c r="O1287" s="144">
        <f t="shared" si="154"/>
        <v>1</v>
      </c>
      <c r="P1287" s="156">
        <v>421</v>
      </c>
      <c r="Q1287" s="145">
        <f t="shared" si="155"/>
        <v>0.99763033175355453</v>
      </c>
      <c r="R1287" s="144"/>
      <c r="S1287" s="153"/>
      <c r="T1287" s="140"/>
      <c r="V1287" s="381"/>
      <c r="W1287" s="421"/>
      <c r="X1287" s="381"/>
      <c r="Y1287" s="421"/>
      <c r="Z1287" s="421"/>
      <c r="AA1287" s="421"/>
      <c r="AB1287" s="421"/>
      <c r="AC1287" s="421"/>
      <c r="AD1287" s="421"/>
    </row>
    <row r="1288" spans="1:30" s="146" customFormat="1" x14ac:dyDescent="0.4">
      <c r="A1288" s="182">
        <v>45708</v>
      </c>
      <c r="B1288" s="139" t="s">
        <v>73</v>
      </c>
      <c r="C1288" s="140" t="str">
        <f>VLOOKUP(B1288,'112年全品項生產鍋數'!A:H,2,0)</f>
        <v>顆粒花生醬(1*12KG)</v>
      </c>
      <c r="D1288" s="290">
        <v>21</v>
      </c>
      <c r="E1288" s="141">
        <f>VLOOKUP(B1288,'112年全品項生產鍋數'!A:H,3,0)</f>
        <v>3</v>
      </c>
      <c r="F1288" s="142">
        <f>VLOOKUP(B1288,'112年全品項生產鍋數'!A:H,7,0)</f>
        <v>29.7</v>
      </c>
      <c r="G1288" s="143">
        <f t="shared" si="150"/>
        <v>623.69999999999993</v>
      </c>
      <c r="H1288" s="158">
        <v>620</v>
      </c>
      <c r="I1288" s="144">
        <f t="shared" si="151"/>
        <v>1860</v>
      </c>
      <c r="J1288" s="100">
        <f t="shared" si="152"/>
        <v>0.99406766073432751</v>
      </c>
      <c r="K1288" s="51">
        <f>VLOOKUP(B:B,'生產達成率(目標)'!A:C,3,0)</f>
        <v>1</v>
      </c>
      <c r="L1288" s="20">
        <f t="shared" si="153"/>
        <v>-6.0000000000000001E-3</v>
      </c>
      <c r="M1288" s="137" t="str">
        <f>工時!R472</f>
        <v>540</v>
      </c>
      <c r="N1288" s="144"/>
      <c r="O1288" s="144">
        <f t="shared" si="154"/>
        <v>0</v>
      </c>
      <c r="P1288" s="156">
        <v>620</v>
      </c>
      <c r="Q1288" s="145">
        <f t="shared" si="155"/>
        <v>1</v>
      </c>
      <c r="R1288" s="144"/>
      <c r="S1288" s="153"/>
      <c r="T1288" s="140"/>
      <c r="V1288" s="381"/>
      <c r="W1288" s="421"/>
      <c r="X1288" s="381"/>
      <c r="Y1288" s="421"/>
      <c r="Z1288" s="421"/>
      <c r="AA1288" s="421"/>
      <c r="AB1288" s="421"/>
      <c r="AC1288" s="421"/>
      <c r="AD1288" s="421"/>
    </row>
    <row r="1289" spans="1:30" s="146" customFormat="1" x14ac:dyDescent="0.4">
      <c r="A1289" s="182">
        <v>45709</v>
      </c>
      <c r="B1289" s="139" t="s">
        <v>71</v>
      </c>
      <c r="C1289" s="140" t="str">
        <f>VLOOKUP(B1289,'112年全品項生產鍋數'!A:H,2,0)</f>
        <v>＃1草莓(1*3.2kg)</v>
      </c>
      <c r="D1289" s="290">
        <v>72</v>
      </c>
      <c r="E1289" s="141">
        <f>VLOOKUP(B1289,'112年全品項生產鍋數'!A:H,3,0)</f>
        <v>3.2</v>
      </c>
      <c r="F1289" s="142">
        <f>VLOOKUP(B1289,'112年全品項生產鍋數'!A:H,7,0)</f>
        <v>46.8</v>
      </c>
      <c r="G1289" s="143">
        <f t="shared" si="150"/>
        <v>3369.6</v>
      </c>
      <c r="H1289" s="158">
        <v>3399</v>
      </c>
      <c r="I1289" s="144">
        <f t="shared" si="151"/>
        <v>10876.800000000001</v>
      </c>
      <c r="J1289" s="100">
        <f t="shared" si="152"/>
        <v>1.0087250712250713</v>
      </c>
      <c r="K1289" s="51">
        <f>VLOOKUP(B:B,'生產達成率(目標)'!A:C,3,0)</f>
        <v>1</v>
      </c>
      <c r="L1289" s="20">
        <f t="shared" si="153"/>
        <v>8.9999999999999993E-3</v>
      </c>
      <c r="M1289" s="137" t="str">
        <f>工時!R473</f>
        <v>540</v>
      </c>
      <c r="N1289" s="144"/>
      <c r="O1289" s="144">
        <f t="shared" si="154"/>
        <v>1</v>
      </c>
      <c r="P1289" s="156">
        <v>3398</v>
      </c>
      <c r="Q1289" s="145">
        <f t="shared" si="155"/>
        <v>0.99970579582230068</v>
      </c>
      <c r="R1289" s="144"/>
      <c r="S1289" s="153"/>
      <c r="T1289" s="140"/>
      <c r="V1289" s="381"/>
      <c r="W1289" s="421"/>
      <c r="X1289" s="381"/>
      <c r="Y1289" s="421"/>
      <c r="Z1289" s="421"/>
      <c r="AA1289" s="421"/>
      <c r="AB1289" s="421"/>
      <c r="AC1289" s="421"/>
      <c r="AD1289" s="421"/>
    </row>
    <row r="1290" spans="1:30" s="146" customFormat="1" x14ac:dyDescent="0.4">
      <c r="A1290" s="182">
        <v>45709</v>
      </c>
      <c r="B1290" s="139" t="s">
        <v>76</v>
      </c>
      <c r="C1290" s="140" t="str">
        <f>VLOOKUP(B1290,'112年全品項生產鍋數'!A:H,2,0)</f>
        <v>草莓餡(1*6Kg)</v>
      </c>
      <c r="D1290" s="290">
        <v>12</v>
      </c>
      <c r="E1290" s="141">
        <f>VLOOKUP(B1290,'112年全品項生產鍋數'!A:H,3,0)</f>
        <v>6</v>
      </c>
      <c r="F1290" s="142">
        <f>VLOOKUP(B1290,'112年全品項生產鍋數'!A:H,7,0)</f>
        <v>25.5</v>
      </c>
      <c r="G1290" s="143">
        <f t="shared" si="150"/>
        <v>306</v>
      </c>
      <c r="H1290" s="158">
        <v>302</v>
      </c>
      <c r="I1290" s="144">
        <f t="shared" si="151"/>
        <v>1812</v>
      </c>
      <c r="J1290" s="100">
        <f t="shared" si="152"/>
        <v>0.98692810457516345</v>
      </c>
      <c r="K1290" s="51">
        <f>VLOOKUP(B:B,'生產達成率(目標)'!A:C,3,0)</f>
        <v>1</v>
      </c>
      <c r="L1290" s="20">
        <f t="shared" si="153"/>
        <v>-1.2999999999999999E-2</v>
      </c>
      <c r="M1290" s="137" t="str">
        <f>工時!R474</f>
        <v>180</v>
      </c>
      <c r="N1290" s="144"/>
      <c r="O1290" s="144">
        <f t="shared" si="154"/>
        <v>1</v>
      </c>
      <c r="P1290" s="156">
        <v>301</v>
      </c>
      <c r="Q1290" s="145">
        <f t="shared" si="155"/>
        <v>0.99668874172185429</v>
      </c>
      <c r="R1290" s="144"/>
      <c r="S1290" s="153"/>
      <c r="T1290" s="140"/>
      <c r="V1290" s="381"/>
      <c r="W1290" s="421"/>
      <c r="X1290" s="381"/>
      <c r="Y1290" s="421"/>
      <c r="Z1290" s="421"/>
      <c r="AA1290" s="421"/>
      <c r="AB1290" s="421"/>
      <c r="AC1290" s="421"/>
      <c r="AD1290" s="421"/>
    </row>
    <row r="1291" spans="1:30" s="146" customFormat="1" x14ac:dyDescent="0.4">
      <c r="A1291" s="182">
        <v>45709</v>
      </c>
      <c r="B1291" s="139" t="s">
        <v>63</v>
      </c>
      <c r="C1291" s="140" t="str">
        <f>VLOOKUP(B1291,'112年全品項生產鍋數'!A:H,2,0)</f>
        <v>草莓蒟蒻餡(1*6kg)</v>
      </c>
      <c r="D1291" s="290">
        <v>24</v>
      </c>
      <c r="E1291" s="141">
        <f>VLOOKUP(B1291,'112年全品項生產鍋數'!A:H,3,0)</f>
        <v>6</v>
      </c>
      <c r="F1291" s="142">
        <f>VLOOKUP(B1291,'112年全品項生產鍋數'!A:H,7,0)</f>
        <v>25.7</v>
      </c>
      <c r="G1291" s="143">
        <f t="shared" si="150"/>
        <v>616.79999999999995</v>
      </c>
      <c r="H1291" s="158">
        <f>312+320</f>
        <v>632</v>
      </c>
      <c r="I1291" s="144">
        <f t="shared" si="151"/>
        <v>3792</v>
      </c>
      <c r="J1291" s="100">
        <f t="shared" si="152"/>
        <v>1.0246433203631649</v>
      </c>
      <c r="K1291" s="51">
        <f>VLOOKUP(B:B,'生產達成率(目標)'!A:C,3,0)</f>
        <v>1</v>
      </c>
      <c r="L1291" s="20">
        <f t="shared" si="153"/>
        <v>2.5000000000000001E-2</v>
      </c>
      <c r="M1291" s="137" t="str">
        <f>工時!R475</f>
        <v>372</v>
      </c>
      <c r="N1291" s="144"/>
      <c r="O1291" s="144">
        <f t="shared" si="154"/>
        <v>1</v>
      </c>
      <c r="P1291" s="156">
        <f>311+320</f>
        <v>631</v>
      </c>
      <c r="Q1291" s="145">
        <f t="shared" si="155"/>
        <v>0.99841772151898733</v>
      </c>
      <c r="R1291" s="144"/>
      <c r="S1291" s="153"/>
      <c r="T1291" s="140"/>
      <c r="V1291" s="381"/>
      <c r="W1291" s="421"/>
      <c r="X1291" s="381"/>
      <c r="Y1291" s="421"/>
      <c r="Z1291" s="421"/>
      <c r="AA1291" s="421"/>
      <c r="AB1291" s="421"/>
      <c r="AC1291" s="421"/>
      <c r="AD1291" s="421"/>
    </row>
    <row r="1292" spans="1:30" s="146" customFormat="1" x14ac:dyDescent="0.4">
      <c r="A1292" s="182">
        <v>45709</v>
      </c>
      <c r="B1292" s="139" t="s">
        <v>82</v>
      </c>
      <c r="C1292" s="140" t="str">
        <f>VLOOKUP(B1292,'112年全品項生產鍋數'!A:H,2,0)</f>
        <v>顆粒花生醬(全)</v>
      </c>
      <c r="D1292" s="290">
        <v>36</v>
      </c>
      <c r="E1292" s="141">
        <f>VLOOKUP(B1292,'112年全品項生產鍋數'!A:H,3,0)</f>
        <v>0.34</v>
      </c>
      <c r="F1292" s="142">
        <f>VLOOKUP(B1292,'112年全品項生產鍋數'!A:H,7,0)</f>
        <v>364.6</v>
      </c>
      <c r="G1292" s="143">
        <f t="shared" si="150"/>
        <v>13125.6</v>
      </c>
      <c r="H1292" s="158">
        <v>13006</v>
      </c>
      <c r="I1292" s="144">
        <f t="shared" si="151"/>
        <v>4422.04</v>
      </c>
      <c r="J1292" s="100">
        <f t="shared" si="152"/>
        <v>0.99088803559456329</v>
      </c>
      <c r="K1292" s="51">
        <f>VLOOKUP(B:B,'生產達成率(目標)'!A:C,3,0)</f>
        <v>1</v>
      </c>
      <c r="L1292" s="20">
        <f t="shared" si="153"/>
        <v>-8.9999999999999993E-3</v>
      </c>
      <c r="M1292" s="137" t="str">
        <f>工時!R476</f>
        <v>540</v>
      </c>
      <c r="N1292" s="144"/>
      <c r="O1292" s="186">
        <f t="shared" si="154"/>
        <v>3</v>
      </c>
      <c r="P1292" s="156">
        <v>13003</v>
      </c>
      <c r="Q1292" s="145">
        <f t="shared" si="155"/>
        <v>0.99976933722897121</v>
      </c>
      <c r="R1292" s="144"/>
      <c r="S1292" s="153"/>
      <c r="T1292" s="140"/>
      <c r="V1292" s="381"/>
      <c r="W1292" s="421"/>
      <c r="X1292" s="381"/>
      <c r="Y1292" s="421"/>
      <c r="Z1292" s="421"/>
      <c r="AA1292" s="421"/>
      <c r="AB1292" s="421"/>
      <c r="AC1292" s="421"/>
      <c r="AD1292" s="421"/>
    </row>
    <row r="1293" spans="1:30" s="146" customFormat="1" x14ac:dyDescent="0.4">
      <c r="A1293" s="182">
        <v>45712</v>
      </c>
      <c r="B1293" s="139" t="s">
        <v>92</v>
      </c>
      <c r="C1293" s="140" t="str">
        <f>VLOOKUP(B1293,'112年全品項生產鍋數'!A:H,2,0)</f>
        <v>藍莓果茶(1*420g)</v>
      </c>
      <c r="D1293" s="291">
        <v>4</v>
      </c>
      <c r="E1293" s="141">
        <f>VLOOKUP(B1293,'112年全品項生產鍋數'!A:H,3,0)</f>
        <v>0.42</v>
      </c>
      <c r="F1293" s="142">
        <f>VLOOKUP(B1293,'112年全品項生產鍋數'!A:H,7,0)</f>
        <v>364</v>
      </c>
      <c r="G1293" s="143">
        <f t="shared" si="150"/>
        <v>1456</v>
      </c>
      <c r="H1293" s="158">
        <v>1490</v>
      </c>
      <c r="I1293" s="144">
        <f t="shared" si="151"/>
        <v>625.79999999999995</v>
      </c>
      <c r="J1293" s="100">
        <f t="shared" si="152"/>
        <v>1.0233516483516483</v>
      </c>
      <c r="K1293" s="51">
        <f>VLOOKUP(B:B,'生產達成率(目標)'!A:C,3,0)</f>
        <v>1</v>
      </c>
      <c r="L1293" s="20">
        <f t="shared" si="153"/>
        <v>2.3E-2</v>
      </c>
      <c r="M1293" s="137" t="str">
        <f>工時!R477</f>
        <v>238</v>
      </c>
      <c r="N1293" s="144"/>
      <c r="O1293" s="144">
        <f t="shared" si="154"/>
        <v>7</v>
      </c>
      <c r="P1293" s="156">
        <v>1483</v>
      </c>
      <c r="Q1293" s="145">
        <f t="shared" si="155"/>
        <v>0.99530201342281877</v>
      </c>
      <c r="R1293" s="144"/>
      <c r="S1293" s="153"/>
      <c r="T1293" s="140"/>
      <c r="V1293" s="381"/>
      <c r="W1293" s="421"/>
      <c r="X1293" s="381"/>
      <c r="Y1293" s="421"/>
      <c r="Z1293" s="421"/>
      <c r="AA1293" s="421"/>
      <c r="AB1293" s="421"/>
      <c r="AC1293" s="421"/>
      <c r="AD1293" s="421"/>
    </row>
    <row r="1294" spans="1:30" x14ac:dyDescent="0.4">
      <c r="A1294" s="181">
        <v>45712</v>
      </c>
      <c r="B1294" s="139" t="s">
        <v>106</v>
      </c>
      <c r="C1294" s="30" t="str">
        <f>VLOOKUP(B1294,'112年全品項生產鍋數'!A:H,2,0)</f>
        <v>小藍莓1*260G</v>
      </c>
      <c r="D1294" s="291">
        <v>20</v>
      </c>
      <c r="E1294" s="48">
        <f>VLOOKUP(B1294,'112年全品項生產鍋數'!A:H,3,0)</f>
        <v>0.26</v>
      </c>
      <c r="F1294" s="45">
        <f>VLOOKUP(B1294,'112年全品項生產鍋數'!A:H,7,0)</f>
        <v>584.29999999999995</v>
      </c>
      <c r="G1294" s="49">
        <f t="shared" si="150"/>
        <v>11686</v>
      </c>
      <c r="H1294" s="158">
        <v>11683</v>
      </c>
      <c r="I1294" s="23">
        <f t="shared" si="151"/>
        <v>3037.58</v>
      </c>
      <c r="J1294" s="100">
        <f t="shared" si="152"/>
        <v>0.99974328256032863</v>
      </c>
      <c r="K1294" s="51">
        <f>VLOOKUP(B:B,'生產達成率(目標)'!A:C,3,0)</f>
        <v>1</v>
      </c>
      <c r="L1294" s="20">
        <f t="shared" si="153"/>
        <v>0</v>
      </c>
      <c r="M1294" s="137" t="str">
        <f>工時!R478</f>
        <v>470</v>
      </c>
      <c r="N1294" s="144"/>
      <c r="O1294" s="186">
        <f t="shared" si="154"/>
        <v>17</v>
      </c>
      <c r="P1294" s="156">
        <v>11666</v>
      </c>
      <c r="Q1294" s="98">
        <f t="shared" si="155"/>
        <v>0.99854489429084992</v>
      </c>
      <c r="R1294" s="23"/>
      <c r="S1294" s="173"/>
      <c r="T1294" s="30"/>
    </row>
    <row r="1295" spans="1:30" x14ac:dyDescent="0.4">
      <c r="A1295" s="181">
        <v>45712</v>
      </c>
      <c r="B1295" s="139" t="s">
        <v>954</v>
      </c>
      <c r="C1295" s="30" t="s">
        <v>959</v>
      </c>
      <c r="D1295" s="291">
        <v>0.5</v>
      </c>
      <c r="E1295" s="48">
        <v>6</v>
      </c>
      <c r="F1295" s="45" t="e">
        <f>VLOOKUP(B1295,'112年全品項生產鍋數'!A:H,7,0)</f>
        <v>#N/A</v>
      </c>
      <c r="G1295" s="49">
        <f>95/6</f>
        <v>15.833333333333334</v>
      </c>
      <c r="H1295" s="158">
        <v>13</v>
      </c>
      <c r="I1295" s="23">
        <f t="shared" si="151"/>
        <v>78</v>
      </c>
      <c r="J1295" s="100">
        <f>IF(G1295=0,"無法預估數據",H1295/G1295)</f>
        <v>0.82105263157894737</v>
      </c>
      <c r="K1295" s="51" t="e">
        <f>VLOOKUP(B:B,'生產達成率(目標)'!A:C,3,0)</f>
        <v>#N/A</v>
      </c>
      <c r="L1295" s="20" t="e">
        <f t="shared" si="153"/>
        <v>#N/A</v>
      </c>
      <c r="M1295" s="137" t="str">
        <f>工時!R479</f>
        <v>150</v>
      </c>
      <c r="N1295" s="144"/>
      <c r="O1295" s="144">
        <f t="shared" si="154"/>
        <v>1</v>
      </c>
      <c r="P1295" s="156">
        <v>12</v>
      </c>
      <c r="Q1295" s="98">
        <f t="shared" si="155"/>
        <v>0.92307692307692313</v>
      </c>
      <c r="R1295" s="23"/>
      <c r="S1295" s="173"/>
      <c r="T1295" s="30" t="s">
        <v>957</v>
      </c>
    </row>
    <row r="1296" spans="1:30" x14ac:dyDescent="0.4">
      <c r="A1296" s="181">
        <v>45712</v>
      </c>
      <c r="B1296" s="139" t="s">
        <v>81</v>
      </c>
      <c r="C1296" s="30" t="str">
        <f>VLOOKUP(B1296,'112年全品項生產鍋數'!A:H,2,0)</f>
        <v>藍莓餡(1*6Kg)</v>
      </c>
      <c r="D1296" s="291">
        <v>16</v>
      </c>
      <c r="E1296" s="48">
        <f>VLOOKUP(B1296,'112年全品項生產鍋數'!A:H,3,0)</f>
        <v>6</v>
      </c>
      <c r="F1296" s="45">
        <f>VLOOKUP(B1296,'112年全品項生產鍋數'!A:H,7,0)</f>
        <v>25.1</v>
      </c>
      <c r="G1296" s="49">
        <f t="shared" ref="G1296:G1340" si="156">D1296*F1296</f>
        <v>401.6</v>
      </c>
      <c r="H1296" s="158">
        <v>394</v>
      </c>
      <c r="I1296" s="23">
        <f t="shared" ref="I1296:I1340" si="157">H1296*E1296</f>
        <v>2364</v>
      </c>
      <c r="J1296" s="100">
        <f t="shared" ref="J1296:J1340" si="158">IF(G1296=0,"無法預估數據",H1296/G1296)</f>
        <v>0.98107569721115528</v>
      </c>
      <c r="K1296" s="51">
        <f>VLOOKUP(B:B,'生產達成率(目標)'!A:C,3,0)</f>
        <v>1</v>
      </c>
      <c r="L1296" s="20">
        <f t="shared" ref="L1296:L1340" si="159">IF(G1296=0,"無法預估數據",ROUND(J1296-K1296,3))</f>
        <v>-1.9E-2</v>
      </c>
      <c r="M1296" s="137" t="str">
        <f>工時!R480</f>
        <v>223</v>
      </c>
      <c r="N1296" s="144"/>
      <c r="O1296" s="144">
        <f t="shared" ref="O1296:O1340" si="160">H1296-N1296-P1296</f>
        <v>1</v>
      </c>
      <c r="P1296" s="156">
        <v>393</v>
      </c>
      <c r="Q1296" s="98">
        <f t="shared" ref="Q1296:Q1340" si="161">P1296/H1296</f>
        <v>0.9974619289340102</v>
      </c>
      <c r="R1296" s="23"/>
      <c r="S1296" s="173"/>
      <c r="T1296" s="30"/>
    </row>
    <row r="1297" spans="1:30" ht="16.5" customHeight="1" x14ac:dyDescent="0.4">
      <c r="A1297" s="181">
        <v>45712</v>
      </c>
      <c r="B1297" s="139" t="s">
        <v>57</v>
      </c>
      <c r="C1297" s="30" t="str">
        <f>VLOOKUP(B1297,'112年全品項生產鍋數'!A:H,2,0)</f>
        <v>蘋果藍莓餡(1*9.08kg)</v>
      </c>
      <c r="D1297" s="291">
        <v>12</v>
      </c>
      <c r="E1297" s="48">
        <f>VLOOKUP(B1297,'112年全品項生產鍋數'!A:H,3,0)</f>
        <v>9.08</v>
      </c>
      <c r="F1297" s="45">
        <f>VLOOKUP(B1297,'112年全品項生產鍋數'!A:H,7,0)</f>
        <v>17.3</v>
      </c>
      <c r="G1297" s="49">
        <f t="shared" si="156"/>
        <v>207.60000000000002</v>
      </c>
      <c r="H1297" s="158">
        <v>206</v>
      </c>
      <c r="I1297" s="23">
        <f t="shared" si="157"/>
        <v>1870.48</v>
      </c>
      <c r="J1297" s="100">
        <f t="shared" si="158"/>
        <v>0.9922928709055876</v>
      </c>
      <c r="K1297" s="51">
        <f>VLOOKUP(B:B,'生產達成率(目標)'!A:C,3,0)</f>
        <v>1</v>
      </c>
      <c r="L1297" s="20">
        <f t="shared" si="159"/>
        <v>-8.0000000000000002E-3</v>
      </c>
      <c r="M1297" s="137" t="str">
        <f>工時!R481</f>
        <v>216</v>
      </c>
      <c r="N1297" s="144"/>
      <c r="O1297" s="144">
        <f t="shared" si="160"/>
        <v>0</v>
      </c>
      <c r="P1297" s="156">
        <v>206</v>
      </c>
      <c r="Q1297" s="98">
        <f t="shared" si="161"/>
        <v>1</v>
      </c>
      <c r="R1297" s="23"/>
      <c r="S1297" s="173"/>
      <c r="T1297" s="30"/>
    </row>
    <row r="1298" spans="1:30" ht="16.5" customHeight="1" x14ac:dyDescent="0.4">
      <c r="A1298" s="181">
        <v>45712</v>
      </c>
      <c r="B1298" s="139" t="s">
        <v>53</v>
      </c>
      <c r="C1298" s="30" t="str">
        <f>VLOOKUP(B1298,'112年全品項生產鍋數'!A:H,2,0)</f>
        <v>鳳梨芒果百香果醬(1*6KG)</v>
      </c>
      <c r="D1298" s="291">
        <v>4</v>
      </c>
      <c r="E1298" s="48">
        <f>VLOOKUP(B1298,'112年全品項生產鍋數'!A:H,3,0)</f>
        <v>6</v>
      </c>
      <c r="F1298" s="45">
        <f>VLOOKUP(B1298,'112年全品項生產鍋數'!A:H,7,0)</f>
        <v>25.7</v>
      </c>
      <c r="G1298" s="49">
        <f t="shared" si="156"/>
        <v>102.8</v>
      </c>
      <c r="H1298" s="158">
        <v>94</v>
      </c>
      <c r="I1298" s="23">
        <f t="shared" si="157"/>
        <v>564</v>
      </c>
      <c r="J1298" s="100">
        <f t="shared" si="158"/>
        <v>0.91439688715953304</v>
      </c>
      <c r="K1298" s="51">
        <f>VLOOKUP(B:B,'生產達成率(目標)'!A:C,3,0)</f>
        <v>1</v>
      </c>
      <c r="L1298" s="20">
        <f t="shared" si="159"/>
        <v>-8.5999999999999993E-2</v>
      </c>
      <c r="M1298" s="137" t="str">
        <f>工時!R482</f>
        <v>108</v>
      </c>
      <c r="N1298" s="144"/>
      <c r="O1298" s="144">
        <f t="shared" si="160"/>
        <v>1</v>
      </c>
      <c r="P1298" s="156">
        <v>93</v>
      </c>
      <c r="Q1298" s="98">
        <f t="shared" si="161"/>
        <v>0.98936170212765961</v>
      </c>
      <c r="R1298" s="23"/>
      <c r="S1298" s="173">
        <v>300</v>
      </c>
      <c r="T1298" s="30" t="s">
        <v>976</v>
      </c>
    </row>
    <row r="1299" spans="1:30" ht="16.5" customHeight="1" x14ac:dyDescent="0.4">
      <c r="A1299" s="181">
        <v>45712</v>
      </c>
      <c r="B1299" s="139" t="s">
        <v>97</v>
      </c>
      <c r="C1299" s="30" t="str">
        <f>VLOOKUP(B1299,'112年全品項生產鍋數'!A:H,2,0)</f>
        <v>花生醬(1*18KG)</v>
      </c>
      <c r="D1299" s="291">
        <v>8</v>
      </c>
      <c r="E1299" s="48">
        <f>VLOOKUP(B1299,'112年全品項生產鍋數'!A:H,3,0)</f>
        <v>18</v>
      </c>
      <c r="F1299" s="45">
        <f>VLOOKUP(B1299,'112年全品項生產鍋數'!A:H,7,0)</f>
        <v>6.6</v>
      </c>
      <c r="G1299" s="49">
        <f t="shared" si="156"/>
        <v>52.8</v>
      </c>
      <c r="H1299" s="158">
        <v>47</v>
      </c>
      <c r="I1299" s="23">
        <f t="shared" si="157"/>
        <v>846</v>
      </c>
      <c r="J1299" s="100">
        <f t="shared" si="158"/>
        <v>0.89015151515151525</v>
      </c>
      <c r="K1299" s="51">
        <f>VLOOKUP(B:B,'生產達成率(目標)'!A:C,3,0)</f>
        <v>1</v>
      </c>
      <c r="L1299" s="20">
        <f t="shared" si="159"/>
        <v>-0.11</v>
      </c>
      <c r="M1299" s="137" t="str">
        <f>工時!R483</f>
        <v>160</v>
      </c>
      <c r="N1299" s="144"/>
      <c r="O1299" s="144">
        <f t="shared" si="160"/>
        <v>0</v>
      </c>
      <c r="P1299" s="156">
        <v>47</v>
      </c>
      <c r="Q1299" s="98">
        <f t="shared" si="161"/>
        <v>1</v>
      </c>
      <c r="R1299" s="23"/>
      <c r="S1299" s="173"/>
      <c r="T1299" s="30"/>
    </row>
    <row r="1300" spans="1:30" ht="16.5" customHeight="1" x14ac:dyDescent="0.4">
      <c r="A1300" s="181">
        <v>45712</v>
      </c>
      <c r="B1300" s="139" t="s">
        <v>104</v>
      </c>
      <c r="C1300" s="30" t="str">
        <f>VLOOKUP(B1300,'112年全品項生產鍋數'!A:H,2,0)</f>
        <v>＃1花生(粒)(1*2.8kg)</v>
      </c>
      <c r="D1300" s="291">
        <v>32</v>
      </c>
      <c r="E1300" s="48">
        <f>VLOOKUP(B1300,'112年全品項生產鍋數'!A:H,3,0)</f>
        <v>2.8</v>
      </c>
      <c r="F1300" s="45">
        <f>VLOOKUP(B1300,'112年全品項生產鍋數'!A:H,7,0)</f>
        <v>44.2</v>
      </c>
      <c r="G1300" s="49">
        <f t="shared" si="156"/>
        <v>1414.4</v>
      </c>
      <c r="H1300" s="158">
        <v>1449</v>
      </c>
      <c r="I1300" s="23">
        <f t="shared" si="157"/>
        <v>4057.2</v>
      </c>
      <c r="J1300" s="100">
        <f t="shared" si="158"/>
        <v>1.0244626696832579</v>
      </c>
      <c r="K1300" s="51">
        <f>VLOOKUP(B:B,'生產達成率(目標)'!A:C,3,0)</f>
        <v>1</v>
      </c>
      <c r="L1300" s="20">
        <f t="shared" si="159"/>
        <v>2.4E-2</v>
      </c>
      <c r="M1300" s="137" t="str">
        <f>工時!R484</f>
        <v>390</v>
      </c>
      <c r="N1300" s="144"/>
      <c r="O1300" s="144">
        <f t="shared" si="160"/>
        <v>1</v>
      </c>
      <c r="P1300" s="156">
        <v>1448</v>
      </c>
      <c r="Q1300" s="98">
        <f t="shared" si="161"/>
        <v>0.99930986887508622</v>
      </c>
      <c r="R1300" s="23"/>
      <c r="S1300" s="173"/>
      <c r="T1300" s="30"/>
    </row>
    <row r="1301" spans="1:30" ht="16.5" customHeight="1" x14ac:dyDescent="0.4">
      <c r="A1301" s="181">
        <v>45713</v>
      </c>
      <c r="B1301" s="139" t="s">
        <v>63</v>
      </c>
      <c r="C1301" s="30" t="str">
        <f>VLOOKUP(B1301,'112年全品項生產鍋數'!A:H,2,0)</f>
        <v>草莓蒟蒻餡(1*6kg)</v>
      </c>
      <c r="D1301" s="291">
        <v>16</v>
      </c>
      <c r="E1301" s="48">
        <f>VLOOKUP(B1301,'112年全品項生產鍋數'!A:H,3,0)</f>
        <v>6</v>
      </c>
      <c r="F1301" s="45">
        <f>VLOOKUP(B1301,'112年全品項生產鍋數'!A:H,7,0)</f>
        <v>25.7</v>
      </c>
      <c r="G1301" s="49">
        <f t="shared" si="156"/>
        <v>411.2</v>
      </c>
      <c r="H1301" s="158">
        <f>193+215</f>
        <v>408</v>
      </c>
      <c r="I1301" s="23">
        <f t="shared" si="157"/>
        <v>2448</v>
      </c>
      <c r="J1301" s="100">
        <f t="shared" si="158"/>
        <v>0.99221789883268485</v>
      </c>
      <c r="K1301" s="51">
        <f>VLOOKUP(B:B,'生產達成率(目標)'!A:C,3,0)</f>
        <v>1</v>
      </c>
      <c r="L1301" s="20">
        <f t="shared" si="159"/>
        <v>-8.0000000000000002E-3</v>
      </c>
      <c r="M1301" s="137" t="str">
        <f>工時!R485</f>
        <v>210</v>
      </c>
      <c r="N1301" s="144"/>
      <c r="O1301" s="144">
        <f t="shared" si="160"/>
        <v>2</v>
      </c>
      <c r="P1301" s="156">
        <f>192+214</f>
        <v>406</v>
      </c>
      <c r="Q1301" s="98">
        <f t="shared" si="161"/>
        <v>0.99509803921568629</v>
      </c>
      <c r="R1301" s="23"/>
      <c r="S1301" s="173"/>
      <c r="T1301" s="30"/>
    </row>
    <row r="1302" spans="1:30" ht="16.5" customHeight="1" x14ac:dyDescent="0.4">
      <c r="A1302" s="181">
        <v>45713</v>
      </c>
      <c r="B1302" s="139" t="s">
        <v>357</v>
      </c>
      <c r="C1302" s="30" t="str">
        <f>VLOOKUP(B1302,'112年全品項生產鍋數'!A:H,2,0)</f>
        <v>草莓醬(1*6Kg)</v>
      </c>
      <c r="D1302" s="291">
        <v>12</v>
      </c>
      <c r="E1302" s="48">
        <f>VLOOKUP(B1302,'112年全品項生產鍋數'!A:H,3,0)</f>
        <v>6</v>
      </c>
      <c r="F1302" s="45">
        <f>VLOOKUP(B1302,'112年全品項生產鍋數'!A:H,7,0)</f>
        <v>25.5</v>
      </c>
      <c r="G1302" s="49">
        <f t="shared" si="156"/>
        <v>306</v>
      </c>
      <c r="H1302" s="158">
        <v>306</v>
      </c>
      <c r="I1302" s="23">
        <f t="shared" si="157"/>
        <v>1836</v>
      </c>
      <c r="J1302" s="100">
        <f t="shared" si="158"/>
        <v>1</v>
      </c>
      <c r="K1302" s="51">
        <f>VLOOKUP(B:B,'生產達成率(目標)'!A:C,3,0)</f>
        <v>1</v>
      </c>
      <c r="L1302" s="20">
        <f t="shared" si="159"/>
        <v>0</v>
      </c>
      <c r="M1302" s="137" t="str">
        <f>工時!R486</f>
        <v>200</v>
      </c>
      <c r="N1302" s="144"/>
      <c r="O1302" s="144">
        <f t="shared" si="160"/>
        <v>1</v>
      </c>
      <c r="P1302" s="156">
        <v>305</v>
      </c>
      <c r="Q1302" s="98">
        <f t="shared" si="161"/>
        <v>0.99673202614379086</v>
      </c>
      <c r="R1302" s="23"/>
      <c r="S1302" s="173"/>
      <c r="T1302" s="30"/>
    </row>
    <row r="1303" spans="1:30" ht="16.5" customHeight="1" x14ac:dyDescent="0.4">
      <c r="A1303" s="181">
        <v>45713</v>
      </c>
      <c r="B1303" s="139" t="s">
        <v>77</v>
      </c>
      <c r="C1303" s="30" t="str">
        <f>VLOOKUP(B1303,'112年全品項生產鍋數'!A:H,2,0)</f>
        <v>草莓餡50°(1*6Kg)</v>
      </c>
      <c r="D1303" s="291">
        <v>8</v>
      </c>
      <c r="E1303" s="48">
        <f>VLOOKUP(B1303,'112年全品項生產鍋數'!A:H,3,0)</f>
        <v>6</v>
      </c>
      <c r="F1303" s="45">
        <f>VLOOKUP(B1303,'112年全品項生產鍋數'!A:H,7,0)</f>
        <v>25</v>
      </c>
      <c r="G1303" s="49">
        <f t="shared" si="156"/>
        <v>200</v>
      </c>
      <c r="H1303" s="158">
        <v>192</v>
      </c>
      <c r="I1303" s="23">
        <f t="shared" si="157"/>
        <v>1152</v>
      </c>
      <c r="J1303" s="100">
        <f t="shared" si="158"/>
        <v>0.96</v>
      </c>
      <c r="K1303" s="51">
        <f>VLOOKUP(B:B,'生產達成率(目標)'!A:C,3,0)</f>
        <v>1</v>
      </c>
      <c r="L1303" s="20">
        <f t="shared" si="159"/>
        <v>-0.04</v>
      </c>
      <c r="M1303" s="137" t="str">
        <f>工時!R487</f>
        <v>200</v>
      </c>
      <c r="N1303" s="144"/>
      <c r="O1303" s="144">
        <f t="shared" si="160"/>
        <v>1</v>
      </c>
      <c r="P1303" s="156">
        <v>191</v>
      </c>
      <c r="Q1303" s="98">
        <f t="shared" si="161"/>
        <v>0.99479166666666663</v>
      </c>
      <c r="R1303" s="23" t="s">
        <v>1013</v>
      </c>
      <c r="S1303" s="173"/>
      <c r="T1303" s="30" t="s">
        <v>1014</v>
      </c>
    </row>
    <row r="1304" spans="1:30" ht="16.5" customHeight="1" x14ac:dyDescent="0.4">
      <c r="A1304" s="181">
        <v>45713</v>
      </c>
      <c r="B1304" s="139" t="s">
        <v>73</v>
      </c>
      <c r="C1304" s="30" t="str">
        <f>VLOOKUP(B1304,'112年全品項生產鍋數'!A:H,2,0)</f>
        <v>顆粒花生醬(1*12KG)</v>
      </c>
      <c r="D1304" s="291">
        <v>21</v>
      </c>
      <c r="E1304" s="48">
        <f>VLOOKUP(B1304,'112年全品項生產鍋數'!A:H,3,0)</f>
        <v>3</v>
      </c>
      <c r="F1304" s="45">
        <f>VLOOKUP(B1304,'112年全品項生產鍋數'!A:H,7,0)</f>
        <v>29.7</v>
      </c>
      <c r="G1304" s="49">
        <f t="shared" si="156"/>
        <v>623.69999999999993</v>
      </c>
      <c r="H1304" s="158">
        <v>628</v>
      </c>
      <c r="I1304" s="23">
        <f t="shared" si="157"/>
        <v>1884</v>
      </c>
      <c r="J1304" s="100">
        <f t="shared" si="158"/>
        <v>1.0068943402276738</v>
      </c>
      <c r="K1304" s="51">
        <f>VLOOKUP(B:B,'生產達成率(目標)'!A:C,3,0)</f>
        <v>1</v>
      </c>
      <c r="L1304" s="20">
        <f t="shared" si="159"/>
        <v>7.0000000000000001E-3</v>
      </c>
      <c r="M1304" s="137" t="str">
        <f>工時!R488</f>
        <v>540</v>
      </c>
      <c r="N1304" s="144"/>
      <c r="O1304" s="144">
        <f t="shared" si="160"/>
        <v>0</v>
      </c>
      <c r="P1304" s="156">
        <v>628</v>
      </c>
      <c r="Q1304" s="98">
        <f t="shared" si="161"/>
        <v>1</v>
      </c>
      <c r="R1304" s="23"/>
      <c r="S1304" s="173"/>
      <c r="T1304" s="30"/>
    </row>
    <row r="1305" spans="1:30" x14ac:dyDescent="0.4">
      <c r="A1305" s="181">
        <v>45713</v>
      </c>
      <c r="B1305" s="139" t="s">
        <v>65</v>
      </c>
      <c r="C1305" s="30" t="str">
        <f>VLOOKUP(B1305,'112年全品項生產鍋數'!A:H,2,0)</f>
        <v>＃1花生(1*2.8kg)</v>
      </c>
      <c r="D1305" s="291">
        <v>56</v>
      </c>
      <c r="E1305" s="48">
        <f>VLOOKUP(B1305,'112年全品項生產鍋數'!A:H,3,0)</f>
        <v>2.8</v>
      </c>
      <c r="F1305" s="45">
        <f>VLOOKUP(B1305,'112年全品項生產鍋數'!A:H,7,0)</f>
        <v>44.5</v>
      </c>
      <c r="G1305" s="49">
        <f t="shared" si="156"/>
        <v>2492</v>
      </c>
      <c r="H1305" s="158">
        <v>2539</v>
      </c>
      <c r="I1305" s="23">
        <f t="shared" si="157"/>
        <v>7109.2</v>
      </c>
      <c r="J1305" s="100">
        <f t="shared" si="158"/>
        <v>1.018860353130016</v>
      </c>
      <c r="K1305" s="51">
        <f>VLOOKUP(B:B,'生產達成率(目標)'!A:C,3,0)</f>
        <v>1</v>
      </c>
      <c r="L1305" s="20">
        <f t="shared" si="159"/>
        <v>1.9E-2</v>
      </c>
      <c r="M1305" s="137" t="str">
        <f>工時!R489</f>
        <v>540</v>
      </c>
      <c r="N1305" s="144"/>
      <c r="O1305" s="144">
        <f t="shared" si="160"/>
        <v>1</v>
      </c>
      <c r="P1305" s="156">
        <v>2538</v>
      </c>
      <c r="Q1305" s="98">
        <f t="shared" si="161"/>
        <v>0.99960614415124061</v>
      </c>
      <c r="R1305" s="23"/>
      <c r="S1305" s="173"/>
      <c r="T1305" s="30"/>
    </row>
    <row r="1306" spans="1:30" x14ac:dyDescent="0.4">
      <c r="A1306" s="181">
        <v>45714</v>
      </c>
      <c r="B1306" s="139" t="s">
        <v>71</v>
      </c>
      <c r="C1306" s="30" t="str">
        <f>VLOOKUP(B1306,'112年全品項生產鍋數'!A:H,2,0)</f>
        <v>＃1草莓(1*3.2kg)</v>
      </c>
      <c r="D1306" s="291">
        <v>72</v>
      </c>
      <c r="E1306" s="48">
        <f>VLOOKUP(B1306,'112年全品項生產鍋數'!A:H,3,0)</f>
        <v>3.2</v>
      </c>
      <c r="F1306" s="45">
        <f>VLOOKUP(B1306,'112年全品項生產鍋數'!A:H,7,0)</f>
        <v>46.8</v>
      </c>
      <c r="G1306" s="49">
        <f t="shared" si="156"/>
        <v>3369.6</v>
      </c>
      <c r="H1306" s="158">
        <v>3356</v>
      </c>
      <c r="I1306" s="23">
        <f t="shared" si="157"/>
        <v>10739.2</v>
      </c>
      <c r="J1306" s="100">
        <f t="shared" si="158"/>
        <v>0.99596391263057937</v>
      </c>
      <c r="K1306" s="51">
        <f>VLOOKUP(B:B,'生產達成率(目標)'!A:C,3,0)</f>
        <v>1</v>
      </c>
      <c r="L1306" s="20">
        <f t="shared" si="159"/>
        <v>-4.0000000000000001E-3</v>
      </c>
      <c r="M1306" s="137" t="str">
        <f>工時!R490</f>
        <v>540</v>
      </c>
      <c r="N1306" s="144"/>
      <c r="O1306" s="144">
        <f t="shared" si="160"/>
        <v>2</v>
      </c>
      <c r="P1306" s="156">
        <v>3354</v>
      </c>
      <c r="Q1306" s="98">
        <f t="shared" si="161"/>
        <v>0.99940405244338493</v>
      </c>
      <c r="R1306" s="23"/>
      <c r="S1306" s="173"/>
      <c r="T1306" s="30"/>
    </row>
    <row r="1307" spans="1:30" x14ac:dyDescent="0.4">
      <c r="A1307" s="181">
        <v>45714</v>
      </c>
      <c r="B1307" s="139" t="s">
        <v>63</v>
      </c>
      <c r="C1307" s="30" t="str">
        <f>VLOOKUP(B1307,'112年全品項生產鍋數'!A:H,2,0)</f>
        <v>草莓蒟蒻餡(1*6kg)</v>
      </c>
      <c r="D1307" s="291">
        <v>16</v>
      </c>
      <c r="E1307" s="48">
        <f>VLOOKUP(B1307,'112年全品項生產鍋數'!A:H,3,0)</f>
        <v>6</v>
      </c>
      <c r="F1307" s="45">
        <f>VLOOKUP(B1307,'112年全品項生產鍋數'!A:H,7,0)</f>
        <v>25.7</v>
      </c>
      <c r="G1307" s="49">
        <f t="shared" si="156"/>
        <v>411.2</v>
      </c>
      <c r="H1307" s="158">
        <f>199+217</f>
        <v>416</v>
      </c>
      <c r="I1307" s="23">
        <f t="shared" si="157"/>
        <v>2496</v>
      </c>
      <c r="J1307" s="100">
        <f t="shared" si="158"/>
        <v>1.0116731517509727</v>
      </c>
      <c r="K1307" s="51">
        <f>VLOOKUP(B:B,'生產達成率(目標)'!A:C,3,0)</f>
        <v>1</v>
      </c>
      <c r="L1307" s="20">
        <f t="shared" si="159"/>
        <v>1.2E-2</v>
      </c>
      <c r="M1307" s="137" t="str">
        <f>工時!R491</f>
        <v>277</v>
      </c>
      <c r="N1307" s="144"/>
      <c r="O1307" s="144">
        <f t="shared" si="160"/>
        <v>1</v>
      </c>
      <c r="P1307" s="156">
        <f>198+217</f>
        <v>415</v>
      </c>
      <c r="Q1307" s="98">
        <f t="shared" si="161"/>
        <v>0.99759615384615385</v>
      </c>
      <c r="R1307" s="23"/>
      <c r="S1307" s="173"/>
      <c r="T1307" s="30"/>
    </row>
    <row r="1308" spans="1:30" x14ac:dyDescent="0.4">
      <c r="A1308" s="181">
        <v>45714</v>
      </c>
      <c r="B1308" s="139" t="s">
        <v>72</v>
      </c>
      <c r="C1308" s="30" t="str">
        <f>VLOOKUP(B1308,'112年全品項生產鍋數'!A:H,2,0)</f>
        <v>草莓餡45%(1*6Kg)</v>
      </c>
      <c r="D1308" s="291">
        <v>20</v>
      </c>
      <c r="E1308" s="48">
        <f>VLOOKUP(B1308,'112年全品項生產鍋數'!A:H,3,0)</f>
        <v>6</v>
      </c>
      <c r="F1308" s="45">
        <f>VLOOKUP(B1308,'112年全品項生產鍋數'!A:H,7,0)</f>
        <v>26.1</v>
      </c>
      <c r="G1308" s="49">
        <f t="shared" si="156"/>
        <v>522</v>
      </c>
      <c r="H1308" s="158">
        <v>519</v>
      </c>
      <c r="I1308" s="23">
        <f t="shared" si="157"/>
        <v>3114</v>
      </c>
      <c r="J1308" s="100">
        <f t="shared" si="158"/>
        <v>0.99425287356321834</v>
      </c>
      <c r="K1308" s="51">
        <f>VLOOKUP(B:B,'生產達成率(目標)'!A:C,3,0)</f>
        <v>1</v>
      </c>
      <c r="L1308" s="20">
        <f t="shared" si="159"/>
        <v>-6.0000000000000001E-3</v>
      </c>
      <c r="M1308" s="137" t="str">
        <f>工時!R492</f>
        <v>270</v>
      </c>
      <c r="N1308" s="144"/>
      <c r="O1308" s="144">
        <f t="shared" si="160"/>
        <v>2</v>
      </c>
      <c r="P1308" s="156">
        <v>517</v>
      </c>
      <c r="Q1308" s="98">
        <f t="shared" si="161"/>
        <v>0.9961464354527938</v>
      </c>
      <c r="R1308" s="23"/>
      <c r="S1308" s="173"/>
      <c r="T1308" s="30"/>
    </row>
    <row r="1309" spans="1:30" x14ac:dyDescent="0.4">
      <c r="A1309" s="181">
        <v>45714</v>
      </c>
      <c r="B1309" s="139" t="s">
        <v>65</v>
      </c>
      <c r="C1309" s="30" t="str">
        <f>VLOOKUP(B1309,'112年全品項生產鍋數'!A:H,2,0)</f>
        <v>＃1花生(1*2.8kg)</v>
      </c>
      <c r="D1309" s="291">
        <v>56</v>
      </c>
      <c r="E1309" s="48">
        <f>VLOOKUP(B1309,'112年全品項生產鍋數'!A:H,3,0)</f>
        <v>2.8</v>
      </c>
      <c r="F1309" s="45">
        <f>VLOOKUP(B1309,'112年全品項生產鍋數'!A:H,7,0)</f>
        <v>44.5</v>
      </c>
      <c r="G1309" s="49">
        <f t="shared" si="156"/>
        <v>2492</v>
      </c>
      <c r="H1309" s="158">
        <v>2501</v>
      </c>
      <c r="I1309" s="23">
        <f t="shared" si="157"/>
        <v>7002.7999999999993</v>
      </c>
      <c r="J1309" s="100">
        <f t="shared" si="158"/>
        <v>1.0036115569823434</v>
      </c>
      <c r="K1309" s="51">
        <f>VLOOKUP(B:B,'生產達成率(目標)'!A:C,3,0)</f>
        <v>1</v>
      </c>
      <c r="L1309" s="20">
        <f t="shared" si="159"/>
        <v>4.0000000000000001E-3</v>
      </c>
      <c r="M1309" s="137" t="str">
        <f>工時!R493</f>
        <v>540</v>
      </c>
      <c r="N1309" s="144"/>
      <c r="O1309" s="144">
        <f t="shared" si="160"/>
        <v>1</v>
      </c>
      <c r="P1309" s="156">
        <v>2500</v>
      </c>
      <c r="Q1309" s="98">
        <f t="shared" si="161"/>
        <v>0.99960015993602558</v>
      </c>
      <c r="R1309" s="23"/>
      <c r="S1309" s="173"/>
      <c r="T1309" s="30"/>
    </row>
    <row r="1310" spans="1:30" x14ac:dyDescent="0.4">
      <c r="A1310" s="181">
        <v>45715</v>
      </c>
      <c r="B1310" s="139" t="s">
        <v>91</v>
      </c>
      <c r="C1310" s="30" t="str">
        <f>VLOOKUP(B1310,'112年全品項生產鍋數'!A:H,2,0)</f>
        <v>梨山草莓果醬(1*430g)</v>
      </c>
      <c r="D1310" s="291">
        <v>12</v>
      </c>
      <c r="E1310" s="48">
        <f>VLOOKUP(B1310,'112年全品項生產鍋數'!A:H,3,0)</f>
        <v>0.43</v>
      </c>
      <c r="F1310" s="45">
        <f>VLOOKUP(B1310,'112年全品項生產鍋數'!A:H,7,0)</f>
        <v>340.4</v>
      </c>
      <c r="G1310" s="49">
        <f t="shared" si="156"/>
        <v>4084.7999999999997</v>
      </c>
      <c r="H1310" s="158">
        <v>4061</v>
      </c>
      <c r="I1310" s="23">
        <f t="shared" si="157"/>
        <v>1746.23</v>
      </c>
      <c r="J1310" s="100">
        <f t="shared" si="158"/>
        <v>0.99417352134743442</v>
      </c>
      <c r="K1310" s="51">
        <f>VLOOKUP(B:B,'生產達成率(目標)'!A:C,3,0)</f>
        <v>1</v>
      </c>
      <c r="L1310" s="20">
        <f t="shared" si="159"/>
        <v>-6.0000000000000001E-3</v>
      </c>
      <c r="M1310" s="137" t="str">
        <f>工時!R494</f>
        <v>300</v>
      </c>
      <c r="N1310" s="144"/>
      <c r="O1310" s="144">
        <f t="shared" si="160"/>
        <v>21</v>
      </c>
      <c r="P1310" s="156">
        <v>4040</v>
      </c>
      <c r="Q1310" s="98">
        <f t="shared" si="161"/>
        <v>0.99482885988672742</v>
      </c>
      <c r="R1310" s="23"/>
      <c r="S1310" s="173"/>
      <c r="T1310" s="30"/>
    </row>
    <row r="1311" spans="1:30" s="146" customFormat="1" x14ac:dyDescent="0.4">
      <c r="A1311" s="182">
        <v>45715</v>
      </c>
      <c r="B1311" s="139" t="s">
        <v>114</v>
      </c>
      <c r="C1311" s="140" t="str">
        <f>VLOOKUP(B1311,'112年全品項生產鍋數'!A:H,2,0)</f>
        <v>開心草莓果醬(1*430g)</v>
      </c>
      <c r="D1311" s="291">
        <v>12</v>
      </c>
      <c r="E1311" s="141">
        <f>VLOOKUP(B1311,'112年全品項生產鍋數'!A:H,3,0)</f>
        <v>0.43</v>
      </c>
      <c r="F1311" s="142">
        <f>VLOOKUP(B1311,'112年全品項生產鍋數'!A:H,7,0)</f>
        <v>364</v>
      </c>
      <c r="G1311" s="143">
        <f t="shared" si="156"/>
        <v>4368</v>
      </c>
      <c r="H1311" s="158">
        <v>4505</v>
      </c>
      <c r="I1311" s="144">
        <f t="shared" si="157"/>
        <v>1937.1499999999999</v>
      </c>
      <c r="J1311" s="100">
        <f t="shared" si="158"/>
        <v>1.031364468864469</v>
      </c>
      <c r="K1311" s="51">
        <f>VLOOKUP(B:B,'生產達成率(目標)'!A:C,3,0)</f>
        <v>1</v>
      </c>
      <c r="L1311" s="20">
        <f t="shared" si="159"/>
        <v>3.1E-2</v>
      </c>
      <c r="M1311" s="137" t="str">
        <f>工時!R495</f>
        <v>390</v>
      </c>
      <c r="N1311" s="144"/>
      <c r="O1311" s="144">
        <f t="shared" si="160"/>
        <v>19</v>
      </c>
      <c r="P1311" s="156">
        <v>4486</v>
      </c>
      <c r="Q1311" s="145">
        <f t="shared" si="161"/>
        <v>0.99578246392896785</v>
      </c>
      <c r="R1311" s="144"/>
      <c r="S1311" s="153"/>
      <c r="T1311" s="140"/>
      <c r="V1311" s="381"/>
      <c r="W1311" s="421"/>
      <c r="X1311" s="381"/>
      <c r="Y1311" s="421"/>
      <c r="Z1311" s="421"/>
      <c r="AA1311" s="421"/>
      <c r="AB1311" s="421"/>
      <c r="AC1311" s="421"/>
      <c r="AD1311" s="421"/>
    </row>
    <row r="1312" spans="1:30" s="146" customFormat="1" x14ac:dyDescent="0.4">
      <c r="A1312" s="182">
        <v>45715</v>
      </c>
      <c r="B1312" s="139" t="s">
        <v>955</v>
      </c>
      <c r="C1312" s="140" t="str">
        <f>VLOOKUP(B1312,'112年全品項生產鍋數'!A:H,2,0)</f>
        <v>開心草莓果醬(1*430g)</v>
      </c>
      <c r="D1312" s="291">
        <v>3</v>
      </c>
      <c r="E1312" s="141">
        <f>VLOOKUP(B1312,'112年全品項生產鍋數'!A:H,3,0)</f>
        <v>0.43</v>
      </c>
      <c r="F1312" s="142">
        <f>VLOOKUP(B1312,'112年全品項生產鍋數'!A:H,7,0)</f>
        <v>364</v>
      </c>
      <c r="G1312" s="143">
        <f t="shared" si="156"/>
        <v>1092</v>
      </c>
      <c r="H1312" s="158">
        <v>1120</v>
      </c>
      <c r="I1312" s="144">
        <f t="shared" si="157"/>
        <v>481.59999999999997</v>
      </c>
      <c r="J1312" s="100">
        <f t="shared" si="158"/>
        <v>1.0256410256410255</v>
      </c>
      <c r="K1312" s="51" t="e">
        <f>VLOOKUP(B:B,'生產達成率(目標)'!A:C,3,0)</f>
        <v>#N/A</v>
      </c>
      <c r="L1312" s="20" t="e">
        <f t="shared" si="159"/>
        <v>#N/A</v>
      </c>
      <c r="M1312" s="137" t="str">
        <f>工時!R496</f>
        <v>390</v>
      </c>
      <c r="N1312" s="144"/>
      <c r="O1312" s="144">
        <f t="shared" si="160"/>
        <v>6</v>
      </c>
      <c r="P1312" s="156">
        <v>1114</v>
      </c>
      <c r="Q1312" s="145">
        <f t="shared" si="161"/>
        <v>0.99464285714285716</v>
      </c>
      <c r="R1312" s="144"/>
      <c r="S1312" s="153"/>
      <c r="T1312" s="140" t="s">
        <v>956</v>
      </c>
      <c r="V1312" s="381"/>
      <c r="W1312" s="421"/>
      <c r="X1312" s="381"/>
      <c r="Y1312" s="421"/>
      <c r="Z1312" s="421"/>
      <c r="AA1312" s="421"/>
      <c r="AB1312" s="421"/>
      <c r="AC1312" s="421"/>
      <c r="AD1312" s="421"/>
    </row>
    <row r="1313" spans="1:30" x14ac:dyDescent="0.4">
      <c r="A1313" s="181">
        <v>45715</v>
      </c>
      <c r="B1313" s="139" t="s">
        <v>108</v>
      </c>
      <c r="C1313" s="30" t="str">
        <f>VLOOKUP(B1313,'112年全品項生產鍋數'!A:H,2,0)</f>
        <v>顆粒花生醬(1*12KG)</v>
      </c>
      <c r="D1313" s="291">
        <v>21</v>
      </c>
      <c r="E1313" s="48">
        <f>VLOOKUP(B1313,'112年全品項生產鍋數'!A:H,3,0)</f>
        <v>3</v>
      </c>
      <c r="F1313" s="45">
        <f>VLOOKUP(B1313,'112年全品項生產鍋數'!A:H,7,0)</f>
        <v>31.6</v>
      </c>
      <c r="G1313" s="49">
        <f t="shared" si="156"/>
        <v>663.6</v>
      </c>
      <c r="H1313" s="158">
        <v>668</v>
      </c>
      <c r="I1313" s="23">
        <f t="shared" si="157"/>
        <v>2004</v>
      </c>
      <c r="J1313" s="100">
        <f t="shared" si="158"/>
        <v>1.0066305003013862</v>
      </c>
      <c r="K1313" s="51">
        <f>VLOOKUP(B:B,'生產達成率(目標)'!A:C,3,0)</f>
        <v>1</v>
      </c>
      <c r="L1313" s="20">
        <f t="shared" si="159"/>
        <v>7.0000000000000001E-3</v>
      </c>
      <c r="M1313" s="137" t="str">
        <f>工時!R497</f>
        <v>500</v>
      </c>
      <c r="N1313" s="144"/>
      <c r="O1313" s="144">
        <f t="shared" si="160"/>
        <v>0</v>
      </c>
      <c r="P1313" s="156">
        <v>668</v>
      </c>
      <c r="Q1313" s="98">
        <f t="shared" si="161"/>
        <v>1</v>
      </c>
      <c r="R1313" s="23"/>
      <c r="S1313" s="173"/>
      <c r="T1313" s="30"/>
    </row>
    <row r="1314" spans="1:30" x14ac:dyDescent="0.4">
      <c r="A1314" s="181">
        <v>45715</v>
      </c>
      <c r="B1314" s="139" t="s">
        <v>65</v>
      </c>
      <c r="C1314" s="30" t="str">
        <f>VLOOKUP(B1314,'112年全品項生產鍋數'!A:H,2,0)</f>
        <v>＃1花生(1*2.8kg)</v>
      </c>
      <c r="D1314" s="291">
        <v>56</v>
      </c>
      <c r="E1314" s="48">
        <f>VLOOKUP(B1314,'112年全品項生產鍋數'!A:H,3,0)</f>
        <v>2.8</v>
      </c>
      <c r="F1314" s="45">
        <f>VLOOKUP(B1314,'112年全品項生產鍋數'!A:H,7,0)</f>
        <v>44.5</v>
      </c>
      <c r="G1314" s="49">
        <f t="shared" si="156"/>
        <v>2492</v>
      </c>
      <c r="H1314" s="158">
        <v>2505</v>
      </c>
      <c r="I1314" s="23">
        <f t="shared" si="157"/>
        <v>7014</v>
      </c>
      <c r="J1314" s="100">
        <f t="shared" si="158"/>
        <v>1.0052166934189406</v>
      </c>
      <c r="K1314" s="51">
        <f>VLOOKUP(B:B,'生產達成率(目標)'!A:C,3,0)</f>
        <v>1</v>
      </c>
      <c r="L1314" s="20">
        <f t="shared" si="159"/>
        <v>5.0000000000000001E-3</v>
      </c>
      <c r="M1314" s="137" t="str">
        <f>工時!R498</f>
        <v>540</v>
      </c>
      <c r="N1314" s="144"/>
      <c r="O1314" s="144">
        <f t="shared" si="160"/>
        <v>1</v>
      </c>
      <c r="P1314" s="156">
        <v>2504</v>
      </c>
      <c r="Q1314" s="98">
        <f t="shared" si="161"/>
        <v>0.9996007984031936</v>
      </c>
      <c r="R1314" s="23"/>
      <c r="S1314" s="173"/>
      <c r="T1314" s="30"/>
    </row>
    <row r="1315" spans="1:30" x14ac:dyDescent="0.4">
      <c r="A1315" s="181">
        <v>45719</v>
      </c>
      <c r="B1315" s="139" t="s">
        <v>71</v>
      </c>
      <c r="C1315" s="30" t="str">
        <f>VLOOKUP(B1315,'112年全品項生產鍋數'!A:H,2,0)</f>
        <v>＃1草莓(1*3.2kg)</v>
      </c>
      <c r="D1315" s="291">
        <v>72</v>
      </c>
      <c r="E1315" s="48">
        <f>VLOOKUP(B1315,'112年全品項生產鍋數'!A:H,3,0)</f>
        <v>3.2</v>
      </c>
      <c r="F1315" s="45">
        <f>VLOOKUP(B1315,'112年全品項生產鍋數'!A:H,7,0)</f>
        <v>46.8</v>
      </c>
      <c r="G1315" s="49">
        <f t="shared" si="156"/>
        <v>3369.6</v>
      </c>
      <c r="H1315" s="158">
        <v>3372</v>
      </c>
      <c r="I1315" s="23">
        <f t="shared" si="157"/>
        <v>10790.400000000001</v>
      </c>
      <c r="J1315" s="100">
        <f t="shared" si="158"/>
        <v>1.0007122507122508</v>
      </c>
      <c r="K1315" s="51">
        <f>VLOOKUP(B:B,'生產達成率(目標)'!A:C,3,0)</f>
        <v>1</v>
      </c>
      <c r="L1315" s="20">
        <f t="shared" si="159"/>
        <v>1E-3</v>
      </c>
      <c r="M1315" s="137" t="str">
        <f>工時!R499</f>
        <v>540</v>
      </c>
      <c r="N1315" s="144"/>
      <c r="O1315" s="144">
        <f t="shared" si="160"/>
        <v>2</v>
      </c>
      <c r="P1315" s="156">
        <v>3370</v>
      </c>
      <c r="Q1315" s="98">
        <f t="shared" si="161"/>
        <v>0.99940688018979829</v>
      </c>
      <c r="R1315" s="23"/>
      <c r="S1315" s="173"/>
      <c r="T1315" s="30"/>
    </row>
    <row r="1316" spans="1:30" x14ac:dyDescent="0.4">
      <c r="A1316" s="181">
        <v>45719</v>
      </c>
      <c r="B1316" s="139" t="s">
        <v>76</v>
      </c>
      <c r="C1316" s="30" t="str">
        <f>VLOOKUP(B1316,'112年全品項生產鍋數'!A:H,2,0)</f>
        <v>草莓餡(1*6Kg)</v>
      </c>
      <c r="D1316" s="291">
        <v>16</v>
      </c>
      <c r="E1316" s="48">
        <f>VLOOKUP(B1316,'112年全品項生產鍋數'!A:H,3,0)</f>
        <v>6</v>
      </c>
      <c r="F1316" s="45">
        <f>VLOOKUP(B1316,'112年全品項生產鍋數'!A:H,7,0)</f>
        <v>25.5</v>
      </c>
      <c r="G1316" s="49">
        <f t="shared" si="156"/>
        <v>408</v>
      </c>
      <c r="H1316" s="158">
        <v>398</v>
      </c>
      <c r="I1316" s="23">
        <f t="shared" si="157"/>
        <v>2388</v>
      </c>
      <c r="J1316" s="100">
        <f t="shared" si="158"/>
        <v>0.97549019607843135</v>
      </c>
      <c r="K1316" s="51">
        <f>VLOOKUP(B:B,'生產達成率(目標)'!A:C,3,0)</f>
        <v>1</v>
      </c>
      <c r="L1316" s="20">
        <f t="shared" si="159"/>
        <v>-2.5000000000000001E-2</v>
      </c>
      <c r="M1316" s="137" t="str">
        <f>工時!R500</f>
        <v>210</v>
      </c>
      <c r="N1316" s="144"/>
      <c r="O1316" s="144">
        <f t="shared" si="160"/>
        <v>2</v>
      </c>
      <c r="P1316" s="156">
        <v>396</v>
      </c>
      <c r="Q1316" s="98">
        <f t="shared" si="161"/>
        <v>0.99497487437185927</v>
      </c>
      <c r="R1316" s="23"/>
      <c r="S1316" s="173"/>
      <c r="T1316" s="30"/>
    </row>
    <row r="1317" spans="1:30" x14ac:dyDescent="0.4">
      <c r="A1317" s="181">
        <v>45719</v>
      </c>
      <c r="B1317" s="139" t="s">
        <v>63</v>
      </c>
      <c r="C1317" s="30" t="str">
        <f>VLOOKUP(B1317,'112年全品項生產鍋數'!A:H,2,0)</f>
        <v>草莓蒟蒻餡(1*6kg)</v>
      </c>
      <c r="D1317" s="291">
        <v>20</v>
      </c>
      <c r="E1317" s="48">
        <f>VLOOKUP(B1317,'112年全品項生產鍋數'!A:H,3,0)</f>
        <v>6</v>
      </c>
      <c r="F1317" s="45">
        <f>VLOOKUP(B1317,'112年全品項生產鍋數'!A:H,7,0)</f>
        <v>25.7</v>
      </c>
      <c r="G1317" s="49">
        <f t="shared" si="156"/>
        <v>514</v>
      </c>
      <c r="H1317" s="158">
        <f>306+214</f>
        <v>520</v>
      </c>
      <c r="I1317" s="23">
        <f t="shared" si="157"/>
        <v>3120</v>
      </c>
      <c r="J1317" s="100">
        <f t="shared" si="158"/>
        <v>1.0116731517509727</v>
      </c>
      <c r="K1317" s="51">
        <f>VLOOKUP(B:B,'生產達成率(目標)'!A:C,3,0)</f>
        <v>1</v>
      </c>
      <c r="L1317" s="20">
        <f t="shared" si="159"/>
        <v>1.2E-2</v>
      </c>
      <c r="M1317" s="137" t="str">
        <f>工時!R501</f>
        <v>330</v>
      </c>
      <c r="N1317" s="144"/>
      <c r="O1317" s="144">
        <f t="shared" si="160"/>
        <v>2</v>
      </c>
      <c r="P1317" s="156">
        <f>304+214</f>
        <v>518</v>
      </c>
      <c r="Q1317" s="98">
        <f t="shared" si="161"/>
        <v>0.99615384615384617</v>
      </c>
      <c r="R1317" s="23"/>
      <c r="S1317" s="173"/>
      <c r="T1317" s="30"/>
    </row>
    <row r="1318" spans="1:30" x14ac:dyDescent="0.4">
      <c r="A1318" s="181">
        <v>45719</v>
      </c>
      <c r="B1318" s="139" t="s">
        <v>96</v>
      </c>
      <c r="C1318" s="30" t="str">
        <f>VLOOKUP(B1318,'112年全品項生產鍋數'!A:H,2,0)</f>
        <v>PET瓶花生(1*340g)</v>
      </c>
      <c r="D1318" s="291">
        <v>20</v>
      </c>
      <c r="E1318" s="48">
        <f>VLOOKUP(B1318,'112年全品項生產鍋數'!A:H,3,0)</f>
        <v>0.34</v>
      </c>
      <c r="F1318" s="45">
        <f>VLOOKUP(B1318,'112年全品項生產鍋數'!A:H,7,0)</f>
        <v>358.3</v>
      </c>
      <c r="G1318" s="49">
        <f t="shared" si="156"/>
        <v>7166</v>
      </c>
      <c r="H1318" s="158">
        <v>7232</v>
      </c>
      <c r="I1318" s="23">
        <f t="shared" si="157"/>
        <v>2458.88</v>
      </c>
      <c r="J1318" s="100">
        <f t="shared" si="158"/>
        <v>1.0092101590845659</v>
      </c>
      <c r="K1318" s="51">
        <f>VLOOKUP(B:B,'生產達成率(目標)'!A:C,3,0)</f>
        <v>1</v>
      </c>
      <c r="L1318" s="20">
        <f t="shared" si="159"/>
        <v>8.9999999999999993E-3</v>
      </c>
      <c r="M1318" s="137" t="str">
        <f>工時!R502</f>
        <v>420</v>
      </c>
      <c r="N1318" s="144"/>
      <c r="O1318" s="186">
        <f t="shared" si="160"/>
        <v>3</v>
      </c>
      <c r="P1318" s="156">
        <v>7229</v>
      </c>
      <c r="Q1318" s="98">
        <f t="shared" si="161"/>
        <v>0.99958517699115046</v>
      </c>
      <c r="R1318" s="23"/>
      <c r="S1318" s="173"/>
      <c r="T1318" s="30"/>
    </row>
    <row r="1319" spans="1:30" x14ac:dyDescent="0.4">
      <c r="A1319" s="181">
        <v>45719</v>
      </c>
      <c r="B1319" s="139" t="s">
        <v>66</v>
      </c>
      <c r="C1319" s="30" t="str">
        <f>VLOOKUP(B1319,'112年全品項生產鍋數'!A:H,2,0)</f>
        <v>＃2花生(1*800g)</v>
      </c>
      <c r="D1319" s="291">
        <v>20</v>
      </c>
      <c r="E1319" s="48">
        <f>VLOOKUP(B1319,'112年全品項生產鍋數'!A:H,3,0)</f>
        <v>0.8</v>
      </c>
      <c r="F1319" s="45">
        <f>VLOOKUP(B1319,'112年全品項生產鍋數'!A:H,7,0)</f>
        <v>157.69999999999999</v>
      </c>
      <c r="G1319" s="49">
        <f t="shared" si="156"/>
        <v>3154</v>
      </c>
      <c r="H1319" s="158">
        <v>3137</v>
      </c>
      <c r="I1319" s="23">
        <f t="shared" si="157"/>
        <v>2509.6000000000004</v>
      </c>
      <c r="J1319" s="100">
        <f t="shared" si="158"/>
        <v>0.99461001902346224</v>
      </c>
      <c r="K1319" s="51">
        <f>VLOOKUP(B:B,'生產達成率(目標)'!A:C,3,0)</f>
        <v>1</v>
      </c>
      <c r="L1319" s="20">
        <f t="shared" si="159"/>
        <v>-5.0000000000000001E-3</v>
      </c>
      <c r="M1319" s="137" t="str">
        <f>工時!R503</f>
        <v>540</v>
      </c>
      <c r="N1319" s="144"/>
      <c r="O1319" s="144">
        <f t="shared" si="160"/>
        <v>2</v>
      </c>
      <c r="P1319" s="156">
        <v>3135</v>
      </c>
      <c r="Q1319" s="98">
        <f t="shared" si="161"/>
        <v>0.99936244819891618</v>
      </c>
      <c r="R1319" s="23"/>
      <c r="S1319" s="173"/>
      <c r="T1319" s="30"/>
    </row>
    <row r="1320" spans="1:30" s="146" customFormat="1" x14ac:dyDescent="0.4">
      <c r="A1320" s="182">
        <v>45719</v>
      </c>
      <c r="B1320" s="139" t="s">
        <v>431</v>
      </c>
      <c r="C1320" s="140" t="str">
        <f>VLOOKUP(B1320,'112年全品項生產鍋數'!A:H,2,0)</f>
        <v>文旦丁</v>
      </c>
      <c r="D1320" s="291">
        <v>2</v>
      </c>
      <c r="E1320" s="141">
        <f>VLOOKUP(B1320,'112年全品項生產鍋數'!A:H,3,0)</f>
        <v>1</v>
      </c>
      <c r="F1320" s="142">
        <f>VLOOKUP(B1320,'112年全品項生產鍋數'!A:H,7,0)</f>
        <v>243</v>
      </c>
      <c r="G1320" s="143">
        <f t="shared" si="156"/>
        <v>486</v>
      </c>
      <c r="H1320" s="158">
        <v>502</v>
      </c>
      <c r="I1320" s="144">
        <f t="shared" si="157"/>
        <v>502</v>
      </c>
      <c r="J1320" s="100">
        <f t="shared" si="158"/>
        <v>1.0329218106995885</v>
      </c>
      <c r="K1320" s="51">
        <f>VLOOKUP(B:B,'生產達成率(目標)'!A:C,3,0)</f>
        <v>1</v>
      </c>
      <c r="L1320" s="20">
        <f t="shared" si="159"/>
        <v>3.3000000000000002E-2</v>
      </c>
      <c r="M1320" s="137" t="str">
        <f>工時!R504</f>
        <v>0</v>
      </c>
      <c r="N1320" s="144"/>
      <c r="O1320" s="144">
        <f t="shared" si="160"/>
        <v>3</v>
      </c>
      <c r="P1320" s="156">
        <v>499</v>
      </c>
      <c r="Q1320" s="145">
        <f t="shared" si="161"/>
        <v>0.99402390438247012</v>
      </c>
      <c r="R1320" s="144"/>
      <c r="S1320" s="153"/>
      <c r="T1320" s="140"/>
      <c r="V1320" s="381"/>
      <c r="W1320" s="421"/>
      <c r="X1320" s="381"/>
      <c r="Y1320" s="421"/>
      <c r="Z1320" s="421"/>
      <c r="AA1320" s="421"/>
      <c r="AB1320" s="421"/>
      <c r="AC1320" s="421"/>
      <c r="AD1320" s="421"/>
    </row>
    <row r="1321" spans="1:30" s="146" customFormat="1" x14ac:dyDescent="0.4">
      <c r="A1321" s="182">
        <v>45720</v>
      </c>
      <c r="B1321" s="139" t="s">
        <v>456</v>
      </c>
      <c r="C1321" s="140" t="str">
        <f>VLOOKUP(B1321,'112年全品項生產鍋數'!A:H,2,0)</f>
        <v>桑椹果醬(1*190g)</v>
      </c>
      <c r="D1321" s="291">
        <v>3</v>
      </c>
      <c r="E1321" s="141">
        <f>VLOOKUP(B1321,'112年全品項生產鍋數'!A:H,3,0)</f>
        <v>0.19</v>
      </c>
      <c r="F1321" s="142">
        <f>VLOOKUP(B1321,'112年全品項生產鍋數'!A:H,7,0)</f>
        <v>759.3</v>
      </c>
      <c r="G1321" s="143">
        <f t="shared" si="156"/>
        <v>2277.8999999999996</v>
      </c>
      <c r="H1321" s="158">
        <v>2150</v>
      </c>
      <c r="I1321" s="144">
        <f t="shared" si="157"/>
        <v>408.5</v>
      </c>
      <c r="J1321" s="100">
        <f t="shared" si="158"/>
        <v>0.94385179331840741</v>
      </c>
      <c r="K1321" s="51">
        <f>VLOOKUP(B:B,'生產達成率(目標)'!A:C,3,0)</f>
        <v>1</v>
      </c>
      <c r="L1321" s="20">
        <f t="shared" si="159"/>
        <v>-5.6000000000000001E-2</v>
      </c>
      <c r="M1321" s="137" t="str">
        <f>工時!R505</f>
        <v>240</v>
      </c>
      <c r="N1321" s="144"/>
      <c r="O1321" s="186">
        <f t="shared" si="160"/>
        <v>5</v>
      </c>
      <c r="P1321" s="156">
        <v>2145</v>
      </c>
      <c r="Q1321" s="145">
        <f t="shared" si="161"/>
        <v>0.99767441860465111</v>
      </c>
      <c r="R1321" s="144"/>
      <c r="S1321" s="153"/>
      <c r="T1321" s="140"/>
      <c r="V1321" s="381"/>
      <c r="W1321" s="421"/>
      <c r="X1321" s="381"/>
      <c r="Y1321" s="421"/>
      <c r="Z1321" s="421"/>
      <c r="AA1321" s="421"/>
      <c r="AB1321" s="421"/>
      <c r="AC1321" s="421"/>
      <c r="AD1321" s="421"/>
    </row>
    <row r="1322" spans="1:30" x14ac:dyDescent="0.4">
      <c r="A1322" s="181">
        <v>45720</v>
      </c>
      <c r="B1322" s="139" t="s">
        <v>63</v>
      </c>
      <c r="C1322" s="30" t="str">
        <f>VLOOKUP(B1322,'112年全品項生產鍋數'!A:H,2,0)</f>
        <v>草莓蒟蒻餡(1*6kg)</v>
      </c>
      <c r="D1322" s="291">
        <v>20</v>
      </c>
      <c r="E1322" s="48">
        <f>VLOOKUP(B1322,'112年全品項生產鍋數'!A:H,3,0)</f>
        <v>6</v>
      </c>
      <c r="F1322" s="45">
        <f>VLOOKUP(B1322,'112年全品項生產鍋數'!A:H,7,0)</f>
        <v>25.7</v>
      </c>
      <c r="G1322" s="49">
        <f t="shared" si="156"/>
        <v>514</v>
      </c>
      <c r="H1322" s="158">
        <f>300+212</f>
        <v>512</v>
      </c>
      <c r="I1322" s="23">
        <f t="shared" si="157"/>
        <v>3072</v>
      </c>
      <c r="J1322" s="100">
        <f t="shared" si="158"/>
        <v>0.99610894941634243</v>
      </c>
      <c r="K1322" s="51">
        <f>VLOOKUP(B:B,'生產達成率(目標)'!A:C,3,0)</f>
        <v>1</v>
      </c>
      <c r="L1322" s="20">
        <f t="shared" si="159"/>
        <v>-4.0000000000000001E-3</v>
      </c>
      <c r="M1322" s="137" t="str">
        <f>工時!R506</f>
        <v>300</v>
      </c>
      <c r="N1322" s="144"/>
      <c r="O1322" s="144">
        <f t="shared" si="160"/>
        <v>2</v>
      </c>
      <c r="P1322" s="156">
        <f>298+212</f>
        <v>510</v>
      </c>
      <c r="Q1322" s="98">
        <f t="shared" si="161"/>
        <v>0.99609375</v>
      </c>
      <c r="R1322" s="23"/>
      <c r="S1322" s="173"/>
      <c r="T1322" s="30"/>
    </row>
    <row r="1323" spans="1:30" x14ac:dyDescent="0.4">
      <c r="A1323" s="181">
        <v>45720</v>
      </c>
      <c r="B1323" s="139" t="s">
        <v>73</v>
      </c>
      <c r="C1323" s="30" t="str">
        <f>VLOOKUP(B1323,'112年全品項生產鍋數'!A:H,2,0)</f>
        <v>顆粒花生醬(1*12KG)</v>
      </c>
      <c r="D1323" s="291">
        <v>21</v>
      </c>
      <c r="E1323" s="48">
        <f>VLOOKUP(B1323,'112年全品項生產鍋數'!A:H,3,0)</f>
        <v>3</v>
      </c>
      <c r="F1323" s="45">
        <f>VLOOKUP(B1323,'112年全品項生產鍋數'!A:H,7,0)</f>
        <v>29.7</v>
      </c>
      <c r="G1323" s="49">
        <f t="shared" si="156"/>
        <v>623.69999999999993</v>
      </c>
      <c r="H1323" s="158">
        <v>628</v>
      </c>
      <c r="I1323" s="23">
        <f t="shared" si="157"/>
        <v>1884</v>
      </c>
      <c r="J1323" s="100">
        <f t="shared" si="158"/>
        <v>1.0068943402276738</v>
      </c>
      <c r="K1323" s="51">
        <f>VLOOKUP(B:B,'生產達成率(目標)'!A:C,3,0)</f>
        <v>1</v>
      </c>
      <c r="L1323" s="20">
        <f t="shared" si="159"/>
        <v>7.0000000000000001E-3</v>
      </c>
      <c r="M1323" s="137" t="str">
        <f>工時!R507</f>
        <v>540</v>
      </c>
      <c r="N1323" s="144"/>
      <c r="O1323" s="144">
        <f t="shared" si="160"/>
        <v>0</v>
      </c>
      <c r="P1323" s="156">
        <v>628</v>
      </c>
      <c r="Q1323" s="98">
        <f t="shared" si="161"/>
        <v>1</v>
      </c>
      <c r="R1323" s="23"/>
      <c r="S1323" s="173"/>
      <c r="T1323" s="30"/>
    </row>
    <row r="1324" spans="1:30" x14ac:dyDescent="0.4">
      <c r="A1324" s="181">
        <v>45720</v>
      </c>
      <c r="B1324" s="139" t="s">
        <v>123</v>
      </c>
      <c r="C1324" s="30" t="str">
        <f>VLOOKUP(B1324,'112年全品項生產鍋數'!A:H,2,0)</f>
        <v>深烤焙花生醬(1*18KG)</v>
      </c>
      <c r="D1324" s="291">
        <v>40</v>
      </c>
      <c r="E1324" s="48">
        <f>VLOOKUP(B1324,'112年全品項生產鍋數'!A:H,3,0)</f>
        <v>18</v>
      </c>
      <c r="F1324" s="45">
        <f>VLOOKUP(B1324,'112年全品項生產鍋數'!A:H,7,0)</f>
        <v>6.9</v>
      </c>
      <c r="G1324" s="49">
        <f t="shared" si="156"/>
        <v>276</v>
      </c>
      <c r="H1324" s="158">
        <v>279</v>
      </c>
      <c r="I1324" s="23">
        <f t="shared" si="157"/>
        <v>5022</v>
      </c>
      <c r="J1324" s="100">
        <f t="shared" si="158"/>
        <v>1.0108695652173914</v>
      </c>
      <c r="K1324" s="51">
        <f>VLOOKUP(B:B,'生產達成率(目標)'!A:C,3,0)</f>
        <v>1</v>
      </c>
      <c r="L1324" s="20">
        <f t="shared" si="159"/>
        <v>1.0999999999999999E-2</v>
      </c>
      <c r="M1324" s="137" t="str">
        <f>工時!R508</f>
        <v>420</v>
      </c>
      <c r="N1324" s="144"/>
      <c r="O1324" s="144">
        <f t="shared" si="160"/>
        <v>0</v>
      </c>
      <c r="P1324" s="156">
        <v>279</v>
      </c>
      <c r="Q1324" s="98">
        <f t="shared" si="161"/>
        <v>1</v>
      </c>
      <c r="R1324" s="23"/>
      <c r="S1324" s="173"/>
      <c r="T1324" s="30"/>
    </row>
    <row r="1325" spans="1:30" ht="18" customHeight="1" x14ac:dyDescent="0.4">
      <c r="A1325" s="181">
        <v>45720</v>
      </c>
      <c r="B1325" s="139">
        <v>151010</v>
      </c>
      <c r="C1325" s="30" t="str">
        <f>VLOOKUP(B1325,'112年全品項生產鍋數'!A:H,2,0)</f>
        <v>蜜紅果6m/m</v>
      </c>
      <c r="D1325" s="291">
        <v>1</v>
      </c>
      <c r="E1325" s="48">
        <f>VLOOKUP(B1325,'112年全品項生產鍋數'!A:H,3,0)</f>
        <v>1</v>
      </c>
      <c r="F1325" s="45">
        <f>VLOOKUP(B1325,'112年全品項生產鍋數'!A:H,7,0)</f>
        <v>142</v>
      </c>
      <c r="G1325" s="49">
        <f t="shared" si="156"/>
        <v>142</v>
      </c>
      <c r="H1325" s="158">
        <v>134</v>
      </c>
      <c r="I1325" s="23">
        <f t="shared" si="157"/>
        <v>134</v>
      </c>
      <c r="J1325" s="100">
        <f t="shared" si="158"/>
        <v>0.94366197183098588</v>
      </c>
      <c r="K1325" s="51">
        <f>VLOOKUP(B:B,'生產達成率(目標)'!A:C,3,0)</f>
        <v>1</v>
      </c>
      <c r="L1325" s="20">
        <f t="shared" si="159"/>
        <v>-5.6000000000000001E-2</v>
      </c>
      <c r="M1325" s="137" t="str">
        <f>工時!R509</f>
        <v>0</v>
      </c>
      <c r="N1325" s="144"/>
      <c r="O1325" s="144">
        <f t="shared" si="160"/>
        <v>0</v>
      </c>
      <c r="P1325" s="156">
        <v>134</v>
      </c>
      <c r="Q1325" s="98">
        <f t="shared" si="161"/>
        <v>1</v>
      </c>
      <c r="R1325" s="23"/>
      <c r="S1325" s="173"/>
      <c r="T1325" s="30"/>
    </row>
    <row r="1326" spans="1:30" x14ac:dyDescent="0.4">
      <c r="A1326" s="181">
        <v>45721</v>
      </c>
      <c r="B1326" s="139" t="s">
        <v>86</v>
      </c>
      <c r="C1326" s="30" t="str">
        <f>VLOOKUP(B1326,'112年全品項生產鍋數'!A:H,2,0)</f>
        <v>＃2藍莓(1*900g)</v>
      </c>
      <c r="D1326" s="291">
        <v>20</v>
      </c>
      <c r="E1326" s="48">
        <f>VLOOKUP(B1326,'112年全品項生產鍋數'!A:H,3,0)</f>
        <v>0.9</v>
      </c>
      <c r="F1326" s="45">
        <f>VLOOKUP(B1326,'112年全品項生產鍋數'!A:H,7,0)</f>
        <v>163</v>
      </c>
      <c r="G1326" s="49">
        <f t="shared" si="156"/>
        <v>3260</v>
      </c>
      <c r="H1326" s="158">
        <v>3289</v>
      </c>
      <c r="I1326" s="23">
        <f t="shared" si="157"/>
        <v>2960.1</v>
      </c>
      <c r="J1326" s="100">
        <f t="shared" si="158"/>
        <v>1.0088957055214725</v>
      </c>
      <c r="K1326" s="51">
        <f>VLOOKUP(B:B,'生產達成率(目標)'!A:C,3,0)</f>
        <v>1</v>
      </c>
      <c r="L1326" s="20">
        <f t="shared" si="159"/>
        <v>8.9999999999999993E-3</v>
      </c>
      <c r="M1326" s="137" t="str">
        <f>工時!R510</f>
        <v>270</v>
      </c>
      <c r="N1326" s="144"/>
      <c r="O1326" s="144">
        <f t="shared" si="160"/>
        <v>2</v>
      </c>
      <c r="P1326" s="156">
        <v>3287</v>
      </c>
      <c r="Q1326" s="98">
        <f t="shared" si="161"/>
        <v>0.99939191243539072</v>
      </c>
      <c r="R1326" s="23"/>
      <c r="S1326" s="173"/>
      <c r="T1326" s="30"/>
    </row>
    <row r="1327" spans="1:30" x14ac:dyDescent="0.4">
      <c r="A1327" s="181">
        <v>45721</v>
      </c>
      <c r="B1327" s="139" t="s">
        <v>68</v>
      </c>
      <c r="C1327" s="30" t="str">
        <f>VLOOKUP(B1327,'112年全品項生產鍋數'!A:H,2,0)</f>
        <v>#2草莓果醬(1*900g)</v>
      </c>
      <c r="D1327" s="291">
        <v>20</v>
      </c>
      <c r="E1327" s="48">
        <f>VLOOKUP(B1327,'112年全品項生產鍋數'!A:H,3,0)</f>
        <v>0.9</v>
      </c>
      <c r="F1327" s="45">
        <f>VLOOKUP(B1327,'112年全品項生產鍋數'!A:H,7,0)</f>
        <v>160.5</v>
      </c>
      <c r="G1327" s="49">
        <f t="shared" si="156"/>
        <v>3210</v>
      </c>
      <c r="H1327" s="158">
        <v>3224</v>
      </c>
      <c r="I1327" s="23">
        <f t="shared" si="157"/>
        <v>2901.6</v>
      </c>
      <c r="J1327" s="100">
        <f t="shared" si="158"/>
        <v>1.0043613707165109</v>
      </c>
      <c r="K1327" s="51">
        <f>VLOOKUP(B:B,'生產達成率(目標)'!A:C,3,0)</f>
        <v>1</v>
      </c>
      <c r="L1327" s="20">
        <f t="shared" si="159"/>
        <v>4.0000000000000001E-3</v>
      </c>
      <c r="M1327" s="137" t="str">
        <f>工時!R511</f>
        <v>340</v>
      </c>
      <c r="N1327" s="144"/>
      <c r="O1327" s="186">
        <f t="shared" si="160"/>
        <v>3</v>
      </c>
      <c r="P1327" s="156">
        <v>3221</v>
      </c>
      <c r="Q1327" s="98">
        <f t="shared" si="161"/>
        <v>0.99906947890818854</v>
      </c>
      <c r="R1327" s="23"/>
      <c r="S1327" s="173"/>
      <c r="T1327" s="30"/>
    </row>
    <row r="1328" spans="1:30" x14ac:dyDescent="0.4">
      <c r="A1328" s="181">
        <v>45721</v>
      </c>
      <c r="B1328" s="139" t="s">
        <v>110</v>
      </c>
      <c r="C1328" s="30" t="str">
        <f>VLOOKUP(B1328,'112年全品項生產鍋數'!A:H,2,0)</f>
        <v>顆粒花生醬(1*12KG)</v>
      </c>
      <c r="D1328" s="291">
        <v>21</v>
      </c>
      <c r="E1328" s="48">
        <f>VLOOKUP(B1328,'112年全品項生產鍋數'!A:H,3,0)</f>
        <v>3</v>
      </c>
      <c r="F1328" s="45">
        <f>VLOOKUP(B1328,'112年全品項生產鍋數'!A:H,7,0)</f>
        <v>30.8</v>
      </c>
      <c r="G1328" s="49">
        <f t="shared" si="156"/>
        <v>646.80000000000007</v>
      </c>
      <c r="H1328" s="158">
        <v>648</v>
      </c>
      <c r="I1328" s="23">
        <f t="shared" si="157"/>
        <v>1944</v>
      </c>
      <c r="J1328" s="100">
        <f t="shared" si="158"/>
        <v>1.0018552875695732</v>
      </c>
      <c r="K1328" s="51">
        <f>VLOOKUP(B:B,'生產達成率(目標)'!A:C,3,0)</f>
        <v>1</v>
      </c>
      <c r="L1328" s="20">
        <f t="shared" si="159"/>
        <v>2E-3</v>
      </c>
      <c r="M1328" s="137" t="str">
        <f>工時!R512</f>
        <v>540</v>
      </c>
      <c r="N1328" s="144"/>
      <c r="O1328" s="144">
        <f t="shared" si="160"/>
        <v>0</v>
      </c>
      <c r="P1328" s="156">
        <v>648</v>
      </c>
      <c r="Q1328" s="98">
        <f t="shared" si="161"/>
        <v>1</v>
      </c>
      <c r="R1328" s="23"/>
      <c r="S1328" s="173"/>
      <c r="T1328" s="30"/>
    </row>
    <row r="1329" spans="1:30" x14ac:dyDescent="0.4">
      <c r="A1329" s="181">
        <v>45721</v>
      </c>
      <c r="B1329" s="139" t="s">
        <v>65</v>
      </c>
      <c r="C1329" s="30" t="str">
        <f>VLOOKUP(B1329,'112年全品項生產鍋數'!A:H,2,0)</f>
        <v>＃1花生(1*2.8kg)</v>
      </c>
      <c r="D1329" s="291">
        <v>56</v>
      </c>
      <c r="E1329" s="48">
        <f>VLOOKUP(B1329,'112年全品項生產鍋數'!A:H,3,0)</f>
        <v>2.8</v>
      </c>
      <c r="F1329" s="45">
        <f>VLOOKUP(B1329,'112年全品項生產鍋數'!A:H,7,0)</f>
        <v>44.5</v>
      </c>
      <c r="G1329" s="49">
        <f>D1329*F1329-15*18/E1329</f>
        <v>2395.5714285714284</v>
      </c>
      <c r="H1329" s="158">
        <f>600+1802</f>
        <v>2402</v>
      </c>
      <c r="I1329" s="23">
        <f t="shared" si="157"/>
        <v>6725.5999999999995</v>
      </c>
      <c r="J1329" s="100">
        <f t="shared" si="158"/>
        <v>1.00268352316775</v>
      </c>
      <c r="K1329" s="51">
        <f>VLOOKUP(B:B,'生產達成率(目標)'!A:C,3,0)</f>
        <v>1</v>
      </c>
      <c r="L1329" s="20">
        <f t="shared" si="159"/>
        <v>3.0000000000000001E-3</v>
      </c>
      <c r="M1329" s="137" t="str">
        <f>工時!R513</f>
        <v>540</v>
      </c>
      <c r="N1329" s="144"/>
      <c r="O1329" s="144">
        <f t="shared" si="160"/>
        <v>1</v>
      </c>
      <c r="P1329" s="156">
        <f>600+1801</f>
        <v>2401</v>
      </c>
      <c r="Q1329" s="98">
        <f t="shared" si="161"/>
        <v>0.99958368026644462</v>
      </c>
      <c r="R1329" s="23"/>
      <c r="S1329" s="173"/>
      <c r="T1329" s="30" t="s">
        <v>961</v>
      </c>
    </row>
    <row r="1330" spans="1:30" s="146" customFormat="1" x14ac:dyDescent="0.4">
      <c r="A1330" s="182">
        <v>45722</v>
      </c>
      <c r="B1330" s="139" t="s">
        <v>61</v>
      </c>
      <c r="C1330" s="140" t="str">
        <f>VLOOKUP(B1330,'112年全品項生產鍋數'!A:H,2,0)</f>
        <v>大圓草莓-新</v>
      </c>
      <c r="D1330" s="291">
        <v>36</v>
      </c>
      <c r="E1330" s="141">
        <f>VLOOKUP(B1330,'112年全品項生產鍋數'!A:H,3,0)</f>
        <v>0.44</v>
      </c>
      <c r="F1330" s="142">
        <f>VLOOKUP(B1330,'112年全品項生產鍋數'!A:H,7,0)</f>
        <v>344</v>
      </c>
      <c r="G1330" s="143">
        <f t="shared" si="156"/>
        <v>12384</v>
      </c>
      <c r="H1330" s="158">
        <v>12416</v>
      </c>
      <c r="I1330" s="144">
        <f t="shared" si="157"/>
        <v>5463.04</v>
      </c>
      <c r="J1330" s="100">
        <f t="shared" si="158"/>
        <v>1.0025839793281655</v>
      </c>
      <c r="K1330" s="51">
        <f>VLOOKUP(B:B,'生產達成率(目標)'!A:C,3,0)</f>
        <v>1</v>
      </c>
      <c r="L1330" s="20">
        <f t="shared" si="159"/>
        <v>3.0000000000000001E-3</v>
      </c>
      <c r="M1330" s="137" t="str">
        <f>工時!R514</f>
        <v>540</v>
      </c>
      <c r="N1330" s="144"/>
      <c r="O1330" s="186">
        <f t="shared" si="160"/>
        <v>9</v>
      </c>
      <c r="P1330" s="156">
        <v>12407</v>
      </c>
      <c r="Q1330" s="145">
        <f t="shared" si="161"/>
        <v>0.99927512886597936</v>
      </c>
      <c r="R1330" s="144"/>
      <c r="S1330" s="153"/>
      <c r="T1330" s="140"/>
      <c r="V1330" s="381"/>
      <c r="W1330" s="421"/>
      <c r="X1330" s="381"/>
      <c r="Y1330" s="421"/>
      <c r="Z1330" s="421"/>
      <c r="AA1330" s="421"/>
      <c r="AB1330" s="421"/>
      <c r="AC1330" s="421"/>
      <c r="AD1330" s="421"/>
    </row>
    <row r="1331" spans="1:30" x14ac:dyDescent="0.4">
      <c r="A1331" s="181">
        <v>45722</v>
      </c>
      <c r="B1331" s="139" t="s">
        <v>72</v>
      </c>
      <c r="C1331" s="30" t="str">
        <f>VLOOKUP(B1331,'112年全品項生產鍋數'!A:H,2,0)</f>
        <v>草莓餡45%(1*6Kg)</v>
      </c>
      <c r="D1331" s="291">
        <v>20</v>
      </c>
      <c r="E1331" s="48">
        <f>VLOOKUP(B1331,'112年全品項生產鍋數'!A:H,3,0)</f>
        <v>6</v>
      </c>
      <c r="F1331" s="45">
        <f>VLOOKUP(B1331,'112年全品項生產鍋數'!A:H,7,0)</f>
        <v>26.1</v>
      </c>
      <c r="G1331" s="49">
        <f t="shared" si="156"/>
        <v>522</v>
      </c>
      <c r="H1331" s="158">
        <v>526</v>
      </c>
      <c r="I1331" s="23">
        <f t="shared" si="157"/>
        <v>3156</v>
      </c>
      <c r="J1331" s="100">
        <f t="shared" si="158"/>
        <v>1.0076628352490422</v>
      </c>
      <c r="K1331" s="51">
        <f>VLOOKUP(B:B,'生產達成率(目標)'!A:C,3,0)</f>
        <v>1</v>
      </c>
      <c r="L1331" s="20">
        <f t="shared" si="159"/>
        <v>8.0000000000000002E-3</v>
      </c>
      <c r="M1331" s="137" t="str">
        <f>工時!R515</f>
        <v>280</v>
      </c>
      <c r="N1331" s="144"/>
      <c r="O1331" s="144">
        <f t="shared" si="160"/>
        <v>1</v>
      </c>
      <c r="P1331" s="156">
        <v>525</v>
      </c>
      <c r="Q1331" s="98">
        <f t="shared" si="161"/>
        <v>0.99809885931558939</v>
      </c>
      <c r="R1331" s="23"/>
      <c r="S1331" s="173"/>
      <c r="T1331" s="30"/>
    </row>
    <row r="1332" spans="1:30" x14ac:dyDescent="0.4">
      <c r="A1332" s="181">
        <v>45722</v>
      </c>
      <c r="B1332" s="139" t="s">
        <v>75</v>
      </c>
      <c r="C1332" s="30" t="str">
        <f>VLOOKUP(B1332,'112年全品項生產鍋數'!A:H,2,0)</f>
        <v>草莓椰果餡(1*6Kg)</v>
      </c>
      <c r="D1332" s="291">
        <v>16</v>
      </c>
      <c r="E1332" s="48">
        <f>VLOOKUP(B1332,'112年全品項生產鍋數'!A:H,3,0)</f>
        <v>6</v>
      </c>
      <c r="F1332" s="45">
        <f>VLOOKUP(B1332,'112年全品項生產鍋數'!A:H,7,0)</f>
        <v>26.4</v>
      </c>
      <c r="G1332" s="49">
        <f t="shared" si="156"/>
        <v>422.4</v>
      </c>
      <c r="H1332" s="158">
        <v>429</v>
      </c>
      <c r="I1332" s="23">
        <f t="shared" si="157"/>
        <v>2574</v>
      </c>
      <c r="J1332" s="100">
        <f t="shared" si="158"/>
        <v>1.015625</v>
      </c>
      <c r="K1332" s="51">
        <f>VLOOKUP(B:B,'生產達成率(目標)'!A:C,3,0)</f>
        <v>1</v>
      </c>
      <c r="L1332" s="20">
        <f t="shared" si="159"/>
        <v>1.6E-2</v>
      </c>
      <c r="M1332" s="137" t="str">
        <f>工時!R516</f>
        <v>276</v>
      </c>
      <c r="N1332" s="144"/>
      <c r="O1332" s="144">
        <f t="shared" si="160"/>
        <v>1</v>
      </c>
      <c r="P1332" s="156">
        <v>428</v>
      </c>
      <c r="Q1332" s="98">
        <f t="shared" si="161"/>
        <v>0.99766899766899764</v>
      </c>
      <c r="R1332" s="23"/>
      <c r="S1332" s="173"/>
      <c r="T1332" s="30"/>
    </row>
    <row r="1333" spans="1:30" s="146" customFormat="1" x14ac:dyDescent="0.4">
      <c r="A1333" s="182">
        <v>45722</v>
      </c>
      <c r="B1333" s="139" t="s">
        <v>65</v>
      </c>
      <c r="C1333" s="140" t="str">
        <f>VLOOKUP(B1333,'112年全品項生產鍋數'!A:H,2,0)</f>
        <v>＃1花生(1*2.8kg)</v>
      </c>
      <c r="D1333" s="291">
        <v>44</v>
      </c>
      <c r="E1333" s="141">
        <f>VLOOKUP(B1333,'112年全品項生產鍋數'!A:H,3,0)</f>
        <v>2.8</v>
      </c>
      <c r="F1333" s="142">
        <f>VLOOKUP(B1333,'112年全品項生產鍋數'!A:H,7,0)</f>
        <v>44.5</v>
      </c>
      <c r="G1333" s="143">
        <f t="shared" si="156"/>
        <v>1958</v>
      </c>
      <c r="H1333" s="158">
        <v>2000</v>
      </c>
      <c r="I1333" s="144">
        <f t="shared" si="157"/>
        <v>5600</v>
      </c>
      <c r="J1333" s="100">
        <f t="shared" si="158"/>
        <v>1.0214504596527068</v>
      </c>
      <c r="K1333" s="51">
        <f>VLOOKUP(B:B,'生產達成率(目標)'!A:C,3,0)</f>
        <v>1</v>
      </c>
      <c r="L1333" s="20">
        <f t="shared" si="159"/>
        <v>2.1000000000000001E-2</v>
      </c>
      <c r="M1333" s="137" t="str">
        <f>工時!R517</f>
        <v>480</v>
      </c>
      <c r="N1333" s="144"/>
      <c r="O1333" s="144">
        <f t="shared" si="160"/>
        <v>1</v>
      </c>
      <c r="P1333" s="156">
        <v>1999</v>
      </c>
      <c r="Q1333" s="145">
        <f t="shared" si="161"/>
        <v>0.99950000000000006</v>
      </c>
      <c r="R1333" s="144"/>
      <c r="S1333" s="153"/>
      <c r="T1333" s="140"/>
      <c r="V1333" s="381"/>
      <c r="W1333" s="421"/>
      <c r="X1333" s="381"/>
      <c r="Y1333" s="421"/>
      <c r="Z1333" s="421"/>
      <c r="AA1333" s="421"/>
      <c r="AB1333" s="421"/>
      <c r="AC1333" s="421"/>
      <c r="AD1333" s="421"/>
    </row>
    <row r="1334" spans="1:30" s="146" customFormat="1" x14ac:dyDescent="0.4">
      <c r="A1334" s="182">
        <v>45722</v>
      </c>
      <c r="B1334" s="139" t="s">
        <v>97</v>
      </c>
      <c r="C1334" s="140" t="str">
        <f>VLOOKUP(B1334,'112年全品項生產鍋數'!A:H,2,0)</f>
        <v>花生醬(1*18KG)</v>
      </c>
      <c r="D1334" s="291">
        <v>8</v>
      </c>
      <c r="E1334" s="141">
        <f>VLOOKUP(B1334,'112年全品項生產鍋數'!A:H,3,0)</f>
        <v>18</v>
      </c>
      <c r="F1334" s="142">
        <f>VLOOKUP(B1334,'112年全品項生產鍋數'!A:H,7,0)</f>
        <v>6.6</v>
      </c>
      <c r="G1334" s="143">
        <f t="shared" si="156"/>
        <v>52.8</v>
      </c>
      <c r="H1334" s="158">
        <v>51</v>
      </c>
      <c r="I1334" s="144">
        <f t="shared" si="157"/>
        <v>918</v>
      </c>
      <c r="J1334" s="100">
        <f t="shared" si="158"/>
        <v>0.96590909090909094</v>
      </c>
      <c r="K1334" s="51">
        <f>VLOOKUP(B:B,'生產達成率(目標)'!A:C,3,0)</f>
        <v>1</v>
      </c>
      <c r="L1334" s="20">
        <f t="shared" si="159"/>
        <v>-3.4000000000000002E-2</v>
      </c>
      <c r="M1334" s="137" t="str">
        <f>工時!R518</f>
        <v>120</v>
      </c>
      <c r="N1334" s="144"/>
      <c r="O1334" s="144">
        <f t="shared" si="160"/>
        <v>0</v>
      </c>
      <c r="P1334" s="156">
        <v>51</v>
      </c>
      <c r="Q1334" s="145">
        <f t="shared" si="161"/>
        <v>1</v>
      </c>
      <c r="R1334" s="144"/>
      <c r="S1334" s="153"/>
      <c r="T1334" s="140"/>
      <c r="V1334" s="381"/>
      <c r="W1334" s="421"/>
      <c r="X1334" s="381"/>
      <c r="Y1334" s="421"/>
      <c r="Z1334" s="421"/>
      <c r="AA1334" s="421"/>
      <c r="AB1334" s="421"/>
      <c r="AC1334" s="421"/>
      <c r="AD1334" s="421"/>
    </row>
    <row r="1335" spans="1:30" x14ac:dyDescent="0.4">
      <c r="A1335" s="181">
        <v>45723</v>
      </c>
      <c r="B1335" s="139" t="s">
        <v>71</v>
      </c>
      <c r="C1335" s="30" t="str">
        <f>VLOOKUP(B1335,'112年全品項生產鍋數'!A:H,2,0)</f>
        <v>＃1草莓(1*3.2kg)</v>
      </c>
      <c r="D1335" s="291">
        <v>60</v>
      </c>
      <c r="E1335" s="48">
        <f>VLOOKUP(B1335,'112年全品項生產鍋數'!A:H,3,0)</f>
        <v>3.2</v>
      </c>
      <c r="F1335" s="45">
        <f>VLOOKUP(B1335,'112年全品項生產鍋數'!A:H,7,0)</f>
        <v>46.8</v>
      </c>
      <c r="G1335" s="49">
        <f t="shared" si="156"/>
        <v>2808</v>
      </c>
      <c r="H1335" s="158">
        <v>2830</v>
      </c>
      <c r="I1335" s="23">
        <f t="shared" si="157"/>
        <v>9056</v>
      </c>
      <c r="J1335" s="100">
        <f t="shared" si="158"/>
        <v>1.0078347578347577</v>
      </c>
      <c r="K1335" s="51">
        <f>VLOOKUP(B:B,'生產達成率(目標)'!A:C,3,0)</f>
        <v>1</v>
      </c>
      <c r="L1335" s="20">
        <f t="shared" si="159"/>
        <v>8.0000000000000002E-3</v>
      </c>
      <c r="M1335" s="137" t="str">
        <f>工時!R519</f>
        <v>540</v>
      </c>
      <c r="N1335" s="144"/>
      <c r="O1335" s="144">
        <f t="shared" si="160"/>
        <v>2</v>
      </c>
      <c r="P1335" s="156">
        <v>2828</v>
      </c>
      <c r="Q1335" s="98">
        <f t="shared" si="161"/>
        <v>0.99929328621908131</v>
      </c>
      <c r="R1335" s="23"/>
      <c r="S1335" s="173"/>
      <c r="T1335" s="30"/>
    </row>
    <row r="1336" spans="1:30" x14ac:dyDescent="0.4">
      <c r="A1336" s="181">
        <v>45723</v>
      </c>
      <c r="B1336" s="139" t="s">
        <v>81</v>
      </c>
      <c r="C1336" s="30" t="str">
        <f>VLOOKUP(B1336,'112年全品項生產鍋數'!A:H,2,0)</f>
        <v>藍莓餡(1*6Kg)</v>
      </c>
      <c r="D1336" s="291">
        <v>24</v>
      </c>
      <c r="E1336" s="48">
        <f>VLOOKUP(B1336,'112年全品項生產鍋數'!A:H,3,0)</f>
        <v>6</v>
      </c>
      <c r="F1336" s="45">
        <f>VLOOKUP(B1336,'112年全品項生產鍋數'!A:H,7,0)</f>
        <v>25.1</v>
      </c>
      <c r="G1336" s="49">
        <f t="shared" si="156"/>
        <v>602.40000000000009</v>
      </c>
      <c r="H1336" s="158">
        <v>612</v>
      </c>
      <c r="I1336" s="23">
        <f t="shared" si="157"/>
        <v>3672</v>
      </c>
      <c r="J1336" s="100">
        <f t="shared" si="158"/>
        <v>1.0159362549800794</v>
      </c>
      <c r="K1336" s="51">
        <f>VLOOKUP(B:B,'生產達成率(目標)'!A:C,3,0)</f>
        <v>1</v>
      </c>
      <c r="L1336" s="20">
        <f t="shared" si="159"/>
        <v>1.6E-2</v>
      </c>
      <c r="M1336" s="137" t="str">
        <f>工時!R520</f>
        <v>330</v>
      </c>
      <c r="N1336" s="144"/>
      <c r="O1336" s="144">
        <f t="shared" si="160"/>
        <v>6</v>
      </c>
      <c r="P1336" s="156">
        <v>606</v>
      </c>
      <c r="Q1336" s="98">
        <f t="shared" si="161"/>
        <v>0.99019607843137258</v>
      </c>
      <c r="R1336" s="23"/>
      <c r="S1336" s="173"/>
      <c r="T1336" s="30"/>
    </row>
    <row r="1337" spans="1:30" x14ac:dyDescent="0.4">
      <c r="A1337" s="181">
        <v>45723</v>
      </c>
      <c r="B1337" s="139" t="s">
        <v>51</v>
      </c>
      <c r="C1337" s="30" t="str">
        <f>VLOOKUP(B1337,'112年全品項生產鍋數'!A:H,2,0)</f>
        <v>藍莓醬(1*6kg)</v>
      </c>
      <c r="D1337" s="291">
        <v>12</v>
      </c>
      <c r="E1337" s="48">
        <f>VLOOKUP(B1337,'112年全品項生產鍋數'!A:H,3,0)</f>
        <v>6</v>
      </c>
      <c r="F1337" s="45">
        <f>VLOOKUP(B1337,'112年全品項生產鍋數'!A:H,7,0)</f>
        <v>25.5</v>
      </c>
      <c r="G1337" s="49">
        <f>D1337*F1337</f>
        <v>306</v>
      </c>
      <c r="H1337" s="158">
        <v>302</v>
      </c>
      <c r="I1337" s="23">
        <f t="shared" si="157"/>
        <v>1812</v>
      </c>
      <c r="J1337" s="100">
        <f t="shared" si="158"/>
        <v>0.98692810457516345</v>
      </c>
      <c r="K1337" s="51">
        <f>VLOOKUP(B:B,'生產達成率(目標)'!A:C,3,0)</f>
        <v>1</v>
      </c>
      <c r="L1337" s="20">
        <f t="shared" si="159"/>
        <v>-1.2999999999999999E-2</v>
      </c>
      <c r="M1337" s="137" t="str">
        <f>工時!R521</f>
        <v>155</v>
      </c>
      <c r="N1337" s="144"/>
      <c r="O1337" s="144">
        <f t="shared" si="160"/>
        <v>1</v>
      </c>
      <c r="P1337" s="156">
        <v>301</v>
      </c>
      <c r="Q1337" s="98">
        <f t="shared" si="161"/>
        <v>0.99668874172185429</v>
      </c>
      <c r="R1337" s="23"/>
      <c r="S1337" s="173"/>
      <c r="T1337" s="30"/>
    </row>
    <row r="1338" spans="1:30" s="146" customFormat="1" x14ac:dyDescent="0.4">
      <c r="A1338" s="182">
        <v>45723</v>
      </c>
      <c r="B1338" s="139" t="s">
        <v>954</v>
      </c>
      <c r="C1338" s="140" t="s">
        <v>963</v>
      </c>
      <c r="D1338" s="291">
        <v>0.5</v>
      </c>
      <c r="E1338" s="141">
        <v>6</v>
      </c>
      <c r="F1338" s="142" t="e">
        <f>VLOOKUP(B1338,'112年全品項生產鍋數'!A:H,7,0)</f>
        <v>#N/A</v>
      </c>
      <c r="G1338" s="143">
        <f>90/6</f>
        <v>15</v>
      </c>
      <c r="H1338" s="158">
        <v>13</v>
      </c>
      <c r="I1338" s="144">
        <f t="shared" si="157"/>
        <v>78</v>
      </c>
      <c r="J1338" s="100">
        <f t="shared" si="158"/>
        <v>0.8666666666666667</v>
      </c>
      <c r="K1338" s="51" t="e">
        <f>VLOOKUP(B:B,'生產達成率(目標)'!A:C,3,0)</f>
        <v>#N/A</v>
      </c>
      <c r="L1338" s="20" t="e">
        <f t="shared" si="159"/>
        <v>#N/A</v>
      </c>
      <c r="M1338" s="137" t="str">
        <f>工時!R522</f>
        <v>96</v>
      </c>
      <c r="N1338" s="144"/>
      <c r="O1338" s="144">
        <f t="shared" si="160"/>
        <v>1</v>
      </c>
      <c r="P1338" s="156">
        <v>12</v>
      </c>
      <c r="Q1338" s="145">
        <f t="shared" si="161"/>
        <v>0.92307692307692313</v>
      </c>
      <c r="R1338" s="144"/>
      <c r="S1338" s="153"/>
      <c r="T1338" s="140"/>
      <c r="V1338" s="381"/>
      <c r="W1338" s="421"/>
      <c r="X1338" s="381"/>
      <c r="Y1338" s="421"/>
      <c r="Z1338" s="421"/>
      <c r="AA1338" s="421"/>
      <c r="AB1338" s="421"/>
      <c r="AC1338" s="421"/>
      <c r="AD1338" s="421"/>
    </row>
    <row r="1339" spans="1:30" s="146" customFormat="1" x14ac:dyDescent="0.4">
      <c r="A1339" s="182">
        <v>45723</v>
      </c>
      <c r="B1339" s="139" t="s">
        <v>104</v>
      </c>
      <c r="C1339" s="140" t="str">
        <f>VLOOKUP(B1339,'112年全品項生產鍋數'!A:H,2,0)</f>
        <v>＃1花生(粒)(1*2.8kg)</v>
      </c>
      <c r="D1339" s="291">
        <v>56</v>
      </c>
      <c r="E1339" s="141">
        <f>VLOOKUP(B1339,'112年全品項生產鍋數'!A:H,3,0)</f>
        <v>2.8</v>
      </c>
      <c r="F1339" s="142">
        <f>VLOOKUP(B1339,'112年全品項生產鍋數'!A:H,7,0)</f>
        <v>44.2</v>
      </c>
      <c r="G1339" s="143">
        <f>D1339*F1339-100*18/E1339</f>
        <v>1832.3428571428574</v>
      </c>
      <c r="H1339" s="158">
        <v>1823</v>
      </c>
      <c r="I1339" s="144">
        <f t="shared" si="157"/>
        <v>5104.3999999999996</v>
      </c>
      <c r="J1339" s="100">
        <f t="shared" si="158"/>
        <v>0.99490114139587094</v>
      </c>
      <c r="K1339" s="51">
        <f>VLOOKUP(B:B,'生產達成率(目標)'!A:C,3,0)</f>
        <v>1</v>
      </c>
      <c r="L1339" s="20">
        <f t="shared" si="159"/>
        <v>-5.0000000000000001E-3</v>
      </c>
      <c r="M1339" s="137" t="str">
        <f>工時!R523</f>
        <v>480</v>
      </c>
      <c r="N1339" s="144"/>
      <c r="O1339" s="144">
        <f t="shared" si="160"/>
        <v>1</v>
      </c>
      <c r="P1339" s="156">
        <v>1822</v>
      </c>
      <c r="Q1339" s="145">
        <f t="shared" si="161"/>
        <v>0.99945145364783328</v>
      </c>
      <c r="R1339" s="144"/>
      <c r="S1339" s="153"/>
      <c r="T1339" s="140" t="s">
        <v>962</v>
      </c>
      <c r="V1339" s="381"/>
      <c r="W1339" s="421"/>
      <c r="X1339" s="381"/>
      <c r="Y1339" s="421"/>
      <c r="Z1339" s="421"/>
      <c r="AA1339" s="421"/>
      <c r="AB1339" s="421"/>
      <c r="AC1339" s="421"/>
      <c r="AD1339" s="421"/>
    </row>
    <row r="1340" spans="1:30" x14ac:dyDescent="0.4">
      <c r="A1340" s="181">
        <v>45726</v>
      </c>
      <c r="B1340" s="139" t="s">
        <v>71</v>
      </c>
      <c r="C1340" s="30" t="str">
        <f>VLOOKUP(B1340,'112年全品項生產鍋數'!A:H,2,0)</f>
        <v>＃1草莓(1*3.2kg)</v>
      </c>
      <c r="D1340" s="290">
        <v>56</v>
      </c>
      <c r="E1340" s="48">
        <f>VLOOKUP(B1340,'112年全品項生產鍋數'!A:H,3,0)</f>
        <v>3.2</v>
      </c>
      <c r="F1340" s="45">
        <f>VLOOKUP(B1340,'112年全品項生產鍋數'!A:H,7,0)</f>
        <v>46.8</v>
      </c>
      <c r="G1340" s="49">
        <f t="shared" si="156"/>
        <v>2620.7999999999997</v>
      </c>
      <c r="H1340" s="158">
        <v>2661</v>
      </c>
      <c r="I1340" s="23">
        <f t="shared" si="157"/>
        <v>8515.2000000000007</v>
      </c>
      <c r="J1340" s="100">
        <f t="shared" si="158"/>
        <v>1.015338827838828</v>
      </c>
      <c r="K1340" s="51">
        <f>VLOOKUP(B:B,'生產達成率(目標)'!A:C,3,0)</f>
        <v>1</v>
      </c>
      <c r="L1340" s="20">
        <f t="shared" si="159"/>
        <v>1.4999999999999999E-2</v>
      </c>
      <c r="M1340" s="137" t="str">
        <f>工時!R524</f>
        <v>450</v>
      </c>
      <c r="N1340" s="144"/>
      <c r="O1340" s="144">
        <f t="shared" si="160"/>
        <v>2</v>
      </c>
      <c r="P1340" s="156">
        <v>2659</v>
      </c>
      <c r="Q1340" s="98">
        <f t="shared" si="161"/>
        <v>0.9992484028560692</v>
      </c>
      <c r="R1340" s="23"/>
      <c r="S1340" s="173"/>
      <c r="T1340" s="30"/>
    </row>
    <row r="1341" spans="1:30" x14ac:dyDescent="0.4">
      <c r="A1341" s="181">
        <v>45726</v>
      </c>
      <c r="B1341" s="139" t="s">
        <v>460</v>
      </c>
      <c r="C1341" s="30" t="str">
        <f>VLOOKUP(B1341,'112年全品項生產鍋數'!A:H,2,0)</f>
        <v>＃1草莓原漿(1*3.4kg)</v>
      </c>
      <c r="D1341" s="290">
        <v>4</v>
      </c>
      <c r="E1341" s="48">
        <f>VLOOKUP(B1341,'112年全品項生產鍋數'!A:H,3,0)</f>
        <v>3.4</v>
      </c>
      <c r="F1341" s="45">
        <f>VLOOKUP(B1341,'112年全品項生產鍋數'!A:H,7,0)</f>
        <v>43</v>
      </c>
      <c r="G1341" s="49">
        <f t="shared" ref="G1341:G1394" si="162">D1341*F1341</f>
        <v>172</v>
      </c>
      <c r="H1341" s="158">
        <v>175</v>
      </c>
      <c r="I1341" s="23">
        <f t="shared" ref="I1341:I1394" si="163">H1341*E1341</f>
        <v>595</v>
      </c>
      <c r="J1341" s="100">
        <f t="shared" ref="J1341:J1394" si="164">IF(G1341=0,"無法預估數據",H1341/G1341)</f>
        <v>1.0174418604651163</v>
      </c>
      <c r="K1341" s="51">
        <f>VLOOKUP(B:B,'生產達成率(目標)'!A:C,3,0)</f>
        <v>1</v>
      </c>
      <c r="L1341" s="20">
        <f t="shared" ref="L1341:L1394" si="165">IF(G1341=0,"無法預估數據",ROUND(J1341-K1341,3))</f>
        <v>1.7000000000000001E-2</v>
      </c>
      <c r="M1341" s="137" t="str">
        <f>工時!R525</f>
        <v>156</v>
      </c>
      <c r="N1341" s="144"/>
      <c r="O1341" s="144">
        <f t="shared" ref="O1341:O1394" si="166">H1341-N1341-P1341</f>
        <v>1</v>
      </c>
      <c r="P1341" s="156">
        <v>174</v>
      </c>
      <c r="Q1341" s="98">
        <f t="shared" ref="Q1341:Q1394" si="167">P1341/H1341</f>
        <v>0.99428571428571433</v>
      </c>
      <c r="R1341" s="23"/>
      <c r="S1341" s="173"/>
      <c r="T1341" s="30"/>
    </row>
    <row r="1342" spans="1:30" x14ac:dyDescent="0.4">
      <c r="A1342" s="181">
        <v>45726</v>
      </c>
      <c r="B1342" s="139" t="s">
        <v>64</v>
      </c>
      <c r="C1342" s="30" t="str">
        <f>VLOOKUP(B1342,'112年全品項生產鍋數'!A:H,2,0)</f>
        <v>藍莓餡(1*6KG)</v>
      </c>
      <c r="D1342" s="290">
        <v>24</v>
      </c>
      <c r="E1342" s="48">
        <f>VLOOKUP(B1342,'112年全品項生產鍋數'!A:H,3,0)</f>
        <v>6</v>
      </c>
      <c r="F1342" s="45">
        <f>VLOOKUP(B1342,'112年全品項生產鍋數'!A:H,7,0)</f>
        <v>25.4</v>
      </c>
      <c r="G1342" s="49">
        <f t="shared" si="162"/>
        <v>609.59999999999991</v>
      </c>
      <c r="H1342" s="158">
        <f>299+309</f>
        <v>608</v>
      </c>
      <c r="I1342" s="23">
        <f t="shared" si="163"/>
        <v>3648</v>
      </c>
      <c r="J1342" s="100">
        <f t="shared" si="164"/>
        <v>0.99737532808398965</v>
      </c>
      <c r="K1342" s="51">
        <f>VLOOKUP(B:B,'生產達成率(目標)'!A:C,3,0)</f>
        <v>1</v>
      </c>
      <c r="L1342" s="20">
        <f t="shared" si="165"/>
        <v>-3.0000000000000001E-3</v>
      </c>
      <c r="M1342" s="137" t="str">
        <f>工時!R526</f>
        <v>390</v>
      </c>
      <c r="N1342" s="144"/>
      <c r="O1342" s="186">
        <f t="shared" si="166"/>
        <v>4</v>
      </c>
      <c r="P1342" s="156">
        <f>296+308</f>
        <v>604</v>
      </c>
      <c r="Q1342" s="98">
        <f t="shared" si="167"/>
        <v>0.99342105263157898</v>
      </c>
      <c r="R1342" s="23"/>
      <c r="S1342" s="173"/>
      <c r="T1342" s="30"/>
    </row>
    <row r="1343" spans="1:30" x14ac:dyDescent="0.4">
      <c r="A1343" s="181">
        <v>45726</v>
      </c>
      <c r="B1343" s="139" t="s">
        <v>63</v>
      </c>
      <c r="C1343" s="30" t="str">
        <f>VLOOKUP(B1343,'112年全品項生產鍋數'!A:H,2,0)</f>
        <v>草莓蒟蒻餡(1*6kg)</v>
      </c>
      <c r="D1343" s="290">
        <v>12</v>
      </c>
      <c r="E1343" s="48">
        <f>VLOOKUP(B1343,'112年全品項生產鍋數'!A:H,3,0)</f>
        <v>6</v>
      </c>
      <c r="F1343" s="45">
        <f>VLOOKUP(B1343,'112年全品項生產鍋數'!A:H,7,0)</f>
        <v>25.7</v>
      </c>
      <c r="G1343" s="49">
        <f t="shared" si="162"/>
        <v>308.39999999999998</v>
      </c>
      <c r="H1343" s="158">
        <v>310</v>
      </c>
      <c r="I1343" s="23">
        <f t="shared" si="163"/>
        <v>1860</v>
      </c>
      <c r="J1343" s="100">
        <f t="shared" si="164"/>
        <v>1.0051880674448768</v>
      </c>
      <c r="K1343" s="51">
        <f>VLOOKUP(B:B,'生產達成率(目標)'!A:C,3,0)</f>
        <v>1</v>
      </c>
      <c r="L1343" s="20">
        <f t="shared" si="165"/>
        <v>5.0000000000000001E-3</v>
      </c>
      <c r="M1343" s="137" t="str">
        <f>工時!R527</f>
        <v>176</v>
      </c>
      <c r="N1343" s="144"/>
      <c r="O1343" s="144">
        <f t="shared" si="166"/>
        <v>1</v>
      </c>
      <c r="P1343" s="156">
        <v>309</v>
      </c>
      <c r="Q1343" s="98">
        <f t="shared" si="167"/>
        <v>0.99677419354838714</v>
      </c>
      <c r="R1343" s="23"/>
      <c r="S1343" s="173"/>
      <c r="T1343" s="30"/>
    </row>
    <row r="1344" spans="1:30" x14ac:dyDescent="0.4">
      <c r="A1344" s="181">
        <v>45726</v>
      </c>
      <c r="B1344" s="139" t="s">
        <v>108</v>
      </c>
      <c r="C1344" s="30" t="str">
        <f>VLOOKUP(B1344,'112年全品項生產鍋數'!A:H,2,0)</f>
        <v>顆粒花生醬(1*12KG)</v>
      </c>
      <c r="D1344" s="290">
        <v>21</v>
      </c>
      <c r="E1344" s="48">
        <f>VLOOKUP(B1344,'112年全品項生產鍋數'!A:H,3,0)</f>
        <v>3</v>
      </c>
      <c r="F1344" s="45">
        <f>VLOOKUP(B1344,'112年全品項生產鍋數'!A:H,7,0)</f>
        <v>31.6</v>
      </c>
      <c r="G1344" s="49">
        <f t="shared" si="162"/>
        <v>663.6</v>
      </c>
      <c r="H1344" s="158">
        <v>664</v>
      </c>
      <c r="I1344" s="23">
        <f t="shared" si="163"/>
        <v>1992</v>
      </c>
      <c r="J1344" s="100">
        <f t="shared" si="164"/>
        <v>1.0006027727546714</v>
      </c>
      <c r="K1344" s="51">
        <f>VLOOKUP(B:B,'生產達成率(目標)'!A:C,3,0)</f>
        <v>1</v>
      </c>
      <c r="L1344" s="20">
        <f t="shared" si="165"/>
        <v>1E-3</v>
      </c>
      <c r="M1344" s="137" t="str">
        <f>工時!R528</f>
        <v>500</v>
      </c>
      <c r="N1344" s="144"/>
      <c r="O1344" s="144">
        <f t="shared" si="166"/>
        <v>0</v>
      </c>
      <c r="P1344" s="156">
        <v>664</v>
      </c>
      <c r="Q1344" s="98">
        <f t="shared" si="167"/>
        <v>1</v>
      </c>
      <c r="R1344" s="23" t="s">
        <v>1033</v>
      </c>
      <c r="S1344" s="173"/>
      <c r="T1344" s="30" t="s">
        <v>1034</v>
      </c>
    </row>
    <row r="1345" spans="1:30" s="146" customFormat="1" x14ac:dyDescent="0.4">
      <c r="A1345" s="182">
        <v>45726</v>
      </c>
      <c r="B1345" s="139" t="s">
        <v>431</v>
      </c>
      <c r="C1345" s="140" t="str">
        <f>VLOOKUP(B1345,'112年全品項生產鍋數'!A:H,2,0)</f>
        <v>文旦丁</v>
      </c>
      <c r="D1345" s="290">
        <v>2</v>
      </c>
      <c r="E1345" s="141">
        <f>VLOOKUP(B1345,'112年全品項生產鍋數'!A:H,3,0)</f>
        <v>1</v>
      </c>
      <c r="F1345" s="142">
        <f>VLOOKUP(B1345,'112年全品項生產鍋數'!A:H,7,0)</f>
        <v>243</v>
      </c>
      <c r="G1345" s="143">
        <f t="shared" si="162"/>
        <v>486</v>
      </c>
      <c r="H1345" s="158">
        <v>496</v>
      </c>
      <c r="I1345" s="144">
        <f t="shared" si="163"/>
        <v>496</v>
      </c>
      <c r="J1345" s="100">
        <f t="shared" si="164"/>
        <v>1.0205761316872428</v>
      </c>
      <c r="K1345" s="51">
        <f>VLOOKUP(B:B,'生產達成率(目標)'!A:C,3,0)</f>
        <v>1</v>
      </c>
      <c r="L1345" s="20">
        <f t="shared" si="165"/>
        <v>2.1000000000000001E-2</v>
      </c>
      <c r="M1345" s="137" t="str">
        <f>工時!R529</f>
        <v>0</v>
      </c>
      <c r="N1345" s="144"/>
      <c r="O1345" s="144">
        <f t="shared" si="166"/>
        <v>3</v>
      </c>
      <c r="P1345" s="156">
        <v>493</v>
      </c>
      <c r="Q1345" s="145">
        <f t="shared" si="167"/>
        <v>0.99395161290322576</v>
      </c>
      <c r="R1345" s="144"/>
      <c r="S1345" s="153"/>
      <c r="T1345" s="140"/>
      <c r="V1345" s="381"/>
      <c r="W1345" s="421"/>
      <c r="X1345" s="381"/>
      <c r="Y1345" s="421"/>
      <c r="Z1345" s="421"/>
      <c r="AA1345" s="421"/>
      <c r="AB1345" s="421"/>
      <c r="AC1345" s="421"/>
      <c r="AD1345" s="421"/>
    </row>
    <row r="1346" spans="1:30" x14ac:dyDescent="0.4">
      <c r="A1346" s="181">
        <v>45727</v>
      </c>
      <c r="B1346" s="139" t="s">
        <v>106</v>
      </c>
      <c r="C1346" s="30" t="str">
        <f>VLOOKUP(B1346,'112年全品項生產鍋數'!A:H,2,0)</f>
        <v>小藍莓1*260G</v>
      </c>
      <c r="D1346" s="290">
        <v>16</v>
      </c>
      <c r="E1346" s="48">
        <f>VLOOKUP(B1346,'112年全品項生產鍋數'!A:H,3,0)</f>
        <v>0.26</v>
      </c>
      <c r="F1346" s="45">
        <f>VLOOKUP(B1346,'112年全品項生產鍋數'!A:H,7,0)</f>
        <v>584.29999999999995</v>
      </c>
      <c r="G1346" s="49">
        <f t="shared" si="162"/>
        <v>9348.7999999999993</v>
      </c>
      <c r="H1346" s="158">
        <v>9462</v>
      </c>
      <c r="I1346" s="23">
        <f t="shared" si="163"/>
        <v>2460.12</v>
      </c>
      <c r="J1346" s="100">
        <f t="shared" si="164"/>
        <v>1.0121085059045012</v>
      </c>
      <c r="K1346" s="51">
        <f>VLOOKUP(B:B,'生產達成率(目標)'!A:C,3,0)</f>
        <v>1</v>
      </c>
      <c r="L1346" s="20">
        <f t="shared" si="165"/>
        <v>1.2E-2</v>
      </c>
      <c r="M1346" s="137" t="str">
        <f>工時!R530</f>
        <v>300</v>
      </c>
      <c r="N1346" s="144"/>
      <c r="O1346" s="144">
        <f t="shared" si="166"/>
        <v>21</v>
      </c>
      <c r="P1346" s="156">
        <v>9441</v>
      </c>
      <c r="Q1346" s="98">
        <f t="shared" si="167"/>
        <v>0.99778059606848446</v>
      </c>
      <c r="R1346" s="23"/>
      <c r="S1346" s="173"/>
      <c r="T1346" s="30"/>
    </row>
    <row r="1347" spans="1:30" x14ac:dyDescent="0.4">
      <c r="A1347" s="181">
        <v>45727</v>
      </c>
      <c r="B1347" s="139" t="s">
        <v>435</v>
      </c>
      <c r="C1347" s="30" t="str">
        <f>VLOOKUP(B1347,'112年全品項生產鍋數'!A:H,2,0)</f>
        <v>蜂蜜柚香醬(1*6KG)</v>
      </c>
      <c r="D1347" s="290">
        <v>6</v>
      </c>
      <c r="E1347" s="48">
        <f>VLOOKUP(B1347,'112年全品項生產鍋數'!A:H,3,0)</f>
        <v>6</v>
      </c>
      <c r="F1347" s="45">
        <f>VLOOKUP(B1347,'112年全品項生產鍋數'!A:H,7,0)</f>
        <v>25.8</v>
      </c>
      <c r="G1347" s="49">
        <f t="shared" si="162"/>
        <v>154.80000000000001</v>
      </c>
      <c r="H1347" s="158">
        <v>152</v>
      </c>
      <c r="I1347" s="23">
        <f t="shared" si="163"/>
        <v>912</v>
      </c>
      <c r="J1347" s="100">
        <f t="shared" si="164"/>
        <v>0.98191214470284227</v>
      </c>
      <c r="K1347" s="51">
        <f>VLOOKUP(B:B,'生產達成率(目標)'!A:C,3,0)</f>
        <v>1</v>
      </c>
      <c r="L1347" s="20">
        <f t="shared" si="165"/>
        <v>-1.7999999999999999E-2</v>
      </c>
      <c r="M1347" s="137" t="str">
        <f>工時!R531</f>
        <v>135</v>
      </c>
      <c r="N1347" s="144"/>
      <c r="O1347" s="144">
        <f t="shared" si="166"/>
        <v>1</v>
      </c>
      <c r="P1347" s="156">
        <v>151</v>
      </c>
      <c r="Q1347" s="98">
        <f t="shared" si="167"/>
        <v>0.99342105263157898</v>
      </c>
      <c r="R1347" s="23"/>
      <c r="S1347" s="173"/>
      <c r="T1347" s="30"/>
    </row>
    <row r="1348" spans="1:30" x14ac:dyDescent="0.4">
      <c r="A1348" s="181">
        <v>45727</v>
      </c>
      <c r="B1348" s="139" t="s">
        <v>53</v>
      </c>
      <c r="C1348" s="30" t="str">
        <f>VLOOKUP(B1348,'112年全品項生產鍋數'!A:H,2,0)</f>
        <v>鳳梨芒果百香果醬(1*6KG)</v>
      </c>
      <c r="D1348" s="290">
        <v>8</v>
      </c>
      <c r="E1348" s="48">
        <f>VLOOKUP(B1348,'112年全品項生產鍋數'!A:H,3,0)</f>
        <v>6</v>
      </c>
      <c r="F1348" s="45">
        <f>VLOOKUP(B1348,'112年全品項生產鍋數'!A:H,7,0)</f>
        <v>25.7</v>
      </c>
      <c r="G1348" s="49">
        <f t="shared" si="162"/>
        <v>205.6</v>
      </c>
      <c r="H1348" s="158">
        <v>190</v>
      </c>
      <c r="I1348" s="23">
        <f t="shared" si="163"/>
        <v>1140</v>
      </c>
      <c r="J1348" s="100">
        <f t="shared" si="164"/>
        <v>0.92412451361867709</v>
      </c>
      <c r="K1348" s="51">
        <f>VLOOKUP(B:B,'生產達成率(目標)'!A:C,3,0)</f>
        <v>1</v>
      </c>
      <c r="L1348" s="20">
        <f t="shared" si="165"/>
        <v>-7.5999999999999998E-2</v>
      </c>
      <c r="M1348" s="137" t="str">
        <f>工時!R532</f>
        <v>172</v>
      </c>
      <c r="N1348" s="144"/>
      <c r="O1348" s="144">
        <f t="shared" si="166"/>
        <v>3</v>
      </c>
      <c r="P1348" s="156">
        <v>187</v>
      </c>
      <c r="Q1348" s="98">
        <f t="shared" si="167"/>
        <v>0.98421052631578942</v>
      </c>
      <c r="R1348" s="23"/>
      <c r="S1348" s="173">
        <v>600</v>
      </c>
      <c r="T1348" s="30" t="s">
        <v>977</v>
      </c>
    </row>
    <row r="1349" spans="1:30" x14ac:dyDescent="0.4">
      <c r="A1349" s="181">
        <v>45727</v>
      </c>
      <c r="B1349" s="139" t="s">
        <v>107</v>
      </c>
      <c r="C1349" s="30" t="str">
        <f>VLOOKUP(B1349,'112年全品項生產鍋數'!A:H,2,0)</f>
        <v>藍莓餡(1*6kg)</v>
      </c>
      <c r="D1349" s="290">
        <v>8</v>
      </c>
      <c r="E1349" s="48">
        <f>VLOOKUP(B1349,'112年全品項生產鍋數'!A:H,3,0)</f>
        <v>6</v>
      </c>
      <c r="F1349" s="45">
        <f>VLOOKUP(B1349,'112年全品項生產鍋數'!A:H,7,0)</f>
        <v>26.4</v>
      </c>
      <c r="G1349" s="49">
        <f t="shared" si="162"/>
        <v>211.2</v>
      </c>
      <c r="H1349" s="158">
        <v>213</v>
      </c>
      <c r="I1349" s="23">
        <f t="shared" si="163"/>
        <v>1278</v>
      </c>
      <c r="J1349" s="100">
        <f t="shared" si="164"/>
        <v>1.0085227272727273</v>
      </c>
      <c r="K1349" s="51">
        <f>VLOOKUP(B:B,'生產達成率(目標)'!A:C,3,0)</f>
        <v>1</v>
      </c>
      <c r="L1349" s="20">
        <f t="shared" si="165"/>
        <v>8.9999999999999993E-3</v>
      </c>
      <c r="M1349" s="137" t="str">
        <f>工時!R533</f>
        <v>180</v>
      </c>
      <c r="N1349" s="144"/>
      <c r="O1349" s="144">
        <f t="shared" si="166"/>
        <v>2</v>
      </c>
      <c r="P1349" s="156">
        <v>211</v>
      </c>
      <c r="Q1349" s="98">
        <f t="shared" si="167"/>
        <v>0.99061032863849763</v>
      </c>
      <c r="R1349" s="23"/>
      <c r="S1349" s="173"/>
      <c r="T1349" s="30"/>
    </row>
    <row r="1350" spans="1:30" x14ac:dyDescent="0.4">
      <c r="A1350" s="181">
        <v>45727</v>
      </c>
      <c r="B1350" s="139" t="s">
        <v>63</v>
      </c>
      <c r="C1350" s="30" t="str">
        <f>VLOOKUP(B1350,'112年全品項生產鍋數'!A:H,2,0)</f>
        <v>草莓蒟蒻餡(1*6kg)</v>
      </c>
      <c r="D1350" s="290">
        <v>28</v>
      </c>
      <c r="E1350" s="48">
        <f>VLOOKUP(B1350,'112年全品項生產鍋數'!A:H,3,0)</f>
        <v>6</v>
      </c>
      <c r="F1350" s="45">
        <f>VLOOKUP(B1350,'112年全品項生產鍋數'!A:H,7,0)</f>
        <v>25.7</v>
      </c>
      <c r="G1350" s="49">
        <f t="shared" si="162"/>
        <v>719.6</v>
      </c>
      <c r="H1350" s="158">
        <f>412+319</f>
        <v>731</v>
      </c>
      <c r="I1350" s="23">
        <f t="shared" si="163"/>
        <v>4386</v>
      </c>
      <c r="J1350" s="100">
        <f t="shared" si="164"/>
        <v>1.0158421345191773</v>
      </c>
      <c r="K1350" s="51">
        <f>VLOOKUP(B:B,'生產達成率(目標)'!A:C,3,0)</f>
        <v>1</v>
      </c>
      <c r="L1350" s="20">
        <f t="shared" si="165"/>
        <v>1.6E-2</v>
      </c>
      <c r="M1350" s="137" t="str">
        <f>工時!R534</f>
        <v>413</v>
      </c>
      <c r="N1350" s="144"/>
      <c r="O1350" s="144">
        <f t="shared" si="166"/>
        <v>1</v>
      </c>
      <c r="P1350" s="156">
        <f>411+319</f>
        <v>730</v>
      </c>
      <c r="Q1350" s="98">
        <f t="shared" si="167"/>
        <v>0.99863201094391241</v>
      </c>
      <c r="R1350" s="23"/>
      <c r="S1350" s="173"/>
      <c r="T1350" s="30"/>
    </row>
    <row r="1351" spans="1:30" x14ac:dyDescent="0.4">
      <c r="A1351" s="181">
        <v>45727</v>
      </c>
      <c r="B1351" s="139" t="s">
        <v>65</v>
      </c>
      <c r="C1351" s="30" t="str">
        <f>VLOOKUP(B1351,'112年全品項生產鍋數'!A:H,2,0)</f>
        <v>＃1花生(1*2.8kg)</v>
      </c>
      <c r="D1351" s="290">
        <v>56</v>
      </c>
      <c r="E1351" s="48">
        <f>VLOOKUP(B1351,'112年全品項生產鍋數'!A:H,3,0)</f>
        <v>2.8</v>
      </c>
      <c r="F1351" s="45">
        <f>VLOOKUP(B1351,'112年全品項生產鍋數'!A:H,7,0)</f>
        <v>44.5</v>
      </c>
      <c r="G1351" s="49">
        <f t="shared" si="162"/>
        <v>2492</v>
      </c>
      <c r="H1351" s="158">
        <v>2497</v>
      </c>
      <c r="I1351" s="23">
        <f t="shared" si="163"/>
        <v>6991.5999999999995</v>
      </c>
      <c r="J1351" s="100">
        <f t="shared" si="164"/>
        <v>1.0020064205457464</v>
      </c>
      <c r="K1351" s="51">
        <f>VLOOKUP(B:B,'生產達成率(目標)'!A:C,3,0)</f>
        <v>1</v>
      </c>
      <c r="L1351" s="20">
        <f t="shared" si="165"/>
        <v>2E-3</v>
      </c>
      <c r="M1351" s="137" t="str">
        <f>工時!R535</f>
        <v>540</v>
      </c>
      <c r="N1351" s="144"/>
      <c r="O1351" s="144">
        <f t="shared" si="166"/>
        <v>1</v>
      </c>
      <c r="P1351" s="156">
        <v>2496</v>
      </c>
      <c r="Q1351" s="98">
        <f t="shared" si="167"/>
        <v>0.99959951942330794</v>
      </c>
      <c r="R1351" s="23"/>
      <c r="S1351" s="173"/>
      <c r="T1351" s="30"/>
    </row>
    <row r="1352" spans="1:30" x14ac:dyDescent="0.4">
      <c r="A1352" s="181">
        <v>45728</v>
      </c>
      <c r="B1352" s="139" t="s">
        <v>87</v>
      </c>
      <c r="C1352" s="30" t="str">
        <f>VLOOKUP(B1352,'112年全品項生產鍋數'!A:H,2,0)</f>
        <v>＃1藍莓(1*3.2kg)</v>
      </c>
      <c r="D1352" s="290">
        <v>28</v>
      </c>
      <c r="E1352" s="48">
        <f>VLOOKUP(B1352,'112年全品項生產鍋數'!A:H,3,0)</f>
        <v>3.2</v>
      </c>
      <c r="F1352" s="45">
        <f>VLOOKUP(B1352,'112年全品項生產鍋數'!A:H,7,0)</f>
        <v>47.5</v>
      </c>
      <c r="G1352" s="49">
        <f t="shared" si="162"/>
        <v>1330</v>
      </c>
      <c r="H1352" s="158">
        <v>1315</v>
      </c>
      <c r="I1352" s="23">
        <f t="shared" si="163"/>
        <v>4208</v>
      </c>
      <c r="J1352" s="100">
        <f t="shared" si="164"/>
        <v>0.98872180451127822</v>
      </c>
      <c r="K1352" s="51">
        <f>VLOOKUP(B:B,'生產達成率(目標)'!A:C,3,0)</f>
        <v>1</v>
      </c>
      <c r="L1352" s="20">
        <f t="shared" si="165"/>
        <v>-1.0999999999999999E-2</v>
      </c>
      <c r="M1352" s="137" t="str">
        <f>工時!R536</f>
        <v>300</v>
      </c>
      <c r="N1352" s="144"/>
      <c r="O1352" s="144">
        <f t="shared" si="166"/>
        <v>1</v>
      </c>
      <c r="P1352" s="156">
        <v>1314</v>
      </c>
      <c r="Q1352" s="98">
        <f t="shared" si="167"/>
        <v>0.99923954372623569</v>
      </c>
      <c r="R1352" s="23"/>
      <c r="S1352" s="173"/>
      <c r="T1352" s="30"/>
    </row>
    <row r="1353" spans="1:30" x14ac:dyDescent="0.4">
      <c r="A1353" s="181">
        <v>45728</v>
      </c>
      <c r="B1353" s="139" t="s">
        <v>80</v>
      </c>
      <c r="C1353" s="30" t="str">
        <f>VLOOKUP(B1353,'112年全品項生產鍋數'!A:H,2,0)</f>
        <v>＃1桔子(1*3.2kg)</v>
      </c>
      <c r="D1353" s="290">
        <v>28</v>
      </c>
      <c r="E1353" s="48">
        <f>VLOOKUP(B1353,'112年全品項生產鍋數'!A:H,3,0)</f>
        <v>3.2</v>
      </c>
      <c r="F1353" s="45">
        <f>VLOOKUP(B1353,'112年全品項生產鍋數'!A:H,7,0)</f>
        <v>46.4</v>
      </c>
      <c r="G1353" s="49">
        <f t="shared" si="162"/>
        <v>1299.2</v>
      </c>
      <c r="H1353" s="158">
        <v>1303</v>
      </c>
      <c r="I1353" s="23">
        <f t="shared" si="163"/>
        <v>4169.6000000000004</v>
      </c>
      <c r="J1353" s="100">
        <f t="shared" si="164"/>
        <v>1.0029248768472907</v>
      </c>
      <c r="K1353" s="51">
        <f>VLOOKUP(B:B,'生產達成率(目標)'!A:C,3,0)</f>
        <v>1</v>
      </c>
      <c r="L1353" s="20">
        <f t="shared" si="165"/>
        <v>3.0000000000000001E-3</v>
      </c>
      <c r="M1353" s="137" t="str">
        <f>工時!R537</f>
        <v>240</v>
      </c>
      <c r="N1353" s="144"/>
      <c r="O1353" s="144">
        <f t="shared" si="166"/>
        <v>1</v>
      </c>
      <c r="P1353" s="156">
        <v>1302</v>
      </c>
      <c r="Q1353" s="98">
        <f t="shared" si="167"/>
        <v>0.99923254029163466</v>
      </c>
      <c r="R1353" s="23"/>
      <c r="S1353" s="173"/>
      <c r="T1353" s="30"/>
    </row>
    <row r="1354" spans="1:30" x14ac:dyDescent="0.4">
      <c r="A1354" s="181">
        <v>45728</v>
      </c>
      <c r="B1354" s="139" t="s">
        <v>451</v>
      </c>
      <c r="C1354" s="30" t="str">
        <f>VLOOKUP(B1354,'112年全品項生產鍋數'!A:H,2,0)</f>
        <v>水蜜桃醬(1*6kg)</v>
      </c>
      <c r="D1354" s="290">
        <v>6</v>
      </c>
      <c r="E1354" s="48">
        <f>VLOOKUP(B1354,'112年全品項生產鍋數'!A:H,3,0)</f>
        <v>6</v>
      </c>
      <c r="F1354" s="45">
        <f>VLOOKUP(B1354,'112年全品項生產鍋數'!A:H,7,0)</f>
        <v>24.5</v>
      </c>
      <c r="G1354" s="49">
        <f t="shared" si="162"/>
        <v>147</v>
      </c>
      <c r="H1354" s="158">
        <v>149</v>
      </c>
      <c r="I1354" s="23">
        <f t="shared" si="163"/>
        <v>894</v>
      </c>
      <c r="J1354" s="100">
        <f t="shared" si="164"/>
        <v>1.0136054421768708</v>
      </c>
      <c r="K1354" s="51">
        <f>VLOOKUP(B:B,'生產達成率(目標)'!A:C,3,0)</f>
        <v>1</v>
      </c>
      <c r="L1354" s="20">
        <f t="shared" si="165"/>
        <v>1.4E-2</v>
      </c>
      <c r="M1354" s="137" t="str">
        <f>工時!R538</f>
        <v>180</v>
      </c>
      <c r="N1354" s="144"/>
      <c r="O1354" s="144">
        <f t="shared" si="166"/>
        <v>1</v>
      </c>
      <c r="P1354" s="156">
        <v>148</v>
      </c>
      <c r="Q1354" s="98">
        <f t="shared" si="167"/>
        <v>0.99328859060402686</v>
      </c>
      <c r="R1354" s="23"/>
      <c r="S1354" s="173"/>
      <c r="T1354" s="30"/>
    </row>
    <row r="1355" spans="1:30" x14ac:dyDescent="0.4">
      <c r="A1355" s="181">
        <v>45728</v>
      </c>
      <c r="B1355" s="139" t="s">
        <v>75</v>
      </c>
      <c r="C1355" s="30" t="str">
        <f>VLOOKUP(B1355,'112年全品項生產鍋數'!A:H,2,0)</f>
        <v>草莓椰果餡(1*6Kg)</v>
      </c>
      <c r="D1355" s="290">
        <v>12</v>
      </c>
      <c r="E1355" s="48">
        <f>VLOOKUP(B1355,'112年全品項生產鍋數'!A:H,3,0)</f>
        <v>6</v>
      </c>
      <c r="F1355" s="45">
        <f>VLOOKUP(B1355,'112年全品項生產鍋數'!A:H,7,0)</f>
        <v>26.4</v>
      </c>
      <c r="G1355" s="49">
        <f t="shared" si="162"/>
        <v>316.79999999999995</v>
      </c>
      <c r="H1355" s="158">
        <v>319</v>
      </c>
      <c r="I1355" s="23">
        <f t="shared" si="163"/>
        <v>1914</v>
      </c>
      <c r="J1355" s="100">
        <f t="shared" si="164"/>
        <v>1.0069444444444446</v>
      </c>
      <c r="K1355" s="51">
        <f>VLOOKUP(B:B,'生產達成率(目標)'!A:C,3,0)</f>
        <v>1</v>
      </c>
      <c r="L1355" s="20">
        <f t="shared" si="165"/>
        <v>7.0000000000000001E-3</v>
      </c>
      <c r="M1355" s="137" t="str">
        <f>工時!R539</f>
        <v>210</v>
      </c>
      <c r="N1355" s="144"/>
      <c r="O1355" s="144">
        <f t="shared" si="166"/>
        <v>2</v>
      </c>
      <c r="P1355" s="156">
        <v>317</v>
      </c>
      <c r="Q1355" s="98">
        <f t="shared" si="167"/>
        <v>0.99373040752351094</v>
      </c>
      <c r="R1355" s="23"/>
      <c r="S1355" s="173"/>
      <c r="T1355" s="30"/>
    </row>
    <row r="1356" spans="1:30" x14ac:dyDescent="0.4">
      <c r="A1356" s="181">
        <v>45728</v>
      </c>
      <c r="B1356" s="139" t="s">
        <v>885</v>
      </c>
      <c r="C1356" s="30" t="str">
        <f>VLOOKUP(B1356,'112年全品項生產鍋數'!A:H,2,0)</f>
        <v>草莓蔓越莓餡(1*6KG)</v>
      </c>
      <c r="D1356" s="290">
        <v>2.73</v>
      </c>
      <c r="E1356" s="48">
        <f>VLOOKUP(B1356,'112年全品項生產鍋數'!A:H,3,0)</f>
        <v>6</v>
      </c>
      <c r="F1356" s="45">
        <f>VLOOKUP(B1356,'112年全品項生產鍋數'!A:H,7,0)</f>
        <v>25.2</v>
      </c>
      <c r="G1356" s="49">
        <f t="shared" si="162"/>
        <v>68.795999999999992</v>
      </c>
      <c r="H1356" s="158">
        <v>68</v>
      </c>
      <c r="I1356" s="23">
        <f t="shared" si="163"/>
        <v>408</v>
      </c>
      <c r="J1356" s="100">
        <f t="shared" si="164"/>
        <v>0.98842955985813141</v>
      </c>
      <c r="K1356" s="51">
        <f>VLOOKUP(B:B,'生產達成率(目標)'!A:C,3,0)</f>
        <v>1</v>
      </c>
      <c r="L1356" s="20">
        <f t="shared" si="165"/>
        <v>-1.2E-2</v>
      </c>
      <c r="M1356" s="137" t="str">
        <f>工時!R540</f>
        <v>85</v>
      </c>
      <c r="N1356" s="144"/>
      <c r="O1356" s="144">
        <f t="shared" si="166"/>
        <v>1</v>
      </c>
      <c r="P1356" s="156">
        <v>67</v>
      </c>
      <c r="Q1356" s="98">
        <f t="shared" si="167"/>
        <v>0.98529411764705888</v>
      </c>
      <c r="R1356" s="23"/>
      <c r="S1356" s="173"/>
      <c r="T1356" s="30"/>
    </row>
    <row r="1357" spans="1:30" x14ac:dyDescent="0.4">
      <c r="A1357" s="181">
        <v>45728</v>
      </c>
      <c r="B1357" s="139" t="s">
        <v>93</v>
      </c>
      <c r="C1357" s="30" t="str">
        <f>VLOOKUP(B1357,'112年全品項生產鍋數'!A:H,2,0)</f>
        <v>草莓餡42°(1*6KG)</v>
      </c>
      <c r="D1357" s="290">
        <v>8</v>
      </c>
      <c r="E1357" s="48">
        <f>VLOOKUP(B1357,'112年全品項生產鍋數'!A:H,3,0)</f>
        <v>6</v>
      </c>
      <c r="F1357" s="45">
        <f>VLOOKUP(B1357,'112年全品項生產鍋數'!A:H,7,0)</f>
        <v>25.2</v>
      </c>
      <c r="G1357" s="49">
        <f t="shared" si="162"/>
        <v>201.6</v>
      </c>
      <c r="H1357" s="158">
        <v>199</v>
      </c>
      <c r="I1357" s="23">
        <f t="shared" si="163"/>
        <v>1194</v>
      </c>
      <c r="J1357" s="100">
        <f t="shared" si="164"/>
        <v>0.98710317460317465</v>
      </c>
      <c r="K1357" s="51">
        <f>VLOOKUP(B:B,'生產達成率(目標)'!A:C,3,0)</f>
        <v>1</v>
      </c>
      <c r="L1357" s="20">
        <f t="shared" si="165"/>
        <v>-1.2999999999999999E-2</v>
      </c>
      <c r="M1357" s="137" t="str">
        <f>工時!R541</f>
        <v>141</v>
      </c>
      <c r="N1357" s="144"/>
      <c r="O1357" s="144">
        <f t="shared" si="166"/>
        <v>1</v>
      </c>
      <c r="P1357" s="156">
        <v>198</v>
      </c>
      <c r="Q1357" s="98">
        <f t="shared" si="167"/>
        <v>0.99497487437185927</v>
      </c>
      <c r="R1357" s="23"/>
      <c r="S1357" s="173"/>
      <c r="T1357" s="30"/>
    </row>
    <row r="1358" spans="1:30" x14ac:dyDescent="0.4">
      <c r="A1358" s="181">
        <v>45728</v>
      </c>
      <c r="B1358" s="139" t="s">
        <v>965</v>
      </c>
      <c r="C1358" s="30" t="str">
        <f>VLOOKUP(B1358,'112年全品項生產鍋數'!A:H,2,0)</f>
        <v>草莓餡°(1*6KG)</v>
      </c>
      <c r="D1358" s="290">
        <v>1</v>
      </c>
      <c r="E1358" s="48">
        <f>VLOOKUP(B1358,'112年全品項生產鍋數'!A:H,3,0)</f>
        <v>6</v>
      </c>
      <c r="F1358" s="45">
        <f>VLOOKUP(B1358,'112年全品項生產鍋數'!A:H,7,0)</f>
        <v>0</v>
      </c>
      <c r="G1358" s="49">
        <f>D1358*F1358</f>
        <v>0</v>
      </c>
      <c r="H1358" s="158">
        <v>23</v>
      </c>
      <c r="I1358" s="23">
        <f t="shared" si="163"/>
        <v>138</v>
      </c>
      <c r="J1358" s="100" t="str">
        <f t="shared" si="164"/>
        <v>無法預估數據</v>
      </c>
      <c r="K1358" s="51">
        <f>VLOOKUP(B:B,'生產達成率(目標)'!A:C,3,0)</f>
        <v>1</v>
      </c>
      <c r="L1358" s="20" t="str">
        <f t="shared" si="165"/>
        <v>無法預估數據</v>
      </c>
      <c r="M1358" s="137" t="str">
        <f>工時!R542</f>
        <v>54</v>
      </c>
      <c r="N1358" s="144"/>
      <c r="O1358" s="144">
        <f t="shared" si="166"/>
        <v>1</v>
      </c>
      <c r="P1358" s="156">
        <v>22</v>
      </c>
      <c r="Q1358" s="98">
        <f t="shared" si="167"/>
        <v>0.95652173913043481</v>
      </c>
      <c r="R1358" s="23"/>
      <c r="S1358" s="173"/>
      <c r="T1358" s="30"/>
    </row>
    <row r="1359" spans="1:30" x14ac:dyDescent="0.4">
      <c r="A1359" s="181">
        <v>45728</v>
      </c>
      <c r="B1359" s="139" t="s">
        <v>65</v>
      </c>
      <c r="C1359" s="30" t="str">
        <f>VLOOKUP(B1359,'112年全品項生產鍋數'!A:H,2,0)</f>
        <v>＃1花生(1*2.8kg)</v>
      </c>
      <c r="D1359" s="290">
        <v>56</v>
      </c>
      <c r="E1359" s="48">
        <f>VLOOKUP(B1359,'112年全品項生產鍋數'!A:H,3,0)</f>
        <v>2.8</v>
      </c>
      <c r="F1359" s="45">
        <f>VLOOKUP(B1359,'112年全品項生產鍋數'!A:H,7,0)</f>
        <v>44.5</v>
      </c>
      <c r="G1359" s="49">
        <f t="shared" si="162"/>
        <v>2492</v>
      </c>
      <c r="H1359" s="158">
        <v>2502</v>
      </c>
      <c r="I1359" s="23">
        <f t="shared" si="163"/>
        <v>7005.5999999999995</v>
      </c>
      <c r="J1359" s="100">
        <f t="shared" si="164"/>
        <v>1.0040128410914928</v>
      </c>
      <c r="K1359" s="51">
        <f>VLOOKUP(B:B,'生產達成率(目標)'!A:C,3,0)</f>
        <v>1</v>
      </c>
      <c r="L1359" s="20">
        <f t="shared" si="165"/>
        <v>4.0000000000000001E-3</v>
      </c>
      <c r="M1359" s="137" t="str">
        <f>工時!R543</f>
        <v>525</v>
      </c>
      <c r="N1359" s="144"/>
      <c r="O1359" s="144">
        <f t="shared" si="166"/>
        <v>1</v>
      </c>
      <c r="P1359" s="156">
        <v>2501</v>
      </c>
      <c r="Q1359" s="98">
        <f t="shared" si="167"/>
        <v>0.9996003197442046</v>
      </c>
      <c r="R1359" s="23"/>
      <c r="S1359" s="173"/>
      <c r="T1359" s="30"/>
    </row>
    <row r="1360" spans="1:30" x14ac:dyDescent="0.4">
      <c r="A1360" s="181">
        <v>45729</v>
      </c>
      <c r="B1360" s="139" t="s">
        <v>54</v>
      </c>
      <c r="C1360" s="30" t="str">
        <f>VLOOKUP(B1360,'112年全品項生產鍋數'!A:H,2,0)</f>
        <v>草莓醬(1*6kg)</v>
      </c>
      <c r="D1360" s="290">
        <v>24</v>
      </c>
      <c r="E1360" s="48">
        <f>VLOOKUP(B1360,'112年全品項生產鍋數'!A:H,3,0)</f>
        <v>6</v>
      </c>
      <c r="F1360" s="45">
        <f>VLOOKUP(B1360,'112年全品項生產鍋數'!A:H,7,0)</f>
        <v>26.6</v>
      </c>
      <c r="G1360" s="49">
        <f t="shared" si="162"/>
        <v>638.40000000000009</v>
      </c>
      <c r="H1360" s="158">
        <v>613</v>
      </c>
      <c r="I1360" s="23">
        <f t="shared" si="163"/>
        <v>3678</v>
      </c>
      <c r="J1360" s="100">
        <f t="shared" si="164"/>
        <v>0.96021303258145352</v>
      </c>
      <c r="K1360" s="51">
        <f>VLOOKUP(B:B,'生產達成率(目標)'!A:C,3,0)</f>
        <v>1</v>
      </c>
      <c r="L1360" s="20">
        <f t="shared" si="165"/>
        <v>-0.04</v>
      </c>
      <c r="M1360" s="137" t="str">
        <f>工時!R544</f>
        <v>340</v>
      </c>
      <c r="N1360" s="144"/>
      <c r="O1360" s="144">
        <f t="shared" si="166"/>
        <v>2</v>
      </c>
      <c r="P1360" s="156">
        <v>611</v>
      </c>
      <c r="Q1360" s="98">
        <f t="shared" si="167"/>
        <v>0.99673735725938006</v>
      </c>
      <c r="R1360" s="23"/>
      <c r="S1360" s="173"/>
      <c r="T1360" s="30"/>
    </row>
    <row r="1361" spans="1:30" x14ac:dyDescent="0.4">
      <c r="A1361" s="181">
        <v>45729</v>
      </c>
      <c r="B1361" s="139" t="s">
        <v>51</v>
      </c>
      <c r="C1361" s="30" t="str">
        <f>VLOOKUP(B1361,'112年全品項生產鍋數'!A:H,2,0)</f>
        <v>藍莓醬(1*6kg)</v>
      </c>
      <c r="D1361" s="290">
        <v>12</v>
      </c>
      <c r="E1361" s="48">
        <f>VLOOKUP(B1361,'112年全品項生產鍋數'!A:H,3,0)</f>
        <v>6</v>
      </c>
      <c r="F1361" s="45">
        <f>VLOOKUP(B1361,'112年全品項生產鍋數'!A:H,7,0)</f>
        <v>25.5</v>
      </c>
      <c r="G1361" s="49">
        <f t="shared" si="162"/>
        <v>306</v>
      </c>
      <c r="H1361" s="158">
        <v>295</v>
      </c>
      <c r="I1361" s="23">
        <f t="shared" si="163"/>
        <v>1770</v>
      </c>
      <c r="J1361" s="100">
        <f t="shared" si="164"/>
        <v>0.96405228758169936</v>
      </c>
      <c r="K1361" s="51">
        <f>VLOOKUP(B:B,'生產達成率(目標)'!A:C,3,0)</f>
        <v>1</v>
      </c>
      <c r="L1361" s="20">
        <f t="shared" si="165"/>
        <v>-3.5999999999999997E-2</v>
      </c>
      <c r="M1361" s="137" t="str">
        <f>工時!R545</f>
        <v>210</v>
      </c>
      <c r="N1361" s="144"/>
      <c r="O1361" s="144">
        <f t="shared" si="166"/>
        <v>2</v>
      </c>
      <c r="P1361" s="156">
        <v>293</v>
      </c>
      <c r="Q1361" s="98">
        <f t="shared" si="167"/>
        <v>0.99322033898305084</v>
      </c>
      <c r="R1361" s="23"/>
      <c r="S1361" s="173"/>
      <c r="T1361" s="30"/>
    </row>
    <row r="1362" spans="1:30" x14ac:dyDescent="0.4">
      <c r="A1362" s="181">
        <v>45729</v>
      </c>
      <c r="B1362" s="139" t="s">
        <v>117</v>
      </c>
      <c r="C1362" s="30" t="str">
        <f>VLOOKUP(B1362,'112年全品項生產鍋數'!A:H,2,0)</f>
        <v>草莓餡(1*4.5Kg)</v>
      </c>
      <c r="D1362" s="290">
        <v>8</v>
      </c>
      <c r="E1362" s="48">
        <f>VLOOKUP(B1362,'112年全品項生產鍋數'!A:H,3,0)</f>
        <v>4.5</v>
      </c>
      <c r="F1362" s="45">
        <f>VLOOKUP(B1362,'112年全品項生產鍋數'!A:H,7,0)</f>
        <v>35.6</v>
      </c>
      <c r="G1362" s="49">
        <f t="shared" si="162"/>
        <v>284.8</v>
      </c>
      <c r="H1362" s="158">
        <v>272</v>
      </c>
      <c r="I1362" s="23">
        <f t="shared" si="163"/>
        <v>1224</v>
      </c>
      <c r="J1362" s="100">
        <f t="shared" si="164"/>
        <v>0.9550561797752809</v>
      </c>
      <c r="K1362" s="51">
        <f>VLOOKUP(B:B,'生產達成率(目標)'!A:C,3,0)</f>
        <v>1</v>
      </c>
      <c r="L1362" s="20">
        <f t="shared" si="165"/>
        <v>-4.4999999999999998E-2</v>
      </c>
      <c r="M1362" s="137" t="str">
        <f>工時!R546</f>
        <v>196</v>
      </c>
      <c r="N1362" s="144"/>
      <c r="O1362" s="144">
        <f t="shared" si="166"/>
        <v>0</v>
      </c>
      <c r="P1362" s="156">
        <v>272</v>
      </c>
      <c r="Q1362" s="98">
        <f t="shared" si="167"/>
        <v>1</v>
      </c>
      <c r="R1362" s="23"/>
      <c r="S1362" s="173"/>
      <c r="T1362" s="30"/>
    </row>
    <row r="1363" spans="1:30" s="146" customFormat="1" x14ac:dyDescent="0.4">
      <c r="A1363" s="182">
        <v>45729</v>
      </c>
      <c r="B1363" s="139" t="s">
        <v>646</v>
      </c>
      <c r="C1363" s="140" t="str">
        <f>VLOOKUP(B1363,'112年全品項生產鍋數'!A:H,2,0)</f>
        <v>玫瑰洛神餡(1*4.5KG)</v>
      </c>
      <c r="D1363" s="290">
        <v>3</v>
      </c>
      <c r="E1363" s="141">
        <f>VLOOKUP(B1363,'112年全品項生產鍋數'!A:H,3,0)</f>
        <v>4.5</v>
      </c>
      <c r="F1363" s="142">
        <f>VLOOKUP(B1363,'112年全品項生產鍋數'!A:H,7,0)</f>
        <v>32.9</v>
      </c>
      <c r="G1363" s="143">
        <f t="shared" si="162"/>
        <v>98.699999999999989</v>
      </c>
      <c r="H1363" s="158">
        <v>100</v>
      </c>
      <c r="I1363" s="144">
        <f t="shared" si="163"/>
        <v>450</v>
      </c>
      <c r="J1363" s="100">
        <f t="shared" si="164"/>
        <v>1.0131712259371835</v>
      </c>
      <c r="K1363" s="51">
        <f>VLOOKUP(B:B,'生產達成率(目標)'!A:C,3,0)</f>
        <v>1</v>
      </c>
      <c r="L1363" s="20">
        <f t="shared" si="165"/>
        <v>1.2999999999999999E-2</v>
      </c>
      <c r="M1363" s="137" t="str">
        <f>工時!R547</f>
        <v>140</v>
      </c>
      <c r="N1363" s="144"/>
      <c r="O1363" s="144">
        <f t="shared" si="166"/>
        <v>0</v>
      </c>
      <c r="P1363" s="156">
        <v>100</v>
      </c>
      <c r="Q1363" s="145">
        <f t="shared" si="167"/>
        <v>1</v>
      </c>
      <c r="R1363" s="144"/>
      <c r="S1363" s="153"/>
      <c r="T1363" s="140"/>
      <c r="V1363" s="381"/>
      <c r="W1363" s="421"/>
      <c r="X1363" s="381"/>
      <c r="Y1363" s="421"/>
      <c r="Z1363" s="421"/>
      <c r="AA1363" s="421"/>
      <c r="AB1363" s="421"/>
      <c r="AC1363" s="421"/>
      <c r="AD1363" s="421"/>
    </row>
    <row r="1364" spans="1:30" x14ac:dyDescent="0.4">
      <c r="A1364" s="181">
        <v>45729</v>
      </c>
      <c r="B1364" s="139" t="s">
        <v>72</v>
      </c>
      <c r="C1364" s="30" t="str">
        <f>VLOOKUP(B1364,'112年全品項生產鍋數'!A:H,2,0)</f>
        <v>草莓餡45%(1*6Kg)</v>
      </c>
      <c r="D1364" s="290">
        <v>20</v>
      </c>
      <c r="E1364" s="48">
        <f>VLOOKUP(B1364,'112年全品項生產鍋數'!A:H,3,0)</f>
        <v>6</v>
      </c>
      <c r="F1364" s="45">
        <f>VLOOKUP(B1364,'112年全品項生產鍋數'!A:H,7,0)</f>
        <v>26.1</v>
      </c>
      <c r="G1364" s="49">
        <f t="shared" si="162"/>
        <v>522</v>
      </c>
      <c r="H1364" s="158">
        <v>521</v>
      </c>
      <c r="I1364" s="23">
        <f t="shared" si="163"/>
        <v>3126</v>
      </c>
      <c r="J1364" s="100">
        <f t="shared" si="164"/>
        <v>0.99808429118773945</v>
      </c>
      <c r="K1364" s="51">
        <f>VLOOKUP(B:B,'生產達成率(目標)'!A:C,3,0)</f>
        <v>1</v>
      </c>
      <c r="L1364" s="20">
        <f t="shared" si="165"/>
        <v>-2E-3</v>
      </c>
      <c r="M1364" s="137" t="str">
        <f>工時!R548</f>
        <v>330</v>
      </c>
      <c r="N1364" s="144"/>
      <c r="O1364" s="144">
        <f t="shared" si="166"/>
        <v>3</v>
      </c>
      <c r="P1364" s="156">
        <v>518</v>
      </c>
      <c r="Q1364" s="98">
        <f t="shared" si="167"/>
        <v>0.99424184261036463</v>
      </c>
      <c r="R1364" s="23"/>
      <c r="S1364" s="173"/>
      <c r="T1364" s="30"/>
    </row>
    <row r="1365" spans="1:30" s="146" customFormat="1" x14ac:dyDescent="0.4">
      <c r="A1365" s="182">
        <v>45729</v>
      </c>
      <c r="B1365" s="139" t="s">
        <v>471</v>
      </c>
      <c r="C1365" s="140" t="str">
        <f>VLOOKUP(B1365,'112年全品項生產鍋數'!A:H,2,0)</f>
        <v>花生醬(1*290g)</v>
      </c>
      <c r="D1365" s="290">
        <v>8</v>
      </c>
      <c r="E1365" s="141">
        <f>VLOOKUP(B1365,'112年全品項生產鍋數'!A:H,3,0)</f>
        <v>0.28999999999999998</v>
      </c>
      <c r="F1365" s="142">
        <f>VLOOKUP(B1365,'112年全品項生產鍋數'!A:H,7,0)</f>
        <v>412.6</v>
      </c>
      <c r="G1365" s="143">
        <f t="shared" si="162"/>
        <v>3300.8</v>
      </c>
      <c r="H1365" s="158">
        <v>3458</v>
      </c>
      <c r="I1365" s="144">
        <f t="shared" si="163"/>
        <v>1002.8199999999999</v>
      </c>
      <c r="J1365" s="100">
        <f t="shared" si="164"/>
        <v>1.0476248182258845</v>
      </c>
      <c r="K1365" s="51">
        <f>VLOOKUP(B:B,'生產達成率(目標)'!A:C,3,0)</f>
        <v>1</v>
      </c>
      <c r="L1365" s="20">
        <f t="shared" si="165"/>
        <v>4.8000000000000001E-2</v>
      </c>
      <c r="M1365" s="137" t="str">
        <f>工時!R549</f>
        <v>450</v>
      </c>
      <c r="N1365" s="144"/>
      <c r="O1365" s="186">
        <f t="shared" si="166"/>
        <v>5</v>
      </c>
      <c r="P1365" s="156">
        <v>3453</v>
      </c>
      <c r="Q1365" s="145">
        <f t="shared" si="167"/>
        <v>0.99855407750144587</v>
      </c>
      <c r="R1365" s="144"/>
      <c r="S1365" s="153"/>
      <c r="T1365" s="140"/>
      <c r="V1365" s="381"/>
      <c r="W1365" s="421"/>
      <c r="X1365" s="381"/>
      <c r="Y1365" s="421"/>
      <c r="Z1365" s="421"/>
      <c r="AA1365" s="421"/>
      <c r="AB1365" s="421"/>
      <c r="AC1365" s="421"/>
      <c r="AD1365" s="421"/>
    </row>
    <row r="1366" spans="1:30" s="146" customFormat="1" x14ac:dyDescent="0.4">
      <c r="A1366" s="182">
        <v>45729</v>
      </c>
      <c r="B1366" s="139" t="s">
        <v>58</v>
      </c>
      <c r="C1366" s="140" t="str">
        <f>VLOOKUP(B1366,'112年全品項生產鍋數'!A:H,2,0)</f>
        <v>PET大花生(1*400g)</v>
      </c>
      <c r="D1366" s="290">
        <v>16</v>
      </c>
      <c r="E1366" s="141">
        <f>VLOOKUP(B1366,'112年全品項生產鍋數'!A:H,3,0)</f>
        <v>0.4</v>
      </c>
      <c r="F1366" s="142">
        <f>VLOOKUP(B1366,'112年全品項生產鍋數'!A:H,7,0)</f>
        <v>309.2</v>
      </c>
      <c r="G1366" s="143">
        <f t="shared" si="162"/>
        <v>4947.2</v>
      </c>
      <c r="H1366" s="158">
        <v>5005</v>
      </c>
      <c r="I1366" s="144">
        <f t="shared" si="163"/>
        <v>2002</v>
      </c>
      <c r="J1366" s="100">
        <f t="shared" si="164"/>
        <v>1.0116833764553688</v>
      </c>
      <c r="K1366" s="51">
        <f>VLOOKUP(B:B,'生產達成率(目標)'!A:C,3,0)</f>
        <v>1</v>
      </c>
      <c r="L1366" s="20">
        <f t="shared" si="165"/>
        <v>1.2E-2</v>
      </c>
      <c r="M1366" s="137" t="str">
        <f>工時!R550</f>
        <v>420</v>
      </c>
      <c r="N1366" s="144"/>
      <c r="O1366" s="144">
        <f t="shared" si="166"/>
        <v>3</v>
      </c>
      <c r="P1366" s="156">
        <v>5002</v>
      </c>
      <c r="Q1366" s="145">
        <f t="shared" si="167"/>
        <v>0.99940059940059944</v>
      </c>
      <c r="R1366" s="144"/>
      <c r="S1366" s="153"/>
      <c r="T1366" s="140"/>
      <c r="V1366" s="381"/>
      <c r="W1366" s="421"/>
      <c r="X1366" s="381"/>
      <c r="Y1366" s="421"/>
      <c r="Z1366" s="421"/>
      <c r="AA1366" s="421"/>
      <c r="AB1366" s="421"/>
      <c r="AC1366" s="421"/>
      <c r="AD1366" s="421"/>
    </row>
    <row r="1367" spans="1:30" x14ac:dyDescent="0.4">
      <c r="A1367" s="181">
        <v>45730</v>
      </c>
      <c r="B1367" s="139" t="s">
        <v>71</v>
      </c>
      <c r="C1367" s="30" t="str">
        <f>VLOOKUP(B1367,'112年全品項生產鍋數'!A:H,2,0)</f>
        <v>＃1草莓(1*3.2kg)</v>
      </c>
      <c r="D1367" s="290">
        <v>60</v>
      </c>
      <c r="E1367" s="48">
        <f>VLOOKUP(B1367,'112年全品項生產鍋數'!A:H,3,0)</f>
        <v>3.2</v>
      </c>
      <c r="F1367" s="45">
        <f>VLOOKUP(B1367,'112年全品項生產鍋數'!A:H,7,0)</f>
        <v>46.8</v>
      </c>
      <c r="G1367" s="49">
        <f t="shared" si="162"/>
        <v>2808</v>
      </c>
      <c r="H1367" s="158">
        <v>2819</v>
      </c>
      <c r="I1367" s="23">
        <f t="shared" si="163"/>
        <v>9020.8000000000011</v>
      </c>
      <c r="J1367" s="100">
        <f t="shared" si="164"/>
        <v>1.003917378917379</v>
      </c>
      <c r="K1367" s="51">
        <f>VLOOKUP(B:B,'生產達成率(目標)'!A:C,3,0)</f>
        <v>1</v>
      </c>
      <c r="L1367" s="20">
        <f t="shared" si="165"/>
        <v>4.0000000000000001E-3</v>
      </c>
      <c r="M1367" s="137" t="str">
        <f>工時!R551</f>
        <v>540</v>
      </c>
      <c r="N1367" s="144"/>
      <c r="O1367" s="144">
        <f t="shared" si="166"/>
        <v>3</v>
      </c>
      <c r="P1367" s="156">
        <v>2816</v>
      </c>
      <c r="Q1367" s="98">
        <f t="shared" si="167"/>
        <v>0.99893579283433842</v>
      </c>
      <c r="R1367" s="23"/>
      <c r="S1367" s="173"/>
      <c r="T1367" s="30"/>
    </row>
    <row r="1368" spans="1:30" s="146" customFormat="1" x14ac:dyDescent="0.4">
      <c r="A1368" s="182">
        <v>45730</v>
      </c>
      <c r="B1368" s="139" t="s">
        <v>63</v>
      </c>
      <c r="C1368" s="140" t="str">
        <f>VLOOKUP(B1368,'112年全品項生產鍋數'!A:H,2,0)</f>
        <v>草莓蒟蒻餡(1*6kg)</v>
      </c>
      <c r="D1368" s="290">
        <v>20</v>
      </c>
      <c r="E1368" s="141">
        <f>VLOOKUP(B1368,'112年全品項生產鍋數'!A:H,3,0)</f>
        <v>6</v>
      </c>
      <c r="F1368" s="142">
        <f>VLOOKUP(B1368,'112年全品項生產鍋數'!A:H,7,0)</f>
        <v>25.7</v>
      </c>
      <c r="G1368" s="143">
        <f t="shared" si="162"/>
        <v>514</v>
      </c>
      <c r="H1368" s="158">
        <f>307+218</f>
        <v>525</v>
      </c>
      <c r="I1368" s="144">
        <f t="shared" si="163"/>
        <v>3150</v>
      </c>
      <c r="J1368" s="100">
        <f t="shared" si="164"/>
        <v>1.0214007782101167</v>
      </c>
      <c r="K1368" s="51">
        <f>VLOOKUP(B:B,'生產達成率(目標)'!A:C,3,0)</f>
        <v>1</v>
      </c>
      <c r="L1368" s="20">
        <f t="shared" si="165"/>
        <v>2.1000000000000001E-2</v>
      </c>
      <c r="M1368" s="137" t="str">
        <f>工時!R552</f>
        <v>313</v>
      </c>
      <c r="N1368" s="144"/>
      <c r="O1368" s="144">
        <f t="shared" si="166"/>
        <v>1</v>
      </c>
      <c r="P1368" s="156">
        <f>306+218</f>
        <v>524</v>
      </c>
      <c r="Q1368" s="145">
        <f t="shared" si="167"/>
        <v>0.99809523809523815</v>
      </c>
      <c r="R1368" s="144"/>
      <c r="S1368" s="153"/>
      <c r="T1368" s="140"/>
      <c r="V1368" s="381"/>
      <c r="W1368" s="421"/>
      <c r="X1368" s="381"/>
      <c r="Y1368" s="421"/>
      <c r="Z1368" s="421"/>
      <c r="AA1368" s="421"/>
      <c r="AB1368" s="421"/>
      <c r="AC1368" s="421"/>
      <c r="AD1368" s="421"/>
    </row>
    <row r="1369" spans="1:30" s="146" customFormat="1" x14ac:dyDescent="0.4">
      <c r="A1369" s="182">
        <v>45730</v>
      </c>
      <c r="B1369" s="139" t="s">
        <v>81</v>
      </c>
      <c r="C1369" s="140" t="str">
        <f>VLOOKUP(B1369,'112年全品項生產鍋數'!A:H,2,0)</f>
        <v>藍莓餡(1*6Kg)</v>
      </c>
      <c r="D1369" s="290">
        <v>16</v>
      </c>
      <c r="E1369" s="141">
        <f>VLOOKUP(B1369,'112年全品項生產鍋數'!A:H,3,0)</f>
        <v>6</v>
      </c>
      <c r="F1369" s="142">
        <f>VLOOKUP(B1369,'112年全品項生產鍋數'!A:H,7,0)</f>
        <v>25.1</v>
      </c>
      <c r="G1369" s="143">
        <f t="shared" si="162"/>
        <v>401.6</v>
      </c>
      <c r="H1369" s="158">
        <v>403</v>
      </c>
      <c r="I1369" s="144">
        <f t="shared" si="163"/>
        <v>2418</v>
      </c>
      <c r="J1369" s="100">
        <f t="shared" si="164"/>
        <v>1.0034860557768923</v>
      </c>
      <c r="K1369" s="51">
        <f>VLOOKUP(B:B,'生產達成率(目標)'!A:C,3,0)</f>
        <v>1</v>
      </c>
      <c r="L1369" s="20">
        <f t="shared" si="165"/>
        <v>3.0000000000000001E-3</v>
      </c>
      <c r="M1369" s="137" t="str">
        <f>工時!R553</f>
        <v>250</v>
      </c>
      <c r="N1369" s="144"/>
      <c r="O1369" s="144">
        <f t="shared" si="166"/>
        <v>2</v>
      </c>
      <c r="P1369" s="156">
        <v>401</v>
      </c>
      <c r="Q1369" s="145">
        <f t="shared" si="167"/>
        <v>0.99503722084367241</v>
      </c>
      <c r="R1369" s="144"/>
      <c r="S1369" s="153"/>
      <c r="T1369" s="140"/>
      <c r="V1369" s="381"/>
      <c r="W1369" s="421"/>
      <c r="X1369" s="381"/>
      <c r="Y1369" s="421"/>
      <c r="Z1369" s="421"/>
      <c r="AA1369" s="421"/>
      <c r="AB1369" s="421"/>
      <c r="AC1369" s="421"/>
      <c r="AD1369" s="421"/>
    </row>
    <row r="1370" spans="1:30" x14ac:dyDescent="0.4">
      <c r="A1370" s="181">
        <v>45730</v>
      </c>
      <c r="B1370" s="139" t="s">
        <v>73</v>
      </c>
      <c r="C1370" s="30" t="str">
        <f>VLOOKUP(B1370,'112年全品項生產鍋數'!A:H,2,0)</f>
        <v>顆粒花生醬(1*12KG)</v>
      </c>
      <c r="D1370" s="290">
        <v>21</v>
      </c>
      <c r="E1370" s="48">
        <f>VLOOKUP(B1370,'112年全品項生產鍋數'!A:H,3,0)</f>
        <v>3</v>
      </c>
      <c r="F1370" s="45">
        <f>VLOOKUP(B1370,'112年全品項生產鍋數'!A:H,7,0)</f>
        <v>29.7</v>
      </c>
      <c r="G1370" s="49">
        <f t="shared" si="162"/>
        <v>623.69999999999993</v>
      </c>
      <c r="H1370" s="158">
        <v>632</v>
      </c>
      <c r="I1370" s="23">
        <f t="shared" si="163"/>
        <v>1896</v>
      </c>
      <c r="J1370" s="100">
        <f t="shared" si="164"/>
        <v>1.0133076799743468</v>
      </c>
      <c r="K1370" s="51">
        <f>VLOOKUP(B:B,'生產達成率(目標)'!A:C,3,0)</f>
        <v>1</v>
      </c>
      <c r="L1370" s="20">
        <f t="shared" si="165"/>
        <v>1.2999999999999999E-2</v>
      </c>
      <c r="M1370" s="137" t="str">
        <f>工時!R554</f>
        <v>540</v>
      </c>
      <c r="N1370" s="144"/>
      <c r="O1370" s="144">
        <f t="shared" si="166"/>
        <v>0</v>
      </c>
      <c r="P1370" s="156">
        <v>632</v>
      </c>
      <c r="Q1370" s="98">
        <f t="shared" si="167"/>
        <v>1</v>
      </c>
      <c r="R1370" s="23"/>
      <c r="S1370" s="173"/>
      <c r="T1370" s="30"/>
    </row>
    <row r="1371" spans="1:30" x14ac:dyDescent="0.4">
      <c r="A1371" s="181">
        <v>45733</v>
      </c>
      <c r="B1371" s="139" t="s">
        <v>158</v>
      </c>
      <c r="C1371" s="30" t="str">
        <f>VLOOKUP(B1371,'112年全品項生產鍋數'!A:H,2,0)</f>
        <v>小圓草莓(1*170g)</v>
      </c>
      <c r="D1371" s="290">
        <v>4</v>
      </c>
      <c r="E1371" s="48">
        <f>VLOOKUP(B1371,'112年全品項生產鍋數'!A:H,3,0)</f>
        <v>0.17</v>
      </c>
      <c r="F1371" s="45">
        <f>VLOOKUP(B1371,'112年全品項生產鍋數'!A:H,7,0)</f>
        <v>912.6</v>
      </c>
      <c r="G1371" s="49">
        <f t="shared" si="162"/>
        <v>3650.4</v>
      </c>
      <c r="H1371" s="158">
        <v>3465</v>
      </c>
      <c r="I1371" s="23">
        <f t="shared" si="163"/>
        <v>589.05000000000007</v>
      </c>
      <c r="J1371" s="100">
        <f t="shared" si="164"/>
        <v>0.94921104536489154</v>
      </c>
      <c r="K1371" s="51">
        <f>VLOOKUP(B:B,'生產達成率(目標)'!A:C,3,0)</f>
        <v>1</v>
      </c>
      <c r="L1371" s="20">
        <f t="shared" si="165"/>
        <v>-5.0999999999999997E-2</v>
      </c>
      <c r="M1371" s="137" t="str">
        <f>工時!R555</f>
        <v>250</v>
      </c>
      <c r="N1371" s="144"/>
      <c r="O1371" s="186">
        <f t="shared" si="166"/>
        <v>5</v>
      </c>
      <c r="P1371" s="156">
        <v>3460</v>
      </c>
      <c r="Q1371" s="98">
        <f t="shared" si="167"/>
        <v>0.99855699855699853</v>
      </c>
      <c r="R1371" s="23"/>
      <c r="S1371" s="173"/>
      <c r="T1371" s="30"/>
    </row>
    <row r="1372" spans="1:30" s="146" customFormat="1" x14ac:dyDescent="0.4">
      <c r="A1372" s="182">
        <v>45733</v>
      </c>
      <c r="B1372" s="139" t="s">
        <v>887</v>
      </c>
      <c r="C1372" s="140" t="str">
        <f>VLOOKUP(B1372,'112年全品項生產鍋數'!A:H,2,0)</f>
        <v>檸檬藍莓醬1*260G</v>
      </c>
      <c r="D1372" s="290">
        <v>4</v>
      </c>
      <c r="E1372" s="141">
        <f>VLOOKUP(B1372,'112年全品項生產鍋數'!A:H,3,0)</f>
        <v>0.26</v>
      </c>
      <c r="F1372" s="142">
        <f>VLOOKUP(B1372,'112年全品項生產鍋數'!A:H,7,0)</f>
        <v>612</v>
      </c>
      <c r="G1372" s="143">
        <f t="shared" si="162"/>
        <v>2448</v>
      </c>
      <c r="H1372" s="158">
        <v>2273</v>
      </c>
      <c r="I1372" s="144">
        <f t="shared" si="163"/>
        <v>590.98</v>
      </c>
      <c r="J1372" s="100">
        <f t="shared" si="164"/>
        <v>0.92851307189542487</v>
      </c>
      <c r="K1372" s="51">
        <f>VLOOKUP(B:B,'生產達成率(目標)'!A:C,3,0)</f>
        <v>1</v>
      </c>
      <c r="L1372" s="20">
        <f t="shared" si="165"/>
        <v>-7.0999999999999994E-2</v>
      </c>
      <c r="M1372" s="137" t="str">
        <f>工時!R556</f>
        <v>162</v>
      </c>
      <c r="N1372" s="144"/>
      <c r="O1372" s="186">
        <f t="shared" si="166"/>
        <v>8</v>
      </c>
      <c r="P1372" s="156">
        <v>2265</v>
      </c>
      <c r="Q1372" s="145">
        <f t="shared" si="167"/>
        <v>0.99648042234931811</v>
      </c>
      <c r="R1372" s="144"/>
      <c r="S1372" s="153"/>
      <c r="T1372" s="140"/>
      <c r="V1372" s="381"/>
      <c r="W1372" s="421"/>
      <c r="X1372" s="381"/>
      <c r="Y1372" s="421"/>
      <c r="Z1372" s="421"/>
      <c r="AA1372" s="421"/>
      <c r="AB1372" s="421"/>
      <c r="AC1372" s="421"/>
      <c r="AD1372" s="421"/>
    </row>
    <row r="1373" spans="1:30" x14ac:dyDescent="0.4">
      <c r="A1373" s="181">
        <v>45733</v>
      </c>
      <c r="B1373" s="139" t="s">
        <v>77</v>
      </c>
      <c r="C1373" s="30" t="str">
        <f>VLOOKUP(B1373,'112年全品項生產鍋數'!A:H,2,0)</f>
        <v>草莓餡50°(1*6Kg)</v>
      </c>
      <c r="D1373" s="290">
        <v>8</v>
      </c>
      <c r="E1373" s="48">
        <f>VLOOKUP(B1373,'112年全品項生產鍋數'!A:H,3,0)</f>
        <v>6</v>
      </c>
      <c r="F1373" s="45">
        <f>VLOOKUP(B1373,'112年全品項生產鍋數'!A:H,7,0)</f>
        <v>25</v>
      </c>
      <c r="G1373" s="49">
        <f t="shared" si="162"/>
        <v>200</v>
      </c>
      <c r="H1373" s="158">
        <v>197</v>
      </c>
      <c r="I1373" s="23">
        <f t="shared" si="163"/>
        <v>1182</v>
      </c>
      <c r="J1373" s="100">
        <f t="shared" si="164"/>
        <v>0.98499999999999999</v>
      </c>
      <c r="K1373" s="51">
        <f>VLOOKUP(B:B,'生產達成率(目標)'!A:C,3,0)</f>
        <v>1</v>
      </c>
      <c r="L1373" s="20">
        <f t="shared" si="165"/>
        <v>-1.4999999999999999E-2</v>
      </c>
      <c r="M1373" s="137" t="str">
        <f>工時!R557</f>
        <v>150</v>
      </c>
      <c r="N1373" s="144"/>
      <c r="O1373" s="144">
        <f t="shared" si="166"/>
        <v>1</v>
      </c>
      <c r="P1373" s="156">
        <v>196</v>
      </c>
      <c r="Q1373" s="98">
        <f t="shared" si="167"/>
        <v>0.99492385786802029</v>
      </c>
      <c r="R1373" s="23"/>
      <c r="S1373" s="173"/>
      <c r="T1373" s="30"/>
    </row>
    <row r="1374" spans="1:30" x14ac:dyDescent="0.4">
      <c r="A1374" s="181">
        <v>45733</v>
      </c>
      <c r="B1374" s="139" t="s">
        <v>965</v>
      </c>
      <c r="C1374" s="30" t="str">
        <f>VLOOKUP(B1374,'112年全品項生產鍋數'!A:H,2,0)</f>
        <v>草莓餡°(1*6KG)</v>
      </c>
      <c r="D1374" s="290">
        <v>16</v>
      </c>
      <c r="E1374" s="48">
        <f>VLOOKUP(B1374,'112年全品項生產鍋數'!A:H,3,0)</f>
        <v>6</v>
      </c>
      <c r="F1374" s="45">
        <f>VLOOKUP(B1374,'112年全品項生產鍋數'!A:H,7,0)</f>
        <v>0</v>
      </c>
      <c r="G1374" s="49">
        <f t="shared" si="162"/>
        <v>0</v>
      </c>
      <c r="H1374" s="158">
        <v>409</v>
      </c>
      <c r="I1374" s="23">
        <f t="shared" si="163"/>
        <v>2454</v>
      </c>
      <c r="J1374" s="100" t="str">
        <f t="shared" si="164"/>
        <v>無法預估數據</v>
      </c>
      <c r="K1374" s="51">
        <f>VLOOKUP(B:B,'生產達成率(目標)'!A:C,3,0)</f>
        <v>1</v>
      </c>
      <c r="L1374" s="20" t="str">
        <f t="shared" si="165"/>
        <v>無法預估數據</v>
      </c>
      <c r="M1374" s="137" t="str">
        <f>工時!R558</f>
        <v>224</v>
      </c>
      <c r="N1374" s="144"/>
      <c r="O1374" s="186">
        <f t="shared" si="166"/>
        <v>6</v>
      </c>
      <c r="P1374" s="156">
        <v>403</v>
      </c>
      <c r="Q1374" s="98">
        <f t="shared" si="167"/>
        <v>0.9853300733496333</v>
      </c>
      <c r="R1374" s="23"/>
      <c r="S1374" s="173"/>
      <c r="T1374" s="30"/>
    </row>
    <row r="1375" spans="1:30" x14ac:dyDescent="0.4">
      <c r="A1375" s="181">
        <v>45733</v>
      </c>
      <c r="B1375" s="139" t="s">
        <v>63</v>
      </c>
      <c r="C1375" s="30" t="str">
        <f>VLOOKUP(B1375,'112年全品項生產鍋數'!A:H,2,0)</f>
        <v>草莓蒟蒻餡(1*6kg)</v>
      </c>
      <c r="D1375" s="290">
        <v>20</v>
      </c>
      <c r="E1375" s="48">
        <f>VLOOKUP(B1375,'112年全品項生產鍋數'!A:H,3,0)</f>
        <v>6</v>
      </c>
      <c r="F1375" s="45">
        <f>VLOOKUP(B1375,'112年全品項生產鍋數'!A:H,7,0)</f>
        <v>25.7</v>
      </c>
      <c r="G1375" s="49">
        <f t="shared" si="162"/>
        <v>514</v>
      </c>
      <c r="H1375" s="158">
        <f>306+217</f>
        <v>523</v>
      </c>
      <c r="I1375" s="23">
        <f t="shared" si="163"/>
        <v>3138</v>
      </c>
      <c r="J1375" s="100">
        <f t="shared" si="164"/>
        <v>1.0175097276264591</v>
      </c>
      <c r="K1375" s="51">
        <f>VLOOKUP(B:B,'生產達成率(目標)'!A:C,3,0)</f>
        <v>1</v>
      </c>
      <c r="L1375" s="20">
        <f t="shared" si="165"/>
        <v>1.7999999999999999E-2</v>
      </c>
      <c r="M1375" s="137" t="str">
        <f>工時!R559</f>
        <v>270</v>
      </c>
      <c r="N1375" s="144"/>
      <c r="O1375" s="144">
        <f t="shared" si="166"/>
        <v>1</v>
      </c>
      <c r="P1375" s="156">
        <f>305+217</f>
        <v>522</v>
      </c>
      <c r="Q1375" s="98">
        <f t="shared" si="167"/>
        <v>0.99808795411089868</v>
      </c>
      <c r="R1375" s="23"/>
      <c r="S1375" s="173"/>
      <c r="T1375" s="30"/>
    </row>
    <row r="1376" spans="1:30" x14ac:dyDescent="0.4">
      <c r="A1376" s="181">
        <v>45733</v>
      </c>
      <c r="B1376" s="139" t="s">
        <v>82</v>
      </c>
      <c r="C1376" s="30" t="str">
        <f>VLOOKUP(B1376,'112年全品項生產鍋數'!A:H,2,0)</f>
        <v>顆粒花生醬(全)</v>
      </c>
      <c r="D1376" s="290">
        <v>36</v>
      </c>
      <c r="E1376" s="48">
        <f>VLOOKUP(B1376,'112年全品項生產鍋數'!A:H,3,0)</f>
        <v>0.34</v>
      </c>
      <c r="F1376" s="45">
        <f>VLOOKUP(B1376,'112年全品項生產鍋數'!A:H,7,0)</f>
        <v>364.6</v>
      </c>
      <c r="G1376" s="49">
        <f t="shared" si="162"/>
        <v>13125.6</v>
      </c>
      <c r="H1376" s="158">
        <v>12923</v>
      </c>
      <c r="I1376" s="23">
        <f t="shared" si="163"/>
        <v>4393.8200000000006</v>
      </c>
      <c r="J1376" s="100">
        <f t="shared" si="164"/>
        <v>0.98456451514597421</v>
      </c>
      <c r="K1376" s="51">
        <f>VLOOKUP(B:B,'生產達成率(目標)'!A:C,3,0)</f>
        <v>1</v>
      </c>
      <c r="L1376" s="20">
        <f t="shared" si="165"/>
        <v>-1.4999999999999999E-2</v>
      </c>
      <c r="M1376" s="137" t="str">
        <f>工時!R560</f>
        <v>600</v>
      </c>
      <c r="N1376" s="144"/>
      <c r="O1376" s="144">
        <f t="shared" si="166"/>
        <v>3</v>
      </c>
      <c r="P1376" s="156">
        <v>12920</v>
      </c>
      <c r="Q1376" s="98">
        <f t="shared" si="167"/>
        <v>0.99976785576104621</v>
      </c>
      <c r="R1376" s="23"/>
      <c r="S1376" s="173"/>
      <c r="T1376" s="30"/>
    </row>
    <row r="1377" spans="1:30" s="146" customFormat="1" x14ac:dyDescent="0.4">
      <c r="A1377" s="182">
        <v>45733</v>
      </c>
      <c r="B1377" s="139" t="s">
        <v>488</v>
      </c>
      <c r="C1377" s="140" t="str">
        <f>VLOOKUP(B1377,'112年全品項生產鍋數'!A:H,2,0)</f>
        <v>文旦絲(1*1KG/包)</v>
      </c>
      <c r="D1377" s="290">
        <v>1</v>
      </c>
      <c r="E1377" s="141">
        <f>VLOOKUP(B1377,'112年全品項生產鍋數'!A:H,3,0)</f>
        <v>1</v>
      </c>
      <c r="F1377" s="142">
        <f>VLOOKUP(B1377,'112年全品項生產鍋數'!A:H,7,0)</f>
        <v>670</v>
      </c>
      <c r="G1377" s="143">
        <f t="shared" si="162"/>
        <v>670</v>
      </c>
      <c r="H1377" s="158">
        <v>393</v>
      </c>
      <c r="I1377" s="144">
        <f t="shared" si="163"/>
        <v>393</v>
      </c>
      <c r="J1377" s="100">
        <f t="shared" si="164"/>
        <v>0.58656716417910448</v>
      </c>
      <c r="K1377" s="51">
        <f>VLOOKUP(B:B,'生產達成率(目標)'!A:C,3,0)</f>
        <v>1</v>
      </c>
      <c r="L1377" s="20">
        <f t="shared" si="165"/>
        <v>-0.41299999999999998</v>
      </c>
      <c r="M1377" s="137" t="str">
        <f>工時!R561</f>
        <v>0</v>
      </c>
      <c r="N1377" s="144"/>
      <c r="O1377" s="144">
        <f t="shared" si="166"/>
        <v>1</v>
      </c>
      <c r="P1377" s="156">
        <v>392</v>
      </c>
      <c r="Q1377" s="145">
        <f t="shared" si="167"/>
        <v>0.99745547073791352</v>
      </c>
      <c r="R1377" s="144"/>
      <c r="S1377" s="153"/>
      <c r="T1377" s="140"/>
      <c r="V1377" s="381"/>
      <c r="W1377" s="421"/>
      <c r="X1377" s="381"/>
      <c r="Y1377" s="421"/>
      <c r="Z1377" s="421"/>
      <c r="AA1377" s="421"/>
      <c r="AB1377" s="421"/>
      <c r="AC1377" s="421"/>
      <c r="AD1377" s="421"/>
    </row>
    <row r="1378" spans="1:30" s="146" customFormat="1" x14ac:dyDescent="0.4">
      <c r="A1378" s="182">
        <v>45733</v>
      </c>
      <c r="B1378" s="139">
        <v>153010</v>
      </c>
      <c r="C1378" s="140" t="str">
        <f>VLOOKUP(B1378,'112年全品項生產鍋數'!A:H,2,0)</f>
        <v>蜜桔皮6m/m</v>
      </c>
      <c r="D1378" s="290">
        <v>1</v>
      </c>
      <c r="E1378" s="141">
        <f>VLOOKUP(B1378,'112年全品項生產鍋數'!A:H,3,0)</f>
        <v>1</v>
      </c>
      <c r="F1378" s="142">
        <f>VLOOKUP(B1378,'112年全品項生產鍋數'!A:H,7,0)</f>
        <v>591</v>
      </c>
      <c r="G1378" s="143">
        <f t="shared" ref="G1378" si="168">D1378*F1378</f>
        <v>591</v>
      </c>
      <c r="H1378" s="158">
        <v>589</v>
      </c>
      <c r="I1378" s="144">
        <f t="shared" ref="I1378" si="169">H1378*E1378</f>
        <v>589</v>
      </c>
      <c r="J1378" s="100">
        <f t="shared" ref="J1378" si="170">IF(G1378=0,"無法預估數據",H1378/G1378)</f>
        <v>0.99661590524534682</v>
      </c>
      <c r="K1378" s="51">
        <f>VLOOKUP(B:B,'生產達成率(目標)'!A:C,3,0)</f>
        <v>1</v>
      </c>
      <c r="L1378" s="20">
        <f t="shared" ref="L1378" si="171">IF(G1378=0,"無法預估數據",ROUND(J1378-K1378,3))</f>
        <v>-3.0000000000000001E-3</v>
      </c>
      <c r="M1378" s="153">
        <v>0</v>
      </c>
      <c r="N1378" s="144"/>
      <c r="O1378" s="144">
        <f t="shared" ref="O1378" si="172">H1378-N1378-P1378</f>
        <v>0</v>
      </c>
      <c r="P1378" s="156">
        <v>589</v>
      </c>
      <c r="Q1378" s="145">
        <f t="shared" ref="Q1378" si="173">P1378/H1378</f>
        <v>1</v>
      </c>
      <c r="R1378" s="144"/>
      <c r="S1378" s="153"/>
      <c r="T1378" s="140"/>
      <c r="V1378" s="381"/>
      <c r="W1378" s="421"/>
      <c r="X1378" s="381"/>
      <c r="Y1378" s="421"/>
      <c r="Z1378" s="421"/>
      <c r="AA1378" s="421"/>
      <c r="AB1378" s="421"/>
      <c r="AC1378" s="421"/>
      <c r="AD1378" s="421"/>
    </row>
    <row r="1379" spans="1:30" x14ac:dyDescent="0.4">
      <c r="A1379" s="181">
        <v>45734</v>
      </c>
      <c r="B1379" s="139" t="s">
        <v>54</v>
      </c>
      <c r="C1379" s="30" t="str">
        <f>VLOOKUP(B1379,'112年全品項生產鍋數'!A:H,2,0)</f>
        <v>草莓醬(1*6kg)</v>
      </c>
      <c r="D1379" s="290">
        <v>28</v>
      </c>
      <c r="E1379" s="48">
        <f>VLOOKUP(B1379,'112年全品項生產鍋數'!A:H,3,0)</f>
        <v>6</v>
      </c>
      <c r="F1379" s="45">
        <f>VLOOKUP(B1379,'112年全品項生產鍋數'!A:H,7,0)</f>
        <v>26.6</v>
      </c>
      <c r="G1379" s="49">
        <f t="shared" si="162"/>
        <v>744.80000000000007</v>
      </c>
      <c r="H1379" s="158">
        <v>732</v>
      </c>
      <c r="I1379" s="23">
        <f t="shared" si="163"/>
        <v>4392</v>
      </c>
      <c r="J1379" s="100">
        <f t="shared" si="164"/>
        <v>0.98281417830289997</v>
      </c>
      <c r="K1379" s="51">
        <f>VLOOKUP(B:B,'生產達成率(目標)'!A:C,3,0)</f>
        <v>1</v>
      </c>
      <c r="L1379" s="20">
        <f t="shared" si="165"/>
        <v>-1.7000000000000001E-2</v>
      </c>
      <c r="M1379" s="137" t="str">
        <f>工時!R562</f>
        <v>405</v>
      </c>
      <c r="N1379" s="144"/>
      <c r="O1379" s="144">
        <f t="shared" si="166"/>
        <v>6</v>
      </c>
      <c r="P1379" s="156">
        <v>726</v>
      </c>
      <c r="Q1379" s="98">
        <f t="shared" si="167"/>
        <v>0.99180327868852458</v>
      </c>
      <c r="R1379" s="23"/>
      <c r="S1379" s="173"/>
      <c r="T1379" s="30"/>
    </row>
    <row r="1380" spans="1:30" x14ac:dyDescent="0.4">
      <c r="A1380" s="181">
        <v>45734</v>
      </c>
      <c r="B1380" s="139" t="s">
        <v>538</v>
      </c>
      <c r="C1380" s="30" t="str">
        <f>VLOOKUP(B1380,'112年全品項生產鍋數'!A:H,2,0)</f>
        <v>蜂蜜蘋果醬(1*6KG)</v>
      </c>
      <c r="D1380" s="290">
        <v>6</v>
      </c>
      <c r="E1380" s="48">
        <f>VLOOKUP(B1380,'112年全品項生產鍋數'!A:H,3,0)</f>
        <v>6</v>
      </c>
      <c r="F1380" s="45">
        <f>VLOOKUP(B1380,'112年全品項生產鍋數'!A:H,7,0)</f>
        <v>25.2</v>
      </c>
      <c r="G1380" s="49">
        <f t="shared" si="162"/>
        <v>151.19999999999999</v>
      </c>
      <c r="H1380" s="158">
        <v>150</v>
      </c>
      <c r="I1380" s="23">
        <f t="shared" si="163"/>
        <v>900</v>
      </c>
      <c r="J1380" s="100">
        <f t="shared" si="164"/>
        <v>0.99206349206349209</v>
      </c>
      <c r="K1380" s="51">
        <f>VLOOKUP(B:B,'生產達成率(目標)'!A:C,3,0)</f>
        <v>1</v>
      </c>
      <c r="L1380" s="20">
        <f t="shared" si="165"/>
        <v>-8.0000000000000002E-3</v>
      </c>
      <c r="M1380" s="137" t="str">
        <f>工時!R563</f>
        <v>170</v>
      </c>
      <c r="N1380" s="144"/>
      <c r="O1380" s="144">
        <f t="shared" si="166"/>
        <v>1</v>
      </c>
      <c r="P1380" s="156">
        <v>149</v>
      </c>
      <c r="Q1380" s="98">
        <f t="shared" si="167"/>
        <v>0.99333333333333329</v>
      </c>
      <c r="R1380" s="23"/>
      <c r="S1380" s="173"/>
      <c r="T1380" s="30"/>
    </row>
    <row r="1381" spans="1:30" x14ac:dyDescent="0.4">
      <c r="A1381" s="181">
        <v>45734</v>
      </c>
      <c r="B1381" s="139" t="s">
        <v>115</v>
      </c>
      <c r="C1381" s="30" t="str">
        <f>VLOOKUP(B1381,'112年全品項生產鍋數'!A:H,2,0)</f>
        <v>天天開心藍莓餡4.5KG</v>
      </c>
      <c r="D1381" s="290">
        <v>16</v>
      </c>
      <c r="E1381" s="48">
        <f>VLOOKUP(B1381,'112年全品項生產鍋數'!A:H,3,0)</f>
        <v>4.5</v>
      </c>
      <c r="F1381" s="45">
        <f>VLOOKUP(B1381,'112年全品項生產鍋數'!A:H,7,0)</f>
        <v>36.799999999999997</v>
      </c>
      <c r="G1381" s="49">
        <f t="shared" si="162"/>
        <v>588.79999999999995</v>
      </c>
      <c r="H1381" s="158">
        <v>583</v>
      </c>
      <c r="I1381" s="23">
        <f t="shared" si="163"/>
        <v>2623.5</v>
      </c>
      <c r="J1381" s="100">
        <f t="shared" si="164"/>
        <v>0.99014945652173925</v>
      </c>
      <c r="K1381" s="51">
        <f>VLOOKUP(B:B,'生產達成率(目標)'!A:C,3,0)</f>
        <v>1</v>
      </c>
      <c r="L1381" s="20">
        <f t="shared" si="165"/>
        <v>-0.01</v>
      </c>
      <c r="M1381" s="137" t="str">
        <f>工時!R564</f>
        <v>330</v>
      </c>
      <c r="N1381" s="144"/>
      <c r="O1381" s="144">
        <f t="shared" si="166"/>
        <v>0</v>
      </c>
      <c r="P1381" s="156">
        <v>583</v>
      </c>
      <c r="Q1381" s="98">
        <f t="shared" si="167"/>
        <v>1</v>
      </c>
      <c r="R1381" s="23"/>
      <c r="S1381" s="173"/>
      <c r="T1381" s="30"/>
    </row>
    <row r="1382" spans="1:30" x14ac:dyDescent="0.4">
      <c r="A1382" s="181">
        <v>45734</v>
      </c>
      <c r="B1382" s="139" t="s">
        <v>470</v>
      </c>
      <c r="C1382" s="30" t="str">
        <f>VLOOKUP(B1382,'112年全品項生產鍋數'!A:H,2,0)</f>
        <v>藍莓餡（小）(1*4.5kg)</v>
      </c>
      <c r="D1382" s="290">
        <v>4</v>
      </c>
      <c r="E1382" s="48">
        <f>VLOOKUP(B1382,'112年全品項生產鍋數'!A:H,3,0)</f>
        <v>4.5</v>
      </c>
      <c r="F1382" s="45">
        <f>VLOOKUP(B1382,'112年全品項生產鍋數'!A:H,7,0)</f>
        <v>35</v>
      </c>
      <c r="G1382" s="49">
        <f t="shared" si="162"/>
        <v>140</v>
      </c>
      <c r="H1382" s="158">
        <v>144</v>
      </c>
      <c r="I1382" s="23">
        <f t="shared" si="163"/>
        <v>648</v>
      </c>
      <c r="J1382" s="100">
        <f t="shared" si="164"/>
        <v>1.0285714285714285</v>
      </c>
      <c r="K1382" s="51">
        <f>VLOOKUP(B:B,'生產達成率(目標)'!A:C,3,0)</f>
        <v>1</v>
      </c>
      <c r="L1382" s="20">
        <f t="shared" si="165"/>
        <v>2.9000000000000001E-2</v>
      </c>
      <c r="M1382" s="137" t="str">
        <f>工時!R565</f>
        <v>100</v>
      </c>
      <c r="N1382" s="144"/>
      <c r="O1382" s="144">
        <f t="shared" si="166"/>
        <v>0</v>
      </c>
      <c r="P1382" s="156">
        <v>144</v>
      </c>
      <c r="Q1382" s="98">
        <f t="shared" si="167"/>
        <v>1</v>
      </c>
      <c r="R1382" s="23"/>
      <c r="S1382" s="173"/>
      <c r="T1382" s="30"/>
    </row>
    <row r="1383" spans="1:30" x14ac:dyDescent="0.4">
      <c r="A1383" s="181">
        <v>45734</v>
      </c>
      <c r="B1383" s="139" t="s">
        <v>116</v>
      </c>
      <c r="C1383" s="30" t="str">
        <f>VLOOKUP(B1383,'112年全品項生產鍋數'!A:H,2,0)</f>
        <v>藍莓餡（大）(1*9.08kg)</v>
      </c>
      <c r="D1383" s="290">
        <v>8</v>
      </c>
      <c r="E1383" s="48">
        <f>VLOOKUP(B1383,'112年全品項生產鍋數'!A:H,3,0)</f>
        <v>9.08</v>
      </c>
      <c r="F1383" s="45">
        <f>VLOOKUP(B1383,'112年全品項生產鍋數'!A:H,7,0)</f>
        <v>17.8</v>
      </c>
      <c r="G1383" s="49">
        <f t="shared" si="162"/>
        <v>142.4</v>
      </c>
      <c r="H1383" s="158">
        <v>147</v>
      </c>
      <c r="I1383" s="23">
        <f t="shared" si="163"/>
        <v>1334.76</v>
      </c>
      <c r="J1383" s="100">
        <f t="shared" si="164"/>
        <v>1.0323033707865168</v>
      </c>
      <c r="K1383" s="51">
        <f>VLOOKUP(B:B,'生產達成率(目標)'!A:C,3,0)</f>
        <v>1</v>
      </c>
      <c r="L1383" s="20">
        <f t="shared" si="165"/>
        <v>3.2000000000000001E-2</v>
      </c>
      <c r="M1383" s="137" t="str">
        <f>工時!R566</f>
        <v>140</v>
      </c>
      <c r="N1383" s="144"/>
      <c r="O1383" s="144">
        <f t="shared" si="166"/>
        <v>0</v>
      </c>
      <c r="P1383" s="156">
        <v>147</v>
      </c>
      <c r="Q1383" s="98">
        <f t="shared" si="167"/>
        <v>1</v>
      </c>
      <c r="R1383" s="23"/>
      <c r="S1383" s="173"/>
      <c r="T1383" s="30"/>
    </row>
    <row r="1384" spans="1:30" x14ac:dyDescent="0.4">
      <c r="A1384" s="181">
        <v>45734</v>
      </c>
      <c r="B1384" s="139" t="s">
        <v>611</v>
      </c>
      <c r="C1384" s="30" t="str">
        <f>VLOOKUP(B1384,'112年全品項生產鍋數'!A:H,2,0)</f>
        <v>藍莓餡（大）(1*9.08kg)</v>
      </c>
      <c r="D1384" s="290">
        <v>6</v>
      </c>
      <c r="E1384" s="48">
        <f>VLOOKUP(B1384,'112年全品項生產鍋數'!A:H,3,0)</f>
        <v>9.08</v>
      </c>
      <c r="F1384" s="45">
        <f>VLOOKUP(B1384,'112年全品項生產鍋數'!A:H,7,0)</f>
        <v>17.399999999999999</v>
      </c>
      <c r="G1384" s="49">
        <f t="shared" si="162"/>
        <v>104.39999999999999</v>
      </c>
      <c r="H1384" s="158">
        <v>111</v>
      </c>
      <c r="I1384" s="23">
        <f t="shared" si="163"/>
        <v>1007.88</v>
      </c>
      <c r="J1384" s="100">
        <f t="shared" si="164"/>
        <v>1.0632183908045978</v>
      </c>
      <c r="K1384" s="51">
        <f>VLOOKUP(B:B,'生產達成率(目標)'!A:C,3,0)</f>
        <v>1</v>
      </c>
      <c r="L1384" s="20">
        <f t="shared" si="165"/>
        <v>6.3E-2</v>
      </c>
      <c r="M1384" s="137" t="str">
        <f>工時!R567</f>
        <v>157</v>
      </c>
      <c r="N1384" s="144"/>
      <c r="O1384" s="144">
        <f t="shared" si="166"/>
        <v>0</v>
      </c>
      <c r="P1384" s="156">
        <v>111</v>
      </c>
      <c r="Q1384" s="98">
        <f t="shared" si="167"/>
        <v>1</v>
      </c>
      <c r="R1384" s="23"/>
      <c r="S1384" s="173"/>
      <c r="T1384" s="30"/>
    </row>
    <row r="1385" spans="1:30" x14ac:dyDescent="0.4">
      <c r="A1385" s="181">
        <v>45734</v>
      </c>
      <c r="B1385" s="139" t="s">
        <v>104</v>
      </c>
      <c r="C1385" s="30" t="str">
        <f>VLOOKUP(B1385,'112年全品項生產鍋數'!A:H,2,0)</f>
        <v>＃1花生(粒)(1*2.8kg)</v>
      </c>
      <c r="D1385" s="290">
        <v>56</v>
      </c>
      <c r="E1385" s="48">
        <f>VLOOKUP(B1385,'112年全品項生產鍋數'!A:H,3,0)</f>
        <v>2.8</v>
      </c>
      <c r="F1385" s="45">
        <f>VLOOKUP(B1385,'112年全品項生產鍋數'!A:H,7,0)</f>
        <v>44.2</v>
      </c>
      <c r="G1385" s="49">
        <f t="shared" si="162"/>
        <v>2475.2000000000003</v>
      </c>
      <c r="H1385" s="158">
        <v>2456</v>
      </c>
      <c r="I1385" s="23">
        <f t="shared" si="163"/>
        <v>6876.7999999999993</v>
      </c>
      <c r="J1385" s="100">
        <f t="shared" si="164"/>
        <v>0.99224305106658039</v>
      </c>
      <c r="K1385" s="51">
        <f>VLOOKUP(B:B,'生產達成率(目標)'!A:C,3,0)</f>
        <v>1</v>
      </c>
      <c r="L1385" s="20">
        <f t="shared" si="165"/>
        <v>-8.0000000000000002E-3</v>
      </c>
      <c r="M1385" s="137" t="str">
        <f>工時!R568</f>
        <v>480</v>
      </c>
      <c r="N1385" s="144"/>
      <c r="O1385" s="144">
        <f t="shared" si="166"/>
        <v>1</v>
      </c>
      <c r="P1385" s="156">
        <v>2455</v>
      </c>
      <c r="Q1385" s="98">
        <f t="shared" si="167"/>
        <v>0.99959283387622155</v>
      </c>
      <c r="R1385" s="23"/>
      <c r="S1385" s="173"/>
      <c r="T1385" s="30"/>
    </row>
    <row r="1386" spans="1:30" x14ac:dyDescent="0.4">
      <c r="A1386" s="181">
        <v>45735</v>
      </c>
      <c r="B1386" s="139" t="s">
        <v>72</v>
      </c>
      <c r="C1386" s="30" t="str">
        <f>VLOOKUP(B1386,'112年全品項生產鍋數'!A:H,2,0)</f>
        <v>草莓餡45%(1*6Kg)</v>
      </c>
      <c r="D1386" s="290">
        <v>20</v>
      </c>
      <c r="E1386" s="48">
        <f>VLOOKUP(B1386,'112年全品項生產鍋數'!A:H,3,0)</f>
        <v>6</v>
      </c>
      <c r="F1386" s="45">
        <f>VLOOKUP(B1386,'112年全品項生產鍋數'!A:H,7,0)</f>
        <v>26.1</v>
      </c>
      <c r="G1386" s="49">
        <f t="shared" si="162"/>
        <v>522</v>
      </c>
      <c r="H1386" s="158">
        <v>526</v>
      </c>
      <c r="I1386" s="23">
        <f t="shared" si="163"/>
        <v>3156</v>
      </c>
      <c r="J1386" s="100">
        <f t="shared" si="164"/>
        <v>1.0076628352490422</v>
      </c>
      <c r="K1386" s="51">
        <f>VLOOKUP(B:B,'生產達成率(目標)'!A:C,3,0)</f>
        <v>1</v>
      </c>
      <c r="L1386" s="20">
        <f t="shared" si="165"/>
        <v>8.0000000000000002E-3</v>
      </c>
      <c r="M1386" s="137" t="str">
        <f>工時!R570</f>
        <v>330</v>
      </c>
      <c r="N1386" s="144"/>
      <c r="O1386" s="144">
        <f t="shared" si="166"/>
        <v>2</v>
      </c>
      <c r="P1386" s="156">
        <v>524</v>
      </c>
      <c r="Q1386" s="98">
        <f t="shared" si="167"/>
        <v>0.99619771863117867</v>
      </c>
      <c r="R1386" s="23"/>
      <c r="S1386" s="173"/>
      <c r="T1386" s="30"/>
    </row>
    <row r="1387" spans="1:30" x14ac:dyDescent="0.4">
      <c r="A1387" s="181">
        <v>45735</v>
      </c>
      <c r="B1387" s="139" t="s">
        <v>64</v>
      </c>
      <c r="C1387" s="30" t="str">
        <f>VLOOKUP(B1387,'112年全品項生產鍋數'!A:H,2,0)</f>
        <v>藍莓餡(1*6KG)</v>
      </c>
      <c r="D1387" s="290">
        <v>20</v>
      </c>
      <c r="E1387" s="48">
        <f>VLOOKUP(B1387,'112年全品項生產鍋數'!A:H,3,0)</f>
        <v>6</v>
      </c>
      <c r="F1387" s="45">
        <f>VLOOKUP(B1387,'112年全品項生產鍋數'!A:H,7,0)</f>
        <v>25.4</v>
      </c>
      <c r="G1387" s="49">
        <f t="shared" si="162"/>
        <v>508</v>
      </c>
      <c r="H1387" s="158">
        <f>283+207</f>
        <v>490</v>
      </c>
      <c r="I1387" s="23">
        <f t="shared" si="163"/>
        <v>2940</v>
      </c>
      <c r="J1387" s="100">
        <f t="shared" si="164"/>
        <v>0.96456692913385822</v>
      </c>
      <c r="K1387" s="51">
        <f>VLOOKUP(B:B,'生產達成率(目標)'!A:C,3,0)</f>
        <v>1</v>
      </c>
      <c r="L1387" s="20">
        <f t="shared" si="165"/>
        <v>-3.5000000000000003E-2</v>
      </c>
      <c r="M1387" s="137" t="str">
        <f>工時!R571</f>
        <v>280</v>
      </c>
      <c r="N1387" s="144"/>
      <c r="O1387" s="144">
        <f t="shared" si="166"/>
        <v>1</v>
      </c>
      <c r="P1387" s="156">
        <f>282+207</f>
        <v>489</v>
      </c>
      <c r="Q1387" s="98">
        <f t="shared" si="167"/>
        <v>0.99795918367346936</v>
      </c>
      <c r="R1387" s="23"/>
      <c r="S1387" s="173"/>
      <c r="T1387" s="30"/>
    </row>
    <row r="1388" spans="1:30" x14ac:dyDescent="0.4">
      <c r="A1388" s="181">
        <v>45735</v>
      </c>
      <c r="B1388" s="139" t="s">
        <v>110</v>
      </c>
      <c r="C1388" s="30" t="str">
        <f>VLOOKUP(B1388,'112年全品項生產鍋數'!A:H,2,0)</f>
        <v>顆粒花生醬(1*12KG)</v>
      </c>
      <c r="D1388" s="290">
        <v>21</v>
      </c>
      <c r="E1388" s="48">
        <f>VLOOKUP(B1388,'112年全品項生產鍋數'!A:H,3,0)</f>
        <v>3</v>
      </c>
      <c r="F1388" s="45">
        <f>VLOOKUP(B1388,'112年全品項生產鍋數'!A:H,7,0)</f>
        <v>30.8</v>
      </c>
      <c r="G1388" s="49">
        <f t="shared" si="162"/>
        <v>646.80000000000007</v>
      </c>
      <c r="H1388" s="158">
        <v>648</v>
      </c>
      <c r="I1388" s="23">
        <f t="shared" si="163"/>
        <v>1944</v>
      </c>
      <c r="J1388" s="100">
        <f t="shared" si="164"/>
        <v>1.0018552875695732</v>
      </c>
      <c r="K1388" s="51">
        <f>VLOOKUP(B:B,'生產達成率(目標)'!A:C,3,0)</f>
        <v>1</v>
      </c>
      <c r="L1388" s="20">
        <f t="shared" si="165"/>
        <v>2E-3</v>
      </c>
      <c r="M1388" s="137" t="str">
        <f>工時!R572</f>
        <v>540</v>
      </c>
      <c r="N1388" s="144"/>
      <c r="O1388" s="144">
        <f t="shared" si="166"/>
        <v>0</v>
      </c>
      <c r="P1388" s="156">
        <v>648</v>
      </c>
      <c r="Q1388" s="98">
        <f t="shared" si="167"/>
        <v>1</v>
      </c>
      <c r="R1388" s="23"/>
      <c r="S1388" s="173"/>
      <c r="T1388" s="30"/>
    </row>
    <row r="1389" spans="1:30" x14ac:dyDescent="0.4">
      <c r="A1389" s="181">
        <v>45735</v>
      </c>
      <c r="B1389" s="139" t="s">
        <v>83</v>
      </c>
      <c r="C1389" s="30" t="str">
        <f>VLOOKUP(B1389,'112年全品項生產鍋數'!A:H,2,0)</f>
        <v>PET瓶花生(粒)(1*340g)</v>
      </c>
      <c r="D1389" s="290">
        <v>20</v>
      </c>
      <c r="E1389" s="48">
        <f>VLOOKUP(B1389,'112年全品項生產鍋數'!A:H,3,0)</f>
        <v>0.34</v>
      </c>
      <c r="F1389" s="45">
        <f>VLOOKUP(B1389,'112年全品項生產鍋數'!A:H,7,0)</f>
        <v>366</v>
      </c>
      <c r="G1389" s="49">
        <f t="shared" si="162"/>
        <v>7320</v>
      </c>
      <c r="H1389" s="158">
        <f>4727+2402</f>
        <v>7129</v>
      </c>
      <c r="I1389" s="23">
        <f t="shared" si="163"/>
        <v>2423.86</v>
      </c>
      <c r="J1389" s="100">
        <f t="shared" si="164"/>
        <v>0.97390710382513657</v>
      </c>
      <c r="K1389" s="51">
        <f>VLOOKUP(B:B,'生產達成率(目標)'!A:C,3,0)</f>
        <v>1</v>
      </c>
      <c r="L1389" s="20">
        <f t="shared" si="165"/>
        <v>-2.5999999999999999E-2</v>
      </c>
      <c r="M1389" s="137" t="str">
        <f>工時!R573</f>
        <v>420</v>
      </c>
      <c r="N1389" s="144"/>
      <c r="O1389" s="186">
        <f t="shared" si="166"/>
        <v>5</v>
      </c>
      <c r="P1389" s="156">
        <f>2400+4724</f>
        <v>7124</v>
      </c>
      <c r="Q1389" s="98">
        <f t="shared" si="167"/>
        <v>0.99929863936035912</v>
      </c>
      <c r="R1389" s="23"/>
      <c r="S1389" s="173"/>
      <c r="T1389" s="30" t="s">
        <v>967</v>
      </c>
    </row>
    <row r="1390" spans="1:30" x14ac:dyDescent="0.4">
      <c r="A1390" s="181">
        <v>45735</v>
      </c>
      <c r="B1390" s="139" t="s">
        <v>96</v>
      </c>
      <c r="C1390" s="30" t="str">
        <f>VLOOKUP(B1390,'112年全品項生產鍋數'!A:H,2,0)</f>
        <v>PET瓶花生(1*340g)</v>
      </c>
      <c r="D1390" s="290">
        <v>16</v>
      </c>
      <c r="E1390" s="48">
        <f>VLOOKUP(B1390,'112年全品項生產鍋數'!A:H,3,0)</f>
        <v>0.34</v>
      </c>
      <c r="F1390" s="45">
        <f>VLOOKUP(B1390,'112年全品項生產鍋數'!A:H,7,0)</f>
        <v>358.3</v>
      </c>
      <c r="G1390" s="49">
        <f t="shared" si="162"/>
        <v>5732.8</v>
      </c>
      <c r="H1390" s="158">
        <f>2101+3602</f>
        <v>5703</v>
      </c>
      <c r="I1390" s="23">
        <f t="shared" si="163"/>
        <v>1939.0200000000002</v>
      </c>
      <c r="J1390" s="100">
        <f t="shared" si="164"/>
        <v>0.99480184203181687</v>
      </c>
      <c r="K1390" s="51">
        <f>VLOOKUP(B:B,'生產達成率(目標)'!A:C,3,0)</f>
        <v>1</v>
      </c>
      <c r="L1390" s="20">
        <f t="shared" si="165"/>
        <v>-5.0000000000000001E-3</v>
      </c>
      <c r="M1390" s="137" t="str">
        <f>工時!R574</f>
        <v>540</v>
      </c>
      <c r="N1390" s="144"/>
      <c r="O1390" s="186">
        <f t="shared" si="166"/>
        <v>5</v>
      </c>
      <c r="P1390" s="156">
        <f>3600+2098</f>
        <v>5698</v>
      </c>
      <c r="Q1390" s="98">
        <f t="shared" si="167"/>
        <v>0.99912326845519905</v>
      </c>
      <c r="R1390" s="23"/>
      <c r="S1390" s="173"/>
      <c r="T1390" s="30" t="s">
        <v>968</v>
      </c>
    </row>
    <row r="1391" spans="1:30" s="146" customFormat="1" x14ac:dyDescent="0.4">
      <c r="A1391" s="182">
        <v>45736</v>
      </c>
      <c r="B1391" s="139" t="s">
        <v>61</v>
      </c>
      <c r="C1391" s="140" t="str">
        <f>VLOOKUP(B1391,'112年全品項生產鍋數'!A:H,2,0)</f>
        <v>大圓草莓-新</v>
      </c>
      <c r="D1391" s="290">
        <v>40</v>
      </c>
      <c r="E1391" s="141">
        <f>VLOOKUP(B1391,'112年全品項生產鍋數'!A:H,3,0)</f>
        <v>0.44</v>
      </c>
      <c r="F1391" s="142">
        <f>VLOOKUP(B1391,'112年全品項生產鍋數'!A:H,7,0)</f>
        <v>344</v>
      </c>
      <c r="G1391" s="143">
        <f t="shared" si="162"/>
        <v>13760</v>
      </c>
      <c r="H1391" s="158">
        <v>13764</v>
      </c>
      <c r="I1391" s="144">
        <f t="shared" si="163"/>
        <v>6056.16</v>
      </c>
      <c r="J1391" s="100">
        <f t="shared" si="164"/>
        <v>1.0002906976744186</v>
      </c>
      <c r="K1391" s="51">
        <f>VLOOKUP(B:B,'生產達成率(目標)'!A:C,3,0)</f>
        <v>1</v>
      </c>
      <c r="L1391" s="20">
        <f t="shared" si="165"/>
        <v>0</v>
      </c>
      <c r="M1391" s="137" t="str">
        <f>工時!R575</f>
        <v>540</v>
      </c>
      <c r="N1391" s="144"/>
      <c r="O1391" s="186">
        <f t="shared" si="166"/>
        <v>5</v>
      </c>
      <c r="P1391" s="156">
        <v>13759</v>
      </c>
      <c r="Q1391" s="145">
        <f t="shared" si="167"/>
        <v>0.99963673350770121</v>
      </c>
      <c r="R1391" s="144"/>
      <c r="S1391" s="153"/>
      <c r="T1391" s="140"/>
      <c r="V1391" s="381"/>
      <c r="W1391" s="421"/>
      <c r="X1391" s="381"/>
      <c r="Y1391" s="421"/>
      <c r="Z1391" s="421"/>
      <c r="AA1391" s="421"/>
      <c r="AB1391" s="421"/>
      <c r="AC1391" s="421"/>
      <c r="AD1391" s="421"/>
    </row>
    <row r="1392" spans="1:30" x14ac:dyDescent="0.4">
      <c r="A1392" s="181">
        <v>45736</v>
      </c>
      <c r="B1392" s="139" t="s">
        <v>63</v>
      </c>
      <c r="C1392" s="30" t="str">
        <f>VLOOKUP(B1392,'112年全品項生產鍋數'!A:H,2,0)</f>
        <v>草莓蒟蒻餡(1*6kg)</v>
      </c>
      <c r="D1392" s="290">
        <v>28</v>
      </c>
      <c r="E1392" s="48">
        <f>VLOOKUP(B1392,'112年全品項生產鍋數'!A:H,3,0)</f>
        <v>6</v>
      </c>
      <c r="F1392" s="45">
        <f>VLOOKUP(B1392,'112年全品項生產鍋數'!A:H,7,0)</f>
        <v>25.7</v>
      </c>
      <c r="G1392" s="49">
        <f t="shared" si="162"/>
        <v>719.6</v>
      </c>
      <c r="H1392" s="158">
        <f>412+324</f>
        <v>736</v>
      </c>
      <c r="I1392" s="23">
        <f t="shared" si="163"/>
        <v>4416</v>
      </c>
      <c r="J1392" s="100">
        <f t="shared" si="164"/>
        <v>1.0227904391328515</v>
      </c>
      <c r="K1392" s="51">
        <f>VLOOKUP(B:B,'生產達成率(目標)'!A:C,3,0)</f>
        <v>1</v>
      </c>
      <c r="L1392" s="20">
        <f t="shared" si="165"/>
        <v>2.3E-2</v>
      </c>
      <c r="M1392" s="137" t="str">
        <f>工時!R576</f>
        <v>400</v>
      </c>
      <c r="N1392" s="144"/>
      <c r="O1392" s="144">
        <f t="shared" si="166"/>
        <v>1</v>
      </c>
      <c r="P1392" s="156">
        <f>411+324</f>
        <v>735</v>
      </c>
      <c r="Q1392" s="98">
        <f t="shared" si="167"/>
        <v>0.99864130434782605</v>
      </c>
      <c r="R1392" s="23"/>
      <c r="S1392" s="173"/>
      <c r="T1392" s="30"/>
    </row>
    <row r="1393" spans="1:30" x14ac:dyDescent="0.4">
      <c r="A1393" s="181">
        <v>45736</v>
      </c>
      <c r="B1393" s="139" t="s">
        <v>547</v>
      </c>
      <c r="C1393" s="30" t="str">
        <f>VLOOKUP(B1393,'112年全品項生產鍋數'!A:H,2,0)</f>
        <v>草莓果醬(桶)(1*9.5KG)</v>
      </c>
      <c r="D1393" s="290">
        <v>12</v>
      </c>
      <c r="E1393" s="48">
        <f>VLOOKUP(B1393,'112年全品項生產鍋數'!A:H,3,0)</f>
        <v>9.5</v>
      </c>
      <c r="F1393" s="45">
        <f>VLOOKUP(B1393,'112年全品項生產鍋數'!A:H,7,0)</f>
        <v>16.600000000000001</v>
      </c>
      <c r="G1393" s="49">
        <f t="shared" si="162"/>
        <v>199.20000000000002</v>
      </c>
      <c r="H1393" s="158">
        <v>196</v>
      </c>
      <c r="I1393" s="23">
        <f t="shared" si="163"/>
        <v>1862</v>
      </c>
      <c r="J1393" s="100">
        <f t="shared" si="164"/>
        <v>0.98393574297188746</v>
      </c>
      <c r="K1393" s="51">
        <f>VLOOKUP(B:B,'生產達成率(目標)'!A:C,3,0)</f>
        <v>1</v>
      </c>
      <c r="L1393" s="20">
        <f t="shared" si="165"/>
        <v>-1.6E-2</v>
      </c>
      <c r="M1393" s="137" t="str">
        <f>工時!R577</f>
        <v>194</v>
      </c>
      <c r="N1393" s="144"/>
      <c r="O1393" s="144">
        <f t="shared" si="166"/>
        <v>0</v>
      </c>
      <c r="P1393" s="156">
        <v>196</v>
      </c>
      <c r="Q1393" s="98">
        <f t="shared" si="167"/>
        <v>1</v>
      </c>
      <c r="R1393" s="23"/>
      <c r="S1393" s="173"/>
      <c r="T1393" s="30"/>
    </row>
    <row r="1394" spans="1:30" x14ac:dyDescent="0.4">
      <c r="A1394" s="181">
        <v>45736</v>
      </c>
      <c r="B1394" s="139" t="s">
        <v>123</v>
      </c>
      <c r="C1394" s="30" t="str">
        <f>VLOOKUP(B1394,'112年全品項生產鍋數'!A:H,2,0)</f>
        <v>深烤焙花生醬(1*18KG)</v>
      </c>
      <c r="D1394" s="290">
        <v>40</v>
      </c>
      <c r="E1394" s="48">
        <f>VLOOKUP(B1394,'112年全品項生產鍋數'!A:H,3,0)</f>
        <v>18</v>
      </c>
      <c r="F1394" s="45">
        <f>VLOOKUP(B1394,'112年全品項生產鍋數'!A:H,7,0)</f>
        <v>6.9</v>
      </c>
      <c r="G1394" s="49">
        <f t="shared" si="162"/>
        <v>276</v>
      </c>
      <c r="H1394" s="158">
        <v>281</v>
      </c>
      <c r="I1394" s="23">
        <f t="shared" si="163"/>
        <v>5058</v>
      </c>
      <c r="J1394" s="100">
        <f t="shared" si="164"/>
        <v>1.0181159420289856</v>
      </c>
      <c r="K1394" s="51">
        <f>VLOOKUP(B:B,'生產達成率(目標)'!A:C,3,0)</f>
        <v>1</v>
      </c>
      <c r="L1394" s="20">
        <f t="shared" si="165"/>
        <v>1.7999999999999999E-2</v>
      </c>
      <c r="M1394" s="137" t="str">
        <f>工時!R578</f>
        <v>480</v>
      </c>
      <c r="N1394" s="144"/>
      <c r="O1394" s="144">
        <f t="shared" si="166"/>
        <v>0</v>
      </c>
      <c r="P1394" s="156">
        <v>281</v>
      </c>
      <c r="Q1394" s="98">
        <f t="shared" si="167"/>
        <v>1</v>
      </c>
      <c r="R1394" s="23"/>
      <c r="S1394" s="173"/>
      <c r="T1394" s="30"/>
    </row>
    <row r="1395" spans="1:30" x14ac:dyDescent="0.4">
      <c r="A1395" s="181">
        <v>45737</v>
      </c>
      <c r="B1395" s="139" t="s">
        <v>548</v>
      </c>
      <c r="C1395" s="30" t="str">
        <f>VLOOKUP(B1395,'112年全品項生產鍋數'!A:H,2,0)</f>
        <v>天天開心芒果餡4.5KG</v>
      </c>
      <c r="D1395" s="290">
        <v>8</v>
      </c>
      <c r="E1395" s="48">
        <f>VLOOKUP(B1395,'112年全品項生產鍋數'!A:H,3,0)</f>
        <v>4.5</v>
      </c>
      <c r="F1395" s="45">
        <f>VLOOKUP(B1395,'112年全品項生產鍋數'!A:H,7,0)</f>
        <v>33.200000000000003</v>
      </c>
      <c r="G1395" s="49">
        <f t="shared" ref="G1395:G1425" si="174">D1395*F1395</f>
        <v>265.60000000000002</v>
      </c>
      <c r="H1395" s="158">
        <v>261</v>
      </c>
      <c r="I1395" s="23">
        <f t="shared" ref="I1395:I1425" si="175">H1395*E1395</f>
        <v>1174.5</v>
      </c>
      <c r="J1395" s="100">
        <f t="shared" ref="J1395:J1425" si="176">IF(G1395=0,"無法預估數據",H1395/G1395)</f>
        <v>0.98268072289156616</v>
      </c>
      <c r="K1395" s="51">
        <f>VLOOKUP(B:B,'生產達成率(目標)'!A:C,3,0)</f>
        <v>1</v>
      </c>
      <c r="L1395" s="20">
        <f t="shared" ref="L1395:L1425" si="177">IF(G1395=0,"無法預估數據",ROUND(J1395-K1395,3))</f>
        <v>-1.7000000000000001E-2</v>
      </c>
      <c r="M1395" s="137" t="str">
        <f>工時!R579</f>
        <v>200</v>
      </c>
      <c r="N1395" s="144"/>
      <c r="O1395" s="144">
        <f t="shared" ref="O1395:O1425" si="178">H1395-N1395-P1395</f>
        <v>0</v>
      </c>
      <c r="P1395" s="156">
        <v>261</v>
      </c>
      <c r="Q1395" s="98">
        <f t="shared" ref="Q1395:Q1425" si="179">P1395/H1395</f>
        <v>1</v>
      </c>
      <c r="R1395" s="23"/>
      <c r="S1395" s="173"/>
      <c r="T1395" s="30"/>
    </row>
    <row r="1396" spans="1:30" x14ac:dyDescent="0.4">
      <c r="A1396" s="181">
        <v>45737</v>
      </c>
      <c r="B1396" s="139" t="s">
        <v>56</v>
      </c>
      <c r="C1396" s="30" t="str">
        <f>VLOOKUP(B1396,'112年全品項生產鍋數'!A:H,2,0)</f>
        <v>天天熱帶水果餡 4.5KG</v>
      </c>
      <c r="D1396" s="290">
        <v>12</v>
      </c>
      <c r="E1396" s="48">
        <f>VLOOKUP(B1396,'112年全品項生產鍋數'!A:H,3,0)</f>
        <v>4.5</v>
      </c>
      <c r="F1396" s="45">
        <f>VLOOKUP(B1396,'112年全品項生產鍋數'!A:H,7,0)</f>
        <v>34.5</v>
      </c>
      <c r="G1396" s="49">
        <f t="shared" si="174"/>
        <v>414</v>
      </c>
      <c r="H1396" s="158">
        <v>422</v>
      </c>
      <c r="I1396" s="23">
        <f t="shared" si="175"/>
        <v>1899</v>
      </c>
      <c r="J1396" s="100">
        <f t="shared" si="176"/>
        <v>1.0193236714975846</v>
      </c>
      <c r="K1396" s="51">
        <f>VLOOKUP(B:B,'生產達成率(目標)'!A:C,3,0)</f>
        <v>1</v>
      </c>
      <c r="L1396" s="20">
        <f t="shared" si="177"/>
        <v>1.9E-2</v>
      </c>
      <c r="M1396" s="137" t="str">
        <f>工時!R580</f>
        <v>170</v>
      </c>
      <c r="N1396" s="144"/>
      <c r="O1396" s="144">
        <f t="shared" si="178"/>
        <v>0</v>
      </c>
      <c r="P1396" s="156">
        <v>422</v>
      </c>
      <c r="Q1396" s="98">
        <f t="shared" si="179"/>
        <v>1</v>
      </c>
      <c r="R1396" s="23"/>
      <c r="S1396" s="173"/>
      <c r="T1396" s="30"/>
    </row>
    <row r="1397" spans="1:30" s="146" customFormat="1" x14ac:dyDescent="0.4">
      <c r="A1397" s="182">
        <v>45737</v>
      </c>
      <c r="B1397" s="139" t="s">
        <v>55</v>
      </c>
      <c r="C1397" s="140" t="str">
        <f>VLOOKUP(B1397,'112年全品項生產鍋數'!A:H,2,0)</f>
        <v>天天開心草莓餡4.5KG</v>
      </c>
      <c r="D1397" s="290">
        <v>20</v>
      </c>
      <c r="E1397" s="141">
        <f>VLOOKUP(B1397,'112年全品項生產鍋數'!A:H,3,0)</f>
        <v>4.5</v>
      </c>
      <c r="F1397" s="142">
        <f>VLOOKUP(B1397,'112年全品項生產鍋數'!A:H,7,0)</f>
        <v>36.299999999999997</v>
      </c>
      <c r="G1397" s="143">
        <f t="shared" si="174"/>
        <v>726</v>
      </c>
      <c r="H1397" s="158">
        <v>711</v>
      </c>
      <c r="I1397" s="144">
        <f t="shared" si="175"/>
        <v>3199.5</v>
      </c>
      <c r="J1397" s="100">
        <f t="shared" si="176"/>
        <v>0.97933884297520657</v>
      </c>
      <c r="K1397" s="51">
        <f>VLOOKUP(B:B,'生產達成率(目標)'!A:C,3,0)</f>
        <v>1</v>
      </c>
      <c r="L1397" s="20">
        <f t="shared" si="177"/>
        <v>-2.1000000000000001E-2</v>
      </c>
      <c r="M1397" s="137" t="str">
        <f>工時!R581</f>
        <v>320</v>
      </c>
      <c r="N1397" s="144"/>
      <c r="O1397" s="144">
        <f t="shared" si="178"/>
        <v>0</v>
      </c>
      <c r="P1397" s="156">
        <v>711</v>
      </c>
      <c r="Q1397" s="145">
        <f t="shared" si="179"/>
        <v>1</v>
      </c>
      <c r="R1397" s="144"/>
      <c r="S1397" s="153"/>
      <c r="T1397" s="140"/>
      <c r="V1397" s="381"/>
      <c r="W1397" s="421"/>
      <c r="X1397" s="381"/>
      <c r="Y1397" s="421"/>
      <c r="Z1397" s="421"/>
      <c r="AA1397" s="421"/>
      <c r="AB1397" s="421"/>
      <c r="AC1397" s="421"/>
      <c r="AD1397" s="421"/>
    </row>
    <row r="1398" spans="1:30" s="146" customFormat="1" x14ac:dyDescent="0.4">
      <c r="A1398" s="182">
        <v>45737</v>
      </c>
      <c r="B1398" s="139" t="s">
        <v>73</v>
      </c>
      <c r="C1398" s="140" t="str">
        <f>VLOOKUP(B1398,'112年全品項生產鍋數'!A:H,2,0)</f>
        <v>顆粒花生醬(1*12KG)</v>
      </c>
      <c r="D1398" s="290">
        <v>21</v>
      </c>
      <c r="E1398" s="141">
        <f>VLOOKUP(B1398,'112年全品項生產鍋數'!A:H,3,0)</f>
        <v>3</v>
      </c>
      <c r="F1398" s="142">
        <f>VLOOKUP(B1398,'112年全品項生產鍋數'!A:H,7,0)</f>
        <v>29.7</v>
      </c>
      <c r="G1398" s="143">
        <f t="shared" si="174"/>
        <v>623.69999999999993</v>
      </c>
      <c r="H1398" s="158">
        <v>628</v>
      </c>
      <c r="I1398" s="144">
        <f t="shared" si="175"/>
        <v>1884</v>
      </c>
      <c r="J1398" s="100">
        <f t="shared" si="176"/>
        <v>1.0068943402276738</v>
      </c>
      <c r="K1398" s="51">
        <f>VLOOKUP(B:B,'生產達成率(目標)'!A:C,3,0)</f>
        <v>1</v>
      </c>
      <c r="L1398" s="20">
        <f t="shared" si="177"/>
        <v>7.0000000000000001E-3</v>
      </c>
      <c r="M1398" s="137" t="str">
        <f>工時!R582</f>
        <v>540</v>
      </c>
      <c r="N1398" s="144"/>
      <c r="O1398" s="144">
        <f t="shared" si="178"/>
        <v>0</v>
      </c>
      <c r="P1398" s="156">
        <v>628</v>
      </c>
      <c r="Q1398" s="145">
        <f t="shared" si="179"/>
        <v>1</v>
      </c>
      <c r="R1398" s="144"/>
      <c r="S1398" s="153"/>
      <c r="T1398" s="140"/>
      <c r="V1398" s="381"/>
      <c r="W1398" s="421"/>
      <c r="X1398" s="381"/>
      <c r="Y1398" s="421"/>
      <c r="Z1398" s="421"/>
      <c r="AA1398" s="421"/>
      <c r="AB1398" s="421"/>
      <c r="AC1398" s="421"/>
      <c r="AD1398" s="421"/>
    </row>
    <row r="1399" spans="1:30" s="146" customFormat="1" x14ac:dyDescent="0.4">
      <c r="A1399" s="182">
        <v>45737</v>
      </c>
      <c r="B1399" s="139" t="s">
        <v>65</v>
      </c>
      <c r="C1399" s="140" t="str">
        <f>VLOOKUP(B1399,'112年全品項生產鍋數'!A:H,2,0)</f>
        <v>＃1花生(1*2.8kg)</v>
      </c>
      <c r="D1399" s="290">
        <v>56</v>
      </c>
      <c r="E1399" s="141">
        <f>VLOOKUP(B1399,'112年全品項生產鍋數'!A:H,3,0)</f>
        <v>2.8</v>
      </c>
      <c r="F1399" s="142">
        <f>VLOOKUP(B1399,'112年全品項生產鍋數'!A:H,7,0)</f>
        <v>44.5</v>
      </c>
      <c r="G1399" s="143">
        <f>D1399*F1399-18*30/E1399</f>
        <v>2299.1428571428573</v>
      </c>
      <c r="H1399" s="158">
        <f>2019+300</f>
        <v>2319</v>
      </c>
      <c r="I1399" s="144">
        <f t="shared" si="175"/>
        <v>6493.2</v>
      </c>
      <c r="J1399" s="100">
        <f t="shared" si="176"/>
        <v>1.0086367590406362</v>
      </c>
      <c r="K1399" s="51">
        <f>VLOOKUP(B:B,'生產達成率(目標)'!A:C,3,0)</f>
        <v>1</v>
      </c>
      <c r="L1399" s="20">
        <f t="shared" si="177"/>
        <v>8.9999999999999993E-3</v>
      </c>
      <c r="M1399" s="137" t="str">
        <f>工時!R583</f>
        <v>525</v>
      </c>
      <c r="N1399" s="144"/>
      <c r="O1399" s="144">
        <f t="shared" si="178"/>
        <v>1</v>
      </c>
      <c r="P1399" s="156">
        <f>2018+300</f>
        <v>2318</v>
      </c>
      <c r="Q1399" s="145">
        <f t="shared" si="179"/>
        <v>0.99956877964639934</v>
      </c>
      <c r="R1399" s="144"/>
      <c r="S1399" s="153"/>
      <c r="T1399" s="140" t="s">
        <v>969</v>
      </c>
      <c r="V1399" s="381"/>
      <c r="W1399" s="421"/>
      <c r="X1399" s="381"/>
      <c r="Y1399" s="421"/>
      <c r="Z1399" s="421"/>
      <c r="AA1399" s="421"/>
      <c r="AB1399" s="421"/>
      <c r="AC1399" s="421"/>
      <c r="AD1399" s="421"/>
    </row>
    <row r="1400" spans="1:30" s="146" customFormat="1" x14ac:dyDescent="0.4">
      <c r="A1400" s="182">
        <v>45740</v>
      </c>
      <c r="B1400" s="139" t="s">
        <v>472</v>
      </c>
      <c r="C1400" s="140" t="str">
        <f>VLOOKUP(B1400,'112年全品項生產鍋數'!A:H,2,0)</f>
        <v>藍莓果醬(1*210G)</v>
      </c>
      <c r="D1400" s="290">
        <v>4</v>
      </c>
      <c r="E1400" s="141">
        <f>VLOOKUP(B1400,'112年全品項生產鍋數'!A:H,3,0)</f>
        <v>0.21</v>
      </c>
      <c r="F1400" s="142">
        <f>VLOOKUP(B1400,'112年全品項生產鍋數'!A:H,7,0)</f>
        <v>698.4</v>
      </c>
      <c r="G1400" s="143">
        <f t="shared" si="174"/>
        <v>2793.6</v>
      </c>
      <c r="H1400" s="158">
        <v>2626</v>
      </c>
      <c r="I1400" s="144">
        <f t="shared" si="175"/>
        <v>551.46</v>
      </c>
      <c r="J1400" s="100">
        <f t="shared" si="176"/>
        <v>0.94000572737686139</v>
      </c>
      <c r="K1400" s="51">
        <f>VLOOKUP(B:B,'生產達成率(目標)'!A:C,3,0)</f>
        <v>1</v>
      </c>
      <c r="L1400" s="20">
        <f t="shared" si="177"/>
        <v>-0.06</v>
      </c>
      <c r="M1400" s="203" t="str">
        <f>工時!R584</f>
        <v>200</v>
      </c>
      <c r="N1400" s="144"/>
      <c r="O1400" s="186">
        <f t="shared" si="178"/>
        <v>8</v>
      </c>
      <c r="P1400" s="156">
        <v>2618</v>
      </c>
      <c r="Q1400" s="145">
        <f t="shared" si="179"/>
        <v>0.99695354150799698</v>
      </c>
      <c r="R1400" s="144"/>
      <c r="S1400" s="153"/>
      <c r="T1400" s="140"/>
      <c r="V1400" s="381"/>
      <c r="W1400" s="421"/>
      <c r="X1400" s="381"/>
      <c r="Y1400" s="421"/>
      <c r="Z1400" s="421"/>
      <c r="AA1400" s="421"/>
      <c r="AB1400" s="421"/>
      <c r="AC1400" s="421"/>
      <c r="AD1400" s="421"/>
    </row>
    <row r="1401" spans="1:30" s="146" customFormat="1" x14ac:dyDescent="0.4">
      <c r="A1401" s="182">
        <v>45740</v>
      </c>
      <c r="B1401" s="139" t="s">
        <v>106</v>
      </c>
      <c r="C1401" s="140" t="str">
        <f>VLOOKUP(B1401,'112年全品項生產鍋數'!A:H,2,0)</f>
        <v>小藍莓1*260G</v>
      </c>
      <c r="D1401" s="290">
        <v>16</v>
      </c>
      <c r="E1401" s="141">
        <f>VLOOKUP(B1401,'112年全品項生產鍋數'!A:H,3,0)</f>
        <v>0.26</v>
      </c>
      <c r="F1401" s="142">
        <f>VLOOKUP(B1401,'112年全品項生產鍋數'!A:H,7,0)</f>
        <v>584.29999999999995</v>
      </c>
      <c r="G1401" s="143">
        <f t="shared" si="174"/>
        <v>9348.7999999999993</v>
      </c>
      <c r="H1401" s="158">
        <v>9252</v>
      </c>
      <c r="I1401" s="144">
        <f t="shared" si="175"/>
        <v>2405.52</v>
      </c>
      <c r="J1401" s="100">
        <f t="shared" si="176"/>
        <v>0.9896457299332535</v>
      </c>
      <c r="K1401" s="51">
        <f>VLOOKUP(B:B,'生產達成率(目標)'!A:C,3,0)</f>
        <v>1</v>
      </c>
      <c r="L1401" s="20">
        <f t="shared" si="177"/>
        <v>-0.01</v>
      </c>
      <c r="M1401" s="203" t="str">
        <f>工時!R585</f>
        <v>290</v>
      </c>
      <c r="N1401" s="144"/>
      <c r="O1401" s="144">
        <f t="shared" si="178"/>
        <v>19</v>
      </c>
      <c r="P1401" s="156">
        <v>9233</v>
      </c>
      <c r="Q1401" s="145">
        <f t="shared" si="179"/>
        <v>0.99794638996973628</v>
      </c>
      <c r="R1401" s="144"/>
      <c r="S1401" s="153"/>
      <c r="T1401" s="140"/>
      <c r="V1401" s="381"/>
      <c r="W1401" s="421"/>
      <c r="X1401" s="381"/>
      <c r="Y1401" s="421"/>
      <c r="Z1401" s="421"/>
      <c r="AA1401" s="421"/>
      <c r="AB1401" s="421"/>
      <c r="AC1401" s="421"/>
      <c r="AD1401" s="421"/>
    </row>
    <row r="1402" spans="1:30" s="146" customFormat="1" x14ac:dyDescent="0.4">
      <c r="A1402" s="182">
        <v>45740</v>
      </c>
      <c r="B1402" s="139" t="s">
        <v>970</v>
      </c>
      <c r="C1402" s="140" t="str">
        <f>VLOOKUP(B1402,'112年全品項生產鍋數'!A:H,2,0)</f>
        <v>柑桔果醬450G</v>
      </c>
      <c r="D1402" s="290">
        <v>4.5</v>
      </c>
      <c r="E1402" s="141">
        <f>VLOOKUP(B1402,'112年全品項生產鍋數'!A:H,3,0)</f>
        <v>0.45</v>
      </c>
      <c r="F1402" s="142">
        <f>VLOOKUP(B1402,'112年全品項生產鍋數'!A:H,7,0)</f>
        <v>0</v>
      </c>
      <c r="G1402" s="143">
        <f t="shared" si="174"/>
        <v>0</v>
      </c>
      <c r="H1402" s="158">
        <v>1618</v>
      </c>
      <c r="I1402" s="144">
        <f t="shared" si="175"/>
        <v>728.1</v>
      </c>
      <c r="J1402" s="100" t="str">
        <f t="shared" si="176"/>
        <v>無法預估數據</v>
      </c>
      <c r="K1402" s="51">
        <f>VLOOKUP(B:B,'生產達成率(目標)'!A:C,3,0)</f>
        <v>1</v>
      </c>
      <c r="L1402" s="20" t="str">
        <f t="shared" si="177"/>
        <v>無法預估數據</v>
      </c>
      <c r="M1402" s="203" t="str">
        <f>工時!R586</f>
        <v>220</v>
      </c>
      <c r="N1402" s="144"/>
      <c r="O1402" s="144">
        <f t="shared" si="178"/>
        <v>15</v>
      </c>
      <c r="P1402" s="156">
        <v>1603</v>
      </c>
      <c r="Q1402" s="145">
        <f t="shared" si="179"/>
        <v>0.99072929542645238</v>
      </c>
      <c r="R1402" s="144"/>
      <c r="S1402" s="153"/>
      <c r="T1402" s="140" t="s">
        <v>971</v>
      </c>
      <c r="V1402" s="381"/>
      <c r="W1402" s="421"/>
      <c r="X1402" s="381"/>
      <c r="Y1402" s="421"/>
      <c r="Z1402" s="421"/>
      <c r="AA1402" s="421"/>
      <c r="AB1402" s="421"/>
      <c r="AC1402" s="421"/>
      <c r="AD1402" s="421"/>
    </row>
    <row r="1403" spans="1:30" x14ac:dyDescent="0.4">
      <c r="A1403" s="181">
        <v>45740</v>
      </c>
      <c r="B1403" s="139" t="s">
        <v>93</v>
      </c>
      <c r="C1403" s="30" t="str">
        <f>VLOOKUP(B1403,'112年全品項生產鍋數'!A:H,2,0)</f>
        <v>草莓餡42°(1*6KG)</v>
      </c>
      <c r="D1403" s="290">
        <v>6</v>
      </c>
      <c r="E1403" s="48">
        <f>VLOOKUP(B1403,'112年全品項生產鍋數'!A:H,3,0)</f>
        <v>6</v>
      </c>
      <c r="F1403" s="45">
        <f>VLOOKUP(B1403,'112年全品項生產鍋數'!A:H,7,0)</f>
        <v>25.2</v>
      </c>
      <c r="G1403" s="49">
        <f t="shared" si="174"/>
        <v>151.19999999999999</v>
      </c>
      <c r="H1403" s="158">
        <v>152</v>
      </c>
      <c r="I1403" s="23">
        <f t="shared" si="175"/>
        <v>912</v>
      </c>
      <c r="J1403" s="100">
        <f t="shared" si="176"/>
        <v>1.0052910052910053</v>
      </c>
      <c r="K1403" s="51">
        <f>VLOOKUP(B:B,'生產達成率(目標)'!A:C,3,0)</f>
        <v>1</v>
      </c>
      <c r="L1403" s="20">
        <f t="shared" si="177"/>
        <v>5.0000000000000001E-3</v>
      </c>
      <c r="M1403" s="203" t="str">
        <f>工時!R587</f>
        <v>150</v>
      </c>
      <c r="N1403" s="144"/>
      <c r="O1403" s="144">
        <f t="shared" si="178"/>
        <v>1</v>
      </c>
      <c r="P1403" s="156">
        <v>151</v>
      </c>
      <c r="Q1403" s="98">
        <f t="shared" si="179"/>
        <v>0.99342105263157898</v>
      </c>
      <c r="R1403" s="23"/>
      <c r="S1403" s="173"/>
      <c r="T1403" s="30"/>
    </row>
    <row r="1404" spans="1:30" x14ac:dyDescent="0.4">
      <c r="A1404" s="181">
        <v>45740</v>
      </c>
      <c r="B1404" s="139" t="s">
        <v>357</v>
      </c>
      <c r="C1404" s="30" t="str">
        <f>VLOOKUP(B1404,'112年全品項生產鍋數'!A:H,2,0)</f>
        <v>草莓醬(1*6Kg)</v>
      </c>
      <c r="D1404" s="290">
        <v>8</v>
      </c>
      <c r="E1404" s="48">
        <f>VLOOKUP(B1404,'112年全品項生產鍋數'!A:H,3,0)</f>
        <v>6</v>
      </c>
      <c r="F1404" s="45">
        <f>VLOOKUP(B1404,'112年全品項生產鍋數'!A:H,7,0)</f>
        <v>25.5</v>
      </c>
      <c r="G1404" s="49">
        <f t="shared" si="174"/>
        <v>204</v>
      </c>
      <c r="H1404" s="158">
        <v>203</v>
      </c>
      <c r="I1404" s="23">
        <f t="shared" si="175"/>
        <v>1218</v>
      </c>
      <c r="J1404" s="100">
        <f t="shared" si="176"/>
        <v>0.99509803921568629</v>
      </c>
      <c r="K1404" s="51">
        <f>VLOOKUP(B:B,'生產達成率(目標)'!A:C,3,0)</f>
        <v>1</v>
      </c>
      <c r="L1404" s="20">
        <f t="shared" si="177"/>
        <v>-5.0000000000000001E-3</v>
      </c>
      <c r="M1404" s="203" t="str">
        <f>工時!R588</f>
        <v>118</v>
      </c>
      <c r="N1404" s="144"/>
      <c r="O1404" s="144">
        <f t="shared" si="178"/>
        <v>1</v>
      </c>
      <c r="P1404" s="156">
        <v>202</v>
      </c>
      <c r="Q1404" s="98">
        <f t="shared" si="179"/>
        <v>0.99507389162561577</v>
      </c>
      <c r="R1404" s="23"/>
      <c r="S1404" s="173"/>
      <c r="T1404" s="30"/>
    </row>
    <row r="1405" spans="1:30" x14ac:dyDescent="0.4">
      <c r="A1405" s="181">
        <v>45740</v>
      </c>
      <c r="B1405" s="139" t="s">
        <v>63</v>
      </c>
      <c r="C1405" s="30" t="str">
        <f>VLOOKUP(B1405,'112年全品項生產鍋數'!A:H,2,0)</f>
        <v>草莓蒟蒻餡(1*6kg)</v>
      </c>
      <c r="D1405" s="290">
        <v>24</v>
      </c>
      <c r="E1405" s="48">
        <f>VLOOKUP(B1405,'112年全品項生產鍋數'!A:H,3,0)</f>
        <v>6</v>
      </c>
      <c r="F1405" s="45">
        <f>VLOOKUP(B1405,'112年全品項生產鍋數'!A:H,7,0)</f>
        <v>25.7</v>
      </c>
      <c r="G1405" s="49">
        <f t="shared" si="174"/>
        <v>616.79999999999995</v>
      </c>
      <c r="H1405" s="158">
        <f>311+321</f>
        <v>632</v>
      </c>
      <c r="I1405" s="23">
        <f t="shared" si="175"/>
        <v>3792</v>
      </c>
      <c r="J1405" s="100">
        <f t="shared" si="176"/>
        <v>1.0246433203631649</v>
      </c>
      <c r="K1405" s="51">
        <f>VLOOKUP(B:B,'生產達成率(目標)'!A:C,3,0)</f>
        <v>1</v>
      </c>
      <c r="L1405" s="20">
        <f t="shared" si="177"/>
        <v>2.5000000000000001E-2</v>
      </c>
      <c r="M1405" s="203" t="str">
        <f>工時!R589</f>
        <v>346</v>
      </c>
      <c r="N1405" s="144"/>
      <c r="O1405" s="144">
        <f t="shared" si="178"/>
        <v>3</v>
      </c>
      <c r="P1405" s="156">
        <f>310+319</f>
        <v>629</v>
      </c>
      <c r="Q1405" s="98">
        <f t="shared" si="179"/>
        <v>0.995253164556962</v>
      </c>
      <c r="R1405" s="23"/>
      <c r="S1405" s="173"/>
      <c r="T1405" s="30"/>
    </row>
    <row r="1406" spans="1:30" x14ac:dyDescent="0.4">
      <c r="A1406" s="181">
        <v>45740</v>
      </c>
      <c r="B1406" s="139" t="s">
        <v>104</v>
      </c>
      <c r="C1406" s="30" t="str">
        <f>VLOOKUP(B1406,'112年全品項生產鍋數'!A:H,2,0)</f>
        <v>＃1花生(粒)(1*2.8kg)</v>
      </c>
      <c r="D1406" s="290">
        <v>56</v>
      </c>
      <c r="E1406" s="48">
        <f>VLOOKUP(B1406,'112年全品項生產鍋數'!A:H,3,0)</f>
        <v>2.8</v>
      </c>
      <c r="F1406" s="45">
        <f>VLOOKUP(B1406,'112年全品項生產鍋數'!A:H,7,0)</f>
        <v>44.2</v>
      </c>
      <c r="G1406" s="49">
        <f t="shared" si="174"/>
        <v>2475.2000000000003</v>
      </c>
      <c r="H1406" s="158">
        <v>2462</v>
      </c>
      <c r="I1406" s="23">
        <f t="shared" si="175"/>
        <v>6893.5999999999995</v>
      </c>
      <c r="J1406" s="100">
        <f t="shared" si="176"/>
        <v>0.99466709760827399</v>
      </c>
      <c r="K1406" s="51">
        <f>VLOOKUP(B:B,'生產達成率(目標)'!A:C,3,0)</f>
        <v>1</v>
      </c>
      <c r="L1406" s="20">
        <f t="shared" si="177"/>
        <v>-5.0000000000000001E-3</v>
      </c>
      <c r="M1406" s="203" t="str">
        <f>工時!R590</f>
        <v>480</v>
      </c>
      <c r="N1406" s="144"/>
      <c r="O1406" s="144">
        <f t="shared" si="178"/>
        <v>1</v>
      </c>
      <c r="P1406" s="156">
        <v>2461</v>
      </c>
      <c r="Q1406" s="98">
        <f t="shared" si="179"/>
        <v>0.9995938261575954</v>
      </c>
      <c r="R1406" s="23"/>
      <c r="S1406" s="173"/>
      <c r="T1406" s="30"/>
    </row>
    <row r="1407" spans="1:30" s="146" customFormat="1" x14ac:dyDescent="0.4">
      <c r="A1407" s="182">
        <v>45740</v>
      </c>
      <c r="B1407" s="139">
        <v>153010</v>
      </c>
      <c r="C1407" s="140" t="str">
        <f>VLOOKUP(B1407,'112年全品項生產鍋數'!A:H,2,0)</f>
        <v>蜜桔皮6m/m</v>
      </c>
      <c r="D1407" s="290">
        <v>1</v>
      </c>
      <c r="E1407" s="141">
        <f>VLOOKUP(B1407,'112年全品項生產鍋數'!A:H,3,0)</f>
        <v>1</v>
      </c>
      <c r="F1407" s="142">
        <f>VLOOKUP(B1407,'112年全品項生產鍋數'!A:H,7,0)</f>
        <v>591</v>
      </c>
      <c r="G1407" s="143">
        <f t="shared" si="174"/>
        <v>591</v>
      </c>
      <c r="H1407" s="158">
        <v>584</v>
      </c>
      <c r="I1407" s="144">
        <f t="shared" si="175"/>
        <v>584</v>
      </c>
      <c r="J1407" s="100">
        <f t="shared" si="176"/>
        <v>0.98815566835871405</v>
      </c>
      <c r="K1407" s="51">
        <f>VLOOKUP(B:B,'生產達成率(目標)'!A:C,3,0)</f>
        <v>1</v>
      </c>
      <c r="L1407" s="20">
        <f t="shared" si="177"/>
        <v>-1.2E-2</v>
      </c>
      <c r="M1407" s="203" t="str">
        <f>工時!R591</f>
        <v>0</v>
      </c>
      <c r="N1407" s="144"/>
      <c r="O1407" s="144">
        <f t="shared" si="178"/>
        <v>0</v>
      </c>
      <c r="P1407" s="156">
        <v>584</v>
      </c>
      <c r="Q1407" s="145">
        <f t="shared" si="179"/>
        <v>1</v>
      </c>
      <c r="R1407" s="144"/>
      <c r="S1407" s="153"/>
      <c r="T1407" s="140"/>
      <c r="V1407" s="381"/>
      <c r="W1407" s="421"/>
      <c r="X1407" s="381"/>
      <c r="Y1407" s="421"/>
      <c r="Z1407" s="421"/>
      <c r="AA1407" s="421"/>
      <c r="AB1407" s="421"/>
      <c r="AC1407" s="421"/>
      <c r="AD1407" s="421"/>
    </row>
    <row r="1408" spans="1:30" s="146" customFormat="1" x14ac:dyDescent="0.4">
      <c r="A1408" s="182">
        <v>45741</v>
      </c>
      <c r="B1408" s="139" t="s">
        <v>460</v>
      </c>
      <c r="C1408" s="140" t="str">
        <f>VLOOKUP(B1408,'112年全品項生產鍋數'!A:H,2,0)</f>
        <v>＃1草莓原漿(1*3.4kg)</v>
      </c>
      <c r="D1408" s="290">
        <v>4</v>
      </c>
      <c r="E1408" s="141">
        <f>VLOOKUP(B1408,'112年全品項生產鍋數'!A:H,3,0)</f>
        <v>3.4</v>
      </c>
      <c r="F1408" s="142">
        <f>VLOOKUP(B1408,'112年全品項生產鍋數'!A:H,7,0)</f>
        <v>43</v>
      </c>
      <c r="G1408" s="143">
        <f t="shared" si="174"/>
        <v>172</v>
      </c>
      <c r="H1408" s="158">
        <v>173</v>
      </c>
      <c r="I1408" s="144">
        <f t="shared" si="175"/>
        <v>588.19999999999993</v>
      </c>
      <c r="J1408" s="100">
        <f t="shared" si="176"/>
        <v>1.0058139534883721</v>
      </c>
      <c r="K1408" s="51">
        <f>VLOOKUP(B:B,'生產達成率(目標)'!A:C,3,0)</f>
        <v>1</v>
      </c>
      <c r="L1408" s="20">
        <f t="shared" si="177"/>
        <v>6.0000000000000001E-3</v>
      </c>
      <c r="M1408" s="203" t="str">
        <f>工時!R592</f>
        <v>220</v>
      </c>
      <c r="N1408" s="144"/>
      <c r="O1408" s="144">
        <f t="shared" si="178"/>
        <v>1</v>
      </c>
      <c r="P1408" s="156">
        <v>172</v>
      </c>
      <c r="Q1408" s="145">
        <f t="shared" si="179"/>
        <v>0.9942196531791907</v>
      </c>
      <c r="R1408" s="144"/>
      <c r="S1408" s="153"/>
      <c r="T1408" s="140"/>
      <c r="V1408" s="381"/>
      <c r="W1408" s="421"/>
      <c r="X1408" s="381"/>
      <c r="Y1408" s="421"/>
      <c r="Z1408" s="421"/>
      <c r="AA1408" s="421"/>
      <c r="AB1408" s="421"/>
      <c r="AC1408" s="421"/>
      <c r="AD1408" s="421"/>
    </row>
    <row r="1409" spans="1:30" s="146" customFormat="1" x14ac:dyDescent="0.4">
      <c r="A1409" s="182">
        <v>45741</v>
      </c>
      <c r="B1409" s="139" t="s">
        <v>68</v>
      </c>
      <c r="C1409" s="140" t="str">
        <f>VLOOKUP(B1409,'112年全品項生產鍋數'!A:H,2,0)</f>
        <v>#2草莓果醬(1*900g)</v>
      </c>
      <c r="D1409" s="290">
        <v>32</v>
      </c>
      <c r="E1409" s="141">
        <f>VLOOKUP(B1409,'112年全品項生產鍋數'!A:H,3,0)</f>
        <v>0.9</v>
      </c>
      <c r="F1409" s="142">
        <f>VLOOKUP(B1409,'112年全品項生產鍋數'!A:H,7,0)</f>
        <v>160.5</v>
      </c>
      <c r="G1409" s="143">
        <f t="shared" si="174"/>
        <v>5136</v>
      </c>
      <c r="H1409" s="158">
        <v>5160</v>
      </c>
      <c r="I1409" s="144">
        <f t="shared" si="175"/>
        <v>4644</v>
      </c>
      <c r="J1409" s="100">
        <f t="shared" si="176"/>
        <v>1.0046728971962617</v>
      </c>
      <c r="K1409" s="51">
        <f>VLOOKUP(B:B,'生產達成率(目標)'!A:C,3,0)</f>
        <v>1</v>
      </c>
      <c r="L1409" s="20">
        <f t="shared" si="177"/>
        <v>5.0000000000000001E-3</v>
      </c>
      <c r="M1409" s="203" t="str">
        <f>工時!R593</f>
        <v>430</v>
      </c>
      <c r="N1409" s="144"/>
      <c r="O1409" s="144">
        <f t="shared" si="178"/>
        <v>2</v>
      </c>
      <c r="P1409" s="156">
        <v>5158</v>
      </c>
      <c r="Q1409" s="145">
        <f t="shared" si="179"/>
        <v>0.99961240310077515</v>
      </c>
      <c r="R1409" s="144"/>
      <c r="S1409" s="153"/>
      <c r="T1409" s="140"/>
      <c r="V1409" s="381"/>
      <c r="W1409" s="421"/>
      <c r="X1409" s="381"/>
      <c r="Y1409" s="421"/>
      <c r="Z1409" s="421"/>
      <c r="AA1409" s="421"/>
      <c r="AB1409" s="421"/>
      <c r="AC1409" s="421"/>
      <c r="AD1409" s="421"/>
    </row>
    <row r="1410" spans="1:30" s="146" customFormat="1" x14ac:dyDescent="0.4">
      <c r="A1410" s="182">
        <v>45741</v>
      </c>
      <c r="B1410" s="139" t="s">
        <v>64</v>
      </c>
      <c r="C1410" s="140" t="str">
        <f>VLOOKUP(B1410,'112年全品項生產鍋數'!A:H,2,0)</f>
        <v>藍莓餡(1*6KG)</v>
      </c>
      <c r="D1410" s="290">
        <v>24</v>
      </c>
      <c r="E1410" s="141">
        <f>VLOOKUP(B1410,'112年全品項生產鍋數'!A:H,3,0)</f>
        <v>6</v>
      </c>
      <c r="F1410" s="142">
        <f>VLOOKUP(B1410,'112年全品項生產鍋數'!A:H,7,0)</f>
        <v>25.4</v>
      </c>
      <c r="G1410" s="143">
        <f t="shared" si="174"/>
        <v>609.59999999999991</v>
      </c>
      <c r="H1410" s="158">
        <f>303+313</f>
        <v>616</v>
      </c>
      <c r="I1410" s="144">
        <f t="shared" si="175"/>
        <v>3696</v>
      </c>
      <c r="J1410" s="100">
        <f t="shared" si="176"/>
        <v>1.0104986876640421</v>
      </c>
      <c r="K1410" s="51">
        <f>VLOOKUP(B:B,'生產達成率(目標)'!A:C,3,0)</f>
        <v>1</v>
      </c>
      <c r="L1410" s="20">
        <f t="shared" si="177"/>
        <v>0.01</v>
      </c>
      <c r="M1410" s="203" t="str">
        <f>工時!R594</f>
        <v>342</v>
      </c>
      <c r="N1410" s="144"/>
      <c r="O1410" s="144">
        <f t="shared" si="178"/>
        <v>2</v>
      </c>
      <c r="P1410" s="156">
        <f>301+313</f>
        <v>614</v>
      </c>
      <c r="Q1410" s="145">
        <f t="shared" si="179"/>
        <v>0.99675324675324672</v>
      </c>
      <c r="R1410" s="144"/>
      <c r="S1410" s="153"/>
      <c r="T1410" s="140"/>
      <c r="V1410" s="381"/>
      <c r="W1410" s="421"/>
      <c r="X1410" s="381"/>
      <c r="Y1410" s="421"/>
      <c r="Z1410" s="421"/>
      <c r="AA1410" s="421"/>
      <c r="AB1410" s="421"/>
      <c r="AC1410" s="421"/>
      <c r="AD1410" s="421"/>
    </row>
    <row r="1411" spans="1:30" s="146" customFormat="1" x14ac:dyDescent="0.4">
      <c r="A1411" s="182">
        <v>45741</v>
      </c>
      <c r="B1411" s="139" t="s">
        <v>81</v>
      </c>
      <c r="C1411" s="140" t="str">
        <f>VLOOKUP(B1411,'112年全品項生產鍋數'!A:H,2,0)</f>
        <v>藍莓餡(1*6Kg)</v>
      </c>
      <c r="D1411" s="290">
        <v>20</v>
      </c>
      <c r="E1411" s="141">
        <f>VLOOKUP(B1411,'112年全品項生產鍋數'!A:H,3,0)</f>
        <v>6</v>
      </c>
      <c r="F1411" s="142">
        <f>VLOOKUP(B1411,'112年全品項生產鍋數'!A:H,7,0)</f>
        <v>25.1</v>
      </c>
      <c r="G1411" s="143">
        <f t="shared" si="174"/>
        <v>502</v>
      </c>
      <c r="H1411" s="158">
        <v>500</v>
      </c>
      <c r="I1411" s="144">
        <f t="shared" si="175"/>
        <v>3000</v>
      </c>
      <c r="J1411" s="100">
        <f t="shared" si="176"/>
        <v>0.99601593625498008</v>
      </c>
      <c r="K1411" s="51">
        <f>VLOOKUP(B:B,'生產達成率(目標)'!A:C,3,0)</f>
        <v>1</v>
      </c>
      <c r="L1411" s="20">
        <f t="shared" si="177"/>
        <v>-4.0000000000000001E-3</v>
      </c>
      <c r="M1411" s="203" t="str">
        <f>工時!R595</f>
        <v>270</v>
      </c>
      <c r="N1411" s="144"/>
      <c r="O1411" s="144">
        <f t="shared" si="178"/>
        <v>1</v>
      </c>
      <c r="P1411" s="156">
        <v>499</v>
      </c>
      <c r="Q1411" s="145">
        <f t="shared" si="179"/>
        <v>0.998</v>
      </c>
      <c r="R1411" s="144"/>
      <c r="S1411" s="153"/>
      <c r="T1411" s="140"/>
      <c r="V1411" s="381"/>
      <c r="W1411" s="421"/>
      <c r="X1411" s="381"/>
      <c r="Y1411" s="421"/>
      <c r="Z1411" s="421"/>
      <c r="AA1411" s="421"/>
      <c r="AB1411" s="421"/>
      <c r="AC1411" s="421"/>
      <c r="AD1411" s="421"/>
    </row>
    <row r="1412" spans="1:30" s="146" customFormat="1" x14ac:dyDescent="0.4">
      <c r="A1412" s="182">
        <v>45741</v>
      </c>
      <c r="B1412" s="139" t="s">
        <v>58</v>
      </c>
      <c r="C1412" s="140" t="str">
        <f>VLOOKUP(B1412,'112年全品項生產鍋數'!A:H,2,0)</f>
        <v>PET大花生(1*400g)</v>
      </c>
      <c r="D1412" s="290">
        <v>36</v>
      </c>
      <c r="E1412" s="141">
        <f>VLOOKUP(B1412,'112年全品項生產鍋數'!A:H,3,0)</f>
        <v>0.4</v>
      </c>
      <c r="F1412" s="142">
        <f>VLOOKUP(B1412,'112年全品項生產鍋數'!A:H,7,0)</f>
        <v>309.2</v>
      </c>
      <c r="G1412" s="143">
        <f t="shared" si="174"/>
        <v>11131.199999999999</v>
      </c>
      <c r="H1412" s="158">
        <v>11086</v>
      </c>
      <c r="I1412" s="144">
        <f t="shared" si="175"/>
        <v>4434.4000000000005</v>
      </c>
      <c r="J1412" s="100">
        <f t="shared" si="176"/>
        <v>0.99593934167026021</v>
      </c>
      <c r="K1412" s="51">
        <f>VLOOKUP(B:B,'生產達成率(目標)'!A:C,3,0)</f>
        <v>1</v>
      </c>
      <c r="L1412" s="20">
        <f t="shared" si="177"/>
        <v>-4.0000000000000001E-3</v>
      </c>
      <c r="M1412" s="203" t="str">
        <f>工時!R596</f>
        <v>480</v>
      </c>
      <c r="N1412" s="144"/>
      <c r="O1412" s="144">
        <f t="shared" si="178"/>
        <v>3</v>
      </c>
      <c r="P1412" s="156">
        <v>11083</v>
      </c>
      <c r="Q1412" s="145">
        <f t="shared" si="179"/>
        <v>0.99972938841782433</v>
      </c>
      <c r="R1412" s="144"/>
      <c r="S1412" s="153"/>
      <c r="T1412" s="140"/>
      <c r="V1412" s="381"/>
      <c r="W1412" s="421"/>
      <c r="X1412" s="381"/>
      <c r="Y1412" s="421"/>
      <c r="Z1412" s="421"/>
      <c r="AA1412" s="421"/>
      <c r="AB1412" s="421"/>
      <c r="AC1412" s="421"/>
      <c r="AD1412" s="421"/>
    </row>
    <row r="1413" spans="1:30" x14ac:dyDescent="0.4">
      <c r="A1413" s="181">
        <v>45741</v>
      </c>
      <c r="B1413" s="139">
        <v>111010</v>
      </c>
      <c r="C1413" s="30" t="str">
        <f>VLOOKUP(B1413,'112年全品項生產鍋數'!A:H,2,0)</f>
        <v>糖漬桔皮絲</v>
      </c>
      <c r="D1413" s="290">
        <v>1</v>
      </c>
      <c r="E1413" s="48">
        <f>VLOOKUP(B1413,'112年全品項生產鍋數'!A:H,3,0)</f>
        <v>1</v>
      </c>
      <c r="F1413" s="45">
        <f>VLOOKUP(B1413,'112年全品項生產鍋數'!A:H,7,0)</f>
        <v>942</v>
      </c>
      <c r="G1413" s="49">
        <f t="shared" si="174"/>
        <v>942</v>
      </c>
      <c r="H1413" s="158">
        <v>915</v>
      </c>
      <c r="I1413" s="23">
        <f t="shared" si="175"/>
        <v>915</v>
      </c>
      <c r="J1413" s="100">
        <f t="shared" si="176"/>
        <v>0.9713375796178344</v>
      </c>
      <c r="K1413" s="51">
        <f>VLOOKUP(B:B,'生產達成率(目標)'!A:C,3,0)</f>
        <v>1</v>
      </c>
      <c r="L1413" s="20">
        <f t="shared" si="177"/>
        <v>-2.9000000000000001E-2</v>
      </c>
      <c r="M1413" s="203" t="str">
        <f>工時!R597</f>
        <v>0</v>
      </c>
      <c r="N1413" s="144"/>
      <c r="O1413" s="144">
        <f t="shared" si="178"/>
        <v>0</v>
      </c>
      <c r="P1413" s="156">
        <v>915</v>
      </c>
      <c r="Q1413" s="98">
        <f t="shared" si="179"/>
        <v>1</v>
      </c>
      <c r="R1413" s="23"/>
      <c r="S1413" s="173"/>
      <c r="T1413" s="30"/>
    </row>
    <row r="1414" spans="1:30" x14ac:dyDescent="0.4">
      <c r="A1414" s="181">
        <v>45742</v>
      </c>
      <c r="B1414" s="139" t="s">
        <v>99</v>
      </c>
      <c r="C1414" s="30" t="str">
        <f>VLOOKUP(B1414,'112年全品項生產鍋數'!A:H,2,0)</f>
        <v>葡萄奇異果醬(1*6kg)</v>
      </c>
      <c r="D1414" s="290">
        <v>6</v>
      </c>
      <c r="E1414" s="48">
        <f>VLOOKUP(B1414,'112年全品項生產鍋數'!A:H,3,0)</f>
        <v>6</v>
      </c>
      <c r="F1414" s="45">
        <f>VLOOKUP(B1414,'112年全品項生產鍋數'!A:H,7,0)</f>
        <v>24.3</v>
      </c>
      <c r="G1414" s="49">
        <f t="shared" si="174"/>
        <v>145.80000000000001</v>
      </c>
      <c r="H1414" s="158">
        <v>146</v>
      </c>
      <c r="I1414" s="23">
        <f t="shared" si="175"/>
        <v>876</v>
      </c>
      <c r="J1414" s="100">
        <f t="shared" si="176"/>
        <v>1.0013717421124828</v>
      </c>
      <c r="K1414" s="51">
        <f>VLOOKUP(B:B,'生產達成率(目標)'!A:C,3,0)</f>
        <v>1</v>
      </c>
      <c r="L1414" s="20">
        <f t="shared" si="177"/>
        <v>1E-3</v>
      </c>
      <c r="M1414" s="203" t="str">
        <f>工時!R598</f>
        <v>180</v>
      </c>
      <c r="N1414" s="144"/>
      <c r="O1414" s="144">
        <f t="shared" si="178"/>
        <v>2</v>
      </c>
      <c r="P1414" s="156">
        <v>144</v>
      </c>
      <c r="Q1414" s="98">
        <f t="shared" si="179"/>
        <v>0.98630136986301364</v>
      </c>
      <c r="R1414" s="23"/>
      <c r="S1414" s="173"/>
      <c r="T1414" s="30"/>
    </row>
    <row r="1415" spans="1:30" x14ac:dyDescent="0.4">
      <c r="A1415" s="181">
        <v>45742</v>
      </c>
      <c r="B1415" s="139" t="s">
        <v>51</v>
      </c>
      <c r="C1415" s="30" t="str">
        <f>VLOOKUP(B1415,'112年全品項生產鍋數'!A:H,2,0)</f>
        <v>藍莓醬(1*6kg)</v>
      </c>
      <c r="D1415" s="290">
        <v>12</v>
      </c>
      <c r="E1415" s="48">
        <f>VLOOKUP(B1415,'112年全品項生產鍋數'!A:H,3,0)</f>
        <v>6</v>
      </c>
      <c r="F1415" s="45">
        <f>VLOOKUP(B1415,'112年全品項生產鍋數'!A:H,7,0)</f>
        <v>25.5</v>
      </c>
      <c r="G1415" s="49">
        <f t="shared" si="174"/>
        <v>306</v>
      </c>
      <c r="H1415" s="158">
        <v>300</v>
      </c>
      <c r="I1415" s="23">
        <f t="shared" si="175"/>
        <v>1800</v>
      </c>
      <c r="J1415" s="100">
        <f t="shared" si="176"/>
        <v>0.98039215686274506</v>
      </c>
      <c r="K1415" s="51">
        <f>VLOOKUP(B:B,'生產達成率(目標)'!A:C,3,0)</f>
        <v>1</v>
      </c>
      <c r="L1415" s="20">
        <f t="shared" si="177"/>
        <v>-0.02</v>
      </c>
      <c r="M1415" s="203" t="str">
        <f>工時!R599</f>
        <v>175</v>
      </c>
      <c r="N1415" s="144"/>
      <c r="O1415" s="144">
        <f t="shared" si="178"/>
        <v>1</v>
      </c>
      <c r="P1415" s="156">
        <v>299</v>
      </c>
      <c r="Q1415" s="98">
        <f t="shared" si="179"/>
        <v>0.9966666666666667</v>
      </c>
      <c r="R1415" s="23"/>
      <c r="S1415" s="173"/>
      <c r="T1415" s="30"/>
    </row>
    <row r="1416" spans="1:30" x14ac:dyDescent="0.4">
      <c r="A1416" s="181">
        <v>45742</v>
      </c>
      <c r="B1416" s="139" t="s">
        <v>109</v>
      </c>
      <c r="C1416" s="30" t="str">
        <f>VLOOKUP(B1416,'112年全品項生產鍋數'!A:H,2,0)</f>
        <v>蔓越莓醬(1*6KG)</v>
      </c>
      <c r="D1416" s="290">
        <v>8</v>
      </c>
      <c r="E1416" s="48">
        <f>VLOOKUP(B1416,'112年全品項生產鍋數'!A:H,3,0)</f>
        <v>6</v>
      </c>
      <c r="F1416" s="45">
        <f>VLOOKUP(B1416,'112年全品項生產鍋數'!A:H,7,0)</f>
        <v>25.6</v>
      </c>
      <c r="G1416" s="49">
        <f t="shared" si="174"/>
        <v>204.8</v>
      </c>
      <c r="H1416" s="158">
        <v>198</v>
      </c>
      <c r="I1416" s="23">
        <f t="shared" si="175"/>
        <v>1188</v>
      </c>
      <c r="J1416" s="100">
        <f t="shared" si="176"/>
        <v>0.966796875</v>
      </c>
      <c r="K1416" s="51">
        <f>VLOOKUP(B:B,'生產達成率(目標)'!A:C,3,0)</f>
        <v>1</v>
      </c>
      <c r="L1416" s="20">
        <f t="shared" si="177"/>
        <v>-3.3000000000000002E-2</v>
      </c>
      <c r="M1416" s="203" t="str">
        <f>工時!R600</f>
        <v>180</v>
      </c>
      <c r="N1416" s="144"/>
      <c r="O1416" s="144">
        <f t="shared" si="178"/>
        <v>1</v>
      </c>
      <c r="P1416" s="156">
        <v>197</v>
      </c>
      <c r="Q1416" s="98">
        <f t="shared" si="179"/>
        <v>0.99494949494949492</v>
      </c>
      <c r="R1416" s="23"/>
      <c r="S1416" s="173"/>
      <c r="T1416" s="30"/>
    </row>
    <row r="1417" spans="1:30" x14ac:dyDescent="0.4">
      <c r="A1417" s="181">
        <v>45742</v>
      </c>
      <c r="B1417" s="139" t="s">
        <v>53</v>
      </c>
      <c r="C1417" s="30" t="str">
        <f>VLOOKUP(B1417,'112年全品項生產鍋數'!A:H,2,0)</f>
        <v>鳳梨芒果百香果醬(1*6KG)</v>
      </c>
      <c r="D1417" s="290">
        <v>12</v>
      </c>
      <c r="E1417" s="48">
        <f>VLOOKUP(B1417,'112年全品項生產鍋數'!A:H,3,0)</f>
        <v>6</v>
      </c>
      <c r="F1417" s="45">
        <f>VLOOKUP(B1417,'112年全品項生產鍋數'!A:H,7,0)</f>
        <v>25.7</v>
      </c>
      <c r="G1417" s="49">
        <f t="shared" si="174"/>
        <v>308.39999999999998</v>
      </c>
      <c r="H1417" s="158">
        <v>301</v>
      </c>
      <c r="I1417" s="23">
        <f t="shared" si="175"/>
        <v>1806</v>
      </c>
      <c r="J1417" s="100">
        <f t="shared" si="176"/>
        <v>0.97600518806744496</v>
      </c>
      <c r="K1417" s="51">
        <f>VLOOKUP(B:B,'生產達成率(目標)'!A:C,3,0)</f>
        <v>1</v>
      </c>
      <c r="L1417" s="20">
        <f t="shared" si="177"/>
        <v>-2.4E-2</v>
      </c>
      <c r="M1417" s="203" t="str">
        <f>工時!R601</f>
        <v>220</v>
      </c>
      <c r="N1417" s="144"/>
      <c r="O1417" s="144">
        <f t="shared" si="178"/>
        <v>2</v>
      </c>
      <c r="P1417" s="156">
        <v>299</v>
      </c>
      <c r="Q1417" s="98">
        <f t="shared" si="179"/>
        <v>0.99335548172757471</v>
      </c>
      <c r="R1417" s="23"/>
      <c r="S1417" s="173">
        <v>282</v>
      </c>
      <c r="T1417" s="30" t="s">
        <v>978</v>
      </c>
    </row>
    <row r="1418" spans="1:30" x14ac:dyDescent="0.4">
      <c r="A1418" s="181">
        <v>45742</v>
      </c>
      <c r="B1418" s="139" t="s">
        <v>88</v>
      </c>
      <c r="C1418" s="30" t="str">
        <f>VLOOKUP(B1418,'112年全品項生產鍋數'!A:H,2,0)</f>
        <v>草莓餡(1*6KG)</v>
      </c>
      <c r="D1418" s="290">
        <v>16</v>
      </c>
      <c r="E1418" s="48">
        <f>VLOOKUP(B1418,'112年全品項生產鍋數'!A:H,3,0)</f>
        <v>6</v>
      </c>
      <c r="F1418" s="45">
        <f>VLOOKUP(B1418,'112年全品項生產鍋數'!A:H,7,0)</f>
        <v>25.5</v>
      </c>
      <c r="G1418" s="49">
        <f t="shared" si="174"/>
        <v>408</v>
      </c>
      <c r="H1418" s="158">
        <v>413</v>
      </c>
      <c r="I1418" s="23">
        <f t="shared" si="175"/>
        <v>2478</v>
      </c>
      <c r="J1418" s="100">
        <f t="shared" si="176"/>
        <v>1.0122549019607843</v>
      </c>
      <c r="K1418" s="51">
        <f>VLOOKUP(B:B,'生產達成率(目標)'!A:C,3,0)</f>
        <v>1</v>
      </c>
      <c r="L1418" s="20">
        <f t="shared" si="177"/>
        <v>1.2E-2</v>
      </c>
      <c r="M1418" s="203" t="str">
        <f>工時!R602</f>
        <v>220</v>
      </c>
      <c r="N1418" s="144"/>
      <c r="O1418" s="144">
        <f t="shared" si="178"/>
        <v>2</v>
      </c>
      <c r="P1418" s="156">
        <v>411</v>
      </c>
      <c r="Q1418" s="98">
        <f t="shared" si="179"/>
        <v>0.99515738498789341</v>
      </c>
      <c r="R1418" s="23"/>
      <c r="S1418" s="173"/>
      <c r="T1418" s="30"/>
    </row>
    <row r="1419" spans="1:30" x14ac:dyDescent="0.4">
      <c r="A1419" s="181">
        <v>45742</v>
      </c>
      <c r="B1419" s="139" t="s">
        <v>63</v>
      </c>
      <c r="C1419" s="30" t="str">
        <f>VLOOKUP(B1419,'112年全品項生產鍋數'!A:H,2,0)</f>
        <v>草莓蒟蒻餡(1*6kg)</v>
      </c>
      <c r="D1419" s="290">
        <v>24</v>
      </c>
      <c r="E1419" s="48">
        <f>VLOOKUP(B1419,'112年全品項生產鍋數'!A:H,3,0)</f>
        <v>6</v>
      </c>
      <c r="F1419" s="45">
        <f>VLOOKUP(B1419,'112年全品項生產鍋數'!A:H,7,0)</f>
        <v>25.7</v>
      </c>
      <c r="G1419" s="49">
        <f t="shared" si="174"/>
        <v>616.79999999999995</v>
      </c>
      <c r="H1419" s="158">
        <f>311+320</f>
        <v>631</v>
      </c>
      <c r="I1419" s="23">
        <f t="shared" si="175"/>
        <v>3786</v>
      </c>
      <c r="J1419" s="100">
        <f t="shared" si="176"/>
        <v>1.0230220492866409</v>
      </c>
      <c r="K1419" s="51">
        <f>VLOOKUP(B:B,'生產達成率(目標)'!A:C,3,0)</f>
        <v>1</v>
      </c>
      <c r="L1419" s="20">
        <f t="shared" si="177"/>
        <v>2.3E-2</v>
      </c>
      <c r="M1419" s="203" t="str">
        <f>工時!R603</f>
        <v>320</v>
      </c>
      <c r="N1419" s="144"/>
      <c r="O1419" s="144">
        <f t="shared" si="178"/>
        <v>1</v>
      </c>
      <c r="P1419" s="156">
        <f>310+320</f>
        <v>630</v>
      </c>
      <c r="Q1419" s="98">
        <f t="shared" si="179"/>
        <v>0.99841521394611732</v>
      </c>
      <c r="R1419" s="23"/>
      <c r="S1419" s="173"/>
      <c r="T1419" s="30"/>
    </row>
    <row r="1420" spans="1:30" x14ac:dyDescent="0.4">
      <c r="A1420" s="181">
        <v>45742</v>
      </c>
      <c r="B1420" s="139" t="s">
        <v>131</v>
      </c>
      <c r="C1420" s="30" t="str">
        <f>VLOOKUP(B1420,'112年全品項生產鍋數'!A:H,2,0)</f>
        <v>花生醬(1*18KG)</v>
      </c>
      <c r="D1420" s="290">
        <v>40</v>
      </c>
      <c r="E1420" s="48">
        <f>VLOOKUP(B1420,'112年全品項生產鍋數'!A:H,3,0)</f>
        <v>18</v>
      </c>
      <c r="F1420" s="45">
        <f>VLOOKUP(B1420,'112年全品項生產鍋數'!A:H,7,0)</f>
        <v>6.9</v>
      </c>
      <c r="G1420" s="49">
        <f t="shared" si="174"/>
        <v>276</v>
      </c>
      <c r="H1420" s="158">
        <v>282</v>
      </c>
      <c r="I1420" s="23">
        <f t="shared" si="175"/>
        <v>5076</v>
      </c>
      <c r="J1420" s="100">
        <f t="shared" si="176"/>
        <v>1.0217391304347827</v>
      </c>
      <c r="K1420" s="51">
        <f>VLOOKUP(B:B,'生產達成率(目標)'!A:C,3,0)</f>
        <v>1</v>
      </c>
      <c r="L1420" s="20">
        <f t="shared" si="177"/>
        <v>2.1999999999999999E-2</v>
      </c>
      <c r="M1420" s="203" t="str">
        <f>工時!R604</f>
        <v>460</v>
      </c>
      <c r="N1420" s="144"/>
      <c r="O1420" s="144">
        <f t="shared" si="178"/>
        <v>0</v>
      </c>
      <c r="P1420" s="156">
        <v>282</v>
      </c>
      <c r="Q1420" s="98">
        <f t="shared" si="179"/>
        <v>1</v>
      </c>
      <c r="R1420" s="23"/>
      <c r="S1420" s="173"/>
      <c r="T1420" s="30"/>
    </row>
    <row r="1421" spans="1:30" s="146" customFormat="1" x14ac:dyDescent="0.4">
      <c r="A1421" s="182">
        <v>45743</v>
      </c>
      <c r="B1421" s="139" t="s">
        <v>54</v>
      </c>
      <c r="C1421" s="140" t="str">
        <f>VLOOKUP(B1421,'112年全品項生產鍋數'!A:H,2,0)</f>
        <v>草莓醬(1*6kg)</v>
      </c>
      <c r="D1421" s="290">
        <v>32</v>
      </c>
      <c r="E1421" s="141">
        <f>VLOOKUP(B1421,'112年全品項生產鍋數'!A:H,3,0)</f>
        <v>6</v>
      </c>
      <c r="F1421" s="142">
        <f>VLOOKUP(B1421,'112年全品項生產鍋數'!A:H,7,0)</f>
        <v>26.6</v>
      </c>
      <c r="G1421" s="143">
        <f t="shared" si="174"/>
        <v>851.2</v>
      </c>
      <c r="H1421" s="158">
        <v>845</v>
      </c>
      <c r="I1421" s="144">
        <f t="shared" si="175"/>
        <v>5070</v>
      </c>
      <c r="J1421" s="100">
        <f t="shared" si="176"/>
        <v>0.9927161654135338</v>
      </c>
      <c r="K1421" s="51">
        <f>VLOOKUP(B:B,'生產達成率(目標)'!A:C,3,0)</f>
        <v>1</v>
      </c>
      <c r="L1421" s="20">
        <f t="shared" si="177"/>
        <v>-7.0000000000000001E-3</v>
      </c>
      <c r="M1421" s="203" t="str">
        <f>工時!R605</f>
        <v>423</v>
      </c>
      <c r="N1421" s="144"/>
      <c r="O1421" s="144">
        <f t="shared" si="178"/>
        <v>5</v>
      </c>
      <c r="P1421" s="156">
        <v>840</v>
      </c>
      <c r="Q1421" s="145">
        <f t="shared" si="179"/>
        <v>0.99408284023668636</v>
      </c>
      <c r="R1421" s="144"/>
      <c r="S1421" s="153"/>
      <c r="T1421" s="140"/>
      <c r="V1421" s="381"/>
      <c r="W1421" s="421"/>
      <c r="X1421" s="381"/>
      <c r="Y1421" s="421"/>
      <c r="Z1421" s="421"/>
      <c r="AA1421" s="421"/>
      <c r="AB1421" s="421"/>
      <c r="AC1421" s="421"/>
      <c r="AD1421" s="421"/>
    </row>
    <row r="1422" spans="1:30" s="146" customFormat="1" x14ac:dyDescent="0.4">
      <c r="A1422" s="182">
        <v>45743</v>
      </c>
      <c r="B1422" s="139" t="s">
        <v>538</v>
      </c>
      <c r="C1422" s="140" t="str">
        <f>VLOOKUP(B1422,'112年全品項生產鍋數'!A:H,2,0)</f>
        <v>蜂蜜蘋果醬(1*6KG)</v>
      </c>
      <c r="D1422" s="290">
        <v>6</v>
      </c>
      <c r="E1422" s="141">
        <f>VLOOKUP(B1422,'112年全品項生產鍋數'!A:H,3,0)</f>
        <v>6</v>
      </c>
      <c r="F1422" s="142">
        <f>VLOOKUP(B1422,'112年全品項生產鍋數'!A:H,7,0)</f>
        <v>25.2</v>
      </c>
      <c r="G1422" s="143">
        <f t="shared" si="174"/>
        <v>151.19999999999999</v>
      </c>
      <c r="H1422" s="158">
        <v>149</v>
      </c>
      <c r="I1422" s="144">
        <f t="shared" si="175"/>
        <v>894</v>
      </c>
      <c r="J1422" s="100">
        <f t="shared" si="176"/>
        <v>0.98544973544973558</v>
      </c>
      <c r="K1422" s="51">
        <f>VLOOKUP(B:B,'生產達成率(目標)'!A:C,3,0)</f>
        <v>1</v>
      </c>
      <c r="L1422" s="20">
        <f t="shared" si="177"/>
        <v>-1.4999999999999999E-2</v>
      </c>
      <c r="M1422" s="203" t="str">
        <f>工時!R606</f>
        <v>130</v>
      </c>
      <c r="N1422" s="144"/>
      <c r="O1422" s="144">
        <f t="shared" si="178"/>
        <v>4</v>
      </c>
      <c r="P1422" s="156">
        <v>145</v>
      </c>
      <c r="Q1422" s="145">
        <f>P1422/H1422</f>
        <v>0.97315436241610742</v>
      </c>
      <c r="R1422" s="144"/>
      <c r="S1422" s="153"/>
      <c r="T1422" s="140"/>
      <c r="V1422" s="381"/>
      <c r="W1422" s="421"/>
      <c r="X1422" s="381"/>
      <c r="Y1422" s="421"/>
      <c r="Z1422" s="421"/>
      <c r="AA1422" s="421"/>
      <c r="AB1422" s="421"/>
      <c r="AC1422" s="421"/>
      <c r="AD1422" s="421"/>
    </row>
    <row r="1423" spans="1:30" s="146" customFormat="1" x14ac:dyDescent="0.4">
      <c r="A1423" s="182">
        <v>45743</v>
      </c>
      <c r="B1423" s="139" t="s">
        <v>73</v>
      </c>
      <c r="C1423" s="140" t="str">
        <f>VLOOKUP(B1423,'112年全品項生產鍋數'!A:H,2,0)</f>
        <v>顆粒花生醬(1*12KG)</v>
      </c>
      <c r="D1423" s="290">
        <v>21</v>
      </c>
      <c r="E1423" s="141">
        <f>VLOOKUP(B1423,'112年全品項生產鍋數'!A:H,3,0)</f>
        <v>3</v>
      </c>
      <c r="F1423" s="142">
        <f>VLOOKUP(B1423,'112年全品項生產鍋數'!A:H,7,0)</f>
        <v>29.7</v>
      </c>
      <c r="G1423" s="143">
        <f t="shared" si="174"/>
        <v>623.69999999999993</v>
      </c>
      <c r="H1423" s="158">
        <v>628</v>
      </c>
      <c r="I1423" s="144">
        <f t="shared" si="175"/>
        <v>1884</v>
      </c>
      <c r="J1423" s="100">
        <f t="shared" si="176"/>
        <v>1.0068943402276738</v>
      </c>
      <c r="K1423" s="51">
        <f>VLOOKUP(B:B,'生產達成率(目標)'!A:C,3,0)</f>
        <v>1</v>
      </c>
      <c r="L1423" s="20">
        <f t="shared" si="177"/>
        <v>7.0000000000000001E-3</v>
      </c>
      <c r="M1423" s="203" t="str">
        <f>工時!R607</f>
        <v>540</v>
      </c>
      <c r="N1423" s="144"/>
      <c r="O1423" s="144">
        <f t="shared" si="178"/>
        <v>0</v>
      </c>
      <c r="P1423" s="156">
        <v>628</v>
      </c>
      <c r="Q1423" s="145">
        <f t="shared" si="179"/>
        <v>1</v>
      </c>
      <c r="R1423" s="144"/>
      <c r="S1423" s="153"/>
      <c r="T1423" s="140"/>
      <c r="V1423" s="381"/>
      <c r="W1423" s="421"/>
      <c r="X1423" s="381"/>
      <c r="Y1423" s="421"/>
      <c r="Z1423" s="421"/>
      <c r="AA1423" s="421"/>
      <c r="AB1423" s="421"/>
      <c r="AC1423" s="421"/>
      <c r="AD1423" s="421"/>
    </row>
    <row r="1424" spans="1:30" s="146" customFormat="1" x14ac:dyDescent="0.4">
      <c r="A1424" s="182">
        <v>45743</v>
      </c>
      <c r="B1424" s="139" t="s">
        <v>65</v>
      </c>
      <c r="C1424" s="140" t="str">
        <f>VLOOKUP(B1424,'112年全品項生產鍋數'!A:H,2,0)</f>
        <v>＃1花生(1*2.8kg)</v>
      </c>
      <c r="D1424" s="290">
        <v>44</v>
      </c>
      <c r="E1424" s="141">
        <f>VLOOKUP(B1424,'112年全品項生產鍋數'!A:H,3,0)</f>
        <v>2.8</v>
      </c>
      <c r="F1424" s="142">
        <f>VLOOKUP(B1424,'112年全品項生產鍋數'!A:H,7,0)</f>
        <v>44.5</v>
      </c>
      <c r="G1424" s="143">
        <f t="shared" si="174"/>
        <v>1958</v>
      </c>
      <c r="H1424" s="158">
        <v>1993</v>
      </c>
      <c r="I1424" s="144">
        <f t="shared" si="175"/>
        <v>5580.4</v>
      </c>
      <c r="J1424" s="100">
        <f t="shared" si="176"/>
        <v>1.0178753830439224</v>
      </c>
      <c r="K1424" s="51">
        <f>VLOOKUP(B:B,'生產達成率(目標)'!A:C,3,0)</f>
        <v>1</v>
      </c>
      <c r="L1424" s="20">
        <f t="shared" si="177"/>
        <v>1.7999999999999999E-2</v>
      </c>
      <c r="M1424" s="203" t="str">
        <f>工時!R608</f>
        <v>480</v>
      </c>
      <c r="N1424" s="144"/>
      <c r="O1424" s="144">
        <f t="shared" si="178"/>
        <v>5</v>
      </c>
      <c r="P1424" s="156">
        <v>1988</v>
      </c>
      <c r="Q1424" s="145">
        <f t="shared" si="179"/>
        <v>0.997491219267436</v>
      </c>
      <c r="R1424" s="144"/>
      <c r="S1424" s="153"/>
      <c r="T1424" s="140"/>
      <c r="V1424" s="381"/>
      <c r="W1424" s="421"/>
      <c r="X1424" s="381"/>
      <c r="Y1424" s="421"/>
      <c r="Z1424" s="421"/>
      <c r="AA1424" s="421"/>
      <c r="AB1424" s="421"/>
      <c r="AC1424" s="421"/>
      <c r="AD1424" s="421"/>
    </row>
    <row r="1425" spans="1:30" s="146" customFormat="1" x14ac:dyDescent="0.4">
      <c r="A1425" s="182">
        <v>45743</v>
      </c>
      <c r="B1425" s="139" t="s">
        <v>97</v>
      </c>
      <c r="C1425" s="140" t="str">
        <f>VLOOKUP(B1425,'112年全品項生產鍋數'!A:H,2,0)</f>
        <v>花生醬(1*18KG)</v>
      </c>
      <c r="D1425" s="290">
        <v>8</v>
      </c>
      <c r="E1425" s="141">
        <f>VLOOKUP(B1425,'112年全品項生產鍋數'!A:H,3,0)</f>
        <v>18</v>
      </c>
      <c r="F1425" s="142">
        <f>VLOOKUP(B1425,'112年全品項生產鍋數'!A:H,7,0)</f>
        <v>6.6</v>
      </c>
      <c r="G1425" s="143">
        <f t="shared" si="174"/>
        <v>52.8</v>
      </c>
      <c r="H1425" s="158">
        <v>52</v>
      </c>
      <c r="I1425" s="144">
        <f t="shared" si="175"/>
        <v>936</v>
      </c>
      <c r="J1425" s="100">
        <f t="shared" si="176"/>
        <v>0.98484848484848486</v>
      </c>
      <c r="K1425" s="51">
        <f>VLOOKUP(B:B,'生產達成率(目標)'!A:C,3,0)</f>
        <v>1</v>
      </c>
      <c r="L1425" s="20">
        <f t="shared" si="177"/>
        <v>-1.4999999999999999E-2</v>
      </c>
      <c r="M1425" s="203" t="str">
        <f>工時!R609</f>
        <v>120</v>
      </c>
      <c r="N1425" s="144"/>
      <c r="O1425" s="144">
        <f t="shared" si="178"/>
        <v>0</v>
      </c>
      <c r="P1425" s="156">
        <v>52</v>
      </c>
      <c r="Q1425" s="145">
        <f t="shared" si="179"/>
        <v>1</v>
      </c>
      <c r="R1425" s="144"/>
      <c r="S1425" s="153"/>
      <c r="T1425" s="140"/>
      <c r="V1425" s="381"/>
      <c r="W1425" s="421"/>
      <c r="X1425" s="381"/>
      <c r="Y1425" s="421"/>
      <c r="Z1425" s="421"/>
      <c r="AA1425" s="421"/>
      <c r="AB1425" s="421"/>
      <c r="AC1425" s="421"/>
      <c r="AD1425" s="421"/>
    </row>
    <row r="1426" spans="1:30" s="146" customFormat="1" x14ac:dyDescent="0.4">
      <c r="A1426" s="182">
        <v>45744</v>
      </c>
      <c r="B1426" s="139" t="s">
        <v>114</v>
      </c>
      <c r="C1426" s="140" t="str">
        <f>VLOOKUP(B1426,'112年全品項生產鍋數'!A:H,2,0)</f>
        <v>開心草莓果醬(1*430g)</v>
      </c>
      <c r="D1426" s="290">
        <v>12</v>
      </c>
      <c r="E1426" s="141">
        <f>VLOOKUP(B1426,'112年全品項生產鍋數'!A:H,3,0)</f>
        <v>0.43</v>
      </c>
      <c r="F1426" s="142">
        <f>VLOOKUP(B1426,'112年全品項生產鍋數'!A:H,7,0)</f>
        <v>364</v>
      </c>
      <c r="G1426" s="143">
        <f t="shared" ref="G1426:G1472" si="180">D1426*F1426</f>
        <v>4368</v>
      </c>
      <c r="H1426" s="158">
        <v>4573</v>
      </c>
      <c r="I1426" s="144">
        <f t="shared" ref="I1426:I1472" si="181">H1426*E1426</f>
        <v>1966.3899999999999</v>
      </c>
      <c r="J1426" s="100">
        <f t="shared" ref="J1426:J1472" si="182">IF(G1426=0,"無法預估數據",H1426/G1426)</f>
        <v>1.0469322344322345</v>
      </c>
      <c r="K1426" s="51">
        <f>VLOOKUP(B:B,'生產達成率(目標)'!A:C,3,0)</f>
        <v>1</v>
      </c>
      <c r="L1426" s="20">
        <f t="shared" ref="L1426:L1472" si="183">IF(G1426=0,"無法預估數據",ROUND(J1426-K1426,3))</f>
        <v>4.7E-2</v>
      </c>
      <c r="M1426" s="203" t="str">
        <f>工時!R610</f>
        <v>360</v>
      </c>
      <c r="N1426" s="144"/>
      <c r="O1426" s="144">
        <f t="shared" ref="O1426:O1472" si="184">H1426-N1426-P1426</f>
        <v>7</v>
      </c>
      <c r="P1426" s="156">
        <v>4566</v>
      </c>
      <c r="Q1426" s="145">
        <f t="shared" ref="Q1426:Q1472" si="185">P1426/H1426</f>
        <v>0.99846927618631098</v>
      </c>
      <c r="R1426" s="144"/>
      <c r="S1426" s="153"/>
      <c r="T1426" s="140"/>
      <c r="V1426" s="381"/>
      <c r="W1426" s="421"/>
      <c r="X1426" s="381"/>
      <c r="Y1426" s="421"/>
      <c r="Z1426" s="421"/>
      <c r="AA1426" s="421"/>
      <c r="AB1426" s="421"/>
      <c r="AC1426" s="421"/>
      <c r="AD1426" s="421"/>
    </row>
    <row r="1427" spans="1:30" s="146" customFormat="1" x14ac:dyDescent="0.4">
      <c r="A1427" s="182">
        <v>45744</v>
      </c>
      <c r="B1427" s="139" t="s">
        <v>955</v>
      </c>
      <c r="C1427" s="140" t="str">
        <f>VLOOKUP(B1427,'112年全品項生產鍋數'!A:H,2,0)</f>
        <v>開心草莓果醬(1*430g)</v>
      </c>
      <c r="D1427" s="290">
        <v>3</v>
      </c>
      <c r="E1427" s="141">
        <f>VLOOKUP(B1427,'112年全品項生產鍋數'!A:H,3,0)</f>
        <v>0.43</v>
      </c>
      <c r="F1427" s="142">
        <f>VLOOKUP(B1427,'112年全品項生產鍋數'!A:H,7,0)</f>
        <v>364</v>
      </c>
      <c r="G1427" s="143">
        <f t="shared" si="180"/>
        <v>1092</v>
      </c>
      <c r="H1427" s="158">
        <v>1130</v>
      </c>
      <c r="I1427" s="144">
        <f t="shared" si="181"/>
        <v>485.9</v>
      </c>
      <c r="J1427" s="100">
        <f t="shared" si="182"/>
        <v>1.0347985347985349</v>
      </c>
      <c r="K1427" s="51" t="e">
        <f>VLOOKUP(B:B,'生產達成率(目標)'!A:C,3,0)</f>
        <v>#N/A</v>
      </c>
      <c r="L1427" s="20" t="e">
        <f t="shared" si="183"/>
        <v>#N/A</v>
      </c>
      <c r="M1427" s="203" t="str">
        <f>工時!R611</f>
        <v>360</v>
      </c>
      <c r="N1427" s="144"/>
      <c r="O1427" s="144">
        <f t="shared" si="184"/>
        <v>7</v>
      </c>
      <c r="P1427" s="156">
        <v>1123</v>
      </c>
      <c r="Q1427" s="145">
        <f t="shared" si="185"/>
        <v>0.99380530973451331</v>
      </c>
      <c r="R1427" s="144"/>
      <c r="S1427" s="153"/>
      <c r="T1427" s="140" t="s">
        <v>972</v>
      </c>
      <c r="V1427" s="381"/>
      <c r="W1427" s="421"/>
      <c r="X1427" s="381"/>
      <c r="Y1427" s="421"/>
      <c r="Z1427" s="421"/>
      <c r="AA1427" s="421"/>
      <c r="AB1427" s="421"/>
      <c r="AC1427" s="421"/>
      <c r="AD1427" s="421"/>
    </row>
    <row r="1428" spans="1:30" x14ac:dyDescent="0.4">
      <c r="A1428" s="181">
        <v>45744</v>
      </c>
      <c r="B1428" s="139" t="s">
        <v>91</v>
      </c>
      <c r="C1428" s="30" t="str">
        <f>VLOOKUP(B1428,'112年全品項生產鍋數'!A:H,2,0)</f>
        <v>梨山草莓果醬(1*430g)</v>
      </c>
      <c r="D1428" s="290">
        <v>12</v>
      </c>
      <c r="E1428" s="48">
        <f>VLOOKUP(B1428,'112年全品項生產鍋數'!A:H,3,0)</f>
        <v>0.43</v>
      </c>
      <c r="F1428" s="45">
        <f>VLOOKUP(B1428,'112年全品項生產鍋數'!A:H,7,0)</f>
        <v>340.4</v>
      </c>
      <c r="G1428" s="49">
        <f t="shared" si="180"/>
        <v>4084.7999999999997</v>
      </c>
      <c r="H1428" s="158">
        <f>1819+2162</f>
        <v>3981</v>
      </c>
      <c r="I1428" s="23">
        <f t="shared" si="181"/>
        <v>1711.83</v>
      </c>
      <c r="J1428" s="100">
        <f t="shared" si="182"/>
        <v>0.97458871915393663</v>
      </c>
      <c r="K1428" s="51">
        <f>VLOOKUP(B:B,'生產達成率(目標)'!A:C,3,0)</f>
        <v>1</v>
      </c>
      <c r="L1428" s="20">
        <f t="shared" si="183"/>
        <v>-2.5000000000000001E-2</v>
      </c>
      <c r="M1428" s="203" t="str">
        <f>工時!R612</f>
        <v>240</v>
      </c>
      <c r="N1428" s="144"/>
      <c r="O1428" s="144">
        <f t="shared" si="184"/>
        <v>13</v>
      </c>
      <c r="P1428" s="156">
        <f>1808+2160</f>
        <v>3968</v>
      </c>
      <c r="Q1428" s="98">
        <f t="shared" si="185"/>
        <v>0.99673448882190407</v>
      </c>
      <c r="R1428" s="23"/>
      <c r="S1428" s="173"/>
      <c r="T1428" s="30" t="s">
        <v>973</v>
      </c>
    </row>
    <row r="1429" spans="1:30" x14ac:dyDescent="0.4">
      <c r="A1429" s="181">
        <v>45744</v>
      </c>
      <c r="B1429" s="139" t="s">
        <v>108</v>
      </c>
      <c r="C1429" s="30" t="str">
        <f>VLOOKUP(B1429,'112年全品項生產鍋數'!A:H,2,0)</f>
        <v>顆粒花生醬(1*12KG)</v>
      </c>
      <c r="D1429" s="290">
        <v>21</v>
      </c>
      <c r="E1429" s="48">
        <f>VLOOKUP(B1429,'112年全品項生產鍋數'!A:H,3,0)</f>
        <v>3</v>
      </c>
      <c r="F1429" s="45">
        <f>VLOOKUP(B1429,'112年全品項生產鍋數'!A:H,7,0)</f>
        <v>31.6</v>
      </c>
      <c r="G1429" s="49">
        <f t="shared" si="180"/>
        <v>663.6</v>
      </c>
      <c r="H1429" s="158">
        <v>668</v>
      </c>
      <c r="I1429" s="23">
        <f t="shared" si="181"/>
        <v>2004</v>
      </c>
      <c r="J1429" s="100">
        <f t="shared" si="182"/>
        <v>1.0066305003013862</v>
      </c>
      <c r="K1429" s="51">
        <f>VLOOKUP(B:B,'生產達成率(目標)'!A:C,3,0)</f>
        <v>1</v>
      </c>
      <c r="L1429" s="20">
        <f t="shared" si="183"/>
        <v>7.0000000000000001E-3</v>
      </c>
      <c r="M1429" s="203" t="str">
        <f>工時!R613</f>
        <v>540</v>
      </c>
      <c r="N1429" s="144"/>
      <c r="O1429" s="144">
        <f t="shared" si="184"/>
        <v>0</v>
      </c>
      <c r="P1429" s="156">
        <v>668</v>
      </c>
      <c r="Q1429" s="98">
        <f t="shared" si="185"/>
        <v>1</v>
      </c>
      <c r="R1429" s="23"/>
      <c r="S1429" s="173"/>
      <c r="T1429" s="30"/>
    </row>
    <row r="1430" spans="1:30" x14ac:dyDescent="0.4">
      <c r="A1430" s="181">
        <v>45747</v>
      </c>
      <c r="B1430" s="139" t="s">
        <v>71</v>
      </c>
      <c r="C1430" s="30" t="str">
        <f>VLOOKUP(B1430,'112年全品項生產鍋數'!A:H,2,0)</f>
        <v>＃1草莓(1*3.2kg)</v>
      </c>
      <c r="D1430" s="290">
        <v>60</v>
      </c>
      <c r="E1430" s="48">
        <f>VLOOKUP(B1430,'112年全品項生產鍋數'!A:H,3,0)</f>
        <v>3.2</v>
      </c>
      <c r="F1430" s="45">
        <f>VLOOKUP(B1430,'112年全品項生產鍋數'!A:H,7,0)</f>
        <v>46.8</v>
      </c>
      <c r="G1430" s="49">
        <f t="shared" si="180"/>
        <v>2808</v>
      </c>
      <c r="H1430" s="158">
        <v>2781</v>
      </c>
      <c r="I1430" s="23">
        <f t="shared" si="181"/>
        <v>8899.2000000000007</v>
      </c>
      <c r="J1430" s="100">
        <f t="shared" si="182"/>
        <v>0.99038461538461542</v>
      </c>
      <c r="K1430" s="51">
        <f>VLOOKUP(B:B,'生產達成率(目標)'!A:C,3,0)</f>
        <v>1</v>
      </c>
      <c r="L1430" s="20">
        <f t="shared" si="183"/>
        <v>-0.01</v>
      </c>
      <c r="M1430" s="203" t="str">
        <f>工時!R614</f>
        <v>410</v>
      </c>
      <c r="N1430" s="144"/>
      <c r="O1430" s="144">
        <f t="shared" si="184"/>
        <v>2</v>
      </c>
      <c r="P1430" s="156">
        <v>2779</v>
      </c>
      <c r="Q1430" s="98">
        <f t="shared" si="185"/>
        <v>0.99928083423229053</v>
      </c>
      <c r="R1430" s="23"/>
      <c r="S1430" s="173"/>
      <c r="T1430" s="30"/>
    </row>
    <row r="1431" spans="1:30" x14ac:dyDescent="0.4">
      <c r="A1431" s="181">
        <v>45747</v>
      </c>
      <c r="B1431" s="139" t="s">
        <v>979</v>
      </c>
      <c r="C1431" s="30" t="str">
        <f>VLOOKUP(B1431,'112年全品項生產鍋數'!A:H,2,0)</f>
        <v>＃1藍莓(1*3.2kg)</v>
      </c>
      <c r="D1431" s="290">
        <v>2</v>
      </c>
      <c r="E1431" s="48">
        <f>VLOOKUP(B1431,'112年全品項生產鍋數'!A:H,3,0)</f>
        <v>3.2</v>
      </c>
      <c r="F1431" s="45">
        <f>VLOOKUP(B1431,'112年全品項生產鍋數'!A:H,7,0)</f>
        <v>47.5</v>
      </c>
      <c r="G1431" s="49">
        <f t="shared" si="180"/>
        <v>95</v>
      </c>
      <c r="H1431" s="158">
        <v>92</v>
      </c>
      <c r="I1431" s="23">
        <f t="shared" si="181"/>
        <v>294.40000000000003</v>
      </c>
      <c r="J1431" s="100">
        <f t="shared" si="182"/>
        <v>0.96842105263157896</v>
      </c>
      <c r="K1431" s="51" t="e">
        <f>VLOOKUP(B:B,'生產達成率(目標)'!A:C,3,0)</f>
        <v>#N/A</v>
      </c>
      <c r="L1431" s="20" t="e">
        <f t="shared" si="183"/>
        <v>#N/A</v>
      </c>
      <c r="M1431" s="203" t="str">
        <f>工時!R615</f>
        <v>174</v>
      </c>
      <c r="N1431" s="144"/>
      <c r="O1431" s="186">
        <f t="shared" si="184"/>
        <v>3</v>
      </c>
      <c r="P1431" s="156">
        <v>89</v>
      </c>
      <c r="Q1431" s="98">
        <f t="shared" si="185"/>
        <v>0.96739130434782605</v>
      </c>
      <c r="R1431" s="23"/>
      <c r="S1431" s="173"/>
      <c r="T1431" s="30" t="s">
        <v>980</v>
      </c>
    </row>
    <row r="1432" spans="1:30" x14ac:dyDescent="0.4">
      <c r="A1432" s="181">
        <v>45747</v>
      </c>
      <c r="B1432" s="139" t="s">
        <v>63</v>
      </c>
      <c r="C1432" s="30" t="str">
        <f>VLOOKUP(B1432,'112年全品項生產鍋數'!A:H,2,0)</f>
        <v>草莓蒟蒻餡(1*6kg)</v>
      </c>
      <c r="D1432" s="290">
        <v>24</v>
      </c>
      <c r="E1432" s="48">
        <f>VLOOKUP(B1432,'112年全品項生產鍋數'!A:H,3,0)</f>
        <v>6</v>
      </c>
      <c r="F1432" s="45">
        <f>VLOOKUP(B1432,'112年全品項生產鍋數'!A:H,7,0)</f>
        <v>25.7</v>
      </c>
      <c r="G1432" s="49">
        <f t="shared" si="180"/>
        <v>616.79999999999995</v>
      </c>
      <c r="H1432" s="158">
        <f>316+316</f>
        <v>632</v>
      </c>
      <c r="I1432" s="23">
        <f t="shared" si="181"/>
        <v>3792</v>
      </c>
      <c r="J1432" s="100">
        <f t="shared" si="182"/>
        <v>1.0246433203631649</v>
      </c>
      <c r="K1432" s="51">
        <f>VLOOKUP(B:B,'生產達成率(目標)'!A:C,3,0)</f>
        <v>1</v>
      </c>
      <c r="L1432" s="20">
        <f t="shared" si="183"/>
        <v>2.5000000000000001E-2</v>
      </c>
      <c r="M1432" s="203" t="str">
        <f>工時!R616</f>
        <v>361</v>
      </c>
      <c r="N1432" s="144"/>
      <c r="O1432" s="144">
        <f t="shared" si="184"/>
        <v>1</v>
      </c>
      <c r="P1432" s="156">
        <f>315+316</f>
        <v>631</v>
      </c>
      <c r="Q1432" s="98">
        <f t="shared" si="185"/>
        <v>0.99841772151898733</v>
      </c>
      <c r="R1432" s="23"/>
      <c r="S1432" s="173"/>
      <c r="T1432" s="30"/>
    </row>
    <row r="1433" spans="1:30" x14ac:dyDescent="0.4">
      <c r="A1433" s="181">
        <v>45747</v>
      </c>
      <c r="B1433" s="139" t="s">
        <v>76</v>
      </c>
      <c r="C1433" s="30" t="str">
        <f>VLOOKUP(B1433,'112年全品項生產鍋數'!A:H,2,0)</f>
        <v>草莓餡(1*6Kg)</v>
      </c>
      <c r="D1433" s="290">
        <v>12</v>
      </c>
      <c r="E1433" s="48">
        <f>VLOOKUP(B1433,'112年全品項生產鍋數'!A:H,3,0)</f>
        <v>6</v>
      </c>
      <c r="F1433" s="45">
        <f>VLOOKUP(B1433,'112年全品項生產鍋數'!A:H,7,0)</f>
        <v>25.5</v>
      </c>
      <c r="G1433" s="49">
        <f t="shared" si="180"/>
        <v>306</v>
      </c>
      <c r="H1433" s="158">
        <v>303</v>
      </c>
      <c r="I1433" s="23">
        <f t="shared" si="181"/>
        <v>1818</v>
      </c>
      <c r="J1433" s="100">
        <f t="shared" si="182"/>
        <v>0.99019607843137258</v>
      </c>
      <c r="K1433" s="51">
        <f>VLOOKUP(B:B,'生產達成率(目標)'!A:C,3,0)</f>
        <v>1</v>
      </c>
      <c r="L1433" s="20">
        <f t="shared" si="183"/>
        <v>-0.01</v>
      </c>
      <c r="M1433" s="203" t="str">
        <f>工時!R617</f>
        <v>190</v>
      </c>
      <c r="N1433" s="144"/>
      <c r="O1433" s="144">
        <f t="shared" si="184"/>
        <v>2</v>
      </c>
      <c r="P1433" s="156">
        <v>301</v>
      </c>
      <c r="Q1433" s="98">
        <f t="shared" si="185"/>
        <v>0.99339933993399343</v>
      </c>
      <c r="R1433" s="23"/>
      <c r="S1433" s="173"/>
      <c r="T1433" s="30"/>
    </row>
    <row r="1434" spans="1:30" x14ac:dyDescent="0.4">
      <c r="A1434" s="181">
        <v>45747</v>
      </c>
      <c r="B1434" s="139" t="s">
        <v>65</v>
      </c>
      <c r="C1434" s="30" t="str">
        <f>VLOOKUP(B1434,'112年全品項生產鍋數'!A:H,2,0)</f>
        <v>＃1花生(1*2.8kg)</v>
      </c>
      <c r="D1434" s="290">
        <v>52</v>
      </c>
      <c r="E1434" s="48">
        <f>VLOOKUP(B1434,'112年全品項生產鍋數'!A:H,3,0)</f>
        <v>2.8</v>
      </c>
      <c r="F1434" s="45">
        <f>VLOOKUP(B1434,'112年全品項生產鍋數'!A:H,7,0)</f>
        <v>44.5</v>
      </c>
      <c r="G1434" s="49">
        <f t="shared" si="180"/>
        <v>2314</v>
      </c>
      <c r="H1434" s="158">
        <v>2367</v>
      </c>
      <c r="I1434" s="23">
        <f t="shared" si="181"/>
        <v>6627.5999999999995</v>
      </c>
      <c r="J1434" s="100">
        <f t="shared" si="182"/>
        <v>1.0229040622299048</v>
      </c>
      <c r="K1434" s="51">
        <f>VLOOKUP(B:B,'生產達成率(目標)'!A:C,3,0)</f>
        <v>1</v>
      </c>
      <c r="L1434" s="20">
        <f t="shared" si="183"/>
        <v>2.3E-2</v>
      </c>
      <c r="M1434" s="203" t="str">
        <f>工時!R618</f>
        <v>540</v>
      </c>
      <c r="N1434" s="144"/>
      <c r="O1434" s="144">
        <f t="shared" si="184"/>
        <v>1</v>
      </c>
      <c r="P1434" s="156">
        <v>2366</v>
      </c>
      <c r="Q1434" s="98">
        <f t="shared" si="185"/>
        <v>0.99957752429235314</v>
      </c>
      <c r="R1434" s="23"/>
      <c r="S1434" s="173">
        <f>52*3</f>
        <v>156</v>
      </c>
      <c r="T1434" s="30" t="s">
        <v>987</v>
      </c>
    </row>
    <row r="1435" spans="1:30" x14ac:dyDescent="0.4">
      <c r="A1435" s="181">
        <v>45748</v>
      </c>
      <c r="B1435" s="139" t="s">
        <v>54</v>
      </c>
      <c r="C1435" s="30" t="str">
        <f>VLOOKUP(B1435,'112年全品項生產鍋數'!A:H,2,0)</f>
        <v>草莓醬(1*6kg)</v>
      </c>
      <c r="D1435" s="290">
        <v>30</v>
      </c>
      <c r="E1435" s="48">
        <f>VLOOKUP(B1435,'112年全品項生產鍋數'!A:H,3,0)</f>
        <v>6</v>
      </c>
      <c r="F1435" s="45">
        <f>VLOOKUP(B1435,'112年全品項生產鍋數'!A:H,7,0)</f>
        <v>26.6</v>
      </c>
      <c r="G1435" s="49">
        <f t="shared" si="180"/>
        <v>798</v>
      </c>
      <c r="H1435" s="158">
        <v>776</v>
      </c>
      <c r="I1435" s="23">
        <f t="shared" si="181"/>
        <v>4656</v>
      </c>
      <c r="J1435" s="100">
        <f t="shared" si="182"/>
        <v>0.97243107769423553</v>
      </c>
      <c r="K1435" s="51">
        <f>VLOOKUP(B:B,'生產達成率(目標)'!A:C,3,0)</f>
        <v>1</v>
      </c>
      <c r="L1435" s="20">
        <f t="shared" si="183"/>
        <v>-2.8000000000000001E-2</v>
      </c>
      <c r="M1435" s="203" t="str">
        <f>工時!R619</f>
        <v>480</v>
      </c>
      <c r="N1435" s="144"/>
      <c r="O1435" s="144">
        <f t="shared" si="184"/>
        <v>179</v>
      </c>
      <c r="P1435" s="156">
        <v>597</v>
      </c>
      <c r="Q1435" s="98">
        <f t="shared" si="185"/>
        <v>0.76932989690721654</v>
      </c>
      <c r="R1435" s="23" t="s">
        <v>982</v>
      </c>
      <c r="S1435" s="173"/>
      <c r="T1435" s="30" t="s">
        <v>983</v>
      </c>
    </row>
    <row r="1436" spans="1:30" x14ac:dyDescent="0.4">
      <c r="A1436" s="181">
        <v>45748</v>
      </c>
      <c r="B1436" s="139" t="s">
        <v>100</v>
      </c>
      <c r="C1436" s="30" t="str">
        <f>VLOOKUP(B1436,'112年全品項生產鍋數'!A:H,2,0)</f>
        <v>芒果蜜桃醬(1*6kg)</v>
      </c>
      <c r="D1436" s="290">
        <v>6</v>
      </c>
      <c r="E1436" s="48">
        <f>VLOOKUP(B1436,'112年全品項生產鍋數'!A:H,3,0)</f>
        <v>6</v>
      </c>
      <c r="F1436" s="45">
        <f>VLOOKUP(B1436,'112年全品項生產鍋數'!A:H,7,0)</f>
        <v>25.6</v>
      </c>
      <c r="G1436" s="49">
        <f t="shared" si="180"/>
        <v>153.60000000000002</v>
      </c>
      <c r="H1436" s="158">
        <v>147</v>
      </c>
      <c r="I1436" s="23">
        <f t="shared" si="181"/>
        <v>882</v>
      </c>
      <c r="J1436" s="100">
        <f t="shared" si="182"/>
        <v>0.95703124999999989</v>
      </c>
      <c r="K1436" s="51">
        <f>VLOOKUP(B:B,'生產達成率(目標)'!A:C,3,0)</f>
        <v>1</v>
      </c>
      <c r="L1436" s="20">
        <f t="shared" si="183"/>
        <v>-4.2999999999999997E-2</v>
      </c>
      <c r="M1436" s="203" t="str">
        <f>工時!R620</f>
        <v>160</v>
      </c>
      <c r="N1436" s="144"/>
      <c r="O1436" s="144">
        <f t="shared" si="184"/>
        <v>1</v>
      </c>
      <c r="P1436" s="156">
        <v>146</v>
      </c>
      <c r="Q1436" s="98">
        <f t="shared" si="185"/>
        <v>0.99319727891156462</v>
      </c>
      <c r="R1436" s="23" t="s">
        <v>1011</v>
      </c>
      <c r="S1436" s="173"/>
      <c r="T1436" s="30" t="s">
        <v>1012</v>
      </c>
    </row>
    <row r="1437" spans="1:30" x14ac:dyDescent="0.4">
      <c r="A1437" s="181">
        <v>45748</v>
      </c>
      <c r="B1437" s="139" t="s">
        <v>55</v>
      </c>
      <c r="C1437" s="30" t="str">
        <f>VLOOKUP(B1437,'112年全品項生產鍋數'!A:H,2,0)</f>
        <v>天天開心草莓餡4.5KG</v>
      </c>
      <c r="D1437" s="290">
        <v>40</v>
      </c>
      <c r="E1437" s="48">
        <f>VLOOKUP(B1437,'112年全品項生產鍋數'!A:H,3,0)</f>
        <v>4.5</v>
      </c>
      <c r="F1437" s="45">
        <f>VLOOKUP(B1437,'112年全品項生產鍋數'!A:H,7,0)</f>
        <v>36.299999999999997</v>
      </c>
      <c r="G1437" s="49">
        <f t="shared" si="180"/>
        <v>1452</v>
      </c>
      <c r="H1437" s="158">
        <v>1472</v>
      </c>
      <c r="I1437" s="23">
        <f t="shared" si="181"/>
        <v>6624</v>
      </c>
      <c r="J1437" s="100">
        <f t="shared" si="182"/>
        <v>1.0137741046831956</v>
      </c>
      <c r="K1437" s="51">
        <f>VLOOKUP(B:B,'生產達成率(目標)'!A:C,3,0)</f>
        <v>1</v>
      </c>
      <c r="L1437" s="20">
        <f t="shared" si="183"/>
        <v>1.4E-2</v>
      </c>
      <c r="M1437" s="203" t="str">
        <f>工時!R621</f>
        <v>540</v>
      </c>
      <c r="N1437" s="144"/>
      <c r="O1437" s="144">
        <f t="shared" si="184"/>
        <v>0</v>
      </c>
      <c r="P1437" s="156">
        <v>1472</v>
      </c>
      <c r="Q1437" s="98">
        <f t="shared" si="185"/>
        <v>1</v>
      </c>
      <c r="R1437" s="23"/>
      <c r="S1437" s="173"/>
      <c r="T1437" s="30"/>
    </row>
    <row r="1438" spans="1:30" x14ac:dyDescent="0.4">
      <c r="A1438" s="181">
        <v>45748</v>
      </c>
      <c r="B1438" s="139" t="s">
        <v>65</v>
      </c>
      <c r="C1438" s="30" t="str">
        <f>VLOOKUP(B1438,'112年全品項生產鍋數'!A:H,2,0)</f>
        <v>＃1花生(1*2.8kg)</v>
      </c>
      <c r="D1438" s="290">
        <v>52</v>
      </c>
      <c r="E1438" s="48">
        <f>VLOOKUP(B1438,'112年全品項生產鍋數'!A:H,3,0)</f>
        <v>2.8</v>
      </c>
      <c r="F1438" s="45">
        <f>VLOOKUP(B1438,'112年全品項生產鍋數'!A:H,7,0)</f>
        <v>44.5</v>
      </c>
      <c r="G1438" s="49">
        <f t="shared" si="180"/>
        <v>2314</v>
      </c>
      <c r="H1438" s="158">
        <v>2373</v>
      </c>
      <c r="I1438" s="23">
        <f t="shared" si="181"/>
        <v>6644.4</v>
      </c>
      <c r="J1438" s="100">
        <f t="shared" si="182"/>
        <v>1.0254969749351772</v>
      </c>
      <c r="K1438" s="51">
        <f>VLOOKUP(B:B,'生產達成率(目標)'!A:C,3,0)</f>
        <v>1</v>
      </c>
      <c r="L1438" s="20">
        <f t="shared" si="183"/>
        <v>2.5000000000000001E-2</v>
      </c>
      <c r="M1438" s="203" t="str">
        <f>工時!R622</f>
        <v>540</v>
      </c>
      <c r="N1438" s="144"/>
      <c r="O1438" s="144">
        <f t="shared" si="184"/>
        <v>1</v>
      </c>
      <c r="P1438" s="156">
        <v>2372</v>
      </c>
      <c r="Q1438" s="98">
        <f t="shared" si="185"/>
        <v>0.99957859249894643</v>
      </c>
      <c r="R1438" s="23"/>
      <c r="S1438" s="173">
        <f>52*3</f>
        <v>156</v>
      </c>
      <c r="T1438" s="30" t="s">
        <v>981</v>
      </c>
    </row>
    <row r="1439" spans="1:30" s="146" customFormat="1" x14ac:dyDescent="0.4">
      <c r="A1439" s="182">
        <v>45749</v>
      </c>
      <c r="B1439" s="139" t="s">
        <v>61</v>
      </c>
      <c r="C1439" s="140" t="str">
        <f>VLOOKUP(B1439,'112年全品項生產鍋數'!A:H,2,0)</f>
        <v>大圓草莓-新</v>
      </c>
      <c r="D1439" s="290">
        <v>40</v>
      </c>
      <c r="E1439" s="141">
        <f>VLOOKUP(B1439,'112年全品項生產鍋數'!A:H,3,0)</f>
        <v>0.44</v>
      </c>
      <c r="F1439" s="142">
        <f>VLOOKUP(B1439,'112年全品項生產鍋數'!A:H,7,0)</f>
        <v>344</v>
      </c>
      <c r="G1439" s="143">
        <f t="shared" si="180"/>
        <v>13760</v>
      </c>
      <c r="H1439" s="158">
        <v>13848</v>
      </c>
      <c r="I1439" s="144">
        <f t="shared" si="181"/>
        <v>6093.12</v>
      </c>
      <c r="J1439" s="100">
        <f t="shared" si="182"/>
        <v>1.0063953488372093</v>
      </c>
      <c r="K1439" s="51">
        <f>VLOOKUP(B:B,'生產達成率(目標)'!A:C,3,0)</f>
        <v>1</v>
      </c>
      <c r="L1439" s="20">
        <f t="shared" si="183"/>
        <v>6.0000000000000001E-3</v>
      </c>
      <c r="M1439" s="203" t="str">
        <f>工時!R623</f>
        <v>540</v>
      </c>
      <c r="N1439" s="144"/>
      <c r="O1439" s="144">
        <f t="shared" si="184"/>
        <v>14</v>
      </c>
      <c r="P1439" s="156">
        <v>13834</v>
      </c>
      <c r="Q1439" s="145">
        <f t="shared" si="185"/>
        <v>0.99898902368573084</v>
      </c>
      <c r="R1439" s="144"/>
      <c r="S1439" s="153"/>
      <c r="T1439" s="140"/>
      <c r="V1439" s="381"/>
      <c r="W1439" s="421"/>
      <c r="X1439" s="381"/>
      <c r="Y1439" s="421"/>
      <c r="Z1439" s="421"/>
      <c r="AA1439" s="421"/>
      <c r="AB1439" s="421"/>
      <c r="AC1439" s="421"/>
      <c r="AD1439" s="421"/>
    </row>
    <row r="1440" spans="1:30" s="146" customFormat="1" x14ac:dyDescent="0.4">
      <c r="A1440" s="182">
        <v>45749</v>
      </c>
      <c r="B1440" s="139" t="s">
        <v>64</v>
      </c>
      <c r="C1440" s="140" t="str">
        <f>VLOOKUP(B1440,'112年全品項生產鍋數'!A:H,2,0)</f>
        <v>藍莓餡(1*6KG)</v>
      </c>
      <c r="D1440" s="290">
        <v>12</v>
      </c>
      <c r="E1440" s="141">
        <f>VLOOKUP(B1440,'112年全品項生產鍋數'!A:H,3,0)</f>
        <v>6</v>
      </c>
      <c r="F1440" s="142">
        <f>VLOOKUP(B1440,'112年全品項生產鍋數'!A:H,7,0)</f>
        <v>25.4</v>
      </c>
      <c r="G1440" s="143">
        <f t="shared" si="180"/>
        <v>304.79999999999995</v>
      </c>
      <c r="H1440" s="158">
        <v>304</v>
      </c>
      <c r="I1440" s="144">
        <f t="shared" si="181"/>
        <v>1824</v>
      </c>
      <c r="J1440" s="100">
        <f t="shared" si="182"/>
        <v>0.99737532808398965</v>
      </c>
      <c r="K1440" s="51">
        <f>VLOOKUP(B:B,'生產達成率(目標)'!A:C,3,0)</f>
        <v>1</v>
      </c>
      <c r="L1440" s="20">
        <f t="shared" si="183"/>
        <v>-3.0000000000000001E-3</v>
      </c>
      <c r="M1440" s="203" t="str">
        <f>工時!R624</f>
        <v>215</v>
      </c>
      <c r="N1440" s="144"/>
      <c r="O1440" s="144">
        <f t="shared" si="184"/>
        <v>2</v>
      </c>
      <c r="P1440" s="156">
        <v>302</v>
      </c>
      <c r="Q1440" s="145">
        <f t="shared" si="185"/>
        <v>0.99342105263157898</v>
      </c>
      <c r="R1440" s="144"/>
      <c r="S1440" s="153"/>
      <c r="T1440" s="140"/>
      <c r="V1440" s="381"/>
      <c r="W1440" s="421"/>
      <c r="X1440" s="381"/>
      <c r="Y1440" s="421"/>
      <c r="Z1440" s="421"/>
      <c r="AA1440" s="421"/>
      <c r="AB1440" s="421"/>
      <c r="AC1440" s="421"/>
      <c r="AD1440" s="421"/>
    </row>
    <row r="1441" spans="1:30" s="146" customFormat="1" x14ac:dyDescent="0.4">
      <c r="A1441" s="182">
        <v>45749</v>
      </c>
      <c r="B1441" s="139" t="s">
        <v>63</v>
      </c>
      <c r="C1441" s="140" t="str">
        <f>VLOOKUP(B1441,'112年全品項生產鍋數'!A:H,2,0)</f>
        <v>草莓蒟蒻餡(1*6kg)</v>
      </c>
      <c r="D1441" s="290">
        <v>24</v>
      </c>
      <c r="E1441" s="141">
        <f>VLOOKUP(B1441,'112年全品項生產鍋數'!A:H,3,0)</f>
        <v>6</v>
      </c>
      <c r="F1441" s="142">
        <f>VLOOKUP(B1441,'112年全品項生產鍋數'!A:H,7,0)</f>
        <v>25.7</v>
      </c>
      <c r="G1441" s="143">
        <f t="shared" si="180"/>
        <v>616.79999999999995</v>
      </c>
      <c r="H1441" s="158">
        <f>302+326</f>
        <v>628</v>
      </c>
      <c r="I1441" s="144">
        <f t="shared" si="181"/>
        <v>3768</v>
      </c>
      <c r="J1441" s="100">
        <f t="shared" si="182"/>
        <v>1.0181582360570689</v>
      </c>
      <c r="K1441" s="51">
        <f>VLOOKUP(B:B,'生產達成率(目標)'!A:C,3,0)</f>
        <v>1</v>
      </c>
      <c r="L1441" s="20">
        <f t="shared" si="183"/>
        <v>1.7999999999999999E-2</v>
      </c>
      <c r="M1441" s="203" t="str">
        <f>工時!R625</f>
        <v>368</v>
      </c>
      <c r="N1441" s="144"/>
      <c r="O1441" s="144">
        <f t="shared" si="184"/>
        <v>2</v>
      </c>
      <c r="P1441" s="156">
        <f>300+297+29</f>
        <v>626</v>
      </c>
      <c r="Q1441" s="145">
        <f t="shared" si="185"/>
        <v>0.99681528662420382</v>
      </c>
      <c r="R1441" s="144"/>
      <c r="S1441" s="153"/>
      <c r="T1441" s="140"/>
      <c r="V1441" s="381"/>
      <c r="W1441" s="421"/>
      <c r="X1441" s="381"/>
      <c r="Y1441" s="421"/>
      <c r="Z1441" s="421"/>
      <c r="AA1441" s="421"/>
      <c r="AB1441" s="421"/>
      <c r="AC1441" s="421"/>
      <c r="AD1441" s="421"/>
    </row>
    <row r="1442" spans="1:30" s="146" customFormat="1" x14ac:dyDescent="0.4">
      <c r="A1442" s="182">
        <v>45749</v>
      </c>
      <c r="B1442" s="139" t="s">
        <v>65</v>
      </c>
      <c r="C1442" s="140" t="str">
        <f>VLOOKUP(B1442,'112年全品項生產鍋數'!A:H,2,0)</f>
        <v>＃1花生(1*2.8kg)</v>
      </c>
      <c r="D1442" s="290">
        <v>44</v>
      </c>
      <c r="E1442" s="141">
        <f>VLOOKUP(B1442,'112年全品項生產鍋數'!A:H,3,0)</f>
        <v>2.8</v>
      </c>
      <c r="F1442" s="142">
        <f>VLOOKUP(B1442,'112年全品項生產鍋數'!A:H,7,0)</f>
        <v>44.5</v>
      </c>
      <c r="G1442" s="143">
        <f>D1442*F1442-18*50/E1442</f>
        <v>1636.5714285714284</v>
      </c>
      <c r="H1442" s="158">
        <v>1729</v>
      </c>
      <c r="I1442" s="144">
        <f t="shared" si="181"/>
        <v>4841.2</v>
      </c>
      <c r="J1442" s="100">
        <f t="shared" si="182"/>
        <v>1.0564769553072626</v>
      </c>
      <c r="K1442" s="51">
        <f>VLOOKUP(B:B,'生產達成率(目標)'!A:C,3,0)</f>
        <v>1</v>
      </c>
      <c r="L1442" s="20">
        <f t="shared" si="183"/>
        <v>5.6000000000000001E-2</v>
      </c>
      <c r="M1442" s="203" t="str">
        <f>工時!R626</f>
        <v>420</v>
      </c>
      <c r="N1442" s="144"/>
      <c r="O1442" s="144">
        <f t="shared" si="184"/>
        <v>1</v>
      </c>
      <c r="P1442" s="156">
        <v>1728</v>
      </c>
      <c r="Q1442" s="145">
        <f t="shared" si="185"/>
        <v>0.99942163100057835</v>
      </c>
      <c r="R1442" s="144"/>
      <c r="S1442" s="153">
        <f>44*3</f>
        <v>132</v>
      </c>
      <c r="T1442" s="140" t="s">
        <v>988</v>
      </c>
      <c r="V1442" s="381"/>
      <c r="W1442" s="421"/>
      <c r="X1442" s="381"/>
      <c r="Y1442" s="421"/>
      <c r="Z1442" s="421"/>
      <c r="AA1442" s="421"/>
      <c r="AB1442" s="421"/>
      <c r="AC1442" s="421"/>
      <c r="AD1442" s="421"/>
    </row>
    <row r="1443" spans="1:30" x14ac:dyDescent="0.4">
      <c r="A1443" s="181">
        <v>45749</v>
      </c>
      <c r="B1443" s="139" t="s">
        <v>97</v>
      </c>
      <c r="C1443" s="30" t="str">
        <f>VLOOKUP(B1443,'112年全品項生產鍋數'!A:H,2,0)</f>
        <v>花生醬(1*18KG)</v>
      </c>
      <c r="D1443" s="290">
        <v>8</v>
      </c>
      <c r="E1443" s="48">
        <f>VLOOKUP(B1443,'112年全品項生產鍋數'!A:H,3,0)</f>
        <v>18</v>
      </c>
      <c r="F1443" s="45">
        <f>VLOOKUP(B1443,'112年全品項生產鍋數'!A:H,7,0)</f>
        <v>6.6</v>
      </c>
      <c r="G1443" s="49">
        <f t="shared" si="180"/>
        <v>52.8</v>
      </c>
      <c r="H1443" s="158">
        <v>52</v>
      </c>
      <c r="I1443" s="23">
        <f t="shared" si="181"/>
        <v>936</v>
      </c>
      <c r="J1443" s="100">
        <f t="shared" si="182"/>
        <v>0.98484848484848486</v>
      </c>
      <c r="K1443" s="51">
        <f>VLOOKUP(B:B,'生產達成率(目標)'!A:C,3,0)</f>
        <v>1</v>
      </c>
      <c r="L1443" s="20">
        <f t="shared" si="183"/>
        <v>-1.4999999999999999E-2</v>
      </c>
      <c r="M1443" s="203" t="str">
        <f>工時!R627</f>
        <v>130</v>
      </c>
      <c r="N1443" s="144"/>
      <c r="O1443" s="144">
        <f t="shared" si="184"/>
        <v>0</v>
      </c>
      <c r="P1443" s="156">
        <v>52</v>
      </c>
      <c r="Q1443" s="98">
        <f t="shared" si="185"/>
        <v>1</v>
      </c>
      <c r="R1443" s="23"/>
      <c r="S1443" s="173"/>
      <c r="T1443" s="30"/>
    </row>
    <row r="1444" spans="1:30" x14ac:dyDescent="0.4">
      <c r="A1444" s="181">
        <v>45754</v>
      </c>
      <c r="B1444" s="139" t="s">
        <v>80</v>
      </c>
      <c r="C1444" s="30" t="str">
        <f>VLOOKUP(B1444,'112年全品項生產鍋數'!A:H,2,0)</f>
        <v>＃1桔子(1*3.2kg)</v>
      </c>
      <c r="D1444" s="290">
        <v>32</v>
      </c>
      <c r="E1444" s="48">
        <f>VLOOKUP(B1444,'112年全品項生產鍋數'!A:H,3,0)</f>
        <v>3.2</v>
      </c>
      <c r="F1444" s="45">
        <f>VLOOKUP(B1444,'112年全品項生產鍋數'!A:H,7,0)</f>
        <v>46.4</v>
      </c>
      <c r="G1444" s="49">
        <f t="shared" si="180"/>
        <v>1484.8</v>
      </c>
      <c r="H1444" s="158">
        <v>1473</v>
      </c>
      <c r="I1444" s="23">
        <f t="shared" si="181"/>
        <v>4713.6000000000004</v>
      </c>
      <c r="J1444" s="100">
        <f t="shared" si="182"/>
        <v>0.99205280172413801</v>
      </c>
      <c r="K1444" s="51">
        <f>VLOOKUP(B:B,'生產達成率(目標)'!A:C,3,0)</f>
        <v>1</v>
      </c>
      <c r="L1444" s="20">
        <f t="shared" si="183"/>
        <v>-8.0000000000000002E-3</v>
      </c>
      <c r="M1444" s="203" t="str">
        <f>工時!R628</f>
        <v>300</v>
      </c>
      <c r="N1444" s="144"/>
      <c r="O1444" s="144">
        <f t="shared" si="184"/>
        <v>1</v>
      </c>
      <c r="P1444" s="156">
        <v>1472</v>
      </c>
      <c r="Q1444" s="98">
        <f t="shared" si="185"/>
        <v>0.99932111337406648</v>
      </c>
      <c r="R1444" s="23"/>
      <c r="S1444" s="173"/>
      <c r="T1444" s="30"/>
    </row>
    <row r="1445" spans="1:30" x14ac:dyDescent="0.4">
      <c r="A1445" s="181">
        <v>45754</v>
      </c>
      <c r="B1445" s="139" t="s">
        <v>71</v>
      </c>
      <c r="C1445" s="30" t="str">
        <f>VLOOKUP(B1445,'112年全品項生產鍋數'!A:H,2,0)</f>
        <v>＃1草莓(1*3.2kg)</v>
      </c>
      <c r="D1445" s="290">
        <v>32</v>
      </c>
      <c r="E1445" s="48">
        <f>VLOOKUP(B1445,'112年全品項生產鍋數'!A:H,3,0)</f>
        <v>3.2</v>
      </c>
      <c r="F1445" s="45">
        <f>VLOOKUP(B1445,'112年全品項生產鍋數'!A:H,7,0)</f>
        <v>46.8</v>
      </c>
      <c r="G1445" s="49">
        <f t="shared" si="180"/>
        <v>1497.6</v>
      </c>
      <c r="H1445" s="158">
        <v>1472</v>
      </c>
      <c r="I1445" s="23">
        <f t="shared" si="181"/>
        <v>4710.4000000000005</v>
      </c>
      <c r="J1445" s="100">
        <f t="shared" si="182"/>
        <v>0.98290598290598297</v>
      </c>
      <c r="K1445" s="51">
        <f>VLOOKUP(B:B,'生產達成率(目標)'!A:C,3,0)</f>
        <v>1</v>
      </c>
      <c r="L1445" s="20">
        <f t="shared" si="183"/>
        <v>-1.7000000000000001E-2</v>
      </c>
      <c r="M1445" s="203" t="str">
        <f>工時!R629</f>
        <v>305</v>
      </c>
      <c r="N1445" s="144"/>
      <c r="O1445" s="144">
        <f t="shared" si="184"/>
        <v>1</v>
      </c>
      <c r="P1445" s="156">
        <v>1471</v>
      </c>
      <c r="Q1445" s="98">
        <f t="shared" si="185"/>
        <v>0.99932065217391308</v>
      </c>
      <c r="R1445" s="23"/>
      <c r="S1445" s="173"/>
      <c r="T1445" s="30"/>
    </row>
    <row r="1446" spans="1:30" x14ac:dyDescent="0.4">
      <c r="A1446" s="181">
        <v>45754</v>
      </c>
      <c r="B1446" s="139" t="s">
        <v>75</v>
      </c>
      <c r="C1446" s="30" t="str">
        <f>VLOOKUP(B1446,'112年全品項生產鍋數'!A:H,2,0)</f>
        <v>草莓椰果餡(1*6Kg)</v>
      </c>
      <c r="D1446" s="290">
        <v>16</v>
      </c>
      <c r="E1446" s="48">
        <f>VLOOKUP(B1446,'112年全品項生產鍋數'!A:H,3,0)</f>
        <v>6</v>
      </c>
      <c r="F1446" s="45">
        <f>VLOOKUP(B1446,'112年全品項生產鍋數'!A:H,7,0)</f>
        <v>26.4</v>
      </c>
      <c r="G1446" s="49">
        <f t="shared" si="180"/>
        <v>422.4</v>
      </c>
      <c r="H1446" s="158">
        <v>431</v>
      </c>
      <c r="I1446" s="23">
        <f t="shared" si="181"/>
        <v>2586</v>
      </c>
      <c r="J1446" s="100">
        <f t="shared" si="182"/>
        <v>1.0203598484848486</v>
      </c>
      <c r="K1446" s="51">
        <f>VLOOKUP(B:B,'生產達成率(目標)'!A:C,3,0)</f>
        <v>1</v>
      </c>
      <c r="L1446" s="20">
        <f t="shared" si="183"/>
        <v>0.02</v>
      </c>
      <c r="M1446" s="203" t="str">
        <f>工時!R630</f>
        <v>480</v>
      </c>
      <c r="N1446" s="144"/>
      <c r="O1446" s="144">
        <f t="shared" si="184"/>
        <v>3</v>
      </c>
      <c r="P1446" s="156">
        <v>428</v>
      </c>
      <c r="Q1446" s="98">
        <f t="shared" si="185"/>
        <v>0.99303944315545245</v>
      </c>
      <c r="R1446" s="23"/>
      <c r="S1446" s="173"/>
      <c r="T1446" s="30"/>
    </row>
    <row r="1447" spans="1:30" x14ac:dyDescent="0.4">
      <c r="A1447" s="181">
        <v>45754</v>
      </c>
      <c r="B1447" s="139" t="s">
        <v>63</v>
      </c>
      <c r="C1447" s="30" t="str">
        <f>VLOOKUP(B1447,'112年全品項生產鍋數'!A:H,2,0)</f>
        <v>草莓蒟蒻餡(1*6kg)</v>
      </c>
      <c r="D1447" s="290">
        <v>16</v>
      </c>
      <c r="E1447" s="48">
        <f>VLOOKUP(B1447,'112年全品項生產鍋數'!A:H,3,0)</f>
        <v>6</v>
      </c>
      <c r="F1447" s="45">
        <f>VLOOKUP(B1447,'112年全品項生產鍋數'!A:H,7,0)</f>
        <v>25.7</v>
      </c>
      <c r="G1447" s="49">
        <f t="shared" si="180"/>
        <v>411.2</v>
      </c>
      <c r="H1447" s="158">
        <f>203+216</f>
        <v>419</v>
      </c>
      <c r="I1447" s="23">
        <f t="shared" si="181"/>
        <v>2514</v>
      </c>
      <c r="J1447" s="100">
        <f t="shared" si="182"/>
        <v>1.0189688715953307</v>
      </c>
      <c r="K1447" s="51">
        <f>VLOOKUP(B:B,'生產達成率(目標)'!A:C,3,0)</f>
        <v>1</v>
      </c>
      <c r="L1447" s="20">
        <f t="shared" si="183"/>
        <v>1.9E-2</v>
      </c>
      <c r="M1447" s="203" t="str">
        <f>工時!R631</f>
        <v>240</v>
      </c>
      <c r="N1447" s="144"/>
      <c r="O1447" s="144">
        <f t="shared" si="184"/>
        <v>1</v>
      </c>
      <c r="P1447" s="156">
        <f>202+216</f>
        <v>418</v>
      </c>
      <c r="Q1447" s="98">
        <f t="shared" si="185"/>
        <v>0.99761336515513122</v>
      </c>
      <c r="R1447" s="23"/>
      <c r="S1447" s="173"/>
      <c r="T1447" s="30"/>
    </row>
    <row r="1448" spans="1:30" x14ac:dyDescent="0.4">
      <c r="A1448" s="181">
        <v>45754</v>
      </c>
      <c r="B1448" s="139" t="s">
        <v>984</v>
      </c>
      <c r="C1448" s="30" t="str">
        <f>VLOOKUP(B1448,'112年全品項生產鍋數'!A:H,2,0)</f>
        <v>蘋果餡(1*6Kg)</v>
      </c>
      <c r="D1448" s="290">
        <v>1</v>
      </c>
      <c r="E1448" s="48">
        <f>VLOOKUP(B1448,'112年全品項生產鍋數'!A:H,3,0)</f>
        <v>6</v>
      </c>
      <c r="F1448" s="45">
        <f>VLOOKUP(B1448,'112年全品項生產鍋數'!A:H,7,0)</f>
        <v>25.6</v>
      </c>
      <c r="G1448" s="49">
        <f t="shared" si="180"/>
        <v>25.6</v>
      </c>
      <c r="H1448" s="158">
        <v>24</v>
      </c>
      <c r="I1448" s="23">
        <f t="shared" si="181"/>
        <v>144</v>
      </c>
      <c r="J1448" s="100">
        <f t="shared" si="182"/>
        <v>0.9375</v>
      </c>
      <c r="K1448" s="51" t="e">
        <f>VLOOKUP(B:B,'生產達成率(目標)'!A:C,3,0)</f>
        <v>#N/A</v>
      </c>
      <c r="L1448" s="20" t="e">
        <f t="shared" si="183"/>
        <v>#N/A</v>
      </c>
      <c r="M1448" s="203" t="str">
        <f>工時!R632</f>
        <v>122</v>
      </c>
      <c r="N1448" s="144"/>
      <c r="O1448" s="144">
        <f t="shared" si="184"/>
        <v>1</v>
      </c>
      <c r="P1448" s="156">
        <v>23</v>
      </c>
      <c r="Q1448" s="98">
        <f t="shared" si="185"/>
        <v>0.95833333333333337</v>
      </c>
      <c r="R1448" s="23"/>
      <c r="S1448" s="173"/>
      <c r="T1448" s="30"/>
    </row>
    <row r="1449" spans="1:30" x14ac:dyDescent="0.4">
      <c r="A1449" s="181">
        <v>45754</v>
      </c>
      <c r="B1449" s="139" t="s">
        <v>597</v>
      </c>
      <c r="C1449" s="30" t="str">
        <f>VLOOKUP(B1449,'112年全品項生產鍋數'!A:H,2,0)</f>
        <v>無加糖花生醬(1*290g)</v>
      </c>
      <c r="D1449" s="290">
        <v>8</v>
      </c>
      <c r="E1449" s="48">
        <f>VLOOKUP(B1449,'112年全品項生產鍋數'!A:H,3,0)</f>
        <v>0.28999999999999998</v>
      </c>
      <c r="F1449" s="45">
        <f>VLOOKUP(B1449,'112年全品項生產鍋數'!A:H,7,0)</f>
        <v>388</v>
      </c>
      <c r="G1449" s="49">
        <f t="shared" si="180"/>
        <v>3104</v>
      </c>
      <c r="H1449" s="158">
        <v>3243</v>
      </c>
      <c r="I1449" s="23">
        <f t="shared" si="181"/>
        <v>940.46999999999991</v>
      </c>
      <c r="J1449" s="100">
        <f t="shared" si="182"/>
        <v>1.0447809278350515</v>
      </c>
      <c r="K1449" s="51">
        <f>VLOOKUP(B:B,'生產達成率(目標)'!A:C,3,0)</f>
        <v>1</v>
      </c>
      <c r="L1449" s="20">
        <f t="shared" si="183"/>
        <v>4.4999999999999998E-2</v>
      </c>
      <c r="M1449" s="203" t="str">
        <f>工時!R633</f>
        <v>220</v>
      </c>
      <c r="N1449" s="144"/>
      <c r="O1449" s="186">
        <f t="shared" si="184"/>
        <v>5</v>
      </c>
      <c r="P1449" s="156">
        <v>3238</v>
      </c>
      <c r="Q1449" s="98">
        <f t="shared" si="185"/>
        <v>0.99845821769966081</v>
      </c>
      <c r="R1449" s="23"/>
      <c r="S1449" s="173"/>
      <c r="T1449" s="30" t="s">
        <v>985</v>
      </c>
    </row>
    <row r="1450" spans="1:30" s="146" customFormat="1" x14ac:dyDescent="0.4">
      <c r="A1450" s="182">
        <v>45754</v>
      </c>
      <c r="B1450" s="139" t="s">
        <v>96</v>
      </c>
      <c r="C1450" s="140" t="str">
        <f>VLOOKUP(B1450,'112年全品項生產鍋數'!A:H,2,0)</f>
        <v>PET瓶花生(1*340g)</v>
      </c>
      <c r="D1450" s="290">
        <v>16</v>
      </c>
      <c r="E1450" s="141">
        <f>VLOOKUP(B1450,'112年全品項生產鍋數'!A:H,3,0)</f>
        <v>0.34</v>
      </c>
      <c r="F1450" s="142">
        <f>VLOOKUP(B1450,'112年全品項生產鍋數'!A:H,7,0)</f>
        <v>358.3</v>
      </c>
      <c r="G1450" s="143">
        <f t="shared" si="180"/>
        <v>5732.8</v>
      </c>
      <c r="H1450" s="158">
        <v>5969</v>
      </c>
      <c r="I1450" s="144">
        <f t="shared" si="181"/>
        <v>2029.46</v>
      </c>
      <c r="J1450" s="100">
        <f t="shared" si="182"/>
        <v>1.0412015071169411</v>
      </c>
      <c r="K1450" s="51">
        <f>VLOOKUP(B:B,'生產達成率(目標)'!A:C,3,0)</f>
        <v>1</v>
      </c>
      <c r="L1450" s="20">
        <f t="shared" si="183"/>
        <v>4.1000000000000002E-2</v>
      </c>
      <c r="M1450" s="203" t="str">
        <f>工時!R634</f>
        <v>360</v>
      </c>
      <c r="N1450" s="144"/>
      <c r="O1450" s="144">
        <f t="shared" si="184"/>
        <v>3</v>
      </c>
      <c r="P1450" s="156">
        <v>5966</v>
      </c>
      <c r="Q1450" s="145">
        <f t="shared" si="185"/>
        <v>0.9994974032501257</v>
      </c>
      <c r="R1450" s="144"/>
      <c r="S1450" s="153"/>
      <c r="T1450" s="140"/>
      <c r="V1450" s="381"/>
      <c r="W1450" s="421"/>
      <c r="X1450" s="381"/>
      <c r="Y1450" s="421"/>
      <c r="Z1450" s="421"/>
      <c r="AA1450" s="421"/>
      <c r="AB1450" s="421"/>
      <c r="AC1450" s="421"/>
      <c r="AD1450" s="421"/>
    </row>
    <row r="1451" spans="1:30" s="146" customFormat="1" x14ac:dyDescent="0.4">
      <c r="A1451" s="182">
        <v>45754</v>
      </c>
      <c r="B1451" s="139" t="s">
        <v>594</v>
      </c>
      <c r="C1451" s="140" t="str">
        <f>VLOOKUP(B1451,'112年全品項生產鍋數'!A:H,2,0)</f>
        <v>柚皮鮮果乾(100g)</v>
      </c>
      <c r="D1451" s="290">
        <v>1</v>
      </c>
      <c r="E1451" s="141">
        <f>VLOOKUP(B1451,'112年全品項生產鍋數'!A:H,3,0)</f>
        <v>0.1</v>
      </c>
      <c r="F1451" s="142">
        <f>VLOOKUP(B1451,'112年全品項生產鍋數'!A:H,7,0)</f>
        <v>1732</v>
      </c>
      <c r="G1451" s="143">
        <f t="shared" si="180"/>
        <v>1732</v>
      </c>
      <c r="H1451" s="158">
        <v>1690</v>
      </c>
      <c r="I1451" s="144">
        <f t="shared" si="181"/>
        <v>169</v>
      </c>
      <c r="J1451" s="100">
        <f t="shared" si="182"/>
        <v>0.9757505773672055</v>
      </c>
      <c r="K1451" s="51">
        <f>VLOOKUP(B:B,'生產達成率(目標)'!A:C,3,0)</f>
        <v>1</v>
      </c>
      <c r="L1451" s="20">
        <f t="shared" si="183"/>
        <v>-2.4E-2</v>
      </c>
      <c r="M1451" s="203" t="str">
        <f>工時!R635</f>
        <v>0</v>
      </c>
      <c r="N1451" s="144"/>
      <c r="O1451" s="144">
        <f t="shared" si="184"/>
        <v>0</v>
      </c>
      <c r="P1451" s="156">
        <v>1690</v>
      </c>
      <c r="Q1451" s="145">
        <f t="shared" si="185"/>
        <v>1</v>
      </c>
      <c r="R1451" s="144"/>
      <c r="S1451" s="153"/>
      <c r="T1451" s="140"/>
      <c r="V1451" s="381"/>
      <c r="W1451" s="421"/>
      <c r="X1451" s="381"/>
      <c r="Y1451" s="421"/>
      <c r="Z1451" s="421"/>
      <c r="AA1451" s="421"/>
      <c r="AB1451" s="421"/>
      <c r="AC1451" s="421"/>
      <c r="AD1451" s="421"/>
    </row>
    <row r="1452" spans="1:30" x14ac:dyDescent="0.4">
      <c r="A1452" s="181">
        <v>45755</v>
      </c>
      <c r="B1452" s="139" t="s">
        <v>51</v>
      </c>
      <c r="C1452" s="30" t="str">
        <f>VLOOKUP(B1452,'112年全品項生產鍋數'!A:H,2,0)</f>
        <v>藍莓醬(1*6kg)</v>
      </c>
      <c r="D1452" s="290">
        <v>24</v>
      </c>
      <c r="E1452" s="48">
        <f>VLOOKUP(B1452,'112年全品項生產鍋數'!A:H,3,0)</f>
        <v>6</v>
      </c>
      <c r="F1452" s="45">
        <f>VLOOKUP(B1452,'112年全品項生產鍋數'!A:H,7,0)</f>
        <v>25.5</v>
      </c>
      <c r="G1452" s="49">
        <f t="shared" si="180"/>
        <v>612</v>
      </c>
      <c r="H1452" s="158">
        <v>602</v>
      </c>
      <c r="I1452" s="23">
        <f t="shared" si="181"/>
        <v>3612</v>
      </c>
      <c r="J1452" s="100">
        <f t="shared" si="182"/>
        <v>0.9836601307189542</v>
      </c>
      <c r="K1452" s="51">
        <f>VLOOKUP(B:B,'生產達成率(目標)'!A:C,3,0)</f>
        <v>1</v>
      </c>
      <c r="L1452" s="20">
        <f t="shared" si="183"/>
        <v>-1.6E-2</v>
      </c>
      <c r="M1452" s="203" t="str">
        <f>工時!R636</f>
        <v>340</v>
      </c>
      <c r="N1452" s="144"/>
      <c r="O1452" s="144">
        <f t="shared" si="184"/>
        <v>1</v>
      </c>
      <c r="P1452" s="156">
        <v>601</v>
      </c>
      <c r="Q1452" s="98">
        <f t="shared" si="185"/>
        <v>0.99833887043189373</v>
      </c>
      <c r="R1452" s="23"/>
      <c r="S1452" s="173"/>
      <c r="T1452" s="30"/>
    </row>
    <row r="1453" spans="1:30" x14ac:dyDescent="0.4">
      <c r="A1453" s="181">
        <v>45755</v>
      </c>
      <c r="B1453" s="139" t="s">
        <v>109</v>
      </c>
      <c r="C1453" s="30" t="str">
        <f>VLOOKUP(B1453,'112年全品項生產鍋數'!A:H,2,0)</f>
        <v>蔓越莓醬(1*6KG)</v>
      </c>
      <c r="D1453" s="290">
        <v>12</v>
      </c>
      <c r="E1453" s="48">
        <f>VLOOKUP(B1453,'112年全品項生產鍋數'!A:H,3,0)</f>
        <v>6</v>
      </c>
      <c r="F1453" s="45">
        <f>VLOOKUP(B1453,'112年全品項生產鍋數'!A:H,7,0)</f>
        <v>25.6</v>
      </c>
      <c r="G1453" s="49">
        <f t="shared" si="180"/>
        <v>307.20000000000005</v>
      </c>
      <c r="H1453" s="158">
        <v>305</v>
      </c>
      <c r="I1453" s="23">
        <f t="shared" si="181"/>
        <v>1830</v>
      </c>
      <c r="J1453" s="100">
        <f t="shared" si="182"/>
        <v>0.99283854166666652</v>
      </c>
      <c r="K1453" s="51">
        <f>VLOOKUP(B:B,'生產達成率(目標)'!A:C,3,0)</f>
        <v>1</v>
      </c>
      <c r="L1453" s="20">
        <f t="shared" si="183"/>
        <v>-7.0000000000000001E-3</v>
      </c>
      <c r="M1453" s="203" t="str">
        <f>工時!R637</f>
        <v>300</v>
      </c>
      <c r="N1453" s="144"/>
      <c r="O1453" s="144">
        <f t="shared" si="184"/>
        <v>1</v>
      </c>
      <c r="P1453" s="156">
        <v>304</v>
      </c>
      <c r="Q1453" s="98">
        <f t="shared" si="185"/>
        <v>0.99672131147540988</v>
      </c>
      <c r="R1453" s="23"/>
      <c r="S1453" s="173"/>
      <c r="T1453" s="30"/>
    </row>
    <row r="1454" spans="1:30" x14ac:dyDescent="0.4">
      <c r="A1454" s="181">
        <v>45755</v>
      </c>
      <c r="B1454" s="139" t="s">
        <v>63</v>
      </c>
      <c r="C1454" s="30" t="str">
        <f>VLOOKUP(B1454,'112年全品項生產鍋數'!A:H,2,0)</f>
        <v>草莓蒟蒻餡(1*6kg)</v>
      </c>
      <c r="D1454" s="290">
        <v>28</v>
      </c>
      <c r="E1454" s="48">
        <f>VLOOKUP(B1454,'112年全品項生產鍋數'!A:H,3,0)</f>
        <v>6</v>
      </c>
      <c r="F1454" s="45">
        <f>VLOOKUP(B1454,'112年全品項生產鍋數'!A:H,7,0)</f>
        <v>25.7</v>
      </c>
      <c r="G1454" s="49">
        <f t="shared" si="180"/>
        <v>719.6</v>
      </c>
      <c r="H1454" s="158">
        <f>416+326</f>
        <v>742</v>
      </c>
      <c r="I1454" s="23">
        <f t="shared" si="181"/>
        <v>4452</v>
      </c>
      <c r="J1454" s="100">
        <f t="shared" si="182"/>
        <v>1.0311284046692606</v>
      </c>
      <c r="K1454" s="51">
        <f>VLOOKUP(B:B,'生產達成率(目標)'!A:C,3,0)</f>
        <v>1</v>
      </c>
      <c r="L1454" s="20">
        <f t="shared" si="183"/>
        <v>3.1E-2</v>
      </c>
      <c r="M1454" s="203" t="str">
        <f>工時!R638</f>
        <v>380</v>
      </c>
      <c r="N1454" s="144"/>
      <c r="O1454" s="144">
        <f t="shared" si="184"/>
        <v>1</v>
      </c>
      <c r="P1454" s="156">
        <f>415+326</f>
        <v>741</v>
      </c>
      <c r="Q1454" s="98">
        <f t="shared" si="185"/>
        <v>0.99865229110512133</v>
      </c>
      <c r="R1454" s="23"/>
      <c r="S1454" s="173"/>
      <c r="T1454" s="30"/>
    </row>
    <row r="1455" spans="1:30" ht="17.25" customHeight="1" x14ac:dyDescent="0.4">
      <c r="A1455" s="181">
        <v>45755</v>
      </c>
      <c r="B1455" s="139" t="s">
        <v>81</v>
      </c>
      <c r="C1455" s="30" t="str">
        <f>VLOOKUP(B1455,'112年全品項生產鍋數'!A:H,2,0)</f>
        <v>藍莓餡(1*6Kg)</v>
      </c>
      <c r="D1455" s="290">
        <v>8</v>
      </c>
      <c r="E1455" s="48">
        <f>VLOOKUP(B1455,'112年全品項生產鍋數'!A:H,3,0)</f>
        <v>6</v>
      </c>
      <c r="F1455" s="45">
        <f>VLOOKUP(B1455,'112年全品項生產鍋數'!A:H,7,0)</f>
        <v>25.1</v>
      </c>
      <c r="G1455" s="49">
        <f t="shared" si="180"/>
        <v>200.8</v>
      </c>
      <c r="H1455" s="158">
        <v>198</v>
      </c>
      <c r="I1455" s="23">
        <f t="shared" si="181"/>
        <v>1188</v>
      </c>
      <c r="J1455" s="100">
        <f t="shared" si="182"/>
        <v>0.98605577689243018</v>
      </c>
      <c r="K1455" s="51">
        <f>VLOOKUP(B:B,'生產達成率(目標)'!A:C,3,0)</f>
        <v>1</v>
      </c>
      <c r="L1455" s="20">
        <f t="shared" si="183"/>
        <v>-1.4E-2</v>
      </c>
      <c r="M1455" s="203" t="str">
        <f>工時!R639</f>
        <v>180</v>
      </c>
      <c r="N1455" s="144"/>
      <c r="O1455" s="144">
        <f t="shared" si="184"/>
        <v>2</v>
      </c>
      <c r="P1455" s="156">
        <v>196</v>
      </c>
      <c r="Q1455" s="98">
        <f t="shared" si="185"/>
        <v>0.98989898989898994</v>
      </c>
      <c r="R1455" s="23"/>
      <c r="S1455" s="173"/>
      <c r="T1455" s="30" t="s">
        <v>986</v>
      </c>
    </row>
    <row r="1456" spans="1:30" s="146" customFormat="1" x14ac:dyDescent="0.4">
      <c r="A1456" s="182">
        <v>45755</v>
      </c>
      <c r="B1456" s="139" t="s">
        <v>66</v>
      </c>
      <c r="C1456" s="140" t="str">
        <f>VLOOKUP(B1456,'112年全品項生產鍋數'!A:H,2,0)</f>
        <v>＃2花生(1*800g)</v>
      </c>
      <c r="D1456" s="290">
        <v>20</v>
      </c>
      <c r="E1456" s="141">
        <f>VLOOKUP(B1456,'112年全品項生產鍋數'!A:H,3,0)</f>
        <v>0.8</v>
      </c>
      <c r="F1456" s="142">
        <f>VLOOKUP(B1456,'112年全品項生產鍋數'!A:H,7,0)</f>
        <v>157.69999999999999</v>
      </c>
      <c r="G1456" s="143">
        <f t="shared" si="180"/>
        <v>3154</v>
      </c>
      <c r="H1456" s="158">
        <v>3126</v>
      </c>
      <c r="I1456" s="144">
        <f t="shared" si="181"/>
        <v>2500.8000000000002</v>
      </c>
      <c r="J1456" s="100">
        <f t="shared" si="182"/>
        <v>0.99112238427393784</v>
      </c>
      <c r="K1456" s="51">
        <f>VLOOKUP(B:B,'生產達成率(目標)'!A:C,3,0)</f>
        <v>1</v>
      </c>
      <c r="L1456" s="20">
        <f t="shared" si="183"/>
        <v>-8.9999999999999993E-3</v>
      </c>
      <c r="M1456" s="203" t="str">
        <f>工時!R640</f>
        <v>240</v>
      </c>
      <c r="N1456" s="144"/>
      <c r="O1456" s="144">
        <f t="shared" si="184"/>
        <v>2</v>
      </c>
      <c r="P1456" s="156">
        <v>3124</v>
      </c>
      <c r="Q1456" s="145">
        <f t="shared" si="185"/>
        <v>0.99936020473448495</v>
      </c>
      <c r="R1456" s="144"/>
      <c r="S1456" s="153"/>
      <c r="T1456" s="140"/>
      <c r="V1456" s="381"/>
      <c r="W1456" s="421"/>
      <c r="X1456" s="381"/>
      <c r="Y1456" s="421"/>
      <c r="Z1456" s="421"/>
      <c r="AA1456" s="421"/>
      <c r="AB1456" s="421"/>
      <c r="AC1456" s="421"/>
      <c r="AD1456" s="421"/>
    </row>
    <row r="1457" spans="1:30" x14ac:dyDescent="0.4">
      <c r="A1457" s="181">
        <v>45755</v>
      </c>
      <c r="B1457" s="139" t="s">
        <v>65</v>
      </c>
      <c r="C1457" s="30" t="str">
        <f>VLOOKUP(B1457,'112年全品項生產鍋數'!A:H,2,0)</f>
        <v>＃1花生(1*2.8kg)</v>
      </c>
      <c r="D1457" s="290">
        <v>24</v>
      </c>
      <c r="E1457" s="48">
        <f>VLOOKUP(B1457,'112年全品項生產鍋數'!A:H,3,0)</f>
        <v>2.8</v>
      </c>
      <c r="F1457" s="45">
        <f>VLOOKUP(B1457,'112年全品項生產鍋數'!A:H,7,0)</f>
        <v>44.5</v>
      </c>
      <c r="G1457" s="49">
        <f>D1457*F1457-20*18/E1457</f>
        <v>939.42857142857144</v>
      </c>
      <c r="H1457" s="158">
        <v>961</v>
      </c>
      <c r="I1457" s="23">
        <f t="shared" si="181"/>
        <v>2690.7999999999997</v>
      </c>
      <c r="J1457" s="100">
        <f t="shared" si="182"/>
        <v>1.0229622871046229</v>
      </c>
      <c r="K1457" s="51">
        <f>VLOOKUP(B:B,'生產達成率(目標)'!A:C,3,0)</f>
        <v>1</v>
      </c>
      <c r="L1457" s="20">
        <f t="shared" si="183"/>
        <v>2.3E-2</v>
      </c>
      <c r="M1457" s="203" t="str">
        <f>工時!R641</f>
        <v>270</v>
      </c>
      <c r="N1457" s="144"/>
      <c r="O1457" s="144">
        <f t="shared" si="184"/>
        <v>1</v>
      </c>
      <c r="P1457" s="156">
        <v>960</v>
      </c>
      <c r="Q1457" s="98">
        <f t="shared" si="185"/>
        <v>0.99895941727367321</v>
      </c>
      <c r="R1457" s="23"/>
      <c r="S1457" s="173">
        <f>20*3</f>
        <v>60</v>
      </c>
      <c r="T1457" s="30" t="s">
        <v>989</v>
      </c>
    </row>
    <row r="1458" spans="1:30" x14ac:dyDescent="0.4">
      <c r="A1458" s="181">
        <v>45756</v>
      </c>
      <c r="B1458" s="139" t="s">
        <v>68</v>
      </c>
      <c r="C1458" s="30" t="str">
        <f>VLOOKUP(B1458,'112年全品項生產鍋數'!A:H,2,0)</f>
        <v>#2草莓果醬(1*900g)</v>
      </c>
      <c r="D1458" s="290">
        <v>40</v>
      </c>
      <c r="E1458" s="48">
        <f>VLOOKUP(B1458,'112年全品項生產鍋數'!A:H,3,0)</f>
        <v>0.9</v>
      </c>
      <c r="F1458" s="45">
        <f>VLOOKUP(B1458,'112年全品項生產鍋數'!A:H,7,0)</f>
        <v>160.5</v>
      </c>
      <c r="G1458" s="49">
        <f t="shared" si="180"/>
        <v>6420</v>
      </c>
      <c r="H1458" s="158">
        <v>6472</v>
      </c>
      <c r="I1458" s="23">
        <f t="shared" si="181"/>
        <v>5824.8</v>
      </c>
      <c r="J1458" s="100">
        <f t="shared" si="182"/>
        <v>1.0080996884735203</v>
      </c>
      <c r="K1458" s="51">
        <f>VLOOKUP(B:B,'生產達成率(目標)'!A:C,3,0)</f>
        <v>1</v>
      </c>
      <c r="L1458" s="20">
        <f t="shared" si="183"/>
        <v>8.0000000000000002E-3</v>
      </c>
      <c r="M1458" s="203" t="str">
        <f>工時!R642</f>
        <v>540</v>
      </c>
      <c r="N1458" s="144"/>
      <c r="O1458" s="144">
        <f t="shared" si="184"/>
        <v>2</v>
      </c>
      <c r="P1458" s="156">
        <v>6470</v>
      </c>
      <c r="Q1458" s="98">
        <f t="shared" si="185"/>
        <v>0.99969097651421512</v>
      </c>
      <c r="R1458" s="23"/>
      <c r="S1458" s="173"/>
      <c r="T1458" s="30"/>
    </row>
    <row r="1459" spans="1:30" x14ac:dyDescent="0.4">
      <c r="A1459" s="181">
        <v>45756</v>
      </c>
      <c r="B1459" s="139" t="s">
        <v>130</v>
      </c>
      <c r="C1459" s="30" t="str">
        <f>VLOOKUP(B1459,'112年全品項生產鍋數'!A:H,2,0)</f>
        <v>天天開心柳橙餡4.5KG</v>
      </c>
      <c r="D1459" s="290">
        <v>8</v>
      </c>
      <c r="E1459" s="48">
        <f>VLOOKUP(B1459,'112年全品項生產鍋數'!A:H,3,0)</f>
        <v>4.5</v>
      </c>
      <c r="F1459" s="45">
        <f>VLOOKUP(B1459,'112年全品項生產鍋數'!A:H,7,0)</f>
        <v>34.9</v>
      </c>
      <c r="G1459" s="49">
        <f t="shared" si="180"/>
        <v>279.2</v>
      </c>
      <c r="H1459" s="158">
        <v>287</v>
      </c>
      <c r="I1459" s="23">
        <f t="shared" si="181"/>
        <v>1291.5</v>
      </c>
      <c r="J1459" s="100">
        <f t="shared" si="182"/>
        <v>1.0279369627507164</v>
      </c>
      <c r="K1459" s="51">
        <f>VLOOKUP(B:B,'生產達成率(目標)'!A:C,3,0)</f>
        <v>1</v>
      </c>
      <c r="L1459" s="20">
        <f t="shared" si="183"/>
        <v>2.8000000000000001E-2</v>
      </c>
      <c r="M1459" s="203" t="str">
        <f>工時!R643</f>
        <v>170</v>
      </c>
      <c r="N1459" s="144"/>
      <c r="O1459" s="144">
        <f t="shared" si="184"/>
        <v>0</v>
      </c>
      <c r="P1459" s="156">
        <v>287</v>
      </c>
      <c r="Q1459" s="98">
        <f t="shared" si="185"/>
        <v>1</v>
      </c>
      <c r="R1459" s="23"/>
      <c r="S1459" s="173"/>
      <c r="T1459" s="30"/>
    </row>
    <row r="1460" spans="1:30" x14ac:dyDescent="0.4">
      <c r="A1460" s="181">
        <v>45756</v>
      </c>
      <c r="B1460" s="139" t="s">
        <v>63</v>
      </c>
      <c r="C1460" s="30" t="str">
        <f>VLOOKUP(B1460,'112年全品項生產鍋數'!A:H,2,0)</f>
        <v>草莓蒟蒻餡(1*6kg)</v>
      </c>
      <c r="D1460" s="290">
        <v>20</v>
      </c>
      <c r="E1460" s="48">
        <f>VLOOKUP(B1460,'112年全品項生產鍋數'!A:H,3,0)</f>
        <v>6</v>
      </c>
      <c r="F1460" s="45">
        <f>VLOOKUP(B1460,'112年全品項生產鍋數'!A:H,7,0)</f>
        <v>25.7</v>
      </c>
      <c r="G1460" s="49">
        <f t="shared" si="180"/>
        <v>514</v>
      </c>
      <c r="H1460" s="158">
        <f>309+217</f>
        <v>526</v>
      </c>
      <c r="I1460" s="23">
        <f t="shared" si="181"/>
        <v>3156</v>
      </c>
      <c r="J1460" s="100">
        <f t="shared" si="182"/>
        <v>1.0233463035019454</v>
      </c>
      <c r="K1460" s="51">
        <f>VLOOKUP(B:B,'生產達成率(目標)'!A:C,3,0)</f>
        <v>1</v>
      </c>
      <c r="L1460" s="20">
        <f t="shared" si="183"/>
        <v>2.3E-2</v>
      </c>
      <c r="M1460" s="203" t="str">
        <f>工時!R644</f>
        <v>307</v>
      </c>
      <c r="N1460" s="144"/>
      <c r="O1460" s="144">
        <f t="shared" si="184"/>
        <v>1</v>
      </c>
      <c r="P1460" s="156">
        <f>308+217</f>
        <v>525</v>
      </c>
      <c r="Q1460" s="98">
        <f t="shared" si="185"/>
        <v>0.99809885931558939</v>
      </c>
      <c r="R1460" s="23"/>
      <c r="S1460" s="173"/>
      <c r="T1460" s="30"/>
    </row>
    <row r="1461" spans="1:30" x14ac:dyDescent="0.4">
      <c r="A1461" s="181">
        <v>45756</v>
      </c>
      <c r="B1461" s="139" t="s">
        <v>77</v>
      </c>
      <c r="C1461" s="30" t="str">
        <f>VLOOKUP(B1461,'112年全品項生產鍋數'!A:H,2,0)</f>
        <v>草莓餡50°(1*6Kg)</v>
      </c>
      <c r="D1461" s="290">
        <v>8</v>
      </c>
      <c r="E1461" s="48">
        <f>VLOOKUP(B1461,'112年全品項生產鍋數'!A:H,3,0)</f>
        <v>6</v>
      </c>
      <c r="F1461" s="45">
        <f>VLOOKUP(B1461,'112年全品項生產鍋數'!A:H,7,0)</f>
        <v>25</v>
      </c>
      <c r="G1461" s="49">
        <f t="shared" si="180"/>
        <v>200</v>
      </c>
      <c r="H1461" s="158">
        <v>198</v>
      </c>
      <c r="I1461" s="23">
        <f t="shared" si="181"/>
        <v>1188</v>
      </c>
      <c r="J1461" s="100">
        <f t="shared" si="182"/>
        <v>0.99</v>
      </c>
      <c r="K1461" s="51">
        <f>VLOOKUP(B:B,'生產達成率(目標)'!A:C,3,0)</f>
        <v>1</v>
      </c>
      <c r="L1461" s="20">
        <f t="shared" si="183"/>
        <v>-0.01</v>
      </c>
      <c r="M1461" s="203" t="str">
        <f>工時!R645</f>
        <v>150</v>
      </c>
      <c r="N1461" s="144"/>
      <c r="O1461" s="144">
        <f t="shared" si="184"/>
        <v>1</v>
      </c>
      <c r="P1461" s="156">
        <v>197</v>
      </c>
      <c r="Q1461" s="98">
        <f t="shared" si="185"/>
        <v>0.99494949494949492</v>
      </c>
      <c r="R1461" s="23"/>
      <c r="S1461" s="173"/>
      <c r="T1461" s="30"/>
    </row>
    <row r="1462" spans="1:30" s="146" customFormat="1" x14ac:dyDescent="0.4">
      <c r="A1462" s="182">
        <v>45756</v>
      </c>
      <c r="B1462" s="139" t="s">
        <v>110</v>
      </c>
      <c r="C1462" s="140" t="str">
        <f>VLOOKUP(B1462,'112年全品項生產鍋數'!A:H,2,0)</f>
        <v>顆粒花生醬(1*12KG)</v>
      </c>
      <c r="D1462" s="290">
        <v>21</v>
      </c>
      <c r="E1462" s="141">
        <f>VLOOKUP(B1462,'112年全品項生產鍋數'!A:H,3,0)</f>
        <v>3</v>
      </c>
      <c r="F1462" s="142">
        <f>VLOOKUP(B1462,'112年全品項生產鍋數'!A:H,7,0)</f>
        <v>30.8</v>
      </c>
      <c r="G1462" s="143">
        <f t="shared" si="180"/>
        <v>646.80000000000007</v>
      </c>
      <c r="H1462" s="158">
        <v>652</v>
      </c>
      <c r="I1462" s="144">
        <f t="shared" si="181"/>
        <v>1956</v>
      </c>
      <c r="J1462" s="100">
        <f t="shared" si="182"/>
        <v>1.0080395794681507</v>
      </c>
      <c r="K1462" s="51">
        <f>VLOOKUP(B:B,'生產達成率(目標)'!A:C,3,0)</f>
        <v>1</v>
      </c>
      <c r="L1462" s="20">
        <f t="shared" si="183"/>
        <v>8.0000000000000002E-3</v>
      </c>
      <c r="M1462" s="203" t="str">
        <f>工時!R646</f>
        <v>540</v>
      </c>
      <c r="N1462" s="144"/>
      <c r="O1462" s="144">
        <f t="shared" si="184"/>
        <v>0</v>
      </c>
      <c r="P1462" s="156">
        <v>652</v>
      </c>
      <c r="Q1462" s="145">
        <f t="shared" si="185"/>
        <v>1</v>
      </c>
      <c r="R1462" s="144"/>
      <c r="S1462" s="153"/>
      <c r="T1462" s="140"/>
      <c r="V1462" s="381"/>
      <c r="W1462" s="421"/>
      <c r="X1462" s="381"/>
      <c r="Y1462" s="421"/>
      <c r="Z1462" s="421"/>
      <c r="AA1462" s="421"/>
      <c r="AB1462" s="421"/>
      <c r="AC1462" s="421"/>
      <c r="AD1462" s="421"/>
    </row>
    <row r="1463" spans="1:30" x14ac:dyDescent="0.4">
      <c r="A1463" s="181">
        <v>45757</v>
      </c>
      <c r="B1463" s="139" t="s">
        <v>61</v>
      </c>
      <c r="C1463" s="30" t="str">
        <f>VLOOKUP(B1463,'112年全品項生產鍋數'!A:H,2,0)</f>
        <v>大圓草莓-新</v>
      </c>
      <c r="D1463" s="290">
        <v>20</v>
      </c>
      <c r="E1463" s="48">
        <f>VLOOKUP(B1463,'112年全品項生產鍋數'!A:H,3,0)</f>
        <v>0.44</v>
      </c>
      <c r="F1463" s="45">
        <f>VLOOKUP(B1463,'112年全品項生產鍋數'!A:H,7,0)</f>
        <v>344</v>
      </c>
      <c r="G1463" s="49">
        <f t="shared" si="180"/>
        <v>6880</v>
      </c>
      <c r="H1463" s="158">
        <v>6813</v>
      </c>
      <c r="I1463" s="23">
        <f t="shared" si="181"/>
        <v>2997.72</v>
      </c>
      <c r="J1463" s="100">
        <f t="shared" si="182"/>
        <v>0.99026162790697669</v>
      </c>
      <c r="K1463" s="51">
        <f>VLOOKUP(B:B,'生產達成率(目標)'!A:C,3,0)</f>
        <v>1</v>
      </c>
      <c r="L1463" s="20">
        <f t="shared" si="183"/>
        <v>-0.01</v>
      </c>
      <c r="M1463" s="203" t="str">
        <f>工時!R647</f>
        <v>300</v>
      </c>
      <c r="N1463" s="144"/>
      <c r="O1463" s="144">
        <f t="shared" si="184"/>
        <v>4</v>
      </c>
      <c r="P1463" s="156">
        <v>6809</v>
      </c>
      <c r="Q1463" s="98">
        <f t="shared" si="185"/>
        <v>0.99941288712755028</v>
      </c>
      <c r="R1463" s="23"/>
      <c r="S1463" s="173"/>
      <c r="T1463" s="30"/>
    </row>
    <row r="1464" spans="1:30" x14ac:dyDescent="0.4">
      <c r="A1464" s="181">
        <v>45757</v>
      </c>
      <c r="B1464" s="139" t="s">
        <v>106</v>
      </c>
      <c r="C1464" s="30" t="str">
        <f>VLOOKUP(B1464,'112年全品項生產鍋數'!A:H,2,0)</f>
        <v>小藍莓1*260G</v>
      </c>
      <c r="D1464" s="290">
        <v>16</v>
      </c>
      <c r="E1464" s="48">
        <f>VLOOKUP(B1464,'112年全品項生產鍋數'!A:H,3,0)</f>
        <v>0.26</v>
      </c>
      <c r="F1464" s="45">
        <f>VLOOKUP(B1464,'112年全品項生產鍋數'!A:H,7,0)</f>
        <v>584.29999999999995</v>
      </c>
      <c r="G1464" s="49">
        <f t="shared" si="180"/>
        <v>9348.7999999999993</v>
      </c>
      <c r="H1464" s="158">
        <v>9315</v>
      </c>
      <c r="I1464" s="23">
        <f t="shared" si="181"/>
        <v>2421.9</v>
      </c>
      <c r="J1464" s="100">
        <f t="shared" si="182"/>
        <v>0.99638456272462783</v>
      </c>
      <c r="K1464" s="51">
        <f>VLOOKUP(B:B,'生產達成率(目標)'!A:C,3,0)</f>
        <v>1</v>
      </c>
      <c r="L1464" s="20">
        <f t="shared" si="183"/>
        <v>-4.0000000000000001E-3</v>
      </c>
      <c r="M1464" s="203" t="str">
        <f>工時!R648</f>
        <v>270</v>
      </c>
      <c r="N1464" s="144"/>
      <c r="O1464" s="144">
        <f t="shared" si="184"/>
        <v>14</v>
      </c>
      <c r="P1464" s="156">
        <v>9301</v>
      </c>
      <c r="Q1464" s="98">
        <f t="shared" si="185"/>
        <v>0.99849704777241011</v>
      </c>
      <c r="R1464" s="23"/>
      <c r="S1464" s="173"/>
      <c r="T1464" s="30"/>
    </row>
    <row r="1465" spans="1:30" x14ac:dyDescent="0.4">
      <c r="A1465" s="181">
        <v>45757</v>
      </c>
      <c r="B1465" s="139" t="s">
        <v>55</v>
      </c>
      <c r="C1465" s="30" t="str">
        <f>VLOOKUP(B1465,'112年全品項生產鍋數'!A:H,2,0)</f>
        <v>天天開心草莓餡4.5KG</v>
      </c>
      <c r="D1465" s="290">
        <v>32</v>
      </c>
      <c r="E1465" s="48">
        <f>VLOOKUP(B1465,'112年全品項生產鍋數'!A:H,3,0)</f>
        <v>4.5</v>
      </c>
      <c r="F1465" s="45">
        <f>VLOOKUP(B1465,'112年全品項生產鍋數'!A:H,7,0)</f>
        <v>36.299999999999997</v>
      </c>
      <c r="G1465" s="49">
        <f t="shared" si="180"/>
        <v>1161.5999999999999</v>
      </c>
      <c r="H1465" s="158">
        <v>1177</v>
      </c>
      <c r="I1465" s="23">
        <f t="shared" si="181"/>
        <v>5296.5</v>
      </c>
      <c r="J1465" s="100">
        <f t="shared" si="182"/>
        <v>1.0132575757575759</v>
      </c>
      <c r="K1465" s="51">
        <f>VLOOKUP(B:B,'生產達成率(目標)'!A:C,3,0)</f>
        <v>1</v>
      </c>
      <c r="L1465" s="20">
        <f t="shared" si="183"/>
        <v>1.2999999999999999E-2</v>
      </c>
      <c r="M1465" s="203" t="str">
        <f>工時!R649</f>
        <v>470</v>
      </c>
      <c r="N1465" s="144"/>
      <c r="O1465" s="144">
        <f t="shared" si="184"/>
        <v>0</v>
      </c>
      <c r="P1465" s="156">
        <v>1177</v>
      </c>
      <c r="Q1465" s="98">
        <f t="shared" si="185"/>
        <v>1</v>
      </c>
      <c r="R1465" s="23"/>
      <c r="S1465" s="173"/>
      <c r="T1465" s="30"/>
    </row>
    <row r="1466" spans="1:30" x14ac:dyDescent="0.4">
      <c r="A1466" s="181">
        <v>45757</v>
      </c>
      <c r="B1466" s="139" t="s">
        <v>117</v>
      </c>
      <c r="C1466" s="30" t="str">
        <f>VLOOKUP(B1466,'112年全品項生產鍋數'!A:H,2,0)</f>
        <v>草莓餡(1*4.5Kg)</v>
      </c>
      <c r="D1466" s="290">
        <v>8</v>
      </c>
      <c r="E1466" s="48">
        <f>VLOOKUP(B1466,'112年全品項生產鍋數'!A:H,3,0)</f>
        <v>4.5</v>
      </c>
      <c r="F1466" s="45">
        <f>VLOOKUP(B1466,'112年全品項生產鍋數'!A:H,7,0)</f>
        <v>35.6</v>
      </c>
      <c r="G1466" s="49">
        <f t="shared" si="180"/>
        <v>284.8</v>
      </c>
      <c r="H1466" s="158">
        <v>278</v>
      </c>
      <c r="I1466" s="23">
        <f t="shared" si="181"/>
        <v>1251</v>
      </c>
      <c r="J1466" s="100">
        <f t="shared" si="182"/>
        <v>0.97612359550561789</v>
      </c>
      <c r="K1466" s="51">
        <f>VLOOKUP(B:B,'生產達成率(目標)'!A:C,3,0)</f>
        <v>1</v>
      </c>
      <c r="L1466" s="20">
        <f t="shared" si="183"/>
        <v>-2.4E-2</v>
      </c>
      <c r="M1466" s="203" t="str">
        <f>工時!R650</f>
        <v>225</v>
      </c>
      <c r="N1466" s="144"/>
      <c r="O1466" s="144">
        <f t="shared" si="184"/>
        <v>0</v>
      </c>
      <c r="P1466" s="156">
        <v>278</v>
      </c>
      <c r="Q1466" s="98">
        <f t="shared" si="185"/>
        <v>1</v>
      </c>
      <c r="R1466" s="23"/>
      <c r="S1466" s="173"/>
      <c r="T1466" s="30"/>
    </row>
    <row r="1467" spans="1:30" s="146" customFormat="1" x14ac:dyDescent="0.4">
      <c r="A1467" s="182">
        <v>45757</v>
      </c>
      <c r="B1467" s="139" t="s">
        <v>65</v>
      </c>
      <c r="C1467" s="140" t="str">
        <f>VLOOKUP(B1467,'112年全品項生產鍋數'!A:H,2,0)</f>
        <v>＃1花生(1*2.8kg)</v>
      </c>
      <c r="D1467" s="290">
        <v>56</v>
      </c>
      <c r="E1467" s="141">
        <f>VLOOKUP(B1467,'112年全品項生產鍋數'!A:H,3,0)</f>
        <v>2.8</v>
      </c>
      <c r="F1467" s="142">
        <f>VLOOKUP(B1467,'112年全品項生產鍋數'!A:H,7,0)</f>
        <v>44.5</v>
      </c>
      <c r="G1467" s="143">
        <f t="shared" si="180"/>
        <v>2492</v>
      </c>
      <c r="H1467" s="158">
        <v>2563</v>
      </c>
      <c r="I1467" s="144">
        <f t="shared" si="181"/>
        <v>7176.4</v>
      </c>
      <c r="J1467" s="100">
        <f t="shared" si="182"/>
        <v>1.0284911717495988</v>
      </c>
      <c r="K1467" s="51">
        <f>VLOOKUP(B:B,'生產達成率(目標)'!A:C,3,0)</f>
        <v>1</v>
      </c>
      <c r="L1467" s="20">
        <f t="shared" si="183"/>
        <v>2.8000000000000001E-2</v>
      </c>
      <c r="M1467" s="203" t="str">
        <f>工時!R651</f>
        <v>525</v>
      </c>
      <c r="N1467" s="144"/>
      <c r="O1467" s="144">
        <f t="shared" si="184"/>
        <v>1</v>
      </c>
      <c r="P1467" s="156">
        <v>2562</v>
      </c>
      <c r="Q1467" s="145">
        <f t="shared" si="185"/>
        <v>0.99960983222785793</v>
      </c>
      <c r="R1467" s="144"/>
      <c r="S1467" s="153">
        <f>56*3</f>
        <v>168</v>
      </c>
      <c r="T1467" s="140" t="s">
        <v>992</v>
      </c>
      <c r="V1467" s="381"/>
      <c r="W1467" s="421"/>
      <c r="X1467" s="381"/>
      <c r="Y1467" s="421"/>
      <c r="Z1467" s="421"/>
      <c r="AA1467" s="421"/>
      <c r="AB1467" s="421"/>
      <c r="AC1467" s="421"/>
      <c r="AD1467" s="421"/>
    </row>
    <row r="1468" spans="1:30" x14ac:dyDescent="0.4">
      <c r="A1468" s="181">
        <v>45758</v>
      </c>
      <c r="B1468" s="139" t="s">
        <v>71</v>
      </c>
      <c r="C1468" s="30" t="str">
        <f>VLOOKUP(B1468,'112年全品項生產鍋數'!A:H,2,0)</f>
        <v>＃1草莓(1*3.2kg)</v>
      </c>
      <c r="D1468" s="290">
        <v>72</v>
      </c>
      <c r="E1468" s="48">
        <f>VLOOKUP(B1468,'112年全品項生產鍋數'!A:H,3,0)</f>
        <v>3.2</v>
      </c>
      <c r="F1468" s="45">
        <f>VLOOKUP(B1468,'112年全品項生產鍋數'!A:H,7,0)</f>
        <v>46.8</v>
      </c>
      <c r="G1468" s="49">
        <f t="shared" si="180"/>
        <v>3369.6</v>
      </c>
      <c r="H1468" s="158">
        <v>3342</v>
      </c>
      <c r="I1468" s="23">
        <f t="shared" si="181"/>
        <v>10694.400000000001</v>
      </c>
      <c r="J1468" s="100">
        <f t="shared" si="182"/>
        <v>0.99180911680911688</v>
      </c>
      <c r="K1468" s="51">
        <f>VLOOKUP(B:B,'生產達成率(目標)'!A:C,3,0)</f>
        <v>1</v>
      </c>
      <c r="L1468" s="20">
        <f t="shared" si="183"/>
        <v>-8.0000000000000002E-3</v>
      </c>
      <c r="M1468" s="203" t="str">
        <f>工時!R652</f>
        <v>540</v>
      </c>
      <c r="N1468" s="144"/>
      <c r="O1468" s="144">
        <f t="shared" si="184"/>
        <v>2</v>
      </c>
      <c r="P1468" s="156">
        <v>3340</v>
      </c>
      <c r="Q1468" s="98">
        <f t="shared" si="185"/>
        <v>0.99940155595451829</v>
      </c>
      <c r="R1468" s="23"/>
      <c r="S1468" s="173"/>
      <c r="T1468" s="30"/>
    </row>
    <row r="1469" spans="1:30" s="146" customFormat="1" x14ac:dyDescent="0.4">
      <c r="A1469" s="182">
        <v>45758</v>
      </c>
      <c r="B1469" s="139" t="s">
        <v>63</v>
      </c>
      <c r="C1469" s="140" t="str">
        <f>VLOOKUP(B1469,'112年全品項生產鍋數'!A:H,2,0)</f>
        <v>草莓蒟蒻餡(1*6kg)</v>
      </c>
      <c r="D1469" s="290">
        <v>20</v>
      </c>
      <c r="E1469" s="141">
        <f>VLOOKUP(B1469,'112年全品項生產鍋數'!A:H,3,0)</f>
        <v>6</v>
      </c>
      <c r="F1469" s="142">
        <f>VLOOKUP(B1469,'112年全品項生產鍋數'!A:H,7,0)</f>
        <v>25.7</v>
      </c>
      <c r="G1469" s="143">
        <f t="shared" si="180"/>
        <v>514</v>
      </c>
      <c r="H1469" s="158">
        <f>306+221</f>
        <v>527</v>
      </c>
      <c r="I1469" s="144">
        <f t="shared" si="181"/>
        <v>3162</v>
      </c>
      <c r="J1469" s="100">
        <f t="shared" si="182"/>
        <v>1.0252918287937742</v>
      </c>
      <c r="K1469" s="51">
        <f>VLOOKUP(B:B,'生產達成率(目標)'!A:C,3,0)</f>
        <v>1</v>
      </c>
      <c r="L1469" s="20">
        <f t="shared" si="183"/>
        <v>2.5000000000000001E-2</v>
      </c>
      <c r="M1469" s="203" t="str">
        <f>工時!R653</f>
        <v>315</v>
      </c>
      <c r="N1469" s="144"/>
      <c r="O1469" s="144">
        <f t="shared" si="184"/>
        <v>1</v>
      </c>
      <c r="P1469" s="156">
        <f>305+221</f>
        <v>526</v>
      </c>
      <c r="Q1469" s="145">
        <f t="shared" si="185"/>
        <v>0.99810246679316883</v>
      </c>
      <c r="R1469" s="144"/>
      <c r="S1469" s="153"/>
      <c r="T1469" s="140"/>
      <c r="V1469" s="381"/>
      <c r="W1469" s="421"/>
      <c r="X1469" s="381"/>
      <c r="Y1469" s="421"/>
      <c r="Z1469" s="421"/>
      <c r="AA1469" s="421"/>
      <c r="AB1469" s="421"/>
      <c r="AC1469" s="421"/>
      <c r="AD1469" s="421"/>
    </row>
    <row r="1470" spans="1:30" s="146" customFormat="1" x14ac:dyDescent="0.4">
      <c r="A1470" s="182">
        <v>45758</v>
      </c>
      <c r="B1470" s="139" t="s">
        <v>64</v>
      </c>
      <c r="C1470" s="140" t="str">
        <f>VLOOKUP(B1470,'112年全品項生產鍋數'!A:H,2,0)</f>
        <v>藍莓餡(1*6KG)</v>
      </c>
      <c r="D1470" s="290">
        <v>16</v>
      </c>
      <c r="E1470" s="141">
        <f>VLOOKUP(B1470,'112年全品項生產鍋數'!A:H,3,0)</f>
        <v>6</v>
      </c>
      <c r="F1470" s="142">
        <f>VLOOKUP(B1470,'112年全品項生產鍋數'!A:H,7,0)</f>
        <v>25.4</v>
      </c>
      <c r="G1470" s="143">
        <f t="shared" si="180"/>
        <v>406.4</v>
      </c>
      <c r="H1470" s="158">
        <f>195+211</f>
        <v>406</v>
      </c>
      <c r="I1470" s="144">
        <f t="shared" si="181"/>
        <v>2436</v>
      </c>
      <c r="J1470" s="100">
        <f t="shared" si="182"/>
        <v>0.99901574803149606</v>
      </c>
      <c r="K1470" s="51">
        <f>VLOOKUP(B:B,'生產達成率(目標)'!A:C,3,0)</f>
        <v>1</v>
      </c>
      <c r="L1470" s="20">
        <f t="shared" si="183"/>
        <v>-1E-3</v>
      </c>
      <c r="M1470" s="203" t="str">
        <f>工時!R654</f>
        <v>270</v>
      </c>
      <c r="N1470" s="144"/>
      <c r="O1470" s="144">
        <f t="shared" si="184"/>
        <v>1</v>
      </c>
      <c r="P1470" s="156">
        <f>194+211</f>
        <v>405</v>
      </c>
      <c r="Q1470" s="145">
        <f t="shared" si="185"/>
        <v>0.99753694581280783</v>
      </c>
      <c r="R1470" s="144"/>
      <c r="S1470" s="153"/>
      <c r="T1470" s="140"/>
      <c r="V1470" s="381"/>
      <c r="W1470" s="421"/>
      <c r="X1470" s="381"/>
      <c r="Y1470" s="421"/>
      <c r="Z1470" s="421"/>
      <c r="AA1470" s="421"/>
      <c r="AB1470" s="421"/>
      <c r="AC1470" s="421"/>
      <c r="AD1470" s="421"/>
    </row>
    <row r="1471" spans="1:30" s="146" customFormat="1" x14ac:dyDescent="0.4">
      <c r="A1471" s="182">
        <v>45758</v>
      </c>
      <c r="B1471" s="139" t="s">
        <v>82</v>
      </c>
      <c r="C1471" s="140" t="str">
        <f>VLOOKUP(B1471,'112年全品項生產鍋數'!A:H,2,0)</f>
        <v>顆粒花生醬(全)</v>
      </c>
      <c r="D1471" s="290">
        <v>36</v>
      </c>
      <c r="E1471" s="141">
        <f>VLOOKUP(B1471,'112年全品項生產鍋數'!A:H,3,0)</f>
        <v>0.34</v>
      </c>
      <c r="F1471" s="142">
        <f>VLOOKUP(B1471,'112年全品項生產鍋數'!A:H,7,0)</f>
        <v>364.6</v>
      </c>
      <c r="G1471" s="143">
        <f t="shared" si="180"/>
        <v>13125.6</v>
      </c>
      <c r="H1471" s="158">
        <v>13002</v>
      </c>
      <c r="I1471" s="144">
        <f t="shared" si="181"/>
        <v>4420.68</v>
      </c>
      <c r="J1471" s="100">
        <f t="shared" si="182"/>
        <v>0.99058328762113734</v>
      </c>
      <c r="K1471" s="51">
        <f>VLOOKUP(B:B,'生產達成率(目標)'!A:C,3,0)</f>
        <v>1</v>
      </c>
      <c r="L1471" s="20">
        <f t="shared" si="183"/>
        <v>-8.9999999999999993E-3</v>
      </c>
      <c r="M1471" s="203" t="str">
        <f>工時!R655</f>
        <v>600</v>
      </c>
      <c r="N1471" s="144"/>
      <c r="O1471" s="144">
        <f t="shared" si="184"/>
        <v>3</v>
      </c>
      <c r="P1471" s="156">
        <v>12999</v>
      </c>
      <c r="Q1471" s="145">
        <f t="shared" si="185"/>
        <v>0.99976926626672824</v>
      </c>
      <c r="R1471" s="144"/>
      <c r="S1471" s="153"/>
      <c r="T1471" s="140"/>
      <c r="V1471" s="381"/>
      <c r="W1471" s="421"/>
      <c r="X1471" s="381"/>
      <c r="Y1471" s="421"/>
      <c r="Z1471" s="421"/>
      <c r="AA1471" s="421"/>
      <c r="AB1471" s="421"/>
      <c r="AC1471" s="421"/>
      <c r="AD1471" s="421"/>
    </row>
    <row r="1472" spans="1:30" x14ac:dyDescent="0.4">
      <c r="A1472" s="181">
        <v>45761</v>
      </c>
      <c r="B1472" s="139" t="s">
        <v>71</v>
      </c>
      <c r="C1472" s="30" t="str">
        <f>VLOOKUP(B1472,'112年全品項生產鍋數'!A:H,2,0)</f>
        <v>＃1草莓(1*3.2kg)</v>
      </c>
      <c r="D1472" s="290">
        <v>72</v>
      </c>
      <c r="E1472" s="48">
        <f>VLOOKUP(B1472,'112年全品項生產鍋數'!A:H,3,0)</f>
        <v>3.2</v>
      </c>
      <c r="F1472" s="45">
        <f>VLOOKUP(B1472,'112年全品項生產鍋數'!A:H,7,0)</f>
        <v>46.8</v>
      </c>
      <c r="G1472" s="49">
        <f t="shared" si="180"/>
        <v>3369.6</v>
      </c>
      <c r="H1472" s="158">
        <v>3345</v>
      </c>
      <c r="I1472" s="23">
        <f t="shared" si="181"/>
        <v>10704</v>
      </c>
      <c r="J1472" s="100">
        <f t="shared" si="182"/>
        <v>0.99269943019943019</v>
      </c>
      <c r="K1472" s="51">
        <f>VLOOKUP(B:B,'生產達成率(目標)'!A:C,3,0)</f>
        <v>1</v>
      </c>
      <c r="L1472" s="20">
        <f t="shared" si="183"/>
        <v>-7.0000000000000001E-3</v>
      </c>
      <c r="M1472" s="137" t="str">
        <f>工時!R656</f>
        <v>540</v>
      </c>
      <c r="N1472" s="144"/>
      <c r="O1472" s="144">
        <f t="shared" si="184"/>
        <v>2</v>
      </c>
      <c r="P1472" s="156">
        <v>3343</v>
      </c>
      <c r="Q1472" s="98">
        <f t="shared" si="185"/>
        <v>0.99940209267563529</v>
      </c>
      <c r="R1472" s="23"/>
      <c r="S1472" s="173"/>
      <c r="T1472" s="30"/>
    </row>
    <row r="1473" spans="1:30" x14ac:dyDescent="0.4">
      <c r="A1473" s="181">
        <v>45761</v>
      </c>
      <c r="B1473" s="139" t="s">
        <v>63</v>
      </c>
      <c r="C1473" s="30" t="str">
        <f>VLOOKUP(B1473,'112年全品項生產鍋數'!A:H,2,0)</f>
        <v>草莓蒟蒻餡(1*6kg)</v>
      </c>
      <c r="D1473" s="290">
        <v>24</v>
      </c>
      <c r="E1473" s="48">
        <f>VLOOKUP(B1473,'112年全品項生產鍋數'!A:H,3,0)</f>
        <v>6</v>
      </c>
      <c r="F1473" s="45">
        <f>VLOOKUP(B1473,'112年全品項生產鍋數'!A:H,7,0)</f>
        <v>25.7</v>
      </c>
      <c r="G1473" s="49">
        <f t="shared" ref="G1473:G1514" si="186">D1473*F1473</f>
        <v>616.79999999999995</v>
      </c>
      <c r="H1473" s="158">
        <f>313+318</f>
        <v>631</v>
      </c>
      <c r="I1473" s="23">
        <f t="shared" ref="I1473:I1514" si="187">H1473*E1473</f>
        <v>3786</v>
      </c>
      <c r="J1473" s="100">
        <f t="shared" ref="J1473:J1514" si="188">IF(G1473=0,"無法預估數據",H1473/G1473)</f>
        <v>1.0230220492866409</v>
      </c>
      <c r="K1473" s="51">
        <f>VLOOKUP(B:B,'生產達成率(目標)'!A:C,3,0)</f>
        <v>1</v>
      </c>
      <c r="L1473" s="20">
        <f t="shared" ref="L1473:L1514" si="189">IF(G1473=0,"無法預估數據",ROUND(J1473-K1473,3))</f>
        <v>2.3E-2</v>
      </c>
      <c r="M1473" s="137" t="str">
        <f>工時!R657</f>
        <v>357</v>
      </c>
      <c r="N1473" s="144"/>
      <c r="O1473" s="144">
        <f t="shared" ref="O1473:O1514" si="190">H1473-N1473-P1473</f>
        <v>3</v>
      </c>
      <c r="P1473" s="156">
        <f>311+317</f>
        <v>628</v>
      </c>
      <c r="Q1473" s="98">
        <f t="shared" ref="Q1473:Q1514" si="191">P1473/H1473</f>
        <v>0.99524564183835185</v>
      </c>
      <c r="R1473" s="23"/>
      <c r="S1473" s="173"/>
      <c r="T1473" s="30"/>
    </row>
    <row r="1474" spans="1:30" x14ac:dyDescent="0.4">
      <c r="A1474" s="181">
        <v>45761</v>
      </c>
      <c r="B1474" s="139" t="s">
        <v>965</v>
      </c>
      <c r="C1474" s="30" t="str">
        <f>VLOOKUP(B1474,'112年全品項生產鍋數'!A:H,2,0)</f>
        <v>草莓餡°(1*6KG)</v>
      </c>
      <c r="D1474" s="290">
        <v>12</v>
      </c>
      <c r="E1474" s="48">
        <f>VLOOKUP(B1474,'112年全品項生產鍋數'!A:H,3,0)</f>
        <v>6</v>
      </c>
      <c r="F1474" s="45">
        <f>VLOOKUP(B1474,'112年全品項生產鍋數'!A:H,7,0)</f>
        <v>0</v>
      </c>
      <c r="G1474" s="49">
        <f t="shared" si="186"/>
        <v>0</v>
      </c>
      <c r="H1474" s="158">
        <v>297</v>
      </c>
      <c r="I1474" s="23">
        <f t="shared" si="187"/>
        <v>1782</v>
      </c>
      <c r="J1474" s="100" t="str">
        <f t="shared" si="188"/>
        <v>無法預估數據</v>
      </c>
      <c r="K1474" s="51">
        <f>VLOOKUP(B:B,'生產達成率(目標)'!A:C,3,0)</f>
        <v>1</v>
      </c>
      <c r="L1474" s="20" t="str">
        <f t="shared" si="189"/>
        <v>無法預估數據</v>
      </c>
      <c r="M1474" s="137" t="str">
        <f>工時!R658</f>
        <v>195</v>
      </c>
      <c r="N1474" s="144"/>
      <c r="O1474" s="144">
        <f t="shared" si="190"/>
        <v>2</v>
      </c>
      <c r="P1474" s="156">
        <v>295</v>
      </c>
      <c r="Q1474" s="98">
        <f t="shared" si="191"/>
        <v>0.9932659932659933</v>
      </c>
      <c r="R1474" s="23"/>
      <c r="S1474" s="173"/>
      <c r="T1474" s="30"/>
    </row>
    <row r="1475" spans="1:30" x14ac:dyDescent="0.4">
      <c r="A1475" s="181">
        <v>45761</v>
      </c>
      <c r="B1475" s="139" t="s">
        <v>104</v>
      </c>
      <c r="C1475" s="30" t="str">
        <f>VLOOKUP(B1475,'112年全品項生產鍋數'!A:H,2,0)</f>
        <v>＃1花生(粒)(1*2.8kg)</v>
      </c>
      <c r="D1475" s="290">
        <v>56</v>
      </c>
      <c r="E1475" s="48">
        <f>VLOOKUP(B1475,'112年全品項生產鍋數'!A:H,3,0)</f>
        <v>2.8</v>
      </c>
      <c r="F1475" s="45">
        <f>VLOOKUP(B1475,'112年全品項生產鍋數'!A:H,7,0)</f>
        <v>44.2</v>
      </c>
      <c r="G1475" s="49">
        <f t="shared" si="186"/>
        <v>2475.2000000000003</v>
      </c>
      <c r="H1475" s="158">
        <v>2445</v>
      </c>
      <c r="I1475" s="23">
        <f t="shared" si="187"/>
        <v>6846</v>
      </c>
      <c r="J1475" s="100">
        <f t="shared" si="188"/>
        <v>0.98779896574014214</v>
      </c>
      <c r="K1475" s="51">
        <f>VLOOKUP(B:B,'生產達成率(目標)'!A:C,3,0)</f>
        <v>1</v>
      </c>
      <c r="L1475" s="20">
        <f t="shared" si="189"/>
        <v>-1.2E-2</v>
      </c>
      <c r="M1475" s="137" t="str">
        <f>工時!R659</f>
        <v>525</v>
      </c>
      <c r="N1475" s="144"/>
      <c r="O1475" s="144">
        <f t="shared" si="190"/>
        <v>1</v>
      </c>
      <c r="P1475" s="156">
        <v>2444</v>
      </c>
      <c r="Q1475" s="98">
        <f t="shared" si="191"/>
        <v>0.99959100204498974</v>
      </c>
      <c r="R1475" s="23"/>
      <c r="S1475" s="173"/>
      <c r="T1475" s="30"/>
    </row>
    <row r="1476" spans="1:30" x14ac:dyDescent="0.4">
      <c r="A1476" s="181">
        <v>45762</v>
      </c>
      <c r="B1476" s="139" t="s">
        <v>54</v>
      </c>
      <c r="C1476" s="30" t="str">
        <f>VLOOKUP(B1476,'112年全品項生產鍋數'!A:H,2,0)</f>
        <v>草莓醬(1*6kg)</v>
      </c>
      <c r="D1476" s="290">
        <v>36</v>
      </c>
      <c r="E1476" s="48">
        <f>VLOOKUP(B1476,'112年全品項生產鍋數'!A:H,3,0)</f>
        <v>6</v>
      </c>
      <c r="F1476" s="45">
        <f>VLOOKUP(B1476,'112年全品項生產鍋數'!A:H,7,0)</f>
        <v>26.6</v>
      </c>
      <c r="G1476" s="49">
        <f t="shared" si="186"/>
        <v>957.6</v>
      </c>
      <c r="H1476" s="158">
        <v>953</v>
      </c>
      <c r="I1476" s="23">
        <f t="shared" si="187"/>
        <v>5718</v>
      </c>
      <c r="J1476" s="100">
        <f t="shared" si="188"/>
        <v>0.99519632414369252</v>
      </c>
      <c r="K1476" s="51">
        <f>VLOOKUP(B:B,'生產達成率(目標)'!A:C,3,0)</f>
        <v>1</v>
      </c>
      <c r="L1476" s="20">
        <f t="shared" si="189"/>
        <v>-5.0000000000000001E-3</v>
      </c>
      <c r="M1476" s="137" t="str">
        <f>工時!R660</f>
        <v>540</v>
      </c>
      <c r="N1476" s="144"/>
      <c r="O1476" s="144">
        <f t="shared" si="190"/>
        <v>3</v>
      </c>
      <c r="P1476" s="156">
        <v>950</v>
      </c>
      <c r="Q1476" s="98">
        <f t="shared" si="191"/>
        <v>0.99685204616998946</v>
      </c>
      <c r="R1476" s="23"/>
      <c r="S1476" s="173"/>
      <c r="T1476" s="30"/>
    </row>
    <row r="1477" spans="1:30" x14ac:dyDescent="0.4">
      <c r="A1477" s="181">
        <v>45762</v>
      </c>
      <c r="B1477" s="139" t="s">
        <v>102</v>
      </c>
      <c r="C1477" s="30" t="str">
        <f>VLOOKUP(B1477,'112年全品項生產鍋數'!A:H,2,0)</f>
        <v>耐烤草莓餡(1*4.5KG)</v>
      </c>
      <c r="D1477" s="290">
        <v>12</v>
      </c>
      <c r="E1477" s="48">
        <f>VLOOKUP(B1477,'112年全品項生產鍋數'!A:H,3,0)</f>
        <v>4.5</v>
      </c>
      <c r="F1477" s="45">
        <f>VLOOKUP(B1477,'112年全品項生產鍋數'!A:H,7,0)</f>
        <v>36</v>
      </c>
      <c r="G1477" s="49">
        <f t="shared" si="186"/>
        <v>432</v>
      </c>
      <c r="H1477" s="158">
        <v>439</v>
      </c>
      <c r="I1477" s="23">
        <f t="shared" si="187"/>
        <v>1975.5</v>
      </c>
      <c r="J1477" s="100">
        <f t="shared" si="188"/>
        <v>1.0162037037037037</v>
      </c>
      <c r="K1477" s="51">
        <f>VLOOKUP(B:B,'生產達成率(目標)'!A:C,3,0)</f>
        <v>1</v>
      </c>
      <c r="L1477" s="20">
        <f t="shared" si="189"/>
        <v>1.6E-2</v>
      </c>
      <c r="M1477" s="137" t="str">
        <f>工時!R661</f>
        <v>196</v>
      </c>
      <c r="N1477" s="144"/>
      <c r="O1477" s="144">
        <f t="shared" si="190"/>
        <v>0</v>
      </c>
      <c r="P1477" s="156">
        <v>439</v>
      </c>
      <c r="Q1477" s="98">
        <f t="shared" si="191"/>
        <v>1</v>
      </c>
      <c r="R1477" s="23"/>
      <c r="S1477" s="173"/>
      <c r="T1477" s="30"/>
    </row>
    <row r="1478" spans="1:30" x14ac:dyDescent="0.4">
      <c r="A1478" s="181">
        <v>45762</v>
      </c>
      <c r="B1478" s="139" t="s">
        <v>55</v>
      </c>
      <c r="C1478" s="30" t="str">
        <f>VLOOKUP(B1478,'112年全品項生產鍋數'!A:H,2,0)</f>
        <v>天天開心草莓餡4.5KG</v>
      </c>
      <c r="D1478" s="290">
        <v>28</v>
      </c>
      <c r="E1478" s="48">
        <f>VLOOKUP(B1478,'112年全品項生產鍋數'!A:H,3,0)</f>
        <v>4.5</v>
      </c>
      <c r="F1478" s="45">
        <f>VLOOKUP(B1478,'112年全品項生產鍋數'!A:H,7,0)</f>
        <v>36.299999999999997</v>
      </c>
      <c r="G1478" s="49">
        <f t="shared" si="186"/>
        <v>1016.3999999999999</v>
      </c>
      <c r="H1478" s="158">
        <v>1020</v>
      </c>
      <c r="I1478" s="23">
        <f t="shared" si="187"/>
        <v>4590</v>
      </c>
      <c r="J1478" s="100">
        <f t="shared" si="188"/>
        <v>1.0035419126328218</v>
      </c>
      <c r="K1478" s="51">
        <f>VLOOKUP(B:B,'生產達成率(目標)'!A:C,3,0)</f>
        <v>1</v>
      </c>
      <c r="L1478" s="20">
        <f t="shared" si="189"/>
        <v>4.0000000000000001E-3</v>
      </c>
      <c r="M1478" s="137" t="str">
        <f>工時!R662</f>
        <v>390</v>
      </c>
      <c r="N1478" s="144"/>
      <c r="O1478" s="144">
        <f t="shared" si="190"/>
        <v>0</v>
      </c>
      <c r="P1478" s="156">
        <v>1020</v>
      </c>
      <c r="Q1478" s="98">
        <f t="shared" si="191"/>
        <v>1</v>
      </c>
      <c r="R1478" s="23"/>
      <c r="S1478" s="173"/>
      <c r="T1478" s="30"/>
    </row>
    <row r="1479" spans="1:30" x14ac:dyDescent="0.4">
      <c r="A1479" s="181">
        <v>45762</v>
      </c>
      <c r="B1479" s="139" t="s">
        <v>65</v>
      </c>
      <c r="C1479" s="30" t="str">
        <f>VLOOKUP(B1479,'112年全品項生產鍋數'!A:H,2,0)</f>
        <v>＃1花生(1*2.8kg)</v>
      </c>
      <c r="D1479" s="290">
        <v>56</v>
      </c>
      <c r="E1479" s="48">
        <f>VLOOKUP(B1479,'112年全品項生產鍋數'!A:H,3,0)</f>
        <v>2.8</v>
      </c>
      <c r="F1479" s="45">
        <f>VLOOKUP(B1479,'112年全品項生產鍋數'!A:H,7,0)</f>
        <v>44.5</v>
      </c>
      <c r="G1479" s="49">
        <f t="shared" si="186"/>
        <v>2492</v>
      </c>
      <c r="H1479" s="158">
        <f>1953+600</f>
        <v>2553</v>
      </c>
      <c r="I1479" s="23">
        <f t="shared" si="187"/>
        <v>7148.4</v>
      </c>
      <c r="J1479" s="100">
        <f t="shared" si="188"/>
        <v>1.024478330658106</v>
      </c>
      <c r="K1479" s="51">
        <f>VLOOKUP(B:B,'生產達成率(目標)'!A:C,3,0)</f>
        <v>1</v>
      </c>
      <c r="L1479" s="20">
        <f t="shared" si="189"/>
        <v>2.4E-2</v>
      </c>
      <c r="M1479" s="137" t="str">
        <f>工時!R663</f>
        <v>550</v>
      </c>
      <c r="N1479" s="144"/>
      <c r="O1479" s="144">
        <f t="shared" si="190"/>
        <v>1</v>
      </c>
      <c r="P1479" s="156">
        <f>1952+600</f>
        <v>2552</v>
      </c>
      <c r="Q1479" s="98">
        <f t="shared" si="191"/>
        <v>0.9996083039561301</v>
      </c>
      <c r="R1479" s="23"/>
      <c r="S1479" s="173">
        <f>D1479*3</f>
        <v>168</v>
      </c>
      <c r="T1479" s="30" t="s">
        <v>994</v>
      </c>
    </row>
    <row r="1480" spans="1:30" x14ac:dyDescent="0.4">
      <c r="A1480" s="181">
        <v>45762</v>
      </c>
      <c r="B1480" s="139">
        <v>152010</v>
      </c>
      <c r="C1480" s="30" t="str">
        <f>VLOOKUP(B1480,'112年全品項生產鍋數'!A:H,2,0)</f>
        <v>蜜綠果6m/m</v>
      </c>
      <c r="D1480" s="290">
        <v>1</v>
      </c>
      <c r="E1480" s="48">
        <f>VLOOKUP(B1480,'112年全品項生產鍋數'!A:H,3,0)</f>
        <v>1</v>
      </c>
      <c r="F1480" s="45">
        <f>VLOOKUP(B1480,'112年全品項生產鍋數'!A:H,7,0)</f>
        <v>139</v>
      </c>
      <c r="G1480" s="49">
        <f t="shared" si="186"/>
        <v>139</v>
      </c>
      <c r="H1480" s="158">
        <v>138</v>
      </c>
      <c r="I1480" s="23">
        <f t="shared" si="187"/>
        <v>138</v>
      </c>
      <c r="J1480" s="100">
        <f t="shared" si="188"/>
        <v>0.9928057553956835</v>
      </c>
      <c r="K1480" s="51">
        <f>VLOOKUP(B:B,'生產達成率(目標)'!A:C,3,0)</f>
        <v>1</v>
      </c>
      <c r="L1480" s="20">
        <f t="shared" si="189"/>
        <v>-7.0000000000000001E-3</v>
      </c>
      <c r="M1480" s="137" t="str">
        <f>工時!R664</f>
        <v>0</v>
      </c>
      <c r="N1480" s="144"/>
      <c r="O1480" s="144">
        <f t="shared" si="190"/>
        <v>0</v>
      </c>
      <c r="P1480" s="156">
        <v>138</v>
      </c>
      <c r="Q1480" s="98">
        <f t="shared" si="191"/>
        <v>1</v>
      </c>
      <c r="R1480" s="23"/>
      <c r="S1480" s="173"/>
      <c r="T1480" s="30"/>
    </row>
    <row r="1481" spans="1:30" x14ac:dyDescent="0.4">
      <c r="A1481" s="181">
        <v>45763</v>
      </c>
      <c r="B1481" s="139" t="s">
        <v>51</v>
      </c>
      <c r="C1481" s="30" t="str">
        <f>VLOOKUP(B1481,'112年全品項生產鍋數'!A:H,2,0)</f>
        <v>藍莓醬(1*6kg)</v>
      </c>
      <c r="D1481" s="290">
        <v>16</v>
      </c>
      <c r="E1481" s="48">
        <f>VLOOKUP(B1481,'112年全品項生產鍋數'!A:H,3,0)</f>
        <v>6</v>
      </c>
      <c r="F1481" s="45">
        <f>VLOOKUP(B1481,'112年全品項生產鍋數'!A:H,7,0)</f>
        <v>25.5</v>
      </c>
      <c r="G1481" s="49">
        <f t="shared" si="186"/>
        <v>408</v>
      </c>
      <c r="H1481" s="158">
        <v>401</v>
      </c>
      <c r="I1481" s="23">
        <f t="shared" si="187"/>
        <v>2406</v>
      </c>
      <c r="J1481" s="100">
        <f t="shared" si="188"/>
        <v>0.98284313725490191</v>
      </c>
      <c r="K1481" s="51">
        <f>VLOOKUP(B:B,'生產達成率(目標)'!A:C,3,0)</f>
        <v>1</v>
      </c>
      <c r="L1481" s="20">
        <f t="shared" si="189"/>
        <v>-1.7000000000000001E-2</v>
      </c>
      <c r="M1481" s="137" t="str">
        <f>工時!R665</f>
        <v>200</v>
      </c>
      <c r="N1481" s="144"/>
      <c r="O1481" s="144">
        <f t="shared" si="190"/>
        <v>2</v>
      </c>
      <c r="P1481" s="156">
        <v>399</v>
      </c>
      <c r="Q1481" s="98">
        <f t="shared" si="191"/>
        <v>0.99501246882793015</v>
      </c>
      <c r="R1481" s="23"/>
      <c r="S1481" s="173"/>
      <c r="T1481" s="30"/>
    </row>
    <row r="1482" spans="1:30" x14ac:dyDescent="0.4">
      <c r="A1482" s="181">
        <v>45763</v>
      </c>
      <c r="B1482" s="139" t="s">
        <v>451</v>
      </c>
      <c r="C1482" s="30" t="str">
        <f>VLOOKUP(B1482,'112年全品項生產鍋數'!A:H,2,0)</f>
        <v>水蜜桃醬(1*6kg)</v>
      </c>
      <c r="D1482" s="290">
        <v>6</v>
      </c>
      <c r="E1482" s="48">
        <f>VLOOKUP(B1482,'112年全品項生產鍋數'!A:H,3,0)</f>
        <v>6</v>
      </c>
      <c r="F1482" s="45">
        <f>VLOOKUP(B1482,'112年全品項生產鍋數'!A:H,7,0)</f>
        <v>24.5</v>
      </c>
      <c r="G1482" s="49">
        <f t="shared" si="186"/>
        <v>147</v>
      </c>
      <c r="H1482" s="158">
        <v>146</v>
      </c>
      <c r="I1482" s="23">
        <f t="shared" si="187"/>
        <v>876</v>
      </c>
      <c r="J1482" s="100">
        <f t="shared" si="188"/>
        <v>0.99319727891156462</v>
      </c>
      <c r="K1482" s="51">
        <f>VLOOKUP(B:B,'生產達成率(目標)'!A:C,3,0)</f>
        <v>1</v>
      </c>
      <c r="L1482" s="20">
        <f t="shared" si="189"/>
        <v>-7.0000000000000001E-3</v>
      </c>
      <c r="M1482" s="137" t="str">
        <f>工時!R666</f>
        <v>150</v>
      </c>
      <c r="N1482" s="144"/>
      <c r="O1482" s="144">
        <f t="shared" si="190"/>
        <v>1</v>
      </c>
      <c r="P1482" s="156">
        <v>145</v>
      </c>
      <c r="Q1482" s="98">
        <f t="shared" si="191"/>
        <v>0.99315068493150682</v>
      </c>
      <c r="R1482" s="23"/>
      <c r="S1482" s="173"/>
      <c r="T1482" s="30"/>
    </row>
    <row r="1483" spans="1:30" x14ac:dyDescent="0.4">
      <c r="A1483" s="181">
        <v>45763</v>
      </c>
      <c r="B1483" s="139" t="s">
        <v>109</v>
      </c>
      <c r="C1483" s="30" t="str">
        <f>VLOOKUP(B1483,'112年全品項生產鍋數'!A:H,2,0)</f>
        <v>蔓越莓醬(1*6KG)</v>
      </c>
      <c r="D1483" s="290">
        <v>12</v>
      </c>
      <c r="E1483" s="48">
        <f>VLOOKUP(B1483,'112年全品項生產鍋數'!A:H,3,0)</f>
        <v>6</v>
      </c>
      <c r="F1483" s="45">
        <f>VLOOKUP(B1483,'112年全品項生產鍋數'!A:H,7,0)</f>
        <v>25.6</v>
      </c>
      <c r="G1483" s="49">
        <f t="shared" si="186"/>
        <v>307.20000000000005</v>
      </c>
      <c r="H1483" s="158">
        <v>306</v>
      </c>
      <c r="I1483" s="23">
        <f t="shared" si="187"/>
        <v>1836</v>
      </c>
      <c r="J1483" s="100">
        <f t="shared" si="188"/>
        <v>0.99609374999999989</v>
      </c>
      <c r="K1483" s="51">
        <f>VLOOKUP(B:B,'生產達成率(目標)'!A:C,3,0)</f>
        <v>1</v>
      </c>
      <c r="L1483" s="20">
        <f t="shared" si="189"/>
        <v>-4.0000000000000001E-3</v>
      </c>
      <c r="M1483" s="137" t="str">
        <f>工時!R667</f>
        <v>210</v>
      </c>
      <c r="N1483" s="144"/>
      <c r="O1483" s="144">
        <f t="shared" si="190"/>
        <v>1</v>
      </c>
      <c r="P1483" s="156">
        <v>305</v>
      </c>
      <c r="Q1483" s="98">
        <f t="shared" si="191"/>
        <v>0.99673202614379086</v>
      </c>
      <c r="R1483" s="23"/>
      <c r="S1483" s="173"/>
      <c r="T1483" s="30"/>
    </row>
    <row r="1484" spans="1:30" x14ac:dyDescent="0.4">
      <c r="A1484" s="181">
        <v>45763</v>
      </c>
      <c r="B1484" s="139" t="s">
        <v>547</v>
      </c>
      <c r="C1484" s="30" t="str">
        <f>VLOOKUP(B1484,'112年全品項生產鍋數'!A:H,2,0)</f>
        <v>草莓果醬(桶)(1*9.5KG)</v>
      </c>
      <c r="D1484" s="290">
        <v>12</v>
      </c>
      <c r="E1484" s="48">
        <f>VLOOKUP(B1484,'112年全品項生產鍋數'!A:H,3,0)</f>
        <v>9.5</v>
      </c>
      <c r="F1484" s="45">
        <f>VLOOKUP(B1484,'112年全品項生產鍋數'!A:H,7,0)</f>
        <v>16.600000000000001</v>
      </c>
      <c r="G1484" s="49">
        <f t="shared" si="186"/>
        <v>199.20000000000002</v>
      </c>
      <c r="H1484" s="158">
        <v>197</v>
      </c>
      <c r="I1484" s="23">
        <f t="shared" si="187"/>
        <v>1871.5</v>
      </c>
      <c r="J1484" s="100">
        <f t="shared" si="188"/>
        <v>0.98895582329317255</v>
      </c>
      <c r="K1484" s="51">
        <f>VLOOKUP(B:B,'生產達成率(目標)'!A:C,3,0)</f>
        <v>1</v>
      </c>
      <c r="L1484" s="20">
        <f t="shared" si="189"/>
        <v>-1.0999999999999999E-2</v>
      </c>
      <c r="M1484" s="137" t="str">
        <f>工時!R668</f>
        <v>230</v>
      </c>
      <c r="N1484" s="144"/>
      <c r="O1484" s="144">
        <f t="shared" si="190"/>
        <v>0</v>
      </c>
      <c r="P1484" s="156">
        <v>197</v>
      </c>
      <c r="Q1484" s="98">
        <f t="shared" si="191"/>
        <v>1</v>
      </c>
      <c r="R1484" s="23"/>
      <c r="S1484" s="173"/>
      <c r="T1484" s="30"/>
    </row>
    <row r="1485" spans="1:30" x14ac:dyDescent="0.4">
      <c r="A1485" s="181">
        <v>45763</v>
      </c>
      <c r="B1485" s="139" t="s">
        <v>63</v>
      </c>
      <c r="C1485" s="30" t="str">
        <f>VLOOKUP(B1485,'112年全品項生產鍋數'!A:H,2,0)</f>
        <v>草莓蒟蒻餡(1*6kg)</v>
      </c>
      <c r="D1485" s="290">
        <v>24</v>
      </c>
      <c r="E1485" s="48">
        <f>VLOOKUP(B1485,'112年全品項生產鍋數'!A:H,3,0)</f>
        <v>6</v>
      </c>
      <c r="F1485" s="45">
        <f>VLOOKUP(B1485,'112年全品項生產鍋數'!A:H,7,0)</f>
        <v>25.7</v>
      </c>
      <c r="G1485" s="49">
        <f t="shared" si="186"/>
        <v>616.79999999999995</v>
      </c>
      <c r="H1485" s="158">
        <f>301+327</f>
        <v>628</v>
      </c>
      <c r="I1485" s="23">
        <f t="shared" si="187"/>
        <v>3768</v>
      </c>
      <c r="J1485" s="100">
        <f t="shared" si="188"/>
        <v>1.0181582360570689</v>
      </c>
      <c r="K1485" s="51">
        <f>VLOOKUP(B:B,'生產達成率(目標)'!A:C,3,0)</f>
        <v>1</v>
      </c>
      <c r="L1485" s="20">
        <f t="shared" si="189"/>
        <v>1.7999999999999999E-2</v>
      </c>
      <c r="M1485" s="137" t="str">
        <f>工時!R669</f>
        <v>324</v>
      </c>
      <c r="N1485" s="144"/>
      <c r="O1485" s="144">
        <f t="shared" si="190"/>
        <v>1</v>
      </c>
      <c r="P1485" s="156">
        <f>300+327</f>
        <v>627</v>
      </c>
      <c r="Q1485" s="98">
        <f t="shared" si="191"/>
        <v>0.99840764331210186</v>
      </c>
      <c r="R1485" s="23"/>
      <c r="S1485" s="173"/>
      <c r="T1485" s="30"/>
    </row>
    <row r="1486" spans="1:30" x14ac:dyDescent="0.4">
      <c r="A1486" s="181">
        <v>45763</v>
      </c>
      <c r="B1486" s="139" t="s">
        <v>65</v>
      </c>
      <c r="C1486" s="30" t="str">
        <f>VLOOKUP(B1486,'112年全品項生產鍋數'!A:H,2,0)</f>
        <v>＃1花生(1*2.8kg)</v>
      </c>
      <c r="D1486" s="290">
        <v>56</v>
      </c>
      <c r="E1486" s="48">
        <f>VLOOKUP(B1486,'112年全品項生產鍋數'!A:H,3,0)</f>
        <v>2.8</v>
      </c>
      <c r="F1486" s="45">
        <f>VLOOKUP(B1486,'112年全品項生產鍋數'!A:H,7,0)</f>
        <v>44.5</v>
      </c>
      <c r="G1486" s="49">
        <f>D1486*F1486-130*18/E1486</f>
        <v>1656.2857142857142</v>
      </c>
      <c r="H1486" s="158">
        <f>1724</f>
        <v>1724</v>
      </c>
      <c r="I1486" s="23">
        <f t="shared" si="187"/>
        <v>4827.2</v>
      </c>
      <c r="J1486" s="100">
        <f t="shared" si="188"/>
        <v>1.0408832154562706</v>
      </c>
      <c r="K1486" s="51">
        <f>VLOOKUP(B:B,'生產達成率(目標)'!A:C,3,0)</f>
        <v>1</v>
      </c>
      <c r="L1486" s="20">
        <f t="shared" si="189"/>
        <v>4.1000000000000002E-2</v>
      </c>
      <c r="M1486" s="137" t="str">
        <f>工時!R670</f>
        <v>550</v>
      </c>
      <c r="N1486" s="144"/>
      <c r="O1486" s="144">
        <f t="shared" si="190"/>
        <v>1</v>
      </c>
      <c r="P1486" s="156">
        <v>1723</v>
      </c>
      <c r="Q1486" s="98">
        <f t="shared" si="191"/>
        <v>0.99941995359628766</v>
      </c>
      <c r="R1486" s="23"/>
      <c r="S1486" s="173">
        <f>D1486*3</f>
        <v>168</v>
      </c>
      <c r="T1486" s="30" t="s">
        <v>993</v>
      </c>
    </row>
    <row r="1487" spans="1:30" s="146" customFormat="1" x14ac:dyDescent="0.4">
      <c r="A1487" s="182">
        <v>45764</v>
      </c>
      <c r="B1487" s="139" t="s">
        <v>114</v>
      </c>
      <c r="C1487" s="140" t="str">
        <f>VLOOKUP(B1487,'112年全品項生產鍋數'!A:H,2,0)</f>
        <v>開心草莓果醬(1*430g)</v>
      </c>
      <c r="D1487" s="290">
        <v>15</v>
      </c>
      <c r="E1487" s="141">
        <f>VLOOKUP(B1487,'112年全品項生產鍋數'!A:H,3,0)</f>
        <v>0.43</v>
      </c>
      <c r="F1487" s="142">
        <f>VLOOKUP(B1487,'112年全品項生產鍋數'!A:H,7,0)</f>
        <v>364</v>
      </c>
      <c r="G1487" s="143">
        <f t="shared" si="186"/>
        <v>5460</v>
      </c>
      <c r="H1487" s="158">
        <v>5538</v>
      </c>
      <c r="I1487" s="144">
        <f t="shared" si="187"/>
        <v>2381.34</v>
      </c>
      <c r="J1487" s="100">
        <f t="shared" si="188"/>
        <v>1.0142857142857142</v>
      </c>
      <c r="K1487" s="51">
        <f>VLOOKUP(B:B,'生產達成率(目標)'!A:C,3,0)</f>
        <v>1</v>
      </c>
      <c r="L1487" s="20">
        <f t="shared" si="189"/>
        <v>1.4E-2</v>
      </c>
      <c r="M1487" s="137" t="str">
        <f>工時!R671</f>
        <v>300</v>
      </c>
      <c r="N1487" s="144"/>
      <c r="O1487" s="186">
        <f t="shared" si="190"/>
        <v>12</v>
      </c>
      <c r="P1487" s="156">
        <v>5526</v>
      </c>
      <c r="Q1487" s="145">
        <f t="shared" si="191"/>
        <v>0.99783315276273021</v>
      </c>
      <c r="R1487" s="144"/>
      <c r="S1487" s="153"/>
      <c r="T1487" s="140"/>
      <c r="V1487" s="381"/>
      <c r="W1487" s="421"/>
      <c r="X1487" s="381"/>
      <c r="Y1487" s="421"/>
      <c r="Z1487" s="421"/>
      <c r="AA1487" s="421"/>
      <c r="AB1487" s="421"/>
      <c r="AC1487" s="421"/>
      <c r="AD1487" s="421"/>
    </row>
    <row r="1488" spans="1:30" s="146" customFormat="1" x14ac:dyDescent="0.4">
      <c r="A1488" s="182">
        <v>45764</v>
      </c>
      <c r="B1488" s="139" t="s">
        <v>456</v>
      </c>
      <c r="C1488" s="140" t="str">
        <f>VLOOKUP(B1488,'112年全品項生產鍋數'!A:H,2,0)</f>
        <v>桑椹果醬(1*190g)</v>
      </c>
      <c r="D1488" s="290">
        <v>3</v>
      </c>
      <c r="E1488" s="141">
        <f>VLOOKUP(B1488,'112年全品項生產鍋數'!A:H,3,0)</f>
        <v>0.19</v>
      </c>
      <c r="F1488" s="142">
        <f>VLOOKUP(B1488,'112年全品項生產鍋數'!A:H,7,0)</f>
        <v>759.3</v>
      </c>
      <c r="G1488" s="143">
        <f t="shared" si="186"/>
        <v>2277.8999999999996</v>
      </c>
      <c r="H1488" s="158">
        <v>2318</v>
      </c>
      <c r="I1488" s="144">
        <f t="shared" si="187"/>
        <v>440.42</v>
      </c>
      <c r="J1488" s="100">
        <f t="shared" si="188"/>
        <v>1.0176039334474738</v>
      </c>
      <c r="K1488" s="51">
        <f>VLOOKUP(B:B,'生產達成率(目標)'!A:C,3,0)</f>
        <v>1</v>
      </c>
      <c r="L1488" s="20">
        <f t="shared" si="189"/>
        <v>1.7999999999999999E-2</v>
      </c>
      <c r="M1488" s="137" t="str">
        <f>工時!R672</f>
        <v>240</v>
      </c>
      <c r="N1488" s="144"/>
      <c r="O1488" s="186">
        <f t="shared" si="190"/>
        <v>13</v>
      </c>
      <c r="P1488" s="156">
        <v>2305</v>
      </c>
      <c r="Q1488" s="145">
        <f t="shared" si="191"/>
        <v>0.99439171699741158</v>
      </c>
      <c r="R1488" s="144"/>
      <c r="S1488" s="153"/>
      <c r="T1488" s="140"/>
      <c r="V1488" s="381"/>
      <c r="W1488" s="421"/>
      <c r="X1488" s="381"/>
      <c r="Y1488" s="421"/>
      <c r="Z1488" s="421"/>
      <c r="AA1488" s="421"/>
      <c r="AB1488" s="421"/>
      <c r="AC1488" s="421"/>
      <c r="AD1488" s="421"/>
    </row>
    <row r="1489" spans="1:30" s="146" customFormat="1" x14ac:dyDescent="0.4">
      <c r="A1489" s="182">
        <v>45764</v>
      </c>
      <c r="B1489" s="139" t="s">
        <v>72</v>
      </c>
      <c r="C1489" s="140" t="str">
        <f>VLOOKUP(B1489,'112年全品項生產鍋數'!A:H,2,0)</f>
        <v>草莓餡45%(1*6Kg)</v>
      </c>
      <c r="D1489" s="290">
        <v>20</v>
      </c>
      <c r="E1489" s="141">
        <f>VLOOKUP(B1489,'112年全品項生產鍋數'!A:H,3,0)</f>
        <v>6</v>
      </c>
      <c r="F1489" s="142">
        <f>VLOOKUP(B1489,'112年全品項生產鍋數'!A:H,7,0)</f>
        <v>26.1</v>
      </c>
      <c r="G1489" s="143">
        <f t="shared" si="186"/>
        <v>522</v>
      </c>
      <c r="H1489" s="158">
        <v>529</v>
      </c>
      <c r="I1489" s="144">
        <f t="shared" si="187"/>
        <v>3174</v>
      </c>
      <c r="J1489" s="100">
        <f t="shared" si="188"/>
        <v>1.0134099616858236</v>
      </c>
      <c r="K1489" s="51">
        <f>VLOOKUP(B:B,'生產達成率(目標)'!A:C,3,0)</f>
        <v>1</v>
      </c>
      <c r="L1489" s="20">
        <f t="shared" si="189"/>
        <v>1.2999999999999999E-2</v>
      </c>
      <c r="M1489" s="137" t="str">
        <f>工時!R673</f>
        <v>340</v>
      </c>
      <c r="N1489" s="144"/>
      <c r="O1489" s="144">
        <f t="shared" si="190"/>
        <v>3</v>
      </c>
      <c r="P1489" s="156">
        <v>526</v>
      </c>
      <c r="Q1489" s="145">
        <f t="shared" si="191"/>
        <v>0.99432892249527405</v>
      </c>
      <c r="R1489" s="144"/>
      <c r="S1489" s="153"/>
      <c r="T1489" s="140"/>
      <c r="V1489" s="381"/>
      <c r="W1489" s="421"/>
      <c r="X1489" s="381"/>
      <c r="Y1489" s="421"/>
      <c r="Z1489" s="421"/>
      <c r="AA1489" s="421"/>
      <c r="AB1489" s="421"/>
      <c r="AC1489" s="421"/>
      <c r="AD1489" s="421"/>
    </row>
    <row r="1490" spans="1:30" s="146" customFormat="1" x14ac:dyDescent="0.4">
      <c r="A1490" s="182">
        <v>45764</v>
      </c>
      <c r="B1490" s="139" t="s">
        <v>81</v>
      </c>
      <c r="C1490" s="140" t="str">
        <f>VLOOKUP(B1490,'112年全品項生產鍋數'!A:H,2,0)</f>
        <v>藍莓餡(1*6Kg)</v>
      </c>
      <c r="D1490" s="290">
        <v>16</v>
      </c>
      <c r="E1490" s="141">
        <f>VLOOKUP(B1490,'112年全品項生產鍋數'!A:H,3,0)</f>
        <v>6</v>
      </c>
      <c r="F1490" s="142">
        <f>VLOOKUP(B1490,'112年全品項生產鍋數'!A:H,7,0)</f>
        <v>25.1</v>
      </c>
      <c r="G1490" s="143">
        <f t="shared" si="186"/>
        <v>401.6</v>
      </c>
      <c r="H1490" s="158">
        <v>399</v>
      </c>
      <c r="I1490" s="144">
        <f t="shared" si="187"/>
        <v>2394</v>
      </c>
      <c r="J1490" s="100">
        <f t="shared" si="188"/>
        <v>0.99352589641434252</v>
      </c>
      <c r="K1490" s="51">
        <f>VLOOKUP(B:B,'生產達成率(目標)'!A:C,3,0)</f>
        <v>1</v>
      </c>
      <c r="L1490" s="20">
        <f t="shared" si="189"/>
        <v>-6.0000000000000001E-3</v>
      </c>
      <c r="M1490" s="137" t="str">
        <f>工時!R674</f>
        <v>210</v>
      </c>
      <c r="N1490" s="144"/>
      <c r="O1490" s="144">
        <f t="shared" si="190"/>
        <v>1</v>
      </c>
      <c r="P1490" s="156">
        <v>398</v>
      </c>
      <c r="Q1490" s="145">
        <f t="shared" si="191"/>
        <v>0.99749373433583954</v>
      </c>
      <c r="R1490" s="144"/>
      <c r="S1490" s="153"/>
      <c r="T1490" s="140"/>
      <c r="V1490" s="381"/>
      <c r="W1490" s="421"/>
      <c r="X1490" s="381"/>
      <c r="Y1490" s="421"/>
      <c r="Z1490" s="421"/>
      <c r="AA1490" s="421"/>
      <c r="AB1490" s="421"/>
      <c r="AC1490" s="421"/>
      <c r="AD1490" s="421"/>
    </row>
    <row r="1491" spans="1:30" s="146" customFormat="1" x14ac:dyDescent="0.4">
      <c r="A1491" s="182">
        <v>45764</v>
      </c>
      <c r="B1491" s="139" t="s">
        <v>65</v>
      </c>
      <c r="C1491" s="140" t="str">
        <f>VLOOKUP(B1491,'112年全品項生產鍋數'!A:H,2,0)</f>
        <v>＃1花生(1*2.8kg)</v>
      </c>
      <c r="D1491" s="290">
        <v>56</v>
      </c>
      <c r="E1491" s="141">
        <f>VLOOKUP(B1491,'112年全品項生產鍋數'!A:H,3,0)</f>
        <v>2.8</v>
      </c>
      <c r="F1491" s="142">
        <f>VLOOKUP(B1491,'112年全品項生產鍋數'!A:H,7,0)</f>
        <v>44.5</v>
      </c>
      <c r="G1491" s="143">
        <f t="shared" si="186"/>
        <v>2492</v>
      </c>
      <c r="H1491" s="158">
        <v>2569</v>
      </c>
      <c r="I1491" s="144">
        <f t="shared" si="187"/>
        <v>7193.2</v>
      </c>
      <c r="J1491" s="100">
        <f t="shared" si="188"/>
        <v>1.0308988764044944</v>
      </c>
      <c r="K1491" s="51">
        <f>VLOOKUP(B:B,'生產達成率(目標)'!A:C,3,0)</f>
        <v>1</v>
      </c>
      <c r="L1491" s="20">
        <f t="shared" si="189"/>
        <v>3.1E-2</v>
      </c>
      <c r="M1491" s="137" t="str">
        <f>工時!R675</f>
        <v>540</v>
      </c>
      <c r="N1491" s="144"/>
      <c r="O1491" s="186">
        <f t="shared" si="190"/>
        <v>2</v>
      </c>
      <c r="P1491" s="156">
        <v>2567</v>
      </c>
      <c r="Q1491" s="145">
        <f t="shared" si="191"/>
        <v>0.99922148695990654</v>
      </c>
      <c r="R1491" s="144"/>
      <c r="S1491" s="153">
        <f>D1491*3</f>
        <v>168</v>
      </c>
      <c r="T1491" s="140" t="s">
        <v>1005</v>
      </c>
      <c r="V1491" s="381"/>
      <c r="W1491" s="421"/>
      <c r="X1491" s="381"/>
      <c r="Y1491" s="421"/>
      <c r="Z1491" s="421"/>
      <c r="AA1491" s="421"/>
      <c r="AB1491" s="421"/>
      <c r="AC1491" s="421"/>
      <c r="AD1491" s="421"/>
    </row>
    <row r="1492" spans="1:30" s="146" customFormat="1" x14ac:dyDescent="0.4">
      <c r="A1492" s="182">
        <v>45765</v>
      </c>
      <c r="B1492" s="139" t="s">
        <v>979</v>
      </c>
      <c r="C1492" s="140" t="str">
        <f>VLOOKUP(B1492,'112年全品項生產鍋數'!A:H,2,0)</f>
        <v>＃1藍莓(1*3.2kg)</v>
      </c>
      <c r="D1492" s="290">
        <v>72</v>
      </c>
      <c r="E1492" s="141">
        <f>VLOOKUP(B1492,'112年全品項生產鍋數'!A:H,3,0)</f>
        <v>3.2</v>
      </c>
      <c r="F1492" s="142">
        <f>VLOOKUP(B1492,'112年全品項生產鍋數'!A:H,7,0)</f>
        <v>47.5</v>
      </c>
      <c r="G1492" s="143">
        <f t="shared" si="186"/>
        <v>3420</v>
      </c>
      <c r="H1492" s="158">
        <v>3265</v>
      </c>
      <c r="I1492" s="144">
        <f t="shared" si="187"/>
        <v>10448</v>
      </c>
      <c r="J1492" s="100">
        <f t="shared" si="188"/>
        <v>0.95467836257309946</v>
      </c>
      <c r="K1492" s="51" t="e">
        <f>VLOOKUP(B:B,'生產達成率(目標)'!A:C,3,0)</f>
        <v>#N/A</v>
      </c>
      <c r="L1492" s="20" t="e">
        <f t="shared" si="189"/>
        <v>#N/A</v>
      </c>
      <c r="M1492" s="137" t="str">
        <f>工時!R676</f>
        <v>540</v>
      </c>
      <c r="N1492" s="144"/>
      <c r="O1492" s="144">
        <f t="shared" si="190"/>
        <v>3</v>
      </c>
      <c r="P1492" s="156">
        <v>3262</v>
      </c>
      <c r="Q1492" s="145">
        <f t="shared" si="191"/>
        <v>0.99908116385911183</v>
      </c>
      <c r="R1492" s="144"/>
      <c r="S1492" s="153"/>
      <c r="T1492" s="140"/>
      <c r="V1492" s="381"/>
      <c r="W1492" s="421"/>
      <c r="X1492" s="381"/>
      <c r="Y1492" s="421"/>
      <c r="Z1492" s="421"/>
      <c r="AA1492" s="421"/>
      <c r="AB1492" s="421"/>
      <c r="AC1492" s="421"/>
      <c r="AD1492" s="421"/>
    </row>
    <row r="1493" spans="1:30" s="146" customFormat="1" x14ac:dyDescent="0.4">
      <c r="A1493" s="182">
        <v>45765</v>
      </c>
      <c r="B1493" s="139" t="s">
        <v>538</v>
      </c>
      <c r="C1493" s="140" t="str">
        <f>VLOOKUP(B1493,'112年全品項生產鍋數'!A:H,2,0)</f>
        <v>蜂蜜蘋果醬(1*6KG)</v>
      </c>
      <c r="D1493" s="290">
        <v>6</v>
      </c>
      <c r="E1493" s="141">
        <f>VLOOKUP(B1493,'112年全品項生產鍋數'!A:H,3,0)</f>
        <v>6</v>
      </c>
      <c r="F1493" s="142">
        <f>VLOOKUP(B1493,'112年全品項生產鍋數'!A:H,7,0)</f>
        <v>25.2</v>
      </c>
      <c r="G1493" s="143">
        <f t="shared" si="186"/>
        <v>151.19999999999999</v>
      </c>
      <c r="H1493" s="158">
        <v>152</v>
      </c>
      <c r="I1493" s="144">
        <f t="shared" si="187"/>
        <v>912</v>
      </c>
      <c r="J1493" s="100">
        <f t="shared" si="188"/>
        <v>1.0052910052910053</v>
      </c>
      <c r="K1493" s="51">
        <f>VLOOKUP(B:B,'生產達成率(目標)'!A:C,3,0)</f>
        <v>1</v>
      </c>
      <c r="L1493" s="20">
        <f t="shared" si="189"/>
        <v>5.0000000000000001E-3</v>
      </c>
      <c r="M1493" s="137" t="str">
        <f>工時!R677</f>
        <v>130</v>
      </c>
      <c r="N1493" s="144"/>
      <c r="O1493" s="144">
        <f t="shared" si="190"/>
        <v>1</v>
      </c>
      <c r="P1493" s="156">
        <v>151</v>
      </c>
      <c r="Q1493" s="145">
        <f t="shared" si="191"/>
        <v>0.99342105263157898</v>
      </c>
      <c r="R1493" s="144"/>
      <c r="S1493" s="153"/>
      <c r="T1493" s="140"/>
      <c r="V1493" s="381"/>
      <c r="W1493" s="421"/>
      <c r="X1493" s="381"/>
      <c r="Y1493" s="421"/>
      <c r="Z1493" s="421"/>
      <c r="AA1493" s="421"/>
      <c r="AB1493" s="421"/>
      <c r="AC1493" s="421"/>
      <c r="AD1493" s="421"/>
    </row>
    <row r="1494" spans="1:30" s="146" customFormat="1" x14ac:dyDescent="0.4">
      <c r="A1494" s="182">
        <v>45765</v>
      </c>
      <c r="B1494" s="139" t="s">
        <v>64</v>
      </c>
      <c r="C1494" s="140" t="str">
        <f>VLOOKUP(B1494,'112年全品項生產鍋數'!A:H,2,0)</f>
        <v>藍莓餡(1*6KG)</v>
      </c>
      <c r="D1494" s="290">
        <v>28</v>
      </c>
      <c r="E1494" s="141">
        <f>VLOOKUP(B1494,'112年全品項生產鍋數'!A:H,3,0)</f>
        <v>6</v>
      </c>
      <c r="F1494" s="142">
        <f>VLOOKUP(B1494,'112年全品項生產鍋數'!A:H,7,0)</f>
        <v>25.4</v>
      </c>
      <c r="G1494" s="143">
        <f t="shared" si="186"/>
        <v>711.19999999999993</v>
      </c>
      <c r="H1494" s="158">
        <f>395+309</f>
        <v>704</v>
      </c>
      <c r="I1494" s="144">
        <f t="shared" si="187"/>
        <v>4224</v>
      </c>
      <c r="J1494" s="100">
        <f t="shared" si="188"/>
        <v>0.98987626546681673</v>
      </c>
      <c r="K1494" s="51">
        <f>VLOOKUP(B:B,'生產達成率(目標)'!A:C,3,0)</f>
        <v>1</v>
      </c>
      <c r="L1494" s="20">
        <f t="shared" si="189"/>
        <v>-0.01</v>
      </c>
      <c r="M1494" s="137" t="str">
        <f>工時!R678</f>
        <v>410</v>
      </c>
      <c r="N1494" s="144"/>
      <c r="O1494" s="144">
        <f t="shared" si="190"/>
        <v>4</v>
      </c>
      <c r="P1494" s="156">
        <f>393+307</f>
        <v>700</v>
      </c>
      <c r="Q1494" s="145">
        <f t="shared" si="191"/>
        <v>0.99431818181818177</v>
      </c>
      <c r="R1494" s="144"/>
      <c r="S1494" s="153"/>
      <c r="T1494" s="140"/>
      <c r="V1494" s="381"/>
      <c r="W1494" s="421"/>
      <c r="X1494" s="381"/>
      <c r="Y1494" s="421"/>
      <c r="Z1494" s="421"/>
      <c r="AA1494" s="421"/>
      <c r="AB1494" s="421"/>
      <c r="AC1494" s="421"/>
      <c r="AD1494" s="421"/>
    </row>
    <row r="1495" spans="1:30" s="146" customFormat="1" x14ac:dyDescent="0.4">
      <c r="A1495" s="182">
        <v>45765</v>
      </c>
      <c r="B1495" s="139" t="s">
        <v>639</v>
      </c>
      <c r="C1495" s="140" t="str">
        <f>VLOOKUP(B1495,'112年全品項生產鍋數'!A:H,2,0)</f>
        <v>草莓醬(1*6Kg)</v>
      </c>
      <c r="D1495" s="290">
        <v>1</v>
      </c>
      <c r="E1495" s="141">
        <f>VLOOKUP(B1495,'112年全品項生產鍋數'!A:H,3,0)</f>
        <v>6</v>
      </c>
      <c r="F1495" s="142">
        <f>VLOOKUP(B1495,'112年全品項生產鍋數'!A:H,7,0)</f>
        <v>24.9</v>
      </c>
      <c r="G1495" s="143">
        <f t="shared" si="186"/>
        <v>24.9</v>
      </c>
      <c r="H1495" s="158">
        <v>21</v>
      </c>
      <c r="I1495" s="144">
        <f t="shared" si="187"/>
        <v>126</v>
      </c>
      <c r="J1495" s="100">
        <f t="shared" si="188"/>
        <v>0.84337349397590367</v>
      </c>
      <c r="K1495" s="51">
        <f>VLOOKUP(B:B,'生產達成率(目標)'!A:C,3,0)</f>
        <v>1</v>
      </c>
      <c r="L1495" s="20">
        <f t="shared" si="189"/>
        <v>-0.157</v>
      </c>
      <c r="M1495" s="137" t="str">
        <f>工時!R679</f>
        <v>87</v>
      </c>
      <c r="N1495" s="144"/>
      <c r="O1495" s="144">
        <f t="shared" si="190"/>
        <v>1</v>
      </c>
      <c r="P1495" s="156">
        <v>20</v>
      </c>
      <c r="Q1495" s="145">
        <f t="shared" si="191"/>
        <v>0.95238095238095233</v>
      </c>
      <c r="R1495" s="144"/>
      <c r="S1495" s="153"/>
      <c r="T1495" s="140"/>
      <c r="V1495" s="381"/>
      <c r="W1495" s="421"/>
      <c r="X1495" s="381"/>
      <c r="Y1495" s="421"/>
      <c r="Z1495" s="421"/>
      <c r="AA1495" s="421"/>
      <c r="AB1495" s="421"/>
      <c r="AC1495" s="421"/>
      <c r="AD1495" s="421"/>
    </row>
    <row r="1496" spans="1:30" s="146" customFormat="1" x14ac:dyDescent="0.4">
      <c r="A1496" s="182">
        <v>45765</v>
      </c>
      <c r="B1496" s="139" t="s">
        <v>123</v>
      </c>
      <c r="C1496" s="140" t="str">
        <f>VLOOKUP(B1496,'112年全品項生產鍋數'!A:H,2,0)</f>
        <v>深烤焙花生醬(1*18KG)</v>
      </c>
      <c r="D1496" s="290">
        <v>40</v>
      </c>
      <c r="E1496" s="141">
        <f>VLOOKUP(B1496,'112年全品項生產鍋數'!A:H,3,0)</f>
        <v>18</v>
      </c>
      <c r="F1496" s="142">
        <f>VLOOKUP(B1496,'112年全品項生產鍋數'!A:H,7,0)</f>
        <v>6.9</v>
      </c>
      <c r="G1496" s="143">
        <f t="shared" si="186"/>
        <v>276</v>
      </c>
      <c r="H1496" s="158">
        <v>278</v>
      </c>
      <c r="I1496" s="144">
        <f t="shared" si="187"/>
        <v>5004</v>
      </c>
      <c r="J1496" s="100">
        <f t="shared" si="188"/>
        <v>1.0072463768115942</v>
      </c>
      <c r="K1496" s="51">
        <f>VLOOKUP(B:B,'生產達成率(目標)'!A:C,3,0)</f>
        <v>1</v>
      </c>
      <c r="L1496" s="20">
        <f t="shared" si="189"/>
        <v>7.0000000000000001E-3</v>
      </c>
      <c r="M1496" s="137" t="str">
        <f>工時!R680</f>
        <v>430</v>
      </c>
      <c r="N1496" s="144"/>
      <c r="O1496" s="144">
        <f t="shared" si="190"/>
        <v>0</v>
      </c>
      <c r="P1496" s="156">
        <v>278</v>
      </c>
      <c r="Q1496" s="145">
        <f t="shared" si="191"/>
        <v>1</v>
      </c>
      <c r="R1496" s="144"/>
      <c r="S1496" s="153"/>
      <c r="T1496" s="140"/>
      <c r="V1496" s="381"/>
      <c r="W1496" s="421"/>
      <c r="X1496" s="381"/>
      <c r="Y1496" s="421"/>
      <c r="Z1496" s="421"/>
      <c r="AA1496" s="421"/>
      <c r="AB1496" s="421"/>
      <c r="AC1496" s="421"/>
      <c r="AD1496" s="421"/>
    </row>
    <row r="1497" spans="1:30" x14ac:dyDescent="0.4">
      <c r="A1497" s="181">
        <v>45768</v>
      </c>
      <c r="B1497" s="139" t="s">
        <v>80</v>
      </c>
      <c r="C1497" s="30" t="str">
        <f>VLOOKUP(B1497,'112年全品項生產鍋數'!A:H,2,0)</f>
        <v>＃1桔子(1*3.2kg)</v>
      </c>
      <c r="D1497" s="290">
        <v>32</v>
      </c>
      <c r="E1497" s="48">
        <f>VLOOKUP(B1497,'112年全品項生產鍋數'!A:H,3,0)</f>
        <v>3.2</v>
      </c>
      <c r="F1497" s="45">
        <f>VLOOKUP(B1497,'112年全品項生產鍋數'!A:H,7,0)</f>
        <v>46.4</v>
      </c>
      <c r="G1497" s="49">
        <f t="shared" si="186"/>
        <v>1484.8</v>
      </c>
      <c r="H1497" s="158">
        <v>1463</v>
      </c>
      <c r="I1497" s="23">
        <f t="shared" si="187"/>
        <v>4681.6000000000004</v>
      </c>
      <c r="J1497" s="100">
        <f t="shared" si="188"/>
        <v>0.98531788793103448</v>
      </c>
      <c r="K1497" s="51">
        <f>VLOOKUP(B:B,'生產達成率(目標)'!A:C,3,0)</f>
        <v>1</v>
      </c>
      <c r="L1497" s="20">
        <f t="shared" si="189"/>
        <v>-1.4999999999999999E-2</v>
      </c>
      <c r="M1497" s="137" t="str">
        <f>工時!R681</f>
        <v>330</v>
      </c>
      <c r="N1497" s="144"/>
      <c r="O1497" s="144">
        <f t="shared" si="190"/>
        <v>1</v>
      </c>
      <c r="P1497" s="156">
        <v>1462</v>
      </c>
      <c r="Q1497" s="98">
        <f t="shared" si="191"/>
        <v>0.99931647300068349</v>
      </c>
      <c r="R1497" s="23"/>
      <c r="S1497" s="173"/>
      <c r="T1497" s="30"/>
    </row>
    <row r="1498" spans="1:30" x14ac:dyDescent="0.4">
      <c r="A1498" s="181">
        <v>45768</v>
      </c>
      <c r="B1498" s="139" t="s">
        <v>995</v>
      </c>
      <c r="C1498" s="30" t="str">
        <f>VLOOKUP(B1498,'112年全品項生產鍋數'!A:H,2,0)</f>
        <v>＃2藍莓(1*900g)</v>
      </c>
      <c r="D1498" s="290">
        <v>20</v>
      </c>
      <c r="E1498" s="48">
        <f>VLOOKUP(B1498,'112年全品項生產鍋數'!A:H,3,0)</f>
        <v>0.9</v>
      </c>
      <c r="F1498" s="45">
        <f>VLOOKUP(B1498,'112年全品項生產鍋數'!A:H,7,0)</f>
        <v>163</v>
      </c>
      <c r="G1498" s="49">
        <f t="shared" si="186"/>
        <v>3260</v>
      </c>
      <c r="H1498" s="158">
        <v>3143</v>
      </c>
      <c r="I1498" s="23">
        <f t="shared" si="187"/>
        <v>2828.7000000000003</v>
      </c>
      <c r="J1498" s="100">
        <f t="shared" si="188"/>
        <v>0.96411042944785275</v>
      </c>
      <c r="K1498" s="51" t="e">
        <f>VLOOKUP(B:B,'生產達成率(目標)'!A:C,3,0)</f>
        <v>#N/A</v>
      </c>
      <c r="L1498" s="20" t="e">
        <f t="shared" si="189"/>
        <v>#N/A</v>
      </c>
      <c r="M1498" s="137" t="str">
        <f>工時!R682</f>
        <v>270</v>
      </c>
      <c r="N1498" s="144"/>
      <c r="O1498" s="144">
        <f t="shared" si="190"/>
        <v>2</v>
      </c>
      <c r="P1498" s="156">
        <v>3141</v>
      </c>
      <c r="Q1498" s="98">
        <f t="shared" si="191"/>
        <v>0.99936366528794141</v>
      </c>
      <c r="R1498" s="23"/>
      <c r="S1498" s="173"/>
      <c r="T1498" s="30"/>
    </row>
    <row r="1499" spans="1:30" x14ac:dyDescent="0.4">
      <c r="A1499" s="181">
        <v>45768</v>
      </c>
      <c r="B1499" s="139" t="s">
        <v>55</v>
      </c>
      <c r="C1499" s="30" t="str">
        <f>VLOOKUP(B1499,'112年全品項生產鍋數'!A:H,2,0)</f>
        <v>天天開心草莓餡4.5KG</v>
      </c>
      <c r="D1499" s="290">
        <v>32</v>
      </c>
      <c r="E1499" s="48">
        <f>VLOOKUP(B1499,'112年全品項生產鍋數'!A:H,3,0)</f>
        <v>4.5</v>
      </c>
      <c r="F1499" s="45">
        <f>VLOOKUP(B1499,'112年全品項生產鍋數'!A:H,7,0)</f>
        <v>36.299999999999997</v>
      </c>
      <c r="G1499" s="49">
        <f t="shared" si="186"/>
        <v>1161.5999999999999</v>
      </c>
      <c r="H1499" s="158">
        <v>1161</v>
      </c>
      <c r="I1499" s="23">
        <f t="shared" si="187"/>
        <v>5224.5</v>
      </c>
      <c r="J1499" s="100">
        <f t="shared" si="188"/>
        <v>0.99948347107438029</v>
      </c>
      <c r="K1499" s="51">
        <f>VLOOKUP(B:B,'生產達成率(目標)'!A:C,3,0)</f>
        <v>1</v>
      </c>
      <c r="L1499" s="20">
        <f t="shared" si="189"/>
        <v>-1E-3</v>
      </c>
      <c r="M1499" s="137" t="str">
        <f>工時!R683</f>
        <v>450</v>
      </c>
      <c r="N1499" s="144"/>
      <c r="O1499" s="144">
        <f t="shared" si="190"/>
        <v>0</v>
      </c>
      <c r="P1499" s="156">
        <v>1161</v>
      </c>
      <c r="Q1499" s="98">
        <f t="shared" si="191"/>
        <v>1</v>
      </c>
      <c r="R1499" s="23"/>
      <c r="S1499" s="173"/>
      <c r="T1499" s="30"/>
    </row>
    <row r="1500" spans="1:30" x14ac:dyDescent="0.4">
      <c r="A1500" s="181">
        <v>45768</v>
      </c>
      <c r="B1500" s="139" t="s">
        <v>101</v>
      </c>
      <c r="C1500" s="30" t="str">
        <f>VLOOKUP(B1500,'112年全品項生產鍋數'!A:H,2,0)</f>
        <v>上好佳綜合莓餡4.5KG</v>
      </c>
      <c r="D1500" s="290">
        <v>3</v>
      </c>
      <c r="E1500" s="48">
        <f>VLOOKUP(B1500,'112年全品項生產鍋數'!A:H,3,0)</f>
        <v>4.5</v>
      </c>
      <c r="F1500" s="45">
        <f>VLOOKUP(B1500,'112年全品項生產鍋數'!A:H,7,0)</f>
        <v>32.799999999999997</v>
      </c>
      <c r="G1500" s="49">
        <f t="shared" si="186"/>
        <v>98.399999999999991</v>
      </c>
      <c r="H1500" s="158">
        <v>102</v>
      </c>
      <c r="I1500" s="23">
        <f t="shared" si="187"/>
        <v>459</v>
      </c>
      <c r="J1500" s="100">
        <f t="shared" si="188"/>
        <v>1.0365853658536586</v>
      </c>
      <c r="K1500" s="51">
        <f>VLOOKUP(B:B,'生產達成率(目標)'!A:C,3,0)</f>
        <v>1</v>
      </c>
      <c r="L1500" s="20">
        <f t="shared" si="189"/>
        <v>3.6999999999999998E-2</v>
      </c>
      <c r="M1500" s="137" t="str">
        <f>工時!R684</f>
        <v>106</v>
      </c>
      <c r="N1500" s="144"/>
      <c r="O1500" s="144">
        <f t="shared" si="190"/>
        <v>0</v>
      </c>
      <c r="P1500" s="156">
        <v>102</v>
      </c>
      <c r="Q1500" s="98">
        <f t="shared" si="191"/>
        <v>1</v>
      </c>
      <c r="R1500" s="23"/>
      <c r="S1500" s="173"/>
      <c r="T1500" s="30"/>
    </row>
    <row r="1501" spans="1:30" x14ac:dyDescent="0.4">
      <c r="A1501" s="181">
        <v>45768</v>
      </c>
      <c r="B1501" s="139" t="s">
        <v>65</v>
      </c>
      <c r="C1501" s="30" t="str">
        <f>VLOOKUP(B1501,'112年全品項生產鍋數'!A:H,2,0)</f>
        <v>＃1花生(1*2.8kg)</v>
      </c>
      <c r="D1501" s="290">
        <v>60</v>
      </c>
      <c r="E1501" s="48">
        <f>VLOOKUP(B1501,'112年全品項生產鍋數'!A:H,3,0)</f>
        <v>2.8</v>
      </c>
      <c r="F1501" s="45">
        <f>VLOOKUP(B1501,'112年全品項生產鍋數'!A:H,7,0)</f>
        <v>44.5</v>
      </c>
      <c r="G1501" s="49">
        <f t="shared" si="186"/>
        <v>2670</v>
      </c>
      <c r="H1501" s="158">
        <v>2736</v>
      </c>
      <c r="I1501" s="23">
        <f t="shared" si="187"/>
        <v>7660.7999999999993</v>
      </c>
      <c r="J1501" s="100">
        <f t="shared" si="188"/>
        <v>1.0247191011235954</v>
      </c>
      <c r="K1501" s="51">
        <f>VLOOKUP(B:B,'生產達成率(目標)'!A:C,3,0)</f>
        <v>1</v>
      </c>
      <c r="L1501" s="20">
        <f t="shared" si="189"/>
        <v>2.5000000000000001E-2</v>
      </c>
      <c r="M1501" s="137" t="str">
        <f>工時!R685</f>
        <v>570</v>
      </c>
      <c r="N1501" s="144"/>
      <c r="O1501" s="144">
        <f t="shared" si="190"/>
        <v>1</v>
      </c>
      <c r="P1501" s="156">
        <v>2735</v>
      </c>
      <c r="Q1501" s="98">
        <f t="shared" si="191"/>
        <v>0.9996345029239766</v>
      </c>
      <c r="R1501" s="23"/>
      <c r="S1501" s="173">
        <f>60*3</f>
        <v>180</v>
      </c>
      <c r="T1501" s="30" t="s">
        <v>1087</v>
      </c>
    </row>
    <row r="1502" spans="1:30" s="146" customFormat="1" x14ac:dyDescent="0.4">
      <c r="A1502" s="182">
        <v>45768</v>
      </c>
      <c r="B1502" s="139" t="s">
        <v>509</v>
      </c>
      <c r="C1502" s="140" t="str">
        <f>VLOOKUP(B1502,'112年全品項生產鍋數'!A:H,2,0)</f>
        <v>柚皮糖</v>
      </c>
      <c r="D1502" s="290">
        <v>1</v>
      </c>
      <c r="E1502" s="141">
        <f>VLOOKUP(B1502,'112年全品項生產鍋數'!A:H,3,0)</f>
        <v>0</v>
      </c>
      <c r="F1502" s="142">
        <f>VLOOKUP(B1502,'112年全品項生產鍋數'!A:H,7,0)</f>
        <v>0</v>
      </c>
      <c r="G1502" s="143">
        <f t="shared" si="186"/>
        <v>0</v>
      </c>
      <c r="H1502" s="158">
        <v>1749</v>
      </c>
      <c r="I1502" s="144">
        <f t="shared" si="187"/>
        <v>0</v>
      </c>
      <c r="J1502" s="100" t="str">
        <f t="shared" si="188"/>
        <v>無法預估數據</v>
      </c>
      <c r="K1502" s="51">
        <f>VLOOKUP(B:B,'生產達成率(目標)'!A:C,3,0)</f>
        <v>1</v>
      </c>
      <c r="L1502" s="20" t="str">
        <f t="shared" si="189"/>
        <v>無法預估數據</v>
      </c>
      <c r="M1502" s="137" t="str">
        <f>工時!R686</f>
        <v>0</v>
      </c>
      <c r="N1502" s="144"/>
      <c r="O1502" s="144">
        <f t="shared" si="190"/>
        <v>0</v>
      </c>
      <c r="P1502" s="156">
        <v>1749</v>
      </c>
      <c r="Q1502" s="145">
        <f t="shared" si="191"/>
        <v>1</v>
      </c>
      <c r="R1502" s="144"/>
      <c r="S1502" s="153"/>
      <c r="T1502" s="140"/>
      <c r="V1502" s="381"/>
      <c r="W1502" s="421"/>
      <c r="X1502" s="381"/>
      <c r="Y1502" s="421"/>
      <c r="Z1502" s="421"/>
      <c r="AA1502" s="421"/>
      <c r="AB1502" s="421"/>
      <c r="AC1502" s="421"/>
      <c r="AD1502" s="421"/>
    </row>
    <row r="1503" spans="1:30" x14ac:dyDescent="0.4">
      <c r="A1503" s="181">
        <v>45769</v>
      </c>
      <c r="B1503" s="139" t="s">
        <v>61</v>
      </c>
      <c r="C1503" s="30" t="str">
        <f>VLOOKUP(B1503,'112年全品項生產鍋數'!A:H,2,0)</f>
        <v>大圓草莓-新</v>
      </c>
      <c r="D1503" s="290">
        <v>40</v>
      </c>
      <c r="E1503" s="48">
        <f>VLOOKUP(B1503,'112年全品項生產鍋數'!A:H,3,0)</f>
        <v>0.44</v>
      </c>
      <c r="F1503" s="45">
        <f>VLOOKUP(B1503,'112年全品項生產鍋數'!A:H,7,0)</f>
        <v>344</v>
      </c>
      <c r="G1503" s="49">
        <f t="shared" si="186"/>
        <v>13760</v>
      </c>
      <c r="H1503" s="158">
        <v>13572</v>
      </c>
      <c r="I1503" s="23">
        <f t="shared" si="187"/>
        <v>5971.68</v>
      </c>
      <c r="J1503" s="100">
        <f t="shared" si="188"/>
        <v>0.9863372093023256</v>
      </c>
      <c r="K1503" s="51">
        <f>VLOOKUP(B:B,'生產達成率(目標)'!A:C,3,0)</f>
        <v>1</v>
      </c>
      <c r="L1503" s="20">
        <f t="shared" si="189"/>
        <v>-1.4E-2</v>
      </c>
      <c r="M1503" s="137" t="str">
        <f>工時!R687</f>
        <v>540</v>
      </c>
      <c r="N1503" s="144"/>
      <c r="O1503" s="144">
        <f t="shared" si="190"/>
        <v>8</v>
      </c>
      <c r="P1503" s="156">
        <v>13564</v>
      </c>
      <c r="Q1503" s="98">
        <f t="shared" si="191"/>
        <v>0.99941055113468902</v>
      </c>
      <c r="R1503" s="23"/>
      <c r="S1503" s="173"/>
      <c r="T1503" s="30"/>
    </row>
    <row r="1504" spans="1:30" x14ac:dyDescent="0.4">
      <c r="A1504" s="181">
        <v>45769</v>
      </c>
      <c r="B1504" s="139" t="s">
        <v>54</v>
      </c>
      <c r="C1504" s="30" t="str">
        <f>VLOOKUP(B1504,'112年全品項生產鍋數'!A:H,2,0)</f>
        <v>草莓醬(1*6kg)</v>
      </c>
      <c r="D1504" s="290">
        <v>36</v>
      </c>
      <c r="E1504" s="48">
        <f>VLOOKUP(B1504,'112年全品項生產鍋數'!A:H,3,0)</f>
        <v>6</v>
      </c>
      <c r="F1504" s="45">
        <f>VLOOKUP(B1504,'112年全品項生產鍋數'!A:H,7,0)</f>
        <v>26.6</v>
      </c>
      <c r="G1504" s="49">
        <f t="shared" si="186"/>
        <v>957.6</v>
      </c>
      <c r="H1504" s="158">
        <v>938</v>
      </c>
      <c r="I1504" s="23">
        <f t="shared" si="187"/>
        <v>5628</v>
      </c>
      <c r="J1504" s="100">
        <f t="shared" si="188"/>
        <v>0.97953216374269003</v>
      </c>
      <c r="K1504" s="51">
        <f>VLOOKUP(B:B,'生產達成率(目標)'!A:C,3,0)</f>
        <v>1</v>
      </c>
      <c r="L1504" s="20">
        <f t="shared" si="189"/>
        <v>-0.02</v>
      </c>
      <c r="M1504" s="137" t="str">
        <f>工時!R688</f>
        <v>510</v>
      </c>
      <c r="N1504" s="144"/>
      <c r="O1504" s="144">
        <f t="shared" si="190"/>
        <v>2</v>
      </c>
      <c r="P1504" s="156">
        <v>936</v>
      </c>
      <c r="Q1504" s="98">
        <f t="shared" si="191"/>
        <v>0.99786780383795304</v>
      </c>
      <c r="R1504" s="23"/>
      <c r="S1504" s="173"/>
      <c r="T1504" s="30"/>
    </row>
    <row r="1505" spans="1:30" ht="15.75" customHeight="1" x14ac:dyDescent="0.4">
      <c r="A1505" s="181">
        <v>45769</v>
      </c>
      <c r="B1505" s="139" t="s">
        <v>65</v>
      </c>
      <c r="C1505" s="30" t="str">
        <f>VLOOKUP(B1505,'112年全品項生產鍋數'!A:H,2,0)</f>
        <v>＃1花生(1*2.8kg)</v>
      </c>
      <c r="D1505" s="290">
        <v>60</v>
      </c>
      <c r="E1505" s="48">
        <f>VLOOKUP(B1505,'112年全品項生產鍋數'!A:H,3,0)</f>
        <v>2.8</v>
      </c>
      <c r="F1505" s="45">
        <f>VLOOKUP(B1505,'112年全品項生產鍋數'!A:H,7,0)</f>
        <v>44.5</v>
      </c>
      <c r="G1505" s="49">
        <f t="shared" si="186"/>
        <v>2670</v>
      </c>
      <c r="H1505" s="158">
        <v>2732</v>
      </c>
      <c r="I1505" s="23">
        <f t="shared" si="187"/>
        <v>7649.5999999999995</v>
      </c>
      <c r="J1505" s="100">
        <f t="shared" si="188"/>
        <v>1.0232209737827715</v>
      </c>
      <c r="K1505" s="51">
        <f>VLOOKUP(B:B,'生產達成率(目標)'!A:C,3,0)</f>
        <v>1</v>
      </c>
      <c r="L1505" s="20">
        <f t="shared" si="189"/>
        <v>2.3E-2</v>
      </c>
      <c r="M1505" s="137" t="str">
        <f>工時!R689</f>
        <v>600</v>
      </c>
      <c r="N1505" s="144"/>
      <c r="O1505" s="144">
        <f t="shared" si="190"/>
        <v>1</v>
      </c>
      <c r="P1505" s="156">
        <v>2731</v>
      </c>
      <c r="Q1505" s="98">
        <f t="shared" si="191"/>
        <v>0.99963396778916547</v>
      </c>
      <c r="R1505" s="23"/>
      <c r="S1505" s="173">
        <f>60*3</f>
        <v>180</v>
      </c>
      <c r="T1505" s="30" t="s">
        <v>1087</v>
      </c>
    </row>
    <row r="1506" spans="1:30" x14ac:dyDescent="0.4">
      <c r="A1506" s="181">
        <v>45770</v>
      </c>
      <c r="B1506" s="139" t="s">
        <v>71</v>
      </c>
      <c r="C1506" s="30" t="str">
        <f>VLOOKUP(B1506,'112年全品項生產鍋數'!A:H,2,0)</f>
        <v>＃1草莓(1*3.2kg)</v>
      </c>
      <c r="D1506" s="290">
        <v>64</v>
      </c>
      <c r="E1506" s="48">
        <f>VLOOKUP(B1506,'112年全品項生產鍋數'!A:H,3,0)</f>
        <v>3.2</v>
      </c>
      <c r="F1506" s="45">
        <f>VLOOKUP(B1506,'112年全品項生產鍋數'!A:H,7,0)</f>
        <v>46.8</v>
      </c>
      <c r="G1506" s="49">
        <f t="shared" si="186"/>
        <v>2995.2</v>
      </c>
      <c r="H1506" s="158">
        <v>2947</v>
      </c>
      <c r="I1506" s="23">
        <f t="shared" si="187"/>
        <v>9430.4</v>
      </c>
      <c r="J1506" s="100">
        <f t="shared" si="188"/>
        <v>0.9839075854700855</v>
      </c>
      <c r="K1506" s="51">
        <f>VLOOKUP(B:B,'生產達成率(目標)'!A:C,3,0)</f>
        <v>1</v>
      </c>
      <c r="L1506" s="20">
        <f t="shared" si="189"/>
        <v>-1.6E-2</v>
      </c>
      <c r="M1506" s="137" t="str">
        <f>工時!R690</f>
        <v>430</v>
      </c>
      <c r="N1506" s="144"/>
      <c r="O1506" s="144">
        <f t="shared" si="190"/>
        <v>2</v>
      </c>
      <c r="P1506" s="156">
        <v>2945</v>
      </c>
      <c r="Q1506" s="98">
        <f t="shared" si="191"/>
        <v>0.99932134373939596</v>
      </c>
      <c r="R1506" s="23"/>
      <c r="S1506" s="173"/>
      <c r="T1506" s="30"/>
    </row>
    <row r="1507" spans="1:30" x14ac:dyDescent="0.4">
      <c r="A1507" s="181">
        <v>45770</v>
      </c>
      <c r="B1507" s="139" t="s">
        <v>460</v>
      </c>
      <c r="C1507" s="30" t="str">
        <f>VLOOKUP(B1507,'112年全品項生產鍋數'!A:H,2,0)</f>
        <v>＃1草莓原漿(1*3.4kg)</v>
      </c>
      <c r="D1507" s="290">
        <v>4</v>
      </c>
      <c r="E1507" s="48">
        <f>VLOOKUP(B1507,'112年全品項生產鍋數'!A:H,3,0)</f>
        <v>3.4</v>
      </c>
      <c r="F1507" s="45">
        <f>VLOOKUP(B1507,'112年全品項生產鍋數'!A:H,7,0)</f>
        <v>43</v>
      </c>
      <c r="G1507" s="49">
        <f t="shared" si="186"/>
        <v>172</v>
      </c>
      <c r="H1507" s="158">
        <v>171</v>
      </c>
      <c r="I1507" s="23">
        <f t="shared" si="187"/>
        <v>581.4</v>
      </c>
      <c r="J1507" s="100">
        <f t="shared" si="188"/>
        <v>0.9941860465116279</v>
      </c>
      <c r="K1507" s="51">
        <f>VLOOKUP(B:B,'生產達成率(目標)'!A:C,3,0)</f>
        <v>1</v>
      </c>
      <c r="L1507" s="20">
        <f t="shared" si="189"/>
        <v>-6.0000000000000001E-3</v>
      </c>
      <c r="M1507" s="137" t="str">
        <f>工時!R691</f>
        <v>160</v>
      </c>
      <c r="N1507" s="144"/>
      <c r="O1507" s="144">
        <f t="shared" si="190"/>
        <v>1</v>
      </c>
      <c r="P1507" s="156">
        <v>170</v>
      </c>
      <c r="Q1507" s="98">
        <f t="shared" si="191"/>
        <v>0.99415204678362568</v>
      </c>
      <c r="R1507" s="23"/>
      <c r="S1507" s="173"/>
      <c r="T1507" s="30"/>
    </row>
    <row r="1508" spans="1:30" x14ac:dyDescent="0.4">
      <c r="A1508" s="181">
        <v>45770</v>
      </c>
      <c r="B1508" s="139" t="s">
        <v>63</v>
      </c>
      <c r="C1508" s="30" t="str">
        <f>VLOOKUP(B1508,'112年全品項生產鍋數'!A:H,2,0)</f>
        <v>草莓蒟蒻餡(1*6kg)</v>
      </c>
      <c r="D1508" s="290">
        <v>20</v>
      </c>
      <c r="E1508" s="48">
        <f>VLOOKUP(B1508,'112年全品項生產鍋數'!A:H,3,0)</f>
        <v>6</v>
      </c>
      <c r="F1508" s="45">
        <f>VLOOKUP(B1508,'112年全品項生產鍋數'!A:H,7,0)</f>
        <v>25.7</v>
      </c>
      <c r="G1508" s="49">
        <f t="shared" si="186"/>
        <v>514</v>
      </c>
      <c r="H1508" s="158">
        <f>302+215</f>
        <v>517</v>
      </c>
      <c r="I1508" s="23">
        <f t="shared" si="187"/>
        <v>3102</v>
      </c>
      <c r="J1508" s="100">
        <f t="shared" si="188"/>
        <v>1.0058365758754864</v>
      </c>
      <c r="K1508" s="51">
        <f>VLOOKUP(B:B,'生產達成率(目標)'!A:C,3,0)</f>
        <v>1</v>
      </c>
      <c r="L1508" s="20">
        <f t="shared" si="189"/>
        <v>6.0000000000000001E-3</v>
      </c>
      <c r="M1508" s="137" t="str">
        <f>工時!R692</f>
        <v>300</v>
      </c>
      <c r="N1508" s="144"/>
      <c r="O1508" s="144">
        <f t="shared" si="190"/>
        <v>0</v>
      </c>
      <c r="P1508" s="156">
        <f>302+215</f>
        <v>517</v>
      </c>
      <c r="Q1508" s="98">
        <f t="shared" si="191"/>
        <v>1</v>
      </c>
      <c r="R1508" s="23"/>
      <c r="S1508" s="173"/>
      <c r="T1508" s="30"/>
    </row>
    <row r="1509" spans="1:30" x14ac:dyDescent="0.4">
      <c r="A1509" s="181">
        <v>45770</v>
      </c>
      <c r="B1509" s="139" t="s">
        <v>536</v>
      </c>
      <c r="C1509" s="30" t="str">
        <f>VLOOKUP(B1509,'112年全品項生產鍋數'!A:H,2,0)</f>
        <v>花生醬(1*3.5KG)</v>
      </c>
      <c r="D1509" s="290">
        <v>6</v>
      </c>
      <c r="E1509" s="48">
        <f>VLOOKUP(B1509,'112年全品項生產鍋數'!A:H,3,0)</f>
        <v>3.5</v>
      </c>
      <c r="F1509" s="45">
        <f>VLOOKUP(B1509,'112年全品項生產鍋數'!A:H,7,0)</f>
        <v>25.4</v>
      </c>
      <c r="G1509" s="49">
        <f t="shared" si="186"/>
        <v>152.39999999999998</v>
      </c>
      <c r="H1509" s="158">
        <v>151</v>
      </c>
      <c r="I1509" s="23">
        <f t="shared" si="187"/>
        <v>528.5</v>
      </c>
      <c r="J1509" s="100">
        <f t="shared" si="188"/>
        <v>0.99081364829396346</v>
      </c>
      <c r="K1509" s="51">
        <f>VLOOKUP(B:B,'生產達成率(目標)'!A:C,3,0)</f>
        <v>1</v>
      </c>
      <c r="L1509" s="20">
        <f t="shared" si="189"/>
        <v>-8.9999999999999993E-3</v>
      </c>
      <c r="M1509" s="137" t="str">
        <f>工時!R693</f>
        <v>330</v>
      </c>
      <c r="N1509" s="144"/>
      <c r="O1509" s="144">
        <f t="shared" si="190"/>
        <v>0</v>
      </c>
      <c r="P1509" s="156">
        <v>151</v>
      </c>
      <c r="Q1509" s="98">
        <f t="shared" si="191"/>
        <v>1</v>
      </c>
      <c r="R1509" s="23"/>
      <c r="S1509" s="173"/>
      <c r="T1509" s="30"/>
    </row>
    <row r="1510" spans="1:30" x14ac:dyDescent="0.4">
      <c r="A1510" s="181">
        <v>45770</v>
      </c>
      <c r="B1510" s="139" t="s">
        <v>65</v>
      </c>
      <c r="C1510" s="30" t="str">
        <f>VLOOKUP(B1510,'112年全品項生產鍋數'!A:H,2,0)</f>
        <v>＃1花生(1*2.8kg)</v>
      </c>
      <c r="D1510" s="290">
        <v>60</v>
      </c>
      <c r="E1510" s="48">
        <f>VLOOKUP(B1510,'112年全品項生產鍋數'!A:H,3,0)</f>
        <v>2.8</v>
      </c>
      <c r="F1510" s="45">
        <f>VLOOKUP(B1510,'112年全品項生產鍋數'!A:H,7,0)</f>
        <v>44.5</v>
      </c>
      <c r="G1510" s="49">
        <f>D1510*F1510-60*18/E1510</f>
        <v>2284.2857142857142</v>
      </c>
      <c r="H1510" s="158">
        <v>2354</v>
      </c>
      <c r="I1510" s="23">
        <f t="shared" si="187"/>
        <v>6591.2</v>
      </c>
      <c r="J1510" s="100">
        <f t="shared" si="188"/>
        <v>1.0305190744215136</v>
      </c>
      <c r="K1510" s="51">
        <f>VLOOKUP(B:B,'生產達成率(目標)'!A:C,3,0)</f>
        <v>1</v>
      </c>
      <c r="L1510" s="20">
        <f t="shared" si="189"/>
        <v>3.1E-2</v>
      </c>
      <c r="M1510" s="137" t="str">
        <f>工時!R694</f>
        <v>570</v>
      </c>
      <c r="N1510" s="144"/>
      <c r="O1510" s="144">
        <f t="shared" si="190"/>
        <v>1</v>
      </c>
      <c r="P1510" s="156">
        <v>2353</v>
      </c>
      <c r="Q1510" s="98">
        <f t="shared" si="191"/>
        <v>0.9995751911639762</v>
      </c>
      <c r="R1510" s="23"/>
      <c r="S1510" s="173">
        <f>60*3</f>
        <v>180</v>
      </c>
      <c r="T1510" s="30" t="s">
        <v>996</v>
      </c>
    </row>
    <row r="1511" spans="1:30" x14ac:dyDescent="0.4">
      <c r="A1511" s="181">
        <v>45771</v>
      </c>
      <c r="B1511" s="139" t="s">
        <v>64</v>
      </c>
      <c r="C1511" s="30" t="str">
        <f>VLOOKUP(B1511,'112年全品項生產鍋數'!A:H,2,0)</f>
        <v>藍莓餡(1*6KG)</v>
      </c>
      <c r="D1511" s="290">
        <v>16</v>
      </c>
      <c r="E1511" s="48">
        <f>VLOOKUP(B1511,'112年全品項生產鍋數'!A:H,3,0)</f>
        <v>6</v>
      </c>
      <c r="F1511" s="45">
        <f>VLOOKUP(B1511,'112年全品項生產鍋數'!A:H,7,0)</f>
        <v>25.4</v>
      </c>
      <c r="G1511" s="49">
        <f t="shared" si="186"/>
        <v>406.4</v>
      </c>
      <c r="H1511" s="158">
        <f>189+201</f>
        <v>390</v>
      </c>
      <c r="I1511" s="23">
        <f t="shared" si="187"/>
        <v>2340</v>
      </c>
      <c r="J1511" s="100">
        <f t="shared" si="188"/>
        <v>0.95964566929133865</v>
      </c>
      <c r="K1511" s="51">
        <f>VLOOKUP(B:B,'生產達成率(目標)'!A:C,3,0)</f>
        <v>1</v>
      </c>
      <c r="L1511" s="20">
        <f t="shared" si="189"/>
        <v>-0.04</v>
      </c>
      <c r="M1511" s="137" t="str">
        <f>工時!R695</f>
        <v>270</v>
      </c>
      <c r="N1511" s="144"/>
      <c r="O1511" s="144">
        <f t="shared" si="190"/>
        <v>2</v>
      </c>
      <c r="P1511" s="156">
        <f>188+200</f>
        <v>388</v>
      </c>
      <c r="Q1511" s="98">
        <f t="shared" si="191"/>
        <v>0.99487179487179489</v>
      </c>
      <c r="R1511" s="23" t="s">
        <v>1031</v>
      </c>
      <c r="S1511" s="173"/>
      <c r="T1511" s="30" t="s">
        <v>1032</v>
      </c>
    </row>
    <row r="1512" spans="1:30" x14ac:dyDescent="0.4">
      <c r="A1512" s="181">
        <v>45771</v>
      </c>
      <c r="B1512" s="139" t="s">
        <v>63</v>
      </c>
      <c r="C1512" s="30" t="str">
        <f>VLOOKUP(B1512,'112年全品項生產鍋數'!A:H,2,0)</f>
        <v>草莓蒟蒻餡(1*6kg)</v>
      </c>
      <c r="D1512" s="290">
        <v>24</v>
      </c>
      <c r="E1512" s="48">
        <f>VLOOKUP(B1512,'112年全品項生產鍋數'!A:H,3,0)</f>
        <v>6</v>
      </c>
      <c r="F1512" s="45">
        <f>VLOOKUP(B1512,'112年全品項生產鍋數'!A:H,7,0)</f>
        <v>25.7</v>
      </c>
      <c r="G1512" s="49">
        <f t="shared" si="186"/>
        <v>616.79999999999995</v>
      </c>
      <c r="H1512" s="158">
        <f>297+315</f>
        <v>612</v>
      </c>
      <c r="I1512" s="23">
        <f t="shared" si="187"/>
        <v>3672</v>
      </c>
      <c r="J1512" s="100">
        <f t="shared" si="188"/>
        <v>0.99221789883268485</v>
      </c>
      <c r="K1512" s="51">
        <f>VLOOKUP(B:B,'生產達成率(目標)'!A:C,3,0)</f>
        <v>1</v>
      </c>
      <c r="L1512" s="20">
        <f t="shared" si="189"/>
        <v>-8.0000000000000002E-3</v>
      </c>
      <c r="M1512" s="137" t="str">
        <f>工時!R696</f>
        <v>345</v>
      </c>
      <c r="N1512" s="144"/>
      <c r="O1512" s="144">
        <f t="shared" si="190"/>
        <v>1</v>
      </c>
      <c r="P1512" s="156">
        <f>296+315</f>
        <v>611</v>
      </c>
      <c r="Q1512" s="98">
        <f t="shared" si="191"/>
        <v>0.99836601307189543</v>
      </c>
      <c r="R1512" s="23"/>
      <c r="S1512" s="173"/>
      <c r="T1512" s="30"/>
    </row>
    <row r="1513" spans="1:30" x14ac:dyDescent="0.4">
      <c r="A1513" s="181">
        <v>45771</v>
      </c>
      <c r="B1513" s="139" t="s">
        <v>73</v>
      </c>
      <c r="C1513" s="30" t="str">
        <f>VLOOKUP(B1513,'112年全品項生產鍋數'!A:H,2,0)</f>
        <v>顆粒花生醬(1*12KG)</v>
      </c>
      <c r="D1513" s="290">
        <v>21</v>
      </c>
      <c r="E1513" s="48">
        <f>VLOOKUP(B1513,'112年全品項生產鍋數'!A:H,3,0)</f>
        <v>3</v>
      </c>
      <c r="F1513" s="45">
        <f>VLOOKUP(B1513,'112年全品項生產鍋數'!A:H,7,0)</f>
        <v>29.7</v>
      </c>
      <c r="G1513" s="49">
        <f t="shared" si="186"/>
        <v>623.69999999999993</v>
      </c>
      <c r="H1513" s="158">
        <v>628</v>
      </c>
      <c r="I1513" s="23">
        <f t="shared" si="187"/>
        <v>1884</v>
      </c>
      <c r="J1513" s="100">
        <f t="shared" si="188"/>
        <v>1.0068943402276738</v>
      </c>
      <c r="K1513" s="51">
        <f>VLOOKUP(B:B,'生產達成率(目標)'!A:C,3,0)</f>
        <v>1</v>
      </c>
      <c r="L1513" s="20">
        <f t="shared" si="189"/>
        <v>7.0000000000000001E-3</v>
      </c>
      <c r="M1513" s="137" t="str">
        <f>工時!R697</f>
        <v>510</v>
      </c>
      <c r="N1513" s="144"/>
      <c r="O1513" s="144">
        <f t="shared" si="190"/>
        <v>0</v>
      </c>
      <c r="P1513" s="156">
        <v>628</v>
      </c>
      <c r="Q1513" s="98">
        <f t="shared" si="191"/>
        <v>1</v>
      </c>
      <c r="R1513" s="23"/>
      <c r="S1513" s="173"/>
      <c r="T1513" s="30"/>
    </row>
    <row r="1514" spans="1:30" x14ac:dyDescent="0.4">
      <c r="A1514" s="181">
        <v>45771</v>
      </c>
      <c r="B1514" s="139" t="s">
        <v>104</v>
      </c>
      <c r="C1514" s="30" t="str">
        <f>VLOOKUP(B1514,'112年全品項生產鍋數'!A:H,2,0)</f>
        <v>＃1花生(粒)(1*2.8kg)</v>
      </c>
      <c r="D1514" s="290">
        <v>60</v>
      </c>
      <c r="E1514" s="48">
        <f>VLOOKUP(B1514,'112年全品項生產鍋數'!A:H,3,0)</f>
        <v>2.8</v>
      </c>
      <c r="F1514" s="45">
        <f>VLOOKUP(B1514,'112年全品項生產鍋數'!A:H,7,0)</f>
        <v>44.2</v>
      </c>
      <c r="G1514" s="49">
        <f t="shared" si="186"/>
        <v>2652</v>
      </c>
      <c r="H1514" s="158">
        <v>2637</v>
      </c>
      <c r="I1514" s="23">
        <f t="shared" si="187"/>
        <v>7383.5999999999995</v>
      </c>
      <c r="J1514" s="100">
        <f t="shared" si="188"/>
        <v>0.99434389140271495</v>
      </c>
      <c r="K1514" s="51">
        <f>VLOOKUP(B:B,'生產達成率(目標)'!A:C,3,0)</f>
        <v>1</v>
      </c>
      <c r="L1514" s="20">
        <f t="shared" si="189"/>
        <v>-6.0000000000000001E-3</v>
      </c>
      <c r="M1514" s="137" t="str">
        <f>工時!R698</f>
        <v>490</v>
      </c>
      <c r="N1514" s="144"/>
      <c r="O1514" s="144">
        <f t="shared" si="190"/>
        <v>1</v>
      </c>
      <c r="P1514" s="156">
        <v>2636</v>
      </c>
      <c r="Q1514" s="98">
        <f t="shared" si="191"/>
        <v>0.99962078119074704</v>
      </c>
      <c r="R1514" s="23"/>
      <c r="S1514" s="173"/>
      <c r="T1514" s="30"/>
    </row>
    <row r="1515" spans="1:30" s="146" customFormat="1" x14ac:dyDescent="0.4">
      <c r="A1515" s="182">
        <v>45771</v>
      </c>
      <c r="B1515" s="139">
        <v>151010</v>
      </c>
      <c r="C1515" s="140" t="str">
        <f>VLOOKUP(B1515,'112年全品項生產鍋數'!A:H,2,0)</f>
        <v>蜜紅果6m/m</v>
      </c>
      <c r="D1515" s="290">
        <v>1</v>
      </c>
      <c r="E1515" s="141">
        <f>VLOOKUP(B1515,'112年全品項生產鍋數'!A:H,3,0)</f>
        <v>1</v>
      </c>
      <c r="F1515" s="142">
        <f>VLOOKUP(B1515,'112年全品項生產鍋數'!A:H,7,0)</f>
        <v>142</v>
      </c>
      <c r="G1515" s="143">
        <f t="shared" ref="G1515:G1538" si="192">D1515*F1515</f>
        <v>142</v>
      </c>
      <c r="H1515" s="158">
        <v>152</v>
      </c>
      <c r="I1515" s="144">
        <f t="shared" ref="I1515:I1540" si="193">H1515*E1515</f>
        <v>152</v>
      </c>
      <c r="J1515" s="100">
        <f t="shared" ref="J1515:J1540" si="194">IF(G1515=0,"無法預估數據",H1515/G1515)</f>
        <v>1.0704225352112675</v>
      </c>
      <c r="K1515" s="51">
        <f>VLOOKUP(B:B,'生產達成率(目標)'!A:C,3,0)</f>
        <v>1</v>
      </c>
      <c r="L1515" s="20">
        <f t="shared" ref="L1515:L1540" si="195">IF(G1515=0,"無法預估數據",ROUND(J1515-K1515,3))</f>
        <v>7.0000000000000007E-2</v>
      </c>
      <c r="M1515" s="137" t="str">
        <f>工時!R699</f>
        <v>0</v>
      </c>
      <c r="N1515" s="144"/>
      <c r="O1515" s="144">
        <f t="shared" ref="O1515:O1540" si="196">H1515-N1515-P1515</f>
        <v>0</v>
      </c>
      <c r="P1515" s="156">
        <v>152</v>
      </c>
      <c r="Q1515" s="145">
        <f t="shared" ref="Q1515:Q1540" si="197">P1515/H1515</f>
        <v>1</v>
      </c>
      <c r="R1515" s="144"/>
      <c r="S1515" s="153"/>
      <c r="T1515" s="140"/>
      <c r="V1515" s="381"/>
      <c r="W1515" s="421"/>
      <c r="X1515" s="381"/>
      <c r="Y1515" s="421"/>
      <c r="Z1515" s="421"/>
      <c r="AA1515" s="421"/>
      <c r="AB1515" s="421"/>
      <c r="AC1515" s="421"/>
      <c r="AD1515" s="421"/>
    </row>
    <row r="1516" spans="1:30" s="146" customFormat="1" x14ac:dyDescent="0.4">
      <c r="A1516" s="182">
        <v>45772</v>
      </c>
      <c r="B1516" s="139" t="s">
        <v>71</v>
      </c>
      <c r="C1516" s="140" t="str">
        <f>VLOOKUP(B1516,'112年全品項生產鍋數'!A:H,2,0)</f>
        <v>＃1草莓(1*3.2kg)</v>
      </c>
      <c r="D1516" s="290">
        <v>72</v>
      </c>
      <c r="E1516" s="141">
        <f>VLOOKUP(B1516,'112年全品項生產鍋數'!A:H,3,0)</f>
        <v>3.2</v>
      </c>
      <c r="F1516" s="142">
        <f>VLOOKUP(B1516,'112年全品項生產鍋數'!A:H,7,0)</f>
        <v>46.8</v>
      </c>
      <c r="G1516" s="143">
        <f t="shared" si="192"/>
        <v>3369.6</v>
      </c>
      <c r="H1516" s="158">
        <v>3327</v>
      </c>
      <c r="I1516" s="144">
        <f t="shared" si="193"/>
        <v>10646.400000000001</v>
      </c>
      <c r="J1516" s="100">
        <f t="shared" si="194"/>
        <v>0.98735754985754987</v>
      </c>
      <c r="K1516" s="51">
        <f>VLOOKUP(B:B,'生產達成率(目標)'!A:C,3,0)</f>
        <v>1</v>
      </c>
      <c r="L1516" s="20">
        <f t="shared" si="195"/>
        <v>-1.2999999999999999E-2</v>
      </c>
      <c r="M1516" s="137" t="str">
        <f>工時!R700</f>
        <v>540</v>
      </c>
      <c r="N1516" s="144"/>
      <c r="O1516" s="144">
        <f t="shared" si="196"/>
        <v>2</v>
      </c>
      <c r="P1516" s="156">
        <v>3325</v>
      </c>
      <c r="Q1516" s="145">
        <f t="shared" si="197"/>
        <v>0.99939885782987681</v>
      </c>
      <c r="R1516" s="144"/>
      <c r="S1516" s="153"/>
      <c r="T1516" s="140"/>
      <c r="V1516" s="381"/>
      <c r="W1516" s="421"/>
      <c r="X1516" s="381"/>
      <c r="Y1516" s="421"/>
      <c r="Z1516" s="421"/>
      <c r="AA1516" s="421"/>
      <c r="AB1516" s="421"/>
      <c r="AC1516" s="421"/>
      <c r="AD1516" s="421"/>
    </row>
    <row r="1517" spans="1:30" s="146" customFormat="1" x14ac:dyDescent="0.4">
      <c r="A1517" s="182">
        <v>45772</v>
      </c>
      <c r="B1517" s="139" t="s">
        <v>76</v>
      </c>
      <c r="C1517" s="140" t="str">
        <f>VLOOKUP(B1517,'112年全品項生產鍋數'!A:H,2,0)</f>
        <v>草莓餡(1*6Kg)</v>
      </c>
      <c r="D1517" s="290">
        <v>12</v>
      </c>
      <c r="E1517" s="141">
        <f>VLOOKUP(B1517,'112年全品項生產鍋數'!A:H,3,0)</f>
        <v>6</v>
      </c>
      <c r="F1517" s="142">
        <f>VLOOKUP(B1517,'112年全品項生產鍋數'!A:H,7,0)</f>
        <v>25.5</v>
      </c>
      <c r="G1517" s="143">
        <f t="shared" si="192"/>
        <v>306</v>
      </c>
      <c r="H1517" s="158">
        <v>306</v>
      </c>
      <c r="I1517" s="144">
        <f t="shared" si="193"/>
        <v>1836</v>
      </c>
      <c r="J1517" s="100">
        <f t="shared" si="194"/>
        <v>1</v>
      </c>
      <c r="K1517" s="51">
        <f>VLOOKUP(B:B,'生產達成率(目標)'!A:C,3,0)</f>
        <v>1</v>
      </c>
      <c r="L1517" s="20">
        <f t="shared" si="195"/>
        <v>0</v>
      </c>
      <c r="M1517" s="137" t="str">
        <f>工時!R701</f>
        <v>185</v>
      </c>
      <c r="N1517" s="144"/>
      <c r="O1517" s="186">
        <f t="shared" si="196"/>
        <v>4</v>
      </c>
      <c r="P1517" s="156">
        <v>302</v>
      </c>
      <c r="Q1517" s="145">
        <f t="shared" si="197"/>
        <v>0.98692810457516345</v>
      </c>
      <c r="R1517" s="144"/>
      <c r="S1517" s="153"/>
      <c r="T1517" s="140"/>
      <c r="V1517" s="381"/>
      <c r="W1517" s="421"/>
      <c r="X1517" s="381"/>
      <c r="Y1517" s="421"/>
      <c r="Z1517" s="421"/>
      <c r="AA1517" s="421"/>
      <c r="AB1517" s="421"/>
      <c r="AC1517" s="421"/>
      <c r="AD1517" s="421"/>
    </row>
    <row r="1518" spans="1:30" s="146" customFormat="1" x14ac:dyDescent="0.4">
      <c r="A1518" s="182">
        <v>45772</v>
      </c>
      <c r="B1518" s="139" t="s">
        <v>75</v>
      </c>
      <c r="C1518" s="140" t="str">
        <f>VLOOKUP(B1518,'112年全品項生產鍋數'!A:H,2,0)</f>
        <v>草莓椰果餡(1*6Kg)</v>
      </c>
      <c r="D1518" s="290">
        <v>12</v>
      </c>
      <c r="E1518" s="141">
        <f>VLOOKUP(B1518,'112年全品項生產鍋數'!A:H,3,0)</f>
        <v>6</v>
      </c>
      <c r="F1518" s="142">
        <f>VLOOKUP(B1518,'112年全品項生產鍋數'!A:H,7,0)</f>
        <v>26.4</v>
      </c>
      <c r="G1518" s="143">
        <f t="shared" si="192"/>
        <v>316.79999999999995</v>
      </c>
      <c r="H1518" s="158">
        <v>327</v>
      </c>
      <c r="I1518" s="144">
        <f t="shared" si="193"/>
        <v>1962</v>
      </c>
      <c r="J1518" s="100">
        <f t="shared" si="194"/>
        <v>1.0321969696969699</v>
      </c>
      <c r="K1518" s="51">
        <f>VLOOKUP(B:B,'生產達成率(目標)'!A:C,3,0)</f>
        <v>1</v>
      </c>
      <c r="L1518" s="20">
        <f t="shared" si="195"/>
        <v>3.2000000000000001E-2</v>
      </c>
      <c r="M1518" s="137" t="str">
        <f>工時!R702</f>
        <v>168</v>
      </c>
      <c r="N1518" s="144"/>
      <c r="O1518" s="144">
        <f t="shared" si="196"/>
        <v>3</v>
      </c>
      <c r="P1518" s="156">
        <v>324</v>
      </c>
      <c r="Q1518" s="145">
        <f t="shared" si="197"/>
        <v>0.99082568807339455</v>
      </c>
      <c r="R1518" s="144"/>
      <c r="S1518" s="153"/>
      <c r="T1518" s="140"/>
      <c r="V1518" s="381"/>
      <c r="W1518" s="421"/>
      <c r="X1518" s="381"/>
      <c r="Y1518" s="421"/>
      <c r="Z1518" s="421"/>
      <c r="AA1518" s="421"/>
      <c r="AB1518" s="421"/>
      <c r="AC1518" s="421"/>
      <c r="AD1518" s="421"/>
    </row>
    <row r="1519" spans="1:30" s="146" customFormat="1" x14ac:dyDescent="0.4">
      <c r="A1519" s="182">
        <v>45772</v>
      </c>
      <c r="B1519" s="139" t="s">
        <v>72</v>
      </c>
      <c r="C1519" s="140" t="str">
        <f>VLOOKUP(B1519,'112年全品項生產鍋數'!A:H,2,0)</f>
        <v>草莓餡45%(1*6Kg)</v>
      </c>
      <c r="D1519" s="290">
        <v>16</v>
      </c>
      <c r="E1519" s="141">
        <f>VLOOKUP(B1519,'112年全品項生產鍋數'!A:H,3,0)</f>
        <v>6</v>
      </c>
      <c r="F1519" s="142">
        <f>VLOOKUP(B1519,'112年全品項生產鍋數'!A:H,7,0)</f>
        <v>26.1</v>
      </c>
      <c r="G1519" s="143">
        <f t="shared" si="192"/>
        <v>417.6</v>
      </c>
      <c r="H1519" s="158">
        <v>418</v>
      </c>
      <c r="I1519" s="144">
        <f t="shared" si="193"/>
        <v>2508</v>
      </c>
      <c r="J1519" s="100">
        <f t="shared" si="194"/>
        <v>1.0009578544061302</v>
      </c>
      <c r="K1519" s="51">
        <f>VLOOKUP(B:B,'生產達成率(目標)'!A:C,3,0)</f>
        <v>1</v>
      </c>
      <c r="L1519" s="20">
        <f t="shared" si="195"/>
        <v>1E-3</v>
      </c>
      <c r="M1519" s="137" t="str">
        <f>工時!R703</f>
        <v>230</v>
      </c>
      <c r="N1519" s="144"/>
      <c r="O1519" s="144">
        <f t="shared" si="196"/>
        <v>1</v>
      </c>
      <c r="P1519" s="156">
        <v>417</v>
      </c>
      <c r="Q1519" s="145">
        <f t="shared" si="197"/>
        <v>0.99760765550239239</v>
      </c>
      <c r="R1519" s="144"/>
      <c r="S1519" s="153"/>
      <c r="T1519" s="140"/>
      <c r="V1519" s="381"/>
      <c r="W1519" s="421"/>
      <c r="X1519" s="381"/>
      <c r="Y1519" s="421"/>
      <c r="Z1519" s="421"/>
      <c r="AA1519" s="421"/>
      <c r="AB1519" s="421"/>
      <c r="AC1519" s="421"/>
      <c r="AD1519" s="421"/>
    </row>
    <row r="1520" spans="1:30" s="146" customFormat="1" x14ac:dyDescent="0.4">
      <c r="A1520" s="182">
        <v>45772</v>
      </c>
      <c r="B1520" s="139" t="s">
        <v>642</v>
      </c>
      <c r="C1520" s="140" t="str">
        <f>VLOOKUP(B1520,'112年全品項生產鍋數'!A:H,2,0)</f>
        <v>＃2花生（粒）(1*800g)</v>
      </c>
      <c r="D1520" s="290">
        <v>20</v>
      </c>
      <c r="E1520" s="141">
        <f>VLOOKUP(B1520,'112年全品項生產鍋數'!A:H,3,0)</f>
        <v>0.8</v>
      </c>
      <c r="F1520" s="142">
        <f>VLOOKUP(B1520,'112年全品項生產鍋數'!A:H,7,0)</f>
        <v>155.5</v>
      </c>
      <c r="G1520" s="143">
        <f t="shared" si="192"/>
        <v>3110</v>
      </c>
      <c r="H1520" s="158">
        <v>3119</v>
      </c>
      <c r="I1520" s="144">
        <f t="shared" si="193"/>
        <v>2495.2000000000003</v>
      </c>
      <c r="J1520" s="100">
        <f t="shared" si="194"/>
        <v>1.0028938906752412</v>
      </c>
      <c r="K1520" s="51">
        <f>VLOOKUP(B:B,'生產達成率(目標)'!A:C,3,0)</f>
        <v>1</v>
      </c>
      <c r="L1520" s="20">
        <f t="shared" si="195"/>
        <v>3.0000000000000001E-3</v>
      </c>
      <c r="M1520" s="137" t="str">
        <f>工時!R704</f>
        <v>270</v>
      </c>
      <c r="N1520" s="144"/>
      <c r="O1520" s="144">
        <f t="shared" si="196"/>
        <v>2</v>
      </c>
      <c r="P1520" s="156">
        <v>3117</v>
      </c>
      <c r="Q1520" s="145">
        <f t="shared" si="197"/>
        <v>0.99935876883616548</v>
      </c>
      <c r="R1520" s="144"/>
      <c r="S1520" s="153"/>
      <c r="T1520" s="140"/>
      <c r="V1520" s="381"/>
      <c r="W1520" s="421"/>
      <c r="X1520" s="381"/>
      <c r="Y1520" s="421"/>
      <c r="Z1520" s="421"/>
      <c r="AA1520" s="421"/>
      <c r="AB1520" s="421"/>
      <c r="AC1520" s="421"/>
      <c r="AD1520" s="421"/>
    </row>
    <row r="1521" spans="1:30" s="146" customFormat="1" x14ac:dyDescent="0.4">
      <c r="A1521" s="182">
        <v>45772</v>
      </c>
      <c r="B1521" s="139" t="s">
        <v>104</v>
      </c>
      <c r="C1521" s="140" t="str">
        <f>VLOOKUP(B1521,'112年全品項生產鍋數'!A:H,2,0)</f>
        <v>＃1花生(粒)(1*2.8kg)</v>
      </c>
      <c r="D1521" s="290">
        <v>28</v>
      </c>
      <c r="E1521" s="141">
        <f>VLOOKUP(B1521,'112年全品項生產鍋數'!A:H,3,0)</f>
        <v>2.8</v>
      </c>
      <c r="F1521" s="142">
        <f>VLOOKUP(B1521,'112年全品項生產鍋數'!A:H,7,0)</f>
        <v>44.2</v>
      </c>
      <c r="G1521" s="143">
        <f t="shared" si="192"/>
        <v>1237.6000000000001</v>
      </c>
      <c r="H1521" s="158">
        <v>1205</v>
      </c>
      <c r="I1521" s="144">
        <f t="shared" si="193"/>
        <v>3374</v>
      </c>
      <c r="J1521" s="100">
        <f t="shared" si="194"/>
        <v>0.97365869424692941</v>
      </c>
      <c r="K1521" s="51">
        <f>VLOOKUP(B:B,'生產達成率(目標)'!A:C,3,0)</f>
        <v>1</v>
      </c>
      <c r="L1521" s="20">
        <f t="shared" si="195"/>
        <v>-2.5999999999999999E-2</v>
      </c>
      <c r="M1521" s="137" t="str">
        <f>工時!R705</f>
        <v>270</v>
      </c>
      <c r="N1521" s="144"/>
      <c r="O1521" s="144">
        <f t="shared" si="196"/>
        <v>1</v>
      </c>
      <c r="P1521" s="156">
        <v>1204</v>
      </c>
      <c r="Q1521" s="145">
        <f t="shared" si="197"/>
        <v>0.9991701244813278</v>
      </c>
      <c r="R1521" s="144"/>
      <c r="S1521" s="153"/>
      <c r="T1521" s="140"/>
      <c r="V1521" s="381"/>
      <c r="W1521" s="421"/>
      <c r="X1521" s="381"/>
      <c r="Y1521" s="421"/>
      <c r="Z1521" s="421"/>
      <c r="AA1521" s="421"/>
      <c r="AB1521" s="421"/>
      <c r="AC1521" s="421"/>
      <c r="AD1521" s="421"/>
    </row>
    <row r="1522" spans="1:30" x14ac:dyDescent="0.4">
      <c r="A1522" s="181">
        <v>45775</v>
      </c>
      <c r="B1522" s="139" t="s">
        <v>106</v>
      </c>
      <c r="C1522" s="30" t="str">
        <f>VLOOKUP(B1522,'112年全品項生產鍋數'!A:H,2,0)</f>
        <v>小藍莓1*260G</v>
      </c>
      <c r="D1522" s="290">
        <v>16</v>
      </c>
      <c r="E1522" s="48">
        <f>VLOOKUP(B1522,'112年全品項生產鍋數'!A:H,3,0)</f>
        <v>0.26</v>
      </c>
      <c r="F1522" s="45">
        <f>VLOOKUP(B1522,'112年全品項生產鍋數'!A:H,7,0)</f>
        <v>584.29999999999995</v>
      </c>
      <c r="G1522" s="49">
        <f t="shared" si="192"/>
        <v>9348.7999999999993</v>
      </c>
      <c r="H1522" s="158">
        <v>9341</v>
      </c>
      <c r="I1522" s="23">
        <f t="shared" si="193"/>
        <v>2428.6600000000003</v>
      </c>
      <c r="J1522" s="100">
        <f t="shared" si="194"/>
        <v>0.99916566832106801</v>
      </c>
      <c r="K1522" s="51">
        <f>VLOOKUP(B:B,'生產達成率(目標)'!A:C,3,0)</f>
        <v>1</v>
      </c>
      <c r="L1522" s="20">
        <f t="shared" si="195"/>
        <v>-1E-3</v>
      </c>
      <c r="M1522" s="137" t="str">
        <f>工時!R706</f>
        <v>300</v>
      </c>
      <c r="N1522" s="144"/>
      <c r="O1522" s="144">
        <f t="shared" si="196"/>
        <v>17</v>
      </c>
      <c r="P1522" s="156">
        <v>9324</v>
      </c>
      <c r="Q1522" s="98">
        <f t="shared" si="197"/>
        <v>0.99818006637404988</v>
      </c>
      <c r="R1522" s="23"/>
      <c r="S1522" s="173"/>
      <c r="T1522" s="30"/>
    </row>
    <row r="1523" spans="1:30" s="146" customFormat="1" x14ac:dyDescent="0.4">
      <c r="A1523" s="182">
        <v>45775</v>
      </c>
      <c r="B1523" s="139" t="s">
        <v>473</v>
      </c>
      <c r="C1523" s="140" t="str">
        <f>VLOOKUP(B1523,'112年全品項生產鍋數'!A:H,2,0)</f>
        <v>桑椹果粒茶(1*400G)</v>
      </c>
      <c r="D1523" s="290">
        <v>6</v>
      </c>
      <c r="E1523" s="141">
        <f>VLOOKUP(B1523,'112年全品項生產鍋數'!A:H,3,0)</f>
        <v>0.4</v>
      </c>
      <c r="F1523" s="142">
        <f>VLOOKUP(B1523,'112年全品項生產鍋數'!A:H,7,0)</f>
        <v>366.4</v>
      </c>
      <c r="G1523" s="143">
        <f t="shared" si="192"/>
        <v>2198.3999999999996</v>
      </c>
      <c r="H1523" s="158">
        <v>2206</v>
      </c>
      <c r="I1523" s="144">
        <f t="shared" si="193"/>
        <v>882.40000000000009</v>
      </c>
      <c r="J1523" s="100">
        <f t="shared" si="194"/>
        <v>1.0034570596797672</v>
      </c>
      <c r="K1523" s="51">
        <f>VLOOKUP(B:B,'生產達成率(目標)'!A:C,3,0)</f>
        <v>1</v>
      </c>
      <c r="L1523" s="20">
        <f t="shared" si="195"/>
        <v>3.0000000000000001E-3</v>
      </c>
      <c r="M1523" s="137" t="str">
        <f>工時!R707</f>
        <v>240</v>
      </c>
      <c r="N1523" s="144"/>
      <c r="O1523" s="144">
        <f t="shared" si="196"/>
        <v>12</v>
      </c>
      <c r="P1523" s="156">
        <v>2194</v>
      </c>
      <c r="Q1523" s="145">
        <f t="shared" si="197"/>
        <v>0.9945602901178604</v>
      </c>
      <c r="R1523" s="144"/>
      <c r="S1523" s="153"/>
      <c r="T1523" s="140"/>
      <c r="V1523" s="381"/>
      <c r="W1523" s="421"/>
      <c r="X1523" s="381"/>
      <c r="Y1523" s="421"/>
      <c r="Z1523" s="421"/>
      <c r="AA1523" s="421"/>
      <c r="AB1523" s="421"/>
      <c r="AC1523" s="421"/>
      <c r="AD1523" s="421"/>
    </row>
    <row r="1524" spans="1:30" x14ac:dyDescent="0.4">
      <c r="A1524" s="181">
        <v>45775</v>
      </c>
      <c r="B1524" s="139" t="s">
        <v>997</v>
      </c>
      <c r="C1524" s="30" t="str">
        <f>VLOOKUP(B1524,'112年全品項生產鍋數'!A:H,2,0)</f>
        <v>蜜桃餡(1*6Kg)</v>
      </c>
      <c r="D1524" s="290">
        <v>4</v>
      </c>
      <c r="E1524" s="48">
        <f>VLOOKUP(B1524,'112年全品項生產鍋數'!A:H,3,0)</f>
        <v>6</v>
      </c>
      <c r="F1524" s="45">
        <f>VLOOKUP(B1524,'112年全品項生產鍋數'!A:H,7,0)</f>
        <v>25.8</v>
      </c>
      <c r="G1524" s="49">
        <f t="shared" si="192"/>
        <v>103.2</v>
      </c>
      <c r="H1524" s="158">
        <v>100</v>
      </c>
      <c r="I1524" s="23">
        <f t="shared" si="193"/>
        <v>600</v>
      </c>
      <c r="J1524" s="100">
        <f t="shared" si="194"/>
        <v>0.96899224806201545</v>
      </c>
      <c r="K1524" s="51" t="e">
        <f>VLOOKUP(B:B,'生產達成率(目標)'!A:C,3,0)</f>
        <v>#N/A</v>
      </c>
      <c r="L1524" s="20" t="e">
        <f t="shared" si="195"/>
        <v>#N/A</v>
      </c>
      <c r="M1524" s="137" t="str">
        <f>工時!R708</f>
        <v>120</v>
      </c>
      <c r="N1524" s="144"/>
      <c r="O1524" s="144">
        <f t="shared" si="196"/>
        <v>1</v>
      </c>
      <c r="P1524" s="156">
        <v>99</v>
      </c>
      <c r="Q1524" s="98">
        <f t="shared" si="197"/>
        <v>0.99</v>
      </c>
      <c r="R1524" s="23"/>
      <c r="S1524" s="173"/>
      <c r="T1524" s="30"/>
    </row>
    <row r="1525" spans="1:30" x14ac:dyDescent="0.4">
      <c r="A1525" s="181">
        <v>45775</v>
      </c>
      <c r="B1525" s="139" t="s">
        <v>88</v>
      </c>
      <c r="C1525" s="30" t="str">
        <f>VLOOKUP(B1525,'112年全品項生產鍋數'!A:H,2,0)</f>
        <v>草莓餡(1*6KG)</v>
      </c>
      <c r="D1525" s="290">
        <v>16</v>
      </c>
      <c r="E1525" s="48">
        <f>VLOOKUP(B1525,'112年全品項生產鍋數'!A:H,3,0)</f>
        <v>6</v>
      </c>
      <c r="F1525" s="45">
        <f>VLOOKUP(B1525,'112年全品項生產鍋數'!A:H,7,0)</f>
        <v>25.5</v>
      </c>
      <c r="G1525" s="49">
        <f t="shared" si="192"/>
        <v>408</v>
      </c>
      <c r="H1525" s="158">
        <v>414</v>
      </c>
      <c r="I1525" s="23">
        <f t="shared" si="193"/>
        <v>2484</v>
      </c>
      <c r="J1525" s="100">
        <f t="shared" si="194"/>
        <v>1.0147058823529411</v>
      </c>
      <c r="K1525" s="51">
        <f>VLOOKUP(B:B,'生產達成率(目標)'!A:C,3,0)</f>
        <v>1</v>
      </c>
      <c r="L1525" s="20">
        <f t="shared" si="195"/>
        <v>1.4999999999999999E-2</v>
      </c>
      <c r="M1525" s="137" t="str">
        <f>工時!R709</f>
        <v>240</v>
      </c>
      <c r="N1525" s="144"/>
      <c r="O1525" s="144">
        <f t="shared" si="196"/>
        <v>1</v>
      </c>
      <c r="P1525" s="156">
        <v>413</v>
      </c>
      <c r="Q1525" s="98">
        <f t="shared" si="197"/>
        <v>0.99758454106280192</v>
      </c>
      <c r="R1525" s="23"/>
      <c r="S1525" s="173"/>
      <c r="T1525" s="30"/>
    </row>
    <row r="1526" spans="1:30" x14ac:dyDescent="0.4">
      <c r="A1526" s="181">
        <v>45775</v>
      </c>
      <c r="B1526" s="139" t="s">
        <v>965</v>
      </c>
      <c r="C1526" s="30" t="str">
        <f>VLOOKUP(B1526,'112年全品項生產鍋數'!A:H,2,0)</f>
        <v>草莓餡°(1*6KG)</v>
      </c>
      <c r="D1526" s="290">
        <v>16</v>
      </c>
      <c r="E1526" s="48">
        <f>VLOOKUP(B1526,'112年全品項生產鍋數'!A:H,3,0)</f>
        <v>6</v>
      </c>
      <c r="F1526" s="45">
        <f>VLOOKUP(B1526,'112年全品項生產鍋數'!A:H,7,0)</f>
        <v>0</v>
      </c>
      <c r="G1526" s="49">
        <f t="shared" si="192"/>
        <v>0</v>
      </c>
      <c r="H1526" s="158">
        <v>392</v>
      </c>
      <c r="I1526" s="23">
        <f t="shared" si="193"/>
        <v>2352</v>
      </c>
      <c r="J1526" s="100" t="str">
        <f t="shared" si="194"/>
        <v>無法預估數據</v>
      </c>
      <c r="K1526" s="51">
        <f>VLOOKUP(B:B,'生產達成率(目標)'!A:C,3,0)</f>
        <v>1</v>
      </c>
      <c r="L1526" s="20" t="str">
        <f t="shared" si="195"/>
        <v>無法預估數據</v>
      </c>
      <c r="M1526" s="137" t="str">
        <f>工時!R710</f>
        <v>262</v>
      </c>
      <c r="N1526" s="144"/>
      <c r="O1526" s="144">
        <f t="shared" si="196"/>
        <v>2</v>
      </c>
      <c r="P1526" s="156">
        <v>390</v>
      </c>
      <c r="Q1526" s="98">
        <f t="shared" si="197"/>
        <v>0.99489795918367352</v>
      </c>
      <c r="R1526" s="23"/>
      <c r="S1526" s="173"/>
      <c r="T1526" s="30"/>
    </row>
    <row r="1527" spans="1:30" x14ac:dyDescent="0.4">
      <c r="A1527" s="181">
        <v>45775</v>
      </c>
      <c r="B1527" s="139" t="s">
        <v>97</v>
      </c>
      <c r="C1527" s="30" t="str">
        <f>VLOOKUP(B1527,'112年全品項生產鍋數'!A:H,2,0)</f>
        <v>花生醬(1*18KG)</v>
      </c>
      <c r="D1527" s="290">
        <v>16</v>
      </c>
      <c r="E1527" s="48">
        <f>VLOOKUP(B1527,'112年全品項生產鍋數'!A:H,3,0)</f>
        <v>18</v>
      </c>
      <c r="F1527" s="45">
        <f>VLOOKUP(B1527,'112年全品項生產鍋數'!A:H,7,0)</f>
        <v>6.6</v>
      </c>
      <c r="G1527" s="49">
        <f t="shared" si="192"/>
        <v>105.6</v>
      </c>
      <c r="H1527" s="158">
        <v>106</v>
      </c>
      <c r="I1527" s="23">
        <f t="shared" si="193"/>
        <v>1908</v>
      </c>
      <c r="J1527" s="100">
        <f t="shared" si="194"/>
        <v>1.0037878787878789</v>
      </c>
      <c r="K1527" s="51">
        <f>VLOOKUP(B:B,'生產達成率(目標)'!A:C,3,0)</f>
        <v>1</v>
      </c>
      <c r="L1527" s="20">
        <f t="shared" si="195"/>
        <v>4.0000000000000001E-3</v>
      </c>
      <c r="M1527" s="137" t="str">
        <f>工時!R711</f>
        <v>210</v>
      </c>
      <c r="N1527" s="144"/>
      <c r="O1527" s="144">
        <f t="shared" si="196"/>
        <v>0</v>
      </c>
      <c r="P1527" s="156">
        <v>106</v>
      </c>
      <c r="Q1527" s="98">
        <f t="shared" si="197"/>
        <v>1</v>
      </c>
      <c r="R1527" s="23"/>
      <c r="S1527" s="173"/>
      <c r="T1527" s="30"/>
    </row>
    <row r="1528" spans="1:30" x14ac:dyDescent="0.4">
      <c r="A1528" s="181">
        <v>45775</v>
      </c>
      <c r="B1528" s="139" t="s">
        <v>131</v>
      </c>
      <c r="C1528" s="30" t="str">
        <f>VLOOKUP(B1528,'112年全品項生產鍋數'!A:H,2,0)</f>
        <v>花生醬(1*18KG)</v>
      </c>
      <c r="D1528" s="290">
        <v>28</v>
      </c>
      <c r="E1528" s="48">
        <f>VLOOKUP(B1528,'112年全品項生產鍋數'!A:H,3,0)</f>
        <v>18</v>
      </c>
      <c r="F1528" s="45">
        <f>VLOOKUP(B1528,'112年全品項生產鍋數'!A:H,7,0)</f>
        <v>6.9</v>
      </c>
      <c r="G1528" s="49">
        <f t="shared" si="192"/>
        <v>193.20000000000002</v>
      </c>
      <c r="H1528" s="158">
        <v>200</v>
      </c>
      <c r="I1528" s="23">
        <f t="shared" si="193"/>
        <v>3600</v>
      </c>
      <c r="J1528" s="100">
        <f t="shared" si="194"/>
        <v>1.0351966873706002</v>
      </c>
      <c r="K1528" s="51">
        <f>VLOOKUP(B:B,'生產達成率(目標)'!A:C,3,0)</f>
        <v>1</v>
      </c>
      <c r="L1528" s="20">
        <f t="shared" si="195"/>
        <v>3.5000000000000003E-2</v>
      </c>
      <c r="M1528" s="137" t="str">
        <f>工時!R712</f>
        <v>280</v>
      </c>
      <c r="N1528" s="144"/>
      <c r="O1528" s="144">
        <f t="shared" si="196"/>
        <v>0</v>
      </c>
      <c r="P1528" s="156">
        <v>200</v>
      </c>
      <c r="Q1528" s="98">
        <f t="shared" si="197"/>
        <v>1</v>
      </c>
      <c r="R1528" s="23"/>
      <c r="S1528" s="173"/>
      <c r="T1528" s="30"/>
    </row>
    <row r="1529" spans="1:30" x14ac:dyDescent="0.4">
      <c r="A1529" s="181">
        <v>45776</v>
      </c>
      <c r="B1529" s="139" t="s">
        <v>54</v>
      </c>
      <c r="C1529" s="30" t="str">
        <f>VLOOKUP(B1529,'112年全品項生產鍋數'!A:H,2,0)</f>
        <v>草莓醬(1*6kg)</v>
      </c>
      <c r="D1529" s="290">
        <v>32</v>
      </c>
      <c r="E1529" s="48">
        <f>VLOOKUP(B1529,'112年全品項生產鍋數'!A:H,3,0)</f>
        <v>6</v>
      </c>
      <c r="F1529" s="45">
        <f>VLOOKUP(B1529,'112年全品項生產鍋數'!A:H,7,0)</f>
        <v>26.6</v>
      </c>
      <c r="G1529" s="49">
        <f t="shared" si="192"/>
        <v>851.2</v>
      </c>
      <c r="H1529" s="158">
        <v>833</v>
      </c>
      <c r="I1529" s="23">
        <f t="shared" si="193"/>
        <v>4998</v>
      </c>
      <c r="J1529" s="100">
        <f t="shared" si="194"/>
        <v>0.97861842105263153</v>
      </c>
      <c r="K1529" s="51">
        <f>VLOOKUP(B:B,'生產達成率(目標)'!A:C,3,0)</f>
        <v>1</v>
      </c>
      <c r="L1529" s="20">
        <f t="shared" si="195"/>
        <v>-2.1000000000000001E-2</v>
      </c>
      <c r="M1529" s="137" t="str">
        <f>工時!R713</f>
        <v>423</v>
      </c>
      <c r="N1529" s="144"/>
      <c r="O1529" s="144">
        <f t="shared" si="196"/>
        <v>3</v>
      </c>
      <c r="P1529" s="156">
        <v>830</v>
      </c>
      <c r="Q1529" s="98">
        <f t="shared" si="197"/>
        <v>0.99639855942376954</v>
      </c>
      <c r="R1529" s="23"/>
      <c r="S1529" s="173"/>
      <c r="T1529" s="30"/>
    </row>
    <row r="1530" spans="1:30" x14ac:dyDescent="0.4">
      <c r="A1530" s="181">
        <v>45776</v>
      </c>
      <c r="B1530" s="139" t="s">
        <v>53</v>
      </c>
      <c r="C1530" s="30" t="str">
        <f>VLOOKUP(B1530,'112年全品項生產鍋數'!A:H,2,0)</f>
        <v>鳳梨芒果百香果醬(1*6KG)</v>
      </c>
      <c r="D1530" s="290">
        <v>6</v>
      </c>
      <c r="E1530" s="48">
        <f>VLOOKUP(B1530,'112年全品項生產鍋數'!A:H,3,0)</f>
        <v>6</v>
      </c>
      <c r="F1530" s="45">
        <f>VLOOKUP(B1530,'112年全品項生產鍋數'!A:H,7,0)</f>
        <v>25.7</v>
      </c>
      <c r="G1530" s="49">
        <f t="shared" si="192"/>
        <v>154.19999999999999</v>
      </c>
      <c r="H1530" s="158">
        <v>144</v>
      </c>
      <c r="I1530" s="23">
        <f t="shared" si="193"/>
        <v>864</v>
      </c>
      <c r="J1530" s="100">
        <f t="shared" si="194"/>
        <v>0.93385214007782114</v>
      </c>
      <c r="K1530" s="51">
        <f>VLOOKUP(B:B,'生產達成率(目標)'!A:C,3,0)</f>
        <v>1</v>
      </c>
      <c r="L1530" s="20">
        <f t="shared" si="195"/>
        <v>-6.6000000000000003E-2</v>
      </c>
      <c r="M1530" s="137" t="str">
        <f>工時!R714</f>
        <v>150</v>
      </c>
      <c r="N1530" s="144"/>
      <c r="O1530" s="144">
        <f t="shared" si="196"/>
        <v>2</v>
      </c>
      <c r="P1530" s="156">
        <v>142</v>
      </c>
      <c r="Q1530" s="98">
        <f t="shared" si="197"/>
        <v>0.98611111111111116</v>
      </c>
      <c r="R1530" s="23"/>
      <c r="S1530" s="173"/>
      <c r="T1530" s="30"/>
    </row>
    <row r="1531" spans="1:30" s="22" customFormat="1" x14ac:dyDescent="0.4">
      <c r="A1531" s="215">
        <v>45776</v>
      </c>
      <c r="B1531" s="216" t="s">
        <v>108</v>
      </c>
      <c r="C1531" s="30" t="str">
        <f>VLOOKUP(B1531,'112年全品項生產鍋數'!A:H,2,0)</f>
        <v>顆粒花生醬(1*12KG)</v>
      </c>
      <c r="D1531" s="285">
        <v>15</v>
      </c>
      <c r="E1531" s="48">
        <f>VLOOKUP(B1531,'112年全品項生產鍋數'!A:H,3,0)</f>
        <v>3</v>
      </c>
      <c r="F1531" s="45">
        <f>VLOOKUP(B1531,'112年全品項生產鍋數'!A:H,7,0)</f>
        <v>31.6</v>
      </c>
      <c r="G1531" s="49">
        <f t="shared" si="192"/>
        <v>474</v>
      </c>
      <c r="H1531" s="144">
        <v>468</v>
      </c>
      <c r="I1531" s="23">
        <f t="shared" si="193"/>
        <v>1404</v>
      </c>
      <c r="J1531" s="50">
        <f t="shared" si="194"/>
        <v>0.98734177215189878</v>
      </c>
      <c r="K1531" s="51">
        <f>VLOOKUP(B:B,'生產達成率(目標)'!A:C,3,0)</f>
        <v>1</v>
      </c>
      <c r="L1531" s="27">
        <f t="shared" si="195"/>
        <v>-1.2999999999999999E-2</v>
      </c>
      <c r="M1531" s="217" t="str">
        <f>工時!R715</f>
        <v>370</v>
      </c>
      <c r="N1531" s="144"/>
      <c r="O1531" s="144">
        <f t="shared" si="196"/>
        <v>0</v>
      </c>
      <c r="P1531" s="144">
        <v>468</v>
      </c>
      <c r="Q1531" s="98">
        <f t="shared" si="197"/>
        <v>1</v>
      </c>
      <c r="R1531" s="23" t="s">
        <v>1029</v>
      </c>
      <c r="S1531" s="173"/>
      <c r="T1531" s="30" t="s">
        <v>1030</v>
      </c>
      <c r="W1531" s="421"/>
      <c r="Y1531" s="421"/>
      <c r="Z1531" s="421"/>
      <c r="AA1531" s="421"/>
      <c r="AB1531" s="421"/>
      <c r="AC1531" s="421"/>
      <c r="AD1531" s="421"/>
    </row>
    <row r="1532" spans="1:30" x14ac:dyDescent="0.4">
      <c r="A1532" s="181">
        <v>45776</v>
      </c>
      <c r="B1532" s="139" t="s">
        <v>65</v>
      </c>
      <c r="C1532" s="30" t="str">
        <f>VLOOKUP(B1532,'112年全品項生產鍋數'!A:H,2,0)</f>
        <v>＃1花生(1*2.8kg)</v>
      </c>
      <c r="D1532" s="290">
        <v>60</v>
      </c>
      <c r="E1532" s="48">
        <f>VLOOKUP(B1532,'112年全品項生產鍋數'!A:H,3,0)</f>
        <v>2.8</v>
      </c>
      <c r="F1532" s="45">
        <f>VLOOKUP(B1532,'112年全品項生產鍋數'!A:H,7,0)</f>
        <v>44.5</v>
      </c>
      <c r="G1532" s="49">
        <f>D1532*F1532-55*18/E1532</f>
        <v>2316.4285714285716</v>
      </c>
      <c r="H1532" s="158">
        <f>1503+900</f>
        <v>2403</v>
      </c>
      <c r="I1532" s="23">
        <f t="shared" si="193"/>
        <v>6728.4</v>
      </c>
      <c r="J1532" s="100">
        <f t="shared" si="194"/>
        <v>1.0373728029602221</v>
      </c>
      <c r="K1532" s="51">
        <f>VLOOKUP(B:B,'生產達成率(目標)'!A:C,3,0)</f>
        <v>1</v>
      </c>
      <c r="L1532" s="20">
        <f t="shared" si="195"/>
        <v>3.6999999999999998E-2</v>
      </c>
      <c r="M1532" s="137" t="str">
        <f>工時!R716</f>
        <v>580</v>
      </c>
      <c r="N1532" s="144"/>
      <c r="O1532" s="144">
        <f t="shared" si="196"/>
        <v>1</v>
      </c>
      <c r="P1532" s="156">
        <f>1502+900</f>
        <v>2402</v>
      </c>
      <c r="Q1532" s="98">
        <f t="shared" si="197"/>
        <v>0.99958385351643775</v>
      </c>
      <c r="R1532" s="23"/>
      <c r="S1532" s="173">
        <f>60*3</f>
        <v>180</v>
      </c>
      <c r="T1532" s="30" t="s">
        <v>1086</v>
      </c>
    </row>
    <row r="1533" spans="1:30" s="32" customFormat="1" x14ac:dyDescent="0.4">
      <c r="A1533" s="210">
        <v>45777</v>
      </c>
      <c r="B1533" s="151" t="s">
        <v>114</v>
      </c>
      <c r="C1533" s="30" t="str">
        <f>VLOOKUP(B1533,'112年全品項生產鍋數'!A:H,2,0)</f>
        <v>開心草莓果醬(1*430g)</v>
      </c>
      <c r="D1533" s="287">
        <v>15</v>
      </c>
      <c r="E1533" s="48">
        <f>VLOOKUP(B1533,'112年全品項生產鍋數'!A:H,3,0)</f>
        <v>0.43</v>
      </c>
      <c r="F1533" s="45">
        <f>VLOOKUP(B1533,'112年全品項生產鍋數'!A:H,7,0)</f>
        <v>364</v>
      </c>
      <c r="G1533" s="49">
        <f t="shared" si="192"/>
        <v>5460</v>
      </c>
      <c r="H1533" s="156">
        <v>5481</v>
      </c>
      <c r="I1533" s="23">
        <f t="shared" si="193"/>
        <v>2356.83</v>
      </c>
      <c r="J1533" s="100">
        <f t="shared" si="194"/>
        <v>1.0038461538461538</v>
      </c>
      <c r="K1533" s="51">
        <f>VLOOKUP(B:B,'生產達成率(目標)'!A:C,3,0)</f>
        <v>1</v>
      </c>
      <c r="L1533" s="20">
        <f t="shared" si="195"/>
        <v>4.0000000000000001E-3</v>
      </c>
      <c r="M1533" s="137" t="str">
        <f>工時!R717</f>
        <v>300</v>
      </c>
      <c r="N1533" s="144"/>
      <c r="O1533" s="144">
        <f t="shared" si="196"/>
        <v>9</v>
      </c>
      <c r="P1533" s="156">
        <v>5472</v>
      </c>
      <c r="Q1533" s="98">
        <f t="shared" si="197"/>
        <v>0.99835796387520526</v>
      </c>
      <c r="R1533" s="23"/>
      <c r="S1533" s="173"/>
      <c r="T1533" s="30"/>
      <c r="W1533" s="421"/>
      <c r="Y1533" s="421"/>
      <c r="Z1533" s="421"/>
      <c r="AA1533" s="421"/>
      <c r="AB1533" s="421"/>
      <c r="AC1533" s="421"/>
      <c r="AD1533" s="421"/>
    </row>
    <row r="1534" spans="1:30" s="32" customFormat="1" x14ac:dyDescent="0.4">
      <c r="A1534" s="210">
        <v>45777</v>
      </c>
      <c r="B1534" s="151" t="s">
        <v>91</v>
      </c>
      <c r="C1534" s="30" t="str">
        <f>VLOOKUP(B1534,'112年全品項生產鍋數'!A:H,2,0)</f>
        <v>梨山草莓果醬(1*430g)</v>
      </c>
      <c r="D1534" s="287">
        <v>16</v>
      </c>
      <c r="E1534" s="48">
        <f>VLOOKUP(B1534,'112年全品項生產鍋數'!A:H,3,0)</f>
        <v>0.43</v>
      </c>
      <c r="F1534" s="45">
        <f>VLOOKUP(B1534,'112年全品項生產鍋數'!A:H,7,0)</f>
        <v>340.4</v>
      </c>
      <c r="G1534" s="49">
        <f t="shared" si="192"/>
        <v>5446.4</v>
      </c>
      <c r="H1534" s="156">
        <f>2162+3214</f>
        <v>5376</v>
      </c>
      <c r="I1534" s="23">
        <f t="shared" si="193"/>
        <v>2311.6799999999998</v>
      </c>
      <c r="J1534" s="100">
        <f t="shared" si="194"/>
        <v>0.98707403055229148</v>
      </c>
      <c r="K1534" s="51">
        <f>VLOOKUP(B:B,'生產達成率(目標)'!A:C,3,0)</f>
        <v>1</v>
      </c>
      <c r="L1534" s="20">
        <f t="shared" si="195"/>
        <v>-1.2999999999999999E-2</v>
      </c>
      <c r="M1534" s="137" t="str">
        <f>工時!R718</f>
        <v>330</v>
      </c>
      <c r="N1534" s="144"/>
      <c r="O1534" s="144">
        <f t="shared" si="196"/>
        <v>15</v>
      </c>
      <c r="P1534" s="156">
        <f>3201+2160</f>
        <v>5361</v>
      </c>
      <c r="Q1534" s="98">
        <f t="shared" si="197"/>
        <v>0.9972098214285714</v>
      </c>
      <c r="R1534" s="23"/>
      <c r="S1534" s="173"/>
      <c r="T1534" s="30" t="s">
        <v>999</v>
      </c>
      <c r="W1534" s="421"/>
      <c r="Y1534" s="421"/>
      <c r="Z1534" s="421"/>
      <c r="AA1534" s="421"/>
      <c r="AB1534" s="421"/>
      <c r="AC1534" s="421"/>
      <c r="AD1534" s="421"/>
    </row>
    <row r="1535" spans="1:30" s="32" customFormat="1" x14ac:dyDescent="0.4">
      <c r="A1535" s="210">
        <v>45777</v>
      </c>
      <c r="B1535" s="151" t="s">
        <v>548</v>
      </c>
      <c r="C1535" s="30" t="str">
        <f>VLOOKUP(B1535,'112年全品項生產鍋數'!A:H,2,0)</f>
        <v>天天開心芒果餡4.5KG</v>
      </c>
      <c r="D1535" s="287">
        <v>12</v>
      </c>
      <c r="E1535" s="48">
        <f>VLOOKUP(B1535,'112年全品項生產鍋數'!A:H,3,0)</f>
        <v>4.5</v>
      </c>
      <c r="F1535" s="45">
        <f>VLOOKUP(B1535,'112年全品項生產鍋數'!A:H,7,0)</f>
        <v>33.200000000000003</v>
      </c>
      <c r="G1535" s="49">
        <f t="shared" si="192"/>
        <v>398.40000000000003</v>
      </c>
      <c r="H1535" s="156">
        <v>408</v>
      </c>
      <c r="I1535" s="23">
        <f t="shared" si="193"/>
        <v>1836</v>
      </c>
      <c r="J1535" s="100">
        <f t="shared" si="194"/>
        <v>1.0240963855421685</v>
      </c>
      <c r="K1535" s="51">
        <f>VLOOKUP(B:B,'生產達成率(目標)'!A:C,3,0)</f>
        <v>1</v>
      </c>
      <c r="L1535" s="20">
        <f t="shared" si="195"/>
        <v>2.4E-2</v>
      </c>
      <c r="M1535" s="137" t="str">
        <f>工時!R719</f>
        <v>265</v>
      </c>
      <c r="N1535" s="144"/>
      <c r="O1535" s="144">
        <f t="shared" si="196"/>
        <v>0</v>
      </c>
      <c r="P1535" s="156">
        <v>408</v>
      </c>
      <c r="Q1535" s="98">
        <f t="shared" si="197"/>
        <v>1</v>
      </c>
      <c r="R1535" s="23"/>
      <c r="S1535" s="173"/>
      <c r="T1535" s="30"/>
      <c r="W1535" s="421"/>
      <c r="Y1535" s="421"/>
      <c r="Z1535" s="421"/>
      <c r="AA1535" s="421"/>
      <c r="AB1535" s="421"/>
      <c r="AC1535" s="421"/>
      <c r="AD1535" s="421"/>
    </row>
    <row r="1536" spans="1:30" s="167" customFormat="1" x14ac:dyDescent="0.4">
      <c r="A1536" s="212">
        <v>45777</v>
      </c>
      <c r="B1536" s="151" t="s">
        <v>81</v>
      </c>
      <c r="C1536" s="140" t="str">
        <f>VLOOKUP(B1536,'112年全品項生產鍋數'!A:H,2,0)</f>
        <v>藍莓餡(1*6Kg)</v>
      </c>
      <c r="D1536" s="287">
        <v>16</v>
      </c>
      <c r="E1536" s="141">
        <f>VLOOKUP(B1536,'112年全品項生產鍋數'!A:H,3,0)</f>
        <v>6</v>
      </c>
      <c r="F1536" s="142">
        <f>VLOOKUP(B1536,'112年全品項生產鍋數'!A:H,7,0)</f>
        <v>25.1</v>
      </c>
      <c r="G1536" s="143">
        <f t="shared" si="192"/>
        <v>401.6</v>
      </c>
      <c r="H1536" s="156">
        <v>409</v>
      </c>
      <c r="I1536" s="144">
        <f t="shared" si="193"/>
        <v>2454</v>
      </c>
      <c r="J1536" s="100">
        <f t="shared" si="194"/>
        <v>1.018426294820717</v>
      </c>
      <c r="K1536" s="51">
        <f>VLOOKUP(B:B,'生產達成率(目標)'!A:C,3,0)</f>
        <v>1</v>
      </c>
      <c r="L1536" s="20">
        <f t="shared" si="195"/>
        <v>1.7999999999999999E-2</v>
      </c>
      <c r="M1536" s="137" t="str">
        <f>工時!R720</f>
        <v>242</v>
      </c>
      <c r="N1536" s="144"/>
      <c r="O1536" s="144">
        <f t="shared" si="196"/>
        <v>1</v>
      </c>
      <c r="P1536" s="156">
        <v>408</v>
      </c>
      <c r="Q1536" s="145">
        <f t="shared" si="197"/>
        <v>0.99755501222493892</v>
      </c>
      <c r="R1536" s="144"/>
      <c r="S1536" s="153"/>
      <c r="T1536" s="140"/>
      <c r="W1536" s="421"/>
      <c r="Y1536" s="421"/>
      <c r="Z1536" s="421"/>
      <c r="AA1536" s="421"/>
      <c r="AB1536" s="421"/>
      <c r="AC1536" s="421"/>
      <c r="AD1536" s="421"/>
    </row>
    <row r="1537" spans="1:30" s="32" customFormat="1" x14ac:dyDescent="0.4">
      <c r="A1537" s="210">
        <v>45777</v>
      </c>
      <c r="B1537" s="151" t="s">
        <v>77</v>
      </c>
      <c r="C1537" s="30" t="str">
        <f>VLOOKUP(B1537,'112年全品項生產鍋數'!A:H,2,0)</f>
        <v>草莓餡50°(1*6Kg)</v>
      </c>
      <c r="D1537" s="287">
        <v>8</v>
      </c>
      <c r="E1537" s="48">
        <f>VLOOKUP(B1537,'112年全品項生產鍋數'!A:H,3,0)</f>
        <v>6</v>
      </c>
      <c r="F1537" s="45">
        <f>VLOOKUP(B1537,'112年全品項生產鍋數'!A:H,7,0)</f>
        <v>25</v>
      </c>
      <c r="G1537" s="49">
        <f t="shared" si="192"/>
        <v>200</v>
      </c>
      <c r="H1537" s="156">
        <v>194</v>
      </c>
      <c r="I1537" s="23">
        <f t="shared" si="193"/>
        <v>1164</v>
      </c>
      <c r="J1537" s="100">
        <f t="shared" si="194"/>
        <v>0.97</v>
      </c>
      <c r="K1537" s="51">
        <f>VLOOKUP(B:B,'生產達成率(目標)'!A:C,3,0)</f>
        <v>1</v>
      </c>
      <c r="L1537" s="20">
        <f t="shared" si="195"/>
        <v>-0.03</v>
      </c>
      <c r="M1537" s="137" t="str">
        <f>工時!R721</f>
        <v>214</v>
      </c>
      <c r="N1537" s="144"/>
      <c r="O1537" s="144">
        <f t="shared" si="196"/>
        <v>2</v>
      </c>
      <c r="P1537" s="156">
        <v>192</v>
      </c>
      <c r="Q1537" s="98">
        <f t="shared" si="197"/>
        <v>0.98969072164948457</v>
      </c>
      <c r="R1537" s="23"/>
      <c r="S1537" s="173"/>
      <c r="T1537" s="30" t="s">
        <v>998</v>
      </c>
      <c r="W1537" s="421"/>
      <c r="Y1537" s="421"/>
      <c r="Z1537" s="421"/>
      <c r="AA1537" s="421"/>
      <c r="AB1537" s="421"/>
      <c r="AC1537" s="421"/>
      <c r="AD1537" s="421"/>
    </row>
    <row r="1538" spans="1:30" s="32" customFormat="1" x14ac:dyDescent="0.4">
      <c r="A1538" s="210">
        <v>45777</v>
      </c>
      <c r="B1538" s="151" t="s">
        <v>65</v>
      </c>
      <c r="C1538" s="30" t="str">
        <f>VLOOKUP(B1538,'112年全品項生產鍋數'!A:H,2,0)</f>
        <v>＃1花生(1*2.8kg)</v>
      </c>
      <c r="D1538" s="287">
        <v>60</v>
      </c>
      <c r="E1538" s="48">
        <f>VLOOKUP(B1538,'112年全品項生產鍋數'!A:H,3,0)</f>
        <v>2.8</v>
      </c>
      <c r="F1538" s="45">
        <f>VLOOKUP(B1538,'112年全品項生產鍋數'!A:H,7,0)</f>
        <v>44.5</v>
      </c>
      <c r="G1538" s="49">
        <f t="shared" si="192"/>
        <v>2670</v>
      </c>
      <c r="H1538" s="156">
        <v>2675</v>
      </c>
      <c r="I1538" s="23">
        <f t="shared" si="193"/>
        <v>7489.9999999999991</v>
      </c>
      <c r="J1538" s="100">
        <f t="shared" si="194"/>
        <v>1.0018726591760299</v>
      </c>
      <c r="K1538" s="51">
        <f>VLOOKUP(B:B,'生產達成率(目標)'!A:C,3,0)</f>
        <v>1</v>
      </c>
      <c r="L1538" s="20">
        <f t="shared" si="195"/>
        <v>2E-3</v>
      </c>
      <c r="M1538" s="137" t="str">
        <f>工時!R722</f>
        <v>580</v>
      </c>
      <c r="N1538" s="144"/>
      <c r="O1538" s="144">
        <f t="shared" si="196"/>
        <v>1</v>
      </c>
      <c r="P1538" s="156">
        <v>2674</v>
      </c>
      <c r="Q1538" s="98">
        <f t="shared" si="197"/>
        <v>0.99962616822429906</v>
      </c>
      <c r="R1538" s="23"/>
      <c r="S1538" s="173"/>
      <c r="T1538" s="30"/>
      <c r="W1538" s="421"/>
      <c r="Y1538" s="421"/>
      <c r="Z1538" s="421"/>
      <c r="AA1538" s="421"/>
      <c r="AB1538" s="421"/>
      <c r="AC1538" s="421"/>
      <c r="AD1538" s="421"/>
    </row>
    <row r="1539" spans="1:30" s="32" customFormat="1" x14ac:dyDescent="0.4">
      <c r="A1539" s="210">
        <v>45779</v>
      </c>
      <c r="B1539" s="151" t="s">
        <v>979</v>
      </c>
      <c r="C1539" s="30" t="str">
        <f>VLOOKUP(B1539,'112年全品項生產鍋數'!A:H,2,0)</f>
        <v>＃1藍莓(1*3.2kg)</v>
      </c>
      <c r="D1539" s="287">
        <v>72</v>
      </c>
      <c r="E1539" s="48">
        <f>VLOOKUP(B1539,'112年全品項生產鍋數'!A:H,3,0)</f>
        <v>3.2</v>
      </c>
      <c r="F1539" s="45">
        <f>VLOOKUP(B1539,'112年全品項生產鍋數'!A:H,7,0)</f>
        <v>47.5</v>
      </c>
      <c r="G1539" s="49">
        <f t="shared" ref="G1539:G1595" si="198">D1539*F1539</f>
        <v>3420</v>
      </c>
      <c r="H1539" s="156">
        <v>3426</v>
      </c>
      <c r="I1539" s="23">
        <f t="shared" si="193"/>
        <v>10963.2</v>
      </c>
      <c r="J1539" s="100">
        <f t="shared" si="194"/>
        <v>1.0017543859649123</v>
      </c>
      <c r="K1539" s="51" t="e">
        <f>VLOOKUP(B:B,'生產達成率(目標)'!A:C,3,0)</f>
        <v>#N/A</v>
      </c>
      <c r="L1539" s="20" t="e">
        <f t="shared" si="195"/>
        <v>#N/A</v>
      </c>
      <c r="M1539" s="137" t="str">
        <f>工時!R723</f>
        <v>570</v>
      </c>
      <c r="N1539" s="144"/>
      <c r="O1539" s="144">
        <f t="shared" si="196"/>
        <v>2</v>
      </c>
      <c r="P1539" s="156">
        <v>3424</v>
      </c>
      <c r="Q1539" s="98">
        <f t="shared" si="197"/>
        <v>0.9994162288382954</v>
      </c>
      <c r="R1539" s="23"/>
      <c r="S1539" s="173"/>
      <c r="T1539" s="30"/>
      <c r="W1539" s="421"/>
      <c r="Y1539" s="421"/>
      <c r="Z1539" s="421"/>
      <c r="AA1539" s="421"/>
      <c r="AB1539" s="421"/>
      <c r="AC1539" s="421"/>
      <c r="AD1539" s="421"/>
    </row>
    <row r="1540" spans="1:30" s="32" customFormat="1" x14ac:dyDescent="0.4">
      <c r="A1540" s="210">
        <v>45779</v>
      </c>
      <c r="B1540" s="151" t="s">
        <v>63</v>
      </c>
      <c r="C1540" s="30" t="str">
        <f>VLOOKUP(B1540,'112年全品項生產鍋數'!A:H,2,0)</f>
        <v>草莓蒟蒻餡(1*6kg)</v>
      </c>
      <c r="D1540" s="287">
        <v>16</v>
      </c>
      <c r="E1540" s="48">
        <f>VLOOKUP(B1540,'112年全品項生產鍋數'!A:H,3,0)</f>
        <v>6</v>
      </c>
      <c r="F1540" s="45">
        <f>VLOOKUP(B1540,'112年全品項生產鍋數'!A:H,7,0)</f>
        <v>25.7</v>
      </c>
      <c r="G1540" s="49">
        <f t="shared" si="198"/>
        <v>411.2</v>
      </c>
      <c r="H1540" s="156">
        <f>197+214</f>
        <v>411</v>
      </c>
      <c r="I1540" s="23">
        <f t="shared" si="193"/>
        <v>2466</v>
      </c>
      <c r="J1540" s="100">
        <f t="shared" si="194"/>
        <v>0.9995136186770428</v>
      </c>
      <c r="K1540" s="51">
        <f>VLOOKUP(B:B,'生產達成率(目標)'!A:C,3,0)</f>
        <v>1</v>
      </c>
      <c r="L1540" s="20">
        <f t="shared" si="195"/>
        <v>0</v>
      </c>
      <c r="M1540" s="137" t="str">
        <f>工時!R724</f>
        <v>230</v>
      </c>
      <c r="N1540" s="144"/>
      <c r="O1540" s="144">
        <f t="shared" si="196"/>
        <v>1</v>
      </c>
      <c r="P1540" s="156">
        <f>214+196</f>
        <v>410</v>
      </c>
      <c r="Q1540" s="98">
        <f t="shared" si="197"/>
        <v>0.9975669099756691</v>
      </c>
      <c r="R1540" s="23"/>
      <c r="S1540" s="173"/>
      <c r="T1540" s="30"/>
      <c r="W1540" s="421"/>
      <c r="Y1540" s="421"/>
      <c r="Z1540" s="421"/>
      <c r="AA1540" s="421"/>
      <c r="AB1540" s="421"/>
      <c r="AC1540" s="421"/>
      <c r="AD1540" s="421"/>
    </row>
    <row r="1541" spans="1:30" s="32" customFormat="1" ht="102" x14ac:dyDescent="0.4">
      <c r="A1541" s="210">
        <v>45779</v>
      </c>
      <c r="B1541" s="151" t="s">
        <v>109</v>
      </c>
      <c r="C1541" s="30" t="str">
        <f>VLOOKUP(B1541,'112年全品項生產鍋數'!A:H,2,0)</f>
        <v>蔓越莓醬(1*6KG)</v>
      </c>
      <c r="D1541" s="287">
        <v>12</v>
      </c>
      <c r="E1541" s="48">
        <f>VLOOKUP(B1541,'112年全品項生產鍋數'!A:H,3,0)</f>
        <v>6</v>
      </c>
      <c r="F1541" s="45">
        <f>VLOOKUP(B1541,'112年全品項生產鍋數'!A:H,7,0)</f>
        <v>25.6</v>
      </c>
      <c r="G1541" s="49">
        <f t="shared" si="198"/>
        <v>307.20000000000005</v>
      </c>
      <c r="H1541" s="156">
        <v>308</v>
      </c>
      <c r="I1541" s="23">
        <f t="shared" ref="I1541:I1565" si="199">H1541*E1541</f>
        <v>1848</v>
      </c>
      <c r="J1541" s="100">
        <f t="shared" ref="J1541:J1565" si="200">IF(G1541=0,"無法預估數據",H1541/G1541)</f>
        <v>1.0026041666666665</v>
      </c>
      <c r="K1541" s="51">
        <f>VLOOKUP(B:B,'生產達成率(目標)'!A:C,3,0)</f>
        <v>1</v>
      </c>
      <c r="L1541" s="20">
        <f t="shared" ref="L1541:L1565" si="201">IF(G1541=0,"無法預估數據",ROUND(J1541-K1541,3))</f>
        <v>3.0000000000000001E-3</v>
      </c>
      <c r="M1541" s="137" t="str">
        <f>工時!R725</f>
        <v>240</v>
      </c>
      <c r="N1541" s="144"/>
      <c r="O1541" s="144">
        <f t="shared" ref="O1541:O1565" si="202">H1541-N1541-P1541</f>
        <v>2</v>
      </c>
      <c r="P1541" s="156">
        <v>306</v>
      </c>
      <c r="Q1541" s="98">
        <f t="shared" ref="Q1541:Q1565" si="203">P1541/H1541</f>
        <v>0.99350649350649356</v>
      </c>
      <c r="R1541" s="219" t="s">
        <v>1027</v>
      </c>
      <c r="S1541" s="173"/>
      <c r="T1541" s="44" t="s">
        <v>1028</v>
      </c>
      <c r="W1541" s="421"/>
      <c r="Y1541" s="421"/>
      <c r="Z1541" s="421"/>
      <c r="AA1541" s="421"/>
      <c r="AB1541" s="421"/>
      <c r="AC1541" s="421"/>
      <c r="AD1541" s="421"/>
    </row>
    <row r="1542" spans="1:30" s="32" customFormat="1" x14ac:dyDescent="0.4">
      <c r="A1542" s="210">
        <v>45779</v>
      </c>
      <c r="B1542" s="151" t="s">
        <v>51</v>
      </c>
      <c r="C1542" s="30" t="str">
        <f>VLOOKUP(B1542,'112年全品項生產鍋數'!A:H,2,0)</f>
        <v>藍莓醬(1*6kg)</v>
      </c>
      <c r="D1542" s="287">
        <v>16</v>
      </c>
      <c r="E1542" s="48">
        <f>VLOOKUP(B1542,'112年全品項生產鍋數'!A:H,3,0)</f>
        <v>6</v>
      </c>
      <c r="F1542" s="45">
        <f>VLOOKUP(B1542,'112年全品項生產鍋數'!A:H,7,0)</f>
        <v>25.5</v>
      </c>
      <c r="G1542" s="49">
        <f t="shared" si="198"/>
        <v>408</v>
      </c>
      <c r="H1542" s="156">
        <v>398</v>
      </c>
      <c r="I1542" s="23">
        <f t="shared" si="199"/>
        <v>2388</v>
      </c>
      <c r="J1542" s="100">
        <f t="shared" si="200"/>
        <v>0.97549019607843135</v>
      </c>
      <c r="K1542" s="51">
        <f>VLOOKUP(B:B,'生產達成率(目標)'!A:C,3,0)</f>
        <v>1</v>
      </c>
      <c r="L1542" s="20">
        <f t="shared" si="201"/>
        <v>-2.5000000000000001E-2</v>
      </c>
      <c r="M1542" s="137" t="str">
        <f>工時!R726</f>
        <v>279</v>
      </c>
      <c r="N1542" s="144"/>
      <c r="O1542" s="144">
        <f t="shared" si="202"/>
        <v>1</v>
      </c>
      <c r="P1542" s="156">
        <v>397</v>
      </c>
      <c r="Q1542" s="98">
        <f t="shared" si="203"/>
        <v>0.99748743718592969</v>
      </c>
      <c r="R1542" s="23"/>
      <c r="S1542" s="173"/>
      <c r="T1542" s="30"/>
      <c r="W1542" s="421"/>
      <c r="Y1542" s="421"/>
      <c r="Z1542" s="421"/>
      <c r="AA1542" s="421"/>
      <c r="AB1542" s="421"/>
      <c r="AC1542" s="421"/>
      <c r="AD1542" s="421"/>
    </row>
    <row r="1543" spans="1:30" s="167" customFormat="1" x14ac:dyDescent="0.4">
      <c r="A1543" s="212">
        <v>45779</v>
      </c>
      <c r="B1543" s="151" t="s">
        <v>58</v>
      </c>
      <c r="C1543" s="140" t="str">
        <f>VLOOKUP(B1543,'112年全品項生產鍋數'!A:H,2,0)</f>
        <v>PET大花生(1*400g)</v>
      </c>
      <c r="D1543" s="287">
        <v>28</v>
      </c>
      <c r="E1543" s="141">
        <f>VLOOKUP(B1543,'112年全品項生產鍋數'!A:H,3,0)</f>
        <v>0.4</v>
      </c>
      <c r="F1543" s="142">
        <f>VLOOKUP(B1543,'112年全品項生產鍋數'!A:H,7,0)</f>
        <v>309.2</v>
      </c>
      <c r="G1543" s="143">
        <f t="shared" si="198"/>
        <v>8657.6</v>
      </c>
      <c r="H1543" s="156">
        <v>8852</v>
      </c>
      <c r="I1543" s="144">
        <f t="shared" si="199"/>
        <v>3540.8</v>
      </c>
      <c r="J1543" s="100">
        <f t="shared" si="200"/>
        <v>1.0224542598410644</v>
      </c>
      <c r="K1543" s="51">
        <f>VLOOKUP(B:B,'生產達成率(目標)'!A:C,3,0)</f>
        <v>1</v>
      </c>
      <c r="L1543" s="20">
        <f t="shared" si="201"/>
        <v>2.1999999999999999E-2</v>
      </c>
      <c r="M1543" s="137" t="str">
        <f>工時!R727</f>
        <v>400</v>
      </c>
      <c r="N1543" s="144"/>
      <c r="O1543" s="144">
        <f t="shared" si="202"/>
        <v>203</v>
      </c>
      <c r="P1543" s="156">
        <v>8649</v>
      </c>
      <c r="Q1543" s="145">
        <f t="shared" si="203"/>
        <v>0.97706732941708085</v>
      </c>
      <c r="R1543" s="144"/>
      <c r="S1543" s="153"/>
      <c r="T1543" s="140"/>
      <c r="W1543" s="421"/>
      <c r="Y1543" s="421"/>
      <c r="Z1543" s="421"/>
      <c r="AA1543" s="421"/>
      <c r="AB1543" s="421"/>
      <c r="AC1543" s="421"/>
      <c r="AD1543" s="421"/>
    </row>
    <row r="1544" spans="1:30" s="167" customFormat="1" x14ac:dyDescent="0.4">
      <c r="A1544" s="212">
        <v>45779</v>
      </c>
      <c r="B1544" s="151" t="s">
        <v>83</v>
      </c>
      <c r="C1544" s="140" t="str">
        <f>VLOOKUP(B1544,'112年全品項生產鍋數'!A:H,2,0)</f>
        <v>PET瓶花生(粒)(1*340g)</v>
      </c>
      <c r="D1544" s="287">
        <v>8</v>
      </c>
      <c r="E1544" s="141">
        <f>VLOOKUP(B1544,'112年全品項生產鍋數'!A:H,3,0)</f>
        <v>0.34</v>
      </c>
      <c r="F1544" s="142">
        <f>VLOOKUP(B1544,'112年全品項生產鍋數'!A:H,7,0)</f>
        <v>366</v>
      </c>
      <c r="G1544" s="143">
        <f t="shared" si="198"/>
        <v>2928</v>
      </c>
      <c r="H1544" s="156">
        <v>2982</v>
      </c>
      <c r="I1544" s="144">
        <f t="shared" si="199"/>
        <v>1013.8800000000001</v>
      </c>
      <c r="J1544" s="100">
        <f t="shared" si="200"/>
        <v>1.0184426229508197</v>
      </c>
      <c r="K1544" s="51">
        <f>VLOOKUP(B:B,'生產達成率(目標)'!A:C,3,0)</f>
        <v>1</v>
      </c>
      <c r="L1544" s="20">
        <f t="shared" si="201"/>
        <v>1.7999999999999999E-2</v>
      </c>
      <c r="M1544" s="137" t="str">
        <f>工時!R728</f>
        <v>250</v>
      </c>
      <c r="N1544" s="144"/>
      <c r="O1544" s="144">
        <f t="shared" si="202"/>
        <v>3</v>
      </c>
      <c r="P1544" s="156">
        <v>2979</v>
      </c>
      <c r="Q1544" s="145">
        <f t="shared" si="203"/>
        <v>0.99899396378269623</v>
      </c>
      <c r="R1544" s="144"/>
      <c r="S1544" s="153"/>
      <c r="T1544" s="140"/>
      <c r="W1544" s="421"/>
      <c r="Y1544" s="421"/>
      <c r="Z1544" s="421"/>
      <c r="AA1544" s="421"/>
      <c r="AB1544" s="421"/>
      <c r="AC1544" s="421"/>
      <c r="AD1544" s="421"/>
    </row>
    <row r="1545" spans="1:30" s="32" customFormat="1" x14ac:dyDescent="0.4">
      <c r="A1545" s="210">
        <v>45782</v>
      </c>
      <c r="B1545" s="151" t="s">
        <v>71</v>
      </c>
      <c r="C1545" s="30" t="str">
        <f>VLOOKUP(B1545,'112年全品項生產鍋數'!A:H,2,0)</f>
        <v>＃1草莓(1*3.2kg)</v>
      </c>
      <c r="D1545" s="287">
        <v>72</v>
      </c>
      <c r="E1545" s="48">
        <f>VLOOKUP(B1545,'112年全品項生產鍋數'!A:H,3,0)</f>
        <v>3.2</v>
      </c>
      <c r="F1545" s="45">
        <f>VLOOKUP(B1545,'112年全品項生產鍋數'!A:H,7,0)</f>
        <v>46.8</v>
      </c>
      <c r="G1545" s="49">
        <f t="shared" si="198"/>
        <v>3369.6</v>
      </c>
      <c r="H1545" s="156">
        <v>3332</v>
      </c>
      <c r="I1545" s="23">
        <f t="shared" si="199"/>
        <v>10662.400000000001</v>
      </c>
      <c r="J1545" s="100">
        <f t="shared" si="200"/>
        <v>0.9888414055080722</v>
      </c>
      <c r="K1545" s="51">
        <f>VLOOKUP(B:B,'生產達成率(目標)'!A:C,3,0)</f>
        <v>1</v>
      </c>
      <c r="L1545" s="20">
        <f t="shared" si="201"/>
        <v>-1.0999999999999999E-2</v>
      </c>
      <c r="M1545" s="137" t="str">
        <f>工時!R729</f>
        <v>510</v>
      </c>
      <c r="N1545" s="144"/>
      <c r="O1545" s="144">
        <f t="shared" si="202"/>
        <v>3</v>
      </c>
      <c r="P1545" s="156">
        <v>3329</v>
      </c>
      <c r="Q1545" s="98">
        <f t="shared" si="203"/>
        <v>0.99909963985594241</v>
      </c>
      <c r="R1545" s="23"/>
      <c r="S1545" s="173"/>
      <c r="T1545" s="30"/>
      <c r="W1545" s="421"/>
      <c r="Y1545" s="421"/>
      <c r="Z1545" s="421"/>
      <c r="AA1545" s="421"/>
      <c r="AB1545" s="421"/>
      <c r="AC1545" s="421"/>
      <c r="AD1545" s="421"/>
    </row>
    <row r="1546" spans="1:30" s="32" customFormat="1" x14ac:dyDescent="0.4">
      <c r="A1546" s="210">
        <v>45782</v>
      </c>
      <c r="B1546" s="151" t="s">
        <v>88</v>
      </c>
      <c r="C1546" s="30" t="str">
        <f>VLOOKUP(B1546,'112年全品項生產鍋數'!A:H,2,0)</f>
        <v>草莓餡(1*6KG)</v>
      </c>
      <c r="D1546" s="287">
        <v>36</v>
      </c>
      <c r="E1546" s="48">
        <f>VLOOKUP(B1546,'112年全品項生產鍋數'!A:H,3,0)</f>
        <v>6</v>
      </c>
      <c r="F1546" s="45">
        <f>VLOOKUP(B1546,'112年全品項生產鍋數'!A:H,7,0)</f>
        <v>25.5</v>
      </c>
      <c r="G1546" s="49">
        <f t="shared" si="198"/>
        <v>918</v>
      </c>
      <c r="H1546" s="156">
        <v>919</v>
      </c>
      <c r="I1546" s="23">
        <f t="shared" si="199"/>
        <v>5514</v>
      </c>
      <c r="J1546" s="100">
        <f t="shared" si="200"/>
        <v>1.0010893246187365</v>
      </c>
      <c r="K1546" s="51">
        <f>VLOOKUP(B:B,'生產達成率(目標)'!A:C,3,0)</f>
        <v>1</v>
      </c>
      <c r="L1546" s="20">
        <f t="shared" si="201"/>
        <v>1E-3</v>
      </c>
      <c r="M1546" s="137" t="str">
        <f>工時!R730</f>
        <v>570</v>
      </c>
      <c r="N1546" s="144"/>
      <c r="O1546" s="144">
        <f t="shared" si="202"/>
        <v>8</v>
      </c>
      <c r="P1546" s="156">
        <v>911</v>
      </c>
      <c r="Q1546" s="98">
        <f t="shared" si="203"/>
        <v>0.99129488574537539</v>
      </c>
      <c r="R1546" s="23"/>
      <c r="S1546" s="173"/>
      <c r="T1546" s="30"/>
      <c r="W1546" s="421"/>
      <c r="Y1546" s="421"/>
      <c r="Z1546" s="421"/>
      <c r="AA1546" s="421"/>
      <c r="AB1546" s="421"/>
      <c r="AC1546" s="421"/>
      <c r="AD1546" s="421"/>
    </row>
    <row r="1547" spans="1:30" s="32" customFormat="1" x14ac:dyDescent="0.4">
      <c r="A1547" s="210">
        <v>45782</v>
      </c>
      <c r="B1547" s="151" t="s">
        <v>96</v>
      </c>
      <c r="C1547" s="30" t="str">
        <f>VLOOKUP(B1547,'112年全品項生產鍋數'!A:H,2,0)</f>
        <v>PET瓶花生(1*340g)</v>
      </c>
      <c r="D1547" s="287">
        <v>20</v>
      </c>
      <c r="E1547" s="48">
        <f>VLOOKUP(B1547,'112年全品項生產鍋數'!A:H,3,0)</f>
        <v>0.34</v>
      </c>
      <c r="F1547" s="45">
        <f>VLOOKUP(B1547,'112年全品項生產鍋數'!A:H,7,0)</f>
        <v>358.3</v>
      </c>
      <c r="G1547" s="49">
        <f t="shared" si="198"/>
        <v>7166</v>
      </c>
      <c r="H1547" s="156">
        <f>4475+2402</f>
        <v>6877</v>
      </c>
      <c r="I1547" s="23">
        <f t="shared" si="199"/>
        <v>2338.1800000000003</v>
      </c>
      <c r="J1547" s="100">
        <f t="shared" si="200"/>
        <v>0.95967066703879433</v>
      </c>
      <c r="K1547" s="51">
        <f>VLOOKUP(B:B,'生產達成率(目標)'!A:C,3,0)</f>
        <v>1</v>
      </c>
      <c r="L1547" s="20">
        <f t="shared" si="201"/>
        <v>-0.04</v>
      </c>
      <c r="M1547" s="137" t="str">
        <f>工時!R731</f>
        <v>300</v>
      </c>
      <c r="N1547" s="144"/>
      <c r="O1547" s="144">
        <f t="shared" si="202"/>
        <v>5</v>
      </c>
      <c r="P1547" s="156">
        <f>4472+2400</f>
        <v>6872</v>
      </c>
      <c r="Q1547" s="98">
        <f t="shared" si="203"/>
        <v>0.99927293878144541</v>
      </c>
      <c r="R1547" s="23"/>
      <c r="S1547" s="173"/>
      <c r="T1547" s="30" t="s">
        <v>575</v>
      </c>
      <c r="W1547" s="421"/>
      <c r="Y1547" s="421"/>
      <c r="Z1547" s="421"/>
      <c r="AA1547" s="421"/>
      <c r="AB1547" s="421"/>
      <c r="AC1547" s="421"/>
      <c r="AD1547" s="421"/>
    </row>
    <row r="1548" spans="1:30" s="32" customFormat="1" x14ac:dyDescent="0.4">
      <c r="A1548" s="210">
        <v>45782</v>
      </c>
      <c r="B1548" s="151" t="s">
        <v>66</v>
      </c>
      <c r="C1548" s="30" t="str">
        <f>VLOOKUP(B1548,'112年全品項生產鍋數'!A:H,2,0)</f>
        <v>＃2花生(1*800g)</v>
      </c>
      <c r="D1548" s="287">
        <v>20</v>
      </c>
      <c r="E1548" s="48">
        <f>VLOOKUP(B1548,'112年全品項生產鍋數'!A:H,3,0)</f>
        <v>0.8</v>
      </c>
      <c r="F1548" s="45">
        <f>VLOOKUP(B1548,'112年全品項生產鍋數'!A:H,7,0)</f>
        <v>157.69999999999999</v>
      </c>
      <c r="G1548" s="49">
        <f t="shared" si="198"/>
        <v>3154</v>
      </c>
      <c r="H1548" s="156">
        <v>3142</v>
      </c>
      <c r="I1548" s="23">
        <f t="shared" si="199"/>
        <v>2513.6000000000004</v>
      </c>
      <c r="J1548" s="100">
        <f t="shared" si="200"/>
        <v>0.99619530754597341</v>
      </c>
      <c r="K1548" s="51">
        <f>VLOOKUP(B:B,'生產達成率(目標)'!A:C,3,0)</f>
        <v>1</v>
      </c>
      <c r="L1548" s="20">
        <f t="shared" si="201"/>
        <v>-4.0000000000000001E-3</v>
      </c>
      <c r="M1548" s="137" t="str">
        <f>工時!R732</f>
        <v>340</v>
      </c>
      <c r="N1548" s="144"/>
      <c r="O1548" s="144">
        <f t="shared" si="202"/>
        <v>2</v>
      </c>
      <c r="P1548" s="156">
        <v>3140</v>
      </c>
      <c r="Q1548" s="98">
        <f t="shared" si="203"/>
        <v>0.9993634627625716</v>
      </c>
      <c r="R1548" s="23"/>
      <c r="S1548" s="173"/>
      <c r="T1548" s="30"/>
      <c r="W1548" s="421"/>
      <c r="Y1548" s="421"/>
      <c r="Z1548" s="421"/>
      <c r="AA1548" s="421"/>
      <c r="AB1548" s="421"/>
      <c r="AC1548" s="421"/>
      <c r="AD1548" s="421"/>
    </row>
    <row r="1549" spans="1:30" s="167" customFormat="1" x14ac:dyDescent="0.4">
      <c r="A1549" s="212">
        <v>45782</v>
      </c>
      <c r="B1549" s="151">
        <v>153010</v>
      </c>
      <c r="C1549" s="140" t="str">
        <f>VLOOKUP(B1549,'112年全品項生產鍋數'!A:H,2,0)</f>
        <v>蜜桔皮6m/m</v>
      </c>
      <c r="D1549" s="287">
        <v>1</v>
      </c>
      <c r="E1549" s="141">
        <f>VLOOKUP(B1549,'112年全品項生產鍋數'!A:H,3,0)</f>
        <v>1</v>
      </c>
      <c r="F1549" s="142">
        <f>VLOOKUP(B1549,'112年全品項生產鍋數'!A:H,7,0)</f>
        <v>591</v>
      </c>
      <c r="G1549" s="143">
        <f t="shared" si="198"/>
        <v>591</v>
      </c>
      <c r="H1549" s="156">
        <v>592</v>
      </c>
      <c r="I1549" s="144">
        <f t="shared" si="199"/>
        <v>592</v>
      </c>
      <c r="J1549" s="100">
        <f t="shared" si="200"/>
        <v>1.0016920473773265</v>
      </c>
      <c r="K1549" s="51">
        <f>VLOOKUP(B:B,'生產達成率(目標)'!A:C,3,0)</f>
        <v>1</v>
      </c>
      <c r="L1549" s="20">
        <f t="shared" si="201"/>
        <v>2E-3</v>
      </c>
      <c r="M1549" s="137" t="str">
        <f>工時!R733</f>
        <v>0</v>
      </c>
      <c r="N1549" s="144"/>
      <c r="O1549" s="144">
        <f t="shared" si="202"/>
        <v>0</v>
      </c>
      <c r="P1549" s="156">
        <v>592</v>
      </c>
      <c r="Q1549" s="145">
        <f t="shared" si="203"/>
        <v>1</v>
      </c>
      <c r="R1549" s="144"/>
      <c r="S1549" s="153"/>
      <c r="T1549" s="140"/>
      <c r="W1549" s="421"/>
      <c r="Y1549" s="421"/>
      <c r="Z1549" s="421"/>
      <c r="AA1549" s="421"/>
      <c r="AB1549" s="421"/>
      <c r="AC1549" s="421"/>
      <c r="AD1549" s="421"/>
    </row>
    <row r="1550" spans="1:30" s="32" customFormat="1" x14ac:dyDescent="0.4">
      <c r="A1550" s="210">
        <v>45783</v>
      </c>
      <c r="B1550" s="151" t="s">
        <v>357</v>
      </c>
      <c r="C1550" s="30" t="str">
        <f>VLOOKUP(B1550,'112年全品項生產鍋數'!A:H,2,0)</f>
        <v>草莓醬(1*6Kg)</v>
      </c>
      <c r="D1550" s="287">
        <v>8</v>
      </c>
      <c r="E1550" s="48">
        <f>VLOOKUP(B1550,'112年全品項生產鍋數'!A:H,3,0)</f>
        <v>6</v>
      </c>
      <c r="F1550" s="45">
        <f>VLOOKUP(B1550,'112年全品項生產鍋數'!A:H,7,0)</f>
        <v>25.5</v>
      </c>
      <c r="G1550" s="49">
        <f t="shared" si="198"/>
        <v>204</v>
      </c>
      <c r="H1550" s="156">
        <v>200</v>
      </c>
      <c r="I1550" s="23">
        <f t="shared" si="199"/>
        <v>1200</v>
      </c>
      <c r="J1550" s="100">
        <f t="shared" si="200"/>
        <v>0.98039215686274506</v>
      </c>
      <c r="K1550" s="51">
        <f>VLOOKUP(B:B,'生產達成率(目標)'!A:C,3,0)</f>
        <v>1</v>
      </c>
      <c r="L1550" s="20">
        <f t="shared" si="201"/>
        <v>-0.02</v>
      </c>
      <c r="M1550" s="137" t="str">
        <f>工時!R734</f>
        <v>180</v>
      </c>
      <c r="N1550" s="144"/>
      <c r="O1550" s="144">
        <f t="shared" si="202"/>
        <v>2</v>
      </c>
      <c r="P1550" s="156">
        <v>198</v>
      </c>
      <c r="Q1550" s="98">
        <f t="shared" si="203"/>
        <v>0.99</v>
      </c>
      <c r="R1550" s="23"/>
      <c r="S1550" s="173"/>
      <c r="T1550" s="30"/>
      <c r="W1550" s="421"/>
      <c r="Y1550" s="421"/>
      <c r="Z1550" s="421"/>
      <c r="AA1550" s="421"/>
      <c r="AB1550" s="421"/>
      <c r="AC1550" s="421"/>
      <c r="AD1550" s="421"/>
    </row>
    <row r="1551" spans="1:30" s="32" customFormat="1" x14ac:dyDescent="0.4">
      <c r="A1551" s="210">
        <v>45783</v>
      </c>
      <c r="B1551" s="151" t="s">
        <v>64</v>
      </c>
      <c r="C1551" s="30" t="str">
        <f>VLOOKUP(B1551,'112年全品項生產鍋數'!A:H,2,0)</f>
        <v>藍莓餡(1*6KG)</v>
      </c>
      <c r="D1551" s="287">
        <v>8</v>
      </c>
      <c r="E1551" s="48">
        <f>VLOOKUP(B1551,'112年全品項生產鍋數'!A:H,3,0)</f>
        <v>6</v>
      </c>
      <c r="F1551" s="45">
        <f>VLOOKUP(B1551,'112年全品項生產鍋數'!A:H,7,0)</f>
        <v>25.4</v>
      </c>
      <c r="G1551" s="49">
        <f t="shared" si="198"/>
        <v>203.2</v>
      </c>
      <c r="H1551" s="156">
        <v>200</v>
      </c>
      <c r="I1551" s="23">
        <f t="shared" si="199"/>
        <v>1200</v>
      </c>
      <c r="J1551" s="100">
        <f t="shared" si="200"/>
        <v>0.98425196850393704</v>
      </c>
      <c r="K1551" s="51">
        <f>VLOOKUP(B:B,'生產達成率(目標)'!A:C,3,0)</f>
        <v>1</v>
      </c>
      <c r="L1551" s="20">
        <f t="shared" si="201"/>
        <v>-1.6E-2</v>
      </c>
      <c r="M1551" s="137" t="str">
        <f>工時!R735</f>
        <v>193</v>
      </c>
      <c r="N1551" s="144"/>
      <c r="O1551" s="144">
        <f t="shared" si="202"/>
        <v>1</v>
      </c>
      <c r="P1551" s="156">
        <v>199</v>
      </c>
      <c r="Q1551" s="98">
        <f t="shared" si="203"/>
        <v>0.995</v>
      </c>
      <c r="R1551" s="23"/>
      <c r="S1551" s="173"/>
      <c r="T1551" s="30"/>
      <c r="W1551" s="421"/>
      <c r="Y1551" s="421"/>
      <c r="Z1551" s="421"/>
      <c r="AA1551" s="421"/>
      <c r="AB1551" s="421"/>
      <c r="AC1551" s="421"/>
      <c r="AD1551" s="421"/>
    </row>
    <row r="1552" spans="1:30" s="32" customFormat="1" x14ac:dyDescent="0.4">
      <c r="A1552" s="210">
        <v>45783</v>
      </c>
      <c r="B1552" s="151" t="s">
        <v>81</v>
      </c>
      <c r="C1552" s="30" t="str">
        <f>VLOOKUP(B1552,'112年全品項生產鍋數'!A:H,2,0)</f>
        <v>藍莓餡(1*6Kg)</v>
      </c>
      <c r="D1552" s="287">
        <v>12</v>
      </c>
      <c r="E1552" s="48">
        <f>VLOOKUP(B1552,'112年全品項生產鍋數'!A:H,3,0)</f>
        <v>6</v>
      </c>
      <c r="F1552" s="45">
        <f>VLOOKUP(B1552,'112年全品項生產鍋數'!A:H,7,0)</f>
        <v>25.1</v>
      </c>
      <c r="G1552" s="49">
        <f t="shared" si="198"/>
        <v>301.20000000000005</v>
      </c>
      <c r="H1552" s="156">
        <v>302</v>
      </c>
      <c r="I1552" s="23">
        <f t="shared" si="199"/>
        <v>1812</v>
      </c>
      <c r="J1552" s="100">
        <f t="shared" si="200"/>
        <v>1.0026560424966797</v>
      </c>
      <c r="K1552" s="51">
        <f>VLOOKUP(B:B,'生產達成率(目標)'!A:C,3,0)</f>
        <v>1</v>
      </c>
      <c r="L1552" s="20">
        <f t="shared" si="201"/>
        <v>3.0000000000000001E-3</v>
      </c>
      <c r="M1552" s="137" t="str">
        <f>工時!R736</f>
        <v>150</v>
      </c>
      <c r="N1552" s="144"/>
      <c r="O1552" s="144">
        <f t="shared" si="202"/>
        <v>1</v>
      </c>
      <c r="P1552" s="156">
        <v>301</v>
      </c>
      <c r="Q1552" s="98">
        <f t="shared" si="203"/>
        <v>0.99668874172185429</v>
      </c>
      <c r="R1552" s="23"/>
      <c r="S1552" s="173"/>
      <c r="T1552" s="30"/>
      <c r="W1552" s="421"/>
      <c r="Y1552" s="421"/>
      <c r="Z1552" s="421"/>
      <c r="AA1552" s="421"/>
      <c r="AB1552" s="421"/>
      <c r="AC1552" s="421"/>
      <c r="AD1552" s="421"/>
    </row>
    <row r="1553" spans="1:30" s="32" customFormat="1" x14ac:dyDescent="0.4">
      <c r="A1553" s="210">
        <v>45783</v>
      </c>
      <c r="B1553" s="151" t="s">
        <v>571</v>
      </c>
      <c r="C1553" s="30" t="str">
        <f>VLOOKUP(B1553,'112年全品項生產鍋數'!A:H,2,0)</f>
        <v>綜合莓果餡(1*6Kg)</v>
      </c>
      <c r="D1553" s="287">
        <v>4</v>
      </c>
      <c r="E1553" s="48">
        <f>VLOOKUP(B1553,'112年全品項生產鍋數'!A:H,3,0)</f>
        <v>6</v>
      </c>
      <c r="F1553" s="45">
        <f>VLOOKUP(B1553,'112年全品項生產鍋數'!A:H,7,0)</f>
        <v>26</v>
      </c>
      <c r="G1553" s="49">
        <f t="shared" si="198"/>
        <v>104</v>
      </c>
      <c r="H1553" s="156">
        <v>100</v>
      </c>
      <c r="I1553" s="23">
        <f t="shared" si="199"/>
        <v>600</v>
      </c>
      <c r="J1553" s="100">
        <f t="shared" si="200"/>
        <v>0.96153846153846156</v>
      </c>
      <c r="K1553" s="51">
        <f>VLOOKUP(B:B,'生產達成率(目標)'!A:C,3,0)</f>
        <v>1</v>
      </c>
      <c r="L1553" s="20">
        <f t="shared" si="201"/>
        <v>-3.7999999999999999E-2</v>
      </c>
      <c r="M1553" s="137" t="str">
        <f>工時!R737</f>
        <v>115</v>
      </c>
      <c r="N1553" s="144"/>
      <c r="O1553" s="144">
        <f t="shared" si="202"/>
        <v>1</v>
      </c>
      <c r="P1553" s="156">
        <v>99</v>
      </c>
      <c r="Q1553" s="98">
        <f t="shared" si="203"/>
        <v>0.99</v>
      </c>
      <c r="R1553" s="23"/>
      <c r="S1553" s="173"/>
      <c r="T1553" s="30"/>
      <c r="W1553" s="421"/>
      <c r="Y1553" s="421"/>
      <c r="Z1553" s="421"/>
      <c r="AA1553" s="421"/>
      <c r="AB1553" s="421"/>
      <c r="AC1553" s="421"/>
      <c r="AD1553" s="421"/>
    </row>
    <row r="1554" spans="1:30" s="167" customFormat="1" x14ac:dyDescent="0.4">
      <c r="A1554" s="212">
        <v>45783</v>
      </c>
      <c r="B1554" s="151" t="s">
        <v>108</v>
      </c>
      <c r="C1554" s="140" t="str">
        <f>VLOOKUP(B1554,'112年全品項生產鍋數'!A:H,2,0)</f>
        <v>顆粒花生醬(1*12KG)</v>
      </c>
      <c r="D1554" s="287">
        <v>21</v>
      </c>
      <c r="E1554" s="141">
        <f>VLOOKUP(B1554,'112年全品項生產鍋數'!A:H,3,0)</f>
        <v>3</v>
      </c>
      <c r="F1554" s="142">
        <f>VLOOKUP(B1554,'112年全品項生產鍋數'!A:H,7,0)</f>
        <v>31.6</v>
      </c>
      <c r="G1554" s="143">
        <f t="shared" si="198"/>
        <v>663.6</v>
      </c>
      <c r="H1554" s="156">
        <v>668</v>
      </c>
      <c r="I1554" s="144">
        <f t="shared" si="199"/>
        <v>2004</v>
      </c>
      <c r="J1554" s="100">
        <f t="shared" si="200"/>
        <v>1.0066305003013862</v>
      </c>
      <c r="K1554" s="51">
        <f>VLOOKUP(B:B,'生產達成率(目標)'!A:C,3,0)</f>
        <v>1</v>
      </c>
      <c r="L1554" s="20">
        <f t="shared" si="201"/>
        <v>7.0000000000000001E-3</v>
      </c>
      <c r="M1554" s="137" t="str">
        <f>工時!R738</f>
        <v>540</v>
      </c>
      <c r="N1554" s="144"/>
      <c r="O1554" s="144">
        <f t="shared" si="202"/>
        <v>0</v>
      </c>
      <c r="P1554" s="156">
        <v>668</v>
      </c>
      <c r="Q1554" s="145">
        <f t="shared" si="203"/>
        <v>1</v>
      </c>
      <c r="R1554" s="144"/>
      <c r="S1554" s="153"/>
      <c r="T1554" s="140"/>
      <c r="W1554" s="421"/>
      <c r="Y1554" s="421"/>
      <c r="Z1554" s="421"/>
      <c r="AA1554" s="421"/>
      <c r="AB1554" s="421"/>
      <c r="AC1554" s="421"/>
      <c r="AD1554" s="421"/>
    </row>
    <row r="1555" spans="1:30" s="32" customFormat="1" x14ac:dyDescent="0.4">
      <c r="A1555" s="210">
        <v>45783</v>
      </c>
      <c r="B1555" s="151" t="s">
        <v>65</v>
      </c>
      <c r="C1555" s="30" t="str">
        <f>VLOOKUP(B1555,'112年全品項生產鍋數'!A:H,2,0)</f>
        <v>＃1花生(1*2.8kg)</v>
      </c>
      <c r="D1555" s="287">
        <v>60</v>
      </c>
      <c r="E1555" s="48">
        <f>VLOOKUP(B1555,'112年全品項生產鍋數'!A:H,3,0)</f>
        <v>2.8</v>
      </c>
      <c r="F1555" s="45">
        <f>VLOOKUP(B1555,'112年全品項生產鍋數'!A:H,7,0)</f>
        <v>44.5</v>
      </c>
      <c r="G1555" s="49">
        <f t="shared" si="198"/>
        <v>2670</v>
      </c>
      <c r="H1555" s="156">
        <v>2681</v>
      </c>
      <c r="I1555" s="23">
        <f t="shared" si="199"/>
        <v>7506.7999999999993</v>
      </c>
      <c r="J1555" s="100">
        <f t="shared" si="200"/>
        <v>1.0041198501872659</v>
      </c>
      <c r="K1555" s="51">
        <f>VLOOKUP(B:B,'生產達成率(目標)'!A:C,3,0)</f>
        <v>1</v>
      </c>
      <c r="L1555" s="20">
        <f t="shared" si="201"/>
        <v>4.0000000000000001E-3</v>
      </c>
      <c r="M1555" s="137" t="str">
        <f>工時!R739</f>
        <v>600</v>
      </c>
      <c r="N1555" s="144"/>
      <c r="O1555" s="144">
        <f t="shared" si="202"/>
        <v>1</v>
      </c>
      <c r="P1555" s="156">
        <v>2680</v>
      </c>
      <c r="Q1555" s="98">
        <f t="shared" si="203"/>
        <v>0.99962700484893696</v>
      </c>
      <c r="R1555" s="23" t="s">
        <v>1025</v>
      </c>
      <c r="S1555" s="173"/>
      <c r="T1555" s="30" t="s">
        <v>1026</v>
      </c>
      <c r="W1555" s="421"/>
      <c r="Y1555" s="421"/>
      <c r="Z1555" s="421"/>
      <c r="AA1555" s="421"/>
      <c r="AB1555" s="421"/>
      <c r="AC1555" s="421"/>
      <c r="AD1555" s="421"/>
    </row>
    <row r="1556" spans="1:30" s="167" customFormat="1" ht="119" x14ac:dyDescent="0.4">
      <c r="A1556" s="212">
        <v>45784</v>
      </c>
      <c r="B1556" s="151" t="s">
        <v>158</v>
      </c>
      <c r="C1556" s="140" t="str">
        <f>VLOOKUP(B1556,'112年全品項生產鍋數'!A:H,2,0)</f>
        <v>小圓草莓(1*170g)</v>
      </c>
      <c r="D1556" s="287">
        <v>8</v>
      </c>
      <c r="E1556" s="141">
        <f>VLOOKUP(B1556,'112年全品項生產鍋數'!A:H,3,0)</f>
        <v>0.17</v>
      </c>
      <c r="F1556" s="142">
        <f>VLOOKUP(B1556,'112年全品項生產鍋數'!A:H,7,0)</f>
        <v>912.6</v>
      </c>
      <c r="G1556" s="143">
        <f t="shared" si="198"/>
        <v>7300.8</v>
      </c>
      <c r="H1556" s="156">
        <v>6900</v>
      </c>
      <c r="I1556" s="144">
        <f t="shared" si="199"/>
        <v>1173</v>
      </c>
      <c r="J1556" s="100">
        <f t="shared" si="200"/>
        <v>0.94510190664036819</v>
      </c>
      <c r="K1556" s="51">
        <f>VLOOKUP(B:B,'生產達成率(目標)'!A:C,3,0)</f>
        <v>1</v>
      </c>
      <c r="L1556" s="20">
        <f t="shared" si="201"/>
        <v>-5.5E-2</v>
      </c>
      <c r="M1556" s="137" t="str">
        <f>工時!R740</f>
        <v>360</v>
      </c>
      <c r="N1556" s="144"/>
      <c r="O1556" s="144">
        <f t="shared" si="202"/>
        <v>439</v>
      </c>
      <c r="P1556" s="156">
        <v>6461</v>
      </c>
      <c r="Q1556" s="145">
        <f t="shared" si="203"/>
        <v>0.93637681159420294</v>
      </c>
      <c r="R1556" s="218" t="s">
        <v>1019</v>
      </c>
      <c r="S1556" s="153"/>
      <c r="T1556" s="171" t="s">
        <v>1020</v>
      </c>
      <c r="W1556" s="421"/>
      <c r="Y1556" s="421"/>
      <c r="Z1556" s="421"/>
      <c r="AA1556" s="421"/>
      <c r="AB1556" s="421"/>
      <c r="AC1556" s="421"/>
      <c r="AD1556" s="421"/>
    </row>
    <row r="1557" spans="1:30" s="167" customFormat="1" x14ac:dyDescent="0.4">
      <c r="A1557" s="212">
        <v>45784</v>
      </c>
      <c r="B1557" s="151" t="s">
        <v>61</v>
      </c>
      <c r="C1557" s="140" t="str">
        <f>VLOOKUP(B1557,'112年全品項生產鍋數'!A:H,2,0)</f>
        <v>大圓草莓-新</v>
      </c>
      <c r="D1557" s="287">
        <v>24</v>
      </c>
      <c r="E1557" s="141">
        <f>VLOOKUP(B1557,'112年全品項生產鍋數'!A:H,3,0)</f>
        <v>0.44</v>
      </c>
      <c r="F1557" s="142">
        <f>VLOOKUP(B1557,'112年全品項生產鍋數'!A:H,7,0)</f>
        <v>344</v>
      </c>
      <c r="G1557" s="143">
        <f t="shared" si="198"/>
        <v>8256</v>
      </c>
      <c r="H1557" s="156">
        <v>8064</v>
      </c>
      <c r="I1557" s="144">
        <f t="shared" si="199"/>
        <v>3548.16</v>
      </c>
      <c r="J1557" s="100">
        <f t="shared" si="200"/>
        <v>0.97674418604651159</v>
      </c>
      <c r="K1557" s="51">
        <f>VLOOKUP(B:B,'生產達成率(目標)'!A:C,3,0)</f>
        <v>1</v>
      </c>
      <c r="L1557" s="20">
        <f t="shared" si="201"/>
        <v>-2.3E-2</v>
      </c>
      <c r="M1557" s="137" t="str">
        <f>工時!R741</f>
        <v>350</v>
      </c>
      <c r="N1557" s="144"/>
      <c r="O1557" s="144">
        <f t="shared" si="202"/>
        <v>12</v>
      </c>
      <c r="P1557" s="156">
        <v>8052</v>
      </c>
      <c r="Q1557" s="145">
        <f t="shared" si="203"/>
        <v>0.99851190476190477</v>
      </c>
      <c r="R1557" s="144"/>
      <c r="S1557" s="153"/>
      <c r="T1557" s="140"/>
      <c r="W1557" s="421"/>
      <c r="Y1557" s="421"/>
      <c r="Z1557" s="421"/>
      <c r="AA1557" s="421"/>
      <c r="AB1557" s="421"/>
      <c r="AC1557" s="421"/>
      <c r="AD1557" s="421"/>
    </row>
    <row r="1558" spans="1:30" s="32" customFormat="1" x14ac:dyDescent="0.4">
      <c r="A1558" s="210">
        <v>45784</v>
      </c>
      <c r="B1558" s="151" t="s">
        <v>63</v>
      </c>
      <c r="C1558" s="30" t="str">
        <f>VLOOKUP(B1558,'112年全品項生產鍋數'!A:H,2,0)</f>
        <v>草莓蒟蒻餡(1*6kg)</v>
      </c>
      <c r="D1558" s="287">
        <v>24</v>
      </c>
      <c r="E1558" s="48">
        <f>VLOOKUP(B1558,'112年全品項生產鍋數'!A:H,3,0)</f>
        <v>6</v>
      </c>
      <c r="F1558" s="45">
        <f>VLOOKUP(B1558,'112年全品項生產鍋數'!A:H,7,0)</f>
        <v>25.7</v>
      </c>
      <c r="G1558" s="49">
        <f t="shared" si="198"/>
        <v>616.79999999999995</v>
      </c>
      <c r="H1558" s="156">
        <f>300+328</f>
        <v>628</v>
      </c>
      <c r="I1558" s="23">
        <f t="shared" si="199"/>
        <v>3768</v>
      </c>
      <c r="J1558" s="100">
        <f t="shared" si="200"/>
        <v>1.0181582360570689</v>
      </c>
      <c r="K1558" s="51">
        <f>VLOOKUP(B:B,'生產達成率(目標)'!A:C,3,0)</f>
        <v>1</v>
      </c>
      <c r="L1558" s="20">
        <f t="shared" si="201"/>
        <v>1.7999999999999999E-2</v>
      </c>
      <c r="M1558" s="137" t="str">
        <f>工時!R742</f>
        <v>327</v>
      </c>
      <c r="N1558" s="144"/>
      <c r="O1558" s="144">
        <f t="shared" si="202"/>
        <v>2</v>
      </c>
      <c r="P1558" s="156">
        <f>298+328</f>
        <v>626</v>
      </c>
      <c r="Q1558" s="98">
        <f t="shared" si="203"/>
        <v>0.99681528662420382</v>
      </c>
      <c r="R1558" s="23"/>
      <c r="S1558" s="173"/>
      <c r="T1558" s="30"/>
      <c r="W1558" s="421"/>
      <c r="Y1558" s="421"/>
      <c r="Z1558" s="421"/>
      <c r="AA1558" s="421"/>
      <c r="AB1558" s="421"/>
      <c r="AC1558" s="421"/>
      <c r="AD1558" s="421"/>
    </row>
    <row r="1559" spans="1:30" s="32" customFormat="1" x14ac:dyDescent="0.4">
      <c r="A1559" s="210">
        <v>45784</v>
      </c>
      <c r="B1559" s="151" t="s">
        <v>64</v>
      </c>
      <c r="C1559" s="30" t="str">
        <f>VLOOKUP(B1559,'112年全品項生產鍋數'!A:H,2,0)</f>
        <v>藍莓餡(1*6KG)</v>
      </c>
      <c r="D1559" s="287">
        <v>12</v>
      </c>
      <c r="E1559" s="48">
        <f>VLOOKUP(B1559,'112年全品項生產鍋數'!A:H,3,0)</f>
        <v>6</v>
      </c>
      <c r="F1559" s="45">
        <f>VLOOKUP(B1559,'112年全品項生產鍋數'!A:H,7,0)</f>
        <v>25.4</v>
      </c>
      <c r="G1559" s="49">
        <f t="shared" si="198"/>
        <v>304.79999999999995</v>
      </c>
      <c r="H1559" s="156">
        <v>304</v>
      </c>
      <c r="I1559" s="23">
        <f t="shared" si="199"/>
        <v>1824</v>
      </c>
      <c r="J1559" s="100">
        <f t="shared" si="200"/>
        <v>0.99737532808398965</v>
      </c>
      <c r="K1559" s="51">
        <f>VLOOKUP(B:B,'生產達成率(目標)'!A:C,3,0)</f>
        <v>1</v>
      </c>
      <c r="L1559" s="20">
        <f t="shared" si="201"/>
        <v>-3.0000000000000001E-3</v>
      </c>
      <c r="M1559" s="137" t="str">
        <f>工時!R743</f>
        <v>220</v>
      </c>
      <c r="N1559" s="144"/>
      <c r="O1559" s="144">
        <f t="shared" si="202"/>
        <v>1</v>
      </c>
      <c r="P1559" s="156">
        <v>303</v>
      </c>
      <c r="Q1559" s="98">
        <f t="shared" si="203"/>
        <v>0.99671052631578949</v>
      </c>
      <c r="R1559" s="23"/>
      <c r="S1559" s="173"/>
      <c r="T1559" s="30"/>
      <c r="W1559" s="421"/>
      <c r="Y1559" s="421"/>
      <c r="Z1559" s="421"/>
      <c r="AA1559" s="421"/>
      <c r="AB1559" s="421"/>
      <c r="AC1559" s="421"/>
      <c r="AD1559" s="421"/>
    </row>
    <row r="1560" spans="1:30" s="167" customFormat="1" x14ac:dyDescent="0.4">
      <c r="A1560" s="212">
        <v>45784</v>
      </c>
      <c r="B1560" s="151" t="s">
        <v>110</v>
      </c>
      <c r="C1560" s="140" t="str">
        <f>VLOOKUP(B1560,'112年全品項生產鍋數'!A:H,2,0)</f>
        <v>顆粒花生醬(1*12KG)</v>
      </c>
      <c r="D1560" s="287">
        <v>18</v>
      </c>
      <c r="E1560" s="141">
        <f>VLOOKUP(B1560,'112年全品項生產鍋數'!A:H,3,0)</f>
        <v>3</v>
      </c>
      <c r="F1560" s="142">
        <f>VLOOKUP(B1560,'112年全品項生產鍋數'!A:H,7,0)</f>
        <v>30.8</v>
      </c>
      <c r="G1560" s="143">
        <f t="shared" si="198"/>
        <v>554.4</v>
      </c>
      <c r="H1560" s="156">
        <v>560</v>
      </c>
      <c r="I1560" s="144">
        <f t="shared" si="199"/>
        <v>1680</v>
      </c>
      <c r="J1560" s="100">
        <f t="shared" si="200"/>
        <v>1.0101010101010102</v>
      </c>
      <c r="K1560" s="51">
        <f>VLOOKUP(B:B,'生產達成率(目標)'!A:C,3,0)</f>
        <v>1</v>
      </c>
      <c r="L1560" s="20">
        <f t="shared" si="201"/>
        <v>0.01</v>
      </c>
      <c r="M1560" s="137" t="str">
        <f>工時!R744</f>
        <v>600</v>
      </c>
      <c r="N1560" s="144"/>
      <c r="O1560" s="144">
        <f t="shared" si="202"/>
        <v>0</v>
      </c>
      <c r="P1560" s="156">
        <v>560</v>
      </c>
      <c r="Q1560" s="145">
        <f t="shared" si="203"/>
        <v>1</v>
      </c>
      <c r="R1560" s="144" t="s">
        <v>1023</v>
      </c>
      <c r="S1560" s="153"/>
      <c r="T1560" s="140" t="s">
        <v>1024</v>
      </c>
      <c r="W1560" s="421"/>
      <c r="Y1560" s="421"/>
      <c r="Z1560" s="421"/>
      <c r="AA1560" s="421"/>
      <c r="AB1560" s="421"/>
      <c r="AC1560" s="421"/>
      <c r="AD1560" s="421"/>
    </row>
    <row r="1561" spans="1:30" s="167" customFormat="1" x14ac:dyDescent="0.4">
      <c r="A1561" s="212">
        <v>45785</v>
      </c>
      <c r="B1561" s="151" t="s">
        <v>71</v>
      </c>
      <c r="C1561" s="140" t="str">
        <f>VLOOKUP(B1561,'112年全品項生產鍋數'!A:H,2,0)</f>
        <v>＃1草莓(1*3.2kg)</v>
      </c>
      <c r="D1561" s="287">
        <v>36</v>
      </c>
      <c r="E1561" s="141">
        <f>VLOOKUP(B1561,'112年全品項生產鍋數'!A:H,3,0)</f>
        <v>3.2</v>
      </c>
      <c r="F1561" s="142">
        <f>VLOOKUP(B1561,'112年全品項生產鍋數'!A:H,7,0)</f>
        <v>46.8</v>
      </c>
      <c r="G1561" s="143">
        <f t="shared" si="198"/>
        <v>1684.8</v>
      </c>
      <c r="H1561" s="156">
        <v>1651</v>
      </c>
      <c r="I1561" s="144">
        <f t="shared" si="199"/>
        <v>5283.2000000000007</v>
      </c>
      <c r="J1561" s="100">
        <f t="shared" si="200"/>
        <v>0.97993827160493829</v>
      </c>
      <c r="K1561" s="51">
        <f>VLOOKUP(B:B,'生產達成率(目標)'!A:C,3,0)</f>
        <v>1</v>
      </c>
      <c r="L1561" s="20">
        <f t="shared" si="201"/>
        <v>-0.02</v>
      </c>
      <c r="M1561" s="137" t="str">
        <f>工時!R745</f>
        <v>300</v>
      </c>
      <c r="N1561" s="144"/>
      <c r="O1561" s="144">
        <f t="shared" si="202"/>
        <v>1</v>
      </c>
      <c r="P1561" s="156">
        <v>1650</v>
      </c>
      <c r="Q1561" s="145">
        <f t="shared" si="203"/>
        <v>0.99939430648092065</v>
      </c>
      <c r="R1561" s="144"/>
      <c r="S1561" s="153"/>
      <c r="T1561" s="140"/>
      <c r="W1561" s="421"/>
      <c r="Y1561" s="421"/>
      <c r="Z1561" s="421"/>
      <c r="AA1561" s="421"/>
      <c r="AB1561" s="421"/>
      <c r="AC1561" s="421"/>
      <c r="AD1561" s="421"/>
    </row>
    <row r="1562" spans="1:30" s="167" customFormat="1" x14ac:dyDescent="0.4">
      <c r="A1562" s="212">
        <v>45785</v>
      </c>
      <c r="B1562" s="151" t="s">
        <v>68</v>
      </c>
      <c r="C1562" s="140" t="str">
        <f>VLOOKUP(B1562,'112年全品項生產鍋數'!A:H,2,0)</f>
        <v>#2草莓果醬(1*900g)</v>
      </c>
      <c r="D1562" s="287">
        <v>20</v>
      </c>
      <c r="E1562" s="141">
        <f>VLOOKUP(B1562,'112年全品項生產鍋數'!A:H,3,0)</f>
        <v>0.9</v>
      </c>
      <c r="F1562" s="142">
        <f>VLOOKUP(B1562,'112年全品項生產鍋數'!A:H,7,0)</f>
        <v>160.5</v>
      </c>
      <c r="G1562" s="143">
        <f t="shared" si="198"/>
        <v>3210</v>
      </c>
      <c r="H1562" s="156">
        <f>2021+1200</f>
        <v>3221</v>
      </c>
      <c r="I1562" s="144">
        <f t="shared" si="199"/>
        <v>2898.9</v>
      </c>
      <c r="J1562" s="100">
        <f t="shared" si="200"/>
        <v>1.0034267912772585</v>
      </c>
      <c r="K1562" s="51">
        <f>VLOOKUP(B:B,'生產達成率(目標)'!A:C,3,0)</f>
        <v>1</v>
      </c>
      <c r="L1562" s="20">
        <f t="shared" si="201"/>
        <v>3.0000000000000001E-3</v>
      </c>
      <c r="M1562" s="137" t="str">
        <f>工時!R746</f>
        <v>270</v>
      </c>
      <c r="N1562" s="144"/>
      <c r="O1562" s="144">
        <f t="shared" si="202"/>
        <v>2</v>
      </c>
      <c r="P1562" s="156">
        <f>2019+1200</f>
        <v>3219</v>
      </c>
      <c r="Q1562" s="145">
        <f t="shared" si="203"/>
        <v>0.99937907482148403</v>
      </c>
      <c r="R1562" s="144"/>
      <c r="S1562" s="153"/>
      <c r="T1562" s="140" t="s">
        <v>1000</v>
      </c>
      <c r="W1562" s="421"/>
      <c r="Y1562" s="421"/>
      <c r="Z1562" s="421"/>
      <c r="AA1562" s="421"/>
      <c r="AB1562" s="421"/>
      <c r="AC1562" s="421"/>
      <c r="AD1562" s="421"/>
    </row>
    <row r="1563" spans="1:30" s="167" customFormat="1" x14ac:dyDescent="0.4">
      <c r="A1563" s="212">
        <v>45785</v>
      </c>
      <c r="B1563" s="151" t="s">
        <v>72</v>
      </c>
      <c r="C1563" s="140" t="str">
        <f>VLOOKUP(B1563,'112年全品項生產鍋數'!A:H,2,0)</f>
        <v>草莓餡45%(1*6Kg)</v>
      </c>
      <c r="D1563" s="287">
        <v>19</v>
      </c>
      <c r="E1563" s="141">
        <f>VLOOKUP(B1563,'112年全品項生產鍋數'!A:H,3,0)</f>
        <v>6</v>
      </c>
      <c r="F1563" s="142">
        <f>VLOOKUP(B1563,'112年全品項生產鍋數'!A:H,7,0)</f>
        <v>26.1</v>
      </c>
      <c r="G1563" s="143">
        <f t="shared" si="198"/>
        <v>495.90000000000003</v>
      </c>
      <c r="H1563" s="156">
        <v>505</v>
      </c>
      <c r="I1563" s="144">
        <f t="shared" si="199"/>
        <v>3030</v>
      </c>
      <c r="J1563" s="100">
        <f t="shared" si="200"/>
        <v>1.018350473885864</v>
      </c>
      <c r="K1563" s="51">
        <f>VLOOKUP(B:B,'生產達成率(目標)'!A:C,3,0)</f>
        <v>1</v>
      </c>
      <c r="L1563" s="20">
        <f t="shared" si="201"/>
        <v>1.7999999999999999E-2</v>
      </c>
      <c r="M1563" s="137" t="str">
        <f>工時!R747</f>
        <v>270</v>
      </c>
      <c r="N1563" s="144"/>
      <c r="O1563" s="144">
        <f t="shared" si="202"/>
        <v>2</v>
      </c>
      <c r="P1563" s="156">
        <v>503</v>
      </c>
      <c r="Q1563" s="145">
        <f t="shared" si="203"/>
        <v>0.99603960396039604</v>
      </c>
      <c r="R1563" s="144" t="s">
        <v>1021</v>
      </c>
      <c r="S1563" s="153"/>
      <c r="T1563" s="140" t="s">
        <v>1022</v>
      </c>
      <c r="W1563" s="421"/>
      <c r="Y1563" s="421"/>
      <c r="Z1563" s="421"/>
      <c r="AA1563" s="421"/>
      <c r="AB1563" s="421"/>
      <c r="AC1563" s="421"/>
      <c r="AD1563" s="421"/>
    </row>
    <row r="1564" spans="1:30" s="167" customFormat="1" x14ac:dyDescent="0.4">
      <c r="A1564" s="212">
        <v>45785</v>
      </c>
      <c r="B1564" s="151" t="s">
        <v>63</v>
      </c>
      <c r="C1564" s="140" t="str">
        <f>VLOOKUP(B1564,'112年全品項生產鍋數'!A:H,2,0)</f>
        <v>草莓蒟蒻餡(1*6kg)</v>
      </c>
      <c r="D1564" s="287">
        <v>16</v>
      </c>
      <c r="E1564" s="141">
        <f>VLOOKUP(B1564,'112年全品項生產鍋數'!A:H,3,0)</f>
        <v>6</v>
      </c>
      <c r="F1564" s="142">
        <f>VLOOKUP(B1564,'112年全品項生產鍋數'!A:H,7,0)</f>
        <v>25.7</v>
      </c>
      <c r="G1564" s="143">
        <f t="shared" si="198"/>
        <v>411.2</v>
      </c>
      <c r="H1564" s="156">
        <f>203+215</f>
        <v>418</v>
      </c>
      <c r="I1564" s="144">
        <f t="shared" si="199"/>
        <v>2508</v>
      </c>
      <c r="J1564" s="100">
        <f t="shared" si="200"/>
        <v>1.0165369649805447</v>
      </c>
      <c r="K1564" s="51">
        <f>VLOOKUP(B:B,'生產達成率(目標)'!A:C,3,0)</f>
        <v>1</v>
      </c>
      <c r="L1564" s="20">
        <f t="shared" si="201"/>
        <v>1.7000000000000001E-2</v>
      </c>
      <c r="M1564" s="137" t="str">
        <f>工時!R748</f>
        <v>273</v>
      </c>
      <c r="N1564" s="144"/>
      <c r="O1564" s="144">
        <f t="shared" si="202"/>
        <v>2</v>
      </c>
      <c r="P1564" s="156">
        <f>202+214</f>
        <v>416</v>
      </c>
      <c r="Q1564" s="145">
        <f t="shared" si="203"/>
        <v>0.99521531100478466</v>
      </c>
      <c r="R1564" s="144"/>
      <c r="S1564" s="153"/>
      <c r="T1564" s="140"/>
      <c r="W1564" s="421"/>
      <c r="Y1564" s="421"/>
      <c r="Z1564" s="421"/>
      <c r="AA1564" s="421"/>
      <c r="AB1564" s="421"/>
      <c r="AC1564" s="421"/>
      <c r="AD1564" s="421"/>
    </row>
    <row r="1565" spans="1:30" s="167" customFormat="1" x14ac:dyDescent="0.4">
      <c r="A1565" s="212">
        <v>45785</v>
      </c>
      <c r="B1565" s="151" t="s">
        <v>73</v>
      </c>
      <c r="C1565" s="140" t="str">
        <f>VLOOKUP(B1565,'112年全品項生產鍋數'!A:H,2,0)</f>
        <v>顆粒花生醬(1*12KG)</v>
      </c>
      <c r="D1565" s="287">
        <v>21</v>
      </c>
      <c r="E1565" s="141">
        <f>VLOOKUP(B1565,'112年全品項生產鍋數'!A:H,3,0)</f>
        <v>3</v>
      </c>
      <c r="F1565" s="142">
        <f>VLOOKUP(B1565,'112年全品項生產鍋數'!A:H,7,0)</f>
        <v>29.7</v>
      </c>
      <c r="G1565" s="143">
        <f t="shared" si="198"/>
        <v>623.69999999999993</v>
      </c>
      <c r="H1565" s="156">
        <v>628</v>
      </c>
      <c r="I1565" s="144">
        <f t="shared" si="199"/>
        <v>1884</v>
      </c>
      <c r="J1565" s="100">
        <f t="shared" si="200"/>
        <v>1.0068943402276738</v>
      </c>
      <c r="K1565" s="51">
        <f>VLOOKUP(B:B,'生產達成率(目標)'!A:C,3,0)</f>
        <v>1</v>
      </c>
      <c r="L1565" s="20">
        <f t="shared" si="201"/>
        <v>7.0000000000000001E-3</v>
      </c>
      <c r="M1565" s="137" t="str">
        <f>工時!R749</f>
        <v>540</v>
      </c>
      <c r="N1565" s="144"/>
      <c r="O1565" s="144">
        <f t="shared" si="202"/>
        <v>0</v>
      </c>
      <c r="P1565" s="156">
        <v>628</v>
      </c>
      <c r="Q1565" s="145">
        <f t="shared" si="203"/>
        <v>1</v>
      </c>
      <c r="R1565" s="144"/>
      <c r="S1565" s="153"/>
      <c r="T1565" s="140"/>
      <c r="W1565" s="421"/>
      <c r="Y1565" s="421"/>
      <c r="Z1565" s="421"/>
      <c r="AA1565" s="421"/>
      <c r="AB1565" s="421"/>
      <c r="AC1565" s="421"/>
      <c r="AD1565" s="421"/>
    </row>
    <row r="1566" spans="1:30" s="146" customFormat="1" x14ac:dyDescent="0.4">
      <c r="A1566" s="212">
        <v>45786</v>
      </c>
      <c r="B1566" s="151" t="s">
        <v>100</v>
      </c>
      <c r="C1566" s="140" t="str">
        <f>VLOOKUP(B1566,'112年全品項生產鍋數'!A:H,2,0)</f>
        <v>芒果蜜桃醬(1*6kg)</v>
      </c>
      <c r="D1566" s="287">
        <v>5</v>
      </c>
      <c r="E1566" s="141">
        <f>VLOOKUP(B1566,'112年全品項生產鍋數'!A:H,3,0)</f>
        <v>6</v>
      </c>
      <c r="F1566" s="142">
        <f>VLOOKUP(B1566,'112年全品項生產鍋數'!A:H,7,0)</f>
        <v>25.6</v>
      </c>
      <c r="G1566" s="143">
        <f>D1566*F1566</f>
        <v>128</v>
      </c>
      <c r="H1566" s="156">
        <v>123</v>
      </c>
      <c r="I1566" s="144">
        <f t="shared" ref="I1566:I1616" si="204">H1566*E1566</f>
        <v>738</v>
      </c>
      <c r="J1566" s="100">
        <f t="shared" ref="J1566:J1612" si="205">IF(G1566=0,"無法預估數據",H1566/G1566)</f>
        <v>0.9609375</v>
      </c>
      <c r="K1566" s="51">
        <f>VLOOKUP(B:B,'生產達成率(目標)'!A:C,3,0)</f>
        <v>1</v>
      </c>
      <c r="L1566" s="20">
        <f t="shared" ref="L1566:L1612" si="206">IF(G1566=0,"無法預估數據",ROUND(J1566-K1566,3))</f>
        <v>-3.9E-2</v>
      </c>
      <c r="M1566" s="137" t="str">
        <f>工時!R750</f>
        <v>300</v>
      </c>
      <c r="N1566" s="144"/>
      <c r="O1566" s="144">
        <f t="shared" ref="O1566:O1612" si="207">H1566-N1566-P1566</f>
        <v>2</v>
      </c>
      <c r="P1566" s="156">
        <v>121</v>
      </c>
      <c r="Q1566" s="145">
        <f t="shared" ref="Q1566:Q1612" si="208">P1566/H1566</f>
        <v>0.98373983739837401</v>
      </c>
      <c r="R1566" s="144"/>
      <c r="S1566" s="153"/>
      <c r="T1566" s="140" t="s">
        <v>1003</v>
      </c>
      <c r="V1566" s="381"/>
      <c r="W1566" s="421"/>
      <c r="X1566" s="381"/>
      <c r="Y1566" s="421"/>
      <c r="Z1566" s="421"/>
      <c r="AA1566" s="421"/>
      <c r="AB1566" s="421"/>
      <c r="AC1566" s="421"/>
      <c r="AD1566" s="421"/>
    </row>
    <row r="1567" spans="1:30" s="146" customFormat="1" x14ac:dyDescent="0.4">
      <c r="A1567" s="212">
        <v>45786</v>
      </c>
      <c r="B1567" s="151" t="s">
        <v>106</v>
      </c>
      <c r="C1567" s="140" t="str">
        <f>VLOOKUP(B1567,'112年全品項生產鍋數'!A:H,2,0)</f>
        <v>小藍莓1*260G</v>
      </c>
      <c r="D1567" s="287">
        <v>4</v>
      </c>
      <c r="E1567" s="141">
        <f>VLOOKUP(B1567,'112年全品項生產鍋數'!A:H,3,0)</f>
        <v>0.26</v>
      </c>
      <c r="F1567" s="142">
        <f>VLOOKUP(B1567,'112年全品項生產鍋數'!A:H,7,0)</f>
        <v>584.29999999999995</v>
      </c>
      <c r="G1567" s="143">
        <f t="shared" si="198"/>
        <v>2337.1999999999998</v>
      </c>
      <c r="H1567" s="156">
        <v>2173</v>
      </c>
      <c r="I1567" s="144">
        <f t="shared" si="204"/>
        <v>564.98</v>
      </c>
      <c r="J1567" s="100">
        <f t="shared" si="205"/>
        <v>0.9297449940099265</v>
      </c>
      <c r="K1567" s="51">
        <f>VLOOKUP(B:B,'生產達成率(目標)'!A:C,3,0)</f>
        <v>1</v>
      </c>
      <c r="L1567" s="20">
        <f t="shared" si="206"/>
        <v>-7.0000000000000007E-2</v>
      </c>
      <c r="M1567" s="137" t="str">
        <f>工時!R751</f>
        <v>240</v>
      </c>
      <c r="N1567" s="144"/>
      <c r="O1567" s="144">
        <f t="shared" si="207"/>
        <v>11</v>
      </c>
      <c r="P1567" s="156">
        <v>2162</v>
      </c>
      <c r="Q1567" s="145">
        <f t="shared" si="208"/>
        <v>0.99493787390704092</v>
      </c>
      <c r="R1567" s="144"/>
      <c r="S1567" s="153"/>
      <c r="T1567" s="140" t="s">
        <v>1004</v>
      </c>
      <c r="V1567" s="381"/>
      <c r="W1567" s="421"/>
      <c r="X1567" s="381"/>
      <c r="Y1567" s="421"/>
      <c r="Z1567" s="421"/>
      <c r="AA1567" s="421"/>
      <c r="AB1567" s="421"/>
      <c r="AC1567" s="421"/>
      <c r="AD1567" s="421"/>
    </row>
    <row r="1568" spans="1:30" x14ac:dyDescent="0.4">
      <c r="A1568" s="210">
        <v>45786</v>
      </c>
      <c r="B1568" s="151" t="s">
        <v>115</v>
      </c>
      <c r="C1568" s="30" t="str">
        <f>VLOOKUP(B1568,'112年全品項生產鍋數'!A:H,2,0)</f>
        <v>天天開心藍莓餡4.5KG</v>
      </c>
      <c r="D1568" s="287">
        <v>12</v>
      </c>
      <c r="E1568" s="48">
        <f>VLOOKUP(B1568,'112年全品項生產鍋數'!A:H,3,0)</f>
        <v>4.5</v>
      </c>
      <c r="F1568" s="142">
        <f>VLOOKUP(B1568,'112年全品項生產鍋數'!A:H,7,0)</f>
        <v>36.799999999999997</v>
      </c>
      <c r="G1568" s="143">
        <f t="shared" si="198"/>
        <v>441.59999999999997</v>
      </c>
      <c r="H1568" s="156">
        <v>462</v>
      </c>
      <c r="I1568" s="23">
        <f t="shared" si="204"/>
        <v>2079</v>
      </c>
      <c r="J1568" s="100">
        <f t="shared" si="205"/>
        <v>1.0461956521739131</v>
      </c>
      <c r="K1568" s="51">
        <f>VLOOKUP(B:B,'生產達成率(目標)'!A:C,3,0)</f>
        <v>1</v>
      </c>
      <c r="L1568" s="20">
        <f t="shared" si="206"/>
        <v>4.5999999999999999E-2</v>
      </c>
      <c r="M1568" s="137" t="str">
        <f>工時!R752</f>
        <v>235</v>
      </c>
      <c r="N1568" s="144"/>
      <c r="O1568" s="144">
        <f t="shared" si="207"/>
        <v>0</v>
      </c>
      <c r="P1568" s="156">
        <v>462</v>
      </c>
      <c r="Q1568" s="98">
        <f t="shared" si="208"/>
        <v>1</v>
      </c>
      <c r="R1568" s="23"/>
      <c r="S1568" s="173"/>
      <c r="T1568" s="30"/>
    </row>
    <row r="1569" spans="1:30" x14ac:dyDescent="0.4">
      <c r="A1569" s="210">
        <v>45786</v>
      </c>
      <c r="B1569" s="151" t="s">
        <v>130</v>
      </c>
      <c r="C1569" s="30" t="str">
        <f>VLOOKUP(B1569,'112年全品項生產鍋數'!A:H,2,0)</f>
        <v>天天開心柳橙餡4.5KG</v>
      </c>
      <c r="D1569" s="287">
        <v>10</v>
      </c>
      <c r="E1569" s="48">
        <f>VLOOKUP(B1569,'112年全品項生產鍋數'!A:H,3,0)</f>
        <v>4.5</v>
      </c>
      <c r="F1569" s="142">
        <f>VLOOKUP(B1569,'112年全品項生產鍋數'!A:H,7,0)</f>
        <v>34.9</v>
      </c>
      <c r="G1569" s="143">
        <f t="shared" si="198"/>
        <v>349</v>
      </c>
      <c r="H1569" s="156">
        <v>360</v>
      </c>
      <c r="I1569" s="23">
        <f t="shared" si="204"/>
        <v>1620</v>
      </c>
      <c r="J1569" s="100">
        <f t="shared" si="205"/>
        <v>1.0315186246418337</v>
      </c>
      <c r="K1569" s="51">
        <f>VLOOKUP(B:B,'生產達成率(目標)'!A:C,3,0)</f>
        <v>1</v>
      </c>
      <c r="L1569" s="20">
        <f t="shared" si="206"/>
        <v>3.2000000000000001E-2</v>
      </c>
      <c r="M1569" s="137" t="str">
        <f>工時!R753</f>
        <v>210</v>
      </c>
      <c r="N1569" s="144"/>
      <c r="O1569" s="144">
        <f t="shared" si="207"/>
        <v>0</v>
      </c>
      <c r="P1569" s="156">
        <v>360</v>
      </c>
      <c r="Q1569" s="98">
        <f t="shared" si="208"/>
        <v>1</v>
      </c>
      <c r="R1569" s="23"/>
      <c r="S1569" s="173"/>
      <c r="T1569" s="30"/>
    </row>
    <row r="1570" spans="1:30" x14ac:dyDescent="0.4">
      <c r="A1570" s="210">
        <v>45786</v>
      </c>
      <c r="B1570" s="151" t="s">
        <v>57</v>
      </c>
      <c r="C1570" s="30" t="str">
        <f>VLOOKUP(B1570,'112年全品項生產鍋數'!A:H,2,0)</f>
        <v>蘋果藍莓餡(1*9.08kg)</v>
      </c>
      <c r="D1570" s="287">
        <v>8</v>
      </c>
      <c r="E1570" s="48">
        <f>VLOOKUP(B1570,'112年全品項生產鍋數'!A:H,3,0)</f>
        <v>9.08</v>
      </c>
      <c r="F1570" s="142">
        <f>VLOOKUP(B1570,'112年全品項生產鍋數'!A:H,7,0)</f>
        <v>17.3</v>
      </c>
      <c r="G1570" s="143">
        <f t="shared" si="198"/>
        <v>138.4</v>
      </c>
      <c r="H1570" s="156">
        <v>141</v>
      </c>
      <c r="I1570" s="23">
        <f t="shared" si="204"/>
        <v>1280.28</v>
      </c>
      <c r="J1570" s="100">
        <f t="shared" si="205"/>
        <v>1.01878612716763</v>
      </c>
      <c r="K1570" s="51">
        <f>VLOOKUP(B:B,'生產達成率(目標)'!A:C,3,0)</f>
        <v>1</v>
      </c>
      <c r="L1570" s="20">
        <f t="shared" si="206"/>
        <v>1.9E-2</v>
      </c>
      <c r="M1570" s="137" t="str">
        <f>工時!R754</f>
        <v>196</v>
      </c>
      <c r="N1570" s="144"/>
      <c r="O1570" s="144">
        <f t="shared" si="207"/>
        <v>0</v>
      </c>
      <c r="P1570" s="156">
        <v>141</v>
      </c>
      <c r="Q1570" s="98">
        <f t="shared" si="208"/>
        <v>1</v>
      </c>
      <c r="R1570" s="23"/>
      <c r="S1570" s="173"/>
      <c r="T1570" s="30"/>
    </row>
    <row r="1571" spans="1:30" x14ac:dyDescent="0.4">
      <c r="A1571" s="210">
        <v>45786</v>
      </c>
      <c r="B1571" s="151" t="s">
        <v>65</v>
      </c>
      <c r="C1571" s="30" t="str">
        <f>VLOOKUP(B1571,'112年全品項生產鍋數'!A:H,2,0)</f>
        <v>＃1花生(1*2.8kg)</v>
      </c>
      <c r="D1571" s="287">
        <v>60</v>
      </c>
      <c r="E1571" s="48">
        <f>VLOOKUP(B1571,'112年全品項生產鍋數'!A:H,3,0)</f>
        <v>2.8</v>
      </c>
      <c r="F1571" s="142">
        <f>VLOOKUP(B1571,'112年全品項生產鍋數'!A:H,7,0)</f>
        <v>44.5</v>
      </c>
      <c r="G1571" s="143">
        <f t="shared" si="198"/>
        <v>2670</v>
      </c>
      <c r="H1571" s="156">
        <v>2676</v>
      </c>
      <c r="I1571" s="23">
        <f t="shared" si="204"/>
        <v>7492.7999999999993</v>
      </c>
      <c r="J1571" s="100">
        <f t="shared" si="205"/>
        <v>1.002247191011236</v>
      </c>
      <c r="K1571" s="51">
        <f>VLOOKUP(B:B,'生產達成率(目標)'!A:C,3,0)</f>
        <v>1</v>
      </c>
      <c r="L1571" s="20">
        <f t="shared" si="206"/>
        <v>2E-3</v>
      </c>
      <c r="M1571" s="137" t="str">
        <f>工時!R755</f>
        <v>565</v>
      </c>
      <c r="N1571" s="144"/>
      <c r="O1571" s="144">
        <f t="shared" si="207"/>
        <v>2</v>
      </c>
      <c r="P1571" s="156">
        <v>2674</v>
      </c>
      <c r="Q1571" s="98">
        <f t="shared" si="208"/>
        <v>0.99925261584454406</v>
      </c>
      <c r="R1571" s="23"/>
      <c r="S1571" s="173"/>
      <c r="T1571" s="30"/>
    </row>
    <row r="1572" spans="1:30" s="146" customFormat="1" x14ac:dyDescent="0.4">
      <c r="A1572" s="212">
        <v>45786</v>
      </c>
      <c r="B1572" s="151" t="s">
        <v>434</v>
      </c>
      <c r="C1572" s="140" t="str">
        <f>VLOOKUP(B1572,'112年全品項生產鍋數'!A:H,2,0)</f>
        <v>蜜桔皮</v>
      </c>
      <c r="D1572" s="287">
        <v>50</v>
      </c>
      <c r="E1572" s="141">
        <f>VLOOKUP(B1572,'112年全品項生產鍋數'!A:H,3,0)</f>
        <v>1</v>
      </c>
      <c r="F1572" s="142">
        <f>VLOOKUP(B1572,'112年全品項生產鍋數'!A:H,7,0)</f>
        <v>6</v>
      </c>
      <c r="G1572" s="143">
        <f t="shared" si="198"/>
        <v>300</v>
      </c>
      <c r="H1572" s="156">
        <v>304</v>
      </c>
      <c r="I1572" s="144">
        <f t="shared" si="204"/>
        <v>304</v>
      </c>
      <c r="J1572" s="100">
        <f t="shared" si="205"/>
        <v>1.0133333333333334</v>
      </c>
      <c r="K1572" s="51">
        <f>VLOOKUP(B:B,'生產達成率(目標)'!A:C,3,0)</f>
        <v>1</v>
      </c>
      <c r="L1572" s="20">
        <f t="shared" si="206"/>
        <v>1.2999999999999999E-2</v>
      </c>
      <c r="M1572" s="203" t="s">
        <v>1002</v>
      </c>
      <c r="N1572" s="144"/>
      <c r="O1572" s="144">
        <f t="shared" si="207"/>
        <v>0</v>
      </c>
      <c r="P1572" s="156">
        <v>304</v>
      </c>
      <c r="Q1572" s="145">
        <f t="shared" si="208"/>
        <v>1</v>
      </c>
      <c r="R1572" s="144"/>
      <c r="S1572" s="153"/>
      <c r="T1572" s="140"/>
      <c r="V1572" s="381"/>
      <c r="W1572" s="421"/>
      <c r="X1572" s="381"/>
      <c r="Y1572" s="421"/>
      <c r="Z1572" s="421"/>
      <c r="AA1572" s="421"/>
      <c r="AB1572" s="421"/>
      <c r="AC1572" s="421"/>
      <c r="AD1572" s="421"/>
    </row>
    <row r="1573" spans="1:30" s="146" customFormat="1" x14ac:dyDescent="0.4">
      <c r="A1573" s="212">
        <v>45786</v>
      </c>
      <c r="B1573" s="151" t="s">
        <v>1736</v>
      </c>
      <c r="C1573" s="140" t="str">
        <f>VLOOKUP(B1573,'112年全品項生產鍋數'!A:H,2,0)</f>
        <v>蜜餞水果(1*1kg)</v>
      </c>
      <c r="D1573" s="287">
        <v>50</v>
      </c>
      <c r="E1573" s="141">
        <f>VLOOKUP(B1573,'112年全品項生產鍋數'!A:H,3,0)</f>
        <v>1</v>
      </c>
      <c r="F1573" s="142">
        <f>VLOOKUP(B1573,'112年全品項生產鍋數'!A:H,7,0)</f>
        <v>5.7</v>
      </c>
      <c r="G1573" s="143">
        <f t="shared" si="198"/>
        <v>285</v>
      </c>
      <c r="H1573" s="156">
        <v>286</v>
      </c>
      <c r="I1573" s="144">
        <f t="shared" si="204"/>
        <v>286</v>
      </c>
      <c r="J1573" s="100">
        <f t="shared" si="205"/>
        <v>1.0035087719298246</v>
      </c>
      <c r="K1573" s="51">
        <f>VLOOKUP(B:B,'生產達成率(目標)'!A:C,3,0)</f>
        <v>1</v>
      </c>
      <c r="L1573" s="20">
        <f t="shared" si="206"/>
        <v>4.0000000000000001E-3</v>
      </c>
      <c r="M1573" s="203" t="s">
        <v>1002</v>
      </c>
      <c r="N1573" s="144"/>
      <c r="O1573" s="144">
        <f t="shared" si="207"/>
        <v>0</v>
      </c>
      <c r="P1573" s="156">
        <v>286</v>
      </c>
      <c r="Q1573" s="145">
        <f t="shared" si="208"/>
        <v>1</v>
      </c>
      <c r="R1573" s="144"/>
      <c r="S1573" s="153"/>
      <c r="T1573" s="140"/>
      <c r="V1573" s="381"/>
      <c r="W1573" s="421"/>
      <c r="X1573" s="381"/>
      <c r="Y1573" s="421"/>
      <c r="Z1573" s="421"/>
      <c r="AA1573" s="421"/>
      <c r="AB1573" s="421"/>
      <c r="AC1573" s="421"/>
      <c r="AD1573" s="421"/>
    </row>
    <row r="1574" spans="1:30" x14ac:dyDescent="0.4">
      <c r="A1574" s="210">
        <v>45789</v>
      </c>
      <c r="B1574" s="151" t="s">
        <v>71</v>
      </c>
      <c r="C1574" s="30" t="str">
        <f>VLOOKUP(B1574,'112年全品項生產鍋數'!A:H,2,0)</f>
        <v>＃1草莓(1*3.2kg)</v>
      </c>
      <c r="D1574" s="287">
        <v>72</v>
      </c>
      <c r="E1574" s="48">
        <f>VLOOKUP(B1574,'112年全品項生產鍋數'!A:H,3,0)</f>
        <v>3.2</v>
      </c>
      <c r="F1574" s="142">
        <f>VLOOKUP(B1574,'112年全品項生產鍋數'!A:H,7,0)</f>
        <v>46.8</v>
      </c>
      <c r="G1574" s="143">
        <f t="shared" si="198"/>
        <v>3369.6</v>
      </c>
      <c r="H1574" s="156">
        <v>3391</v>
      </c>
      <c r="I1574" s="23">
        <f t="shared" si="204"/>
        <v>10851.2</v>
      </c>
      <c r="J1574" s="100">
        <f t="shared" si="205"/>
        <v>1.0063509021842356</v>
      </c>
      <c r="K1574" s="51">
        <f>VLOOKUP(B:B,'生產達成率(目標)'!A:C,3,0)</f>
        <v>1</v>
      </c>
      <c r="L1574" s="20">
        <f t="shared" si="206"/>
        <v>6.0000000000000001E-3</v>
      </c>
      <c r="M1574" s="203" t="str">
        <f>工時!R758</f>
        <v>540</v>
      </c>
      <c r="N1574" s="144"/>
      <c r="O1574" s="144">
        <f t="shared" si="207"/>
        <v>3</v>
      </c>
      <c r="P1574" s="156">
        <v>3388</v>
      </c>
      <c r="Q1574" s="98">
        <f t="shared" si="208"/>
        <v>0.99911530521969916</v>
      </c>
      <c r="R1574" s="23"/>
      <c r="S1574" s="173"/>
      <c r="T1574" s="30"/>
    </row>
    <row r="1575" spans="1:30" x14ac:dyDescent="0.4">
      <c r="A1575" s="210">
        <v>45789</v>
      </c>
      <c r="B1575" s="151" t="s">
        <v>107</v>
      </c>
      <c r="C1575" s="30" t="str">
        <f>VLOOKUP(B1575,'112年全品項生產鍋數'!A:H,2,0)</f>
        <v>藍莓餡(1*6kg)</v>
      </c>
      <c r="D1575" s="287">
        <v>12</v>
      </c>
      <c r="E1575" s="48">
        <f>VLOOKUP(B1575,'112年全品項生產鍋數'!A:H,3,0)</f>
        <v>6</v>
      </c>
      <c r="F1575" s="142">
        <f>VLOOKUP(B1575,'112年全品項生產鍋數'!A:H,7,0)</f>
        <v>26.4</v>
      </c>
      <c r="G1575" s="143">
        <f t="shared" si="198"/>
        <v>316.79999999999995</v>
      </c>
      <c r="H1575" s="156">
        <v>322</v>
      </c>
      <c r="I1575" s="23">
        <f t="shared" si="204"/>
        <v>1932</v>
      </c>
      <c r="J1575" s="100">
        <f t="shared" si="205"/>
        <v>1.0164141414141417</v>
      </c>
      <c r="K1575" s="51">
        <f>VLOOKUP(B:B,'生產達成率(目標)'!A:C,3,0)</f>
        <v>1</v>
      </c>
      <c r="L1575" s="20">
        <f t="shared" si="206"/>
        <v>1.6E-2</v>
      </c>
      <c r="M1575" s="203" t="str">
        <f>工時!R759</f>
        <v>175</v>
      </c>
      <c r="N1575" s="144"/>
      <c r="O1575" s="144">
        <f t="shared" si="207"/>
        <v>1</v>
      </c>
      <c r="P1575" s="156">
        <v>321</v>
      </c>
      <c r="Q1575" s="98">
        <f t="shared" si="208"/>
        <v>0.99689440993788825</v>
      </c>
      <c r="R1575" s="23"/>
      <c r="S1575" s="173"/>
      <c r="T1575" s="30"/>
    </row>
    <row r="1576" spans="1:30" x14ac:dyDescent="0.4">
      <c r="A1576" s="210">
        <v>45789</v>
      </c>
      <c r="B1576" s="151" t="s">
        <v>76</v>
      </c>
      <c r="C1576" s="30" t="str">
        <f>VLOOKUP(B1576,'112年全品項生產鍋數'!A:H,2,0)</f>
        <v>草莓餡(1*6Kg)</v>
      </c>
      <c r="D1576" s="287">
        <v>12</v>
      </c>
      <c r="E1576" s="48">
        <f>VLOOKUP(B1576,'112年全品項生產鍋數'!A:H,3,0)</f>
        <v>6</v>
      </c>
      <c r="F1576" s="142">
        <f>VLOOKUP(B1576,'112年全品項生產鍋數'!A:H,7,0)</f>
        <v>25.5</v>
      </c>
      <c r="G1576" s="143">
        <f t="shared" si="198"/>
        <v>306</v>
      </c>
      <c r="H1576" s="156">
        <v>304</v>
      </c>
      <c r="I1576" s="23">
        <f t="shared" si="204"/>
        <v>1824</v>
      </c>
      <c r="J1576" s="100">
        <f t="shared" si="205"/>
        <v>0.99346405228758172</v>
      </c>
      <c r="K1576" s="51">
        <f>VLOOKUP(B:B,'生產達成率(目標)'!A:C,3,0)</f>
        <v>1</v>
      </c>
      <c r="L1576" s="20">
        <f t="shared" si="206"/>
        <v>-7.0000000000000001E-3</v>
      </c>
      <c r="M1576" s="203" t="str">
        <f>工時!R760</f>
        <v>190</v>
      </c>
      <c r="N1576" s="144"/>
      <c r="O1576" s="144">
        <f t="shared" si="207"/>
        <v>1</v>
      </c>
      <c r="P1576" s="156">
        <v>303</v>
      </c>
      <c r="Q1576" s="98">
        <f t="shared" si="208"/>
        <v>0.99671052631578949</v>
      </c>
      <c r="R1576" s="23"/>
      <c r="S1576" s="173"/>
      <c r="T1576" s="30"/>
    </row>
    <row r="1577" spans="1:30" x14ac:dyDescent="0.4">
      <c r="A1577" s="210">
        <v>45789</v>
      </c>
      <c r="B1577" s="151" t="s">
        <v>75</v>
      </c>
      <c r="C1577" s="30" t="str">
        <f>VLOOKUP(B1577,'112年全品項生產鍋數'!A:H,2,0)</f>
        <v>草莓椰果餡(1*6Kg)</v>
      </c>
      <c r="D1577" s="287">
        <v>16</v>
      </c>
      <c r="E1577" s="48">
        <f>VLOOKUP(B1577,'112年全品項生產鍋數'!A:H,3,0)</f>
        <v>6</v>
      </c>
      <c r="F1577" s="142">
        <f>VLOOKUP(B1577,'112年全品項生產鍋數'!A:H,7,0)</f>
        <v>26.4</v>
      </c>
      <c r="G1577" s="143">
        <f t="shared" si="198"/>
        <v>422.4</v>
      </c>
      <c r="H1577" s="156">
        <v>439</v>
      </c>
      <c r="I1577" s="23">
        <f t="shared" si="204"/>
        <v>2634</v>
      </c>
      <c r="J1577" s="100">
        <f t="shared" si="205"/>
        <v>1.0392992424242424</v>
      </c>
      <c r="K1577" s="51">
        <f>VLOOKUP(B:B,'生產達成率(目標)'!A:C,3,0)</f>
        <v>1</v>
      </c>
      <c r="L1577" s="20">
        <f t="shared" si="206"/>
        <v>3.9E-2</v>
      </c>
      <c r="M1577" s="203" t="str">
        <f>工時!R761</f>
        <v>256</v>
      </c>
      <c r="N1577" s="144"/>
      <c r="O1577" s="144">
        <f t="shared" si="207"/>
        <v>3</v>
      </c>
      <c r="P1577" s="156">
        <v>436</v>
      </c>
      <c r="Q1577" s="98">
        <f t="shared" si="208"/>
        <v>0.99316628701594534</v>
      </c>
      <c r="R1577" s="23"/>
      <c r="S1577" s="173"/>
      <c r="T1577" s="30"/>
    </row>
    <row r="1578" spans="1:30" x14ac:dyDescent="0.4">
      <c r="A1578" s="210">
        <v>45789</v>
      </c>
      <c r="B1578" s="151" t="s">
        <v>65</v>
      </c>
      <c r="C1578" s="30" t="str">
        <f>VLOOKUP(B1578,'112年全品項生產鍋數'!A:H,2,0)</f>
        <v>＃1花生(1*2.8kg)</v>
      </c>
      <c r="D1578" s="287">
        <v>60</v>
      </c>
      <c r="E1578" s="48">
        <f>VLOOKUP(B1578,'112年全品項生產鍋數'!A:H,3,0)</f>
        <v>2.8</v>
      </c>
      <c r="F1578" s="142">
        <f>VLOOKUP(B1578,'112年全品項生產鍋數'!A:H,7,0)</f>
        <v>44.5</v>
      </c>
      <c r="G1578" s="143">
        <f t="shared" si="198"/>
        <v>2670</v>
      </c>
      <c r="H1578" s="156">
        <v>2676</v>
      </c>
      <c r="I1578" s="23">
        <f t="shared" si="204"/>
        <v>7492.7999999999993</v>
      </c>
      <c r="J1578" s="100">
        <f t="shared" si="205"/>
        <v>1.002247191011236</v>
      </c>
      <c r="K1578" s="51">
        <f>VLOOKUP(B:B,'生產達成率(目標)'!A:C,3,0)</f>
        <v>1</v>
      </c>
      <c r="L1578" s="20">
        <f t="shared" si="206"/>
        <v>2E-3</v>
      </c>
      <c r="M1578" s="203" t="str">
        <f>工時!R762</f>
        <v>570</v>
      </c>
      <c r="N1578" s="144"/>
      <c r="O1578" s="144">
        <f t="shared" si="207"/>
        <v>2</v>
      </c>
      <c r="P1578" s="156">
        <v>2674</v>
      </c>
      <c r="Q1578" s="98">
        <f t="shared" si="208"/>
        <v>0.99925261584454406</v>
      </c>
      <c r="R1578" s="23"/>
      <c r="S1578" s="173"/>
      <c r="T1578" s="30"/>
    </row>
    <row r="1579" spans="1:30" x14ac:dyDescent="0.4">
      <c r="A1579" s="210">
        <v>45790</v>
      </c>
      <c r="B1579" s="151" t="s">
        <v>63</v>
      </c>
      <c r="C1579" s="30" t="str">
        <f>VLOOKUP(B1579,'112年全品項生產鍋數'!A:H,2,0)</f>
        <v>草莓蒟蒻餡(1*6kg)</v>
      </c>
      <c r="D1579" s="287">
        <v>24</v>
      </c>
      <c r="E1579" s="48">
        <f>VLOOKUP(B1579,'112年全品項生產鍋數'!A:H,3,0)</f>
        <v>6</v>
      </c>
      <c r="F1579" s="142">
        <f>VLOOKUP(B1579,'112年全品項生產鍋數'!A:H,7,0)</f>
        <v>25.7</v>
      </c>
      <c r="G1579" s="143">
        <f t="shared" si="198"/>
        <v>616.79999999999995</v>
      </c>
      <c r="H1579" s="156">
        <f>310+322</f>
        <v>632</v>
      </c>
      <c r="I1579" s="23">
        <f t="shared" si="204"/>
        <v>3792</v>
      </c>
      <c r="J1579" s="100">
        <f t="shared" si="205"/>
        <v>1.0246433203631649</v>
      </c>
      <c r="K1579" s="51">
        <f>VLOOKUP(B:B,'生產達成率(目標)'!A:C,3,0)</f>
        <v>1</v>
      </c>
      <c r="L1579" s="20">
        <f t="shared" si="206"/>
        <v>2.5000000000000001E-2</v>
      </c>
      <c r="M1579" s="203" t="str">
        <f>工時!R763</f>
        <v>356</v>
      </c>
      <c r="N1579" s="144"/>
      <c r="O1579" s="144">
        <f t="shared" si="207"/>
        <v>2</v>
      </c>
      <c r="P1579" s="156">
        <f>308+322</f>
        <v>630</v>
      </c>
      <c r="Q1579" s="98">
        <f t="shared" si="208"/>
        <v>0.99683544303797467</v>
      </c>
      <c r="R1579" s="23"/>
      <c r="S1579" s="173"/>
      <c r="T1579" s="30"/>
    </row>
    <row r="1580" spans="1:30" x14ac:dyDescent="0.4">
      <c r="A1580" s="210">
        <v>45790</v>
      </c>
      <c r="B1580" s="151" t="s">
        <v>81</v>
      </c>
      <c r="C1580" s="30" t="str">
        <f>VLOOKUP(B1580,'112年全品項生產鍋數'!A:H,2,0)</f>
        <v>藍莓餡(1*6Kg)</v>
      </c>
      <c r="D1580" s="287">
        <v>16</v>
      </c>
      <c r="E1580" s="48">
        <f>VLOOKUP(B1580,'112年全品項生產鍋數'!A:H,3,0)</f>
        <v>6</v>
      </c>
      <c r="F1580" s="142">
        <f>VLOOKUP(B1580,'112年全品項生產鍋數'!A:H,7,0)</f>
        <v>25.1</v>
      </c>
      <c r="G1580" s="143">
        <f t="shared" si="198"/>
        <v>401.6</v>
      </c>
      <c r="H1580" s="156">
        <v>399</v>
      </c>
      <c r="I1580" s="23">
        <f t="shared" si="204"/>
        <v>2394</v>
      </c>
      <c r="J1580" s="100">
        <f t="shared" si="205"/>
        <v>0.99352589641434252</v>
      </c>
      <c r="K1580" s="51">
        <f>VLOOKUP(B:B,'生產達成率(目標)'!A:C,3,0)</f>
        <v>1</v>
      </c>
      <c r="L1580" s="20">
        <f t="shared" si="206"/>
        <v>-6.0000000000000001E-3</v>
      </c>
      <c r="M1580" s="203" t="str">
        <f>工時!R764</f>
        <v>230</v>
      </c>
      <c r="N1580" s="144"/>
      <c r="O1580" s="144">
        <f t="shared" si="207"/>
        <v>1</v>
      </c>
      <c r="P1580" s="156">
        <v>398</v>
      </c>
      <c r="Q1580" s="98">
        <f t="shared" si="208"/>
        <v>0.99749373433583954</v>
      </c>
      <c r="R1580" s="23"/>
      <c r="S1580" s="173"/>
      <c r="T1580" s="30"/>
    </row>
    <row r="1581" spans="1:30" x14ac:dyDescent="0.4">
      <c r="A1581" s="210">
        <v>45790</v>
      </c>
      <c r="B1581" s="151" t="s">
        <v>73</v>
      </c>
      <c r="C1581" s="30" t="str">
        <f>VLOOKUP(B1581,'112年全品項生產鍋數'!A:H,2,0)</f>
        <v>顆粒花生醬(1*12KG)</v>
      </c>
      <c r="D1581" s="287">
        <v>21</v>
      </c>
      <c r="E1581" s="48">
        <f>VLOOKUP(B1581,'112年全品項生產鍋數'!A:H,3,0)</f>
        <v>3</v>
      </c>
      <c r="F1581" s="142">
        <f>VLOOKUP(B1581,'112年全品項生產鍋數'!A:H,7,0)</f>
        <v>29.7</v>
      </c>
      <c r="G1581" s="143">
        <f t="shared" si="198"/>
        <v>623.69999999999993</v>
      </c>
      <c r="H1581" s="156">
        <v>624</v>
      </c>
      <c r="I1581" s="23">
        <f t="shared" si="204"/>
        <v>1872</v>
      </c>
      <c r="J1581" s="100">
        <f t="shared" si="205"/>
        <v>1.0004810004810005</v>
      </c>
      <c r="K1581" s="51">
        <f>VLOOKUP(B:B,'生產達成率(目標)'!A:C,3,0)</f>
        <v>1</v>
      </c>
      <c r="L1581" s="20">
        <f t="shared" si="206"/>
        <v>0</v>
      </c>
      <c r="M1581" s="203" t="str">
        <f>工時!R765</f>
        <v>540</v>
      </c>
      <c r="N1581" s="144"/>
      <c r="O1581" s="144">
        <f t="shared" si="207"/>
        <v>0</v>
      </c>
      <c r="P1581" s="156">
        <v>624</v>
      </c>
      <c r="Q1581" s="98">
        <f t="shared" si="208"/>
        <v>1</v>
      </c>
      <c r="R1581" s="23"/>
      <c r="S1581" s="173"/>
      <c r="T1581" s="30"/>
    </row>
    <row r="1582" spans="1:30" x14ac:dyDescent="0.4">
      <c r="A1582" s="210">
        <v>45790</v>
      </c>
      <c r="B1582" s="151" t="s">
        <v>65</v>
      </c>
      <c r="C1582" s="30" t="str">
        <f>VLOOKUP(B1582,'112年全品項生產鍋數'!A:H,2,0)</f>
        <v>＃1花生(1*2.8kg)</v>
      </c>
      <c r="D1582" s="287">
        <v>60</v>
      </c>
      <c r="E1582" s="48">
        <f>VLOOKUP(B1582,'112年全品項生產鍋數'!A:H,3,0)</f>
        <v>2.8</v>
      </c>
      <c r="F1582" s="142">
        <f>VLOOKUP(B1582,'112年全品項生產鍋數'!A:H,7,0)</f>
        <v>44.5</v>
      </c>
      <c r="G1582" s="143">
        <f t="shared" si="198"/>
        <v>2670</v>
      </c>
      <c r="H1582" s="156">
        <v>2677</v>
      </c>
      <c r="I1582" s="23">
        <f t="shared" si="204"/>
        <v>7495.5999999999995</v>
      </c>
      <c r="J1582" s="100">
        <f t="shared" si="205"/>
        <v>1.002621722846442</v>
      </c>
      <c r="K1582" s="51">
        <f>VLOOKUP(B:B,'生產達成率(目標)'!A:C,3,0)</f>
        <v>1</v>
      </c>
      <c r="L1582" s="20">
        <f t="shared" si="206"/>
        <v>3.0000000000000001E-3</v>
      </c>
      <c r="M1582" s="203" t="str">
        <f>工時!R766</f>
        <v>565</v>
      </c>
      <c r="N1582" s="144"/>
      <c r="O1582" s="144">
        <f t="shared" si="207"/>
        <v>1</v>
      </c>
      <c r="P1582" s="156">
        <v>2676</v>
      </c>
      <c r="Q1582" s="98">
        <f t="shared" si="208"/>
        <v>0.99962644751587593</v>
      </c>
      <c r="R1582" s="23"/>
      <c r="S1582" s="173"/>
      <c r="T1582" s="30"/>
    </row>
    <row r="1583" spans="1:30" x14ac:dyDescent="0.4">
      <c r="A1583" s="210">
        <v>45791</v>
      </c>
      <c r="B1583" s="151" t="s">
        <v>106</v>
      </c>
      <c r="C1583" s="30" t="str">
        <f>VLOOKUP(B1583,'112年全品項生產鍋數'!A:H,2,0)</f>
        <v>小藍莓1*260G</v>
      </c>
      <c r="D1583" s="287">
        <v>16</v>
      </c>
      <c r="E1583" s="48">
        <f>VLOOKUP(B1583,'112年全品項生產鍋數'!A:H,3,0)</f>
        <v>0.26</v>
      </c>
      <c r="F1583" s="142">
        <f>VLOOKUP(B1583,'112年全品項生產鍋數'!A:H,7,0)</f>
        <v>584.29999999999995</v>
      </c>
      <c r="G1583" s="143">
        <f t="shared" si="198"/>
        <v>9348.7999999999993</v>
      </c>
      <c r="H1583" s="156">
        <v>9284</v>
      </c>
      <c r="I1583" s="23">
        <f t="shared" si="204"/>
        <v>2413.84</v>
      </c>
      <c r="J1583" s="100">
        <f t="shared" si="205"/>
        <v>0.99306862912887228</v>
      </c>
      <c r="K1583" s="51">
        <f>VLOOKUP(B:B,'生產達成率(目標)'!A:C,3,0)</f>
        <v>1</v>
      </c>
      <c r="L1583" s="20">
        <f t="shared" si="206"/>
        <v>-7.0000000000000001E-3</v>
      </c>
      <c r="M1583" s="203" t="str">
        <f>工時!R767</f>
        <v>300</v>
      </c>
      <c r="N1583" s="144"/>
      <c r="O1583" s="144">
        <f t="shared" si="207"/>
        <v>7</v>
      </c>
      <c r="P1583" s="156">
        <v>9277</v>
      </c>
      <c r="Q1583" s="98">
        <f t="shared" si="208"/>
        <v>0.99924601464885821</v>
      </c>
      <c r="R1583" s="23"/>
      <c r="S1583" s="173"/>
      <c r="T1583" s="140" t="s">
        <v>1004</v>
      </c>
    </row>
    <row r="1584" spans="1:30" x14ac:dyDescent="0.4">
      <c r="A1584" s="210">
        <v>45791</v>
      </c>
      <c r="B1584" s="151" t="s">
        <v>887</v>
      </c>
      <c r="C1584" s="30" t="str">
        <f>VLOOKUP(B1584,'112年全品項生產鍋數'!A:H,2,0)</f>
        <v>檸檬藍莓醬1*260G</v>
      </c>
      <c r="D1584" s="287">
        <v>4</v>
      </c>
      <c r="E1584" s="48">
        <f>VLOOKUP(B1584,'112年全品項生產鍋數'!A:H,3,0)</f>
        <v>0.26</v>
      </c>
      <c r="F1584" s="142">
        <f>VLOOKUP(B1584,'112年全品項生產鍋數'!A:H,7,0)</f>
        <v>612</v>
      </c>
      <c r="G1584" s="143">
        <f t="shared" si="198"/>
        <v>2448</v>
      </c>
      <c r="H1584" s="156">
        <v>2352</v>
      </c>
      <c r="I1584" s="23">
        <f t="shared" si="204"/>
        <v>611.52</v>
      </c>
      <c r="J1584" s="100">
        <f t="shared" si="205"/>
        <v>0.96078431372549022</v>
      </c>
      <c r="K1584" s="51">
        <f>VLOOKUP(B:B,'生產達成率(目標)'!A:C,3,0)</f>
        <v>1</v>
      </c>
      <c r="L1584" s="20">
        <f t="shared" si="206"/>
        <v>-3.9E-2</v>
      </c>
      <c r="M1584" s="203" t="str">
        <f>工時!R768</f>
        <v>160</v>
      </c>
      <c r="N1584" s="144"/>
      <c r="O1584" s="144">
        <f t="shared" si="207"/>
        <v>20</v>
      </c>
      <c r="P1584" s="156">
        <v>2332</v>
      </c>
      <c r="Q1584" s="98">
        <f t="shared" si="208"/>
        <v>0.99149659863945583</v>
      </c>
      <c r="R1584" s="23"/>
      <c r="S1584" s="173"/>
      <c r="T1584" s="140" t="s">
        <v>1004</v>
      </c>
    </row>
    <row r="1585" spans="1:30" x14ac:dyDescent="0.4">
      <c r="A1585" s="210">
        <v>45791</v>
      </c>
      <c r="B1585" s="151" t="s">
        <v>367</v>
      </c>
      <c r="C1585" s="30" t="str">
        <f>VLOOKUP(B1585,'112年全品項生產鍋數'!A:H,2,0)</f>
        <v>蘋果寡糖果醬(260G)</v>
      </c>
      <c r="D1585" s="287">
        <v>3</v>
      </c>
      <c r="E1585" s="48">
        <f>VLOOKUP(B1585,'112年全品項生產鍋數'!A:H,3,0)</f>
        <v>0.26</v>
      </c>
      <c r="F1585" s="142">
        <f>VLOOKUP(B1585,'112年全品項生產鍋數'!A:H,7,0)</f>
        <v>580</v>
      </c>
      <c r="G1585" s="143">
        <f t="shared" si="198"/>
        <v>1740</v>
      </c>
      <c r="H1585" s="156">
        <v>1784</v>
      </c>
      <c r="I1585" s="23">
        <f t="shared" si="204"/>
        <v>463.84000000000003</v>
      </c>
      <c r="J1585" s="100">
        <f t="shared" si="205"/>
        <v>1.025287356321839</v>
      </c>
      <c r="K1585" s="51">
        <f>VLOOKUP(B:B,'生產達成率(目標)'!A:C,3,0)</f>
        <v>1</v>
      </c>
      <c r="L1585" s="20">
        <f t="shared" si="206"/>
        <v>2.5000000000000001E-2</v>
      </c>
      <c r="M1585" s="203" t="str">
        <f>工時!R769</f>
        <v>190</v>
      </c>
      <c r="N1585" s="144"/>
      <c r="O1585" s="144">
        <f t="shared" si="207"/>
        <v>5</v>
      </c>
      <c r="P1585" s="156">
        <v>1779</v>
      </c>
      <c r="Q1585" s="98">
        <f t="shared" si="208"/>
        <v>0.99719730941704032</v>
      </c>
      <c r="R1585" s="23"/>
      <c r="S1585" s="173"/>
      <c r="T1585" s="140" t="s">
        <v>1004</v>
      </c>
    </row>
    <row r="1586" spans="1:30" x14ac:dyDescent="0.4">
      <c r="A1586" s="210">
        <v>45791</v>
      </c>
      <c r="B1586" s="151" t="s">
        <v>63</v>
      </c>
      <c r="C1586" s="30" t="str">
        <f>VLOOKUP(B1586,'112年全品項生產鍋數'!A:H,2,0)</f>
        <v>草莓蒟蒻餡(1*6kg)</v>
      </c>
      <c r="D1586" s="287">
        <v>20</v>
      </c>
      <c r="E1586" s="48">
        <f>VLOOKUP(B1586,'112年全品項生產鍋數'!A:H,3,0)</f>
        <v>6</v>
      </c>
      <c r="F1586" s="142">
        <f>VLOOKUP(B1586,'112年全品項生產鍋數'!A:H,7,0)</f>
        <v>25.7</v>
      </c>
      <c r="G1586" s="143">
        <f t="shared" si="198"/>
        <v>514</v>
      </c>
      <c r="H1586" s="156">
        <f>305+217</f>
        <v>522</v>
      </c>
      <c r="I1586" s="23">
        <f t="shared" si="204"/>
        <v>3132</v>
      </c>
      <c r="J1586" s="100">
        <f t="shared" si="205"/>
        <v>1.0155642023346303</v>
      </c>
      <c r="K1586" s="51">
        <f>VLOOKUP(B:B,'生產達成率(目標)'!A:C,3,0)</f>
        <v>1</v>
      </c>
      <c r="L1586" s="20">
        <f t="shared" si="206"/>
        <v>1.6E-2</v>
      </c>
      <c r="M1586" s="203" t="str">
        <f>工時!R770</f>
        <v>313</v>
      </c>
      <c r="N1586" s="144"/>
      <c r="O1586" s="144">
        <f t="shared" si="207"/>
        <v>2</v>
      </c>
      <c r="P1586" s="156">
        <f>303+217</f>
        <v>520</v>
      </c>
      <c r="Q1586" s="98">
        <f t="shared" si="208"/>
        <v>0.99616858237547889</v>
      </c>
      <c r="R1586" s="23"/>
      <c r="S1586" s="173"/>
      <c r="T1586" s="30"/>
    </row>
    <row r="1587" spans="1:30" x14ac:dyDescent="0.4">
      <c r="A1587" s="210">
        <v>45791</v>
      </c>
      <c r="B1587" s="151" t="s">
        <v>51</v>
      </c>
      <c r="C1587" s="30" t="str">
        <f>VLOOKUP(B1587,'112年全品項生產鍋數'!A:H,2,0)</f>
        <v>藍莓醬(1*6kg)</v>
      </c>
      <c r="D1587" s="287">
        <v>18</v>
      </c>
      <c r="E1587" s="48">
        <f>VLOOKUP(B1587,'112年全品項生產鍋數'!A:H,3,0)</f>
        <v>6</v>
      </c>
      <c r="F1587" s="142">
        <f>VLOOKUP(B1587,'112年全品項生產鍋數'!A:H,7,0)</f>
        <v>25.5</v>
      </c>
      <c r="G1587" s="143">
        <f t="shared" si="198"/>
        <v>459</v>
      </c>
      <c r="H1587" s="156">
        <v>453</v>
      </c>
      <c r="I1587" s="23">
        <f t="shared" si="204"/>
        <v>2718</v>
      </c>
      <c r="J1587" s="100">
        <f t="shared" si="205"/>
        <v>0.98692810457516345</v>
      </c>
      <c r="K1587" s="51">
        <f>VLOOKUP(B:B,'生產達成率(目標)'!A:C,3,0)</f>
        <v>1</v>
      </c>
      <c r="L1587" s="20">
        <f t="shared" si="206"/>
        <v>-1.2999999999999999E-2</v>
      </c>
      <c r="M1587" s="203" t="str">
        <f>工時!R771</f>
        <v>270</v>
      </c>
      <c r="N1587" s="144"/>
      <c r="O1587" s="144">
        <f t="shared" si="207"/>
        <v>1</v>
      </c>
      <c r="P1587" s="156">
        <v>452</v>
      </c>
      <c r="Q1587" s="98">
        <f t="shared" si="208"/>
        <v>0.99779249448123619</v>
      </c>
      <c r="R1587" s="23"/>
      <c r="S1587" s="173"/>
      <c r="T1587" s="30"/>
    </row>
    <row r="1588" spans="1:30" x14ac:dyDescent="0.4">
      <c r="A1588" s="210">
        <v>45791</v>
      </c>
      <c r="B1588" s="151" t="s">
        <v>65</v>
      </c>
      <c r="C1588" s="30" t="str">
        <f>VLOOKUP(B1588,'112年全品項生產鍋數'!A:H,2,0)</f>
        <v>＃1花生(1*2.8kg)</v>
      </c>
      <c r="D1588" s="287">
        <v>60</v>
      </c>
      <c r="E1588" s="48">
        <f>VLOOKUP(B1588,'112年全品項生產鍋數'!A:H,3,0)</f>
        <v>2.8</v>
      </c>
      <c r="F1588" s="142">
        <f>VLOOKUP(B1588,'112年全品項生產鍋數'!A:H,7,0)</f>
        <v>44.5</v>
      </c>
      <c r="G1588" s="143">
        <f t="shared" si="198"/>
        <v>2670</v>
      </c>
      <c r="H1588" s="156">
        <v>2682</v>
      </c>
      <c r="I1588" s="23">
        <f t="shared" si="204"/>
        <v>7509.5999999999995</v>
      </c>
      <c r="J1588" s="100">
        <f t="shared" si="205"/>
        <v>1.0044943820224719</v>
      </c>
      <c r="K1588" s="51">
        <f>VLOOKUP(B:B,'生產達成率(目標)'!A:C,3,0)</f>
        <v>1</v>
      </c>
      <c r="L1588" s="20">
        <f t="shared" si="206"/>
        <v>4.0000000000000001E-3</v>
      </c>
      <c r="M1588" s="203" t="str">
        <f>工時!R772</f>
        <v>565</v>
      </c>
      <c r="N1588" s="144"/>
      <c r="O1588" s="144">
        <f t="shared" si="207"/>
        <v>1</v>
      </c>
      <c r="P1588" s="156">
        <v>2681</v>
      </c>
      <c r="Q1588" s="98">
        <f t="shared" si="208"/>
        <v>0.99962714392244589</v>
      </c>
      <c r="R1588" s="23"/>
      <c r="S1588" s="173"/>
      <c r="T1588" s="30"/>
    </row>
    <row r="1589" spans="1:30" x14ac:dyDescent="0.4">
      <c r="A1589" s="210">
        <v>45791</v>
      </c>
      <c r="B1589" s="151">
        <v>111010</v>
      </c>
      <c r="C1589" s="30" t="str">
        <f>VLOOKUP(B1589,'112年全品項生產鍋數'!A:H,2,0)</f>
        <v>糖漬桔皮絲</v>
      </c>
      <c r="D1589" s="287">
        <v>1</v>
      </c>
      <c r="E1589" s="48">
        <f>VLOOKUP(B1589,'112年全品項生產鍋數'!A:H,3,0)</f>
        <v>1</v>
      </c>
      <c r="F1589" s="142">
        <f>VLOOKUP(B1589,'112年全品項生產鍋數'!A:H,7,0)</f>
        <v>942</v>
      </c>
      <c r="G1589" s="143">
        <f t="shared" si="198"/>
        <v>942</v>
      </c>
      <c r="H1589" s="156">
        <v>960</v>
      </c>
      <c r="I1589" s="23">
        <f t="shared" si="204"/>
        <v>960</v>
      </c>
      <c r="J1589" s="100">
        <f t="shared" si="205"/>
        <v>1.0191082802547771</v>
      </c>
      <c r="K1589" s="51">
        <f>VLOOKUP(B:B,'生產達成率(目標)'!A:C,3,0)</f>
        <v>1</v>
      </c>
      <c r="L1589" s="20">
        <f t="shared" si="206"/>
        <v>1.9E-2</v>
      </c>
      <c r="M1589" s="203" t="str">
        <f>工時!R773</f>
        <v>0</v>
      </c>
      <c r="N1589" s="144"/>
      <c r="O1589" s="144">
        <f t="shared" si="207"/>
        <v>0</v>
      </c>
      <c r="P1589" s="156">
        <v>960</v>
      </c>
      <c r="Q1589" s="98">
        <f t="shared" si="208"/>
        <v>1</v>
      </c>
      <c r="R1589" s="23"/>
      <c r="S1589" s="173"/>
      <c r="T1589" s="30"/>
    </row>
    <row r="1590" spans="1:30" x14ac:dyDescent="0.4">
      <c r="A1590" s="210">
        <v>45792</v>
      </c>
      <c r="B1590" s="151" t="s">
        <v>71</v>
      </c>
      <c r="C1590" s="30" t="str">
        <f>VLOOKUP(B1590,'112年全品項生產鍋數'!A:H,2,0)</f>
        <v>＃1草莓(1*3.2kg)</v>
      </c>
      <c r="D1590" s="287">
        <v>36</v>
      </c>
      <c r="E1590" s="48">
        <f>VLOOKUP(B1590,'112年全品項生產鍋數'!A:H,3,0)</f>
        <v>3.2</v>
      </c>
      <c r="F1590" s="142">
        <f>VLOOKUP(B1590,'112年全品項生產鍋數'!A:H,7,0)</f>
        <v>46.8</v>
      </c>
      <c r="G1590" s="143">
        <f t="shared" si="198"/>
        <v>1684.8</v>
      </c>
      <c r="H1590" s="156">
        <v>1656</v>
      </c>
      <c r="I1590" s="23">
        <f t="shared" si="204"/>
        <v>5299.2000000000007</v>
      </c>
      <c r="J1590" s="100">
        <f t="shared" si="205"/>
        <v>0.98290598290598297</v>
      </c>
      <c r="K1590" s="51">
        <f>VLOOKUP(B:B,'生產達成率(目標)'!A:C,3,0)</f>
        <v>1</v>
      </c>
      <c r="L1590" s="20">
        <f t="shared" si="206"/>
        <v>-1.7000000000000001E-2</v>
      </c>
      <c r="M1590" s="203" t="str">
        <f>工時!R774</f>
        <v>270</v>
      </c>
      <c r="N1590" s="144"/>
      <c r="O1590" s="144">
        <f t="shared" si="207"/>
        <v>1</v>
      </c>
      <c r="P1590" s="156">
        <v>1655</v>
      </c>
      <c r="Q1590" s="98">
        <f t="shared" si="208"/>
        <v>0.99939613526570048</v>
      </c>
      <c r="R1590" s="23"/>
      <c r="S1590" s="173"/>
      <c r="T1590" s="30"/>
    </row>
    <row r="1591" spans="1:30" x14ac:dyDescent="0.4">
      <c r="A1591" s="210">
        <v>45792</v>
      </c>
      <c r="B1591" s="151" t="s">
        <v>80</v>
      </c>
      <c r="C1591" s="30" t="str">
        <f>VLOOKUP(B1591,'112年全品項生產鍋數'!A:H,2,0)</f>
        <v>＃1桔子(1*3.2kg)</v>
      </c>
      <c r="D1591" s="287">
        <v>36</v>
      </c>
      <c r="E1591" s="48">
        <f>VLOOKUP(B1591,'112年全品項生產鍋數'!A:H,3,0)</f>
        <v>3.2</v>
      </c>
      <c r="F1591" s="142">
        <f>VLOOKUP(B1591,'112年全品項生產鍋數'!A:H,7,0)</f>
        <v>46.4</v>
      </c>
      <c r="G1591" s="143">
        <f t="shared" si="198"/>
        <v>1670.3999999999999</v>
      </c>
      <c r="H1591" s="156">
        <v>1660</v>
      </c>
      <c r="I1591" s="23">
        <f t="shared" si="204"/>
        <v>5312</v>
      </c>
      <c r="J1591" s="100">
        <f t="shared" si="205"/>
        <v>0.99377394636015337</v>
      </c>
      <c r="K1591" s="51">
        <f>VLOOKUP(B:B,'生產達成率(目標)'!A:C,3,0)</f>
        <v>1</v>
      </c>
      <c r="L1591" s="20">
        <f t="shared" si="206"/>
        <v>-6.0000000000000001E-3</v>
      </c>
      <c r="M1591" s="203" t="str">
        <f>工時!R775</f>
        <v>300</v>
      </c>
      <c r="N1591" s="144"/>
      <c r="O1591" s="144">
        <f t="shared" si="207"/>
        <v>1</v>
      </c>
      <c r="P1591" s="156">
        <v>1659</v>
      </c>
      <c r="Q1591" s="98">
        <f t="shared" si="208"/>
        <v>0.99939759036144582</v>
      </c>
      <c r="R1591" s="23"/>
      <c r="S1591" s="173"/>
      <c r="T1591" s="30"/>
    </row>
    <row r="1592" spans="1:30" x14ac:dyDescent="0.4">
      <c r="A1592" s="210">
        <v>45792</v>
      </c>
      <c r="B1592" s="151" t="s">
        <v>55</v>
      </c>
      <c r="C1592" s="30" t="str">
        <f>VLOOKUP(B1592,'112年全品項生產鍋數'!A:H,2,0)</f>
        <v>天天開心草莓餡4.5KG</v>
      </c>
      <c r="D1592" s="287">
        <v>20</v>
      </c>
      <c r="E1592" s="48">
        <f>VLOOKUP(B1592,'112年全品項生產鍋數'!A:H,3,0)</f>
        <v>4.5</v>
      </c>
      <c r="F1592" s="142">
        <f>VLOOKUP(B1592,'112年全品項生產鍋數'!A:H,7,0)</f>
        <v>36.299999999999997</v>
      </c>
      <c r="G1592" s="143">
        <f t="shared" si="198"/>
        <v>726</v>
      </c>
      <c r="H1592" s="156">
        <v>731</v>
      </c>
      <c r="I1592" s="23">
        <f t="shared" si="204"/>
        <v>3289.5</v>
      </c>
      <c r="J1592" s="100">
        <f t="shared" si="205"/>
        <v>1.0068870523415978</v>
      </c>
      <c r="K1592" s="51">
        <f>VLOOKUP(B:B,'生產達成率(目標)'!A:C,3,0)</f>
        <v>1</v>
      </c>
      <c r="L1592" s="20">
        <f t="shared" si="206"/>
        <v>7.0000000000000001E-3</v>
      </c>
      <c r="M1592" s="203" t="str">
        <f>工時!R776</f>
        <v>346</v>
      </c>
      <c r="N1592" s="144"/>
      <c r="O1592" s="144">
        <f t="shared" si="207"/>
        <v>0</v>
      </c>
      <c r="P1592" s="156">
        <v>731</v>
      </c>
      <c r="Q1592" s="98">
        <f t="shared" si="208"/>
        <v>1</v>
      </c>
      <c r="R1592" s="23"/>
      <c r="S1592" s="173"/>
      <c r="T1592" s="30"/>
    </row>
    <row r="1593" spans="1:30" x14ac:dyDescent="0.4">
      <c r="A1593" s="210">
        <v>45792</v>
      </c>
      <c r="B1593" s="151" t="s">
        <v>56</v>
      </c>
      <c r="C1593" s="30" t="str">
        <f>VLOOKUP(B1593,'112年全品項生產鍋數'!A:H,2,0)</f>
        <v>天天熱帶水果餡 4.5KG</v>
      </c>
      <c r="D1593" s="287">
        <v>12</v>
      </c>
      <c r="E1593" s="48">
        <f>VLOOKUP(B1593,'112年全品項生產鍋數'!A:H,3,0)</f>
        <v>4.5</v>
      </c>
      <c r="F1593" s="142">
        <f>VLOOKUP(B1593,'112年全品項生產鍋數'!A:H,7,0)</f>
        <v>34.5</v>
      </c>
      <c r="G1593" s="143">
        <f t="shared" si="198"/>
        <v>414</v>
      </c>
      <c r="H1593" s="156">
        <v>422</v>
      </c>
      <c r="I1593" s="23">
        <f t="shared" si="204"/>
        <v>1899</v>
      </c>
      <c r="J1593" s="100">
        <f t="shared" si="205"/>
        <v>1.0193236714975846</v>
      </c>
      <c r="K1593" s="51">
        <f>VLOOKUP(B:B,'生產達成率(目標)'!A:C,3,0)</f>
        <v>1</v>
      </c>
      <c r="L1593" s="20">
        <f t="shared" si="206"/>
        <v>1.9E-2</v>
      </c>
      <c r="M1593" s="203" t="str">
        <f>工時!R777</f>
        <v>233</v>
      </c>
      <c r="N1593" s="144"/>
      <c r="O1593" s="144">
        <f t="shared" si="207"/>
        <v>0</v>
      </c>
      <c r="P1593" s="156">
        <v>422</v>
      </c>
      <c r="Q1593" s="98">
        <f t="shared" si="208"/>
        <v>1</v>
      </c>
      <c r="R1593" s="23"/>
      <c r="S1593" s="173"/>
      <c r="T1593" s="30"/>
    </row>
    <row r="1594" spans="1:30" x14ac:dyDescent="0.4">
      <c r="A1594" s="210">
        <v>45792</v>
      </c>
      <c r="B1594" s="151" t="s">
        <v>118</v>
      </c>
      <c r="C1594" s="30" t="str">
        <f>VLOOKUP(B1594,'112年全品項生產鍋數'!A:H,2,0)</f>
        <v>草莓餡(1*4.5kg)</v>
      </c>
      <c r="D1594" s="287">
        <v>4</v>
      </c>
      <c r="E1594" s="48">
        <f>VLOOKUP(B1594,'112年全品項生產鍋數'!A:H,3,0)</f>
        <v>4.5</v>
      </c>
      <c r="F1594" s="142">
        <f>VLOOKUP(B1594,'112年全品項生產鍋數'!A:H,7,0)</f>
        <v>34.5</v>
      </c>
      <c r="G1594" s="143">
        <f t="shared" si="198"/>
        <v>138</v>
      </c>
      <c r="H1594" s="156">
        <v>137</v>
      </c>
      <c r="I1594" s="23">
        <f t="shared" si="204"/>
        <v>616.5</v>
      </c>
      <c r="J1594" s="100">
        <f t="shared" si="205"/>
        <v>0.99275362318840576</v>
      </c>
      <c r="K1594" s="51">
        <f>VLOOKUP(B:B,'生產達成率(目標)'!A:C,3,0)</f>
        <v>1</v>
      </c>
      <c r="L1594" s="20">
        <f t="shared" si="206"/>
        <v>-7.0000000000000001E-3</v>
      </c>
      <c r="M1594" s="203" t="str">
        <f>工時!R778</f>
        <v>130</v>
      </c>
      <c r="N1594" s="144"/>
      <c r="O1594" s="144">
        <f t="shared" si="207"/>
        <v>0</v>
      </c>
      <c r="P1594" s="156">
        <v>137</v>
      </c>
      <c r="Q1594" s="98">
        <f t="shared" si="208"/>
        <v>1</v>
      </c>
      <c r="R1594" s="23"/>
      <c r="S1594" s="173"/>
      <c r="T1594" s="30"/>
    </row>
    <row r="1595" spans="1:30" x14ac:dyDescent="0.4">
      <c r="A1595" s="210">
        <v>45792</v>
      </c>
      <c r="B1595" s="151" t="s">
        <v>83</v>
      </c>
      <c r="C1595" s="30" t="str">
        <f>VLOOKUP(B1595,'112年全品項生產鍋數'!A:H,2,0)</f>
        <v>PET瓶花生(粒)(1*340g)</v>
      </c>
      <c r="D1595" s="287">
        <v>8</v>
      </c>
      <c r="E1595" s="48">
        <f>VLOOKUP(B1595,'112年全品項生產鍋數'!A:H,3,0)</f>
        <v>0.34</v>
      </c>
      <c r="F1595" s="142">
        <f>VLOOKUP(B1595,'112年全品項生產鍋數'!A:H,7,0)</f>
        <v>366</v>
      </c>
      <c r="G1595" s="143">
        <f t="shared" si="198"/>
        <v>2928</v>
      </c>
      <c r="H1595" s="144">
        <f>2402+532</f>
        <v>2934</v>
      </c>
      <c r="I1595" s="23">
        <f t="shared" si="204"/>
        <v>997.56000000000006</v>
      </c>
      <c r="J1595" s="100">
        <f t="shared" si="205"/>
        <v>1.0020491803278688</v>
      </c>
      <c r="K1595" s="51">
        <f>VLOOKUP(B:B,'生產達成率(目標)'!A:C,3,0)</f>
        <v>1</v>
      </c>
      <c r="L1595" s="20">
        <f t="shared" si="206"/>
        <v>2E-3</v>
      </c>
      <c r="M1595" s="203" t="str">
        <f>工時!R779</f>
        <v>180</v>
      </c>
      <c r="N1595" s="144"/>
      <c r="O1595" s="144">
        <f t="shared" si="207"/>
        <v>85</v>
      </c>
      <c r="P1595" s="156">
        <f>2400+449</f>
        <v>2849</v>
      </c>
      <c r="Q1595" s="98">
        <f t="shared" si="208"/>
        <v>0.97102931152010907</v>
      </c>
      <c r="R1595" s="23"/>
      <c r="S1595" s="173"/>
      <c r="T1595" s="30" t="s">
        <v>967</v>
      </c>
    </row>
    <row r="1596" spans="1:30" x14ac:dyDescent="0.4">
      <c r="A1596" s="210">
        <v>45792</v>
      </c>
      <c r="B1596" s="151" t="s">
        <v>104</v>
      </c>
      <c r="C1596" s="30" t="str">
        <f>VLOOKUP(B1596,'112年全品項生產鍋數'!A:H,2,0)</f>
        <v>＃1花生(粒)(1*2.8kg)</v>
      </c>
      <c r="D1596" s="287">
        <v>40</v>
      </c>
      <c r="E1596" s="48">
        <f>VLOOKUP(B1596,'112年全品項生產鍋數'!A:H,3,0)</f>
        <v>2.8</v>
      </c>
      <c r="F1596" s="142">
        <f>VLOOKUP(B1596,'112年全品項生產鍋數'!A:H,7,0)</f>
        <v>44.2</v>
      </c>
      <c r="G1596" s="143">
        <f t="shared" ref="G1596:G1643" si="209">D1596*F1596</f>
        <v>1768</v>
      </c>
      <c r="H1596" s="144">
        <v>1775</v>
      </c>
      <c r="I1596" s="23">
        <f t="shared" si="204"/>
        <v>4970</v>
      </c>
      <c r="J1596" s="100">
        <f t="shared" si="205"/>
        <v>1.0039592760180995</v>
      </c>
      <c r="K1596" s="51">
        <f>VLOOKUP(B:B,'生產達成率(目標)'!A:C,3,0)</f>
        <v>1</v>
      </c>
      <c r="L1596" s="20">
        <f t="shared" si="206"/>
        <v>4.0000000000000001E-3</v>
      </c>
      <c r="M1596" s="203" t="str">
        <f>工時!R780</f>
        <v>350</v>
      </c>
      <c r="N1596" s="144"/>
      <c r="O1596" s="144">
        <f t="shared" si="207"/>
        <v>5</v>
      </c>
      <c r="P1596" s="156">
        <v>1770</v>
      </c>
      <c r="Q1596" s="98">
        <f t="shared" si="208"/>
        <v>0.9971830985915493</v>
      </c>
      <c r="R1596" s="23"/>
      <c r="S1596" s="173"/>
      <c r="T1596" s="30"/>
    </row>
    <row r="1597" spans="1:30" s="146" customFormat="1" x14ac:dyDescent="0.4">
      <c r="A1597" s="212">
        <v>45793</v>
      </c>
      <c r="B1597" s="151" t="s">
        <v>61</v>
      </c>
      <c r="C1597" s="140" t="str">
        <f>VLOOKUP(B1597,'112年全品項生產鍋數'!A:H,2,0)</f>
        <v>大圓草莓-新</v>
      </c>
      <c r="D1597" s="287">
        <v>40</v>
      </c>
      <c r="E1597" s="141">
        <f>VLOOKUP(B1597,'112年全品項生產鍋數'!A:H,3,0)</f>
        <v>0.44</v>
      </c>
      <c r="F1597" s="142">
        <f>VLOOKUP(B1597,'112年全品項生產鍋數'!A:H,7,0)</f>
        <v>344</v>
      </c>
      <c r="G1597" s="143">
        <f t="shared" si="209"/>
        <v>13760</v>
      </c>
      <c r="H1597" s="156">
        <v>13697</v>
      </c>
      <c r="I1597" s="144">
        <f t="shared" si="204"/>
        <v>6026.68</v>
      </c>
      <c r="J1597" s="100">
        <f t="shared" si="205"/>
        <v>0.99542151162790693</v>
      </c>
      <c r="K1597" s="51">
        <f>VLOOKUP(B:B,'生產達成率(目標)'!A:C,3,0)</f>
        <v>1</v>
      </c>
      <c r="L1597" s="20">
        <f t="shared" si="206"/>
        <v>-5.0000000000000001E-3</v>
      </c>
      <c r="M1597" s="203" t="str">
        <f>工時!R781</f>
        <v>540</v>
      </c>
      <c r="N1597" s="144"/>
      <c r="O1597" s="144">
        <f t="shared" si="207"/>
        <v>9</v>
      </c>
      <c r="P1597" s="156">
        <v>13688</v>
      </c>
      <c r="Q1597" s="145">
        <f t="shared" si="208"/>
        <v>0.99934292180769513</v>
      </c>
      <c r="R1597" s="144"/>
      <c r="S1597" s="153"/>
      <c r="T1597" s="140"/>
      <c r="V1597" s="381"/>
      <c r="W1597" s="421"/>
      <c r="X1597" s="381"/>
      <c r="Y1597" s="421"/>
      <c r="Z1597" s="421"/>
      <c r="AA1597" s="421"/>
      <c r="AB1597" s="421"/>
      <c r="AC1597" s="421"/>
      <c r="AD1597" s="421"/>
    </row>
    <row r="1598" spans="1:30" x14ac:dyDescent="0.4">
      <c r="A1598" s="210">
        <v>45793</v>
      </c>
      <c r="B1598" s="151" t="s">
        <v>63</v>
      </c>
      <c r="C1598" s="30" t="str">
        <f>VLOOKUP(B1598,'112年全品項生產鍋數'!A:H,2,0)</f>
        <v>草莓蒟蒻餡(1*6kg)</v>
      </c>
      <c r="D1598" s="287">
        <v>16</v>
      </c>
      <c r="E1598" s="48">
        <f>VLOOKUP(B1598,'112年全品項生產鍋數'!A:H,3,0)</f>
        <v>6</v>
      </c>
      <c r="F1598" s="142">
        <f>VLOOKUP(B1598,'112年全品項生產鍋數'!A:H,7,0)</f>
        <v>25.7</v>
      </c>
      <c r="G1598" s="143">
        <f t="shared" si="209"/>
        <v>411.2</v>
      </c>
      <c r="H1598" s="156">
        <f>198+215</f>
        <v>413</v>
      </c>
      <c r="I1598" s="23">
        <f t="shared" si="204"/>
        <v>2478</v>
      </c>
      <c r="J1598" s="100">
        <f t="shared" si="205"/>
        <v>1.0043774319066148</v>
      </c>
      <c r="K1598" s="51">
        <f>VLOOKUP(B:B,'生產達成率(目標)'!A:C,3,0)</f>
        <v>1</v>
      </c>
      <c r="L1598" s="20">
        <f t="shared" si="206"/>
        <v>4.0000000000000001E-3</v>
      </c>
      <c r="M1598" s="203" t="str">
        <f>工時!R782</f>
        <v>210</v>
      </c>
      <c r="N1598" s="144"/>
      <c r="O1598" s="144">
        <f t="shared" si="207"/>
        <v>2</v>
      </c>
      <c r="P1598" s="156">
        <f>197+214</f>
        <v>411</v>
      </c>
      <c r="Q1598" s="98">
        <f t="shared" si="208"/>
        <v>0.99515738498789341</v>
      </c>
      <c r="R1598" s="23"/>
      <c r="S1598" s="173"/>
      <c r="T1598" s="30"/>
    </row>
    <row r="1599" spans="1:30" x14ac:dyDescent="0.4">
      <c r="A1599" s="210">
        <v>45793</v>
      </c>
      <c r="B1599" s="151" t="s">
        <v>54</v>
      </c>
      <c r="C1599" s="30" t="str">
        <f>VLOOKUP(B1599,'112年全品項生產鍋數'!A:H,2,0)</f>
        <v>草莓醬(1*6kg)</v>
      </c>
      <c r="D1599" s="287">
        <v>24</v>
      </c>
      <c r="E1599" s="48">
        <f>VLOOKUP(B1599,'112年全品項生產鍋數'!A:H,3,0)</f>
        <v>6</v>
      </c>
      <c r="F1599" s="142">
        <f>VLOOKUP(B1599,'112年全品項生產鍋數'!A:H,7,0)</f>
        <v>26.6</v>
      </c>
      <c r="G1599" s="143">
        <f t="shared" si="209"/>
        <v>638.40000000000009</v>
      </c>
      <c r="H1599" s="156">
        <v>742</v>
      </c>
      <c r="I1599" s="23">
        <f t="shared" si="204"/>
        <v>4452</v>
      </c>
      <c r="J1599" s="100">
        <f t="shared" si="205"/>
        <v>1.1622807017543857</v>
      </c>
      <c r="K1599" s="51">
        <f>VLOOKUP(B:B,'生產達成率(目標)'!A:C,3,0)</f>
        <v>1</v>
      </c>
      <c r="L1599" s="20">
        <f t="shared" si="206"/>
        <v>0.16200000000000001</v>
      </c>
      <c r="M1599" s="203" t="str">
        <f>工時!R783</f>
        <v>350</v>
      </c>
      <c r="N1599" s="144"/>
      <c r="O1599" s="144">
        <f t="shared" si="207"/>
        <v>5</v>
      </c>
      <c r="P1599" s="156">
        <v>737</v>
      </c>
      <c r="Q1599" s="98">
        <f t="shared" si="208"/>
        <v>0.99326145552560652</v>
      </c>
      <c r="R1599" s="23"/>
      <c r="S1599" s="153">
        <f>120*6</f>
        <v>720</v>
      </c>
      <c r="T1599" s="140" t="s">
        <v>1082</v>
      </c>
    </row>
    <row r="1600" spans="1:30" ht="34" x14ac:dyDescent="0.4">
      <c r="A1600" s="210">
        <v>45793</v>
      </c>
      <c r="B1600" s="151" t="s">
        <v>640</v>
      </c>
      <c r="C1600" s="30" t="str">
        <f>VLOOKUP(B1600,'112年全品項生產鍋數'!A:H,2,0)</f>
        <v>花生醬(1*290g)</v>
      </c>
      <c r="D1600" s="287">
        <v>8</v>
      </c>
      <c r="E1600" s="48">
        <f>VLOOKUP(B1600,'112年全品項生產鍋數'!A:H,3,0)</f>
        <v>0.28999999999999998</v>
      </c>
      <c r="F1600" s="142">
        <f>VLOOKUP(B1600,'112年全品項生產鍋數'!A:H,7,0)</f>
        <v>0</v>
      </c>
      <c r="G1600" s="143">
        <f>D1600*F1600</f>
        <v>0</v>
      </c>
      <c r="H1600" s="156">
        <f>2403</f>
        <v>2403</v>
      </c>
      <c r="I1600" s="23">
        <f t="shared" si="204"/>
        <v>696.87</v>
      </c>
      <c r="J1600" s="100" t="str">
        <f t="shared" si="205"/>
        <v>無法預估數據</v>
      </c>
      <c r="K1600" s="51">
        <f>VLOOKUP(B:B,'生產達成率(目標)'!A:C,3,0)</f>
        <v>1</v>
      </c>
      <c r="L1600" s="20" t="str">
        <f t="shared" si="206"/>
        <v>無法預估數據</v>
      </c>
      <c r="M1600" s="203" t="str">
        <f>工時!R784</f>
        <v>300</v>
      </c>
      <c r="N1600" s="144"/>
      <c r="O1600" s="144">
        <f t="shared" si="207"/>
        <v>1</v>
      </c>
      <c r="P1600" s="156">
        <v>2402</v>
      </c>
      <c r="Q1600" s="98">
        <f t="shared" si="208"/>
        <v>0.99958385351643775</v>
      </c>
      <c r="R1600" s="23"/>
      <c r="S1600" s="173"/>
      <c r="T1600" s="44" t="s">
        <v>1001</v>
      </c>
    </row>
    <row r="1601" spans="1:20" x14ac:dyDescent="0.4">
      <c r="A1601" s="210">
        <v>45793</v>
      </c>
      <c r="B1601" s="151" t="s">
        <v>123</v>
      </c>
      <c r="C1601" s="30" t="str">
        <f>VLOOKUP(B1601,'112年全品項生產鍋數'!A:H,2,0)</f>
        <v>深烤焙花生醬(1*18KG)</v>
      </c>
      <c r="D1601" s="287">
        <v>28</v>
      </c>
      <c r="E1601" s="48">
        <f>VLOOKUP(B1601,'112年全品項生產鍋數'!A:H,3,0)</f>
        <v>18</v>
      </c>
      <c r="F1601" s="142">
        <f>VLOOKUP(B1601,'112年全品項生產鍋數'!A:H,7,0)</f>
        <v>6.9</v>
      </c>
      <c r="G1601" s="143">
        <f t="shared" si="209"/>
        <v>193.20000000000002</v>
      </c>
      <c r="H1601" s="156">
        <v>200</v>
      </c>
      <c r="I1601" s="23">
        <f t="shared" si="204"/>
        <v>3600</v>
      </c>
      <c r="J1601" s="100">
        <f t="shared" si="205"/>
        <v>1.0351966873706002</v>
      </c>
      <c r="K1601" s="51">
        <f>VLOOKUP(B:B,'生產達成率(目標)'!A:C,3,0)</f>
        <v>1</v>
      </c>
      <c r="L1601" s="20">
        <f t="shared" si="206"/>
        <v>3.5000000000000003E-2</v>
      </c>
      <c r="M1601" s="203" t="str">
        <f>工時!R785</f>
        <v>520</v>
      </c>
      <c r="N1601" s="144"/>
      <c r="O1601" s="144">
        <f t="shared" si="207"/>
        <v>0</v>
      </c>
      <c r="P1601" s="156">
        <v>200</v>
      </c>
      <c r="Q1601" s="98">
        <f t="shared" si="208"/>
        <v>1</v>
      </c>
      <c r="R1601" s="23"/>
      <c r="S1601" s="173"/>
      <c r="T1601" s="30"/>
    </row>
    <row r="1602" spans="1:20" x14ac:dyDescent="0.4">
      <c r="A1602" s="210">
        <v>45796</v>
      </c>
      <c r="B1602" s="151" t="s">
        <v>68</v>
      </c>
      <c r="C1602" s="30" t="str">
        <f>VLOOKUP(B1602,'112年全品項生產鍋數'!A:H,2,0)</f>
        <v>#2草莓果醬(1*900g)</v>
      </c>
      <c r="D1602" s="287">
        <v>40</v>
      </c>
      <c r="E1602" s="48">
        <f>VLOOKUP(B1602,'112年全品項生產鍋數'!A:H,3,0)</f>
        <v>0.9</v>
      </c>
      <c r="F1602" s="142">
        <f>VLOOKUP(B1602,'112年全品項生產鍋數'!A:H,7,0)</f>
        <v>160.5</v>
      </c>
      <c r="G1602" s="143">
        <f t="shared" si="209"/>
        <v>6420</v>
      </c>
      <c r="H1602" s="156">
        <v>6446</v>
      </c>
      <c r="I1602" s="23">
        <f t="shared" si="204"/>
        <v>5801.4000000000005</v>
      </c>
      <c r="J1602" s="100">
        <f t="shared" si="205"/>
        <v>1.00404984423676</v>
      </c>
      <c r="K1602" s="51">
        <f>VLOOKUP(B:B,'生產達成率(目標)'!A:C,3,0)</f>
        <v>1</v>
      </c>
      <c r="L1602" s="20">
        <f t="shared" si="206"/>
        <v>4.0000000000000001E-3</v>
      </c>
      <c r="M1602" s="137" t="str">
        <f>工時!R786</f>
        <v>540</v>
      </c>
      <c r="N1602" s="144"/>
      <c r="O1602" s="144">
        <f t="shared" si="207"/>
        <v>12</v>
      </c>
      <c r="P1602" s="156">
        <v>6434</v>
      </c>
      <c r="Q1602" s="98">
        <f t="shared" si="208"/>
        <v>0.99813838039094016</v>
      </c>
      <c r="R1602" s="23"/>
      <c r="S1602" s="173"/>
      <c r="T1602" s="30"/>
    </row>
    <row r="1603" spans="1:20" x14ac:dyDescent="0.4">
      <c r="A1603" s="210">
        <v>45796</v>
      </c>
      <c r="B1603" s="151" t="s">
        <v>63</v>
      </c>
      <c r="C1603" s="30" t="str">
        <f>VLOOKUP(B1603,'112年全品項生產鍋數'!A:H,2,0)</f>
        <v>草莓蒟蒻餡(1*6kg)</v>
      </c>
      <c r="D1603" s="287">
        <v>28</v>
      </c>
      <c r="E1603" s="48">
        <f>VLOOKUP(B1603,'112年全品項生產鍋數'!A:H,3,0)</f>
        <v>6</v>
      </c>
      <c r="F1603" s="142">
        <f>VLOOKUP(B1603,'112年全品項生產鍋數'!A:H,7,0)</f>
        <v>25.7</v>
      </c>
      <c r="G1603" s="143">
        <f t="shared" si="209"/>
        <v>719.6</v>
      </c>
      <c r="H1603" s="156">
        <f>412+317</f>
        <v>729</v>
      </c>
      <c r="I1603" s="23">
        <f t="shared" si="204"/>
        <v>4374</v>
      </c>
      <c r="J1603" s="100">
        <f t="shared" si="205"/>
        <v>1.0130628126737076</v>
      </c>
      <c r="K1603" s="51">
        <f>VLOOKUP(B:B,'生產達成率(目標)'!A:C,3,0)</f>
        <v>1</v>
      </c>
      <c r="L1603" s="20">
        <f t="shared" si="206"/>
        <v>1.2999999999999999E-2</v>
      </c>
      <c r="M1603" s="137" t="str">
        <f>工時!R787</f>
        <v>420</v>
      </c>
      <c r="N1603" s="144"/>
      <c r="O1603" s="144">
        <f t="shared" si="207"/>
        <v>1</v>
      </c>
      <c r="P1603" s="156">
        <f>411+317</f>
        <v>728</v>
      </c>
      <c r="Q1603" s="98">
        <f t="shared" si="208"/>
        <v>0.99862825788751719</v>
      </c>
      <c r="R1603" s="23"/>
      <c r="S1603" s="173"/>
      <c r="T1603" s="30"/>
    </row>
    <row r="1604" spans="1:20" x14ac:dyDescent="0.4">
      <c r="A1604" s="210">
        <v>45796</v>
      </c>
      <c r="B1604" s="151" t="s">
        <v>357</v>
      </c>
      <c r="C1604" s="30" t="str">
        <f>VLOOKUP(B1604,'112年全品項生產鍋數'!A:H,2,0)</f>
        <v>草莓醬(1*6Kg)</v>
      </c>
      <c r="D1604" s="287">
        <v>6</v>
      </c>
      <c r="E1604" s="48">
        <f>VLOOKUP(B1604,'112年全品項生產鍋數'!A:H,3,0)</f>
        <v>6</v>
      </c>
      <c r="F1604" s="142">
        <f>VLOOKUP(B1604,'112年全品項生產鍋數'!A:H,7,0)</f>
        <v>25.5</v>
      </c>
      <c r="G1604" s="143">
        <f t="shared" si="209"/>
        <v>153</v>
      </c>
      <c r="H1604" s="156">
        <v>151</v>
      </c>
      <c r="I1604" s="23">
        <f t="shared" si="204"/>
        <v>906</v>
      </c>
      <c r="J1604" s="100">
        <f t="shared" si="205"/>
        <v>0.98692810457516345</v>
      </c>
      <c r="K1604" s="51">
        <f>VLOOKUP(B:B,'生產達成率(目標)'!A:C,3,0)</f>
        <v>1</v>
      </c>
      <c r="L1604" s="20">
        <f t="shared" si="206"/>
        <v>-1.2999999999999999E-2</v>
      </c>
      <c r="M1604" s="137" t="str">
        <f>工時!R788</f>
        <v>160</v>
      </c>
      <c r="N1604" s="144"/>
      <c r="O1604" s="144">
        <f t="shared" si="207"/>
        <v>1</v>
      </c>
      <c r="P1604" s="156">
        <v>150</v>
      </c>
      <c r="Q1604" s="98">
        <f t="shared" si="208"/>
        <v>0.99337748344370858</v>
      </c>
      <c r="R1604" s="23"/>
      <c r="S1604" s="173"/>
      <c r="T1604" s="30"/>
    </row>
    <row r="1605" spans="1:20" x14ac:dyDescent="0.4">
      <c r="A1605" s="210">
        <v>45796</v>
      </c>
      <c r="B1605" s="151" t="s">
        <v>82</v>
      </c>
      <c r="C1605" s="30" t="str">
        <f>VLOOKUP(B1605,'112年全品項生產鍋數'!A:H,2,0)</f>
        <v>顆粒花生醬(全)</v>
      </c>
      <c r="D1605" s="287">
        <v>32</v>
      </c>
      <c r="E1605" s="48">
        <f>VLOOKUP(B1605,'112年全品項生產鍋數'!A:H,3,0)</f>
        <v>0.34</v>
      </c>
      <c r="F1605" s="142">
        <f>VLOOKUP(B1605,'112年全品項生產鍋數'!A:H,7,0)</f>
        <v>364.6</v>
      </c>
      <c r="G1605" s="143">
        <f t="shared" si="209"/>
        <v>11667.2</v>
      </c>
      <c r="H1605" s="156">
        <v>11565</v>
      </c>
      <c r="I1605" s="23">
        <f t="shared" si="204"/>
        <v>3932.1000000000004</v>
      </c>
      <c r="J1605" s="100">
        <f t="shared" si="205"/>
        <v>0.99124040043883699</v>
      </c>
      <c r="K1605" s="51">
        <f>VLOOKUP(B:B,'生產達成率(目標)'!A:C,3,0)</f>
        <v>1</v>
      </c>
      <c r="L1605" s="20">
        <f t="shared" si="206"/>
        <v>-8.9999999999999993E-3</v>
      </c>
      <c r="M1605" s="137" t="str">
        <f>工時!R789</f>
        <v>540</v>
      </c>
      <c r="N1605" s="144"/>
      <c r="O1605" s="144">
        <f t="shared" si="207"/>
        <v>3</v>
      </c>
      <c r="P1605" s="156">
        <v>11562</v>
      </c>
      <c r="Q1605" s="98">
        <f t="shared" si="208"/>
        <v>0.99974059662775616</v>
      </c>
      <c r="R1605" s="23"/>
      <c r="S1605" s="173"/>
      <c r="T1605" s="30"/>
    </row>
    <row r="1606" spans="1:20" ht="15.75" customHeight="1" x14ac:dyDescent="0.4">
      <c r="A1606" s="210">
        <v>45797</v>
      </c>
      <c r="B1606" s="151" t="s">
        <v>54</v>
      </c>
      <c r="C1606" s="30" t="str">
        <f>VLOOKUP(B1606,'112年全品項生產鍋數'!A:H,2,0)</f>
        <v>草莓醬(1*6kg)</v>
      </c>
      <c r="D1606" s="287">
        <v>20</v>
      </c>
      <c r="E1606" s="48">
        <f>VLOOKUP(B1606,'112年全品項生產鍋數'!A:H,3,0)</f>
        <v>6</v>
      </c>
      <c r="F1606" s="142">
        <f>VLOOKUP(B1606,'112年全品項生產鍋數'!A:H,7,0)</f>
        <v>26.6</v>
      </c>
      <c r="G1606" s="143">
        <f t="shared" si="209"/>
        <v>532</v>
      </c>
      <c r="H1606" s="156">
        <v>547</v>
      </c>
      <c r="I1606" s="23">
        <f t="shared" si="204"/>
        <v>3282</v>
      </c>
      <c r="J1606" s="100">
        <f t="shared" si="205"/>
        <v>1.0281954887218046</v>
      </c>
      <c r="K1606" s="51">
        <f>VLOOKUP(B:B,'生產達成率(目標)'!A:C,3,0)</f>
        <v>1</v>
      </c>
      <c r="L1606" s="20">
        <f t="shared" si="206"/>
        <v>2.8000000000000001E-2</v>
      </c>
      <c r="M1606" s="137" t="str">
        <f>工時!R790</f>
        <v>320</v>
      </c>
      <c r="N1606" s="144"/>
      <c r="O1606" s="144">
        <f t="shared" si="207"/>
        <v>2</v>
      </c>
      <c r="P1606" s="156">
        <v>545</v>
      </c>
      <c r="Q1606" s="98">
        <f t="shared" si="208"/>
        <v>0.99634369287020108</v>
      </c>
      <c r="R1606" s="23"/>
      <c r="S1606" s="173">
        <v>240</v>
      </c>
      <c r="T1606" s="140" t="s">
        <v>1082</v>
      </c>
    </row>
    <row r="1607" spans="1:20" x14ac:dyDescent="0.4">
      <c r="A1607" s="210">
        <v>45797</v>
      </c>
      <c r="B1607" s="151" t="s">
        <v>53</v>
      </c>
      <c r="C1607" s="30" t="str">
        <f>VLOOKUP(B1607,'112年全品項生產鍋數'!A:H,2,0)</f>
        <v>鳳梨芒果百香果醬(1*6KG)</v>
      </c>
      <c r="D1607" s="287">
        <v>12</v>
      </c>
      <c r="E1607" s="48">
        <f>VLOOKUP(B1607,'112年全品項生產鍋數'!A:H,3,0)</f>
        <v>6</v>
      </c>
      <c r="F1607" s="142">
        <f>VLOOKUP(B1607,'112年全品項生產鍋數'!A:H,7,0)</f>
        <v>25.7</v>
      </c>
      <c r="G1607" s="143">
        <f t="shared" si="209"/>
        <v>308.39999999999998</v>
      </c>
      <c r="H1607" s="156">
        <v>295</v>
      </c>
      <c r="I1607" s="23">
        <f t="shared" si="204"/>
        <v>1770</v>
      </c>
      <c r="J1607" s="100">
        <f t="shared" si="205"/>
        <v>0.95654993514915698</v>
      </c>
      <c r="K1607" s="51">
        <f>VLOOKUP(B:B,'生產達成率(目標)'!A:C,3,0)</f>
        <v>1</v>
      </c>
      <c r="L1607" s="20">
        <f t="shared" si="206"/>
        <v>-4.2999999999999997E-2</v>
      </c>
      <c r="M1607" s="137" t="str">
        <f>工時!R791</f>
        <v>220</v>
      </c>
      <c r="N1607" s="144"/>
      <c r="O1607" s="144">
        <f t="shared" si="207"/>
        <v>1</v>
      </c>
      <c r="P1607" s="156">
        <v>294</v>
      </c>
      <c r="Q1607" s="98">
        <f t="shared" si="208"/>
        <v>0.99661016949152548</v>
      </c>
      <c r="R1607" s="23"/>
      <c r="S1607" s="173"/>
      <c r="T1607" s="30"/>
    </row>
    <row r="1608" spans="1:20" x14ac:dyDescent="0.4">
      <c r="A1608" s="210">
        <v>45797</v>
      </c>
      <c r="B1608" s="151" t="s">
        <v>99</v>
      </c>
      <c r="C1608" s="30" t="str">
        <f>VLOOKUP(B1608,'112年全品項生產鍋數'!A:H,2,0)</f>
        <v>葡萄奇異果醬(1*6kg)</v>
      </c>
      <c r="D1608" s="287">
        <v>6</v>
      </c>
      <c r="E1608" s="48">
        <f>VLOOKUP(B1608,'112年全品項生產鍋數'!A:H,3,0)</f>
        <v>6</v>
      </c>
      <c r="F1608" s="142">
        <f>VLOOKUP(B1608,'112年全品項生產鍋數'!A:H,7,0)</f>
        <v>24.3</v>
      </c>
      <c r="G1608" s="143">
        <f t="shared" si="209"/>
        <v>145.80000000000001</v>
      </c>
      <c r="H1608" s="156">
        <v>144</v>
      </c>
      <c r="I1608" s="23">
        <f t="shared" si="204"/>
        <v>864</v>
      </c>
      <c r="J1608" s="100">
        <f t="shared" si="205"/>
        <v>0.98765432098765427</v>
      </c>
      <c r="K1608" s="51">
        <f>VLOOKUP(B:B,'生產達成率(目標)'!A:C,3,0)</f>
        <v>1</v>
      </c>
      <c r="L1608" s="20">
        <f t="shared" si="206"/>
        <v>-1.2E-2</v>
      </c>
      <c r="M1608" s="137" t="str">
        <f>工時!R792</f>
        <v>160</v>
      </c>
      <c r="N1608" s="144"/>
      <c r="O1608" s="144">
        <f t="shared" si="207"/>
        <v>2</v>
      </c>
      <c r="P1608" s="156">
        <v>142</v>
      </c>
      <c r="Q1608" s="98">
        <f t="shared" si="208"/>
        <v>0.98611111111111116</v>
      </c>
      <c r="R1608" s="23"/>
      <c r="S1608" s="173"/>
      <c r="T1608" s="30"/>
    </row>
    <row r="1609" spans="1:20" x14ac:dyDescent="0.4">
      <c r="A1609" s="210">
        <v>45797</v>
      </c>
      <c r="B1609" s="151" t="s">
        <v>547</v>
      </c>
      <c r="C1609" s="30" t="str">
        <f>VLOOKUP(B1609,'112年全品項生產鍋數'!A:H,2,0)</f>
        <v>草莓果醬(桶)(1*9.5KG)</v>
      </c>
      <c r="D1609" s="287">
        <v>8</v>
      </c>
      <c r="E1609" s="48">
        <f>VLOOKUP(B1609,'112年全品項生產鍋數'!A:H,3,0)</f>
        <v>9.5</v>
      </c>
      <c r="F1609" s="142">
        <f>VLOOKUP(B1609,'112年全品項生產鍋數'!A:H,7,0)</f>
        <v>16.600000000000001</v>
      </c>
      <c r="G1609" s="143">
        <f t="shared" si="209"/>
        <v>132.80000000000001</v>
      </c>
      <c r="H1609" s="156">
        <v>129</v>
      </c>
      <c r="I1609" s="23">
        <f t="shared" si="204"/>
        <v>1225.5</v>
      </c>
      <c r="J1609" s="100">
        <f t="shared" si="205"/>
        <v>0.97138554216867457</v>
      </c>
      <c r="K1609" s="51">
        <f>VLOOKUP(B:B,'生產達成率(目標)'!A:C,3,0)</f>
        <v>1</v>
      </c>
      <c r="L1609" s="20">
        <f t="shared" si="206"/>
        <v>-2.9000000000000001E-2</v>
      </c>
      <c r="M1609" s="137" t="str">
        <f>工時!R793</f>
        <v>220</v>
      </c>
      <c r="N1609" s="144"/>
      <c r="O1609" s="144">
        <f t="shared" si="207"/>
        <v>0</v>
      </c>
      <c r="P1609" s="156">
        <v>129</v>
      </c>
      <c r="Q1609" s="98">
        <f t="shared" si="208"/>
        <v>1</v>
      </c>
      <c r="R1609" s="23"/>
      <c r="S1609" s="173"/>
      <c r="T1609" s="30"/>
    </row>
    <row r="1610" spans="1:20" x14ac:dyDescent="0.4">
      <c r="A1610" s="210">
        <v>45797</v>
      </c>
      <c r="B1610" s="151" t="s">
        <v>1007</v>
      </c>
      <c r="C1610" s="30" t="str">
        <f>VLOOKUP(B1610,'112年全品項生產鍋數'!A:H,2,0)</f>
        <v>藍莓餡（大）(1*9.08kg)</v>
      </c>
      <c r="D1610" s="287">
        <v>8</v>
      </c>
      <c r="E1610" s="48">
        <f>VLOOKUP(B1610,'112年全品項生產鍋數'!A:H,3,0)</f>
        <v>9.08</v>
      </c>
      <c r="F1610" s="142">
        <f>VLOOKUP(B1610,'112年全品項生產鍋數'!A:H,7,0)</f>
        <v>17.399999999999999</v>
      </c>
      <c r="G1610" s="143">
        <f t="shared" si="209"/>
        <v>139.19999999999999</v>
      </c>
      <c r="H1610" s="156">
        <v>143</v>
      </c>
      <c r="I1610" s="23">
        <f t="shared" si="204"/>
        <v>1298.44</v>
      </c>
      <c r="J1610" s="100">
        <f t="shared" si="205"/>
        <v>1.0272988505747127</v>
      </c>
      <c r="K1610" s="51" t="e">
        <f>VLOOKUP(B:B,'生產達成率(目標)'!A:C,3,0)</f>
        <v>#N/A</v>
      </c>
      <c r="L1610" s="20" t="e">
        <f t="shared" si="206"/>
        <v>#N/A</v>
      </c>
      <c r="M1610" s="137" t="str">
        <f>工時!R794</f>
        <v>183</v>
      </c>
      <c r="N1610" s="144"/>
      <c r="O1610" s="144">
        <f t="shared" si="207"/>
        <v>0</v>
      </c>
      <c r="P1610" s="156">
        <v>143</v>
      </c>
      <c r="Q1610" s="98">
        <f t="shared" si="208"/>
        <v>1</v>
      </c>
      <c r="R1610" s="23"/>
      <c r="S1610" s="173"/>
      <c r="T1610" s="30"/>
    </row>
    <row r="1611" spans="1:20" x14ac:dyDescent="0.4">
      <c r="A1611" s="210">
        <v>45797</v>
      </c>
      <c r="B1611" s="151" t="s">
        <v>64</v>
      </c>
      <c r="C1611" s="30" t="str">
        <f>VLOOKUP(B1611,'112年全品項生產鍋數'!A:H,2,0)</f>
        <v>藍莓餡(1*6KG)</v>
      </c>
      <c r="D1611" s="287">
        <v>20</v>
      </c>
      <c r="E1611" s="48">
        <f>VLOOKUP(B1611,'112年全品項生產鍋數'!A:H,3,0)</f>
        <v>6</v>
      </c>
      <c r="F1611" s="142">
        <f>VLOOKUP(B1611,'112年全品項生產鍋數'!A:H,7,0)</f>
        <v>25.4</v>
      </c>
      <c r="G1611" s="143">
        <f t="shared" si="209"/>
        <v>508</v>
      </c>
      <c r="H1611" s="156">
        <f>301+212</f>
        <v>513</v>
      </c>
      <c r="I1611" s="23">
        <f t="shared" si="204"/>
        <v>3078</v>
      </c>
      <c r="J1611" s="100">
        <f t="shared" si="205"/>
        <v>1.0098425196850394</v>
      </c>
      <c r="K1611" s="51">
        <f>VLOOKUP(B:B,'生產達成率(目標)'!A:C,3,0)</f>
        <v>1</v>
      </c>
      <c r="L1611" s="20">
        <f t="shared" si="206"/>
        <v>0.01</v>
      </c>
      <c r="M1611" s="137" t="str">
        <f>工時!R795</f>
        <v>300</v>
      </c>
      <c r="N1611" s="144"/>
      <c r="O1611" s="144">
        <f t="shared" si="207"/>
        <v>1</v>
      </c>
      <c r="P1611" s="156">
        <f>300+212</f>
        <v>512</v>
      </c>
      <c r="Q1611" s="98">
        <f t="shared" si="208"/>
        <v>0.99805068226120852</v>
      </c>
      <c r="R1611" s="23"/>
      <c r="S1611" s="173"/>
      <c r="T1611" s="30"/>
    </row>
    <row r="1612" spans="1:20" x14ac:dyDescent="0.4">
      <c r="A1612" s="210">
        <v>45797</v>
      </c>
      <c r="B1612" s="151" t="s">
        <v>65</v>
      </c>
      <c r="C1612" s="30" t="str">
        <f>VLOOKUP(B1612,'112年全品項生產鍋數'!A:H,2,0)</f>
        <v>＃1花生(1*2.8kg)</v>
      </c>
      <c r="D1612" s="287">
        <v>56</v>
      </c>
      <c r="E1612" s="48">
        <f>VLOOKUP(B1612,'112年全品項生產鍋數'!A:H,3,0)</f>
        <v>2.8</v>
      </c>
      <c r="F1612" s="142">
        <f>VLOOKUP(B1612,'112年全品項生產鍋數'!A:H,7,0)</f>
        <v>44.5</v>
      </c>
      <c r="G1612" s="143">
        <f>D1612*F1612-100*18/E1612</f>
        <v>1849.1428571428571</v>
      </c>
      <c r="H1612" s="156">
        <v>1855</v>
      </c>
      <c r="I1612" s="23">
        <f t="shared" si="204"/>
        <v>5194</v>
      </c>
      <c r="J1612" s="100">
        <f t="shared" si="205"/>
        <v>1.0031674907292953</v>
      </c>
      <c r="K1612" s="51">
        <f>VLOOKUP(B:B,'生產達成率(目標)'!A:C,3,0)</f>
        <v>1</v>
      </c>
      <c r="L1612" s="20">
        <f t="shared" si="206"/>
        <v>3.0000000000000001E-3</v>
      </c>
      <c r="M1612" s="137" t="str">
        <f>工時!R796</f>
        <v>570</v>
      </c>
      <c r="N1612" s="144"/>
      <c r="O1612" s="144">
        <f t="shared" si="207"/>
        <v>1</v>
      </c>
      <c r="P1612" s="156">
        <v>1854</v>
      </c>
      <c r="Q1612" s="98">
        <f t="shared" si="208"/>
        <v>0.99946091644204849</v>
      </c>
      <c r="R1612" s="23"/>
      <c r="S1612" s="173"/>
      <c r="T1612" s="30" t="s">
        <v>1008</v>
      </c>
    </row>
    <row r="1613" spans="1:20" x14ac:dyDescent="0.4">
      <c r="A1613" s="210">
        <v>45798</v>
      </c>
      <c r="B1613" s="151" t="s">
        <v>72</v>
      </c>
      <c r="C1613" s="30" t="str">
        <f>VLOOKUP(B1613,'112年全品項生產鍋數'!A:H,2,0)</f>
        <v>草莓餡45%(1*6Kg)</v>
      </c>
      <c r="D1613" s="287">
        <v>24</v>
      </c>
      <c r="E1613" s="48">
        <f>VLOOKUP(B1613,'112年全品項生產鍋數'!A:H,3,0)</f>
        <v>6</v>
      </c>
      <c r="F1613" s="142">
        <f>VLOOKUP(B1613,'112年全品項生產鍋數'!A:H,7,0)</f>
        <v>26.1</v>
      </c>
      <c r="G1613" s="143">
        <f t="shared" si="209"/>
        <v>626.40000000000009</v>
      </c>
      <c r="H1613" s="156">
        <v>644</v>
      </c>
      <c r="I1613" s="23">
        <f t="shared" si="204"/>
        <v>3864</v>
      </c>
      <c r="J1613" s="100">
        <f t="shared" ref="J1613:J1634" si="210">IF(G1613=0,"無法預估數據",H1613/G1613)</f>
        <v>1.0280970625798211</v>
      </c>
      <c r="K1613" s="51">
        <f>VLOOKUP(B:B,'生產達成率(目標)'!A:C,3,0)</f>
        <v>1</v>
      </c>
      <c r="L1613" s="20">
        <f t="shared" ref="L1613:L1634" si="211">IF(G1613=0,"無法預估數據",ROUND(J1613-K1613,3))</f>
        <v>2.8000000000000001E-2</v>
      </c>
      <c r="M1613" s="137" t="str">
        <f>工時!R797</f>
        <v>315</v>
      </c>
      <c r="N1613" s="144"/>
      <c r="O1613" s="144">
        <f t="shared" ref="O1613:O1634" si="212">H1613-N1613-P1613</f>
        <v>2</v>
      </c>
      <c r="P1613" s="156">
        <v>642</v>
      </c>
      <c r="Q1613" s="98">
        <f t="shared" ref="Q1613:Q1634" si="213">P1613/H1613</f>
        <v>0.99689440993788825</v>
      </c>
      <c r="R1613" s="23"/>
      <c r="S1613" s="173"/>
      <c r="T1613" s="30"/>
    </row>
    <row r="1614" spans="1:20" x14ac:dyDescent="0.4">
      <c r="A1614" s="210">
        <v>45798</v>
      </c>
      <c r="B1614" s="151" t="s">
        <v>997</v>
      </c>
      <c r="C1614" s="30" t="str">
        <f>VLOOKUP(B1614,'112年全品項生產鍋數'!A:H,2,0)</f>
        <v>蜜桃餡(1*6Kg)</v>
      </c>
      <c r="D1614" s="287">
        <v>16</v>
      </c>
      <c r="E1614" s="48">
        <f>VLOOKUP(B1614,'112年全品項生產鍋數'!A:H,3,0)</f>
        <v>6</v>
      </c>
      <c r="F1614" s="142">
        <f>VLOOKUP(B1614,'112年全品項生產鍋數'!A:H,7,0)</f>
        <v>25.8</v>
      </c>
      <c r="G1614" s="143">
        <f t="shared" si="209"/>
        <v>412.8</v>
      </c>
      <c r="H1614" s="156">
        <v>423</v>
      </c>
      <c r="I1614" s="23">
        <f t="shared" si="204"/>
        <v>2538</v>
      </c>
      <c r="J1614" s="100">
        <f t="shared" si="210"/>
        <v>1.0247093023255813</v>
      </c>
      <c r="K1614" s="51" t="e">
        <f>VLOOKUP(B:B,'生產達成率(目標)'!A:C,3,0)</f>
        <v>#N/A</v>
      </c>
      <c r="L1614" s="20" t="e">
        <f t="shared" si="211"/>
        <v>#N/A</v>
      </c>
      <c r="M1614" s="137" t="str">
        <f>工時!R798</f>
        <v>230</v>
      </c>
      <c r="N1614" s="144"/>
      <c r="O1614" s="144">
        <f t="shared" si="212"/>
        <v>1</v>
      </c>
      <c r="P1614" s="156">
        <v>422</v>
      </c>
      <c r="Q1614" s="98">
        <f t="shared" si="213"/>
        <v>0.99763593380614657</v>
      </c>
      <c r="R1614" s="23"/>
      <c r="S1614" s="173"/>
      <c r="T1614" s="30"/>
    </row>
    <row r="1615" spans="1:20" x14ac:dyDescent="0.4">
      <c r="A1615" s="210">
        <v>45798</v>
      </c>
      <c r="B1615" s="151" t="s">
        <v>110</v>
      </c>
      <c r="C1615" s="30" t="str">
        <f>VLOOKUP(B1615,'112年全品項生產鍋數'!A:H,2,0)</f>
        <v>顆粒花生醬(1*12KG)</v>
      </c>
      <c r="D1615" s="287">
        <v>21</v>
      </c>
      <c r="E1615" s="48">
        <f>VLOOKUP(B1615,'112年全品項生產鍋數'!A:H,3,0)</f>
        <v>3</v>
      </c>
      <c r="F1615" s="142">
        <f>VLOOKUP(B1615,'112年全品項生產鍋數'!A:H,7,0)</f>
        <v>30.8</v>
      </c>
      <c r="G1615" s="143">
        <f t="shared" si="209"/>
        <v>646.80000000000007</v>
      </c>
      <c r="H1615" s="156">
        <v>648</v>
      </c>
      <c r="I1615" s="23">
        <f t="shared" si="204"/>
        <v>1944</v>
      </c>
      <c r="J1615" s="100">
        <f t="shared" si="210"/>
        <v>1.0018552875695732</v>
      </c>
      <c r="K1615" s="51">
        <f>VLOOKUP(B:B,'生產達成率(目標)'!A:C,3,0)</f>
        <v>1</v>
      </c>
      <c r="L1615" s="20">
        <f t="shared" si="211"/>
        <v>2E-3</v>
      </c>
      <c r="M1615" s="137" t="str">
        <f>工時!R799</f>
        <v>550</v>
      </c>
      <c r="N1615" s="144"/>
      <c r="O1615" s="144">
        <f t="shared" si="212"/>
        <v>0</v>
      </c>
      <c r="P1615" s="156">
        <v>648</v>
      </c>
      <c r="Q1615" s="98">
        <f t="shared" si="213"/>
        <v>1</v>
      </c>
      <c r="R1615" s="23"/>
      <c r="S1615" s="173"/>
      <c r="T1615" s="30"/>
    </row>
    <row r="1616" spans="1:20" x14ac:dyDescent="0.4">
      <c r="A1616" s="210">
        <v>45798</v>
      </c>
      <c r="B1616" s="151" t="s">
        <v>597</v>
      </c>
      <c r="C1616" s="30" t="str">
        <f>VLOOKUP(B1616,'112年全品項生產鍋數'!A:H,2,0)</f>
        <v>無加糖花生醬(1*290g)</v>
      </c>
      <c r="D1616" s="287">
        <v>8</v>
      </c>
      <c r="E1616" s="48">
        <f>VLOOKUP(B1616,'112年全品項生產鍋數'!A:H,3,0)</f>
        <v>0.28999999999999998</v>
      </c>
      <c r="F1616" s="142">
        <f>VLOOKUP(B1616,'112年全品項生產鍋數'!A:H,7,0)</f>
        <v>388</v>
      </c>
      <c r="G1616" s="143">
        <f t="shared" si="209"/>
        <v>3104</v>
      </c>
      <c r="H1616" s="156">
        <v>3349</v>
      </c>
      <c r="I1616" s="23">
        <f t="shared" si="204"/>
        <v>971.20999999999992</v>
      </c>
      <c r="J1616" s="100">
        <f t="shared" si="210"/>
        <v>1.0789304123711341</v>
      </c>
      <c r="K1616" s="51">
        <f>VLOOKUP(B:B,'生產達成率(目標)'!A:C,3,0)</f>
        <v>1</v>
      </c>
      <c r="L1616" s="20">
        <f t="shared" si="211"/>
        <v>7.9000000000000001E-2</v>
      </c>
      <c r="M1616" s="137" t="str">
        <f>工時!R800</f>
        <v>225</v>
      </c>
      <c r="N1616" s="144"/>
      <c r="O1616" s="144">
        <f t="shared" si="212"/>
        <v>4</v>
      </c>
      <c r="P1616" s="156">
        <v>3345</v>
      </c>
      <c r="Q1616" s="98">
        <f t="shared" si="213"/>
        <v>0.99880561361600473</v>
      </c>
      <c r="R1616" s="23"/>
      <c r="S1616" s="173"/>
      <c r="T1616" s="30" t="s">
        <v>1009</v>
      </c>
    </row>
    <row r="1617" spans="1:30" x14ac:dyDescent="0.4">
      <c r="A1617" s="210">
        <v>45798</v>
      </c>
      <c r="B1617" s="151" t="s">
        <v>471</v>
      </c>
      <c r="C1617" s="30" t="str">
        <f>VLOOKUP(B1617,'112年全品項生產鍋數'!A:H,2,0)</f>
        <v>花生醬(1*290g)</v>
      </c>
      <c r="D1617" s="287">
        <v>8</v>
      </c>
      <c r="E1617" s="48">
        <f>VLOOKUP(B1617,'112年全品項生產鍋數'!A:H,3,0)</f>
        <v>0.28999999999999998</v>
      </c>
      <c r="F1617" s="142">
        <f>VLOOKUP(B1617,'112年全品項生產鍋數'!A:H,7,0)</f>
        <v>412.6</v>
      </c>
      <c r="G1617" s="143">
        <f t="shared" si="209"/>
        <v>3300.8</v>
      </c>
      <c r="H1617" s="156">
        <v>3475</v>
      </c>
      <c r="I1617" s="23">
        <f t="shared" ref="I1617:I1666" si="214">H1617*E1617</f>
        <v>1007.7499999999999</v>
      </c>
      <c r="J1617" s="100">
        <f t="shared" si="210"/>
        <v>1.0527750848279205</v>
      </c>
      <c r="K1617" s="51">
        <f>VLOOKUP(B:B,'生產達成率(目標)'!A:C,3,0)</f>
        <v>1</v>
      </c>
      <c r="L1617" s="20">
        <f t="shared" si="211"/>
        <v>5.2999999999999999E-2</v>
      </c>
      <c r="M1617" s="137" t="str">
        <f>工時!R801</f>
        <v>225</v>
      </c>
      <c r="N1617" s="144"/>
      <c r="O1617" s="144">
        <f t="shared" si="212"/>
        <v>3</v>
      </c>
      <c r="P1617" s="156">
        <v>3472</v>
      </c>
      <c r="Q1617" s="98">
        <f t="shared" si="213"/>
        <v>0.99913669064748201</v>
      </c>
      <c r="R1617" s="23"/>
      <c r="S1617" s="173"/>
      <c r="T1617" s="30" t="s">
        <v>1010</v>
      </c>
    </row>
    <row r="1618" spans="1:30" x14ac:dyDescent="0.4">
      <c r="A1618" s="210">
        <v>45799</v>
      </c>
      <c r="B1618" s="151" t="s">
        <v>71</v>
      </c>
      <c r="C1618" s="30" t="str">
        <f>VLOOKUP(B1618,'112年全品項生產鍋數'!A:H,2,0)</f>
        <v>＃1草莓(1*3.2kg)</v>
      </c>
      <c r="D1618" s="287">
        <v>72</v>
      </c>
      <c r="E1618" s="48">
        <f>VLOOKUP(B1618,'112年全品項生產鍋數'!A:H,3,0)</f>
        <v>3.2</v>
      </c>
      <c r="F1618" s="142">
        <f>VLOOKUP(B1618,'112年全品項生產鍋數'!A:H,7,0)</f>
        <v>46.8</v>
      </c>
      <c r="G1618" s="143">
        <f t="shared" si="209"/>
        <v>3369.6</v>
      </c>
      <c r="H1618" s="156">
        <v>3328</v>
      </c>
      <c r="I1618" s="23">
        <f t="shared" si="214"/>
        <v>10649.6</v>
      </c>
      <c r="J1618" s="100">
        <f t="shared" si="210"/>
        <v>0.98765432098765438</v>
      </c>
      <c r="K1618" s="51">
        <f>VLOOKUP(B:B,'生產達成率(目標)'!A:C,3,0)</f>
        <v>1</v>
      </c>
      <c r="L1618" s="20">
        <f t="shared" si="211"/>
        <v>-1.2E-2</v>
      </c>
      <c r="M1618" s="137" t="str">
        <f>工時!R802</f>
        <v>540</v>
      </c>
      <c r="N1618" s="144"/>
      <c r="O1618" s="144">
        <f t="shared" si="212"/>
        <v>2</v>
      </c>
      <c r="P1618" s="156">
        <v>3326</v>
      </c>
      <c r="Q1618" s="98">
        <f t="shared" si="213"/>
        <v>0.99939903846153844</v>
      </c>
      <c r="R1618" s="23"/>
      <c r="S1618" s="173"/>
      <c r="T1618" s="30"/>
    </row>
    <row r="1619" spans="1:30" x14ac:dyDescent="0.4">
      <c r="A1619" s="210">
        <v>45799</v>
      </c>
      <c r="B1619" s="151" t="s">
        <v>63</v>
      </c>
      <c r="C1619" s="30" t="str">
        <f>VLOOKUP(B1619,'112年全品項生產鍋數'!A:H,2,0)</f>
        <v>草莓蒟蒻餡(1*6kg)</v>
      </c>
      <c r="D1619" s="287">
        <v>20</v>
      </c>
      <c r="E1619" s="48">
        <f>VLOOKUP(B1619,'112年全品項生產鍋數'!A:H,3,0)</f>
        <v>6</v>
      </c>
      <c r="F1619" s="142">
        <f>VLOOKUP(B1619,'112年全品項生產鍋數'!A:H,7,0)</f>
        <v>25.7</v>
      </c>
      <c r="G1619" s="143">
        <f t="shared" si="209"/>
        <v>514</v>
      </c>
      <c r="H1619" s="156">
        <f>309+219</f>
        <v>528</v>
      </c>
      <c r="I1619" s="23">
        <f t="shared" si="214"/>
        <v>3168</v>
      </c>
      <c r="J1619" s="100">
        <f t="shared" si="210"/>
        <v>1.027237354085603</v>
      </c>
      <c r="K1619" s="51">
        <f>VLOOKUP(B:B,'生產達成率(目標)'!A:C,3,0)</f>
        <v>1</v>
      </c>
      <c r="L1619" s="20">
        <f t="shared" si="211"/>
        <v>2.7E-2</v>
      </c>
      <c r="M1619" s="137" t="str">
        <f>工時!R803</f>
        <v>325</v>
      </c>
      <c r="N1619" s="144"/>
      <c r="O1619" s="144">
        <f t="shared" si="212"/>
        <v>1</v>
      </c>
      <c r="P1619" s="156">
        <f>308+219</f>
        <v>527</v>
      </c>
      <c r="Q1619" s="98">
        <f t="shared" si="213"/>
        <v>0.99810606060606055</v>
      </c>
      <c r="R1619" s="23"/>
      <c r="S1619" s="173"/>
      <c r="T1619" s="30"/>
    </row>
    <row r="1620" spans="1:30" x14ac:dyDescent="0.4">
      <c r="A1620" s="210">
        <v>45799</v>
      </c>
      <c r="B1620" s="151" t="s">
        <v>965</v>
      </c>
      <c r="C1620" s="30" t="str">
        <f>VLOOKUP(B1620,'112年全品項生產鍋數'!A:H,2,0)</f>
        <v>草莓餡°(1*6KG)</v>
      </c>
      <c r="D1620" s="287">
        <v>16</v>
      </c>
      <c r="E1620" s="48">
        <f>VLOOKUP(B1620,'112年全品項生產鍋數'!A:H,3,0)</f>
        <v>6</v>
      </c>
      <c r="F1620" s="142">
        <f>VLOOKUP(B1620,'112年全品項生產鍋數'!A:H,7,0)</f>
        <v>0</v>
      </c>
      <c r="G1620" s="143">
        <f t="shared" si="209"/>
        <v>0</v>
      </c>
      <c r="H1620" s="156">
        <v>401</v>
      </c>
      <c r="I1620" s="23">
        <f t="shared" si="214"/>
        <v>2406</v>
      </c>
      <c r="J1620" s="100" t="str">
        <f t="shared" si="210"/>
        <v>無法預估數據</v>
      </c>
      <c r="K1620" s="51">
        <f>VLOOKUP(B:B,'生產達成率(目標)'!A:C,3,0)</f>
        <v>1</v>
      </c>
      <c r="L1620" s="20" t="str">
        <f t="shared" si="211"/>
        <v>無法預估數據</v>
      </c>
      <c r="M1620" s="137" t="str">
        <f>工時!R804</f>
        <v>220</v>
      </c>
      <c r="N1620" s="144"/>
      <c r="O1620" s="144">
        <f t="shared" si="212"/>
        <v>2</v>
      </c>
      <c r="P1620" s="156">
        <v>399</v>
      </c>
      <c r="Q1620" s="98">
        <f t="shared" si="213"/>
        <v>0.99501246882793015</v>
      </c>
      <c r="R1620" s="23"/>
      <c r="S1620" s="173"/>
      <c r="T1620" s="30"/>
    </row>
    <row r="1621" spans="1:30" x14ac:dyDescent="0.4">
      <c r="A1621" s="210">
        <v>45799</v>
      </c>
      <c r="B1621" s="151" t="s">
        <v>602</v>
      </c>
      <c r="C1621" s="30" t="str">
        <f>VLOOKUP(B1621,'112年全品項生產鍋數'!A:H,2,0)</f>
        <v>顆粒花生醬(1*8kg)</v>
      </c>
      <c r="D1621" s="287">
        <v>8</v>
      </c>
      <c r="E1621" s="48">
        <f>VLOOKUP(B1621,'112年全品項生產鍋數'!A:H,3,0)</f>
        <v>8</v>
      </c>
      <c r="F1621" s="142">
        <f>VLOOKUP(B1621,'112年全品項生產鍋數'!A:H,7,0)</f>
        <v>19.600000000000001</v>
      </c>
      <c r="G1621" s="143">
        <f t="shared" si="209"/>
        <v>156.80000000000001</v>
      </c>
      <c r="H1621" s="156">
        <f>52*3+1</f>
        <v>157</v>
      </c>
      <c r="I1621" s="23">
        <f t="shared" si="214"/>
        <v>1256</v>
      </c>
      <c r="J1621" s="100">
        <f t="shared" si="210"/>
        <v>1.0012755102040816</v>
      </c>
      <c r="K1621" s="51">
        <f>VLOOKUP(B:B,'生產達成率(目標)'!A:C,3,0)</f>
        <v>1</v>
      </c>
      <c r="L1621" s="20">
        <f t="shared" si="211"/>
        <v>1E-3</v>
      </c>
      <c r="M1621" s="137" t="str">
        <f>工時!R805</f>
        <v>210</v>
      </c>
      <c r="N1621" s="144"/>
      <c r="O1621" s="144">
        <f t="shared" si="212"/>
        <v>0</v>
      </c>
      <c r="P1621" s="156">
        <f>52*3+1</f>
        <v>157</v>
      </c>
      <c r="Q1621" s="98">
        <f t="shared" si="213"/>
        <v>1</v>
      </c>
      <c r="R1621" s="23"/>
      <c r="S1621" s="173"/>
      <c r="T1621" s="30"/>
    </row>
    <row r="1622" spans="1:30" s="146" customFormat="1" x14ac:dyDescent="0.4">
      <c r="A1622" s="212">
        <v>45799</v>
      </c>
      <c r="B1622" s="151" t="s">
        <v>65</v>
      </c>
      <c r="C1622" s="140" t="str">
        <f>VLOOKUP(B1622,'112年全品項生產鍋數'!A:H,2,0)</f>
        <v>＃1花生(1*2.8kg)</v>
      </c>
      <c r="D1622" s="287">
        <v>44</v>
      </c>
      <c r="E1622" s="141">
        <f>VLOOKUP(B1622,'112年全品項生產鍋數'!A:H,3,0)</f>
        <v>2.8</v>
      </c>
      <c r="F1622" s="142">
        <f>VLOOKUP(B1622,'112年全品項生產鍋數'!A:H,7,0)</f>
        <v>44.5</v>
      </c>
      <c r="G1622" s="143">
        <f t="shared" si="209"/>
        <v>1958</v>
      </c>
      <c r="H1622" s="156">
        <v>1969</v>
      </c>
      <c r="I1622" s="144">
        <f t="shared" si="214"/>
        <v>5513.2</v>
      </c>
      <c r="J1622" s="100">
        <f t="shared" si="210"/>
        <v>1.0056179775280898</v>
      </c>
      <c r="K1622" s="51">
        <f>VLOOKUP(B:B,'生產達成率(目標)'!A:C,3,0)</f>
        <v>1</v>
      </c>
      <c r="L1622" s="20">
        <f t="shared" si="211"/>
        <v>6.0000000000000001E-3</v>
      </c>
      <c r="M1622" s="137" t="str">
        <f>工時!R806</f>
        <v>430</v>
      </c>
      <c r="N1622" s="144"/>
      <c r="O1622" s="144">
        <f t="shared" si="212"/>
        <v>1</v>
      </c>
      <c r="P1622" s="156">
        <v>1968</v>
      </c>
      <c r="Q1622" s="145">
        <f t="shared" si="213"/>
        <v>0.99949212798374809</v>
      </c>
      <c r="R1622" s="144"/>
      <c r="S1622" s="153"/>
      <c r="T1622" s="140"/>
      <c r="V1622" s="381"/>
      <c r="W1622" s="421"/>
      <c r="X1622" s="381"/>
      <c r="Y1622" s="421"/>
      <c r="Z1622" s="421"/>
      <c r="AA1622" s="421"/>
      <c r="AB1622" s="421"/>
      <c r="AC1622" s="421"/>
      <c r="AD1622" s="421"/>
    </row>
    <row r="1623" spans="1:30" x14ac:dyDescent="0.4">
      <c r="A1623" s="210">
        <v>45800</v>
      </c>
      <c r="B1623" s="151" t="s">
        <v>979</v>
      </c>
      <c r="C1623" s="30" t="str">
        <f>VLOOKUP(B1623,'112年全品項生產鍋數'!A:H,2,0)</f>
        <v>＃1藍莓(1*3.2kg)</v>
      </c>
      <c r="D1623" s="287">
        <v>36</v>
      </c>
      <c r="E1623" s="48">
        <f>VLOOKUP(B1623,'112年全品項生產鍋數'!A:H,3,0)</f>
        <v>3.2</v>
      </c>
      <c r="F1623" s="142">
        <f>VLOOKUP(B1623,'112年全品項生產鍋數'!A:H,7,0)</f>
        <v>47.5</v>
      </c>
      <c r="G1623" s="143">
        <f t="shared" si="209"/>
        <v>1710</v>
      </c>
      <c r="H1623" s="156">
        <v>1669</v>
      </c>
      <c r="I1623" s="23">
        <f t="shared" si="214"/>
        <v>5340.8</v>
      </c>
      <c r="J1623" s="100">
        <f t="shared" si="210"/>
        <v>0.97602339181286546</v>
      </c>
      <c r="K1623" s="51" t="e">
        <f>VLOOKUP(B:B,'生產達成率(目標)'!A:C,3,0)</f>
        <v>#N/A</v>
      </c>
      <c r="L1623" s="20" t="e">
        <f t="shared" si="211"/>
        <v>#N/A</v>
      </c>
      <c r="M1623" s="137" t="str">
        <f>工時!R807</f>
        <v>300</v>
      </c>
      <c r="N1623" s="144"/>
      <c r="O1623" s="144">
        <f t="shared" si="212"/>
        <v>1</v>
      </c>
      <c r="P1623" s="156">
        <v>1668</v>
      </c>
      <c r="Q1623" s="98">
        <f t="shared" si="213"/>
        <v>0.99940083882564412</v>
      </c>
      <c r="R1623" s="23"/>
      <c r="S1623" s="173"/>
      <c r="T1623" s="30"/>
    </row>
    <row r="1624" spans="1:30" s="146" customFormat="1" x14ac:dyDescent="0.4">
      <c r="A1624" s="212">
        <v>45800</v>
      </c>
      <c r="B1624" s="151" t="s">
        <v>456</v>
      </c>
      <c r="C1624" s="140" t="str">
        <f>VLOOKUP(B1624,'112年全品項生產鍋數'!A:H,2,0)</f>
        <v>桑椹果醬(1*190g)</v>
      </c>
      <c r="D1624" s="287">
        <v>3</v>
      </c>
      <c r="E1624" s="141">
        <f>VLOOKUP(B1624,'112年全品項生產鍋數'!A:H,3,0)</f>
        <v>0.19</v>
      </c>
      <c r="F1624" s="142">
        <f>VLOOKUP(B1624,'112年全品項生產鍋數'!A:H,7,0)</f>
        <v>759.3</v>
      </c>
      <c r="G1624" s="143">
        <f t="shared" si="209"/>
        <v>2277.8999999999996</v>
      </c>
      <c r="H1624" s="156">
        <v>2188</v>
      </c>
      <c r="I1624" s="144">
        <f t="shared" si="214"/>
        <v>415.72</v>
      </c>
      <c r="J1624" s="100">
        <f t="shared" si="210"/>
        <v>0.96053382501426765</v>
      </c>
      <c r="K1624" s="51">
        <f>VLOOKUP(B:B,'生產達成率(目標)'!A:C,3,0)</f>
        <v>1</v>
      </c>
      <c r="L1624" s="20">
        <f t="shared" si="211"/>
        <v>-3.9E-2</v>
      </c>
      <c r="M1624" s="137" t="str">
        <f>工時!R808</f>
        <v>240</v>
      </c>
      <c r="N1624" s="144"/>
      <c r="O1624" s="144">
        <f t="shared" si="212"/>
        <v>8</v>
      </c>
      <c r="P1624" s="156">
        <v>2180</v>
      </c>
      <c r="Q1624" s="145">
        <f t="shared" si="213"/>
        <v>0.99634369287020108</v>
      </c>
      <c r="R1624" s="144"/>
      <c r="S1624" s="153"/>
      <c r="T1624" s="140"/>
      <c r="V1624" s="381"/>
      <c r="W1624" s="421"/>
      <c r="X1624" s="381"/>
      <c r="Y1624" s="421"/>
      <c r="Z1624" s="421"/>
      <c r="AA1624" s="421"/>
      <c r="AB1624" s="421"/>
      <c r="AC1624" s="421"/>
      <c r="AD1624" s="421"/>
    </row>
    <row r="1625" spans="1:30" x14ac:dyDescent="0.4">
      <c r="A1625" s="210">
        <v>45800</v>
      </c>
      <c r="B1625" s="151" t="s">
        <v>109</v>
      </c>
      <c r="C1625" s="30" t="str">
        <f>VLOOKUP(B1625,'112年全品項生產鍋數'!A:H,2,0)</f>
        <v>蔓越莓醬(1*6KG)</v>
      </c>
      <c r="D1625" s="287">
        <v>12</v>
      </c>
      <c r="E1625" s="48">
        <f>VLOOKUP(B1625,'112年全品項生產鍋數'!A:H,3,0)</f>
        <v>6</v>
      </c>
      <c r="F1625" s="142">
        <f>VLOOKUP(B1625,'112年全品項生產鍋數'!A:H,7,0)</f>
        <v>25.6</v>
      </c>
      <c r="G1625" s="143">
        <f t="shared" si="209"/>
        <v>307.20000000000005</v>
      </c>
      <c r="H1625" s="156">
        <v>317</v>
      </c>
      <c r="I1625" s="23">
        <f t="shared" si="214"/>
        <v>1902</v>
      </c>
      <c r="J1625" s="100">
        <f t="shared" si="210"/>
        <v>1.0319010416666665</v>
      </c>
      <c r="K1625" s="51">
        <f>VLOOKUP(B:B,'生產達成率(目標)'!A:C,3,0)</f>
        <v>1</v>
      </c>
      <c r="L1625" s="20">
        <f t="shared" si="211"/>
        <v>3.2000000000000001E-2</v>
      </c>
      <c r="M1625" s="137" t="str">
        <f>工時!R809</f>
        <v>210</v>
      </c>
      <c r="N1625" s="144"/>
      <c r="O1625" s="144">
        <f t="shared" si="212"/>
        <v>2</v>
      </c>
      <c r="P1625" s="156">
        <v>315</v>
      </c>
      <c r="Q1625" s="98">
        <f t="shared" si="213"/>
        <v>0.99369085173501581</v>
      </c>
      <c r="R1625" s="23"/>
      <c r="S1625" s="173"/>
      <c r="T1625" s="30"/>
    </row>
    <row r="1626" spans="1:30" s="146" customFormat="1" x14ac:dyDescent="0.4">
      <c r="A1626" s="212">
        <v>45800</v>
      </c>
      <c r="B1626" s="151" t="s">
        <v>54</v>
      </c>
      <c r="C1626" s="140" t="str">
        <f>VLOOKUP(B1626,'112年全品項生產鍋數'!A:H,2,0)</f>
        <v>草莓醬(1*6kg)</v>
      </c>
      <c r="D1626" s="287">
        <v>24</v>
      </c>
      <c r="E1626" s="141">
        <f>VLOOKUP(B1626,'112年全品項生產鍋數'!A:H,3,0)</f>
        <v>6</v>
      </c>
      <c r="F1626" s="142">
        <f>VLOOKUP(B1626,'112年全品項生產鍋數'!A:H,7,0)</f>
        <v>26.6</v>
      </c>
      <c r="G1626" s="143">
        <f t="shared" si="209"/>
        <v>638.40000000000009</v>
      </c>
      <c r="H1626" s="156">
        <v>647</v>
      </c>
      <c r="I1626" s="144">
        <f t="shared" si="214"/>
        <v>3882</v>
      </c>
      <c r="J1626" s="100">
        <f t="shared" si="210"/>
        <v>1.013471177944862</v>
      </c>
      <c r="K1626" s="51">
        <f>VLOOKUP(B:B,'生產達成率(目標)'!A:C,3,0)</f>
        <v>1</v>
      </c>
      <c r="L1626" s="20">
        <f t="shared" si="211"/>
        <v>1.2999999999999999E-2</v>
      </c>
      <c r="M1626" s="137" t="str">
        <f>工時!R810</f>
        <v>330</v>
      </c>
      <c r="N1626" s="144"/>
      <c r="O1626" s="144">
        <f t="shared" si="212"/>
        <v>2</v>
      </c>
      <c r="P1626" s="156">
        <v>645</v>
      </c>
      <c r="Q1626" s="145">
        <f t="shared" si="213"/>
        <v>0.9969088098918083</v>
      </c>
      <c r="R1626" s="144"/>
      <c r="S1626" s="153">
        <v>96</v>
      </c>
      <c r="T1626" s="140" t="s">
        <v>1082</v>
      </c>
      <c r="V1626" s="381"/>
      <c r="W1626" s="421"/>
      <c r="X1626" s="381"/>
      <c r="Y1626" s="421"/>
      <c r="Z1626" s="421"/>
      <c r="AA1626" s="421"/>
      <c r="AB1626" s="421"/>
      <c r="AC1626" s="421"/>
      <c r="AD1626" s="421"/>
    </row>
    <row r="1627" spans="1:30" s="146" customFormat="1" x14ac:dyDescent="0.4">
      <c r="A1627" s="212">
        <v>45800</v>
      </c>
      <c r="B1627" s="151" t="s">
        <v>58</v>
      </c>
      <c r="C1627" s="140" t="str">
        <f>VLOOKUP(B1627,'112年全品項生產鍋數'!A:H,2,0)</f>
        <v>PET大花生(1*400g)</v>
      </c>
      <c r="D1627" s="287">
        <v>20</v>
      </c>
      <c r="E1627" s="141">
        <f>VLOOKUP(B1627,'112年全品項生產鍋數'!A:H,3,0)</f>
        <v>0.4</v>
      </c>
      <c r="F1627" s="142">
        <f>VLOOKUP(B1627,'112年全品項生產鍋數'!A:H,7,0)</f>
        <v>309.2</v>
      </c>
      <c r="G1627" s="143">
        <f t="shared" si="209"/>
        <v>6184</v>
      </c>
      <c r="H1627" s="156">
        <v>6253</v>
      </c>
      <c r="I1627" s="144">
        <f t="shared" si="214"/>
        <v>2501.2000000000003</v>
      </c>
      <c r="J1627" s="100">
        <f t="shared" si="210"/>
        <v>1.0111578266494179</v>
      </c>
      <c r="K1627" s="51">
        <f>VLOOKUP(B:B,'生產達成率(目標)'!A:C,3,0)</f>
        <v>1</v>
      </c>
      <c r="L1627" s="20">
        <f t="shared" si="211"/>
        <v>1.0999999999999999E-2</v>
      </c>
      <c r="M1627" s="137" t="str">
        <f>工時!R811</f>
        <v>310</v>
      </c>
      <c r="N1627" s="144"/>
      <c r="O1627" s="144">
        <f t="shared" si="212"/>
        <v>3</v>
      </c>
      <c r="P1627" s="156">
        <v>6250</v>
      </c>
      <c r="Q1627" s="145">
        <f t="shared" si="213"/>
        <v>0.99952023028946102</v>
      </c>
      <c r="R1627" s="144"/>
      <c r="S1627" s="153"/>
      <c r="T1627" s="140"/>
      <c r="V1627" s="381"/>
      <c r="W1627" s="421"/>
      <c r="X1627" s="381"/>
      <c r="Y1627" s="421"/>
      <c r="Z1627" s="421"/>
      <c r="AA1627" s="421"/>
      <c r="AB1627" s="421"/>
      <c r="AC1627" s="421"/>
      <c r="AD1627" s="421"/>
    </row>
    <row r="1628" spans="1:30" x14ac:dyDescent="0.4">
      <c r="A1628" s="210">
        <v>45803</v>
      </c>
      <c r="B1628" s="151" t="s">
        <v>51</v>
      </c>
      <c r="C1628" s="30" t="str">
        <f>VLOOKUP(B1628,'112年全品項生產鍋數'!A:H,2,0)</f>
        <v>藍莓醬(1*6kg)</v>
      </c>
      <c r="D1628" s="287">
        <v>16</v>
      </c>
      <c r="E1628" s="48">
        <f>VLOOKUP(B1628,'112年全品項生產鍋數'!A:H,3,0)</f>
        <v>6</v>
      </c>
      <c r="F1628" s="142">
        <f>VLOOKUP(B1628,'112年全品項生產鍋數'!A:H,7,0)</f>
        <v>25.5</v>
      </c>
      <c r="G1628" s="143">
        <f t="shared" si="209"/>
        <v>408</v>
      </c>
      <c r="H1628" s="156">
        <v>402</v>
      </c>
      <c r="I1628" s="23">
        <f t="shared" si="214"/>
        <v>2412</v>
      </c>
      <c r="J1628" s="100">
        <f t="shared" si="210"/>
        <v>0.98529411764705888</v>
      </c>
      <c r="K1628" s="51">
        <f>VLOOKUP(B:B,'生產達成率(目標)'!A:C,3,0)</f>
        <v>1</v>
      </c>
      <c r="L1628" s="20">
        <f t="shared" si="211"/>
        <v>-1.4999999999999999E-2</v>
      </c>
      <c r="M1628" s="137" t="str">
        <f>工時!R812</f>
        <v>240</v>
      </c>
      <c r="N1628" s="144"/>
      <c r="O1628" s="144">
        <f t="shared" si="212"/>
        <v>2</v>
      </c>
      <c r="P1628" s="156">
        <v>400</v>
      </c>
      <c r="Q1628" s="98">
        <f t="shared" si="213"/>
        <v>0.99502487562189057</v>
      </c>
      <c r="R1628" s="23"/>
      <c r="S1628" s="173"/>
      <c r="T1628" s="30"/>
    </row>
    <row r="1629" spans="1:30" x14ac:dyDescent="0.4">
      <c r="A1629" s="210">
        <v>45803</v>
      </c>
      <c r="B1629" s="151" t="s">
        <v>451</v>
      </c>
      <c r="C1629" s="30" t="str">
        <f>VLOOKUP(B1629,'112年全品項生產鍋數'!A:H,2,0)</f>
        <v>水蜜桃醬(1*6kg)</v>
      </c>
      <c r="D1629" s="287">
        <v>6</v>
      </c>
      <c r="E1629" s="48">
        <f>VLOOKUP(B1629,'112年全品項生產鍋數'!A:H,3,0)</f>
        <v>6</v>
      </c>
      <c r="F1629" s="142">
        <f>VLOOKUP(B1629,'112年全品項生產鍋數'!A:H,7,0)</f>
        <v>24.5</v>
      </c>
      <c r="G1629" s="143">
        <f t="shared" si="209"/>
        <v>147</v>
      </c>
      <c r="H1629" s="156">
        <v>140</v>
      </c>
      <c r="I1629" s="23">
        <f t="shared" si="214"/>
        <v>840</v>
      </c>
      <c r="J1629" s="100">
        <f t="shared" si="210"/>
        <v>0.95238095238095233</v>
      </c>
      <c r="K1629" s="51">
        <f>VLOOKUP(B:B,'生產達成率(目標)'!A:C,3,0)</f>
        <v>1</v>
      </c>
      <c r="L1629" s="20">
        <f t="shared" si="211"/>
        <v>-4.8000000000000001E-2</v>
      </c>
      <c r="M1629" s="137" t="str">
        <f>工時!R813</f>
        <v>150</v>
      </c>
      <c r="N1629" s="144"/>
      <c r="O1629" s="144">
        <f t="shared" si="212"/>
        <v>1</v>
      </c>
      <c r="P1629" s="156">
        <v>139</v>
      </c>
      <c r="Q1629" s="98">
        <f t="shared" si="213"/>
        <v>0.99285714285714288</v>
      </c>
      <c r="R1629" s="23"/>
      <c r="S1629" s="173"/>
      <c r="T1629" s="30"/>
    </row>
    <row r="1630" spans="1:30" x14ac:dyDescent="0.4">
      <c r="A1630" s="210">
        <v>45803</v>
      </c>
      <c r="B1630" s="151" t="s">
        <v>54</v>
      </c>
      <c r="C1630" s="30" t="str">
        <f>VLOOKUP(B1630,'112年全品項生產鍋數'!A:H,2,0)</f>
        <v>草莓醬(1*6kg)</v>
      </c>
      <c r="D1630" s="287">
        <v>18</v>
      </c>
      <c r="E1630" s="48">
        <f>VLOOKUP(B1630,'112年全品項生產鍋數'!A:H,3,0)</f>
        <v>6</v>
      </c>
      <c r="F1630" s="142">
        <f>VLOOKUP(B1630,'112年全品項生產鍋數'!A:H,7,0)</f>
        <v>26.6</v>
      </c>
      <c r="G1630" s="143">
        <f t="shared" si="209"/>
        <v>478.8</v>
      </c>
      <c r="H1630" s="156">
        <v>460</v>
      </c>
      <c r="I1630" s="23">
        <f t="shared" si="214"/>
        <v>2760</v>
      </c>
      <c r="J1630" s="100">
        <f t="shared" si="210"/>
        <v>0.960735171261487</v>
      </c>
      <c r="K1630" s="51">
        <f>VLOOKUP(B:B,'生產達成率(目標)'!A:C,3,0)</f>
        <v>1</v>
      </c>
      <c r="L1630" s="20">
        <f t="shared" si="211"/>
        <v>-3.9E-2</v>
      </c>
      <c r="M1630" s="137" t="str">
        <f>工時!R814</f>
        <v>240</v>
      </c>
      <c r="N1630" s="144"/>
      <c r="O1630" s="144">
        <f t="shared" si="212"/>
        <v>4</v>
      </c>
      <c r="P1630" s="156">
        <v>456</v>
      </c>
      <c r="Q1630" s="98">
        <f t="shared" si="213"/>
        <v>0.99130434782608701</v>
      </c>
      <c r="R1630" s="23"/>
      <c r="S1630" s="173"/>
      <c r="T1630" s="30"/>
    </row>
    <row r="1631" spans="1:30" x14ac:dyDescent="0.4">
      <c r="A1631" s="210">
        <v>45803</v>
      </c>
      <c r="B1631" s="151" t="s">
        <v>646</v>
      </c>
      <c r="C1631" s="30" t="str">
        <f>VLOOKUP(B1631,'112年全品項生產鍋數'!A:H,2,0)</f>
        <v>玫瑰洛神餡(1*4.5KG)</v>
      </c>
      <c r="D1631" s="287">
        <v>3</v>
      </c>
      <c r="E1631" s="48">
        <f>VLOOKUP(B1631,'112年全品項生產鍋數'!A:H,3,0)</f>
        <v>4.5</v>
      </c>
      <c r="F1631" s="142">
        <f>VLOOKUP(B1631,'112年全品項生產鍋數'!A:H,7,0)</f>
        <v>32.9</v>
      </c>
      <c r="G1631" s="143">
        <f t="shared" si="209"/>
        <v>98.699999999999989</v>
      </c>
      <c r="H1631" s="156">
        <v>101</v>
      </c>
      <c r="I1631" s="23">
        <f t="shared" si="214"/>
        <v>454.5</v>
      </c>
      <c r="J1631" s="100">
        <f t="shared" si="210"/>
        <v>1.0233029381965553</v>
      </c>
      <c r="K1631" s="51">
        <f>VLOOKUP(B:B,'生產達成率(目標)'!A:C,3,0)</f>
        <v>1</v>
      </c>
      <c r="L1631" s="20">
        <f t="shared" si="211"/>
        <v>2.3E-2</v>
      </c>
      <c r="M1631" s="137" t="str">
        <f>工時!R815</f>
        <v>130</v>
      </c>
      <c r="N1631" s="144"/>
      <c r="O1631" s="144">
        <f t="shared" si="212"/>
        <v>0</v>
      </c>
      <c r="P1631" s="156">
        <v>101</v>
      </c>
      <c r="Q1631" s="98">
        <f t="shared" si="213"/>
        <v>1</v>
      </c>
      <c r="R1631" s="23"/>
      <c r="S1631" s="173"/>
      <c r="T1631" s="30"/>
    </row>
    <row r="1632" spans="1:30" x14ac:dyDescent="0.4">
      <c r="A1632" s="210">
        <v>45803</v>
      </c>
      <c r="B1632" s="151" t="s">
        <v>55</v>
      </c>
      <c r="C1632" s="30" t="str">
        <f>VLOOKUP(B1632,'112年全品項生產鍋數'!A:H,2,0)</f>
        <v>天天開心草莓餡4.5KG</v>
      </c>
      <c r="D1632" s="287">
        <v>24</v>
      </c>
      <c r="E1632" s="48">
        <f>VLOOKUP(B1632,'112年全品項生產鍋數'!A:H,3,0)</f>
        <v>4.5</v>
      </c>
      <c r="F1632" s="142">
        <f>VLOOKUP(B1632,'112年全品項生產鍋數'!A:H,7,0)</f>
        <v>36.299999999999997</v>
      </c>
      <c r="G1632" s="143">
        <f t="shared" si="209"/>
        <v>871.19999999999993</v>
      </c>
      <c r="H1632" s="156">
        <v>875</v>
      </c>
      <c r="I1632" s="23">
        <f t="shared" si="214"/>
        <v>3937.5</v>
      </c>
      <c r="J1632" s="100">
        <f t="shared" si="210"/>
        <v>1.0043617998163454</v>
      </c>
      <c r="K1632" s="51">
        <f>VLOOKUP(B:B,'生產達成率(目標)'!A:C,3,0)</f>
        <v>1</v>
      </c>
      <c r="L1632" s="20">
        <f t="shared" si="211"/>
        <v>4.0000000000000001E-3</v>
      </c>
      <c r="M1632" s="137" t="str">
        <f>工時!R816</f>
        <v>370</v>
      </c>
      <c r="N1632" s="144"/>
      <c r="O1632" s="144">
        <f t="shared" si="212"/>
        <v>0</v>
      </c>
      <c r="P1632" s="156">
        <v>875</v>
      </c>
      <c r="Q1632" s="98">
        <f t="shared" si="213"/>
        <v>1</v>
      </c>
      <c r="R1632" s="23"/>
      <c r="S1632" s="173"/>
      <c r="T1632" s="30"/>
    </row>
    <row r="1633" spans="1:30" x14ac:dyDescent="0.4">
      <c r="A1633" s="210">
        <v>45803</v>
      </c>
      <c r="B1633" s="151" t="s">
        <v>117</v>
      </c>
      <c r="C1633" s="30" t="str">
        <f>VLOOKUP(B1633,'112年全品項生產鍋數'!A:H,2,0)</f>
        <v>草莓餡(1*4.5Kg)</v>
      </c>
      <c r="D1633" s="287">
        <v>8</v>
      </c>
      <c r="E1633" s="48">
        <f>VLOOKUP(B1633,'112年全品項生產鍋數'!A:H,3,0)</f>
        <v>4.5</v>
      </c>
      <c r="F1633" s="142">
        <f>VLOOKUP(B1633,'112年全品項生產鍋數'!A:H,7,0)</f>
        <v>35.6</v>
      </c>
      <c r="G1633" s="143">
        <f t="shared" si="209"/>
        <v>284.8</v>
      </c>
      <c r="H1633" s="156">
        <v>277</v>
      </c>
      <c r="I1633" s="23">
        <f t="shared" si="214"/>
        <v>1246.5</v>
      </c>
      <c r="J1633" s="100">
        <f t="shared" si="210"/>
        <v>0.9726123595505618</v>
      </c>
      <c r="K1633" s="51">
        <f>VLOOKUP(B:B,'生產達成率(目標)'!A:C,3,0)</f>
        <v>1</v>
      </c>
      <c r="L1633" s="20">
        <f t="shared" si="211"/>
        <v>-2.7E-2</v>
      </c>
      <c r="M1633" s="137" t="str">
        <f>工時!R817</f>
        <v>248</v>
      </c>
      <c r="N1633" s="144"/>
      <c r="O1633" s="144">
        <f t="shared" si="212"/>
        <v>0</v>
      </c>
      <c r="P1633" s="156">
        <v>277</v>
      </c>
      <c r="Q1633" s="98">
        <f t="shared" si="213"/>
        <v>1</v>
      </c>
      <c r="R1633" s="23"/>
      <c r="S1633" s="173"/>
      <c r="T1633" s="30"/>
    </row>
    <row r="1634" spans="1:30" x14ac:dyDescent="0.4">
      <c r="A1634" s="210">
        <v>45803</v>
      </c>
      <c r="B1634" s="151" t="s">
        <v>104</v>
      </c>
      <c r="C1634" s="30" t="str">
        <f>VLOOKUP(B1634,'112年全品項生產鍋數'!A:H,2,0)</f>
        <v>＃1花生(粒)(1*2.8kg)</v>
      </c>
      <c r="D1634" s="287">
        <v>72</v>
      </c>
      <c r="E1634" s="48">
        <f>VLOOKUP(B1634,'112年全品項生產鍋數'!A:H,3,0)</f>
        <v>2.8</v>
      </c>
      <c r="F1634" s="142">
        <f>VLOOKUP(B1634,'112年全品項生產鍋數'!A:H,7,0)</f>
        <v>44.2</v>
      </c>
      <c r="G1634" s="143">
        <f>D1634*F1634-100*18/E1634</f>
        <v>2539.5428571428574</v>
      </c>
      <c r="H1634" s="156">
        <v>2553</v>
      </c>
      <c r="I1634" s="23">
        <f t="shared" si="214"/>
        <v>7148.4</v>
      </c>
      <c r="J1634" s="100">
        <f t="shared" si="210"/>
        <v>1.0052990414472796</v>
      </c>
      <c r="K1634" s="51">
        <f>VLOOKUP(B:B,'生產達成率(目標)'!A:C,3,0)</f>
        <v>1</v>
      </c>
      <c r="L1634" s="20">
        <f t="shared" si="211"/>
        <v>5.0000000000000001E-3</v>
      </c>
      <c r="M1634" s="137" t="str">
        <f>工時!R818</f>
        <v>625</v>
      </c>
      <c r="N1634" s="144"/>
      <c r="O1634" s="144">
        <f t="shared" si="212"/>
        <v>2</v>
      </c>
      <c r="P1634" s="156">
        <v>2551</v>
      </c>
      <c r="Q1634" s="98">
        <f t="shared" si="213"/>
        <v>0.99921660791226008</v>
      </c>
      <c r="R1634" s="23" t="s">
        <v>1054</v>
      </c>
      <c r="S1634" s="173"/>
      <c r="T1634" s="30" t="s">
        <v>1055</v>
      </c>
    </row>
    <row r="1635" spans="1:30" x14ac:dyDescent="0.4">
      <c r="A1635" s="210">
        <v>45804</v>
      </c>
      <c r="B1635" s="151" t="s">
        <v>71</v>
      </c>
      <c r="C1635" s="30" t="str">
        <f>VLOOKUP(B1635,'112年全品項生產鍋數'!A:H,2,0)</f>
        <v>＃1草莓(1*3.2kg)</v>
      </c>
      <c r="D1635" s="287">
        <v>72</v>
      </c>
      <c r="E1635" s="48">
        <f>VLOOKUP(B1635,'112年全品項生產鍋數'!A:H,3,0)</f>
        <v>3.2</v>
      </c>
      <c r="F1635" s="142">
        <f>VLOOKUP(B1635,'112年全品項生產鍋數'!A:H,7,0)</f>
        <v>46.8</v>
      </c>
      <c r="G1635" s="143">
        <f t="shared" si="209"/>
        <v>3369.6</v>
      </c>
      <c r="H1635" s="156">
        <v>3357</v>
      </c>
      <c r="I1635" s="23">
        <f t="shared" si="214"/>
        <v>10742.400000000001</v>
      </c>
      <c r="J1635" s="100">
        <f t="shared" ref="J1635:J1684" si="215">IF(G1635=0,"無法預估數據",H1635/G1635)</f>
        <v>0.99626068376068377</v>
      </c>
      <c r="K1635" s="51">
        <f>VLOOKUP(B:B,'生產達成率(目標)'!A:C,3,0)</f>
        <v>1</v>
      </c>
      <c r="L1635" s="20">
        <f t="shared" ref="L1635:L1684" si="216">IF(G1635=0,"無法預估數據",ROUND(J1635-K1635,3))</f>
        <v>-4.0000000000000001E-3</v>
      </c>
      <c r="M1635" s="137" t="str">
        <f>工時!R819</f>
        <v>540</v>
      </c>
      <c r="N1635" s="144"/>
      <c r="O1635" s="144">
        <f t="shared" ref="O1635:O1684" si="217">H1635-N1635-P1635</f>
        <v>3</v>
      </c>
      <c r="P1635" s="156">
        <v>3354</v>
      </c>
      <c r="Q1635" s="98">
        <f t="shared" ref="Q1635:Q1684" si="218">P1635/H1635</f>
        <v>0.99910634495084893</v>
      </c>
      <c r="R1635" s="23"/>
      <c r="S1635" s="173"/>
      <c r="T1635" s="30"/>
    </row>
    <row r="1636" spans="1:30" x14ac:dyDescent="0.4">
      <c r="A1636" s="210">
        <v>45804</v>
      </c>
      <c r="B1636" s="151" t="s">
        <v>77</v>
      </c>
      <c r="C1636" s="30" t="str">
        <f>VLOOKUP(B1636,'112年全品項生產鍋數'!A:H,2,0)</f>
        <v>草莓餡50°(1*6Kg)</v>
      </c>
      <c r="D1636" s="287">
        <v>8</v>
      </c>
      <c r="E1636" s="48">
        <f>VLOOKUP(B1636,'112年全品項生產鍋數'!A:H,3,0)</f>
        <v>6</v>
      </c>
      <c r="F1636" s="142">
        <f>VLOOKUP(B1636,'112年全品項生產鍋數'!A:H,7,0)</f>
        <v>25</v>
      </c>
      <c r="G1636" s="143">
        <f t="shared" si="209"/>
        <v>200</v>
      </c>
      <c r="H1636" s="156">
        <v>201</v>
      </c>
      <c r="I1636" s="23">
        <f t="shared" si="214"/>
        <v>1206</v>
      </c>
      <c r="J1636" s="100">
        <f t="shared" si="215"/>
        <v>1.0049999999999999</v>
      </c>
      <c r="K1636" s="51">
        <f>VLOOKUP(B:B,'生產達成率(目標)'!A:C,3,0)</f>
        <v>1</v>
      </c>
      <c r="L1636" s="20">
        <f t="shared" si="216"/>
        <v>5.0000000000000001E-3</v>
      </c>
      <c r="M1636" s="137" t="str">
        <f>工時!R820</f>
        <v>150</v>
      </c>
      <c r="N1636" s="144"/>
      <c r="O1636" s="144">
        <f t="shared" si="217"/>
        <v>1</v>
      </c>
      <c r="P1636" s="156">
        <v>200</v>
      </c>
      <c r="Q1636" s="98">
        <f t="shared" si="218"/>
        <v>0.99502487562189057</v>
      </c>
      <c r="R1636" s="23"/>
      <c r="S1636" s="173"/>
      <c r="T1636" s="30"/>
    </row>
    <row r="1637" spans="1:30" x14ac:dyDescent="0.4">
      <c r="A1637" s="210">
        <v>45804</v>
      </c>
      <c r="B1637" s="151" t="s">
        <v>75</v>
      </c>
      <c r="C1637" s="30" t="str">
        <f>VLOOKUP(B1637,'112年全品項生產鍋數'!A:H,2,0)</f>
        <v>草莓椰果餡(1*6Kg)</v>
      </c>
      <c r="D1637" s="287">
        <v>12</v>
      </c>
      <c r="E1637" s="48">
        <f>VLOOKUP(B1637,'112年全品項生產鍋數'!A:H,3,0)</f>
        <v>6</v>
      </c>
      <c r="F1637" s="142">
        <f>VLOOKUP(B1637,'112年全品項生產鍋數'!A:H,7,0)</f>
        <v>26.4</v>
      </c>
      <c r="G1637" s="143">
        <f t="shared" si="209"/>
        <v>316.79999999999995</v>
      </c>
      <c r="H1637" s="156">
        <v>325</v>
      </c>
      <c r="I1637" s="23">
        <f t="shared" si="214"/>
        <v>1950</v>
      </c>
      <c r="J1637" s="100">
        <f t="shared" si="215"/>
        <v>1.0258838383838385</v>
      </c>
      <c r="K1637" s="51">
        <f>VLOOKUP(B:B,'生產達成率(目標)'!A:C,3,0)</f>
        <v>1</v>
      </c>
      <c r="L1637" s="20">
        <f t="shared" si="216"/>
        <v>2.5999999999999999E-2</v>
      </c>
      <c r="M1637" s="137" t="str">
        <f>工時!R821</f>
        <v>225</v>
      </c>
      <c r="N1637" s="144"/>
      <c r="O1637" s="144">
        <f t="shared" si="217"/>
        <v>4</v>
      </c>
      <c r="P1637" s="156">
        <v>321</v>
      </c>
      <c r="Q1637" s="98">
        <f t="shared" si="218"/>
        <v>0.98769230769230765</v>
      </c>
      <c r="R1637" s="23"/>
      <c r="S1637" s="173"/>
      <c r="T1637" s="30"/>
    </row>
    <row r="1638" spans="1:30" x14ac:dyDescent="0.4">
      <c r="A1638" s="210">
        <v>45804</v>
      </c>
      <c r="B1638" s="151" t="s">
        <v>64</v>
      </c>
      <c r="C1638" s="30" t="str">
        <f>VLOOKUP(B1638,'112年全品項生產鍋數'!A:H,2,0)</f>
        <v>藍莓餡(1*6KG)</v>
      </c>
      <c r="D1638" s="287">
        <v>20</v>
      </c>
      <c r="E1638" s="48">
        <f>VLOOKUP(B1638,'112年全品項生產鍋數'!A:H,3,0)</f>
        <v>6</v>
      </c>
      <c r="F1638" s="142">
        <f>VLOOKUP(B1638,'112年全品項生產鍋數'!A:H,7,0)</f>
        <v>25.4</v>
      </c>
      <c r="G1638" s="143">
        <f t="shared" si="209"/>
        <v>508</v>
      </c>
      <c r="H1638" s="156">
        <f>296+218</f>
        <v>514</v>
      </c>
      <c r="I1638" s="23">
        <f t="shared" si="214"/>
        <v>3084</v>
      </c>
      <c r="J1638" s="100">
        <f t="shared" si="215"/>
        <v>1.0118110236220472</v>
      </c>
      <c r="K1638" s="51">
        <f>VLOOKUP(B:B,'生產達成率(目標)'!A:C,3,0)</f>
        <v>1</v>
      </c>
      <c r="L1638" s="20">
        <f t="shared" si="216"/>
        <v>1.2E-2</v>
      </c>
      <c r="M1638" s="137" t="str">
        <f>工時!R822</f>
        <v>270</v>
      </c>
      <c r="N1638" s="144"/>
      <c r="O1638" s="144">
        <f t="shared" si="217"/>
        <v>2</v>
      </c>
      <c r="P1638" s="156">
        <f>294+218</f>
        <v>512</v>
      </c>
      <c r="Q1638" s="98">
        <f t="shared" si="218"/>
        <v>0.99610894941634243</v>
      </c>
      <c r="R1638" s="23"/>
      <c r="S1638" s="173"/>
      <c r="T1638" s="30"/>
    </row>
    <row r="1639" spans="1:30" s="146" customFormat="1" x14ac:dyDescent="0.4">
      <c r="A1639" s="212">
        <v>45804</v>
      </c>
      <c r="B1639" s="151" t="s">
        <v>73</v>
      </c>
      <c r="C1639" s="140" t="str">
        <f>VLOOKUP(B1639,'112年全品項生產鍋數'!A:H,2,0)</f>
        <v>顆粒花生醬(1*12KG)</v>
      </c>
      <c r="D1639" s="287">
        <v>21</v>
      </c>
      <c r="E1639" s="141">
        <f>VLOOKUP(B1639,'112年全品項生產鍋數'!A:H,3,0)</f>
        <v>3</v>
      </c>
      <c r="F1639" s="142">
        <f>VLOOKUP(B1639,'112年全品項生產鍋數'!A:H,7,0)</f>
        <v>29.7</v>
      </c>
      <c r="G1639" s="143">
        <f t="shared" si="209"/>
        <v>623.69999999999993</v>
      </c>
      <c r="H1639" s="156">
        <v>632</v>
      </c>
      <c r="I1639" s="144">
        <f t="shared" si="214"/>
        <v>1896</v>
      </c>
      <c r="J1639" s="100">
        <f t="shared" si="215"/>
        <v>1.0133076799743468</v>
      </c>
      <c r="K1639" s="51">
        <f>VLOOKUP(B:B,'生產達成率(目標)'!A:C,3,0)</f>
        <v>1</v>
      </c>
      <c r="L1639" s="20">
        <f t="shared" si="216"/>
        <v>1.2999999999999999E-2</v>
      </c>
      <c r="M1639" s="137" t="str">
        <f>工時!R823</f>
        <v>540</v>
      </c>
      <c r="N1639" s="144"/>
      <c r="O1639" s="144">
        <f t="shared" si="217"/>
        <v>0</v>
      </c>
      <c r="P1639" s="156">
        <v>632</v>
      </c>
      <c r="Q1639" s="145">
        <f t="shared" si="218"/>
        <v>1</v>
      </c>
      <c r="R1639" s="144"/>
      <c r="S1639" s="153"/>
      <c r="T1639" s="140"/>
      <c r="V1639" s="381"/>
      <c r="W1639" s="421"/>
      <c r="X1639" s="381"/>
      <c r="Y1639" s="421"/>
      <c r="Z1639" s="421"/>
      <c r="AA1639" s="421"/>
      <c r="AB1639" s="421"/>
      <c r="AC1639" s="421"/>
      <c r="AD1639" s="421"/>
    </row>
    <row r="1640" spans="1:30" s="146" customFormat="1" x14ac:dyDescent="0.4">
      <c r="A1640" s="212">
        <v>45805</v>
      </c>
      <c r="B1640" s="151" t="s">
        <v>114</v>
      </c>
      <c r="C1640" s="140" t="str">
        <f>VLOOKUP(B1640,'112年全品項生產鍋數'!A:H,2,0)</f>
        <v>開心草莓果醬(1*430g)</v>
      </c>
      <c r="D1640" s="287">
        <v>15</v>
      </c>
      <c r="E1640" s="141">
        <f>VLOOKUP(B1640,'112年全品項生產鍋數'!A:H,3,0)</f>
        <v>0.43</v>
      </c>
      <c r="F1640" s="142">
        <f>VLOOKUP(B1640,'112年全品項生產鍋數'!A:H,7,0)</f>
        <v>364</v>
      </c>
      <c r="G1640" s="143">
        <f t="shared" si="209"/>
        <v>5460</v>
      </c>
      <c r="H1640" s="156">
        <v>5460</v>
      </c>
      <c r="I1640" s="144">
        <f t="shared" si="214"/>
        <v>2347.8000000000002</v>
      </c>
      <c r="J1640" s="100">
        <f t="shared" si="215"/>
        <v>1</v>
      </c>
      <c r="K1640" s="51">
        <f>VLOOKUP(B:B,'生產達成率(目標)'!A:C,3,0)</f>
        <v>1</v>
      </c>
      <c r="L1640" s="20">
        <f t="shared" si="216"/>
        <v>0</v>
      </c>
      <c r="M1640" s="137" t="str">
        <f>工時!R824</f>
        <v>300</v>
      </c>
      <c r="N1640" s="144"/>
      <c r="O1640" s="144">
        <f t="shared" si="217"/>
        <v>7</v>
      </c>
      <c r="P1640" s="156">
        <v>5453</v>
      </c>
      <c r="Q1640" s="145">
        <f t="shared" si="218"/>
        <v>0.99871794871794872</v>
      </c>
      <c r="R1640" s="144"/>
      <c r="S1640" s="153"/>
      <c r="T1640" s="140"/>
      <c r="V1640" s="381"/>
      <c r="W1640" s="421"/>
      <c r="X1640" s="381"/>
      <c r="Y1640" s="421"/>
      <c r="Z1640" s="421"/>
      <c r="AA1640" s="421"/>
      <c r="AB1640" s="421"/>
      <c r="AC1640" s="421"/>
      <c r="AD1640" s="421"/>
    </row>
    <row r="1641" spans="1:30" s="146" customFormat="1" x14ac:dyDescent="0.4">
      <c r="A1641" s="212">
        <v>45805</v>
      </c>
      <c r="B1641" s="151" t="s">
        <v>91</v>
      </c>
      <c r="C1641" s="140" t="str">
        <f>VLOOKUP(B1641,'112年全品項生產鍋數'!A:H,2,0)</f>
        <v>梨山草莓果醬(1*430g)</v>
      </c>
      <c r="D1641" s="287">
        <v>16</v>
      </c>
      <c r="E1641" s="141">
        <f>VLOOKUP(B1641,'112年全品項生產鍋數'!A:H,3,0)</f>
        <v>0.43</v>
      </c>
      <c r="F1641" s="142">
        <f>VLOOKUP(B1641,'112年全品項生產鍋數'!A:H,7,0)</f>
        <v>340.4</v>
      </c>
      <c r="G1641" s="143">
        <f t="shared" si="209"/>
        <v>5446.4</v>
      </c>
      <c r="H1641" s="156">
        <f>3267+2162</f>
        <v>5429</v>
      </c>
      <c r="I1641" s="144">
        <f t="shared" si="214"/>
        <v>2334.4699999999998</v>
      </c>
      <c r="J1641" s="100">
        <f t="shared" si="215"/>
        <v>0.99680522914218572</v>
      </c>
      <c r="K1641" s="51">
        <f>VLOOKUP(B:B,'生產達成率(目標)'!A:C,3,0)</f>
        <v>1</v>
      </c>
      <c r="L1641" s="20">
        <f t="shared" si="216"/>
        <v>-3.0000000000000001E-3</v>
      </c>
      <c r="M1641" s="137" t="str">
        <f>工時!R825</f>
        <v>300</v>
      </c>
      <c r="N1641" s="144"/>
      <c r="O1641" s="144">
        <f t="shared" si="217"/>
        <v>8</v>
      </c>
      <c r="P1641" s="156">
        <f>3261+2160</f>
        <v>5421</v>
      </c>
      <c r="Q1641" s="145">
        <f t="shared" si="218"/>
        <v>0.99852643212377967</v>
      </c>
      <c r="R1641" s="144"/>
      <c r="S1641" s="153"/>
      <c r="T1641" s="140" t="s">
        <v>1041</v>
      </c>
      <c r="V1641" s="381"/>
      <c r="W1641" s="421"/>
      <c r="X1641" s="381"/>
      <c r="Y1641" s="421"/>
      <c r="Z1641" s="421"/>
      <c r="AA1641" s="421"/>
      <c r="AB1641" s="421"/>
      <c r="AC1641" s="421"/>
      <c r="AD1641" s="421"/>
    </row>
    <row r="1642" spans="1:30" s="146" customFormat="1" x14ac:dyDescent="0.4">
      <c r="A1642" s="212">
        <v>45805</v>
      </c>
      <c r="B1642" s="151" t="s">
        <v>72</v>
      </c>
      <c r="C1642" s="140" t="str">
        <f>VLOOKUP(B1642,'112年全品項生產鍋數'!A:H,2,0)</f>
        <v>草莓餡45%(1*6Kg)</v>
      </c>
      <c r="D1642" s="287">
        <v>16</v>
      </c>
      <c r="E1642" s="141">
        <f>VLOOKUP(B1642,'112年全品項生產鍋數'!A:H,3,0)</f>
        <v>6</v>
      </c>
      <c r="F1642" s="142">
        <f>VLOOKUP(B1642,'112年全品項生產鍋數'!A:H,7,0)</f>
        <v>26.1</v>
      </c>
      <c r="G1642" s="143">
        <f t="shared" si="209"/>
        <v>417.6</v>
      </c>
      <c r="H1642" s="156">
        <v>420</v>
      </c>
      <c r="I1642" s="144">
        <f t="shared" si="214"/>
        <v>2520</v>
      </c>
      <c r="J1642" s="100">
        <f t="shared" si="215"/>
        <v>1.0057471264367817</v>
      </c>
      <c r="K1642" s="51">
        <f>VLOOKUP(B:B,'生產達成率(目標)'!A:C,3,0)</f>
        <v>1</v>
      </c>
      <c r="L1642" s="20">
        <f t="shared" si="216"/>
        <v>6.0000000000000001E-3</v>
      </c>
      <c r="M1642" s="137" t="str">
        <f>工時!R826</f>
        <v>280</v>
      </c>
      <c r="N1642" s="144"/>
      <c r="O1642" s="144">
        <f t="shared" si="217"/>
        <v>1</v>
      </c>
      <c r="P1642" s="156">
        <v>419</v>
      </c>
      <c r="Q1642" s="145">
        <f t="shared" si="218"/>
        <v>0.99761904761904763</v>
      </c>
      <c r="R1642" s="144"/>
      <c r="S1642" s="153"/>
      <c r="T1642" s="140"/>
      <c r="V1642" s="381"/>
      <c r="W1642" s="421"/>
      <c r="X1642" s="381"/>
      <c r="Y1642" s="421"/>
      <c r="Z1642" s="421"/>
      <c r="AA1642" s="421"/>
      <c r="AB1642" s="421"/>
      <c r="AC1642" s="421"/>
      <c r="AD1642" s="421"/>
    </row>
    <row r="1643" spans="1:30" s="146" customFormat="1" x14ac:dyDescent="0.4">
      <c r="A1643" s="212">
        <v>45805</v>
      </c>
      <c r="B1643" s="151" t="s">
        <v>63</v>
      </c>
      <c r="C1643" s="140" t="str">
        <f>VLOOKUP(B1643,'112年全品項生產鍋數'!A:H,2,0)</f>
        <v>草莓蒟蒻餡(1*6kg)</v>
      </c>
      <c r="D1643" s="287">
        <v>24</v>
      </c>
      <c r="E1643" s="141">
        <f>VLOOKUP(B1643,'112年全品項生產鍋數'!A:H,3,0)</f>
        <v>6</v>
      </c>
      <c r="F1643" s="142">
        <f>VLOOKUP(B1643,'112年全品項生產鍋數'!A:H,7,0)</f>
        <v>25.7</v>
      </c>
      <c r="G1643" s="143">
        <f t="shared" si="209"/>
        <v>616.79999999999995</v>
      </c>
      <c r="H1643" s="156">
        <f>313+327</f>
        <v>640</v>
      </c>
      <c r="I1643" s="144">
        <f t="shared" si="214"/>
        <v>3840</v>
      </c>
      <c r="J1643" s="100">
        <f t="shared" si="215"/>
        <v>1.0376134889753568</v>
      </c>
      <c r="K1643" s="51">
        <f>VLOOKUP(B:B,'生產達成率(目標)'!A:C,3,0)</f>
        <v>1</v>
      </c>
      <c r="L1643" s="20">
        <f t="shared" si="216"/>
        <v>3.7999999999999999E-2</v>
      </c>
      <c r="M1643" s="137" t="str">
        <f>工時!R827</f>
        <v>354</v>
      </c>
      <c r="N1643" s="144"/>
      <c r="O1643" s="144">
        <f t="shared" si="217"/>
        <v>2</v>
      </c>
      <c r="P1643" s="156">
        <f>311+327</f>
        <v>638</v>
      </c>
      <c r="Q1643" s="145">
        <f t="shared" si="218"/>
        <v>0.99687499999999996</v>
      </c>
      <c r="R1643" s="144"/>
      <c r="S1643" s="153"/>
      <c r="T1643" s="140"/>
      <c r="V1643" s="381"/>
      <c r="W1643" s="421"/>
      <c r="X1643" s="381"/>
      <c r="Y1643" s="421"/>
      <c r="Z1643" s="421"/>
      <c r="AA1643" s="421"/>
      <c r="AB1643" s="421"/>
      <c r="AC1643" s="421"/>
      <c r="AD1643" s="421"/>
    </row>
    <row r="1644" spans="1:30" s="146" customFormat="1" x14ac:dyDescent="0.4">
      <c r="A1644" s="212">
        <v>45805</v>
      </c>
      <c r="B1644" s="151" t="s">
        <v>65</v>
      </c>
      <c r="C1644" s="140" t="str">
        <f>VLOOKUP(B1644,'112年全品項生產鍋數'!A:H,2,0)</f>
        <v>＃1花生(1*2.8kg)</v>
      </c>
      <c r="D1644" s="287">
        <v>64</v>
      </c>
      <c r="E1644" s="141">
        <f>VLOOKUP(B1644,'112年全品項生產鍋數'!A:H,3,0)</f>
        <v>2.8</v>
      </c>
      <c r="F1644" s="142">
        <f>VLOOKUP(B1644,'112年全品項生產鍋數'!A:H,7,0)</f>
        <v>44.5</v>
      </c>
      <c r="G1644" s="143">
        <f>D1644*F1644-70*18/E1644</f>
        <v>2398</v>
      </c>
      <c r="H1644" s="156">
        <v>2407</v>
      </c>
      <c r="I1644" s="144">
        <f t="shared" si="214"/>
        <v>6739.5999999999995</v>
      </c>
      <c r="J1644" s="100">
        <f t="shared" si="215"/>
        <v>1.0037531276063387</v>
      </c>
      <c r="K1644" s="51">
        <f>VLOOKUP(B:B,'生產達成率(目標)'!A:C,3,0)</f>
        <v>1</v>
      </c>
      <c r="L1644" s="20">
        <f t="shared" si="216"/>
        <v>4.0000000000000001E-3</v>
      </c>
      <c r="M1644" s="137" t="str">
        <f>工時!R828</f>
        <v>690</v>
      </c>
      <c r="N1644" s="144"/>
      <c r="O1644" s="144">
        <f t="shared" si="217"/>
        <v>1</v>
      </c>
      <c r="P1644" s="156">
        <v>2406</v>
      </c>
      <c r="Q1644" s="145">
        <f t="shared" si="218"/>
        <v>0.99958454507685912</v>
      </c>
      <c r="R1644" s="144"/>
      <c r="S1644" s="153"/>
      <c r="T1644" s="140" t="s">
        <v>1042</v>
      </c>
      <c r="V1644" s="381"/>
      <c r="W1644" s="421"/>
      <c r="X1644" s="381"/>
      <c r="Y1644" s="421"/>
      <c r="Z1644" s="421"/>
      <c r="AA1644" s="421"/>
      <c r="AB1644" s="421"/>
      <c r="AC1644" s="421"/>
      <c r="AD1644" s="421"/>
    </row>
    <row r="1645" spans="1:30" s="146" customFormat="1" x14ac:dyDescent="0.4">
      <c r="A1645" s="212">
        <v>45806</v>
      </c>
      <c r="B1645" s="151" t="s">
        <v>71</v>
      </c>
      <c r="C1645" s="140" t="str">
        <f>VLOOKUP(B1645,'112年全品項生產鍋數'!A:H,2,0)</f>
        <v>＃1草莓(1*3.2kg)</v>
      </c>
      <c r="D1645" s="287">
        <v>72</v>
      </c>
      <c r="E1645" s="141">
        <f>VLOOKUP(B1645,'112年全品項生產鍋數'!A:H,3,0)</f>
        <v>3.2</v>
      </c>
      <c r="F1645" s="142">
        <f>VLOOKUP(B1645,'112年全品項生產鍋數'!A:H,7,0)</f>
        <v>46.8</v>
      </c>
      <c r="G1645" s="143">
        <f t="shared" ref="G1645:G1690" si="219">D1645*F1645</f>
        <v>3369.6</v>
      </c>
      <c r="H1645" s="156">
        <v>3367</v>
      </c>
      <c r="I1645" s="144">
        <f t="shared" si="214"/>
        <v>10774.400000000001</v>
      </c>
      <c r="J1645" s="100">
        <f t="shared" si="215"/>
        <v>0.99922839506172845</v>
      </c>
      <c r="K1645" s="51">
        <f>VLOOKUP(B:B,'生產達成率(目標)'!A:C,3,0)</f>
        <v>1</v>
      </c>
      <c r="L1645" s="20">
        <f t="shared" si="216"/>
        <v>-1E-3</v>
      </c>
      <c r="M1645" s="137" t="str">
        <f>工時!R829</f>
        <v>540</v>
      </c>
      <c r="N1645" s="144"/>
      <c r="O1645" s="144">
        <f t="shared" si="217"/>
        <v>2</v>
      </c>
      <c r="P1645" s="156">
        <v>3365</v>
      </c>
      <c r="Q1645" s="145">
        <f t="shared" si="218"/>
        <v>0.99940599940599939</v>
      </c>
      <c r="R1645" s="144"/>
      <c r="S1645" s="153"/>
      <c r="T1645" s="140"/>
      <c r="V1645" s="381"/>
      <c r="W1645" s="421"/>
      <c r="X1645" s="381"/>
      <c r="Y1645" s="421"/>
      <c r="Z1645" s="421"/>
      <c r="AA1645" s="421"/>
      <c r="AB1645" s="421"/>
      <c r="AC1645" s="421"/>
      <c r="AD1645" s="421"/>
    </row>
    <row r="1646" spans="1:30" s="146" customFormat="1" x14ac:dyDescent="0.4">
      <c r="A1646" s="212">
        <v>45806</v>
      </c>
      <c r="B1646" s="151" t="s">
        <v>63</v>
      </c>
      <c r="C1646" s="140" t="str">
        <f>VLOOKUP(B1646,'112年全品項生產鍋數'!A:H,2,0)</f>
        <v>草莓蒟蒻餡(1*6kg)</v>
      </c>
      <c r="D1646" s="287">
        <v>20</v>
      </c>
      <c r="E1646" s="141">
        <f>VLOOKUP(B1646,'112年全品項生產鍋數'!A:H,3,0)</f>
        <v>6</v>
      </c>
      <c r="F1646" s="142">
        <f>VLOOKUP(B1646,'112年全品項生產鍋數'!A:H,7,0)</f>
        <v>25.7</v>
      </c>
      <c r="G1646" s="143">
        <f t="shared" si="219"/>
        <v>514</v>
      </c>
      <c r="H1646" s="156">
        <f>307+214</f>
        <v>521</v>
      </c>
      <c r="I1646" s="144">
        <f t="shared" si="214"/>
        <v>3126</v>
      </c>
      <c r="J1646" s="100">
        <f t="shared" si="215"/>
        <v>1.0136186770428015</v>
      </c>
      <c r="K1646" s="51">
        <f>VLOOKUP(B:B,'生產達成率(目標)'!A:C,3,0)</f>
        <v>1</v>
      </c>
      <c r="L1646" s="20">
        <f t="shared" si="216"/>
        <v>1.4E-2</v>
      </c>
      <c r="M1646" s="137" t="str">
        <f>工時!R830</f>
        <v>240</v>
      </c>
      <c r="N1646" s="144"/>
      <c r="O1646" s="144">
        <f t="shared" si="217"/>
        <v>1</v>
      </c>
      <c r="P1646" s="156">
        <f>306+214</f>
        <v>520</v>
      </c>
      <c r="Q1646" s="145">
        <f t="shared" si="218"/>
        <v>0.99808061420345484</v>
      </c>
      <c r="R1646" s="144"/>
      <c r="S1646" s="153"/>
      <c r="T1646" s="140"/>
      <c r="V1646" s="381"/>
      <c r="W1646" s="421"/>
      <c r="X1646" s="381"/>
      <c r="Y1646" s="421"/>
      <c r="Z1646" s="421"/>
      <c r="AA1646" s="421"/>
      <c r="AB1646" s="421"/>
      <c r="AC1646" s="421"/>
      <c r="AD1646" s="421"/>
    </row>
    <row r="1647" spans="1:30" s="146" customFormat="1" x14ac:dyDescent="0.4">
      <c r="A1647" s="212">
        <v>45806</v>
      </c>
      <c r="B1647" s="151" t="s">
        <v>984</v>
      </c>
      <c r="C1647" s="140" t="str">
        <f>VLOOKUP(B1647,'112年全品項生產鍋數'!A:H,2,0)</f>
        <v>蘋果餡(1*6Kg)</v>
      </c>
      <c r="D1647" s="287">
        <v>12</v>
      </c>
      <c r="E1647" s="141">
        <f>VLOOKUP(B1647,'112年全品項生產鍋數'!A:H,3,0)</f>
        <v>6</v>
      </c>
      <c r="F1647" s="142">
        <f>VLOOKUP(B1647,'112年全品項生產鍋數'!A:H,7,0)</f>
        <v>25.6</v>
      </c>
      <c r="G1647" s="143">
        <f t="shared" si="219"/>
        <v>307.20000000000005</v>
      </c>
      <c r="H1647" s="156">
        <v>322</v>
      </c>
      <c r="I1647" s="144">
        <f t="shared" si="214"/>
        <v>1932</v>
      </c>
      <c r="J1647" s="100">
        <f t="shared" si="215"/>
        <v>1.0481770833333333</v>
      </c>
      <c r="K1647" s="51" t="e">
        <f>VLOOKUP(B:B,'生產達成率(目標)'!A:C,3,0)</f>
        <v>#N/A</v>
      </c>
      <c r="L1647" s="20" t="e">
        <f t="shared" si="216"/>
        <v>#N/A</v>
      </c>
      <c r="M1647" s="137" t="str">
        <f>工時!R831</f>
        <v>220</v>
      </c>
      <c r="N1647" s="144"/>
      <c r="O1647" s="144">
        <f t="shared" si="217"/>
        <v>1</v>
      </c>
      <c r="P1647" s="156">
        <v>321</v>
      </c>
      <c r="Q1647" s="145">
        <f t="shared" si="218"/>
        <v>0.99689440993788825</v>
      </c>
      <c r="R1647" s="144"/>
      <c r="S1647" s="153"/>
      <c r="T1647" s="140"/>
      <c r="V1647" s="381"/>
      <c r="W1647" s="421"/>
      <c r="X1647" s="381"/>
      <c r="Y1647" s="421"/>
      <c r="Z1647" s="421"/>
      <c r="AA1647" s="421"/>
      <c r="AB1647" s="421"/>
      <c r="AC1647" s="421"/>
      <c r="AD1647" s="421"/>
    </row>
    <row r="1648" spans="1:30" s="146" customFormat="1" x14ac:dyDescent="0.4">
      <c r="A1648" s="212">
        <v>45806</v>
      </c>
      <c r="B1648" s="151" t="s">
        <v>107</v>
      </c>
      <c r="C1648" s="140" t="str">
        <f>VLOOKUP(B1648,'112年全品項生產鍋數'!A:H,2,0)</f>
        <v>藍莓餡(1*6kg)</v>
      </c>
      <c r="D1648" s="287">
        <v>8</v>
      </c>
      <c r="E1648" s="141">
        <f>VLOOKUP(B1648,'112年全品項生產鍋數'!A:H,3,0)</f>
        <v>6</v>
      </c>
      <c r="F1648" s="142">
        <f>VLOOKUP(B1648,'112年全品項生產鍋數'!A:H,7,0)</f>
        <v>26.4</v>
      </c>
      <c r="G1648" s="143">
        <f t="shared" si="219"/>
        <v>211.2</v>
      </c>
      <c r="H1648" s="156">
        <v>205</v>
      </c>
      <c r="I1648" s="144">
        <f t="shared" si="214"/>
        <v>1230</v>
      </c>
      <c r="J1648" s="100">
        <f t="shared" si="215"/>
        <v>0.97064393939393945</v>
      </c>
      <c r="K1648" s="51">
        <f>VLOOKUP(B:B,'生產達成率(目標)'!A:C,3,0)</f>
        <v>1</v>
      </c>
      <c r="L1648" s="20">
        <f t="shared" si="216"/>
        <v>-2.9000000000000001E-2</v>
      </c>
      <c r="M1648" s="137" t="str">
        <f>工時!R832</f>
        <v>161</v>
      </c>
      <c r="N1648" s="144"/>
      <c r="O1648" s="144">
        <f t="shared" si="217"/>
        <v>1</v>
      </c>
      <c r="P1648" s="156">
        <v>204</v>
      </c>
      <c r="Q1648" s="145">
        <f t="shared" si="218"/>
        <v>0.99512195121951219</v>
      </c>
      <c r="R1648" s="144"/>
      <c r="S1648" s="153"/>
      <c r="T1648" s="140"/>
      <c r="V1648" s="381"/>
      <c r="W1648" s="421"/>
      <c r="X1648" s="381"/>
      <c r="Y1648" s="421"/>
      <c r="Z1648" s="421"/>
      <c r="AA1648" s="421"/>
      <c r="AB1648" s="421"/>
      <c r="AC1648" s="421"/>
      <c r="AD1648" s="421"/>
    </row>
    <row r="1649" spans="1:30" s="146" customFormat="1" x14ac:dyDescent="0.4">
      <c r="A1649" s="212">
        <v>45806</v>
      </c>
      <c r="B1649" s="151" t="s">
        <v>65</v>
      </c>
      <c r="C1649" s="140" t="str">
        <f>VLOOKUP(B1649,'112年全品項生產鍋數'!A:H,2,0)</f>
        <v>＃1花生(1*2.8kg)</v>
      </c>
      <c r="D1649" s="287">
        <v>24</v>
      </c>
      <c r="E1649" s="141">
        <f>VLOOKUP(B1649,'112年全品項生產鍋數'!A:H,3,0)</f>
        <v>2.8</v>
      </c>
      <c r="F1649" s="142">
        <f>VLOOKUP(B1649,'112年全品項生產鍋數'!A:H,7,0)</f>
        <v>44.5</v>
      </c>
      <c r="G1649" s="143">
        <f t="shared" si="219"/>
        <v>1068</v>
      </c>
      <c r="H1649" s="156">
        <v>1067</v>
      </c>
      <c r="I1649" s="144">
        <f t="shared" si="214"/>
        <v>2987.6</v>
      </c>
      <c r="J1649" s="100">
        <f t="shared" si="215"/>
        <v>0.99906367041198507</v>
      </c>
      <c r="K1649" s="51">
        <f>VLOOKUP(B:B,'生產達成率(目標)'!A:C,3,0)</f>
        <v>1</v>
      </c>
      <c r="L1649" s="20">
        <f t="shared" si="216"/>
        <v>-1E-3</v>
      </c>
      <c r="M1649" s="137" t="str">
        <f>工時!R833</f>
        <v>290</v>
      </c>
      <c r="N1649" s="144"/>
      <c r="O1649" s="144">
        <f t="shared" si="217"/>
        <v>1</v>
      </c>
      <c r="P1649" s="156">
        <v>1066</v>
      </c>
      <c r="Q1649" s="145">
        <f t="shared" si="218"/>
        <v>0.99906279287722588</v>
      </c>
      <c r="R1649" s="144"/>
      <c r="S1649" s="153"/>
      <c r="T1649" s="140"/>
      <c r="V1649" s="381"/>
      <c r="W1649" s="421"/>
      <c r="X1649" s="381"/>
      <c r="Y1649" s="421"/>
      <c r="Z1649" s="421"/>
      <c r="AA1649" s="421"/>
      <c r="AB1649" s="421"/>
      <c r="AC1649" s="421"/>
      <c r="AD1649" s="421"/>
    </row>
    <row r="1650" spans="1:30" x14ac:dyDescent="0.4">
      <c r="A1650" s="210">
        <v>45806</v>
      </c>
      <c r="B1650" s="151" t="s">
        <v>536</v>
      </c>
      <c r="C1650" s="30" t="str">
        <f>VLOOKUP(B1650,'112年全品項生產鍋數'!A:H,2,0)</f>
        <v>花生醬(1*3.5KG)</v>
      </c>
      <c r="D1650" s="287">
        <v>6</v>
      </c>
      <c r="E1650" s="48">
        <f>VLOOKUP(B1650,'112年全品項生產鍋數'!A:H,3,0)</f>
        <v>3.5</v>
      </c>
      <c r="F1650" s="142">
        <f>VLOOKUP(B1650,'112年全品項生產鍋數'!A:H,7,0)</f>
        <v>25.4</v>
      </c>
      <c r="G1650" s="143">
        <f t="shared" si="219"/>
        <v>152.39999999999998</v>
      </c>
      <c r="H1650" s="156">
        <v>152</v>
      </c>
      <c r="I1650" s="23">
        <f t="shared" si="214"/>
        <v>532</v>
      </c>
      <c r="J1650" s="100">
        <f t="shared" si="215"/>
        <v>0.99737532808398965</v>
      </c>
      <c r="K1650" s="51">
        <f>VLOOKUP(B:B,'生產達成率(目標)'!A:C,3,0)</f>
        <v>1</v>
      </c>
      <c r="L1650" s="20">
        <f t="shared" si="216"/>
        <v>-3.0000000000000001E-3</v>
      </c>
      <c r="M1650" s="137" t="str">
        <f>工時!R834</f>
        <v>360</v>
      </c>
      <c r="N1650" s="144"/>
      <c r="O1650" s="144">
        <f t="shared" si="217"/>
        <v>0</v>
      </c>
      <c r="P1650" s="156">
        <v>152</v>
      </c>
      <c r="Q1650" s="98">
        <f t="shared" si="218"/>
        <v>1</v>
      </c>
      <c r="R1650" s="23"/>
      <c r="S1650" s="173"/>
      <c r="T1650" s="30" t="s">
        <v>1043</v>
      </c>
    </row>
    <row r="1651" spans="1:30" s="146" customFormat="1" x14ac:dyDescent="0.4">
      <c r="A1651" s="212">
        <v>45810</v>
      </c>
      <c r="B1651" s="151" t="s">
        <v>71</v>
      </c>
      <c r="C1651" s="140" t="str">
        <f>VLOOKUP(B1651,'112年全品項生產鍋數'!A:H,2,0)</f>
        <v>＃1草莓(1*3.2kg)</v>
      </c>
      <c r="D1651" s="287">
        <v>72</v>
      </c>
      <c r="E1651" s="141">
        <f>VLOOKUP(B1651,'112年全品項生產鍋數'!A:H,3,0)</f>
        <v>3.2</v>
      </c>
      <c r="F1651" s="142">
        <f>VLOOKUP(B1651,'112年全品項生產鍋數'!A:H,7,0)</f>
        <v>46.8</v>
      </c>
      <c r="G1651" s="143">
        <f t="shared" si="219"/>
        <v>3369.6</v>
      </c>
      <c r="H1651" s="156">
        <v>3353</v>
      </c>
      <c r="I1651" s="144">
        <f t="shared" si="214"/>
        <v>10729.6</v>
      </c>
      <c r="J1651" s="100">
        <f t="shared" si="215"/>
        <v>0.99507359924026595</v>
      </c>
      <c r="K1651" s="51">
        <f>VLOOKUP(B:B,'生產達成率(目標)'!A:C,3,0)</f>
        <v>1</v>
      </c>
      <c r="L1651" s="20">
        <f t="shared" si="216"/>
        <v>-5.0000000000000001E-3</v>
      </c>
      <c r="M1651" s="203" t="str">
        <f>工時!R835</f>
        <v>540</v>
      </c>
      <c r="N1651" s="144"/>
      <c r="O1651" s="144">
        <f t="shared" si="217"/>
        <v>4</v>
      </c>
      <c r="P1651" s="156">
        <v>3349</v>
      </c>
      <c r="Q1651" s="145">
        <f t="shared" si="218"/>
        <v>0.99880703847300922</v>
      </c>
      <c r="R1651" s="144"/>
      <c r="S1651" s="153"/>
      <c r="T1651" s="140"/>
      <c r="V1651" s="381"/>
      <c r="W1651" s="421"/>
      <c r="X1651" s="381"/>
      <c r="Y1651" s="421"/>
      <c r="Z1651" s="421"/>
      <c r="AA1651" s="421"/>
      <c r="AB1651" s="421"/>
      <c r="AC1651" s="421"/>
      <c r="AD1651" s="421"/>
    </row>
    <row r="1652" spans="1:30" s="146" customFormat="1" x14ac:dyDescent="0.4">
      <c r="A1652" s="212">
        <v>45810</v>
      </c>
      <c r="B1652" s="151" t="s">
        <v>88</v>
      </c>
      <c r="C1652" s="140" t="str">
        <f>VLOOKUP(B1652,'112年全品項生產鍋數'!A:H,2,0)</f>
        <v>草莓餡(1*6KG)</v>
      </c>
      <c r="D1652" s="287">
        <v>16</v>
      </c>
      <c r="E1652" s="141">
        <f>VLOOKUP(B1652,'112年全品項生產鍋數'!A:H,3,0)</f>
        <v>6</v>
      </c>
      <c r="F1652" s="142">
        <f>VLOOKUP(B1652,'112年全品項生產鍋數'!A:H,7,0)</f>
        <v>25.5</v>
      </c>
      <c r="G1652" s="143">
        <f t="shared" si="219"/>
        <v>408</v>
      </c>
      <c r="H1652" s="156">
        <v>419</v>
      </c>
      <c r="I1652" s="144">
        <f t="shared" si="214"/>
        <v>2514</v>
      </c>
      <c r="J1652" s="100">
        <f t="shared" si="215"/>
        <v>1.0269607843137254</v>
      </c>
      <c r="K1652" s="51">
        <f>VLOOKUP(B:B,'生產達成率(目標)'!A:C,3,0)</f>
        <v>1</v>
      </c>
      <c r="L1652" s="20">
        <f t="shared" si="216"/>
        <v>2.7E-2</v>
      </c>
      <c r="M1652" s="203" t="str">
        <f>工時!R836</f>
        <v>235</v>
      </c>
      <c r="N1652" s="144"/>
      <c r="O1652" s="144">
        <f t="shared" si="217"/>
        <v>3</v>
      </c>
      <c r="P1652" s="156">
        <v>416</v>
      </c>
      <c r="Q1652" s="145">
        <f t="shared" si="218"/>
        <v>0.99284009546539376</v>
      </c>
      <c r="R1652" s="144"/>
      <c r="S1652" s="153"/>
      <c r="T1652" s="140"/>
      <c r="V1652" s="381"/>
      <c r="W1652" s="421"/>
      <c r="X1652" s="381"/>
      <c r="Y1652" s="421"/>
      <c r="Z1652" s="421"/>
      <c r="AA1652" s="421"/>
      <c r="AB1652" s="421"/>
      <c r="AC1652" s="421"/>
      <c r="AD1652" s="421"/>
    </row>
    <row r="1653" spans="1:30" s="146" customFormat="1" x14ac:dyDescent="0.4">
      <c r="A1653" s="212">
        <v>45810</v>
      </c>
      <c r="B1653" s="151" t="s">
        <v>63</v>
      </c>
      <c r="C1653" s="140" t="str">
        <f>VLOOKUP(B1653,'112年全品項生產鍋數'!A:H,2,0)</f>
        <v>草莓蒟蒻餡(1*6kg)</v>
      </c>
      <c r="D1653" s="287">
        <v>24</v>
      </c>
      <c r="E1653" s="141">
        <f>VLOOKUP(B1653,'112年全品項生產鍋數'!A:H,3,0)</f>
        <v>6</v>
      </c>
      <c r="F1653" s="142">
        <f>VLOOKUP(B1653,'112年全品項生產鍋數'!A:H,7,0)</f>
        <v>25.7</v>
      </c>
      <c r="G1653" s="143">
        <f t="shared" si="219"/>
        <v>616.79999999999995</v>
      </c>
      <c r="H1653" s="156">
        <f>304+319</f>
        <v>623</v>
      </c>
      <c r="I1653" s="144">
        <f t="shared" si="214"/>
        <v>3738</v>
      </c>
      <c r="J1653" s="100">
        <f t="shared" si="215"/>
        <v>1.0100518806744487</v>
      </c>
      <c r="K1653" s="51">
        <f>VLOOKUP(B:B,'生產達成率(目標)'!A:C,3,0)</f>
        <v>1</v>
      </c>
      <c r="L1653" s="20">
        <f t="shared" si="216"/>
        <v>0.01</v>
      </c>
      <c r="M1653" s="203" t="str">
        <f>工時!R837</f>
        <v>341</v>
      </c>
      <c r="N1653" s="144"/>
      <c r="O1653" s="144">
        <f t="shared" si="217"/>
        <v>1</v>
      </c>
      <c r="P1653" s="156">
        <f>303+319</f>
        <v>622</v>
      </c>
      <c r="Q1653" s="145">
        <f t="shared" si="218"/>
        <v>0.9983948635634029</v>
      </c>
      <c r="R1653" s="144"/>
      <c r="S1653" s="153"/>
      <c r="T1653" s="140"/>
      <c r="V1653" s="381"/>
      <c r="W1653" s="421"/>
      <c r="X1653" s="381"/>
      <c r="Y1653" s="421"/>
      <c r="Z1653" s="421"/>
      <c r="AA1653" s="421"/>
      <c r="AB1653" s="421"/>
      <c r="AC1653" s="421"/>
      <c r="AD1653" s="421"/>
    </row>
    <row r="1654" spans="1:30" s="146" customFormat="1" x14ac:dyDescent="0.4">
      <c r="A1654" s="212">
        <v>45810</v>
      </c>
      <c r="B1654" s="151" t="s">
        <v>96</v>
      </c>
      <c r="C1654" s="140" t="str">
        <f>VLOOKUP(B1654,'112年全品項生產鍋數'!A:H,2,0)</f>
        <v>PET瓶花生(1*340g)</v>
      </c>
      <c r="D1654" s="287">
        <v>20</v>
      </c>
      <c r="E1654" s="141">
        <f>VLOOKUP(B1654,'112年全品項生產鍋數'!A:H,3,0)</f>
        <v>0.34</v>
      </c>
      <c r="F1654" s="142">
        <f>VLOOKUP(B1654,'112年全品項生產鍋數'!A:H,7,0)</f>
        <v>358.3</v>
      </c>
      <c r="G1654" s="143">
        <f t="shared" si="219"/>
        <v>7166</v>
      </c>
      <c r="H1654" s="156">
        <f>4916+2402</f>
        <v>7318</v>
      </c>
      <c r="I1654" s="144">
        <f t="shared" si="214"/>
        <v>2488.1200000000003</v>
      </c>
      <c r="J1654" s="100">
        <f t="shared" si="215"/>
        <v>1.0212112754674854</v>
      </c>
      <c r="K1654" s="51">
        <f>VLOOKUP(B:B,'生產達成率(目標)'!A:C,3,0)</f>
        <v>1</v>
      </c>
      <c r="L1654" s="20">
        <f t="shared" si="216"/>
        <v>2.1000000000000001E-2</v>
      </c>
      <c r="M1654" s="203" t="str">
        <f>工時!R838</f>
        <v>310</v>
      </c>
      <c r="N1654" s="144"/>
      <c r="O1654" s="144">
        <f t="shared" si="217"/>
        <v>5</v>
      </c>
      <c r="P1654" s="156">
        <f>4913+2400</f>
        <v>7313</v>
      </c>
      <c r="Q1654" s="145">
        <f t="shared" si="218"/>
        <v>0.9993167532112599</v>
      </c>
      <c r="R1654" s="144"/>
      <c r="S1654" s="153"/>
      <c r="T1654" s="140" t="s">
        <v>1044</v>
      </c>
      <c r="V1654" s="381"/>
      <c r="W1654" s="421"/>
      <c r="X1654" s="381"/>
      <c r="Y1654" s="421"/>
      <c r="Z1654" s="421"/>
      <c r="AA1654" s="421"/>
      <c r="AB1654" s="421"/>
      <c r="AC1654" s="421"/>
      <c r="AD1654" s="421"/>
    </row>
    <row r="1655" spans="1:30" s="146" customFormat="1" x14ac:dyDescent="0.4">
      <c r="A1655" s="212">
        <v>45810</v>
      </c>
      <c r="B1655" s="151" t="s">
        <v>82</v>
      </c>
      <c r="C1655" s="140" t="str">
        <f>VLOOKUP(B1655,'112年全品項生產鍋數'!A:H,2,0)</f>
        <v>顆粒花生醬(全)</v>
      </c>
      <c r="D1655" s="287">
        <v>8</v>
      </c>
      <c r="E1655" s="141">
        <f>VLOOKUP(B1655,'112年全品項生產鍋數'!A:H,3,0)</f>
        <v>0.34</v>
      </c>
      <c r="F1655" s="142">
        <f>VLOOKUP(B1655,'112年全品項生產鍋數'!A:H,7,0)</f>
        <v>364.6</v>
      </c>
      <c r="G1655" s="143">
        <f t="shared" si="219"/>
        <v>2916.8</v>
      </c>
      <c r="H1655" s="156">
        <v>2924</v>
      </c>
      <c r="I1655" s="144">
        <f t="shared" si="214"/>
        <v>994.16000000000008</v>
      </c>
      <c r="J1655" s="100">
        <f t="shared" si="215"/>
        <v>1.0024684585847503</v>
      </c>
      <c r="K1655" s="51">
        <f>VLOOKUP(B:B,'生產達成率(目標)'!A:C,3,0)</f>
        <v>1</v>
      </c>
      <c r="L1655" s="20">
        <f t="shared" si="216"/>
        <v>2E-3</v>
      </c>
      <c r="M1655" s="203" t="str">
        <f>工時!R839</f>
        <v>210</v>
      </c>
      <c r="N1655" s="144"/>
      <c r="O1655" s="144">
        <f t="shared" si="217"/>
        <v>3</v>
      </c>
      <c r="P1655" s="156">
        <v>2921</v>
      </c>
      <c r="Q1655" s="145">
        <f t="shared" si="218"/>
        <v>0.99897400820793436</v>
      </c>
      <c r="R1655" s="144"/>
      <c r="S1655" s="153"/>
      <c r="T1655" s="140"/>
      <c r="V1655" s="381"/>
      <c r="W1655" s="421"/>
      <c r="X1655" s="381"/>
      <c r="Y1655" s="421"/>
      <c r="Z1655" s="421"/>
      <c r="AA1655" s="421"/>
      <c r="AB1655" s="421"/>
      <c r="AC1655" s="421"/>
      <c r="AD1655" s="421"/>
    </row>
    <row r="1656" spans="1:30" s="146" customFormat="1" x14ac:dyDescent="0.4">
      <c r="A1656" s="212">
        <v>45810</v>
      </c>
      <c r="B1656" s="151" t="s">
        <v>83</v>
      </c>
      <c r="C1656" s="140" t="str">
        <f>VLOOKUP(B1656,'112年全品項生產鍋數'!A:H,2,0)</f>
        <v>PET瓶花生(粒)(1*340g)</v>
      </c>
      <c r="D1656" s="287">
        <v>8</v>
      </c>
      <c r="E1656" s="141">
        <f>VLOOKUP(B1656,'112年全品項生產鍋數'!A:H,3,0)</f>
        <v>0.34</v>
      </c>
      <c r="F1656" s="142">
        <f>VLOOKUP(B1656,'112年全品項生產鍋數'!A:H,7,0)</f>
        <v>366</v>
      </c>
      <c r="G1656" s="143">
        <f t="shared" si="219"/>
        <v>2928</v>
      </c>
      <c r="H1656" s="156">
        <v>3076</v>
      </c>
      <c r="I1656" s="144">
        <f t="shared" si="214"/>
        <v>1045.8400000000001</v>
      </c>
      <c r="J1656" s="100">
        <f t="shared" si="215"/>
        <v>1.0505464480874316</v>
      </c>
      <c r="K1656" s="51">
        <f>VLOOKUP(B:B,'生產達成率(目標)'!A:C,3,0)</f>
        <v>1</v>
      </c>
      <c r="L1656" s="20">
        <f t="shared" si="216"/>
        <v>5.0999999999999997E-2</v>
      </c>
      <c r="M1656" s="203" t="str">
        <f>工時!R840</f>
        <v>240</v>
      </c>
      <c r="N1656" s="144"/>
      <c r="O1656" s="144">
        <f t="shared" si="217"/>
        <v>3</v>
      </c>
      <c r="P1656" s="156">
        <v>3073</v>
      </c>
      <c r="Q1656" s="145">
        <f t="shared" si="218"/>
        <v>0.99902470741222371</v>
      </c>
      <c r="R1656" s="144"/>
      <c r="S1656" s="153"/>
      <c r="T1656" s="140"/>
      <c r="V1656" s="381"/>
      <c r="W1656" s="421"/>
      <c r="X1656" s="381"/>
      <c r="Y1656" s="421"/>
      <c r="Z1656" s="421"/>
      <c r="AA1656" s="421"/>
      <c r="AB1656" s="421"/>
      <c r="AC1656" s="421"/>
      <c r="AD1656" s="421"/>
    </row>
    <row r="1657" spans="1:30" s="146" customFormat="1" x14ac:dyDescent="0.4">
      <c r="A1657" s="212">
        <v>45810</v>
      </c>
      <c r="B1657" s="151" t="s">
        <v>431</v>
      </c>
      <c r="C1657" s="140" t="str">
        <f>VLOOKUP(B1657,'112年全品項生產鍋數'!A:H,2,0)</f>
        <v>文旦丁</v>
      </c>
      <c r="D1657" s="287">
        <v>2</v>
      </c>
      <c r="E1657" s="141">
        <f>VLOOKUP(B1657,'112年全品項生產鍋數'!A:H,3,0)</f>
        <v>1</v>
      </c>
      <c r="F1657" s="142">
        <f>VLOOKUP(B1657,'112年全品項生產鍋數'!A:H,7,0)</f>
        <v>243</v>
      </c>
      <c r="G1657" s="143">
        <f t="shared" si="219"/>
        <v>486</v>
      </c>
      <c r="H1657" s="156">
        <v>501</v>
      </c>
      <c r="I1657" s="144">
        <f t="shared" si="214"/>
        <v>501</v>
      </c>
      <c r="J1657" s="100">
        <f t="shared" si="215"/>
        <v>1.0308641975308641</v>
      </c>
      <c r="K1657" s="51">
        <f>VLOOKUP(B:B,'生產達成率(目標)'!A:C,3,0)</f>
        <v>1</v>
      </c>
      <c r="L1657" s="20">
        <f t="shared" si="216"/>
        <v>3.1E-2</v>
      </c>
      <c r="M1657" s="203" t="str">
        <f>工時!R841</f>
        <v>0</v>
      </c>
      <c r="N1657" s="144"/>
      <c r="O1657" s="144">
        <f t="shared" si="217"/>
        <v>0</v>
      </c>
      <c r="P1657" s="156">
        <v>501</v>
      </c>
      <c r="Q1657" s="145">
        <f t="shared" si="218"/>
        <v>1</v>
      </c>
      <c r="R1657" s="144"/>
      <c r="S1657" s="153"/>
      <c r="T1657" s="140" t="s">
        <v>1059</v>
      </c>
      <c r="V1657" s="381"/>
      <c r="W1657" s="421"/>
      <c r="X1657" s="381"/>
      <c r="Y1657" s="421"/>
      <c r="Z1657" s="421"/>
      <c r="AA1657" s="421"/>
      <c r="AB1657" s="421"/>
      <c r="AC1657" s="421"/>
      <c r="AD1657" s="421"/>
    </row>
    <row r="1658" spans="1:30" x14ac:dyDescent="0.4">
      <c r="A1658" s="210">
        <v>45811</v>
      </c>
      <c r="B1658" s="151" t="s">
        <v>106</v>
      </c>
      <c r="C1658" s="30" t="str">
        <f>VLOOKUP(B1658,'112年全品項生產鍋數'!A:H,2,0)</f>
        <v>小藍莓1*260G</v>
      </c>
      <c r="D1658" s="287">
        <v>16</v>
      </c>
      <c r="E1658" s="48">
        <f>VLOOKUP(B1658,'112年全品項生產鍋數'!A:H,3,0)</f>
        <v>0.26</v>
      </c>
      <c r="F1658" s="142">
        <f>VLOOKUP(B1658,'112年全品項生產鍋數'!A:H,7,0)</f>
        <v>584.29999999999995</v>
      </c>
      <c r="G1658" s="143">
        <f t="shared" si="219"/>
        <v>9348.7999999999993</v>
      </c>
      <c r="H1658" s="156">
        <v>9308</v>
      </c>
      <c r="I1658" s="23">
        <f t="shared" si="214"/>
        <v>2420.08</v>
      </c>
      <c r="J1658" s="100">
        <f t="shared" si="215"/>
        <v>0.99563580352558623</v>
      </c>
      <c r="K1658" s="51">
        <f>VLOOKUP(B:B,'生產達成率(目標)'!A:C,3,0)</f>
        <v>1</v>
      </c>
      <c r="L1658" s="20">
        <f t="shared" si="216"/>
        <v>-4.0000000000000001E-3</v>
      </c>
      <c r="M1658" s="203" t="str">
        <f>工時!R842</f>
        <v>330</v>
      </c>
      <c r="N1658" s="144"/>
      <c r="O1658" s="144">
        <f t="shared" si="217"/>
        <v>32</v>
      </c>
      <c r="P1658" s="156">
        <v>9276</v>
      </c>
      <c r="Q1658" s="98">
        <f t="shared" si="218"/>
        <v>0.99656209712075638</v>
      </c>
      <c r="R1658" s="23"/>
      <c r="S1658" s="173"/>
      <c r="T1658" s="30"/>
    </row>
    <row r="1659" spans="1:30" x14ac:dyDescent="0.4">
      <c r="A1659" s="210">
        <v>45811</v>
      </c>
      <c r="B1659" s="151" t="s">
        <v>51</v>
      </c>
      <c r="C1659" s="30" t="str">
        <f>VLOOKUP(B1659,'112年全品項生產鍋數'!A:H,2,0)</f>
        <v>藍莓醬(1*6kg)</v>
      </c>
      <c r="D1659" s="287">
        <v>16</v>
      </c>
      <c r="E1659" s="48">
        <f>VLOOKUP(B1659,'112年全品項生產鍋數'!A:H,3,0)</f>
        <v>6</v>
      </c>
      <c r="F1659" s="142">
        <f>VLOOKUP(B1659,'112年全品項生產鍋數'!A:H,7,0)</f>
        <v>25.5</v>
      </c>
      <c r="G1659" s="143">
        <f t="shared" si="219"/>
        <v>408</v>
      </c>
      <c r="H1659" s="156">
        <v>404</v>
      </c>
      <c r="I1659" s="23">
        <f t="shared" si="214"/>
        <v>2424</v>
      </c>
      <c r="J1659" s="100">
        <f t="shared" si="215"/>
        <v>0.99019607843137258</v>
      </c>
      <c r="K1659" s="51">
        <f>VLOOKUP(B:B,'生產達成率(目標)'!A:C,3,0)</f>
        <v>1</v>
      </c>
      <c r="L1659" s="20">
        <f t="shared" si="216"/>
        <v>-0.01</v>
      </c>
      <c r="M1659" s="203" t="str">
        <f>工時!R843</f>
        <v>270</v>
      </c>
      <c r="N1659" s="144"/>
      <c r="O1659" s="144">
        <f t="shared" si="217"/>
        <v>2</v>
      </c>
      <c r="P1659" s="156">
        <v>402</v>
      </c>
      <c r="Q1659" s="98">
        <f t="shared" si="218"/>
        <v>0.99504950495049505</v>
      </c>
      <c r="R1659" s="23"/>
      <c r="S1659" s="173"/>
      <c r="T1659" s="30"/>
    </row>
    <row r="1660" spans="1:30" x14ac:dyDescent="0.4">
      <c r="A1660" s="210">
        <v>45811</v>
      </c>
      <c r="B1660" s="151" t="s">
        <v>661</v>
      </c>
      <c r="C1660" s="30" t="str">
        <f>VLOOKUP(B1660,'112年全品項生產鍋數'!A:H,2,0)</f>
        <v>上好佳藍莓餡(大)4.5KG</v>
      </c>
      <c r="D1660" s="287">
        <f>9-208/150</f>
        <v>7.6133333333333333</v>
      </c>
      <c r="E1660" s="48">
        <f>VLOOKUP(B1660,'112年全品項生產鍋數'!A:H,3,0)</f>
        <v>4.5</v>
      </c>
      <c r="F1660" s="142">
        <f>VLOOKUP(B1660,'112年全品項生產鍋數'!A:H,7,0)</f>
        <v>37</v>
      </c>
      <c r="G1660" s="143">
        <f>D1660*F1660</f>
        <v>281.69333333333333</v>
      </c>
      <c r="H1660" s="156">
        <v>295</v>
      </c>
      <c r="I1660" s="23">
        <f t="shared" si="214"/>
        <v>1327.5</v>
      </c>
      <c r="J1660" s="100">
        <f t="shared" si="215"/>
        <v>1.0472381313011787</v>
      </c>
      <c r="K1660" s="51">
        <f>VLOOKUP(B:B,'生產達成率(目標)'!A:C,3,0)</f>
        <v>1</v>
      </c>
      <c r="L1660" s="20">
        <f t="shared" si="216"/>
        <v>4.7E-2</v>
      </c>
      <c r="M1660" s="203" t="str">
        <f>工時!R844</f>
        <v>328</v>
      </c>
      <c r="N1660" s="144"/>
      <c r="O1660" s="144">
        <f t="shared" si="217"/>
        <v>2</v>
      </c>
      <c r="P1660" s="156">
        <v>293</v>
      </c>
      <c r="Q1660" s="98">
        <f t="shared" si="218"/>
        <v>0.99322033898305084</v>
      </c>
      <c r="R1660" s="23" t="s">
        <v>1051</v>
      </c>
      <c r="S1660" s="173"/>
      <c r="T1660" s="30" t="s">
        <v>1050</v>
      </c>
    </row>
    <row r="1661" spans="1:30" x14ac:dyDescent="0.4">
      <c r="A1661" s="210">
        <v>45811</v>
      </c>
      <c r="B1661" s="151" t="s">
        <v>548</v>
      </c>
      <c r="C1661" s="30" t="str">
        <f>VLOOKUP(B1661,'112年全品項生產鍋數'!A:H,2,0)</f>
        <v>天天開心芒果餡4.5KG</v>
      </c>
      <c r="D1661" s="287">
        <v>8</v>
      </c>
      <c r="E1661" s="48">
        <f>VLOOKUP(B1661,'112年全品項生產鍋數'!A:H,3,0)</f>
        <v>4.5</v>
      </c>
      <c r="F1661" s="142">
        <f>VLOOKUP(B1661,'112年全品項生產鍋數'!A:H,7,0)</f>
        <v>33.200000000000003</v>
      </c>
      <c r="G1661" s="143">
        <f t="shared" si="219"/>
        <v>265.60000000000002</v>
      </c>
      <c r="H1661" s="156">
        <v>270</v>
      </c>
      <c r="I1661" s="23">
        <f t="shared" si="214"/>
        <v>1215</v>
      </c>
      <c r="J1661" s="100">
        <f t="shared" si="215"/>
        <v>1.0165662650602409</v>
      </c>
      <c r="K1661" s="51">
        <f>VLOOKUP(B:B,'生產達成率(目標)'!A:C,3,0)</f>
        <v>1</v>
      </c>
      <c r="L1661" s="20">
        <f t="shared" si="216"/>
        <v>1.7000000000000001E-2</v>
      </c>
      <c r="M1661" s="203" t="str">
        <f>工時!R845</f>
        <v>195</v>
      </c>
      <c r="N1661" s="144"/>
      <c r="O1661" s="144">
        <f t="shared" si="217"/>
        <v>0</v>
      </c>
      <c r="P1661" s="156">
        <v>270</v>
      </c>
      <c r="Q1661" s="98">
        <f t="shared" si="218"/>
        <v>1</v>
      </c>
      <c r="R1661" s="23"/>
      <c r="S1661" s="173"/>
      <c r="T1661" s="30"/>
    </row>
    <row r="1662" spans="1:30" x14ac:dyDescent="0.4">
      <c r="A1662" s="210">
        <v>45811</v>
      </c>
      <c r="B1662" s="151" t="s">
        <v>63</v>
      </c>
      <c r="C1662" s="30" t="str">
        <f>VLOOKUP(B1662,'112年全品項生產鍋數'!A:H,2,0)</f>
        <v>草莓蒟蒻餡(1*6kg)</v>
      </c>
      <c r="D1662" s="287">
        <v>12</v>
      </c>
      <c r="E1662" s="48">
        <f>VLOOKUP(B1662,'112年全品項生產鍋數'!A:H,3,0)</f>
        <v>6</v>
      </c>
      <c r="F1662" s="142">
        <f>VLOOKUP(B1662,'112年全品項生產鍋數'!A:H,7,0)</f>
        <v>25.7</v>
      </c>
      <c r="G1662" s="143">
        <f t="shared" si="219"/>
        <v>308.39999999999998</v>
      </c>
      <c r="H1662" s="156">
        <v>304</v>
      </c>
      <c r="I1662" s="23">
        <f t="shared" si="214"/>
        <v>1824</v>
      </c>
      <c r="J1662" s="100">
        <f t="shared" si="215"/>
        <v>0.9857328145265889</v>
      </c>
      <c r="K1662" s="51">
        <f>VLOOKUP(B:B,'生產達成率(目標)'!A:C,3,0)</f>
        <v>1</v>
      </c>
      <c r="L1662" s="20">
        <f t="shared" si="216"/>
        <v>-1.4E-2</v>
      </c>
      <c r="M1662" s="203" t="str">
        <f>工時!R846</f>
        <v>200</v>
      </c>
      <c r="N1662" s="144"/>
      <c r="O1662" s="144">
        <f t="shared" si="217"/>
        <v>1</v>
      </c>
      <c r="P1662" s="156">
        <v>303</v>
      </c>
      <c r="Q1662" s="98">
        <f t="shared" si="218"/>
        <v>0.99671052631578949</v>
      </c>
      <c r="R1662" s="23"/>
      <c r="S1662" s="173"/>
      <c r="T1662" s="30"/>
    </row>
    <row r="1663" spans="1:30" x14ac:dyDescent="0.4">
      <c r="A1663" s="210">
        <v>45811</v>
      </c>
      <c r="B1663" s="151" t="s">
        <v>97</v>
      </c>
      <c r="C1663" s="30" t="str">
        <f>VLOOKUP(B1663,'112年全品項生產鍋數'!A:H,2,0)</f>
        <v>花生醬(1*18KG)</v>
      </c>
      <c r="D1663" s="287">
        <v>16</v>
      </c>
      <c r="E1663" s="48">
        <f>VLOOKUP(B1663,'112年全品項生產鍋數'!A:H,3,0)</f>
        <v>18</v>
      </c>
      <c r="F1663" s="142">
        <f>VLOOKUP(B1663,'112年全品項生產鍋數'!A:H,7,0)</f>
        <v>6.6</v>
      </c>
      <c r="G1663" s="143">
        <f t="shared" si="219"/>
        <v>105.6</v>
      </c>
      <c r="H1663" s="156">
        <v>106</v>
      </c>
      <c r="I1663" s="23">
        <f t="shared" si="214"/>
        <v>1908</v>
      </c>
      <c r="J1663" s="100">
        <f t="shared" si="215"/>
        <v>1.0037878787878789</v>
      </c>
      <c r="K1663" s="51">
        <f>VLOOKUP(B:B,'生產達成率(目標)'!A:C,3,0)</f>
        <v>1</v>
      </c>
      <c r="L1663" s="20">
        <f t="shared" si="216"/>
        <v>4.0000000000000001E-3</v>
      </c>
      <c r="M1663" s="203" t="str">
        <f>工時!R847</f>
        <v>195</v>
      </c>
      <c r="N1663" s="144"/>
      <c r="O1663" s="144">
        <f t="shared" si="217"/>
        <v>0</v>
      </c>
      <c r="P1663" s="156">
        <v>106</v>
      </c>
      <c r="Q1663" s="98">
        <f t="shared" si="218"/>
        <v>1</v>
      </c>
      <c r="R1663" s="23"/>
      <c r="S1663" s="173"/>
      <c r="T1663" s="30"/>
    </row>
    <row r="1664" spans="1:30" x14ac:dyDescent="0.4">
      <c r="A1664" s="210">
        <v>45811</v>
      </c>
      <c r="B1664" s="151" t="s">
        <v>65</v>
      </c>
      <c r="C1664" s="30" t="str">
        <f>VLOOKUP(B1664,'112年全品項生產鍋數'!A:H,2,0)</f>
        <v>＃1花生(1*2.8kg)</v>
      </c>
      <c r="D1664" s="287">
        <v>48</v>
      </c>
      <c r="E1664" s="48">
        <f>VLOOKUP(B1664,'112年全品項生產鍋數'!A:H,3,0)</f>
        <v>2.8</v>
      </c>
      <c r="F1664" s="142">
        <f>VLOOKUP(B1664,'112年全品項生產鍋數'!A:H,7,0)</f>
        <v>44.5</v>
      </c>
      <c r="G1664" s="143">
        <f>D1664*F1664-20*18/E1664</f>
        <v>2007.4285714285713</v>
      </c>
      <c r="H1664" s="156">
        <v>2097</v>
      </c>
      <c r="I1664" s="23">
        <f t="shared" si="214"/>
        <v>5871.5999999999995</v>
      </c>
      <c r="J1664" s="100">
        <f t="shared" si="215"/>
        <v>1.0446199829205807</v>
      </c>
      <c r="K1664" s="51">
        <f>VLOOKUP(B:B,'生產達成率(目標)'!A:C,3,0)</f>
        <v>1</v>
      </c>
      <c r="L1664" s="20">
        <f t="shared" si="216"/>
        <v>4.4999999999999998E-2</v>
      </c>
      <c r="M1664" s="203" t="str">
        <f>工時!R848</f>
        <v>490</v>
      </c>
      <c r="N1664" s="144"/>
      <c r="O1664" s="144">
        <f t="shared" si="217"/>
        <v>1</v>
      </c>
      <c r="P1664" s="156">
        <v>2096</v>
      </c>
      <c r="Q1664" s="98">
        <f t="shared" si="218"/>
        <v>0.9995231282784931</v>
      </c>
      <c r="R1664" s="23"/>
      <c r="S1664" s="173">
        <v>144</v>
      </c>
      <c r="T1664" s="30" t="s">
        <v>1048</v>
      </c>
    </row>
    <row r="1665" spans="1:30" x14ac:dyDescent="0.4">
      <c r="A1665" s="210">
        <v>45812</v>
      </c>
      <c r="B1665" s="151" t="s">
        <v>128</v>
      </c>
      <c r="C1665" s="30" t="str">
        <f>VLOOKUP(B1665,'112年全品項生產鍋數'!A:H,2,0)</f>
        <v>草莓椰果漿(1*6KG)</v>
      </c>
      <c r="D1665" s="287">
        <v>8</v>
      </c>
      <c r="E1665" s="48">
        <f>VLOOKUP(B1665,'112年全品項生產鍋數'!A:H,3,0)</f>
        <v>6</v>
      </c>
      <c r="F1665" s="142">
        <f>VLOOKUP(B1665,'112年全品項生產鍋數'!A:H,7,0)</f>
        <v>25.7</v>
      </c>
      <c r="G1665" s="143">
        <f t="shared" si="219"/>
        <v>205.6</v>
      </c>
      <c r="H1665" s="156">
        <v>204</v>
      </c>
      <c r="I1665" s="23">
        <f t="shared" si="214"/>
        <v>1224</v>
      </c>
      <c r="J1665" s="100">
        <f t="shared" si="215"/>
        <v>0.99221789883268485</v>
      </c>
      <c r="K1665" s="51">
        <f>VLOOKUP(B:B,'生產達成率(目標)'!A:C,3,0)</f>
        <v>1</v>
      </c>
      <c r="L1665" s="20">
        <f t="shared" si="216"/>
        <v>-8.0000000000000002E-3</v>
      </c>
      <c r="M1665" s="203" t="str">
        <f>工時!R849</f>
        <v>120</v>
      </c>
      <c r="N1665" s="144"/>
      <c r="O1665" s="144">
        <f t="shared" si="217"/>
        <v>1</v>
      </c>
      <c r="P1665" s="156">
        <v>203</v>
      </c>
      <c r="Q1665" s="98">
        <f t="shared" si="218"/>
        <v>0.99509803921568629</v>
      </c>
      <c r="R1665" s="23"/>
      <c r="S1665" s="173"/>
      <c r="T1665" s="30"/>
    </row>
    <row r="1666" spans="1:30" x14ac:dyDescent="0.4">
      <c r="A1666" s="210">
        <v>45812</v>
      </c>
      <c r="B1666" s="151" t="s">
        <v>63</v>
      </c>
      <c r="C1666" s="30" t="str">
        <f>VLOOKUP(B1666,'112年全品項生產鍋數'!A:H,2,0)</f>
        <v>草莓蒟蒻餡(1*6kg)</v>
      </c>
      <c r="D1666" s="287">
        <v>28</v>
      </c>
      <c r="E1666" s="48">
        <f>VLOOKUP(B1666,'112年全品項生產鍋數'!A:H,3,0)</f>
        <v>6</v>
      </c>
      <c r="F1666" s="142">
        <f>VLOOKUP(B1666,'112年全品項生產鍋數'!A:H,7,0)</f>
        <v>25.7</v>
      </c>
      <c r="G1666" s="143">
        <f t="shared" si="219"/>
        <v>719.6</v>
      </c>
      <c r="H1666" s="156">
        <f>414+317</f>
        <v>731</v>
      </c>
      <c r="I1666" s="23">
        <f t="shared" si="214"/>
        <v>4386</v>
      </c>
      <c r="J1666" s="100">
        <f t="shared" si="215"/>
        <v>1.0158421345191773</v>
      </c>
      <c r="K1666" s="51">
        <f>VLOOKUP(B:B,'生產達成率(目標)'!A:C,3,0)</f>
        <v>1</v>
      </c>
      <c r="L1666" s="20">
        <f t="shared" si="216"/>
        <v>1.6E-2</v>
      </c>
      <c r="M1666" s="203" t="str">
        <f>工時!R850</f>
        <v>340</v>
      </c>
      <c r="N1666" s="144"/>
      <c r="O1666" s="144">
        <f t="shared" si="217"/>
        <v>1</v>
      </c>
      <c r="P1666" s="156">
        <f>413+317</f>
        <v>730</v>
      </c>
      <c r="Q1666" s="98">
        <f t="shared" si="218"/>
        <v>0.99863201094391241</v>
      </c>
      <c r="R1666" s="23"/>
      <c r="S1666" s="173"/>
      <c r="T1666" s="30"/>
    </row>
    <row r="1667" spans="1:30" x14ac:dyDescent="0.4">
      <c r="A1667" s="210">
        <v>45812</v>
      </c>
      <c r="B1667" s="151" t="s">
        <v>357</v>
      </c>
      <c r="C1667" s="30" t="str">
        <f>VLOOKUP(B1667,'112年全品項生產鍋數'!A:H,2,0)</f>
        <v>草莓醬(1*6Kg)</v>
      </c>
      <c r="D1667" s="287">
        <v>8</v>
      </c>
      <c r="E1667" s="48">
        <f>VLOOKUP(B1667,'112年全品項生產鍋數'!A:H,3,0)</f>
        <v>6</v>
      </c>
      <c r="F1667" s="142">
        <f>VLOOKUP(B1667,'112年全品項生產鍋數'!A:H,7,0)</f>
        <v>25.5</v>
      </c>
      <c r="G1667" s="143">
        <f t="shared" si="219"/>
        <v>204</v>
      </c>
      <c r="H1667" s="156">
        <v>203</v>
      </c>
      <c r="I1667" s="23">
        <f t="shared" ref="I1667:I1711" si="220">H1667*E1667</f>
        <v>1218</v>
      </c>
      <c r="J1667" s="100">
        <f t="shared" si="215"/>
        <v>0.99509803921568629</v>
      </c>
      <c r="K1667" s="51">
        <f>VLOOKUP(B:B,'生產達成率(目標)'!A:C,3,0)</f>
        <v>1</v>
      </c>
      <c r="L1667" s="20">
        <f t="shared" si="216"/>
        <v>-5.0000000000000001E-3</v>
      </c>
      <c r="M1667" s="203" t="str">
        <f>工時!R851</f>
        <v>402</v>
      </c>
      <c r="N1667" s="144"/>
      <c r="O1667" s="144">
        <f t="shared" si="217"/>
        <v>1</v>
      </c>
      <c r="P1667" s="156">
        <v>202</v>
      </c>
      <c r="Q1667" s="98">
        <f t="shared" si="218"/>
        <v>0.99507389162561577</v>
      </c>
      <c r="R1667" s="23"/>
      <c r="S1667" s="173"/>
      <c r="T1667" s="30"/>
    </row>
    <row r="1668" spans="1:30" s="146" customFormat="1" x14ac:dyDescent="0.4">
      <c r="A1668" s="212">
        <v>45812</v>
      </c>
      <c r="B1668" s="151" t="s">
        <v>108</v>
      </c>
      <c r="C1668" s="140" t="str">
        <f>VLOOKUP(B1668,'112年全品項生產鍋數'!A:H,2,0)</f>
        <v>顆粒花生醬(1*12KG)</v>
      </c>
      <c r="D1668" s="287">
        <v>21</v>
      </c>
      <c r="E1668" s="141">
        <f>VLOOKUP(B1668,'112年全品項生產鍋數'!A:H,3,0)</f>
        <v>3</v>
      </c>
      <c r="F1668" s="142">
        <f>VLOOKUP(B1668,'112年全品項生產鍋數'!A:H,7,0)</f>
        <v>31.6</v>
      </c>
      <c r="G1668" s="143">
        <f t="shared" si="219"/>
        <v>663.6</v>
      </c>
      <c r="H1668" s="156">
        <v>664</v>
      </c>
      <c r="I1668" s="144">
        <f t="shared" si="220"/>
        <v>1992</v>
      </c>
      <c r="J1668" s="100">
        <f t="shared" si="215"/>
        <v>1.0006027727546714</v>
      </c>
      <c r="K1668" s="51">
        <f>VLOOKUP(B:B,'生產達成率(目標)'!A:C,3,0)</f>
        <v>1</v>
      </c>
      <c r="L1668" s="20">
        <f t="shared" si="216"/>
        <v>1E-3</v>
      </c>
      <c r="M1668" s="203" t="str">
        <f>工時!R852</f>
        <v>550</v>
      </c>
      <c r="N1668" s="144"/>
      <c r="O1668" s="144">
        <f t="shared" si="217"/>
        <v>0</v>
      </c>
      <c r="P1668" s="156">
        <v>664</v>
      </c>
      <c r="Q1668" s="145">
        <f t="shared" si="218"/>
        <v>1</v>
      </c>
      <c r="R1668" s="144" t="s">
        <v>1052</v>
      </c>
      <c r="S1668" s="153"/>
      <c r="T1668" s="140" t="s">
        <v>1053</v>
      </c>
      <c r="V1668" s="381"/>
      <c r="W1668" s="421"/>
      <c r="X1668" s="381"/>
      <c r="Y1668" s="421"/>
      <c r="Z1668" s="421"/>
      <c r="AA1668" s="421"/>
      <c r="AB1668" s="421"/>
      <c r="AC1668" s="421"/>
      <c r="AD1668" s="421"/>
    </row>
    <row r="1669" spans="1:30" x14ac:dyDescent="0.4">
      <c r="A1669" s="210">
        <v>45812</v>
      </c>
      <c r="B1669" s="151" t="s">
        <v>65</v>
      </c>
      <c r="C1669" s="30" t="str">
        <f>VLOOKUP(B1669,'112年全品項生產鍋數'!A:H,2,0)</f>
        <v>＃1花生(1*2.8kg)</v>
      </c>
      <c r="D1669" s="287">
        <v>72</v>
      </c>
      <c r="E1669" s="48">
        <f>VLOOKUP(B1669,'112年全品項生產鍋數'!A:H,3,0)</f>
        <v>2.8</v>
      </c>
      <c r="F1669" s="142">
        <f>VLOOKUP(B1669,'112年全品項生產鍋數'!A:H,7,0)</f>
        <v>44.5</v>
      </c>
      <c r="G1669" s="143">
        <f t="shared" si="219"/>
        <v>3204</v>
      </c>
      <c r="H1669" s="156">
        <v>3252</v>
      </c>
      <c r="I1669" s="23">
        <f t="shared" si="220"/>
        <v>9105.5999999999985</v>
      </c>
      <c r="J1669" s="100">
        <f t="shared" si="215"/>
        <v>1.0149812734082397</v>
      </c>
      <c r="K1669" s="51">
        <f>VLOOKUP(B:B,'生產達成率(目標)'!A:C,3,0)</f>
        <v>1</v>
      </c>
      <c r="L1669" s="20">
        <f t="shared" si="216"/>
        <v>1.4999999999999999E-2</v>
      </c>
      <c r="M1669" s="203" t="str">
        <f>工時!R853</f>
        <v>660</v>
      </c>
      <c r="N1669" s="144"/>
      <c r="O1669" s="144">
        <f t="shared" si="217"/>
        <v>1</v>
      </c>
      <c r="P1669" s="156">
        <v>3251</v>
      </c>
      <c r="Q1669" s="98">
        <f t="shared" si="218"/>
        <v>0.9996924969249692</v>
      </c>
      <c r="R1669" s="23"/>
      <c r="S1669" s="173">
        <v>116</v>
      </c>
      <c r="T1669" s="30" t="s">
        <v>1049</v>
      </c>
    </row>
    <row r="1670" spans="1:30" x14ac:dyDescent="0.4">
      <c r="A1670" s="210">
        <v>45813</v>
      </c>
      <c r="B1670" s="151" t="s">
        <v>61</v>
      </c>
      <c r="C1670" s="30" t="str">
        <f>VLOOKUP(B1670,'112年全品項生產鍋數'!A:H,2,0)</f>
        <v>大圓草莓-新</v>
      </c>
      <c r="D1670" s="287">
        <v>40</v>
      </c>
      <c r="E1670" s="48">
        <f>VLOOKUP(B1670,'112年全品項生產鍋數'!A:H,3,0)</f>
        <v>0.44</v>
      </c>
      <c r="F1670" s="142">
        <f>VLOOKUP(B1670,'112年全品項生產鍋數'!A:H,7,0)</f>
        <v>344</v>
      </c>
      <c r="G1670" s="143">
        <f t="shared" si="219"/>
        <v>13760</v>
      </c>
      <c r="H1670" s="156">
        <v>13429</v>
      </c>
      <c r="I1670" s="23">
        <f t="shared" si="220"/>
        <v>5908.76</v>
      </c>
      <c r="J1670" s="100">
        <f t="shared" si="215"/>
        <v>0.97594476744186043</v>
      </c>
      <c r="K1670" s="51">
        <f>VLOOKUP(B:B,'生產達成率(目標)'!A:C,3,0)</f>
        <v>1</v>
      </c>
      <c r="L1670" s="20">
        <f t="shared" si="216"/>
        <v>-2.4E-2</v>
      </c>
      <c r="M1670" s="203" t="str">
        <f>工時!R854</f>
        <v>540</v>
      </c>
      <c r="N1670" s="144"/>
      <c r="O1670" s="144">
        <f t="shared" si="217"/>
        <v>9</v>
      </c>
      <c r="P1670" s="156">
        <v>13420</v>
      </c>
      <c r="Q1670" s="98">
        <f t="shared" si="218"/>
        <v>0.99932980862312903</v>
      </c>
      <c r="R1670" s="23"/>
      <c r="S1670" s="173"/>
      <c r="T1670" s="30"/>
    </row>
    <row r="1671" spans="1:30" x14ac:dyDescent="0.4">
      <c r="A1671" s="210">
        <v>45813</v>
      </c>
      <c r="B1671" s="151" t="s">
        <v>81</v>
      </c>
      <c r="C1671" s="30" t="str">
        <f>VLOOKUP(B1671,'112年全品項生產鍋數'!A:H,2,0)</f>
        <v>藍莓餡(1*6Kg)</v>
      </c>
      <c r="D1671" s="287">
        <v>20</v>
      </c>
      <c r="E1671" s="48">
        <f>VLOOKUP(B1671,'112年全品項生產鍋數'!A:H,3,0)</f>
        <v>6</v>
      </c>
      <c r="F1671" s="142">
        <f>VLOOKUP(B1671,'112年全品項生產鍋數'!A:H,7,0)</f>
        <v>25.1</v>
      </c>
      <c r="G1671" s="143">
        <f t="shared" si="219"/>
        <v>502</v>
      </c>
      <c r="H1671" s="156">
        <v>511</v>
      </c>
      <c r="I1671" s="23">
        <f t="shared" si="220"/>
        <v>3066</v>
      </c>
      <c r="J1671" s="100">
        <f t="shared" si="215"/>
        <v>1.0179282868525896</v>
      </c>
      <c r="K1671" s="51">
        <f>VLOOKUP(B:B,'生產達成率(目標)'!A:C,3,0)</f>
        <v>1</v>
      </c>
      <c r="L1671" s="20">
        <f t="shared" si="216"/>
        <v>1.7999999999999999E-2</v>
      </c>
      <c r="M1671" s="203" t="str">
        <f>工時!R855</f>
        <v>270</v>
      </c>
      <c r="N1671" s="144"/>
      <c r="O1671" s="144">
        <f t="shared" si="217"/>
        <v>2</v>
      </c>
      <c r="P1671" s="156">
        <v>509</v>
      </c>
      <c r="Q1671" s="98">
        <f t="shared" si="218"/>
        <v>0.99608610567514677</v>
      </c>
      <c r="R1671" s="23"/>
      <c r="S1671" s="173"/>
      <c r="T1671" s="30"/>
    </row>
    <row r="1672" spans="1:30" x14ac:dyDescent="0.4">
      <c r="A1672" s="210">
        <v>45813</v>
      </c>
      <c r="B1672" s="151" t="s">
        <v>64</v>
      </c>
      <c r="C1672" s="30" t="str">
        <f>VLOOKUP(B1672,'112年全品項生產鍋數'!A:H,2,0)</f>
        <v>藍莓餡(1*6KG)</v>
      </c>
      <c r="D1672" s="287">
        <v>20</v>
      </c>
      <c r="E1672" s="48">
        <f>VLOOKUP(B1672,'112年全品項生產鍋數'!A:H,3,0)</f>
        <v>6</v>
      </c>
      <c r="F1672" s="142">
        <f>VLOOKUP(B1672,'112年全品項生產鍋數'!A:H,7,0)</f>
        <v>25.4</v>
      </c>
      <c r="G1672" s="143">
        <f t="shared" si="219"/>
        <v>508</v>
      </c>
      <c r="H1672" s="156">
        <f>302+210</f>
        <v>512</v>
      </c>
      <c r="I1672" s="23">
        <f t="shared" si="220"/>
        <v>3072</v>
      </c>
      <c r="J1672" s="100">
        <f t="shared" si="215"/>
        <v>1.0078740157480315</v>
      </c>
      <c r="K1672" s="51">
        <f>VLOOKUP(B:B,'生產達成率(目標)'!A:C,3,0)</f>
        <v>1</v>
      </c>
      <c r="L1672" s="20">
        <f t="shared" si="216"/>
        <v>8.0000000000000002E-3</v>
      </c>
      <c r="M1672" s="203" t="str">
        <f>工時!R856</f>
        <v>312</v>
      </c>
      <c r="N1672" s="144"/>
      <c r="O1672" s="144">
        <f t="shared" si="217"/>
        <v>3</v>
      </c>
      <c r="P1672" s="156">
        <f>301+208</f>
        <v>509</v>
      </c>
      <c r="Q1672" s="98">
        <f t="shared" si="218"/>
        <v>0.994140625</v>
      </c>
      <c r="R1672" s="23"/>
      <c r="S1672" s="173"/>
      <c r="T1672" s="30"/>
    </row>
    <row r="1673" spans="1:30" x14ac:dyDescent="0.4">
      <c r="A1673" s="210">
        <v>45813</v>
      </c>
      <c r="B1673" s="151" t="s">
        <v>104</v>
      </c>
      <c r="C1673" s="30" t="str">
        <f>VLOOKUP(B1673,'112年全品項生產鍋數'!A:H,2,0)</f>
        <v>＃1花生(粒)(1*2.8kg)</v>
      </c>
      <c r="D1673" s="287">
        <v>72</v>
      </c>
      <c r="E1673" s="48">
        <f>VLOOKUP(B1673,'112年全品項生產鍋數'!A:H,3,0)</f>
        <v>2.8</v>
      </c>
      <c r="F1673" s="142">
        <f>VLOOKUP(B1673,'112年全品項生產鍋數'!A:H,7,0)</f>
        <v>44.2</v>
      </c>
      <c r="G1673" s="143">
        <f t="shared" si="219"/>
        <v>3182.4</v>
      </c>
      <c r="H1673" s="156">
        <v>3159</v>
      </c>
      <c r="I1673" s="23">
        <f t="shared" si="220"/>
        <v>8845.1999999999989</v>
      </c>
      <c r="J1673" s="100">
        <f t="shared" si="215"/>
        <v>0.99264705882352944</v>
      </c>
      <c r="K1673" s="51">
        <f>VLOOKUP(B:B,'生產達成率(目標)'!A:C,3,0)</f>
        <v>1</v>
      </c>
      <c r="L1673" s="20">
        <f t="shared" si="216"/>
        <v>-7.0000000000000001E-3</v>
      </c>
      <c r="M1673" s="203" t="str">
        <f>工時!R857</f>
        <v>570</v>
      </c>
      <c r="N1673" s="144"/>
      <c r="O1673" s="144">
        <f t="shared" si="217"/>
        <v>1</v>
      </c>
      <c r="P1673" s="156">
        <v>3158</v>
      </c>
      <c r="Q1673" s="98">
        <f t="shared" si="218"/>
        <v>0.99968344412788857</v>
      </c>
      <c r="R1673" s="23"/>
      <c r="S1673" s="173"/>
      <c r="T1673" s="30"/>
    </row>
    <row r="1674" spans="1:30" x14ac:dyDescent="0.4">
      <c r="A1674" s="210">
        <v>45814</v>
      </c>
      <c r="B1674" s="151" t="s">
        <v>54</v>
      </c>
      <c r="C1674" s="30" t="str">
        <f>VLOOKUP(B1674,'112年全品項生產鍋數'!A:H,2,0)</f>
        <v>草莓醬(1*6kg)</v>
      </c>
      <c r="D1674" s="287">
        <v>24</v>
      </c>
      <c r="E1674" s="48">
        <f>VLOOKUP(B1674,'112年全品項生產鍋數'!A:H,3,0)</f>
        <v>6</v>
      </c>
      <c r="F1674" s="142">
        <f>VLOOKUP(B1674,'112年全品項生產鍋數'!A:H,7,0)</f>
        <v>26.6</v>
      </c>
      <c r="G1674" s="143">
        <f t="shared" si="219"/>
        <v>638.40000000000009</v>
      </c>
      <c r="H1674" s="156">
        <v>622</v>
      </c>
      <c r="I1674" s="23">
        <f t="shared" si="220"/>
        <v>3732</v>
      </c>
      <c r="J1674" s="100">
        <f t="shared" si="215"/>
        <v>0.97431077694235579</v>
      </c>
      <c r="K1674" s="51">
        <f>VLOOKUP(B:B,'生產達成率(目標)'!A:C,3,0)</f>
        <v>1</v>
      </c>
      <c r="L1674" s="20">
        <f t="shared" si="216"/>
        <v>-2.5999999999999999E-2</v>
      </c>
      <c r="M1674" s="203" t="str">
        <f>工時!R858</f>
        <v>300</v>
      </c>
      <c r="N1674" s="144"/>
      <c r="O1674" s="144">
        <f t="shared" si="217"/>
        <v>3</v>
      </c>
      <c r="P1674" s="156">
        <v>619</v>
      </c>
      <c r="Q1674" s="98">
        <f t="shared" si="218"/>
        <v>0.99517684887459812</v>
      </c>
      <c r="R1674" s="23"/>
      <c r="S1674" s="173"/>
      <c r="T1674" s="30"/>
    </row>
    <row r="1675" spans="1:30" x14ac:dyDescent="0.4">
      <c r="A1675" s="210">
        <v>45814</v>
      </c>
      <c r="B1675" s="151" t="s">
        <v>1045</v>
      </c>
      <c r="C1675" s="30" t="str">
        <f>VLOOKUP(B1675,'112年全品項生產鍋數'!A:H,2,0)</f>
        <v>芒果蜜桃醬(含桃丁)</v>
      </c>
      <c r="D1675" s="287">
        <v>8</v>
      </c>
      <c r="E1675" s="48">
        <f>VLOOKUP(B1675,'112年全品項生產鍋數'!A:H,3,0)</f>
        <v>6</v>
      </c>
      <c r="F1675" s="142">
        <f>VLOOKUP(B1675,'112年全品項生產鍋數'!A:H,7,0)</f>
        <v>0</v>
      </c>
      <c r="G1675" s="143">
        <f t="shared" si="219"/>
        <v>0</v>
      </c>
      <c r="H1675" s="156">
        <v>197</v>
      </c>
      <c r="I1675" s="23">
        <f t="shared" si="220"/>
        <v>1182</v>
      </c>
      <c r="J1675" s="100" t="str">
        <f t="shared" si="215"/>
        <v>無法預估數據</v>
      </c>
      <c r="K1675" s="51">
        <f>VLOOKUP(B:B,'生產達成率(目標)'!A:C,3,0)</f>
        <v>1</v>
      </c>
      <c r="L1675" s="20" t="str">
        <f t="shared" si="216"/>
        <v>無法預估數據</v>
      </c>
      <c r="M1675" s="203" t="str">
        <f>工時!R859</f>
        <v>110</v>
      </c>
      <c r="N1675" s="144"/>
      <c r="O1675" s="144">
        <f t="shared" si="217"/>
        <v>2</v>
      </c>
      <c r="P1675" s="156">
        <v>195</v>
      </c>
      <c r="Q1675" s="98">
        <f t="shared" si="218"/>
        <v>0.98984771573604058</v>
      </c>
      <c r="R1675" s="23"/>
      <c r="S1675" s="173"/>
      <c r="T1675" s="30" t="s">
        <v>1047</v>
      </c>
    </row>
    <row r="1676" spans="1:30" x14ac:dyDescent="0.4">
      <c r="A1676" s="210">
        <v>45814</v>
      </c>
      <c r="B1676" s="151" t="s">
        <v>1046</v>
      </c>
      <c r="C1676" s="30" t="str">
        <f>VLOOKUP(B1676,'112年全品項生產鍋數'!A:H,2,0)</f>
        <v>藍莓顆粒果醬(1*6kg)</v>
      </c>
      <c r="D1676" s="287">
        <v>8</v>
      </c>
      <c r="E1676" s="48">
        <f>VLOOKUP(B1676,'112年全品項生產鍋數'!A:H,3,0)</f>
        <v>6</v>
      </c>
      <c r="F1676" s="142">
        <f>VLOOKUP(B1676,'112年全品項生產鍋數'!A:H,7,0)</f>
        <v>0</v>
      </c>
      <c r="G1676" s="143">
        <f t="shared" si="219"/>
        <v>0</v>
      </c>
      <c r="H1676" s="156">
        <v>206</v>
      </c>
      <c r="I1676" s="23">
        <f t="shared" si="220"/>
        <v>1236</v>
      </c>
      <c r="J1676" s="100" t="str">
        <f t="shared" si="215"/>
        <v>無法預估數據</v>
      </c>
      <c r="K1676" s="51">
        <f>VLOOKUP(B:B,'生產達成率(目標)'!A:C,3,0)</f>
        <v>1</v>
      </c>
      <c r="L1676" s="20" t="str">
        <f t="shared" si="216"/>
        <v>無法預估數據</v>
      </c>
      <c r="M1676" s="203" t="str">
        <f>工時!R860</f>
        <v>160</v>
      </c>
      <c r="N1676" s="144"/>
      <c r="O1676" s="144">
        <f t="shared" si="217"/>
        <v>1</v>
      </c>
      <c r="P1676" s="156">
        <v>205</v>
      </c>
      <c r="Q1676" s="98">
        <f t="shared" si="218"/>
        <v>0.99514563106796117</v>
      </c>
      <c r="R1676" s="23"/>
      <c r="S1676" s="173"/>
      <c r="T1676" s="30" t="s">
        <v>1047</v>
      </c>
    </row>
    <row r="1677" spans="1:30" x14ac:dyDescent="0.4">
      <c r="A1677" s="210">
        <v>45814</v>
      </c>
      <c r="B1677" s="151" t="s">
        <v>110</v>
      </c>
      <c r="C1677" s="30" t="str">
        <f>VLOOKUP(B1677,'112年全品項生產鍋數'!A:H,2,0)</f>
        <v>顆粒花生醬(1*12KG)</v>
      </c>
      <c r="D1677" s="287">
        <v>21</v>
      </c>
      <c r="E1677" s="48">
        <f>VLOOKUP(B1677,'112年全品項生產鍋數'!A:H,3,0)</f>
        <v>3</v>
      </c>
      <c r="F1677" s="142">
        <f>VLOOKUP(B1677,'112年全品項生產鍋數'!A:H,7,0)</f>
        <v>30.8</v>
      </c>
      <c r="G1677" s="143">
        <f t="shared" si="219"/>
        <v>646.80000000000007</v>
      </c>
      <c r="H1677" s="156">
        <v>648</v>
      </c>
      <c r="I1677" s="23">
        <f t="shared" si="220"/>
        <v>1944</v>
      </c>
      <c r="J1677" s="100">
        <f t="shared" si="215"/>
        <v>1.0018552875695732</v>
      </c>
      <c r="K1677" s="51">
        <f>VLOOKUP(B:B,'生產達成率(目標)'!A:C,3,0)</f>
        <v>1</v>
      </c>
      <c r="L1677" s="20">
        <f t="shared" si="216"/>
        <v>2E-3</v>
      </c>
      <c r="M1677" s="203" t="str">
        <f>工時!R861</f>
        <v>540</v>
      </c>
      <c r="N1677" s="144"/>
      <c r="O1677" s="144">
        <f t="shared" si="217"/>
        <v>0</v>
      </c>
      <c r="P1677" s="156">
        <v>648</v>
      </c>
      <c r="Q1677" s="98">
        <f t="shared" si="218"/>
        <v>1</v>
      </c>
      <c r="R1677" s="23"/>
      <c r="S1677" s="173"/>
      <c r="T1677" s="30"/>
    </row>
    <row r="1678" spans="1:30" x14ac:dyDescent="0.4">
      <c r="A1678" s="210">
        <v>45814</v>
      </c>
      <c r="B1678" s="151" t="s">
        <v>65</v>
      </c>
      <c r="C1678" s="30" t="str">
        <f>VLOOKUP(B1678,'112年全品項生產鍋數'!A:H,2,0)</f>
        <v>＃1花生(1*2.8kg)</v>
      </c>
      <c r="D1678" s="287">
        <v>32</v>
      </c>
      <c r="E1678" s="48">
        <f>VLOOKUP(B1678,'112年全品項生產鍋數'!A:H,3,0)</f>
        <v>2.8</v>
      </c>
      <c r="F1678" s="142">
        <f>VLOOKUP(B1678,'112年全品項生產鍋數'!A:H,7,0)</f>
        <v>44.5</v>
      </c>
      <c r="G1678" s="143">
        <f t="shared" si="219"/>
        <v>1424</v>
      </c>
      <c r="H1678" s="156">
        <v>1413</v>
      </c>
      <c r="I1678" s="23">
        <f t="shared" si="220"/>
        <v>3956.3999999999996</v>
      </c>
      <c r="J1678" s="100">
        <f t="shared" si="215"/>
        <v>0.9922752808988764</v>
      </c>
      <c r="K1678" s="51">
        <f>VLOOKUP(B:B,'生產達成率(目標)'!A:C,3,0)</f>
        <v>1</v>
      </c>
      <c r="L1678" s="20">
        <f t="shared" si="216"/>
        <v>-8.0000000000000002E-3</v>
      </c>
      <c r="M1678" s="203" t="str">
        <f>工時!R862</f>
        <v>340</v>
      </c>
      <c r="N1678" s="144"/>
      <c r="O1678" s="144">
        <f t="shared" si="217"/>
        <v>1</v>
      </c>
      <c r="P1678" s="156">
        <v>1412</v>
      </c>
      <c r="Q1678" s="98">
        <f t="shared" si="218"/>
        <v>0.99929228591648978</v>
      </c>
      <c r="R1678" s="23"/>
      <c r="S1678" s="173"/>
      <c r="T1678" s="30"/>
    </row>
    <row r="1679" spans="1:30" x14ac:dyDescent="0.4">
      <c r="A1679" s="210">
        <v>45814</v>
      </c>
      <c r="B1679" s="151" t="s">
        <v>66</v>
      </c>
      <c r="C1679" s="30" t="str">
        <f>VLOOKUP(B1679,'112年全品項生產鍋數'!A:H,2,0)</f>
        <v>＃2花生(1*800g)</v>
      </c>
      <c r="D1679" s="287">
        <v>20</v>
      </c>
      <c r="E1679" s="48">
        <f>VLOOKUP(B1679,'112年全品項生產鍋數'!A:H,3,0)</f>
        <v>0.8</v>
      </c>
      <c r="F1679" s="142">
        <f>VLOOKUP(B1679,'112年全品項生產鍋數'!A:H,7,0)</f>
        <v>157.69999999999999</v>
      </c>
      <c r="G1679" s="143">
        <f t="shared" si="219"/>
        <v>3154</v>
      </c>
      <c r="H1679" s="156">
        <v>3164</v>
      </c>
      <c r="I1679" s="23">
        <f t="shared" si="220"/>
        <v>2531.2000000000003</v>
      </c>
      <c r="J1679" s="100">
        <f t="shared" si="215"/>
        <v>1.0031705770450221</v>
      </c>
      <c r="K1679" s="51">
        <f>VLOOKUP(B:B,'生產達成率(目標)'!A:C,3,0)</f>
        <v>1</v>
      </c>
      <c r="L1679" s="20">
        <f t="shared" si="216"/>
        <v>3.0000000000000001E-3</v>
      </c>
      <c r="M1679" s="203" t="str">
        <f>工時!R863</f>
        <v>315</v>
      </c>
      <c r="N1679" s="144"/>
      <c r="O1679" s="144">
        <f t="shared" si="217"/>
        <v>2</v>
      </c>
      <c r="P1679" s="156">
        <v>3162</v>
      </c>
      <c r="Q1679" s="98">
        <f t="shared" si="218"/>
        <v>0.99936788874841975</v>
      </c>
      <c r="R1679" s="23"/>
      <c r="S1679" s="173"/>
      <c r="T1679" s="30"/>
    </row>
    <row r="1680" spans="1:30" x14ac:dyDescent="0.4">
      <c r="A1680" s="210">
        <v>45817</v>
      </c>
      <c r="B1680" s="151" t="s">
        <v>80</v>
      </c>
      <c r="C1680" s="30" t="str">
        <f>VLOOKUP(B1680,'112年全品項生產鍋數'!A:H,2,0)</f>
        <v>＃1桔子(1*3.2kg)</v>
      </c>
      <c r="D1680" s="287">
        <v>72</v>
      </c>
      <c r="E1680" s="48">
        <f>VLOOKUP(B1680,'112年全品項生產鍋數'!A:H,3,0)</f>
        <v>3.2</v>
      </c>
      <c r="F1680" s="142">
        <f>VLOOKUP(B1680,'112年全品項生產鍋數'!A:H,7,0)</f>
        <v>46.4</v>
      </c>
      <c r="G1680" s="143">
        <f t="shared" si="219"/>
        <v>3340.7999999999997</v>
      </c>
      <c r="H1680" s="156">
        <v>3376</v>
      </c>
      <c r="I1680" s="23">
        <f t="shared" si="220"/>
        <v>10803.2</v>
      </c>
      <c r="J1680" s="100">
        <f t="shared" si="215"/>
        <v>1.0105363984674329</v>
      </c>
      <c r="K1680" s="51">
        <f>VLOOKUP(B:B,'生產達成率(目標)'!A:C,3,0)</f>
        <v>1</v>
      </c>
      <c r="L1680" s="20">
        <f t="shared" si="216"/>
        <v>1.0999999999999999E-2</v>
      </c>
      <c r="M1680" s="137" t="str">
        <f>工時!R864</f>
        <v>540</v>
      </c>
      <c r="N1680" s="144"/>
      <c r="O1680" s="144">
        <f t="shared" si="217"/>
        <v>2</v>
      </c>
      <c r="P1680" s="156">
        <v>3374</v>
      </c>
      <c r="Q1680" s="98">
        <f t="shared" si="218"/>
        <v>0.99940758293838861</v>
      </c>
      <c r="R1680" s="23"/>
      <c r="S1680" s="173"/>
      <c r="T1680" s="30"/>
    </row>
    <row r="1681" spans="1:30" x14ac:dyDescent="0.4">
      <c r="A1681" s="210">
        <v>45817</v>
      </c>
      <c r="B1681" s="151" t="s">
        <v>63</v>
      </c>
      <c r="C1681" s="30" t="str">
        <f>VLOOKUP(B1681,'112年全品項生產鍋數'!A:H,2,0)</f>
        <v>草莓蒟蒻餡(1*6kg)</v>
      </c>
      <c r="D1681" s="287">
        <v>20</v>
      </c>
      <c r="E1681" s="48">
        <f>VLOOKUP(B1681,'112年全品項生產鍋數'!A:H,3,0)</f>
        <v>6</v>
      </c>
      <c r="F1681" s="142">
        <f>VLOOKUP(B1681,'112年全品項生產鍋數'!A:H,7,0)</f>
        <v>25.7</v>
      </c>
      <c r="G1681" s="143">
        <f t="shared" si="219"/>
        <v>514</v>
      </c>
      <c r="H1681" s="156">
        <f>309+213</f>
        <v>522</v>
      </c>
      <c r="I1681" s="23">
        <f t="shared" si="220"/>
        <v>3132</v>
      </c>
      <c r="J1681" s="100">
        <f t="shared" si="215"/>
        <v>1.0155642023346303</v>
      </c>
      <c r="K1681" s="51">
        <f>VLOOKUP(B:B,'生產達成率(目標)'!A:C,3,0)</f>
        <v>1</v>
      </c>
      <c r="L1681" s="20">
        <f t="shared" si="216"/>
        <v>1.6E-2</v>
      </c>
      <c r="M1681" s="137" t="str">
        <f>工時!R865</f>
        <v>450</v>
      </c>
      <c r="N1681" s="144"/>
      <c r="O1681" s="144">
        <f t="shared" si="217"/>
        <v>1</v>
      </c>
      <c r="P1681" s="156">
        <f>308+213</f>
        <v>521</v>
      </c>
      <c r="Q1681" s="98">
        <f t="shared" si="218"/>
        <v>0.99808429118773945</v>
      </c>
      <c r="R1681" s="23"/>
      <c r="S1681" s="173"/>
      <c r="T1681" s="30"/>
    </row>
    <row r="1682" spans="1:30" x14ac:dyDescent="0.4">
      <c r="A1682" s="210">
        <v>45817</v>
      </c>
      <c r="B1682" s="151" t="s">
        <v>72</v>
      </c>
      <c r="C1682" s="30" t="str">
        <f>VLOOKUP(B1682,'112年全品項生產鍋數'!A:H,2,0)</f>
        <v>草莓餡45%(1*6Kg)</v>
      </c>
      <c r="D1682" s="287">
        <v>20</v>
      </c>
      <c r="E1682" s="48">
        <f>VLOOKUP(B1682,'112年全品項生產鍋數'!A:H,3,0)</f>
        <v>6</v>
      </c>
      <c r="F1682" s="142">
        <f>VLOOKUP(B1682,'112年全品項生產鍋數'!A:H,7,0)</f>
        <v>26.1</v>
      </c>
      <c r="G1682" s="143">
        <f t="shared" si="219"/>
        <v>522</v>
      </c>
      <c r="H1682" s="156">
        <v>533</v>
      </c>
      <c r="I1682" s="23">
        <f t="shared" si="220"/>
        <v>3198</v>
      </c>
      <c r="J1682" s="100">
        <f t="shared" si="215"/>
        <v>1.0210727969348659</v>
      </c>
      <c r="K1682" s="51">
        <f>VLOOKUP(B:B,'生產達成率(目標)'!A:C,3,0)</f>
        <v>1</v>
      </c>
      <c r="L1682" s="20">
        <f t="shared" si="216"/>
        <v>2.1000000000000001E-2</v>
      </c>
      <c r="M1682" s="137" t="str">
        <f>工時!R866</f>
        <v>540</v>
      </c>
      <c r="N1682" s="144"/>
      <c r="O1682" s="144">
        <f t="shared" si="217"/>
        <v>1</v>
      </c>
      <c r="P1682" s="156">
        <v>532</v>
      </c>
      <c r="Q1682" s="98">
        <f t="shared" si="218"/>
        <v>0.99812382739212002</v>
      </c>
      <c r="R1682" s="23"/>
      <c r="S1682" s="173"/>
      <c r="T1682" s="30"/>
    </row>
    <row r="1683" spans="1:30" x14ac:dyDescent="0.4">
      <c r="A1683" s="210">
        <v>45817</v>
      </c>
      <c r="B1683" s="151" t="s">
        <v>131</v>
      </c>
      <c r="C1683" s="30" t="str">
        <f>VLOOKUP(B1683,'112年全品項生產鍋數'!A:H,2,0)</f>
        <v>花生醬(1*18KG)</v>
      </c>
      <c r="D1683" s="287">
        <v>24</v>
      </c>
      <c r="E1683" s="48">
        <f>VLOOKUP(B1683,'112年全品項生產鍋數'!A:H,3,0)</f>
        <v>18</v>
      </c>
      <c r="F1683" s="142">
        <f>VLOOKUP(B1683,'112年全品項生產鍋數'!A:H,7,0)</f>
        <v>6.9</v>
      </c>
      <c r="G1683" s="143">
        <f t="shared" si="219"/>
        <v>165.60000000000002</v>
      </c>
      <c r="H1683" s="156">
        <v>170</v>
      </c>
      <c r="I1683" s="23">
        <f t="shared" si="220"/>
        <v>3060</v>
      </c>
      <c r="J1683" s="100">
        <f t="shared" si="215"/>
        <v>1.0265700483091786</v>
      </c>
      <c r="K1683" s="51">
        <f>VLOOKUP(B:B,'生產達成率(目標)'!A:C,3,0)</f>
        <v>1</v>
      </c>
      <c r="L1683" s="20">
        <f t="shared" si="216"/>
        <v>2.7E-2</v>
      </c>
      <c r="M1683" s="137" t="str">
        <f>工時!R867</f>
        <v>280</v>
      </c>
      <c r="N1683" s="144"/>
      <c r="O1683" s="144">
        <f t="shared" si="217"/>
        <v>0</v>
      </c>
      <c r="P1683" s="156">
        <v>170</v>
      </c>
      <c r="Q1683" s="98">
        <f t="shared" si="218"/>
        <v>1</v>
      </c>
      <c r="R1683" s="23"/>
      <c r="S1683" s="173"/>
      <c r="T1683" s="30"/>
    </row>
    <row r="1684" spans="1:30" x14ac:dyDescent="0.4">
      <c r="A1684" s="210">
        <v>45817</v>
      </c>
      <c r="B1684" s="151" t="s">
        <v>123</v>
      </c>
      <c r="C1684" s="30" t="str">
        <f>VLOOKUP(B1684,'112年全品項生產鍋數'!A:H,2,0)</f>
        <v>深烤焙花生醬(1*18KG)</v>
      </c>
      <c r="D1684" s="287">
        <v>24</v>
      </c>
      <c r="E1684" s="48">
        <f>VLOOKUP(B1684,'112年全品項生產鍋數'!A:H,3,0)</f>
        <v>18</v>
      </c>
      <c r="F1684" s="142">
        <f>VLOOKUP(B1684,'112年全品項生產鍋數'!A:H,7,0)</f>
        <v>6.9</v>
      </c>
      <c r="G1684" s="143">
        <f t="shared" si="219"/>
        <v>165.60000000000002</v>
      </c>
      <c r="H1684" s="156">
        <v>168</v>
      </c>
      <c r="I1684" s="23">
        <f t="shared" si="220"/>
        <v>3024</v>
      </c>
      <c r="J1684" s="100">
        <f t="shared" si="215"/>
        <v>1.0144927536231882</v>
      </c>
      <c r="K1684" s="51">
        <f>VLOOKUP(B:B,'生產達成率(目標)'!A:C,3,0)</f>
        <v>1</v>
      </c>
      <c r="L1684" s="20">
        <f t="shared" si="216"/>
        <v>1.4E-2</v>
      </c>
      <c r="M1684" s="137" t="str">
        <f>工時!R868</f>
        <v>265</v>
      </c>
      <c r="N1684" s="144"/>
      <c r="O1684" s="144">
        <f t="shared" si="217"/>
        <v>0</v>
      </c>
      <c r="P1684" s="156">
        <v>168</v>
      </c>
      <c r="Q1684" s="98">
        <f t="shared" si="218"/>
        <v>1</v>
      </c>
      <c r="R1684" s="23"/>
      <c r="S1684" s="173"/>
      <c r="T1684" s="30"/>
    </row>
    <row r="1685" spans="1:30" s="146" customFormat="1" x14ac:dyDescent="0.4">
      <c r="A1685" s="212">
        <v>45817</v>
      </c>
      <c r="B1685" s="151" t="s">
        <v>431</v>
      </c>
      <c r="C1685" s="140" t="str">
        <f>VLOOKUP(B1685,'112年全品項生產鍋數'!A:H,2,0)</f>
        <v>文旦丁</v>
      </c>
      <c r="D1685" s="287">
        <v>2</v>
      </c>
      <c r="E1685" s="141">
        <f>VLOOKUP(B1685,'112年全品項生產鍋數'!A:H,3,0)</f>
        <v>1</v>
      </c>
      <c r="F1685" s="142">
        <f>VLOOKUP(B1685,'112年全品項生產鍋數'!A:H,7,0)</f>
        <v>243</v>
      </c>
      <c r="G1685" s="143">
        <f t="shared" si="219"/>
        <v>486</v>
      </c>
      <c r="H1685" s="156">
        <v>520</v>
      </c>
      <c r="I1685" s="144">
        <f t="shared" si="220"/>
        <v>520</v>
      </c>
      <c r="J1685" s="100">
        <f t="shared" ref="J1685:J1711" si="221">IF(G1685=0,"無法預估數據",H1685/G1685)</f>
        <v>1.0699588477366255</v>
      </c>
      <c r="K1685" s="51">
        <f>VLOOKUP(B:B,'生產達成率(目標)'!A:C,3,0)</f>
        <v>1</v>
      </c>
      <c r="L1685" s="20">
        <f t="shared" ref="L1685:L1711" si="222">IF(G1685=0,"無法預估數據",ROUND(J1685-K1685,3))</f>
        <v>7.0000000000000007E-2</v>
      </c>
      <c r="M1685" s="137" t="str">
        <f>工時!R869</f>
        <v>0</v>
      </c>
      <c r="N1685" s="144"/>
      <c r="O1685" s="144">
        <f t="shared" ref="O1685:O1711" si="223">H1685-N1685-P1685</f>
        <v>1</v>
      </c>
      <c r="P1685" s="156">
        <v>519</v>
      </c>
      <c r="Q1685" s="145">
        <f t="shared" ref="Q1685:Q1711" si="224">P1685/H1685</f>
        <v>0.99807692307692308</v>
      </c>
      <c r="R1685" s="144"/>
      <c r="S1685" s="153"/>
      <c r="T1685" s="140"/>
      <c r="V1685" s="381"/>
      <c r="W1685" s="421"/>
      <c r="X1685" s="381"/>
      <c r="Y1685" s="421"/>
      <c r="Z1685" s="421"/>
      <c r="AA1685" s="421"/>
      <c r="AB1685" s="421"/>
      <c r="AC1685" s="421"/>
      <c r="AD1685" s="421"/>
    </row>
    <row r="1686" spans="1:30" x14ac:dyDescent="0.4">
      <c r="A1686" s="210">
        <v>45818</v>
      </c>
      <c r="B1686" s="151" t="s">
        <v>63</v>
      </c>
      <c r="C1686" s="30" t="str">
        <f>VLOOKUP(B1686,'112年全品項生產鍋數'!A:H,2,0)</f>
        <v>草莓蒟蒻餡(1*6kg)</v>
      </c>
      <c r="D1686" s="287">
        <v>16</v>
      </c>
      <c r="E1686" s="48">
        <f>VLOOKUP(B1686,'112年全品項生產鍋數'!A:H,3,0)</f>
        <v>6</v>
      </c>
      <c r="F1686" s="142">
        <f>VLOOKUP(B1686,'112年全品項生產鍋數'!A:H,7,0)</f>
        <v>25.7</v>
      </c>
      <c r="G1686" s="143">
        <f t="shared" si="219"/>
        <v>411.2</v>
      </c>
      <c r="H1686" s="156">
        <f>197+216</f>
        <v>413</v>
      </c>
      <c r="I1686" s="23">
        <f t="shared" si="220"/>
        <v>2478</v>
      </c>
      <c r="J1686" s="100">
        <f t="shared" si="221"/>
        <v>1.0043774319066148</v>
      </c>
      <c r="K1686" s="51">
        <f>VLOOKUP(B:B,'生產達成率(目標)'!A:C,3,0)</f>
        <v>1</v>
      </c>
      <c r="L1686" s="20">
        <f t="shared" si="222"/>
        <v>4.0000000000000001E-3</v>
      </c>
      <c r="M1686" s="137" t="str">
        <f>工時!R870</f>
        <v>210</v>
      </c>
      <c r="N1686" s="144"/>
      <c r="O1686" s="144">
        <f t="shared" si="223"/>
        <v>1</v>
      </c>
      <c r="P1686" s="156">
        <f>196+216</f>
        <v>412</v>
      </c>
      <c r="Q1686" s="98">
        <f t="shared" si="224"/>
        <v>0.99757869249394671</v>
      </c>
      <c r="R1686" s="23"/>
      <c r="S1686" s="173"/>
      <c r="T1686" s="30"/>
    </row>
    <row r="1687" spans="1:30" x14ac:dyDescent="0.4">
      <c r="A1687" s="210">
        <v>45818</v>
      </c>
      <c r="B1687" s="151" t="s">
        <v>64</v>
      </c>
      <c r="C1687" s="30" t="str">
        <f>VLOOKUP(B1687,'112年全品項生產鍋數'!A:H,2,0)</f>
        <v>藍莓餡(1*6KG)</v>
      </c>
      <c r="D1687" s="287">
        <v>20</v>
      </c>
      <c r="E1687" s="48">
        <f>VLOOKUP(B1687,'112年全品項生產鍋數'!A:H,3,0)</f>
        <v>6</v>
      </c>
      <c r="F1687" s="142">
        <f>VLOOKUP(B1687,'112年全品項生產鍋數'!A:H,7,0)</f>
        <v>25.4</v>
      </c>
      <c r="G1687" s="143">
        <f t="shared" si="219"/>
        <v>508</v>
      </c>
      <c r="H1687" s="156">
        <f>292+210</f>
        <v>502</v>
      </c>
      <c r="I1687" s="23">
        <f t="shared" si="220"/>
        <v>3012</v>
      </c>
      <c r="J1687" s="100">
        <f t="shared" si="221"/>
        <v>0.98818897637795278</v>
      </c>
      <c r="K1687" s="51">
        <f>VLOOKUP(B:B,'生產達成率(目標)'!A:C,3,0)</f>
        <v>1</v>
      </c>
      <c r="L1687" s="20">
        <f t="shared" si="222"/>
        <v>-1.2E-2</v>
      </c>
      <c r="M1687" s="137" t="str">
        <f>工時!R871</f>
        <v>330</v>
      </c>
      <c r="N1687" s="144"/>
      <c r="O1687" s="144">
        <f t="shared" si="223"/>
        <v>1</v>
      </c>
      <c r="P1687" s="156">
        <f>291+210</f>
        <v>501</v>
      </c>
      <c r="Q1687" s="98">
        <f t="shared" si="224"/>
        <v>0.99800796812749004</v>
      </c>
      <c r="R1687" s="23"/>
      <c r="S1687" s="173"/>
      <c r="T1687" s="30"/>
    </row>
    <row r="1688" spans="1:30" x14ac:dyDescent="0.4">
      <c r="A1688" s="210">
        <v>45818</v>
      </c>
      <c r="B1688" s="151" t="s">
        <v>73</v>
      </c>
      <c r="C1688" s="30" t="str">
        <f>VLOOKUP(B1688,'112年全品項生產鍋數'!A:H,2,0)</f>
        <v>顆粒花生醬(1*12KG)</v>
      </c>
      <c r="D1688" s="287">
        <v>21</v>
      </c>
      <c r="E1688" s="48">
        <f>VLOOKUP(B1688,'112年全品項生產鍋數'!A:H,3,0)</f>
        <v>3</v>
      </c>
      <c r="F1688" s="142">
        <f>VLOOKUP(B1688,'112年全品項生產鍋數'!A:H,7,0)</f>
        <v>29.7</v>
      </c>
      <c r="G1688" s="143">
        <f t="shared" si="219"/>
        <v>623.69999999999993</v>
      </c>
      <c r="H1688" s="156">
        <v>632</v>
      </c>
      <c r="I1688" s="23">
        <f t="shared" si="220"/>
        <v>1896</v>
      </c>
      <c r="J1688" s="100">
        <f t="shared" si="221"/>
        <v>1.0133076799743468</v>
      </c>
      <c r="K1688" s="51">
        <f>VLOOKUP(B:B,'生產達成率(目標)'!A:C,3,0)</f>
        <v>1</v>
      </c>
      <c r="L1688" s="20">
        <f t="shared" si="222"/>
        <v>1.2999999999999999E-2</v>
      </c>
      <c r="M1688" s="137" t="str">
        <f>工時!R872</f>
        <v>540</v>
      </c>
      <c r="N1688" s="144"/>
      <c r="O1688" s="144">
        <f t="shared" si="223"/>
        <v>0</v>
      </c>
      <c r="P1688" s="156">
        <v>632</v>
      </c>
      <c r="Q1688" s="98">
        <f t="shared" si="224"/>
        <v>1</v>
      </c>
      <c r="R1688" s="23"/>
      <c r="S1688" s="173"/>
      <c r="T1688" s="30"/>
    </row>
    <row r="1689" spans="1:30" x14ac:dyDescent="0.4">
      <c r="A1689" s="210">
        <v>45818</v>
      </c>
      <c r="B1689" s="151" t="s">
        <v>65</v>
      </c>
      <c r="C1689" s="30" t="str">
        <f>VLOOKUP(B1689,'112年全品項生產鍋數'!A:H,2,0)</f>
        <v>＃1花生(1*2.8kg)</v>
      </c>
      <c r="D1689" s="287">
        <v>72</v>
      </c>
      <c r="E1689" s="48">
        <f>VLOOKUP(B1689,'112年全品項生產鍋數'!A:H,3,0)</f>
        <v>2.8</v>
      </c>
      <c r="F1689" s="142">
        <f>VLOOKUP(B1689,'112年全品項生產鍋數'!A:H,7,0)</f>
        <v>44.5</v>
      </c>
      <c r="G1689" s="143">
        <f t="shared" si="219"/>
        <v>3204</v>
      </c>
      <c r="H1689" s="156">
        <f>2613+600</f>
        <v>3213</v>
      </c>
      <c r="I1689" s="23">
        <f t="shared" si="220"/>
        <v>8996.4</v>
      </c>
      <c r="J1689" s="100">
        <f t="shared" si="221"/>
        <v>1.002808988764045</v>
      </c>
      <c r="K1689" s="51">
        <f>VLOOKUP(B:B,'生產達成率(目標)'!A:C,3,0)</f>
        <v>1</v>
      </c>
      <c r="L1689" s="20">
        <f t="shared" si="222"/>
        <v>3.0000000000000001E-3</v>
      </c>
      <c r="M1689" s="137" t="str">
        <f>工時!R873</f>
        <v>630</v>
      </c>
      <c r="N1689" s="144"/>
      <c r="O1689" s="144">
        <f t="shared" si="223"/>
        <v>1</v>
      </c>
      <c r="P1689" s="156">
        <f>2612+600</f>
        <v>3212</v>
      </c>
      <c r="Q1689" s="98">
        <f t="shared" si="224"/>
        <v>0.99968876439464671</v>
      </c>
      <c r="R1689" s="23"/>
      <c r="S1689" s="173"/>
      <c r="T1689" s="30" t="s">
        <v>1058</v>
      </c>
    </row>
    <row r="1690" spans="1:30" x14ac:dyDescent="0.4">
      <c r="A1690" s="210">
        <v>45819</v>
      </c>
      <c r="B1690" s="151" t="s">
        <v>68</v>
      </c>
      <c r="C1690" s="30" t="str">
        <f>VLOOKUP(B1690,'112年全品項生產鍋數'!A:H,2,0)</f>
        <v>#2草莓果醬(1*900g)</v>
      </c>
      <c r="D1690" s="287">
        <v>20</v>
      </c>
      <c r="E1690" s="48">
        <f>VLOOKUP(B1690,'112年全品項生產鍋數'!A:H,3,0)</f>
        <v>0.9</v>
      </c>
      <c r="F1690" s="142">
        <f>VLOOKUP(B1690,'112年全品項生產鍋數'!A:H,7,0)</f>
        <v>160.5</v>
      </c>
      <c r="G1690" s="143">
        <f t="shared" si="219"/>
        <v>3210</v>
      </c>
      <c r="H1690" s="156">
        <v>3168</v>
      </c>
      <c r="I1690" s="23">
        <f t="shared" si="220"/>
        <v>2851.2000000000003</v>
      </c>
      <c r="J1690" s="100">
        <f t="shared" si="221"/>
        <v>0.98691588785046724</v>
      </c>
      <c r="K1690" s="51">
        <f>VLOOKUP(B:B,'生產達成率(目標)'!A:C,3,0)</f>
        <v>1</v>
      </c>
      <c r="L1690" s="20">
        <f t="shared" si="222"/>
        <v>-1.2999999999999999E-2</v>
      </c>
      <c r="M1690" s="137" t="str">
        <f>工時!R874</f>
        <v>270</v>
      </c>
      <c r="N1690" s="144"/>
      <c r="O1690" s="144">
        <f t="shared" si="223"/>
        <v>3</v>
      </c>
      <c r="P1690" s="156">
        <v>3165</v>
      </c>
      <c r="Q1690" s="98">
        <f t="shared" si="224"/>
        <v>0.99905303030303028</v>
      </c>
      <c r="R1690" s="23"/>
      <c r="S1690" s="173"/>
      <c r="T1690" s="30"/>
    </row>
    <row r="1691" spans="1:30" x14ac:dyDescent="0.4">
      <c r="A1691" s="210">
        <v>45819</v>
      </c>
      <c r="B1691" s="151" t="s">
        <v>71</v>
      </c>
      <c r="C1691" s="30" t="str">
        <f>VLOOKUP(B1691,'112年全品項生產鍋數'!A:H,2,0)</f>
        <v>＃1草莓(1*3.2kg)</v>
      </c>
      <c r="D1691" s="287">
        <v>32</v>
      </c>
      <c r="E1691" s="48">
        <f>VLOOKUP(B1691,'112年全品項生產鍋數'!A:H,3,0)</f>
        <v>3.2</v>
      </c>
      <c r="F1691" s="142">
        <f>VLOOKUP(B1691,'112年全品項生產鍋數'!A:H,7,0)</f>
        <v>46.8</v>
      </c>
      <c r="G1691" s="143">
        <f t="shared" ref="G1691:G1711" si="225">D1691*F1691</f>
        <v>1497.6</v>
      </c>
      <c r="H1691" s="156">
        <v>1511</v>
      </c>
      <c r="I1691" s="23">
        <f t="shared" si="220"/>
        <v>4835.2</v>
      </c>
      <c r="J1691" s="100">
        <f t="shared" si="221"/>
        <v>1.0089476495726497</v>
      </c>
      <c r="K1691" s="51">
        <f>VLOOKUP(B:B,'生產達成率(目標)'!A:C,3,0)</f>
        <v>1</v>
      </c>
      <c r="L1691" s="20">
        <f t="shared" si="222"/>
        <v>8.9999999999999993E-3</v>
      </c>
      <c r="M1691" s="137" t="str">
        <f>工時!R875</f>
        <v>270</v>
      </c>
      <c r="N1691" s="144"/>
      <c r="O1691" s="144">
        <f t="shared" si="223"/>
        <v>2</v>
      </c>
      <c r="P1691" s="156">
        <v>1509</v>
      </c>
      <c r="Q1691" s="98">
        <f t="shared" si="224"/>
        <v>0.99867637326273995</v>
      </c>
      <c r="R1691" s="23"/>
      <c r="S1691" s="173"/>
      <c r="T1691" s="30"/>
    </row>
    <row r="1692" spans="1:30" x14ac:dyDescent="0.4">
      <c r="A1692" s="210">
        <v>45819</v>
      </c>
      <c r="B1692" s="151" t="s">
        <v>63</v>
      </c>
      <c r="C1692" s="30" t="str">
        <f>VLOOKUP(B1692,'112年全品項生產鍋數'!A:H,2,0)</f>
        <v>草莓蒟蒻餡(1*6kg)</v>
      </c>
      <c r="D1692" s="287">
        <v>20</v>
      </c>
      <c r="E1692" s="48">
        <f>VLOOKUP(B1692,'112年全品項生產鍋數'!A:H,3,0)</f>
        <v>6</v>
      </c>
      <c r="F1692" s="142">
        <f>VLOOKUP(B1692,'112年全品項生產鍋數'!A:H,7,0)</f>
        <v>25.7</v>
      </c>
      <c r="G1692" s="143">
        <f t="shared" si="225"/>
        <v>514</v>
      </c>
      <c r="H1692" s="156">
        <f>303+213</f>
        <v>516</v>
      </c>
      <c r="I1692" s="23">
        <f t="shared" si="220"/>
        <v>3096</v>
      </c>
      <c r="J1692" s="100">
        <f t="shared" si="221"/>
        <v>1.0038910505836576</v>
      </c>
      <c r="K1692" s="51">
        <f>VLOOKUP(B:B,'生產達成率(目標)'!A:C,3,0)</f>
        <v>1</v>
      </c>
      <c r="L1692" s="20">
        <f t="shared" si="222"/>
        <v>4.0000000000000001E-3</v>
      </c>
      <c r="M1692" s="137" t="str">
        <f>工時!R876</f>
        <v>307</v>
      </c>
      <c r="N1692" s="144"/>
      <c r="O1692" s="144">
        <f t="shared" si="223"/>
        <v>1</v>
      </c>
      <c r="P1692" s="156">
        <f>302+213</f>
        <v>515</v>
      </c>
      <c r="Q1692" s="98">
        <f t="shared" si="224"/>
        <v>0.99806201550387597</v>
      </c>
      <c r="R1692" s="23"/>
      <c r="S1692" s="173"/>
      <c r="T1692" s="30"/>
    </row>
    <row r="1693" spans="1:30" x14ac:dyDescent="0.4">
      <c r="A1693" s="210">
        <v>45819</v>
      </c>
      <c r="B1693" s="151" t="s">
        <v>997</v>
      </c>
      <c r="C1693" s="30" t="str">
        <f>VLOOKUP(B1693,'112年全品項生產鍋數'!A:H,2,0)</f>
        <v>蜜桃餡(1*6Kg)</v>
      </c>
      <c r="D1693" s="287">
        <v>6</v>
      </c>
      <c r="E1693" s="48">
        <f>VLOOKUP(B1693,'112年全品項生產鍋數'!A:H,3,0)</f>
        <v>6</v>
      </c>
      <c r="F1693" s="142">
        <f>VLOOKUP(B1693,'112年全品項生產鍋數'!A:H,7,0)</f>
        <v>25.8</v>
      </c>
      <c r="G1693" s="143">
        <f t="shared" si="225"/>
        <v>154.80000000000001</v>
      </c>
      <c r="H1693" s="156">
        <v>186</v>
      </c>
      <c r="I1693" s="23">
        <f t="shared" si="220"/>
        <v>1116</v>
      </c>
      <c r="J1693" s="100">
        <f t="shared" si="221"/>
        <v>1.2015503875968991</v>
      </c>
      <c r="K1693" s="51" t="e">
        <f>VLOOKUP(B:B,'生產達成率(目標)'!A:C,3,0)</f>
        <v>#N/A</v>
      </c>
      <c r="L1693" s="20" t="e">
        <f t="shared" si="222"/>
        <v>#N/A</v>
      </c>
      <c r="M1693" s="137" t="str">
        <f>工時!R877</f>
        <v>170</v>
      </c>
      <c r="N1693" s="144"/>
      <c r="O1693" s="144">
        <f t="shared" si="223"/>
        <v>1</v>
      </c>
      <c r="P1693" s="156">
        <v>185</v>
      </c>
      <c r="Q1693" s="98">
        <f t="shared" si="224"/>
        <v>0.9946236559139785</v>
      </c>
      <c r="R1693" s="23"/>
      <c r="S1693" s="173">
        <v>180</v>
      </c>
      <c r="T1693" s="30" t="s">
        <v>1147</v>
      </c>
    </row>
    <row r="1694" spans="1:30" x14ac:dyDescent="0.4">
      <c r="A1694" s="210">
        <v>45819</v>
      </c>
      <c r="B1694" s="151" t="s">
        <v>107</v>
      </c>
      <c r="C1694" s="30" t="str">
        <f>VLOOKUP(B1694,'112年全品項生產鍋數'!A:H,2,0)</f>
        <v>藍莓餡(1*6kg)</v>
      </c>
      <c r="D1694" s="287">
        <v>8</v>
      </c>
      <c r="E1694" s="48">
        <f>VLOOKUP(B1694,'112年全品項生產鍋數'!A:H,3,0)</f>
        <v>6</v>
      </c>
      <c r="F1694" s="142">
        <f>VLOOKUP(B1694,'112年全品項生產鍋數'!A:H,7,0)</f>
        <v>26.4</v>
      </c>
      <c r="G1694" s="143">
        <f t="shared" si="225"/>
        <v>211.2</v>
      </c>
      <c r="H1694" s="156">
        <v>211</v>
      </c>
      <c r="I1694" s="23">
        <f t="shared" si="220"/>
        <v>1266</v>
      </c>
      <c r="J1694" s="100">
        <f t="shared" si="221"/>
        <v>0.99905303030303039</v>
      </c>
      <c r="K1694" s="51">
        <f>VLOOKUP(B:B,'生產達成率(目標)'!A:C,3,0)</f>
        <v>1</v>
      </c>
      <c r="L1694" s="20">
        <f t="shared" si="222"/>
        <v>-1E-3</v>
      </c>
      <c r="M1694" s="137" t="str">
        <f>工時!R878</f>
        <v>151</v>
      </c>
      <c r="N1694" s="144"/>
      <c r="O1694" s="144">
        <f t="shared" si="223"/>
        <v>1</v>
      </c>
      <c r="P1694" s="156">
        <v>210</v>
      </c>
      <c r="Q1694" s="98">
        <f t="shared" si="224"/>
        <v>0.99526066350710896</v>
      </c>
      <c r="R1694" s="23"/>
      <c r="S1694" s="173"/>
      <c r="T1694" s="30"/>
    </row>
    <row r="1695" spans="1:30" s="146" customFormat="1" x14ac:dyDescent="0.4">
      <c r="A1695" s="212">
        <v>45819</v>
      </c>
      <c r="B1695" s="151" t="s">
        <v>65</v>
      </c>
      <c r="C1695" s="140" t="str">
        <f>VLOOKUP(B1695,'112年全品項生產鍋數'!A:H,2,0)</f>
        <v>＃1花生(1*2.8kg)</v>
      </c>
      <c r="D1695" s="287">
        <v>72</v>
      </c>
      <c r="E1695" s="141">
        <f>VLOOKUP(B1695,'112年全品項生產鍋數'!A:H,3,0)</f>
        <v>2.8</v>
      </c>
      <c r="F1695" s="142">
        <f>VLOOKUP(B1695,'112年全品項生產鍋數'!A:H,7,0)</f>
        <v>44.5</v>
      </c>
      <c r="G1695" s="143">
        <f t="shared" si="225"/>
        <v>3204</v>
      </c>
      <c r="H1695" s="156">
        <v>3213</v>
      </c>
      <c r="I1695" s="144">
        <f t="shared" si="220"/>
        <v>8996.4</v>
      </c>
      <c r="J1695" s="100">
        <f t="shared" si="221"/>
        <v>1.002808988764045</v>
      </c>
      <c r="K1695" s="51">
        <f>VLOOKUP(B:B,'生產達成率(目標)'!A:C,3,0)</f>
        <v>1</v>
      </c>
      <c r="L1695" s="20">
        <f t="shared" si="222"/>
        <v>3.0000000000000001E-3</v>
      </c>
      <c r="M1695" s="137" t="str">
        <f>工時!R879</f>
        <v>630</v>
      </c>
      <c r="N1695" s="144"/>
      <c r="O1695" s="144">
        <f t="shared" si="223"/>
        <v>1</v>
      </c>
      <c r="P1695" s="156">
        <v>3212</v>
      </c>
      <c r="Q1695" s="145">
        <f t="shared" si="224"/>
        <v>0.99968876439464671</v>
      </c>
      <c r="R1695" s="144"/>
      <c r="S1695" s="153"/>
      <c r="T1695" s="140"/>
      <c r="V1695" s="381"/>
      <c r="W1695" s="421"/>
      <c r="X1695" s="381"/>
      <c r="Y1695" s="421"/>
      <c r="Z1695" s="421"/>
      <c r="AA1695" s="421"/>
      <c r="AB1695" s="421"/>
      <c r="AC1695" s="421"/>
      <c r="AD1695" s="421"/>
    </row>
    <row r="1696" spans="1:30" s="146" customFormat="1" x14ac:dyDescent="0.4">
      <c r="A1696" s="212">
        <v>45820</v>
      </c>
      <c r="B1696" s="151" t="s">
        <v>109</v>
      </c>
      <c r="C1696" s="140" t="str">
        <f>VLOOKUP(B1696,'112年全品項生產鍋數'!A:H,2,0)</f>
        <v>蔓越莓醬(1*6KG)</v>
      </c>
      <c r="D1696" s="287">
        <v>12</v>
      </c>
      <c r="E1696" s="141">
        <f>VLOOKUP(B1696,'112年全品項生產鍋數'!A:H,3,0)</f>
        <v>6</v>
      </c>
      <c r="F1696" s="142">
        <f>VLOOKUP(B1696,'112年全品項生產鍋數'!A:H,7,0)</f>
        <v>25.6</v>
      </c>
      <c r="G1696" s="143">
        <f t="shared" si="225"/>
        <v>307.20000000000005</v>
      </c>
      <c r="H1696" s="156">
        <v>309</v>
      </c>
      <c r="I1696" s="144">
        <f t="shared" si="220"/>
        <v>1854</v>
      </c>
      <c r="J1696" s="100">
        <f t="shared" si="221"/>
        <v>1.0058593749999998</v>
      </c>
      <c r="K1696" s="51">
        <f>VLOOKUP(B:B,'生產達成率(目標)'!A:C,3,0)</f>
        <v>1</v>
      </c>
      <c r="L1696" s="20">
        <f t="shared" si="222"/>
        <v>6.0000000000000001E-3</v>
      </c>
      <c r="M1696" s="137" t="str">
        <f>工時!R880</f>
        <v>192</v>
      </c>
      <c r="N1696" s="144"/>
      <c r="O1696" s="144">
        <f t="shared" si="223"/>
        <v>2</v>
      </c>
      <c r="P1696" s="156">
        <v>307</v>
      </c>
      <c r="Q1696" s="145">
        <f t="shared" si="224"/>
        <v>0.99352750809061485</v>
      </c>
      <c r="R1696" s="144"/>
      <c r="S1696" s="153"/>
      <c r="T1696" s="140"/>
      <c r="V1696" s="381"/>
      <c r="W1696" s="421"/>
      <c r="X1696" s="381"/>
      <c r="Y1696" s="421"/>
      <c r="Z1696" s="421"/>
      <c r="AA1696" s="421"/>
      <c r="AB1696" s="421"/>
      <c r="AC1696" s="421"/>
      <c r="AD1696" s="421"/>
    </row>
    <row r="1697" spans="1:30" s="146" customFormat="1" x14ac:dyDescent="0.4">
      <c r="A1697" s="212">
        <v>45820</v>
      </c>
      <c r="B1697" s="151" t="s">
        <v>99</v>
      </c>
      <c r="C1697" s="140" t="str">
        <f>VLOOKUP(B1697,'112年全品項生產鍋數'!A:H,2,0)</f>
        <v>葡萄奇異果醬(1*6kg)</v>
      </c>
      <c r="D1697" s="287">
        <v>6</v>
      </c>
      <c r="E1697" s="141">
        <f>VLOOKUP(B1697,'112年全品項生產鍋數'!A:H,3,0)</f>
        <v>6</v>
      </c>
      <c r="F1697" s="142">
        <f>VLOOKUP(B1697,'112年全品項生產鍋數'!A:H,7,0)</f>
        <v>24.3</v>
      </c>
      <c r="G1697" s="143">
        <f t="shared" si="225"/>
        <v>145.80000000000001</v>
      </c>
      <c r="H1697" s="156">
        <v>148</v>
      </c>
      <c r="I1697" s="144">
        <f t="shared" si="220"/>
        <v>888</v>
      </c>
      <c r="J1697" s="100">
        <f t="shared" si="221"/>
        <v>1.0150891632373114</v>
      </c>
      <c r="K1697" s="51">
        <f>VLOOKUP(B:B,'生產達成率(目標)'!A:C,3,0)</f>
        <v>1</v>
      </c>
      <c r="L1697" s="20">
        <f t="shared" si="222"/>
        <v>1.4999999999999999E-2</v>
      </c>
      <c r="M1697" s="137" t="str">
        <f>工時!R881</f>
        <v>245</v>
      </c>
      <c r="N1697" s="144"/>
      <c r="O1697" s="144">
        <f t="shared" si="223"/>
        <v>1</v>
      </c>
      <c r="P1697" s="156">
        <v>147</v>
      </c>
      <c r="Q1697" s="145">
        <f t="shared" si="224"/>
        <v>0.9932432432432432</v>
      </c>
      <c r="R1697" s="144"/>
      <c r="S1697" s="153"/>
      <c r="T1697" s="140"/>
      <c r="V1697" s="381"/>
      <c r="W1697" s="421"/>
      <c r="X1697" s="381"/>
      <c r="Y1697" s="421"/>
      <c r="Z1697" s="421"/>
      <c r="AA1697" s="421"/>
      <c r="AB1697" s="421"/>
      <c r="AC1697" s="421"/>
      <c r="AD1697" s="421"/>
    </row>
    <row r="1698" spans="1:30" s="146" customFormat="1" x14ac:dyDescent="0.4">
      <c r="A1698" s="212">
        <v>45820</v>
      </c>
      <c r="B1698" s="151" t="s">
        <v>1046</v>
      </c>
      <c r="C1698" s="140" t="str">
        <f>VLOOKUP(B1698,'112年全品項生產鍋數'!A:H,2,0)</f>
        <v>藍莓顆粒果醬(1*6kg)</v>
      </c>
      <c r="D1698" s="287">
        <v>8</v>
      </c>
      <c r="E1698" s="141">
        <f>VLOOKUP(B1698,'112年全品項生產鍋數'!A:H,3,0)</f>
        <v>6</v>
      </c>
      <c r="F1698" s="142">
        <f>VLOOKUP(B1698,'112年全品項生產鍋數'!A:H,7,0)</f>
        <v>0</v>
      </c>
      <c r="G1698" s="143">
        <f t="shared" si="225"/>
        <v>0</v>
      </c>
      <c r="H1698" s="156">
        <v>208</v>
      </c>
      <c r="I1698" s="144">
        <f t="shared" si="220"/>
        <v>1248</v>
      </c>
      <c r="J1698" s="100" t="str">
        <f t="shared" si="221"/>
        <v>無法預估數據</v>
      </c>
      <c r="K1698" s="51">
        <f>VLOOKUP(B:B,'生產達成率(目標)'!A:C,3,0)</f>
        <v>1</v>
      </c>
      <c r="L1698" s="20" t="str">
        <f t="shared" si="222"/>
        <v>無法預估數據</v>
      </c>
      <c r="M1698" s="137" t="str">
        <f>工時!R882</f>
        <v>170</v>
      </c>
      <c r="N1698" s="144"/>
      <c r="O1698" s="144">
        <f t="shared" si="223"/>
        <v>2</v>
      </c>
      <c r="P1698" s="156">
        <v>206</v>
      </c>
      <c r="Q1698" s="145">
        <f t="shared" si="224"/>
        <v>0.99038461538461542</v>
      </c>
      <c r="R1698" s="144"/>
      <c r="S1698" s="153"/>
      <c r="T1698" s="140"/>
      <c r="V1698" s="381"/>
      <c r="W1698" s="421"/>
      <c r="X1698" s="381"/>
      <c r="Y1698" s="421"/>
      <c r="Z1698" s="421"/>
      <c r="AA1698" s="421"/>
      <c r="AB1698" s="421"/>
      <c r="AC1698" s="421"/>
      <c r="AD1698" s="421"/>
    </row>
    <row r="1699" spans="1:30" s="146" customFormat="1" x14ac:dyDescent="0.4">
      <c r="A1699" s="212">
        <v>45820</v>
      </c>
      <c r="B1699" s="151" t="s">
        <v>472</v>
      </c>
      <c r="C1699" s="140" t="str">
        <f>VLOOKUP(B1699,'112年全品項生產鍋數'!A:H,2,0)</f>
        <v>藍莓果醬(1*210G)</v>
      </c>
      <c r="D1699" s="287">
        <v>4</v>
      </c>
      <c r="E1699" s="141">
        <f>VLOOKUP(B1699,'112年全品項生產鍋數'!A:H,3,0)</f>
        <v>0.21</v>
      </c>
      <c r="F1699" s="142">
        <f>VLOOKUP(B1699,'112年全品項生產鍋數'!A:H,7,0)</f>
        <v>698.4</v>
      </c>
      <c r="G1699" s="143">
        <f t="shared" si="225"/>
        <v>2793.6</v>
      </c>
      <c r="H1699" s="156">
        <v>2731</v>
      </c>
      <c r="I1699" s="144">
        <f t="shared" si="220"/>
        <v>573.51</v>
      </c>
      <c r="J1699" s="100">
        <f t="shared" si="221"/>
        <v>0.97759163802978244</v>
      </c>
      <c r="K1699" s="51">
        <f>VLOOKUP(B:B,'生產達成率(目標)'!A:C,3,0)</f>
        <v>1</v>
      </c>
      <c r="L1699" s="20">
        <f t="shared" si="222"/>
        <v>-2.1999999999999999E-2</v>
      </c>
      <c r="M1699" s="137" t="str">
        <f>工時!R883</f>
        <v>200</v>
      </c>
      <c r="N1699" s="144"/>
      <c r="O1699" s="144">
        <f t="shared" si="223"/>
        <v>0</v>
      </c>
      <c r="P1699" s="156">
        <v>2731</v>
      </c>
      <c r="Q1699" s="145">
        <f t="shared" si="224"/>
        <v>1</v>
      </c>
      <c r="R1699" s="144"/>
      <c r="S1699" s="153"/>
      <c r="T1699" s="140"/>
      <c r="V1699" s="381"/>
      <c r="W1699" s="421"/>
      <c r="X1699" s="381"/>
      <c r="Y1699" s="421"/>
      <c r="Z1699" s="421"/>
      <c r="AA1699" s="421"/>
      <c r="AB1699" s="421"/>
      <c r="AC1699" s="421"/>
      <c r="AD1699" s="421"/>
    </row>
    <row r="1700" spans="1:30" s="146" customFormat="1" x14ac:dyDescent="0.4">
      <c r="A1700" s="212">
        <v>45820</v>
      </c>
      <c r="B1700" s="151" t="s">
        <v>102</v>
      </c>
      <c r="C1700" s="140" t="str">
        <f>VLOOKUP(B1700,'112年全品項生產鍋數'!A:H,2,0)</f>
        <v>耐烤草莓餡(1*4.5KG)</v>
      </c>
      <c r="D1700" s="287">
        <v>12</v>
      </c>
      <c r="E1700" s="141">
        <f>VLOOKUP(B1700,'112年全品項生產鍋數'!A:H,3,0)</f>
        <v>4.5</v>
      </c>
      <c r="F1700" s="142">
        <f>VLOOKUP(B1700,'112年全品項生產鍋數'!A:H,7,0)</f>
        <v>36</v>
      </c>
      <c r="G1700" s="143">
        <f t="shared" si="225"/>
        <v>432</v>
      </c>
      <c r="H1700" s="156">
        <v>432</v>
      </c>
      <c r="I1700" s="144">
        <f t="shared" si="220"/>
        <v>1944</v>
      </c>
      <c r="J1700" s="100">
        <f t="shared" si="221"/>
        <v>1</v>
      </c>
      <c r="K1700" s="51">
        <f>VLOOKUP(B:B,'生產達成率(目標)'!A:C,3,0)</f>
        <v>1</v>
      </c>
      <c r="L1700" s="20">
        <f t="shared" si="222"/>
        <v>0</v>
      </c>
      <c r="M1700" s="137" t="str">
        <f>工時!R884</f>
        <v>296</v>
      </c>
      <c r="N1700" s="144"/>
      <c r="O1700" s="144">
        <f t="shared" si="223"/>
        <v>0</v>
      </c>
      <c r="P1700" s="156">
        <v>432</v>
      </c>
      <c r="Q1700" s="145">
        <f t="shared" si="224"/>
        <v>1</v>
      </c>
      <c r="R1700" s="144"/>
      <c r="S1700" s="153"/>
      <c r="T1700" s="140"/>
      <c r="V1700" s="381"/>
      <c r="W1700" s="421"/>
      <c r="X1700" s="381"/>
      <c r="Y1700" s="421"/>
      <c r="Z1700" s="421"/>
      <c r="AA1700" s="421"/>
      <c r="AB1700" s="421"/>
      <c r="AC1700" s="421"/>
      <c r="AD1700" s="421"/>
    </row>
    <row r="1701" spans="1:30" x14ac:dyDescent="0.4">
      <c r="A1701" s="210">
        <v>45820</v>
      </c>
      <c r="B1701" s="151" t="s">
        <v>547</v>
      </c>
      <c r="C1701" s="30" t="str">
        <f>VLOOKUP(B1701,'112年全品項生產鍋數'!A:H,2,0)</f>
        <v>草莓果醬(桶)(1*9.5KG)</v>
      </c>
      <c r="D1701" s="287">
        <v>12</v>
      </c>
      <c r="E1701" s="48">
        <f>VLOOKUP(B1701,'112年全品項生產鍋數'!A:H,3,0)</f>
        <v>9.5</v>
      </c>
      <c r="F1701" s="142">
        <f>VLOOKUP(B1701,'112年全品項生產鍋數'!A:H,7,0)</f>
        <v>16.600000000000001</v>
      </c>
      <c r="G1701" s="143">
        <f t="shared" si="225"/>
        <v>199.20000000000002</v>
      </c>
      <c r="H1701" s="156">
        <v>198</v>
      </c>
      <c r="I1701" s="23">
        <f t="shared" si="220"/>
        <v>1881</v>
      </c>
      <c r="J1701" s="100">
        <f t="shared" si="221"/>
        <v>0.99397590361445776</v>
      </c>
      <c r="K1701" s="51">
        <f>VLOOKUP(B:B,'生產達成率(目標)'!A:C,3,0)</f>
        <v>1</v>
      </c>
      <c r="L1701" s="20">
        <f t="shared" si="222"/>
        <v>-6.0000000000000001E-3</v>
      </c>
      <c r="M1701" s="137" t="str">
        <f>工時!R885</f>
        <v>450</v>
      </c>
      <c r="N1701" s="144"/>
      <c r="O1701" s="144">
        <f t="shared" si="223"/>
        <v>0</v>
      </c>
      <c r="P1701" s="156">
        <v>198</v>
      </c>
      <c r="Q1701" s="98">
        <f t="shared" si="224"/>
        <v>1</v>
      </c>
      <c r="R1701" s="23"/>
      <c r="S1701" s="173"/>
      <c r="T1701" s="30"/>
    </row>
    <row r="1702" spans="1:30" x14ac:dyDescent="0.4">
      <c r="A1702" s="210">
        <v>45820</v>
      </c>
      <c r="B1702" s="151" t="s">
        <v>75</v>
      </c>
      <c r="C1702" s="30" t="str">
        <f>VLOOKUP(B1702,'112年全品項生產鍋數'!A:H,2,0)</f>
        <v>草莓椰果餡(1*6Kg)</v>
      </c>
      <c r="D1702" s="287">
        <v>12</v>
      </c>
      <c r="E1702" s="48">
        <f>VLOOKUP(B1702,'112年全品項生產鍋數'!A:H,3,0)</f>
        <v>6</v>
      </c>
      <c r="F1702" s="142">
        <f>VLOOKUP(B1702,'112年全品項生產鍋數'!A:H,7,0)</f>
        <v>26.4</v>
      </c>
      <c r="G1702" s="143">
        <f t="shared" si="225"/>
        <v>316.79999999999995</v>
      </c>
      <c r="H1702" s="156">
        <v>324</v>
      </c>
      <c r="I1702" s="23">
        <f t="shared" si="220"/>
        <v>1944</v>
      </c>
      <c r="J1702" s="100">
        <f t="shared" si="221"/>
        <v>1.0227272727272729</v>
      </c>
      <c r="K1702" s="51">
        <f>VLOOKUP(B:B,'生產達成率(目標)'!A:C,3,0)</f>
        <v>1</v>
      </c>
      <c r="L1702" s="20">
        <f t="shared" si="222"/>
        <v>2.3E-2</v>
      </c>
      <c r="M1702" s="137" t="str">
        <f>工時!R886</f>
        <v>228</v>
      </c>
      <c r="N1702" s="144"/>
      <c r="O1702" s="144">
        <f t="shared" si="223"/>
        <v>1</v>
      </c>
      <c r="P1702" s="156">
        <v>323</v>
      </c>
      <c r="Q1702" s="98">
        <f t="shared" si="224"/>
        <v>0.99691358024691357</v>
      </c>
      <c r="R1702" s="23"/>
      <c r="S1702" s="173"/>
      <c r="T1702" s="30"/>
    </row>
    <row r="1703" spans="1:30" s="146" customFormat="1" x14ac:dyDescent="0.4">
      <c r="A1703" s="212">
        <v>45820</v>
      </c>
      <c r="B1703" s="151" t="s">
        <v>104</v>
      </c>
      <c r="C1703" s="140" t="str">
        <f>VLOOKUP(B1703,'112年全品項生產鍋數'!A:H,2,0)</f>
        <v>＃1花生(粒)(1*2.8kg)</v>
      </c>
      <c r="D1703" s="287">
        <v>72</v>
      </c>
      <c r="E1703" s="141">
        <f>VLOOKUP(B1703,'112年全品項生產鍋數'!A:H,3,0)</f>
        <v>2.8</v>
      </c>
      <c r="F1703" s="142">
        <f>VLOOKUP(B1703,'112年全品項生產鍋數'!A:H,7,0)</f>
        <v>44.2</v>
      </c>
      <c r="G1703" s="143">
        <f t="shared" si="225"/>
        <v>3182.4</v>
      </c>
      <c r="H1703" s="156">
        <v>3166</v>
      </c>
      <c r="I1703" s="144">
        <f t="shared" si="220"/>
        <v>8864.7999999999993</v>
      </c>
      <c r="J1703" s="100">
        <f t="shared" si="221"/>
        <v>0.99484665661136251</v>
      </c>
      <c r="K1703" s="51">
        <f>VLOOKUP(B:B,'生產達成率(目標)'!A:C,3,0)</f>
        <v>1</v>
      </c>
      <c r="L1703" s="20">
        <f t="shared" si="222"/>
        <v>-5.0000000000000001E-3</v>
      </c>
      <c r="M1703" s="137" t="str">
        <f>工時!R887</f>
        <v>495</v>
      </c>
      <c r="N1703" s="144"/>
      <c r="O1703" s="144">
        <f t="shared" si="223"/>
        <v>1</v>
      </c>
      <c r="P1703" s="156">
        <v>3165</v>
      </c>
      <c r="Q1703" s="145">
        <f t="shared" si="224"/>
        <v>0.99968414403032213</v>
      </c>
      <c r="R1703" s="144"/>
      <c r="S1703" s="153"/>
      <c r="T1703" s="140"/>
      <c r="V1703" s="381"/>
      <c r="W1703" s="421"/>
      <c r="X1703" s="381"/>
      <c r="Y1703" s="421"/>
      <c r="Z1703" s="421"/>
      <c r="AA1703" s="421"/>
      <c r="AB1703" s="421"/>
      <c r="AC1703" s="421"/>
      <c r="AD1703" s="421"/>
    </row>
    <row r="1704" spans="1:30" x14ac:dyDescent="0.4">
      <c r="A1704" s="210">
        <v>45820</v>
      </c>
      <c r="B1704" s="151" t="s">
        <v>500</v>
      </c>
      <c r="C1704" s="30" t="str">
        <f>VLOOKUP(B1704,'112年全品項生產鍋數'!A:H,2,0)</f>
        <v>蜜餞水果(1*1kg)</v>
      </c>
      <c r="D1704" s="287">
        <v>50</v>
      </c>
      <c r="E1704" s="48">
        <f>VLOOKUP(B1704,'112年全品項生產鍋數'!A:H,3,0)</f>
        <v>1</v>
      </c>
      <c r="F1704" s="142">
        <f>VLOOKUP(B1704,'112年全品項生產鍋數'!A:H,7,0)</f>
        <v>5.7</v>
      </c>
      <c r="G1704" s="143">
        <f>D1704*F1704</f>
        <v>285</v>
      </c>
      <c r="H1704" s="156">
        <v>286</v>
      </c>
      <c r="I1704" s="23">
        <f>H1704*E1704</f>
        <v>286</v>
      </c>
      <c r="J1704" s="100">
        <f>IF(G1704=0,"無法預估數據",H1704/G1704)</f>
        <v>1.0035087719298246</v>
      </c>
      <c r="K1704" s="51">
        <f>VLOOKUP(B:B,'生產達成率(目標)'!A:C,3,0)</f>
        <v>1</v>
      </c>
      <c r="L1704" s="20">
        <f>IF(G1704=0,"無法預估數據",ROUND(J1704-K1704,3))</f>
        <v>4.0000000000000001E-3</v>
      </c>
      <c r="M1704" s="137" t="str">
        <f>工時!R888</f>
        <v>0</v>
      </c>
      <c r="N1704" s="144"/>
      <c r="O1704" s="144">
        <f>H1704-N1704-P1704</f>
        <v>0</v>
      </c>
      <c r="P1704" s="156">
        <v>286</v>
      </c>
      <c r="Q1704" s="98">
        <f>P1704/H1704</f>
        <v>1</v>
      </c>
      <c r="R1704" s="23"/>
      <c r="S1704" s="173"/>
      <c r="T1704" s="30"/>
    </row>
    <row r="1705" spans="1:30" s="146" customFormat="1" x14ac:dyDescent="0.4">
      <c r="A1705" s="212">
        <v>45821</v>
      </c>
      <c r="B1705" s="151" t="s">
        <v>71</v>
      </c>
      <c r="C1705" s="140" t="str">
        <f>VLOOKUP(B1705,'112年全品項生產鍋數'!A:H,2,0)</f>
        <v>＃1草莓(1*3.2kg)</v>
      </c>
      <c r="D1705" s="287">
        <v>72</v>
      </c>
      <c r="E1705" s="141">
        <f>VLOOKUP(B1705,'112年全品項生產鍋數'!A:H,3,0)</f>
        <v>3.2</v>
      </c>
      <c r="F1705" s="142">
        <f>VLOOKUP(B1705,'112年全品項生產鍋數'!A:H,7,0)</f>
        <v>46.8</v>
      </c>
      <c r="G1705" s="143">
        <f t="shared" si="225"/>
        <v>3369.6</v>
      </c>
      <c r="H1705" s="156">
        <v>3364</v>
      </c>
      <c r="I1705" s="144">
        <f t="shared" si="220"/>
        <v>10764.800000000001</v>
      </c>
      <c r="J1705" s="100">
        <f t="shared" si="221"/>
        <v>0.99833808167141502</v>
      </c>
      <c r="K1705" s="51">
        <f>VLOOKUP(B:B,'生產達成率(目標)'!A:C,3,0)</f>
        <v>1</v>
      </c>
      <c r="L1705" s="20">
        <f t="shared" si="222"/>
        <v>-2E-3</v>
      </c>
      <c r="M1705" s="137" t="str">
        <f>工時!R889</f>
        <v>540</v>
      </c>
      <c r="N1705" s="144"/>
      <c r="O1705" s="144">
        <f t="shared" si="223"/>
        <v>3</v>
      </c>
      <c r="P1705" s="156">
        <v>3361</v>
      </c>
      <c r="Q1705" s="145">
        <f t="shared" si="224"/>
        <v>0.99910820451843041</v>
      </c>
      <c r="R1705" s="144"/>
      <c r="S1705" s="153"/>
      <c r="T1705" s="140"/>
      <c r="V1705" s="381"/>
      <c r="W1705" s="421"/>
      <c r="X1705" s="381"/>
      <c r="Y1705" s="421"/>
      <c r="Z1705" s="421"/>
      <c r="AA1705" s="421"/>
      <c r="AB1705" s="421"/>
      <c r="AC1705" s="421"/>
      <c r="AD1705" s="421"/>
    </row>
    <row r="1706" spans="1:30" s="146" customFormat="1" x14ac:dyDescent="0.4">
      <c r="A1706" s="212">
        <v>45821</v>
      </c>
      <c r="B1706" s="151" t="s">
        <v>63</v>
      </c>
      <c r="C1706" s="140" t="str">
        <f>VLOOKUP(B1706,'112年全品項生產鍋數'!A:H,2,0)</f>
        <v>草莓蒟蒻餡(1*6kg)</v>
      </c>
      <c r="D1706" s="287">
        <v>20</v>
      </c>
      <c r="E1706" s="141">
        <f>VLOOKUP(B1706,'112年全品項生產鍋數'!A:H,3,0)</f>
        <v>6</v>
      </c>
      <c r="F1706" s="142">
        <f>VLOOKUP(B1706,'112年全品項生產鍋數'!A:H,7,0)</f>
        <v>25.7</v>
      </c>
      <c r="G1706" s="143">
        <f t="shared" si="225"/>
        <v>514</v>
      </c>
      <c r="H1706" s="156">
        <f>317+215</f>
        <v>532</v>
      </c>
      <c r="I1706" s="144">
        <f t="shared" si="220"/>
        <v>3192</v>
      </c>
      <c r="J1706" s="100">
        <f t="shared" si="221"/>
        <v>1.0350194552529184</v>
      </c>
      <c r="K1706" s="51">
        <f>VLOOKUP(B:B,'生產達成率(目標)'!A:C,3,0)</f>
        <v>1</v>
      </c>
      <c r="L1706" s="20">
        <f t="shared" si="222"/>
        <v>3.5000000000000003E-2</v>
      </c>
      <c r="M1706" s="137" t="str">
        <f>工時!R890</f>
        <v>322</v>
      </c>
      <c r="N1706" s="144"/>
      <c r="O1706" s="144">
        <f t="shared" si="223"/>
        <v>2</v>
      </c>
      <c r="P1706" s="156">
        <f>315+215</f>
        <v>530</v>
      </c>
      <c r="Q1706" s="145">
        <f t="shared" si="224"/>
        <v>0.99624060150375937</v>
      </c>
      <c r="R1706" s="144"/>
      <c r="S1706" s="153"/>
      <c r="T1706" s="140"/>
      <c r="V1706" s="381"/>
      <c r="W1706" s="421"/>
      <c r="X1706" s="381"/>
      <c r="Y1706" s="421"/>
      <c r="Z1706" s="421"/>
      <c r="AA1706" s="421"/>
      <c r="AB1706" s="421"/>
      <c r="AC1706" s="421"/>
      <c r="AD1706" s="421"/>
    </row>
    <row r="1707" spans="1:30" s="146" customFormat="1" x14ac:dyDescent="0.4">
      <c r="A1707" s="212">
        <v>45821</v>
      </c>
      <c r="B1707" s="151" t="s">
        <v>76</v>
      </c>
      <c r="C1707" s="140" t="str">
        <f>VLOOKUP(B1707,'112年全品項生產鍋數'!A:H,2,0)</f>
        <v>草莓餡(1*6Kg)</v>
      </c>
      <c r="D1707" s="287">
        <v>12</v>
      </c>
      <c r="E1707" s="141">
        <f>VLOOKUP(B1707,'112年全品項生產鍋數'!A:H,3,0)</f>
        <v>6</v>
      </c>
      <c r="F1707" s="142">
        <f>VLOOKUP(B1707,'112年全品項生產鍋數'!A:H,7,0)</f>
        <v>25.5</v>
      </c>
      <c r="G1707" s="143">
        <f t="shared" si="225"/>
        <v>306</v>
      </c>
      <c r="H1707" s="156">
        <v>307</v>
      </c>
      <c r="I1707" s="144">
        <f t="shared" si="220"/>
        <v>1842</v>
      </c>
      <c r="J1707" s="100">
        <f t="shared" si="221"/>
        <v>1.0032679738562091</v>
      </c>
      <c r="K1707" s="51">
        <f>VLOOKUP(B:B,'生產達成率(目標)'!A:C,3,0)</f>
        <v>1</v>
      </c>
      <c r="L1707" s="20">
        <f t="shared" si="222"/>
        <v>3.0000000000000001E-3</v>
      </c>
      <c r="M1707" s="137" t="str">
        <f>工時!R891</f>
        <v>178</v>
      </c>
      <c r="N1707" s="144"/>
      <c r="O1707" s="144">
        <f t="shared" si="223"/>
        <v>1</v>
      </c>
      <c r="P1707" s="156">
        <v>306</v>
      </c>
      <c r="Q1707" s="145">
        <f t="shared" si="224"/>
        <v>0.99674267100977199</v>
      </c>
      <c r="R1707" s="144"/>
      <c r="S1707" s="153"/>
      <c r="T1707" s="140"/>
      <c r="V1707" s="381"/>
      <c r="W1707" s="421"/>
      <c r="X1707" s="381"/>
      <c r="Y1707" s="421"/>
      <c r="Z1707" s="421"/>
      <c r="AA1707" s="421"/>
      <c r="AB1707" s="421"/>
      <c r="AC1707" s="421"/>
      <c r="AD1707" s="421"/>
    </row>
    <row r="1708" spans="1:30" s="146" customFormat="1" x14ac:dyDescent="0.4">
      <c r="A1708" s="212">
        <v>45821</v>
      </c>
      <c r="B1708" s="151" t="s">
        <v>357</v>
      </c>
      <c r="C1708" s="140" t="str">
        <f>VLOOKUP(B1708,'112年全品項生產鍋數'!A:H,2,0)</f>
        <v>草莓醬(1*6Kg)</v>
      </c>
      <c r="D1708" s="287">
        <v>4</v>
      </c>
      <c r="E1708" s="141">
        <f>VLOOKUP(B1708,'112年全品項生產鍋數'!A:H,3,0)</f>
        <v>6</v>
      </c>
      <c r="F1708" s="142">
        <f>VLOOKUP(B1708,'112年全品項生產鍋數'!A:H,7,0)</f>
        <v>25.5</v>
      </c>
      <c r="G1708" s="143">
        <f t="shared" si="225"/>
        <v>102</v>
      </c>
      <c r="H1708" s="156">
        <v>96</v>
      </c>
      <c r="I1708" s="144">
        <f t="shared" si="220"/>
        <v>576</v>
      </c>
      <c r="J1708" s="100">
        <f t="shared" si="221"/>
        <v>0.94117647058823528</v>
      </c>
      <c r="K1708" s="51">
        <f>VLOOKUP(B:B,'生產達成率(目標)'!A:C,3,0)</f>
        <v>1</v>
      </c>
      <c r="L1708" s="20">
        <f t="shared" si="222"/>
        <v>-5.8999999999999997E-2</v>
      </c>
      <c r="M1708" s="137" t="str">
        <f>工時!R892</f>
        <v>510</v>
      </c>
      <c r="N1708" s="144"/>
      <c r="O1708" s="144">
        <f t="shared" si="223"/>
        <v>1</v>
      </c>
      <c r="P1708" s="156">
        <v>95</v>
      </c>
      <c r="Q1708" s="145">
        <f t="shared" si="224"/>
        <v>0.98958333333333337</v>
      </c>
      <c r="R1708" s="144"/>
      <c r="S1708" s="153"/>
      <c r="T1708" s="140"/>
      <c r="V1708" s="381"/>
      <c r="W1708" s="421"/>
      <c r="X1708" s="381"/>
      <c r="Y1708" s="421"/>
      <c r="Z1708" s="421"/>
      <c r="AA1708" s="421"/>
      <c r="AB1708" s="421"/>
      <c r="AC1708" s="421"/>
      <c r="AD1708" s="421"/>
    </row>
    <row r="1709" spans="1:30" s="146" customFormat="1" x14ac:dyDescent="0.4">
      <c r="A1709" s="212">
        <v>45821</v>
      </c>
      <c r="B1709" s="151" t="s">
        <v>58</v>
      </c>
      <c r="C1709" s="140" t="str">
        <f>VLOOKUP(B1709,'112年全品項生產鍋數'!A:H,2,0)</f>
        <v>PET大花生(1*400g)</v>
      </c>
      <c r="D1709" s="287">
        <v>36</v>
      </c>
      <c r="E1709" s="141">
        <f>VLOOKUP(B1709,'112年全品項生產鍋數'!A:H,3,0)</f>
        <v>0.4</v>
      </c>
      <c r="F1709" s="142">
        <f>VLOOKUP(B1709,'112年全品項生產鍋數'!A:H,7,0)</f>
        <v>309.2</v>
      </c>
      <c r="G1709" s="143">
        <f t="shared" si="225"/>
        <v>11131.199999999999</v>
      </c>
      <c r="H1709" s="144">
        <v>11037</v>
      </c>
      <c r="I1709" s="144">
        <f t="shared" si="220"/>
        <v>4414.8</v>
      </c>
      <c r="J1709" s="100">
        <f t="shared" si="221"/>
        <v>0.99153730056058653</v>
      </c>
      <c r="K1709" s="51">
        <f>VLOOKUP(B:B,'生產達成率(目標)'!A:C,3,0)</f>
        <v>1</v>
      </c>
      <c r="L1709" s="20">
        <f t="shared" si="222"/>
        <v>-8.0000000000000002E-3</v>
      </c>
      <c r="M1709" s="137" t="str">
        <f>工時!R893</f>
        <v>505</v>
      </c>
      <c r="N1709" s="144"/>
      <c r="O1709" s="144">
        <f t="shared" si="223"/>
        <v>3</v>
      </c>
      <c r="P1709" s="156">
        <v>11034</v>
      </c>
      <c r="Q1709" s="145">
        <f t="shared" si="224"/>
        <v>0.9997281870073389</v>
      </c>
      <c r="R1709" s="144"/>
      <c r="S1709" s="153"/>
      <c r="T1709" s="140"/>
      <c r="V1709" s="381"/>
      <c r="W1709" s="421"/>
      <c r="X1709" s="381"/>
      <c r="Y1709" s="421"/>
      <c r="Z1709" s="421"/>
      <c r="AA1709" s="421"/>
      <c r="AB1709" s="421"/>
      <c r="AC1709" s="421"/>
      <c r="AD1709" s="421"/>
    </row>
    <row r="1710" spans="1:30" x14ac:dyDescent="0.4">
      <c r="A1710" s="210">
        <v>45824</v>
      </c>
      <c r="B1710" s="151" t="s">
        <v>91</v>
      </c>
      <c r="C1710" s="30" t="str">
        <f>VLOOKUP(B1710,'112年全品項生產鍋數'!A:H,2,0)</f>
        <v>梨山草莓果醬(1*430g)</v>
      </c>
      <c r="D1710" s="287">
        <v>8</v>
      </c>
      <c r="E1710" s="48">
        <f>VLOOKUP(B1710,'112年全品項生產鍋數'!A:H,3,0)</f>
        <v>0.43</v>
      </c>
      <c r="F1710" s="142">
        <f>VLOOKUP(B1710,'112年全品項生產鍋數'!A:H,7,0)</f>
        <v>340.4</v>
      </c>
      <c r="G1710" s="143">
        <f t="shared" ref="G1710" si="226">D1710*F1710</f>
        <v>2723.2</v>
      </c>
      <c r="H1710" s="156">
        <v>2668</v>
      </c>
      <c r="I1710" s="23">
        <f t="shared" ref="I1710" si="227">H1710*E1710</f>
        <v>1147.24</v>
      </c>
      <c r="J1710" s="100">
        <f t="shared" ref="J1710" si="228">IF(G1710=0,"無法預估數據",H1710/G1710)</f>
        <v>0.97972972972972983</v>
      </c>
      <c r="K1710" s="51">
        <f>VLOOKUP(B:B,'生產達成率(目標)'!A:C,3,0)</f>
        <v>1</v>
      </c>
      <c r="L1710" s="20">
        <f t="shared" ref="L1710" si="229">IF(G1710=0,"無法預估數據",ROUND(J1710-K1710,3))</f>
        <v>-0.02</v>
      </c>
      <c r="M1710" s="137" t="str">
        <f>工時!R894</f>
        <v>150</v>
      </c>
      <c r="N1710" s="144"/>
      <c r="O1710" s="144">
        <f t="shared" ref="O1710" si="230">H1710-N1710-P1710</f>
        <v>4</v>
      </c>
      <c r="P1710" s="156">
        <v>2664</v>
      </c>
      <c r="Q1710" s="98">
        <f t="shared" ref="Q1710" si="231">P1710/H1710</f>
        <v>0.99850074962518742</v>
      </c>
      <c r="R1710" s="23"/>
      <c r="S1710" s="173"/>
      <c r="T1710" s="30"/>
    </row>
    <row r="1711" spans="1:30" x14ac:dyDescent="0.4">
      <c r="A1711" s="210">
        <v>45824</v>
      </c>
      <c r="B1711" s="151" t="s">
        <v>158</v>
      </c>
      <c r="C1711" s="30" t="str">
        <f>VLOOKUP(B1711,'112年全品項生產鍋數'!A:H,2,0)</f>
        <v>小圓草莓(1*170g)</v>
      </c>
      <c r="D1711" s="287">
        <v>4</v>
      </c>
      <c r="E1711" s="48">
        <f>VLOOKUP(B1711,'112年全品項生產鍋數'!A:H,3,0)</f>
        <v>0.17</v>
      </c>
      <c r="F1711" s="142">
        <f>VLOOKUP(B1711,'112年全品項生產鍋數'!A:H,7,0)</f>
        <v>912.6</v>
      </c>
      <c r="G1711" s="143">
        <f t="shared" si="225"/>
        <v>3650.4</v>
      </c>
      <c r="H1711" s="156">
        <v>3463</v>
      </c>
      <c r="I1711" s="23">
        <f t="shared" si="220"/>
        <v>588.71</v>
      </c>
      <c r="J1711" s="100">
        <f t="shared" si="221"/>
        <v>0.94866316020162167</v>
      </c>
      <c r="K1711" s="51">
        <f>VLOOKUP(B:B,'生產達成率(目標)'!A:C,3,0)</f>
        <v>1</v>
      </c>
      <c r="L1711" s="20">
        <f t="shared" si="222"/>
        <v>-5.0999999999999997E-2</v>
      </c>
      <c r="M1711" s="137" t="str">
        <f>工時!R895</f>
        <v>210</v>
      </c>
      <c r="N1711" s="144"/>
      <c r="O1711" s="144">
        <f t="shared" si="223"/>
        <v>8</v>
      </c>
      <c r="P1711" s="156">
        <v>3455</v>
      </c>
      <c r="Q1711" s="98">
        <f t="shared" si="224"/>
        <v>0.99768986427952644</v>
      </c>
      <c r="R1711" s="23"/>
      <c r="S1711" s="173"/>
      <c r="T1711" s="30"/>
    </row>
    <row r="1712" spans="1:30" x14ac:dyDescent="0.4">
      <c r="A1712" s="210">
        <v>45824</v>
      </c>
      <c r="B1712" s="151" t="s">
        <v>106</v>
      </c>
      <c r="C1712" s="30" t="str">
        <f>VLOOKUP(B1712,'112年全品項生產鍋數'!A:H,2,0)</f>
        <v>小藍莓1*260G</v>
      </c>
      <c r="D1712" s="287">
        <v>16</v>
      </c>
      <c r="E1712" s="48">
        <f>VLOOKUP(B1712,'112年全品項生產鍋數'!A:H,3,0)</f>
        <v>0.26</v>
      </c>
      <c r="F1712" s="142">
        <f>VLOOKUP(B1712,'112年全品項生產鍋數'!A:H,7,0)</f>
        <v>584.29999999999995</v>
      </c>
      <c r="G1712" s="143">
        <f t="shared" ref="G1712:G1757" si="232">D1712*F1712</f>
        <v>9348.7999999999993</v>
      </c>
      <c r="H1712" s="156">
        <v>9234</v>
      </c>
      <c r="I1712" s="23">
        <f t="shared" ref="I1712:I1757" si="233">H1712*E1712</f>
        <v>2400.84</v>
      </c>
      <c r="J1712" s="100">
        <f t="shared" ref="J1712:J1757" si="234">IF(G1712=0,"無法預估數據",H1712/G1712)</f>
        <v>0.98772034913571805</v>
      </c>
      <c r="K1712" s="51">
        <f>VLOOKUP(B:B,'生產達成率(目標)'!A:C,3,0)</f>
        <v>1</v>
      </c>
      <c r="L1712" s="20">
        <f t="shared" ref="L1712:L1757" si="235">IF(G1712=0,"無法預估數據",ROUND(J1712-K1712,3))</f>
        <v>-1.2E-2</v>
      </c>
      <c r="M1712" s="137" t="str">
        <f>工時!R896</f>
        <v>270</v>
      </c>
      <c r="N1712" s="144"/>
      <c r="O1712" s="144">
        <f t="shared" ref="O1712:O1757" si="236">H1712-N1712-P1712</f>
        <v>22</v>
      </c>
      <c r="P1712" s="156">
        <v>9212</v>
      </c>
      <c r="Q1712" s="98">
        <f t="shared" ref="Q1712:Q1757" si="237">P1712/H1712</f>
        <v>0.99761750054147713</v>
      </c>
      <c r="R1712" s="23"/>
      <c r="S1712" s="173"/>
      <c r="T1712" s="30"/>
    </row>
    <row r="1713" spans="1:30" x14ac:dyDescent="0.4">
      <c r="A1713" s="210">
        <v>45824</v>
      </c>
      <c r="B1713" s="151" t="s">
        <v>63</v>
      </c>
      <c r="C1713" s="30" t="str">
        <f>VLOOKUP(B1713,'112年全品項生產鍋數'!A:H,2,0)</f>
        <v>草莓蒟蒻餡(1*6kg)</v>
      </c>
      <c r="D1713" s="287">
        <v>20</v>
      </c>
      <c r="E1713" s="48">
        <f>VLOOKUP(B1713,'112年全品項生產鍋數'!A:H,3,0)</f>
        <v>6</v>
      </c>
      <c r="F1713" s="142">
        <f>VLOOKUP(B1713,'112年全品項生產鍋數'!A:H,7,0)</f>
        <v>25.7</v>
      </c>
      <c r="G1713" s="143">
        <f t="shared" si="232"/>
        <v>514</v>
      </c>
      <c r="H1713" s="156">
        <f>307+212</f>
        <v>519</v>
      </c>
      <c r="I1713" s="23">
        <f t="shared" si="233"/>
        <v>3114</v>
      </c>
      <c r="J1713" s="100">
        <f t="shared" si="234"/>
        <v>1.0097276264591439</v>
      </c>
      <c r="K1713" s="51">
        <f>VLOOKUP(B:B,'生產達成率(目標)'!A:C,3,0)</f>
        <v>1</v>
      </c>
      <c r="L1713" s="20">
        <f t="shared" si="235"/>
        <v>0.01</v>
      </c>
      <c r="M1713" s="137" t="str">
        <f>工時!R897</f>
        <v>317</v>
      </c>
      <c r="N1713" s="144"/>
      <c r="O1713" s="144">
        <f t="shared" si="236"/>
        <v>1</v>
      </c>
      <c r="P1713" s="156">
        <f>306+212</f>
        <v>518</v>
      </c>
      <c r="Q1713" s="98">
        <f t="shared" si="237"/>
        <v>0.9980732177263969</v>
      </c>
      <c r="R1713" s="23"/>
      <c r="S1713" s="173"/>
      <c r="T1713" s="30"/>
    </row>
    <row r="1714" spans="1:30" x14ac:dyDescent="0.4">
      <c r="A1714" s="210">
        <v>45824</v>
      </c>
      <c r="B1714" s="151" t="s">
        <v>965</v>
      </c>
      <c r="C1714" s="30" t="str">
        <f>VLOOKUP(B1714,'112年全品項生產鍋數'!A:H,2,0)</f>
        <v>草莓餡°(1*6KG)</v>
      </c>
      <c r="D1714" s="287">
        <v>16</v>
      </c>
      <c r="E1714" s="48">
        <f>VLOOKUP(B1714,'112年全品項生產鍋數'!A:H,3,0)</f>
        <v>6</v>
      </c>
      <c r="F1714" s="142">
        <f>VLOOKUP(B1714,'112年全品項生產鍋數'!A:H,7,0)</f>
        <v>0</v>
      </c>
      <c r="G1714" s="143">
        <f t="shared" si="232"/>
        <v>0</v>
      </c>
      <c r="H1714" s="156">
        <v>403</v>
      </c>
      <c r="I1714" s="23">
        <f t="shared" si="233"/>
        <v>2418</v>
      </c>
      <c r="J1714" s="100" t="str">
        <f t="shared" si="234"/>
        <v>無法預估數據</v>
      </c>
      <c r="K1714" s="51">
        <f>VLOOKUP(B:B,'生產達成率(目標)'!A:C,3,0)</f>
        <v>1</v>
      </c>
      <c r="L1714" s="20" t="str">
        <f t="shared" si="235"/>
        <v>無法預估數據</v>
      </c>
      <c r="M1714" s="137" t="str">
        <f>工時!R898</f>
        <v>240</v>
      </c>
      <c r="N1714" s="144"/>
      <c r="O1714" s="144">
        <f t="shared" si="236"/>
        <v>2</v>
      </c>
      <c r="P1714" s="156">
        <v>401</v>
      </c>
      <c r="Q1714" s="98">
        <f t="shared" si="237"/>
        <v>0.99503722084367241</v>
      </c>
      <c r="R1714" s="23"/>
      <c r="S1714" s="173"/>
      <c r="T1714" s="30"/>
    </row>
    <row r="1715" spans="1:30" x14ac:dyDescent="0.4">
      <c r="A1715" s="210">
        <v>45824</v>
      </c>
      <c r="B1715" s="151" t="s">
        <v>1060</v>
      </c>
      <c r="C1715" s="30" t="str">
        <f>VLOOKUP(B1715,'112年全品項生產鍋數'!A:H,2,0)</f>
        <v>草莓蔓越莓餡(1*6KG)</v>
      </c>
      <c r="D1715" s="287">
        <v>4</v>
      </c>
      <c r="E1715" s="48">
        <f>VLOOKUP(B1715,'112年全品項生產鍋數'!A:H,3,0)</f>
        <v>6</v>
      </c>
      <c r="F1715" s="142">
        <f>VLOOKUP(B1715,'112年全品項生產鍋數'!A:H,7,0)</f>
        <v>25.2</v>
      </c>
      <c r="G1715" s="143">
        <f t="shared" si="232"/>
        <v>100.8</v>
      </c>
      <c r="H1715" s="156">
        <v>107</v>
      </c>
      <c r="I1715" s="23">
        <f t="shared" si="233"/>
        <v>642</v>
      </c>
      <c r="J1715" s="100">
        <f t="shared" si="234"/>
        <v>1.0615079365079365</v>
      </c>
      <c r="K1715" s="51" t="e">
        <f>VLOOKUP(B:B,'生產達成率(目標)'!A:C,3,0)</f>
        <v>#N/A</v>
      </c>
      <c r="L1715" s="20" t="e">
        <f t="shared" si="235"/>
        <v>#N/A</v>
      </c>
      <c r="M1715" s="137" t="str">
        <f>工時!R899</f>
        <v>106</v>
      </c>
      <c r="N1715" s="144"/>
      <c r="O1715" s="144">
        <f t="shared" si="236"/>
        <v>3</v>
      </c>
      <c r="P1715" s="156">
        <v>104</v>
      </c>
      <c r="Q1715" s="98">
        <f t="shared" si="237"/>
        <v>0.9719626168224299</v>
      </c>
      <c r="R1715" s="23"/>
      <c r="S1715" s="173">
        <v>48</v>
      </c>
      <c r="T1715" s="30" t="s">
        <v>1081</v>
      </c>
    </row>
    <row r="1716" spans="1:30" ht="34" x14ac:dyDescent="0.4">
      <c r="A1716" s="210">
        <v>45824</v>
      </c>
      <c r="B1716" s="151" t="s">
        <v>65</v>
      </c>
      <c r="C1716" s="30" t="str">
        <f>VLOOKUP(B1716,'112年全品項生產鍋數'!A:H,2,0)</f>
        <v>＃1花生(1*2.8kg)</v>
      </c>
      <c r="D1716" s="287">
        <v>72</v>
      </c>
      <c r="E1716" s="48">
        <f>VLOOKUP(B1716,'112年全品項生產鍋數'!A:H,3,0)</f>
        <v>2.8</v>
      </c>
      <c r="F1716" s="142">
        <f>VLOOKUP(B1716,'112年全品項生產鍋數'!A:H,7,0)</f>
        <v>44.5</v>
      </c>
      <c r="G1716" s="143">
        <f>D1716*F1716-18*25/E1716</f>
        <v>3043.2857142857142</v>
      </c>
      <c r="H1716" s="156">
        <f>300+2776</f>
        <v>3076</v>
      </c>
      <c r="I1716" s="23">
        <f t="shared" si="233"/>
        <v>8612.7999999999993</v>
      </c>
      <c r="J1716" s="100">
        <f t="shared" si="234"/>
        <v>1.0107496596723466</v>
      </c>
      <c r="K1716" s="51">
        <f>VLOOKUP(B:B,'生產達成率(目標)'!A:C,3,0)</f>
        <v>1</v>
      </c>
      <c r="L1716" s="20">
        <f t="shared" si="235"/>
        <v>1.0999999999999999E-2</v>
      </c>
      <c r="M1716" s="137" t="str">
        <f>工時!R900</f>
        <v>650</v>
      </c>
      <c r="N1716" s="144"/>
      <c r="O1716" s="144">
        <f t="shared" si="236"/>
        <v>2</v>
      </c>
      <c r="P1716" s="156">
        <f>300+2774</f>
        <v>3074</v>
      </c>
      <c r="Q1716" s="98">
        <f t="shared" si="237"/>
        <v>0.9993498049414824</v>
      </c>
      <c r="R1716" s="23"/>
      <c r="S1716" s="173"/>
      <c r="T1716" s="44" t="s">
        <v>1067</v>
      </c>
    </row>
    <row r="1717" spans="1:30" s="146" customFormat="1" x14ac:dyDescent="0.4">
      <c r="A1717" s="212">
        <v>45824</v>
      </c>
      <c r="B1717" s="151">
        <v>153010</v>
      </c>
      <c r="C1717" s="140" t="str">
        <f>VLOOKUP(B1717,'112年全品項生產鍋數'!A:H,2,0)</f>
        <v>蜜桔皮6m/m</v>
      </c>
      <c r="D1717" s="287">
        <v>1</v>
      </c>
      <c r="E1717" s="141">
        <f>VLOOKUP(B1717,'112年全品項生產鍋數'!A:H,3,0)</f>
        <v>1</v>
      </c>
      <c r="F1717" s="142">
        <f>VLOOKUP(B1717,'112年全品項生產鍋數'!A:H,7,0)</f>
        <v>591</v>
      </c>
      <c r="G1717" s="143">
        <f t="shared" si="232"/>
        <v>591</v>
      </c>
      <c r="H1717" s="156">
        <v>552</v>
      </c>
      <c r="I1717" s="144">
        <f t="shared" si="233"/>
        <v>552</v>
      </c>
      <c r="J1717" s="100">
        <f t="shared" si="234"/>
        <v>0.93401015228426398</v>
      </c>
      <c r="K1717" s="51">
        <f>VLOOKUP(B:B,'生產達成率(目標)'!A:C,3,0)</f>
        <v>1</v>
      </c>
      <c r="L1717" s="20">
        <f t="shared" si="235"/>
        <v>-6.6000000000000003E-2</v>
      </c>
      <c r="M1717" s="137" t="str">
        <f>工時!R901</f>
        <v>0</v>
      </c>
      <c r="N1717" s="144"/>
      <c r="O1717" s="144">
        <f t="shared" si="236"/>
        <v>0</v>
      </c>
      <c r="P1717" s="156">
        <v>552</v>
      </c>
      <c r="Q1717" s="145">
        <f t="shared" si="237"/>
        <v>1</v>
      </c>
      <c r="R1717" s="144"/>
      <c r="S1717" s="153"/>
      <c r="T1717" s="140" t="s">
        <v>1063</v>
      </c>
      <c r="V1717" s="381"/>
      <c r="W1717" s="421"/>
      <c r="X1717" s="381"/>
      <c r="Y1717" s="421"/>
      <c r="Z1717" s="421"/>
      <c r="AA1717" s="421"/>
      <c r="AB1717" s="421"/>
      <c r="AC1717" s="421"/>
      <c r="AD1717" s="421"/>
    </row>
    <row r="1718" spans="1:30" s="146" customFormat="1" x14ac:dyDescent="0.4">
      <c r="A1718" s="212">
        <v>45824</v>
      </c>
      <c r="B1718" s="151" t="s">
        <v>488</v>
      </c>
      <c r="C1718" s="140" t="str">
        <f>VLOOKUP(B1718,'112年全品項生產鍋數'!A:H,2,0)</f>
        <v>文旦絲(1*1KG/包)</v>
      </c>
      <c r="D1718" s="287">
        <v>1</v>
      </c>
      <c r="E1718" s="141">
        <f>VLOOKUP(B1718,'112年全品項生產鍋數'!A:H,3,0)</f>
        <v>1</v>
      </c>
      <c r="F1718" s="142">
        <f>VLOOKUP(B1718,'112年全品項生產鍋數'!A:H,7,0)</f>
        <v>670</v>
      </c>
      <c r="G1718" s="143">
        <f t="shared" si="232"/>
        <v>670</v>
      </c>
      <c r="H1718" s="156">
        <v>367</v>
      </c>
      <c r="I1718" s="144">
        <f t="shared" si="233"/>
        <v>367</v>
      </c>
      <c r="J1718" s="100">
        <f t="shared" si="234"/>
        <v>0.5477611940298508</v>
      </c>
      <c r="K1718" s="51">
        <f>VLOOKUP(B:B,'生產達成率(目標)'!A:C,3,0)</f>
        <v>1</v>
      </c>
      <c r="L1718" s="20">
        <f t="shared" si="235"/>
        <v>-0.45200000000000001</v>
      </c>
      <c r="M1718" s="137" t="str">
        <f>工時!R902</f>
        <v>0</v>
      </c>
      <c r="N1718" s="144"/>
      <c r="O1718" s="144">
        <f t="shared" si="236"/>
        <v>0</v>
      </c>
      <c r="P1718" s="156">
        <v>367</v>
      </c>
      <c r="Q1718" s="145">
        <f t="shared" si="237"/>
        <v>1</v>
      </c>
      <c r="R1718" s="144"/>
      <c r="S1718" s="153"/>
      <c r="T1718" s="140" t="s">
        <v>1065</v>
      </c>
      <c r="V1718" s="381"/>
      <c r="W1718" s="421"/>
      <c r="X1718" s="381"/>
      <c r="Y1718" s="421"/>
      <c r="Z1718" s="421"/>
      <c r="AA1718" s="421"/>
      <c r="AB1718" s="421"/>
      <c r="AC1718" s="421"/>
      <c r="AD1718" s="421"/>
    </row>
    <row r="1719" spans="1:30" x14ac:dyDescent="0.4">
      <c r="A1719" s="210">
        <v>45825</v>
      </c>
      <c r="B1719" s="151" t="s">
        <v>71</v>
      </c>
      <c r="C1719" s="30" t="str">
        <f>VLOOKUP(B1719,'112年全品項生產鍋數'!A:H,2,0)</f>
        <v>＃1草莓(1*3.2kg)</v>
      </c>
      <c r="D1719" s="287">
        <v>68</v>
      </c>
      <c r="E1719" s="48">
        <f>VLOOKUP(B1719,'112年全品項生產鍋數'!A:H,3,0)</f>
        <v>3.2</v>
      </c>
      <c r="F1719" s="142">
        <f>VLOOKUP(B1719,'112年全品項生產鍋數'!A:H,7,0)</f>
        <v>46.8</v>
      </c>
      <c r="G1719" s="143">
        <f t="shared" si="232"/>
        <v>3182.3999999999996</v>
      </c>
      <c r="H1719" s="156">
        <v>3212</v>
      </c>
      <c r="I1719" s="23">
        <f t="shared" si="233"/>
        <v>10278.400000000001</v>
      </c>
      <c r="J1719" s="100">
        <f t="shared" si="234"/>
        <v>1.0093011563599801</v>
      </c>
      <c r="K1719" s="51">
        <f>VLOOKUP(B:B,'生產達成率(目標)'!A:C,3,0)</f>
        <v>1</v>
      </c>
      <c r="L1719" s="20">
        <f t="shared" si="235"/>
        <v>8.9999999999999993E-3</v>
      </c>
      <c r="M1719" s="137" t="str">
        <f>工時!R903</f>
        <v>485</v>
      </c>
      <c r="N1719" s="144"/>
      <c r="O1719" s="144">
        <f t="shared" si="236"/>
        <v>2</v>
      </c>
      <c r="P1719" s="156">
        <v>3210</v>
      </c>
      <c r="Q1719" s="98">
        <f t="shared" si="237"/>
        <v>0.99937733499377335</v>
      </c>
      <c r="R1719" s="23"/>
      <c r="S1719" s="173"/>
      <c r="T1719" s="30"/>
    </row>
    <row r="1720" spans="1:30" x14ac:dyDescent="0.4">
      <c r="A1720" s="210">
        <v>45825</v>
      </c>
      <c r="B1720" s="151" t="s">
        <v>1061</v>
      </c>
      <c r="C1720" s="30" t="str">
        <f>VLOOKUP(B1720,'112年全品項生產鍋數'!A:H,2,0)</f>
        <v>＃1草莓(1*3.2kg)</v>
      </c>
      <c r="D1720" s="287">
        <v>4</v>
      </c>
      <c r="E1720" s="48">
        <f>VLOOKUP(B1720,'112年全品項生產鍋數'!A:H,3,0)</f>
        <v>3.2</v>
      </c>
      <c r="F1720" s="142">
        <f>VLOOKUP(B1720,'112年全品項生產鍋數'!A:H,7,0)</f>
        <v>46.8</v>
      </c>
      <c r="G1720" s="143">
        <f t="shared" si="232"/>
        <v>187.2</v>
      </c>
      <c r="H1720" s="156">
        <v>162</v>
      </c>
      <c r="I1720" s="23">
        <f t="shared" si="233"/>
        <v>518.4</v>
      </c>
      <c r="J1720" s="100">
        <f t="shared" si="234"/>
        <v>0.86538461538461542</v>
      </c>
      <c r="K1720" s="51" t="e">
        <f>VLOOKUP(B:B,'生產達成率(目標)'!A:C,3,0)</f>
        <v>#N/A</v>
      </c>
      <c r="L1720" s="20" t="e">
        <f t="shared" si="235"/>
        <v>#N/A</v>
      </c>
      <c r="M1720" s="137" t="str">
        <f>工時!R904</f>
        <v>120</v>
      </c>
      <c r="N1720" s="144"/>
      <c r="O1720" s="144">
        <f t="shared" si="236"/>
        <v>3</v>
      </c>
      <c r="P1720" s="156">
        <v>159</v>
      </c>
      <c r="Q1720" s="98">
        <f t="shared" si="237"/>
        <v>0.98148148148148151</v>
      </c>
      <c r="R1720" s="23"/>
      <c r="S1720" s="173"/>
      <c r="T1720" s="30" t="s">
        <v>1066</v>
      </c>
    </row>
    <row r="1721" spans="1:30" x14ac:dyDescent="0.4">
      <c r="A1721" s="210">
        <v>45825</v>
      </c>
      <c r="B1721" s="151" t="s">
        <v>64</v>
      </c>
      <c r="C1721" s="30" t="str">
        <f>VLOOKUP(B1721,'112年全品項生產鍋數'!A:H,2,0)</f>
        <v>藍莓餡(1*6KG)</v>
      </c>
      <c r="D1721" s="287">
        <v>24</v>
      </c>
      <c r="E1721" s="48">
        <f>VLOOKUP(B1721,'112年全品項生產鍋數'!A:H,3,0)</f>
        <v>6</v>
      </c>
      <c r="F1721" s="142">
        <f>VLOOKUP(B1721,'112年全品項生產鍋數'!A:H,7,0)</f>
        <v>25.4</v>
      </c>
      <c r="G1721" s="143">
        <f t="shared" si="232"/>
        <v>609.59999999999991</v>
      </c>
      <c r="H1721" s="156">
        <f>301+312</f>
        <v>613</v>
      </c>
      <c r="I1721" s="23">
        <f t="shared" si="233"/>
        <v>3678</v>
      </c>
      <c r="J1721" s="100">
        <f t="shared" si="234"/>
        <v>1.0055774278215224</v>
      </c>
      <c r="K1721" s="51">
        <f>VLOOKUP(B:B,'生產達成率(目標)'!A:C,3,0)</f>
        <v>1</v>
      </c>
      <c r="L1721" s="20">
        <f t="shared" si="235"/>
        <v>6.0000000000000001E-3</v>
      </c>
      <c r="M1721" s="137" t="str">
        <f>工時!R905</f>
        <v>348</v>
      </c>
      <c r="N1721" s="144"/>
      <c r="O1721" s="144">
        <f t="shared" si="236"/>
        <v>1</v>
      </c>
      <c r="P1721" s="156">
        <f>300+312</f>
        <v>612</v>
      </c>
      <c r="Q1721" s="98">
        <f t="shared" si="237"/>
        <v>0.99836867862969003</v>
      </c>
      <c r="R1721" s="23"/>
      <c r="S1721" s="173"/>
      <c r="T1721" s="30"/>
    </row>
    <row r="1722" spans="1:30" x14ac:dyDescent="0.4">
      <c r="A1722" s="210">
        <v>45825</v>
      </c>
      <c r="B1722" s="151" t="s">
        <v>81</v>
      </c>
      <c r="C1722" s="30" t="str">
        <f>VLOOKUP(B1722,'112年全品項生產鍋數'!A:H,2,0)</f>
        <v>藍莓餡(1*6Kg)</v>
      </c>
      <c r="D1722" s="287">
        <v>16</v>
      </c>
      <c r="E1722" s="48">
        <f>VLOOKUP(B1722,'112年全品項生產鍋數'!A:H,3,0)</f>
        <v>6</v>
      </c>
      <c r="F1722" s="142">
        <f>VLOOKUP(B1722,'112年全品項生產鍋數'!A:H,7,0)</f>
        <v>25.1</v>
      </c>
      <c r="G1722" s="143">
        <f t="shared" si="232"/>
        <v>401.6</v>
      </c>
      <c r="H1722" s="144">
        <v>405</v>
      </c>
      <c r="I1722" s="23">
        <f t="shared" si="233"/>
        <v>2430</v>
      </c>
      <c r="J1722" s="100">
        <f t="shared" si="234"/>
        <v>1.0084661354581672</v>
      </c>
      <c r="K1722" s="51">
        <f>VLOOKUP(B:B,'生產達成率(目標)'!A:C,3,0)</f>
        <v>1</v>
      </c>
      <c r="L1722" s="20">
        <f t="shared" si="235"/>
        <v>8.0000000000000002E-3</v>
      </c>
      <c r="M1722" s="137" t="str">
        <f>工時!R906</f>
        <v>235</v>
      </c>
      <c r="N1722" s="144"/>
      <c r="O1722" s="144">
        <f t="shared" si="236"/>
        <v>1</v>
      </c>
      <c r="P1722" s="156">
        <v>404</v>
      </c>
      <c r="Q1722" s="98">
        <f t="shared" si="237"/>
        <v>0.9975308641975309</v>
      </c>
      <c r="R1722" s="23"/>
      <c r="S1722" s="173"/>
      <c r="T1722" s="30"/>
    </row>
    <row r="1723" spans="1:30" x14ac:dyDescent="0.4">
      <c r="A1723" s="210">
        <v>45825</v>
      </c>
      <c r="B1723" s="151" t="s">
        <v>83</v>
      </c>
      <c r="C1723" s="30" t="str">
        <f>VLOOKUP(B1723,'112年全品項生產鍋數'!A:H,2,0)</f>
        <v>PET瓶花生(粒)(1*340g)</v>
      </c>
      <c r="D1723" s="287">
        <v>16</v>
      </c>
      <c r="E1723" s="48">
        <f>VLOOKUP(B1723,'112年全品項生產鍋數'!A:H,3,0)</f>
        <v>0.34</v>
      </c>
      <c r="F1723" s="142">
        <f>VLOOKUP(B1723,'112年全品項生產鍋數'!A:H,7,0)</f>
        <v>366</v>
      </c>
      <c r="G1723" s="143">
        <f t="shared" si="232"/>
        <v>5856</v>
      </c>
      <c r="H1723" s="156">
        <f>3514+2402</f>
        <v>5916</v>
      </c>
      <c r="I1723" s="23">
        <f t="shared" si="233"/>
        <v>2011.44</v>
      </c>
      <c r="J1723" s="100">
        <f t="shared" si="234"/>
        <v>1.0102459016393444</v>
      </c>
      <c r="K1723" s="51">
        <f>VLOOKUP(B:B,'生產達成率(目標)'!A:C,3,0)</f>
        <v>1</v>
      </c>
      <c r="L1723" s="20">
        <f t="shared" si="235"/>
        <v>0.01</v>
      </c>
      <c r="M1723" s="137" t="str">
        <f>工時!R907</f>
        <v>400</v>
      </c>
      <c r="N1723" s="144"/>
      <c r="O1723" s="144">
        <f t="shared" si="236"/>
        <v>5</v>
      </c>
      <c r="P1723" s="156">
        <f>3511+2400</f>
        <v>5911</v>
      </c>
      <c r="Q1723" s="98">
        <f t="shared" si="237"/>
        <v>0.99915483434753216</v>
      </c>
      <c r="R1723" s="23"/>
      <c r="S1723" s="173"/>
      <c r="T1723" s="30" t="s">
        <v>1068</v>
      </c>
    </row>
    <row r="1724" spans="1:30" x14ac:dyDescent="0.4">
      <c r="A1724" s="210">
        <v>45825</v>
      </c>
      <c r="B1724" s="151" t="s">
        <v>471</v>
      </c>
      <c r="C1724" s="30" t="str">
        <f>VLOOKUP(B1724,'112年全品項生產鍋數'!A:H,2,0)</f>
        <v>花生醬(1*290g)</v>
      </c>
      <c r="D1724" s="287">
        <v>8</v>
      </c>
      <c r="E1724" s="48">
        <f>VLOOKUP(B1724,'112年全品項生產鍋數'!A:H,3,0)</f>
        <v>0.28999999999999998</v>
      </c>
      <c r="F1724" s="142">
        <f>VLOOKUP(B1724,'112年全品項生產鍋數'!A:H,7,0)</f>
        <v>412.6</v>
      </c>
      <c r="G1724" s="143">
        <f t="shared" si="232"/>
        <v>3300.8</v>
      </c>
      <c r="H1724" s="156">
        <v>3424</v>
      </c>
      <c r="I1724" s="23">
        <f t="shared" si="233"/>
        <v>992.95999999999992</v>
      </c>
      <c r="J1724" s="100">
        <f t="shared" si="234"/>
        <v>1.0373242850218127</v>
      </c>
      <c r="K1724" s="51">
        <f>VLOOKUP(B:B,'生產達成率(目標)'!A:C,3,0)</f>
        <v>1</v>
      </c>
      <c r="L1724" s="20">
        <f t="shared" si="235"/>
        <v>3.6999999999999998E-2</v>
      </c>
      <c r="M1724" s="137" t="str">
        <f>工時!R908</f>
        <v>240</v>
      </c>
      <c r="N1724" s="144"/>
      <c r="O1724" s="144">
        <f t="shared" si="236"/>
        <v>3</v>
      </c>
      <c r="P1724" s="156">
        <v>3421</v>
      </c>
      <c r="Q1724" s="98">
        <f t="shared" si="237"/>
        <v>0.99912383177570097</v>
      </c>
      <c r="R1724" s="23"/>
      <c r="S1724" s="173"/>
      <c r="T1724" s="30" t="s">
        <v>1069</v>
      </c>
    </row>
    <row r="1725" spans="1:30" x14ac:dyDescent="0.4">
      <c r="A1725" s="210">
        <v>45826</v>
      </c>
      <c r="B1725" s="151" t="s">
        <v>54</v>
      </c>
      <c r="C1725" s="30" t="str">
        <f>VLOOKUP(B1725,'112年全品項生產鍋數'!A:H,2,0)</f>
        <v>草莓醬(1*6kg)</v>
      </c>
      <c r="D1725" s="287">
        <v>30</v>
      </c>
      <c r="E1725" s="48">
        <f>VLOOKUP(B1725,'112年全品項生產鍋數'!A:H,3,0)</f>
        <v>6</v>
      </c>
      <c r="F1725" s="142">
        <f>VLOOKUP(B1725,'112年全品項生產鍋數'!A:H,7,0)</f>
        <v>26.6</v>
      </c>
      <c r="G1725" s="143">
        <f t="shared" si="232"/>
        <v>798</v>
      </c>
      <c r="H1725" s="156">
        <v>778</v>
      </c>
      <c r="I1725" s="23">
        <f t="shared" si="233"/>
        <v>4668</v>
      </c>
      <c r="J1725" s="100">
        <f t="shared" si="234"/>
        <v>0.97493734335839599</v>
      </c>
      <c r="K1725" s="51">
        <f>VLOOKUP(B:B,'生產達成率(目標)'!A:C,3,0)</f>
        <v>1</v>
      </c>
      <c r="L1725" s="20">
        <f t="shared" si="235"/>
        <v>-2.5000000000000001E-2</v>
      </c>
      <c r="M1725" s="137" t="str">
        <f>工時!R909</f>
        <v>448</v>
      </c>
      <c r="N1725" s="144"/>
      <c r="O1725" s="144">
        <f t="shared" si="236"/>
        <v>1</v>
      </c>
      <c r="P1725" s="156">
        <v>777</v>
      </c>
      <c r="Q1725" s="98">
        <f t="shared" si="237"/>
        <v>0.99871465295629824</v>
      </c>
      <c r="R1725" s="23"/>
      <c r="S1725" s="173"/>
      <c r="T1725" s="30"/>
    </row>
    <row r="1726" spans="1:30" x14ac:dyDescent="0.4">
      <c r="A1726" s="210">
        <v>45826</v>
      </c>
      <c r="B1726" s="151" t="s">
        <v>53</v>
      </c>
      <c r="C1726" s="30" t="str">
        <f>VLOOKUP(B1726,'112年全品項生產鍋數'!A:H,2,0)</f>
        <v>鳳梨芒果百香果醬(1*6KG)</v>
      </c>
      <c r="D1726" s="287">
        <v>6</v>
      </c>
      <c r="E1726" s="48">
        <f>VLOOKUP(B1726,'112年全品項生產鍋數'!A:H,3,0)</f>
        <v>6</v>
      </c>
      <c r="F1726" s="142">
        <f>VLOOKUP(B1726,'112年全品項生產鍋數'!A:H,7,0)</f>
        <v>25.7</v>
      </c>
      <c r="G1726" s="143">
        <f t="shared" si="232"/>
        <v>154.19999999999999</v>
      </c>
      <c r="H1726" s="156">
        <v>145</v>
      </c>
      <c r="I1726" s="23">
        <f t="shared" si="233"/>
        <v>870</v>
      </c>
      <c r="J1726" s="100">
        <f t="shared" si="234"/>
        <v>0.94033722438391709</v>
      </c>
      <c r="K1726" s="51">
        <f>VLOOKUP(B:B,'生產達成率(目標)'!A:C,3,0)</f>
        <v>1</v>
      </c>
      <c r="L1726" s="20">
        <f t="shared" si="235"/>
        <v>-0.06</v>
      </c>
      <c r="M1726" s="137" t="str">
        <f>工時!R910</f>
        <v>160</v>
      </c>
      <c r="N1726" s="144"/>
      <c r="O1726" s="144">
        <f t="shared" si="236"/>
        <v>1</v>
      </c>
      <c r="P1726" s="156">
        <v>144</v>
      </c>
      <c r="Q1726" s="98">
        <f t="shared" si="237"/>
        <v>0.99310344827586206</v>
      </c>
      <c r="R1726" s="23"/>
      <c r="S1726" s="173"/>
      <c r="T1726" s="30"/>
    </row>
    <row r="1727" spans="1:30" x14ac:dyDescent="0.4">
      <c r="A1727" s="210">
        <v>45826</v>
      </c>
      <c r="B1727" s="151" t="s">
        <v>1062</v>
      </c>
      <c r="C1727" s="30" t="str">
        <f>VLOOKUP(B1727,'112年全品項生產鍋數'!A:H,2,0)</f>
        <v>上好佳芒果餡(大)4.5KG</v>
      </c>
      <c r="D1727" s="287">
        <v>32</v>
      </c>
      <c r="E1727" s="48">
        <f>VLOOKUP(B1727,'112年全品項生產鍋數'!A:H,3,0)</f>
        <v>4.5</v>
      </c>
      <c r="F1727" s="142">
        <f>VLOOKUP(B1727,'112年全品項生產鍋數'!A:H,7,0)</f>
        <v>33.200000000000003</v>
      </c>
      <c r="G1727" s="143">
        <f t="shared" si="232"/>
        <v>1062.4000000000001</v>
      </c>
      <c r="H1727" s="156">
        <v>1117</v>
      </c>
      <c r="I1727" s="23">
        <f t="shared" si="233"/>
        <v>5026.5</v>
      </c>
      <c r="J1727" s="100">
        <f t="shared" si="234"/>
        <v>1.0513930722891565</v>
      </c>
      <c r="K1727" s="51" t="e">
        <f>VLOOKUP(B:B,'生產達成率(目標)'!A:C,3,0)</f>
        <v>#N/A</v>
      </c>
      <c r="L1727" s="20" t="e">
        <f t="shared" si="235"/>
        <v>#N/A</v>
      </c>
      <c r="M1727" s="137" t="str">
        <f>工時!R911</f>
        <v>450</v>
      </c>
      <c r="N1727" s="144"/>
      <c r="O1727" s="144">
        <f t="shared" si="236"/>
        <v>0</v>
      </c>
      <c r="P1727" s="156">
        <v>1117</v>
      </c>
      <c r="Q1727" s="98">
        <f t="shared" si="237"/>
        <v>1</v>
      </c>
      <c r="R1727" s="23"/>
      <c r="S1727" s="173"/>
      <c r="T1727" s="30"/>
    </row>
    <row r="1728" spans="1:30" x14ac:dyDescent="0.4">
      <c r="A1728" s="210">
        <v>45826</v>
      </c>
      <c r="B1728" s="151" t="s">
        <v>130</v>
      </c>
      <c r="C1728" s="30" t="str">
        <f>VLOOKUP(B1728,'112年全品項生產鍋數'!A:H,2,0)</f>
        <v>天天開心柳橙餡4.5KG</v>
      </c>
      <c r="D1728" s="287">
        <v>8</v>
      </c>
      <c r="E1728" s="48">
        <f>VLOOKUP(B1728,'112年全品項生產鍋數'!A:H,3,0)</f>
        <v>4.5</v>
      </c>
      <c r="F1728" s="142">
        <f>VLOOKUP(B1728,'112年全品項生產鍋數'!A:H,7,0)</f>
        <v>34.9</v>
      </c>
      <c r="G1728" s="143">
        <f t="shared" si="232"/>
        <v>279.2</v>
      </c>
      <c r="H1728" s="156">
        <v>294</v>
      </c>
      <c r="I1728" s="23">
        <f t="shared" si="233"/>
        <v>1323</v>
      </c>
      <c r="J1728" s="100">
        <f t="shared" si="234"/>
        <v>1.0530085959885387</v>
      </c>
      <c r="K1728" s="51">
        <f>VLOOKUP(B:B,'生產達成率(目標)'!A:C,3,0)</f>
        <v>1</v>
      </c>
      <c r="L1728" s="20">
        <f t="shared" si="235"/>
        <v>5.2999999999999999E-2</v>
      </c>
      <c r="M1728" s="137" t="str">
        <f>工時!R912</f>
        <v>164</v>
      </c>
      <c r="N1728" s="144"/>
      <c r="O1728" s="144">
        <f t="shared" si="236"/>
        <v>0</v>
      </c>
      <c r="P1728" s="156">
        <v>294</v>
      </c>
      <c r="Q1728" s="98">
        <f t="shared" si="237"/>
        <v>1</v>
      </c>
      <c r="R1728" s="23"/>
      <c r="S1728" s="173"/>
      <c r="T1728" s="30"/>
    </row>
    <row r="1729" spans="1:30" x14ac:dyDescent="0.4">
      <c r="A1729" s="210">
        <v>45826</v>
      </c>
      <c r="B1729" s="151" t="s">
        <v>65</v>
      </c>
      <c r="C1729" s="30" t="str">
        <f>VLOOKUP(B1729,'112年全品項生產鍋數'!A:H,2,0)</f>
        <v>＃1花生(1*2.8kg)</v>
      </c>
      <c r="D1729" s="287">
        <v>80</v>
      </c>
      <c r="E1729" s="48">
        <f>VLOOKUP(B1729,'112年全品項生產鍋數'!A:H,3,0)</f>
        <v>2.8</v>
      </c>
      <c r="F1729" s="142">
        <f>VLOOKUP(B1729,'112年全品項生產鍋數'!A:H,7,0)</f>
        <v>44.5</v>
      </c>
      <c r="G1729" s="143">
        <f t="shared" si="232"/>
        <v>3560</v>
      </c>
      <c r="H1729" s="156">
        <v>3217</v>
      </c>
      <c r="I1729" s="23">
        <f t="shared" si="233"/>
        <v>9007.5999999999985</v>
      </c>
      <c r="J1729" s="100">
        <f t="shared" si="234"/>
        <v>0.90365168539325846</v>
      </c>
      <c r="K1729" s="51">
        <f>VLOOKUP(B:B,'生產達成率(目標)'!A:C,3,0)</f>
        <v>1</v>
      </c>
      <c r="L1729" s="20">
        <f t="shared" si="235"/>
        <v>-9.6000000000000002E-2</v>
      </c>
      <c r="M1729" s="137" t="str">
        <f>工時!R913</f>
        <v>690</v>
      </c>
      <c r="N1729" s="144"/>
      <c r="O1729" s="144">
        <f t="shared" si="236"/>
        <v>7</v>
      </c>
      <c r="P1729" s="156">
        <v>3210</v>
      </c>
      <c r="Q1729" s="98">
        <f t="shared" si="237"/>
        <v>0.99782405968293442</v>
      </c>
      <c r="R1729" s="23" t="s">
        <v>1075</v>
      </c>
      <c r="S1729" s="173"/>
      <c r="T1729" s="30" t="s">
        <v>1076</v>
      </c>
    </row>
    <row r="1730" spans="1:30" x14ac:dyDescent="0.4">
      <c r="A1730" s="210">
        <v>45827</v>
      </c>
      <c r="B1730" s="151" t="s">
        <v>984</v>
      </c>
      <c r="C1730" s="30" t="str">
        <f>VLOOKUP(B1730,'112年全品項生產鍋數'!A:H,2,0)</f>
        <v>蘋果餡(1*6Kg)</v>
      </c>
      <c r="D1730" s="287">
        <v>6</v>
      </c>
      <c r="E1730" s="48">
        <f>VLOOKUP(B1730,'112年全品項生產鍋數'!A:H,3,0)</f>
        <v>6</v>
      </c>
      <c r="F1730" s="142">
        <f>VLOOKUP(B1730,'112年全品項生產鍋數'!A:H,7,0)</f>
        <v>25.6</v>
      </c>
      <c r="G1730" s="143">
        <f t="shared" si="232"/>
        <v>153.60000000000002</v>
      </c>
      <c r="H1730" s="156">
        <v>157</v>
      </c>
      <c r="I1730" s="23">
        <f t="shared" si="233"/>
        <v>942</v>
      </c>
      <c r="J1730" s="100">
        <f t="shared" si="234"/>
        <v>1.0221354166666665</v>
      </c>
      <c r="K1730" s="51" t="e">
        <f>VLOOKUP(B:B,'生產達成率(目標)'!A:C,3,0)</f>
        <v>#N/A</v>
      </c>
      <c r="L1730" s="20" t="e">
        <f t="shared" si="235"/>
        <v>#N/A</v>
      </c>
      <c r="M1730" s="137" t="str">
        <f>工時!R914</f>
        <v>135</v>
      </c>
      <c r="N1730" s="144"/>
      <c r="O1730" s="144">
        <f t="shared" si="236"/>
        <v>1</v>
      </c>
      <c r="P1730" s="156">
        <v>156</v>
      </c>
      <c r="Q1730" s="98">
        <f t="shared" si="237"/>
        <v>0.99363057324840764</v>
      </c>
      <c r="R1730" s="23"/>
      <c r="S1730" s="173"/>
      <c r="T1730" s="30"/>
    </row>
    <row r="1731" spans="1:30" x14ac:dyDescent="0.4">
      <c r="A1731" s="210">
        <v>45827</v>
      </c>
      <c r="B1731" s="151" t="s">
        <v>75</v>
      </c>
      <c r="C1731" s="30" t="str">
        <f>VLOOKUP(B1731,'112年全品項生產鍋數'!A:H,2,0)</f>
        <v>草莓椰果餡(1*6Kg)</v>
      </c>
      <c r="D1731" s="287">
        <v>8</v>
      </c>
      <c r="E1731" s="48">
        <f>VLOOKUP(B1731,'112年全品項生產鍋數'!A:H,3,0)</f>
        <v>6</v>
      </c>
      <c r="F1731" s="142">
        <f>VLOOKUP(B1731,'112年全品項生產鍋數'!A:H,7,0)</f>
        <v>26.4</v>
      </c>
      <c r="G1731" s="143">
        <f t="shared" si="232"/>
        <v>211.2</v>
      </c>
      <c r="H1731" s="156">
        <v>212</v>
      </c>
      <c r="I1731" s="23">
        <f t="shared" si="233"/>
        <v>1272</v>
      </c>
      <c r="J1731" s="100">
        <f t="shared" si="234"/>
        <v>1.0037878787878789</v>
      </c>
      <c r="K1731" s="51">
        <f>VLOOKUP(B:B,'生產達成率(目標)'!A:C,3,0)</f>
        <v>1</v>
      </c>
      <c r="L1731" s="20">
        <f t="shared" si="235"/>
        <v>4.0000000000000001E-3</v>
      </c>
      <c r="M1731" s="137" t="str">
        <f>工時!R915</f>
        <v>140</v>
      </c>
      <c r="N1731" s="144"/>
      <c r="O1731" s="144">
        <f t="shared" si="236"/>
        <v>1</v>
      </c>
      <c r="P1731" s="156">
        <v>211</v>
      </c>
      <c r="Q1731" s="98">
        <f t="shared" si="237"/>
        <v>0.99528301886792447</v>
      </c>
      <c r="R1731" s="23"/>
      <c r="S1731" s="173"/>
      <c r="T1731" s="30"/>
    </row>
    <row r="1732" spans="1:30" x14ac:dyDescent="0.4">
      <c r="A1732" s="210">
        <v>45827</v>
      </c>
      <c r="B1732" s="151" t="s">
        <v>63</v>
      </c>
      <c r="C1732" s="30" t="str">
        <f>VLOOKUP(B1732,'112年全品項生產鍋數'!A:H,2,0)</f>
        <v>草莓蒟蒻餡(1*6kg)</v>
      </c>
      <c r="D1732" s="287">
        <v>24</v>
      </c>
      <c r="E1732" s="48">
        <f>VLOOKUP(B1732,'112年全品項生產鍋數'!A:H,3,0)</f>
        <v>6</v>
      </c>
      <c r="F1732" s="142">
        <f>VLOOKUP(B1732,'112年全品項生產鍋數'!A:H,7,0)</f>
        <v>25.7</v>
      </c>
      <c r="G1732" s="143">
        <f t="shared" si="232"/>
        <v>616.79999999999995</v>
      </c>
      <c r="H1732" s="156">
        <f>306+318</f>
        <v>624</v>
      </c>
      <c r="I1732" s="23">
        <f t="shared" si="233"/>
        <v>3744</v>
      </c>
      <c r="J1732" s="100">
        <f t="shared" si="234"/>
        <v>1.0116731517509729</v>
      </c>
      <c r="K1732" s="51">
        <f>VLOOKUP(B:B,'生產達成率(目標)'!A:C,3,0)</f>
        <v>1</v>
      </c>
      <c r="L1732" s="20">
        <f t="shared" si="235"/>
        <v>1.2E-2</v>
      </c>
      <c r="M1732" s="137" t="str">
        <f>工時!R916</f>
        <v>335</v>
      </c>
      <c r="N1732" s="144"/>
      <c r="O1732" s="144">
        <f t="shared" si="236"/>
        <v>1</v>
      </c>
      <c r="P1732" s="156">
        <f>305+318</f>
        <v>623</v>
      </c>
      <c r="Q1732" s="98">
        <f t="shared" si="237"/>
        <v>0.9983974358974359</v>
      </c>
      <c r="R1732" s="23"/>
      <c r="S1732" s="173"/>
      <c r="T1732" s="30"/>
    </row>
    <row r="1733" spans="1:30" s="146" customFormat="1" x14ac:dyDescent="0.4">
      <c r="A1733" s="212">
        <v>45827</v>
      </c>
      <c r="B1733" s="151" t="s">
        <v>73</v>
      </c>
      <c r="C1733" s="140" t="str">
        <f>VLOOKUP(B1733,'112年全品項生產鍋數'!A:H,2,0)</f>
        <v>顆粒花生醬(1*12KG)</v>
      </c>
      <c r="D1733" s="287">
        <v>21</v>
      </c>
      <c r="E1733" s="141">
        <f>VLOOKUP(B1733,'112年全品項生產鍋數'!A:H,3,0)</f>
        <v>3</v>
      </c>
      <c r="F1733" s="142">
        <f>VLOOKUP(B1733,'112年全品項生產鍋數'!A:H,7,0)</f>
        <v>29.7</v>
      </c>
      <c r="G1733" s="143">
        <f t="shared" si="232"/>
        <v>623.69999999999993</v>
      </c>
      <c r="H1733" s="156">
        <v>632</v>
      </c>
      <c r="I1733" s="144">
        <f t="shared" si="233"/>
        <v>1896</v>
      </c>
      <c r="J1733" s="100">
        <f t="shared" si="234"/>
        <v>1.0133076799743468</v>
      </c>
      <c r="K1733" s="51">
        <f>VLOOKUP(B:B,'生產達成率(目標)'!A:C,3,0)</f>
        <v>1</v>
      </c>
      <c r="L1733" s="20">
        <f t="shared" si="235"/>
        <v>1.2999999999999999E-2</v>
      </c>
      <c r="M1733" s="137" t="str">
        <f>工時!R917</f>
        <v>540</v>
      </c>
      <c r="N1733" s="144"/>
      <c r="O1733" s="144">
        <f t="shared" si="236"/>
        <v>0</v>
      </c>
      <c r="P1733" s="156">
        <v>632</v>
      </c>
      <c r="Q1733" s="145">
        <f t="shared" si="237"/>
        <v>1</v>
      </c>
      <c r="R1733" s="144"/>
      <c r="S1733" s="153"/>
      <c r="T1733" s="140"/>
      <c r="V1733" s="381"/>
      <c r="W1733" s="421"/>
      <c r="X1733" s="381"/>
      <c r="Y1733" s="421"/>
      <c r="Z1733" s="421"/>
      <c r="AA1733" s="421"/>
      <c r="AB1733" s="421"/>
      <c r="AC1733" s="421"/>
      <c r="AD1733" s="421"/>
    </row>
    <row r="1734" spans="1:30" x14ac:dyDescent="0.4">
      <c r="A1734" s="210">
        <v>45827</v>
      </c>
      <c r="B1734" s="151" t="s">
        <v>104</v>
      </c>
      <c r="C1734" s="30" t="str">
        <f>VLOOKUP(B1734,'112年全品項生產鍋數'!A:H,2,0)</f>
        <v>＃1花生(粒)(1*2.8kg)</v>
      </c>
      <c r="D1734" s="287">
        <v>40</v>
      </c>
      <c r="E1734" s="48">
        <f>VLOOKUP(B1734,'112年全品項生產鍋數'!A:H,3,0)</f>
        <v>2.8</v>
      </c>
      <c r="F1734" s="142">
        <f>VLOOKUP(B1734,'112年全品項生產鍋數'!A:H,7,0)</f>
        <v>44.2</v>
      </c>
      <c r="G1734" s="143">
        <f t="shared" si="232"/>
        <v>1768</v>
      </c>
      <c r="H1734" s="156">
        <v>1773</v>
      </c>
      <c r="I1734" s="23">
        <f t="shared" si="233"/>
        <v>4964.3999999999996</v>
      </c>
      <c r="J1734" s="100">
        <f t="shared" si="234"/>
        <v>1.0028280542986425</v>
      </c>
      <c r="K1734" s="51">
        <f>VLOOKUP(B:B,'生產達成率(目標)'!A:C,3,0)</f>
        <v>1</v>
      </c>
      <c r="L1734" s="20">
        <f t="shared" si="235"/>
        <v>3.0000000000000001E-3</v>
      </c>
      <c r="M1734" s="137" t="str">
        <f>工時!R918</f>
        <v>455</v>
      </c>
      <c r="N1734" s="144"/>
      <c r="O1734" s="144">
        <f t="shared" si="236"/>
        <v>1</v>
      </c>
      <c r="P1734" s="156">
        <v>1772</v>
      </c>
      <c r="Q1734" s="98">
        <f t="shared" si="237"/>
        <v>0.99943598420755786</v>
      </c>
      <c r="R1734" s="23"/>
      <c r="S1734" s="173"/>
      <c r="T1734" s="30"/>
    </row>
    <row r="1735" spans="1:30" s="146" customFormat="1" x14ac:dyDescent="0.4">
      <c r="A1735" s="212">
        <v>45828</v>
      </c>
      <c r="B1735" s="151" t="s">
        <v>61</v>
      </c>
      <c r="C1735" s="140" t="str">
        <f>VLOOKUP(B1735,'112年全品項生產鍋數'!A:H,2,0)</f>
        <v>大圓草莓-新</v>
      </c>
      <c r="D1735" s="287">
        <v>40</v>
      </c>
      <c r="E1735" s="141">
        <f>VLOOKUP(B1735,'112年全品項生產鍋數'!A:H,3,0)</f>
        <v>0.44</v>
      </c>
      <c r="F1735" s="142">
        <f>VLOOKUP(B1735,'112年全品項生產鍋數'!A:H,7,0)</f>
        <v>344</v>
      </c>
      <c r="G1735" s="143">
        <f t="shared" si="232"/>
        <v>13760</v>
      </c>
      <c r="H1735" s="156">
        <v>13660</v>
      </c>
      <c r="I1735" s="144">
        <f t="shared" si="233"/>
        <v>6010.4</v>
      </c>
      <c r="J1735" s="100">
        <f t="shared" si="234"/>
        <v>0.99273255813953487</v>
      </c>
      <c r="K1735" s="51">
        <f>VLOOKUP(B:B,'生產達成率(目標)'!A:C,3,0)</f>
        <v>1</v>
      </c>
      <c r="L1735" s="20">
        <f t="shared" si="235"/>
        <v>-7.0000000000000001E-3</v>
      </c>
      <c r="M1735" s="137" t="str">
        <f>工時!R919</f>
        <v>540</v>
      </c>
      <c r="N1735" s="144"/>
      <c r="O1735" s="144">
        <f t="shared" si="236"/>
        <v>9</v>
      </c>
      <c r="P1735" s="156">
        <v>13651</v>
      </c>
      <c r="Q1735" s="145">
        <f t="shared" si="237"/>
        <v>0.99934114202049784</v>
      </c>
      <c r="R1735" s="144"/>
      <c r="S1735" s="153"/>
      <c r="T1735" s="140"/>
      <c r="V1735" s="381"/>
      <c r="W1735" s="421"/>
      <c r="X1735" s="381"/>
      <c r="Y1735" s="421"/>
      <c r="Z1735" s="421"/>
      <c r="AA1735" s="421"/>
      <c r="AB1735" s="421"/>
      <c r="AC1735" s="421"/>
      <c r="AD1735" s="421"/>
    </row>
    <row r="1736" spans="1:30" s="146" customFormat="1" x14ac:dyDescent="0.4">
      <c r="A1736" s="212">
        <v>45828</v>
      </c>
      <c r="B1736" s="151" t="s">
        <v>63</v>
      </c>
      <c r="C1736" s="140" t="str">
        <f>VLOOKUP(B1736,'112年全品項生產鍋數'!A:H,2,0)</f>
        <v>草莓蒟蒻餡(1*6kg)</v>
      </c>
      <c r="D1736" s="287">
        <v>24</v>
      </c>
      <c r="E1736" s="141">
        <f>VLOOKUP(B1736,'112年全品項生產鍋數'!A:H,3,0)</f>
        <v>6</v>
      </c>
      <c r="F1736" s="142">
        <f>VLOOKUP(B1736,'112年全品項生產鍋數'!A:H,7,0)</f>
        <v>25.7</v>
      </c>
      <c r="G1736" s="143">
        <f t="shared" si="232"/>
        <v>616.79999999999995</v>
      </c>
      <c r="H1736" s="156">
        <f>308+318</f>
        <v>626</v>
      </c>
      <c r="I1736" s="144">
        <f t="shared" si="233"/>
        <v>3756</v>
      </c>
      <c r="J1736" s="100">
        <f t="shared" si="234"/>
        <v>1.0149156939040209</v>
      </c>
      <c r="K1736" s="51">
        <f>VLOOKUP(B:B,'生產達成率(目標)'!A:C,3,0)</f>
        <v>1</v>
      </c>
      <c r="L1736" s="20">
        <f t="shared" si="235"/>
        <v>1.4999999999999999E-2</v>
      </c>
      <c r="M1736" s="137" t="str">
        <f>工時!R920</f>
        <v>302</v>
      </c>
      <c r="N1736" s="144"/>
      <c r="O1736" s="144">
        <f t="shared" si="236"/>
        <v>2</v>
      </c>
      <c r="P1736" s="156">
        <f>306+318</f>
        <v>624</v>
      </c>
      <c r="Q1736" s="145">
        <f t="shared" si="237"/>
        <v>0.99680511182108622</v>
      </c>
      <c r="R1736" s="144"/>
      <c r="S1736" s="153"/>
      <c r="T1736" s="140"/>
      <c r="V1736" s="381"/>
      <c r="W1736" s="421"/>
      <c r="X1736" s="381"/>
      <c r="Y1736" s="421"/>
      <c r="Z1736" s="421"/>
      <c r="AA1736" s="421"/>
      <c r="AB1736" s="421"/>
      <c r="AC1736" s="421"/>
      <c r="AD1736" s="421"/>
    </row>
    <row r="1737" spans="1:30" s="146" customFormat="1" x14ac:dyDescent="0.4">
      <c r="A1737" s="212">
        <v>45828</v>
      </c>
      <c r="B1737" s="151" t="s">
        <v>538</v>
      </c>
      <c r="C1737" s="140" t="str">
        <f>VLOOKUP(B1737,'112年全品項生產鍋數'!A:H,2,0)</f>
        <v>蜂蜜蘋果醬(1*6KG)</v>
      </c>
      <c r="D1737" s="287">
        <v>6</v>
      </c>
      <c r="E1737" s="141">
        <f>VLOOKUP(B1737,'112年全品項生產鍋數'!A:H,3,0)</f>
        <v>6</v>
      </c>
      <c r="F1737" s="142">
        <f>VLOOKUP(B1737,'112年全品項生產鍋數'!A:H,7,0)</f>
        <v>25.2</v>
      </c>
      <c r="G1737" s="143">
        <f t="shared" si="232"/>
        <v>151.19999999999999</v>
      </c>
      <c r="H1737" s="156">
        <v>155</v>
      </c>
      <c r="I1737" s="144">
        <f t="shared" si="233"/>
        <v>930</v>
      </c>
      <c r="J1737" s="100">
        <f t="shared" si="234"/>
        <v>1.0251322751322751</v>
      </c>
      <c r="K1737" s="51">
        <f>VLOOKUP(B:B,'生產達成率(目標)'!A:C,3,0)</f>
        <v>1</v>
      </c>
      <c r="L1737" s="20">
        <f t="shared" si="235"/>
        <v>2.5000000000000001E-2</v>
      </c>
      <c r="M1737" s="137" t="str">
        <f>工時!R921</f>
        <v>160</v>
      </c>
      <c r="N1737" s="144"/>
      <c r="O1737" s="144">
        <f t="shared" si="236"/>
        <v>2</v>
      </c>
      <c r="P1737" s="156">
        <v>153</v>
      </c>
      <c r="Q1737" s="145">
        <f t="shared" si="237"/>
        <v>0.98709677419354835</v>
      </c>
      <c r="R1737" s="144"/>
      <c r="S1737" s="153"/>
      <c r="T1737" s="140"/>
      <c r="V1737" s="381"/>
      <c r="W1737" s="421"/>
      <c r="X1737" s="381"/>
      <c r="Y1737" s="421"/>
      <c r="Z1737" s="421"/>
      <c r="AA1737" s="421"/>
      <c r="AB1737" s="421"/>
      <c r="AC1737" s="421"/>
      <c r="AD1737" s="421"/>
    </row>
    <row r="1738" spans="1:30" s="146" customFormat="1" x14ac:dyDescent="0.4">
      <c r="A1738" s="212">
        <v>45828</v>
      </c>
      <c r="B1738" s="151" t="s">
        <v>1045</v>
      </c>
      <c r="C1738" s="140" t="str">
        <f>VLOOKUP(B1738,'112年全品項生產鍋數'!A:H,2,0)</f>
        <v>芒果蜜桃醬(含桃丁)</v>
      </c>
      <c r="D1738" s="287">
        <v>8</v>
      </c>
      <c r="E1738" s="141">
        <f>VLOOKUP(B1738,'112年全品項生產鍋數'!A:H,3,0)</f>
        <v>6</v>
      </c>
      <c r="F1738" s="142">
        <f>VLOOKUP(B1738,'112年全品項生產鍋數'!A:H,7,0)</f>
        <v>0</v>
      </c>
      <c r="G1738" s="143">
        <f t="shared" si="232"/>
        <v>0</v>
      </c>
      <c r="H1738" s="156">
        <v>203</v>
      </c>
      <c r="I1738" s="144">
        <f t="shared" si="233"/>
        <v>1218</v>
      </c>
      <c r="J1738" s="100" t="str">
        <f t="shared" si="234"/>
        <v>無法預估數據</v>
      </c>
      <c r="K1738" s="51">
        <f>VLOOKUP(B:B,'生產達成率(目標)'!A:C,3,0)</f>
        <v>1</v>
      </c>
      <c r="L1738" s="20" t="str">
        <f t="shared" si="235"/>
        <v>無法預估數據</v>
      </c>
      <c r="M1738" s="137" t="str">
        <f>工時!R922</f>
        <v>166</v>
      </c>
      <c r="N1738" s="144"/>
      <c r="O1738" s="144">
        <f t="shared" si="236"/>
        <v>1</v>
      </c>
      <c r="P1738" s="156">
        <v>202</v>
      </c>
      <c r="Q1738" s="145">
        <f t="shared" si="237"/>
        <v>0.99507389162561577</v>
      </c>
      <c r="R1738" s="144"/>
      <c r="S1738" s="153"/>
      <c r="T1738" s="140"/>
      <c r="V1738" s="381"/>
      <c r="W1738" s="421"/>
      <c r="X1738" s="381"/>
      <c r="Y1738" s="421"/>
      <c r="Z1738" s="421"/>
      <c r="AA1738" s="421"/>
      <c r="AB1738" s="421"/>
      <c r="AC1738" s="421"/>
      <c r="AD1738" s="421"/>
    </row>
    <row r="1739" spans="1:30" s="146" customFormat="1" x14ac:dyDescent="0.4">
      <c r="A1739" s="212">
        <v>45828</v>
      </c>
      <c r="B1739" s="151" t="s">
        <v>104</v>
      </c>
      <c r="C1739" s="140" t="str">
        <f>VLOOKUP(B1739,'112年全品項生產鍋數'!A:H,2,0)</f>
        <v>＃1花生(粒)(1*2.8kg)</v>
      </c>
      <c r="D1739" s="287">
        <v>52</v>
      </c>
      <c r="E1739" s="141">
        <f>VLOOKUP(B1739,'112年全品項生產鍋數'!A:H,3,0)</f>
        <v>2.8</v>
      </c>
      <c r="F1739" s="142">
        <f>VLOOKUP(B1739,'112年全品項生產鍋數'!A:H,7,0)</f>
        <v>44.2</v>
      </c>
      <c r="G1739" s="143">
        <f t="shared" si="232"/>
        <v>2298.4</v>
      </c>
      <c r="H1739" s="156">
        <v>2260</v>
      </c>
      <c r="I1739" s="144">
        <f t="shared" si="233"/>
        <v>6328</v>
      </c>
      <c r="J1739" s="100">
        <f t="shared" si="234"/>
        <v>0.98329272537417334</v>
      </c>
      <c r="K1739" s="51">
        <f>VLOOKUP(B:B,'生產達成率(目標)'!A:C,3,0)</f>
        <v>1</v>
      </c>
      <c r="L1739" s="20">
        <f t="shared" si="235"/>
        <v>-1.7000000000000001E-2</v>
      </c>
      <c r="M1739" s="137" t="str">
        <f>工時!R923</f>
        <v>400</v>
      </c>
      <c r="N1739" s="144"/>
      <c r="O1739" s="144">
        <f t="shared" si="236"/>
        <v>1</v>
      </c>
      <c r="P1739" s="156">
        <v>2259</v>
      </c>
      <c r="Q1739" s="145">
        <f t="shared" si="237"/>
        <v>0.99955752212389382</v>
      </c>
      <c r="R1739" s="144"/>
      <c r="S1739" s="153"/>
      <c r="T1739" s="140"/>
      <c r="V1739" s="381"/>
      <c r="W1739" s="421"/>
      <c r="X1739" s="381"/>
      <c r="Y1739" s="421"/>
      <c r="Z1739" s="421"/>
      <c r="AA1739" s="421"/>
      <c r="AB1739" s="421"/>
      <c r="AC1739" s="421"/>
      <c r="AD1739" s="421"/>
    </row>
    <row r="1740" spans="1:30" s="146" customFormat="1" x14ac:dyDescent="0.4">
      <c r="A1740" s="212">
        <v>45828</v>
      </c>
      <c r="B1740" s="151" t="s">
        <v>642</v>
      </c>
      <c r="C1740" s="140" t="str">
        <f>VLOOKUP(B1740,'112年全品項生產鍋數'!A:H,2,0)</f>
        <v>＃2花生（粒）(1*800g)</v>
      </c>
      <c r="D1740" s="287">
        <v>8</v>
      </c>
      <c r="E1740" s="141">
        <f>VLOOKUP(B1740,'112年全品項生產鍋數'!A:H,3,0)</f>
        <v>0.8</v>
      </c>
      <c r="F1740" s="142">
        <f>VLOOKUP(B1740,'112年全品項生產鍋數'!A:H,7,0)</f>
        <v>155.5</v>
      </c>
      <c r="G1740" s="143">
        <f t="shared" si="232"/>
        <v>1244</v>
      </c>
      <c r="H1740" s="156">
        <f>1266</f>
        <v>1266</v>
      </c>
      <c r="I1740" s="144">
        <f t="shared" si="233"/>
        <v>1012.8000000000001</v>
      </c>
      <c r="J1740" s="100">
        <f t="shared" si="234"/>
        <v>1.017684887459807</v>
      </c>
      <c r="K1740" s="51">
        <f>VLOOKUP(B:B,'生產達成率(目標)'!A:C,3,0)</f>
        <v>1</v>
      </c>
      <c r="L1740" s="20">
        <f t="shared" si="235"/>
        <v>1.7999999999999999E-2</v>
      </c>
      <c r="M1740" s="137" t="str">
        <f>工時!R924</f>
        <v>190</v>
      </c>
      <c r="N1740" s="144"/>
      <c r="O1740" s="144">
        <f t="shared" si="236"/>
        <v>2</v>
      </c>
      <c r="P1740" s="156">
        <v>1264</v>
      </c>
      <c r="Q1740" s="145">
        <f t="shared" si="237"/>
        <v>0.99842022116903628</v>
      </c>
      <c r="R1740" s="144"/>
      <c r="S1740" s="153"/>
      <c r="T1740" s="140"/>
      <c r="V1740" s="381"/>
      <c r="W1740" s="421"/>
      <c r="X1740" s="381"/>
      <c r="Y1740" s="421"/>
      <c r="Z1740" s="421"/>
      <c r="AA1740" s="421"/>
      <c r="AB1740" s="421"/>
      <c r="AC1740" s="421"/>
      <c r="AD1740" s="421"/>
    </row>
    <row r="1741" spans="1:30" x14ac:dyDescent="0.4">
      <c r="A1741" s="210">
        <v>45831</v>
      </c>
      <c r="B1741" s="151" t="s">
        <v>71</v>
      </c>
      <c r="C1741" s="30" t="str">
        <f>VLOOKUP(B1741,'112年全品項生產鍋數'!A:H,2,0)</f>
        <v>＃1草莓(1*3.2kg)</v>
      </c>
      <c r="D1741" s="287">
        <v>72</v>
      </c>
      <c r="E1741" s="48">
        <f>VLOOKUP(B1741,'112年全品項生產鍋數'!A:H,3,0)</f>
        <v>3.2</v>
      </c>
      <c r="F1741" s="142">
        <f>VLOOKUP(B1741,'112年全品項生產鍋數'!A:H,7,0)</f>
        <v>46.8</v>
      </c>
      <c r="G1741" s="143">
        <f t="shared" si="232"/>
        <v>3369.6</v>
      </c>
      <c r="H1741" s="156">
        <v>3395</v>
      </c>
      <c r="I1741" s="23">
        <f t="shared" si="233"/>
        <v>10864</v>
      </c>
      <c r="J1741" s="100">
        <f t="shared" si="234"/>
        <v>1.0075379867046534</v>
      </c>
      <c r="K1741" s="51">
        <f>VLOOKUP(B:B,'生產達成率(目標)'!A:C,3,0)</f>
        <v>1</v>
      </c>
      <c r="L1741" s="20">
        <f t="shared" si="235"/>
        <v>8.0000000000000002E-3</v>
      </c>
      <c r="M1741" s="137" t="str">
        <f>工時!R925</f>
        <v>540</v>
      </c>
      <c r="N1741" s="144"/>
      <c r="O1741" s="144">
        <f t="shared" si="236"/>
        <v>2</v>
      </c>
      <c r="P1741" s="156">
        <v>3393</v>
      </c>
      <c r="Q1741" s="98">
        <f t="shared" si="237"/>
        <v>0.99941089837997055</v>
      </c>
      <c r="R1741" s="23"/>
      <c r="S1741" s="173"/>
      <c r="T1741" s="30"/>
    </row>
    <row r="1742" spans="1:30" x14ac:dyDescent="0.4">
      <c r="A1742" s="210">
        <v>45831</v>
      </c>
      <c r="B1742" s="151" t="s">
        <v>63</v>
      </c>
      <c r="C1742" s="30" t="str">
        <f>VLOOKUP(B1742,'112年全品項生產鍋數'!A:H,2,0)</f>
        <v>草莓蒟蒻餡(1*6kg)</v>
      </c>
      <c r="D1742" s="287">
        <v>20</v>
      </c>
      <c r="E1742" s="48">
        <f>VLOOKUP(B1742,'112年全品項生產鍋數'!A:H,3,0)</f>
        <v>6</v>
      </c>
      <c r="F1742" s="142">
        <f>VLOOKUP(B1742,'112年全品項生產鍋數'!A:H,7,0)</f>
        <v>25.7</v>
      </c>
      <c r="G1742" s="143">
        <f t="shared" si="232"/>
        <v>514</v>
      </c>
      <c r="H1742" s="156">
        <f>307+214</f>
        <v>521</v>
      </c>
      <c r="I1742" s="23">
        <f t="shared" si="233"/>
        <v>3126</v>
      </c>
      <c r="J1742" s="100">
        <f t="shared" si="234"/>
        <v>1.0136186770428015</v>
      </c>
      <c r="K1742" s="51">
        <f>VLOOKUP(B:B,'生產達成率(目標)'!A:C,3,0)</f>
        <v>1</v>
      </c>
      <c r="L1742" s="20">
        <f t="shared" si="235"/>
        <v>1.4E-2</v>
      </c>
      <c r="M1742" s="137" t="str">
        <f>工時!R926</f>
        <v>263</v>
      </c>
      <c r="N1742" s="144"/>
      <c r="O1742" s="144">
        <f t="shared" si="236"/>
        <v>1</v>
      </c>
      <c r="P1742" s="156">
        <f>306+214</f>
        <v>520</v>
      </c>
      <c r="Q1742" s="98">
        <f t="shared" si="237"/>
        <v>0.99808061420345484</v>
      </c>
      <c r="R1742" s="23"/>
      <c r="S1742" s="173"/>
      <c r="T1742" s="30" t="s">
        <v>1071</v>
      </c>
    </row>
    <row r="1743" spans="1:30" x14ac:dyDescent="0.4">
      <c r="A1743" s="210">
        <v>45831</v>
      </c>
      <c r="B1743" s="151" t="s">
        <v>72</v>
      </c>
      <c r="C1743" s="30" t="str">
        <f>VLOOKUP(B1743,'112年全品項生產鍋數'!A:H,2,0)</f>
        <v>草莓餡45%(1*6Kg)</v>
      </c>
      <c r="D1743" s="287">
        <v>20</v>
      </c>
      <c r="E1743" s="48">
        <f>VLOOKUP(B1743,'112年全品項生產鍋數'!A:H,3,0)</f>
        <v>6</v>
      </c>
      <c r="F1743" s="142">
        <f>VLOOKUP(B1743,'112年全品項生產鍋數'!A:H,7,0)</f>
        <v>26.1</v>
      </c>
      <c r="G1743" s="143">
        <f t="shared" si="232"/>
        <v>522</v>
      </c>
      <c r="H1743" s="156">
        <v>525</v>
      </c>
      <c r="I1743" s="23">
        <f t="shared" si="233"/>
        <v>3150</v>
      </c>
      <c r="J1743" s="100">
        <f t="shared" si="234"/>
        <v>1.0057471264367817</v>
      </c>
      <c r="K1743" s="51">
        <f>VLOOKUP(B:B,'生產達成率(目標)'!A:C,3,0)</f>
        <v>1</v>
      </c>
      <c r="L1743" s="20">
        <f t="shared" si="235"/>
        <v>6.0000000000000001E-3</v>
      </c>
      <c r="M1743" s="137" t="str">
        <f>工時!R927</f>
        <v>285</v>
      </c>
      <c r="N1743" s="144"/>
      <c r="O1743" s="144">
        <f t="shared" si="236"/>
        <v>1</v>
      </c>
      <c r="P1743" s="156">
        <v>524</v>
      </c>
      <c r="Q1743" s="98">
        <f t="shared" si="237"/>
        <v>0.99809523809523815</v>
      </c>
      <c r="R1743" s="23"/>
      <c r="S1743" s="173"/>
      <c r="T1743" s="30"/>
    </row>
    <row r="1744" spans="1:30" x14ac:dyDescent="0.4">
      <c r="A1744" s="210">
        <v>45831</v>
      </c>
      <c r="B1744" s="151" t="s">
        <v>82</v>
      </c>
      <c r="C1744" s="30" t="str">
        <f>VLOOKUP(B1744,'112年全品項生產鍋數'!A:H,2,0)</f>
        <v>顆粒花生醬(全)</v>
      </c>
      <c r="D1744" s="287">
        <v>36</v>
      </c>
      <c r="E1744" s="48">
        <f>VLOOKUP(B1744,'112年全品項生產鍋數'!A:H,3,0)</f>
        <v>0.34</v>
      </c>
      <c r="F1744" s="142">
        <f>VLOOKUP(B1744,'112年全品項生產鍋數'!A:H,7,0)</f>
        <v>364.6</v>
      </c>
      <c r="G1744" s="143">
        <f t="shared" si="232"/>
        <v>13125.6</v>
      </c>
      <c r="H1744" s="156">
        <v>12985</v>
      </c>
      <c r="I1744" s="23">
        <f t="shared" si="233"/>
        <v>4414.9000000000005</v>
      </c>
      <c r="J1744" s="100">
        <f t="shared" si="234"/>
        <v>0.98928810873407691</v>
      </c>
      <c r="K1744" s="51">
        <f>VLOOKUP(B:B,'生產達成率(目標)'!A:C,3,0)</f>
        <v>1</v>
      </c>
      <c r="L1744" s="20">
        <f t="shared" si="235"/>
        <v>-1.0999999999999999E-2</v>
      </c>
      <c r="M1744" s="137" t="str">
        <f>工時!R928</f>
        <v>575</v>
      </c>
      <c r="N1744" s="144"/>
      <c r="O1744" s="144">
        <f t="shared" si="236"/>
        <v>4</v>
      </c>
      <c r="P1744" s="156">
        <v>12981</v>
      </c>
      <c r="Q1744" s="98">
        <f t="shared" si="237"/>
        <v>0.9996919522525991</v>
      </c>
      <c r="R1744" s="23"/>
      <c r="S1744" s="173"/>
      <c r="T1744" s="30"/>
    </row>
    <row r="1745" spans="1:30" x14ac:dyDescent="0.4">
      <c r="A1745" s="210">
        <v>45832</v>
      </c>
      <c r="B1745" s="151" t="s">
        <v>76</v>
      </c>
      <c r="C1745" s="30" t="str">
        <f>VLOOKUP(B1745,'112年全品項生產鍋數'!A:H,2,0)</f>
        <v>草莓餡(1*6Kg)</v>
      </c>
      <c r="D1745" s="287">
        <v>16</v>
      </c>
      <c r="E1745" s="48">
        <f>VLOOKUP(B1745,'112年全品項生產鍋數'!A:H,3,0)</f>
        <v>6</v>
      </c>
      <c r="F1745" s="142">
        <f>VLOOKUP(B1745,'112年全品項生產鍋數'!A:H,7,0)</f>
        <v>25.5</v>
      </c>
      <c r="G1745" s="143">
        <f t="shared" si="232"/>
        <v>408</v>
      </c>
      <c r="H1745" s="156">
        <v>405</v>
      </c>
      <c r="I1745" s="23">
        <f t="shared" si="233"/>
        <v>2430</v>
      </c>
      <c r="J1745" s="100">
        <f t="shared" si="234"/>
        <v>0.99264705882352944</v>
      </c>
      <c r="K1745" s="51">
        <f>VLOOKUP(B:B,'生產達成率(目標)'!A:C,3,0)</f>
        <v>1</v>
      </c>
      <c r="L1745" s="20">
        <f t="shared" si="235"/>
        <v>-7.0000000000000001E-3</v>
      </c>
      <c r="M1745" s="137" t="str">
        <f>工時!R929</f>
        <v>195</v>
      </c>
      <c r="N1745" s="144"/>
      <c r="O1745" s="144">
        <f t="shared" si="236"/>
        <v>1</v>
      </c>
      <c r="P1745" s="156">
        <v>404</v>
      </c>
      <c r="Q1745" s="98">
        <f t="shared" si="237"/>
        <v>0.9975308641975309</v>
      </c>
      <c r="R1745" s="23"/>
      <c r="S1745" s="173"/>
      <c r="T1745" s="30"/>
    </row>
    <row r="1746" spans="1:30" x14ac:dyDescent="0.4">
      <c r="A1746" s="210">
        <v>45832</v>
      </c>
      <c r="B1746" s="151" t="s">
        <v>63</v>
      </c>
      <c r="C1746" s="30" t="str">
        <f>VLOOKUP(B1746,'112年全品項生產鍋數'!A:H,2,0)</f>
        <v>草莓蒟蒻餡(1*6kg)</v>
      </c>
      <c r="D1746" s="287">
        <v>24</v>
      </c>
      <c r="E1746" s="48">
        <f>VLOOKUP(B1746,'112年全品項生產鍋數'!A:H,3,0)</f>
        <v>6</v>
      </c>
      <c r="F1746" s="142">
        <f>VLOOKUP(B1746,'112年全品項生產鍋數'!A:H,7,0)</f>
        <v>25.7</v>
      </c>
      <c r="G1746" s="143">
        <f t="shared" si="232"/>
        <v>616.79999999999995</v>
      </c>
      <c r="H1746" s="144">
        <f>318+319</f>
        <v>637</v>
      </c>
      <c r="I1746" s="23">
        <f t="shared" si="233"/>
        <v>3822</v>
      </c>
      <c r="J1746" s="100">
        <f t="shared" si="234"/>
        <v>1.0327496757457848</v>
      </c>
      <c r="K1746" s="51">
        <f>VLOOKUP(B:B,'生產達成率(目標)'!A:C,3,0)</f>
        <v>1</v>
      </c>
      <c r="L1746" s="20">
        <f t="shared" si="235"/>
        <v>3.3000000000000002E-2</v>
      </c>
      <c r="M1746" s="137" t="str">
        <f>工時!R930</f>
        <v>359</v>
      </c>
      <c r="N1746" s="144"/>
      <c r="O1746" s="144">
        <f t="shared" si="236"/>
        <v>9</v>
      </c>
      <c r="P1746" s="156">
        <f>309+319</f>
        <v>628</v>
      </c>
      <c r="Q1746" s="98">
        <f t="shared" si="237"/>
        <v>0.98587127158555732</v>
      </c>
      <c r="R1746" s="23"/>
      <c r="S1746" s="173"/>
      <c r="T1746" s="30" t="s">
        <v>1072</v>
      </c>
    </row>
    <row r="1747" spans="1:30" x14ac:dyDescent="0.4">
      <c r="A1747" s="210">
        <v>45832</v>
      </c>
      <c r="B1747" s="151" t="s">
        <v>108</v>
      </c>
      <c r="C1747" s="30" t="str">
        <f>VLOOKUP(B1747,'112年全品項生產鍋數'!A:H,2,0)</f>
        <v>顆粒花生醬(1*12KG)</v>
      </c>
      <c r="D1747" s="287">
        <v>21</v>
      </c>
      <c r="E1747" s="48">
        <f>VLOOKUP(B1747,'112年全品項生產鍋數'!A:H,3,0)</f>
        <v>3</v>
      </c>
      <c r="F1747" s="142">
        <f>VLOOKUP(B1747,'112年全品項生產鍋數'!A:H,7,0)</f>
        <v>31.6</v>
      </c>
      <c r="G1747" s="143">
        <f t="shared" si="232"/>
        <v>663.6</v>
      </c>
      <c r="H1747" s="156">
        <v>664</v>
      </c>
      <c r="I1747" s="23">
        <f t="shared" si="233"/>
        <v>1992</v>
      </c>
      <c r="J1747" s="100">
        <f t="shared" si="234"/>
        <v>1.0006027727546714</v>
      </c>
      <c r="K1747" s="51">
        <f>VLOOKUP(B:B,'生產達成率(目標)'!A:C,3,0)</f>
        <v>1</v>
      </c>
      <c r="L1747" s="20">
        <f t="shared" si="235"/>
        <v>1E-3</v>
      </c>
      <c r="M1747" s="137" t="str">
        <f>工時!R931</f>
        <v>630</v>
      </c>
      <c r="N1747" s="144"/>
      <c r="O1747" s="144">
        <f t="shared" si="236"/>
        <v>0</v>
      </c>
      <c r="P1747" s="156">
        <v>664</v>
      </c>
      <c r="Q1747" s="98">
        <f t="shared" si="237"/>
        <v>1</v>
      </c>
      <c r="R1747" s="23"/>
      <c r="S1747" s="173"/>
      <c r="T1747" s="30"/>
    </row>
    <row r="1748" spans="1:30" x14ac:dyDescent="0.4">
      <c r="A1748" s="210">
        <v>45832</v>
      </c>
      <c r="B1748" s="151" t="s">
        <v>65</v>
      </c>
      <c r="C1748" s="30" t="str">
        <f>VLOOKUP(B1748,'112年全品項生產鍋數'!A:H,2,0)</f>
        <v>＃1花生(1*2.8kg)</v>
      </c>
      <c r="D1748" s="287">
        <v>72</v>
      </c>
      <c r="E1748" s="48">
        <f>VLOOKUP(B1748,'112年全品項生產鍋數'!A:H,3,0)</f>
        <v>2.8</v>
      </c>
      <c r="F1748" s="142">
        <f>VLOOKUP(B1748,'112年全品項生產鍋數'!A:H,7,0)</f>
        <v>44.5</v>
      </c>
      <c r="G1748" s="143">
        <f t="shared" si="232"/>
        <v>3204</v>
      </c>
      <c r="H1748" s="156">
        <v>3181</v>
      </c>
      <c r="I1748" s="23">
        <f t="shared" si="233"/>
        <v>8906.7999999999993</v>
      </c>
      <c r="J1748" s="100">
        <f t="shared" si="234"/>
        <v>0.99282147315855185</v>
      </c>
      <c r="K1748" s="51">
        <f>VLOOKUP(B:B,'生產達成率(目標)'!A:C,3,0)</f>
        <v>1</v>
      </c>
      <c r="L1748" s="20">
        <f t="shared" si="235"/>
        <v>-7.0000000000000001E-3</v>
      </c>
      <c r="M1748" s="137" t="str">
        <f>工時!R932</f>
        <v>655</v>
      </c>
      <c r="N1748" s="144"/>
      <c r="O1748" s="144">
        <f t="shared" si="236"/>
        <v>1</v>
      </c>
      <c r="P1748" s="156">
        <v>3180</v>
      </c>
      <c r="Q1748" s="98">
        <f t="shared" si="237"/>
        <v>0.99968563344860106</v>
      </c>
      <c r="R1748" s="23"/>
      <c r="S1748" s="173"/>
      <c r="T1748" s="30"/>
    </row>
    <row r="1749" spans="1:30" x14ac:dyDescent="0.4">
      <c r="A1749" s="210">
        <v>45832</v>
      </c>
      <c r="B1749" s="151">
        <v>152010</v>
      </c>
      <c r="C1749" s="30" t="str">
        <f>VLOOKUP(B1749,'112年全品項生產鍋數'!A:H,2,0)</f>
        <v>蜜綠果6m/m</v>
      </c>
      <c r="D1749" s="287">
        <v>1</v>
      </c>
      <c r="E1749" s="48">
        <f>VLOOKUP(B1749,'112年全品項生產鍋數'!A:H,3,0)</f>
        <v>1</v>
      </c>
      <c r="F1749" s="142">
        <f>VLOOKUP(B1749,'112年全品項生產鍋數'!A:H,7,0)</f>
        <v>139</v>
      </c>
      <c r="G1749" s="143">
        <f t="shared" si="232"/>
        <v>139</v>
      </c>
      <c r="H1749" s="156">
        <v>150</v>
      </c>
      <c r="I1749" s="23">
        <f t="shared" si="233"/>
        <v>150</v>
      </c>
      <c r="J1749" s="100">
        <f t="shared" si="234"/>
        <v>1.079136690647482</v>
      </c>
      <c r="K1749" s="51">
        <f>VLOOKUP(B:B,'生產達成率(目標)'!A:C,3,0)</f>
        <v>1</v>
      </c>
      <c r="L1749" s="20">
        <f t="shared" si="235"/>
        <v>7.9000000000000001E-2</v>
      </c>
      <c r="M1749" s="137" t="str">
        <f>工時!R933</f>
        <v>0</v>
      </c>
      <c r="N1749" s="144"/>
      <c r="O1749" s="144">
        <f t="shared" si="236"/>
        <v>0</v>
      </c>
      <c r="P1749" s="156">
        <v>150</v>
      </c>
      <c r="Q1749" s="98">
        <f t="shared" si="237"/>
        <v>1</v>
      </c>
      <c r="R1749" s="23"/>
      <c r="S1749" s="173"/>
      <c r="T1749" s="30"/>
    </row>
    <row r="1750" spans="1:30" x14ac:dyDescent="0.4">
      <c r="A1750" s="210">
        <v>45832</v>
      </c>
      <c r="B1750" s="151" t="s">
        <v>434</v>
      </c>
      <c r="C1750" s="30" t="str">
        <f>VLOOKUP(B1750,'112年全品項生產鍋數'!A:H,2,0)</f>
        <v>蜜桔皮</v>
      </c>
      <c r="D1750" s="287">
        <v>50</v>
      </c>
      <c r="E1750" s="48">
        <f>VLOOKUP(B1750,'112年全品項生產鍋數'!A:H,3,0)</f>
        <v>1</v>
      </c>
      <c r="F1750" s="142">
        <f>VLOOKUP(B1750,'112年全品項生產鍋數'!A:H,7,0)</f>
        <v>6</v>
      </c>
      <c r="G1750" s="143">
        <f>D1750*F1750</f>
        <v>300</v>
      </c>
      <c r="H1750" s="156">
        <v>301</v>
      </c>
      <c r="I1750" s="23">
        <f>H1750*E1750</f>
        <v>301</v>
      </c>
      <c r="J1750" s="100">
        <f>IF(G1750=0,"無法預估數據",H1750/G1750)</f>
        <v>1.0033333333333334</v>
      </c>
      <c r="K1750" s="51">
        <f>VLOOKUP(B:B,'生產達成率(目標)'!A:C,3,0)</f>
        <v>1</v>
      </c>
      <c r="L1750" s="20">
        <f>IF(G1750=0,"無法預估數據",ROUND(J1750-K1750,3))</f>
        <v>3.0000000000000001E-3</v>
      </c>
      <c r="M1750" s="137" t="str">
        <f>工時!R934</f>
        <v>0</v>
      </c>
      <c r="N1750" s="144"/>
      <c r="O1750" s="144">
        <f>H1750-N1750-P1750</f>
        <v>0</v>
      </c>
      <c r="P1750" s="156">
        <v>301</v>
      </c>
      <c r="Q1750" s="98">
        <f>P1750/H1750</f>
        <v>1</v>
      </c>
      <c r="R1750" s="23"/>
      <c r="S1750" s="173"/>
      <c r="T1750" s="30"/>
    </row>
    <row r="1751" spans="1:30" s="146" customFormat="1" x14ac:dyDescent="0.4">
      <c r="A1751" s="212">
        <v>45833</v>
      </c>
      <c r="B1751" s="151" t="s">
        <v>456</v>
      </c>
      <c r="C1751" s="140" t="str">
        <f>VLOOKUP(B1751,'112年全品項生產鍋數'!A:H,2,0)</f>
        <v>桑椹果醬(1*190g)</v>
      </c>
      <c r="D1751" s="287">
        <v>3</v>
      </c>
      <c r="E1751" s="141">
        <f>VLOOKUP(B1751,'112年全品項生產鍋數'!A:H,3,0)</f>
        <v>0.19</v>
      </c>
      <c r="F1751" s="142">
        <f>VLOOKUP(B1751,'112年全品項生產鍋數'!A:H,7,0)</f>
        <v>759.3</v>
      </c>
      <c r="G1751" s="143">
        <f t="shared" si="232"/>
        <v>2277.8999999999996</v>
      </c>
      <c r="H1751" s="156">
        <v>2312</v>
      </c>
      <c r="I1751" s="144">
        <f t="shared" si="233"/>
        <v>439.28000000000003</v>
      </c>
      <c r="J1751" s="100">
        <f t="shared" si="234"/>
        <v>1.0149699284428642</v>
      </c>
      <c r="K1751" s="51">
        <f>VLOOKUP(B:B,'生產達成率(目標)'!A:C,3,0)</f>
        <v>1</v>
      </c>
      <c r="L1751" s="20">
        <f t="shared" si="235"/>
        <v>1.4999999999999999E-2</v>
      </c>
      <c r="M1751" s="137" t="str">
        <f>工時!R935</f>
        <v>210</v>
      </c>
      <c r="N1751" s="144"/>
      <c r="O1751" s="144">
        <f t="shared" si="236"/>
        <v>5</v>
      </c>
      <c r="P1751" s="156">
        <v>2307</v>
      </c>
      <c r="Q1751" s="145">
        <f t="shared" si="237"/>
        <v>0.99783737024221453</v>
      </c>
      <c r="R1751" s="144"/>
      <c r="S1751" s="153"/>
      <c r="T1751" s="140"/>
      <c r="V1751" s="381"/>
      <c r="W1751" s="421"/>
      <c r="X1751" s="381"/>
      <c r="Y1751" s="421"/>
      <c r="Z1751" s="421"/>
      <c r="AA1751" s="421"/>
      <c r="AB1751" s="421"/>
      <c r="AC1751" s="421"/>
      <c r="AD1751" s="421"/>
    </row>
    <row r="1752" spans="1:30" s="146" customFormat="1" x14ac:dyDescent="0.4">
      <c r="A1752" s="212">
        <v>45833</v>
      </c>
      <c r="B1752" s="151" t="s">
        <v>1070</v>
      </c>
      <c r="C1752" s="140" t="str">
        <f>VLOOKUP(B1752,'112年全品項生產鍋數'!A:H,2,0)</f>
        <v>藍莓果漿(1*350g)</v>
      </c>
      <c r="D1752" s="287">
        <v>3</v>
      </c>
      <c r="E1752" s="141">
        <f>VLOOKUP(B1752,'112年全品項生產鍋數'!A:H,3,0)</f>
        <v>0.35</v>
      </c>
      <c r="F1752" s="142">
        <f>VLOOKUP(B1752,'112年全品項生產鍋數'!A:H,7,0)</f>
        <v>341.7</v>
      </c>
      <c r="G1752" s="143">
        <f t="shared" si="232"/>
        <v>1025.0999999999999</v>
      </c>
      <c r="H1752" s="156">
        <v>1476</v>
      </c>
      <c r="I1752" s="144">
        <f t="shared" si="233"/>
        <v>516.6</v>
      </c>
      <c r="J1752" s="100">
        <f t="shared" si="234"/>
        <v>1.4398595258999123</v>
      </c>
      <c r="K1752" s="51">
        <f>VLOOKUP(B:B,'生產達成率(目標)'!A:C,3,0)</f>
        <v>1</v>
      </c>
      <c r="L1752" s="20">
        <f t="shared" si="235"/>
        <v>0.44</v>
      </c>
      <c r="M1752" s="137" t="str">
        <f>工時!R936</f>
        <v>210</v>
      </c>
      <c r="N1752" s="144"/>
      <c r="O1752" s="144">
        <f t="shared" si="236"/>
        <v>6</v>
      </c>
      <c r="P1752" s="156">
        <v>1470</v>
      </c>
      <c r="Q1752" s="145">
        <f t="shared" si="237"/>
        <v>0.99593495934959353</v>
      </c>
      <c r="R1752" s="144"/>
      <c r="S1752" s="153"/>
      <c r="T1752" s="140"/>
      <c r="V1752" s="381"/>
      <c r="W1752" s="421"/>
      <c r="X1752" s="381"/>
      <c r="Y1752" s="421"/>
      <c r="Z1752" s="421"/>
      <c r="AA1752" s="421"/>
      <c r="AB1752" s="421"/>
      <c r="AC1752" s="421"/>
      <c r="AD1752" s="421"/>
    </row>
    <row r="1753" spans="1:30" x14ac:dyDescent="0.4">
      <c r="A1753" s="210">
        <v>45833</v>
      </c>
      <c r="B1753" s="151" t="s">
        <v>51</v>
      </c>
      <c r="C1753" s="30" t="str">
        <f>VLOOKUP(B1753,'112年全品項生產鍋數'!A:H,2,0)</f>
        <v>藍莓醬(1*6kg)</v>
      </c>
      <c r="D1753" s="287">
        <v>20</v>
      </c>
      <c r="E1753" s="48">
        <f>VLOOKUP(B1753,'112年全品項生產鍋數'!A:H,3,0)</f>
        <v>6</v>
      </c>
      <c r="F1753" s="142">
        <f>VLOOKUP(B1753,'112年全品項生產鍋數'!A:H,7,0)</f>
        <v>25.5</v>
      </c>
      <c r="G1753" s="143">
        <f t="shared" si="232"/>
        <v>510</v>
      </c>
      <c r="H1753" s="156">
        <v>502</v>
      </c>
      <c r="I1753" s="23">
        <f t="shared" si="233"/>
        <v>3012</v>
      </c>
      <c r="J1753" s="100">
        <f t="shared" si="234"/>
        <v>0.98431372549019602</v>
      </c>
      <c r="K1753" s="51">
        <f>VLOOKUP(B:B,'生產達成率(目標)'!A:C,3,0)</f>
        <v>1</v>
      </c>
      <c r="L1753" s="20">
        <f t="shared" si="235"/>
        <v>-1.6E-2</v>
      </c>
      <c r="M1753" s="137" t="str">
        <f>工時!R937</f>
        <v>300</v>
      </c>
      <c r="N1753" s="144"/>
      <c r="O1753" s="144">
        <f t="shared" si="236"/>
        <v>1</v>
      </c>
      <c r="P1753" s="156">
        <v>501</v>
      </c>
      <c r="Q1753" s="98">
        <f t="shared" si="237"/>
        <v>0.99800796812749004</v>
      </c>
      <c r="R1753" s="23"/>
      <c r="S1753" s="173"/>
      <c r="T1753" s="30" t="s">
        <v>998</v>
      </c>
    </row>
    <row r="1754" spans="1:30" x14ac:dyDescent="0.4">
      <c r="A1754" s="210">
        <v>45833</v>
      </c>
      <c r="B1754" s="151" t="s">
        <v>115</v>
      </c>
      <c r="C1754" s="30" t="str">
        <f>VLOOKUP(B1754,'112年全品項生產鍋數'!A:H,2,0)</f>
        <v>天天開心藍莓餡4.5KG</v>
      </c>
      <c r="D1754" s="287">
        <v>8</v>
      </c>
      <c r="E1754" s="48">
        <f>VLOOKUP(B1754,'112年全品項生產鍋數'!A:H,3,0)</f>
        <v>4.5</v>
      </c>
      <c r="F1754" s="142">
        <f>VLOOKUP(B1754,'112年全品項生產鍋數'!A:H,7,0)</f>
        <v>36.799999999999997</v>
      </c>
      <c r="G1754" s="143">
        <f t="shared" si="232"/>
        <v>294.39999999999998</v>
      </c>
      <c r="H1754" s="156">
        <v>301</v>
      </c>
      <c r="I1754" s="23">
        <f t="shared" si="233"/>
        <v>1354.5</v>
      </c>
      <c r="J1754" s="100">
        <f t="shared" si="234"/>
        <v>1.0224184782608696</v>
      </c>
      <c r="K1754" s="51">
        <f>VLOOKUP(B:B,'生產達成率(目標)'!A:C,3,0)</f>
        <v>1</v>
      </c>
      <c r="L1754" s="20">
        <f t="shared" si="235"/>
        <v>2.1999999999999999E-2</v>
      </c>
      <c r="M1754" s="137" t="str">
        <f>工時!R938</f>
        <v>266</v>
      </c>
      <c r="N1754" s="144"/>
      <c r="O1754" s="144">
        <f t="shared" si="236"/>
        <v>0</v>
      </c>
      <c r="P1754" s="156">
        <v>301</v>
      </c>
      <c r="Q1754" s="98">
        <f t="shared" si="237"/>
        <v>1</v>
      </c>
      <c r="R1754" s="23"/>
      <c r="S1754" s="173"/>
      <c r="T1754" s="30"/>
    </row>
    <row r="1755" spans="1:30" x14ac:dyDescent="0.4">
      <c r="A1755" s="210">
        <v>45833</v>
      </c>
      <c r="B1755" s="151" t="s">
        <v>55</v>
      </c>
      <c r="C1755" s="30" t="str">
        <f>VLOOKUP(B1755,'112年全品項生產鍋數'!A:H,2,0)</f>
        <v>天天開心草莓餡4.5KG</v>
      </c>
      <c r="D1755" s="287">
        <v>12</v>
      </c>
      <c r="E1755" s="48">
        <f>VLOOKUP(B1755,'112年全品項生產鍋數'!A:H,3,0)</f>
        <v>4.5</v>
      </c>
      <c r="F1755" s="142">
        <f>VLOOKUP(B1755,'112年全品項生產鍋數'!A:H,7,0)</f>
        <v>36.299999999999997</v>
      </c>
      <c r="G1755" s="143">
        <f t="shared" si="232"/>
        <v>435.59999999999997</v>
      </c>
      <c r="H1755" s="156">
        <v>443</v>
      </c>
      <c r="I1755" s="23">
        <f t="shared" si="233"/>
        <v>1993.5</v>
      </c>
      <c r="J1755" s="100">
        <f t="shared" si="234"/>
        <v>1.016988062442608</v>
      </c>
      <c r="K1755" s="51">
        <f>VLOOKUP(B:B,'生產達成率(目標)'!A:C,3,0)</f>
        <v>1</v>
      </c>
      <c r="L1755" s="20">
        <f t="shared" si="235"/>
        <v>1.7000000000000001E-2</v>
      </c>
      <c r="M1755" s="137" t="str">
        <f>工時!R939</f>
        <v>240</v>
      </c>
      <c r="N1755" s="144"/>
      <c r="O1755" s="144">
        <f t="shared" si="236"/>
        <v>0</v>
      </c>
      <c r="P1755" s="156">
        <v>443</v>
      </c>
      <c r="Q1755" s="98">
        <f t="shared" si="237"/>
        <v>1</v>
      </c>
      <c r="R1755" s="23"/>
      <c r="S1755" s="173"/>
      <c r="T1755" s="30"/>
    </row>
    <row r="1756" spans="1:30" x14ac:dyDescent="0.4">
      <c r="A1756" s="210">
        <v>45833</v>
      </c>
      <c r="B1756" s="151" t="s">
        <v>63</v>
      </c>
      <c r="C1756" s="30" t="str">
        <f>VLOOKUP(B1756,'112年全品項生產鍋數'!A:H,2,0)</f>
        <v>草莓蒟蒻餡(1*6kg)</v>
      </c>
      <c r="D1756" s="287">
        <v>16</v>
      </c>
      <c r="E1756" s="48">
        <f>VLOOKUP(B1756,'112年全品項生產鍋數'!A:H,3,0)</f>
        <v>6</v>
      </c>
      <c r="F1756" s="142">
        <f>VLOOKUP(B1756,'112年全品項生產鍋數'!A:H,7,0)</f>
        <v>25.7</v>
      </c>
      <c r="G1756" s="143">
        <f t="shared" si="232"/>
        <v>411.2</v>
      </c>
      <c r="H1756" s="156">
        <f>200+214</f>
        <v>414</v>
      </c>
      <c r="I1756" s="23">
        <f t="shared" si="233"/>
        <v>2484</v>
      </c>
      <c r="J1756" s="100">
        <f t="shared" si="234"/>
        <v>1.0068093385214008</v>
      </c>
      <c r="K1756" s="51">
        <f>VLOOKUP(B:B,'生產達成率(目標)'!A:C,3,0)</f>
        <v>1</v>
      </c>
      <c r="L1756" s="20">
        <f t="shared" si="235"/>
        <v>7.0000000000000001E-3</v>
      </c>
      <c r="M1756" s="137" t="str">
        <f>工時!R940</f>
        <v>258</v>
      </c>
      <c r="N1756" s="144"/>
      <c r="O1756" s="144">
        <f t="shared" si="236"/>
        <v>1</v>
      </c>
      <c r="P1756" s="156">
        <f>199+214</f>
        <v>413</v>
      </c>
      <c r="Q1756" s="98">
        <f t="shared" si="237"/>
        <v>0.99758454106280192</v>
      </c>
      <c r="R1756" s="23"/>
      <c r="S1756" s="173"/>
      <c r="T1756" s="30" t="s">
        <v>1073</v>
      </c>
    </row>
    <row r="1757" spans="1:30" x14ac:dyDescent="0.4">
      <c r="A1757" s="210">
        <v>45833</v>
      </c>
      <c r="B1757" s="151" t="s">
        <v>65</v>
      </c>
      <c r="C1757" s="30" t="str">
        <f>VLOOKUP(B1757,'112年全品項生產鍋數'!A:H,2,0)</f>
        <v>＃1花生(1*2.8kg)</v>
      </c>
      <c r="D1757" s="287">
        <v>72</v>
      </c>
      <c r="E1757" s="48">
        <f>VLOOKUP(B1757,'112年全品項生產鍋數'!A:H,3,0)</f>
        <v>2.8</v>
      </c>
      <c r="F1757" s="142">
        <f>VLOOKUP(B1757,'112年全品項生產鍋數'!A:H,7,0)</f>
        <v>44.5</v>
      </c>
      <c r="G1757" s="143">
        <f t="shared" si="232"/>
        <v>3204</v>
      </c>
      <c r="H1757" s="156">
        <v>3233</v>
      </c>
      <c r="I1757" s="23">
        <f t="shared" si="233"/>
        <v>9052.4</v>
      </c>
      <c r="J1757" s="100">
        <f t="shared" si="234"/>
        <v>1.0090511860174782</v>
      </c>
      <c r="K1757" s="51">
        <f>VLOOKUP(B:B,'生產達成率(目標)'!A:C,3,0)</f>
        <v>1</v>
      </c>
      <c r="L1757" s="20">
        <f t="shared" si="235"/>
        <v>8.9999999999999993E-3</v>
      </c>
      <c r="M1757" s="137" t="str">
        <f>工時!R941</f>
        <v>660</v>
      </c>
      <c r="N1757" s="144"/>
      <c r="O1757" s="144">
        <f t="shared" si="236"/>
        <v>1</v>
      </c>
      <c r="P1757" s="156">
        <v>3232</v>
      </c>
      <c r="Q1757" s="98">
        <f t="shared" si="237"/>
        <v>0.99969068976183106</v>
      </c>
      <c r="R1757" s="23"/>
      <c r="S1757" s="173">
        <v>54.8</v>
      </c>
      <c r="T1757" s="30" t="s">
        <v>1074</v>
      </c>
    </row>
    <row r="1758" spans="1:30" x14ac:dyDescent="0.4">
      <c r="A1758" s="210">
        <v>45834</v>
      </c>
      <c r="B1758" s="151" t="s">
        <v>68</v>
      </c>
      <c r="C1758" s="30" t="str">
        <f>VLOOKUP(B1758,'112年全品項生產鍋數'!A:H,2,0)</f>
        <v>#2草莓果醬(1*900g)</v>
      </c>
      <c r="D1758" s="287">
        <v>40</v>
      </c>
      <c r="E1758" s="48">
        <f>VLOOKUP(B1758,'112年全品項生產鍋數'!A:H,3,0)</f>
        <v>0.9</v>
      </c>
      <c r="F1758" s="142">
        <f>VLOOKUP(B1758,'112年全品項生產鍋數'!A:H,7,0)</f>
        <v>160.5</v>
      </c>
      <c r="G1758" s="143">
        <f t="shared" ref="G1758:G1779" si="238">D1758*F1758</f>
        <v>6420</v>
      </c>
      <c r="H1758" s="156">
        <v>6536</v>
      </c>
      <c r="I1758" s="23">
        <f t="shared" ref="I1758:I1779" si="239">H1758*E1758</f>
        <v>5882.4000000000005</v>
      </c>
      <c r="J1758" s="100">
        <f t="shared" ref="J1758:J1779" si="240">IF(G1758=0,"無法預估數據",H1758/G1758)</f>
        <v>1.0180685358255452</v>
      </c>
      <c r="K1758" s="51">
        <f>VLOOKUP(B:B,'生產達成率(目標)'!A:C,3,0)</f>
        <v>1</v>
      </c>
      <c r="L1758" s="20">
        <f t="shared" ref="L1758:L1779" si="241">IF(G1758=0,"無法預估數據",ROUND(J1758-K1758,3))</f>
        <v>1.7999999999999999E-2</v>
      </c>
      <c r="M1758" s="137" t="str">
        <f>工時!R942</f>
        <v>540</v>
      </c>
      <c r="N1758" s="144"/>
      <c r="O1758" s="144">
        <f t="shared" ref="O1758:O1779" si="242">H1758-N1758-P1758</f>
        <v>3</v>
      </c>
      <c r="P1758" s="156">
        <v>6533</v>
      </c>
      <c r="Q1758" s="98">
        <f t="shared" ref="Q1758:Q1779" si="243">P1758/H1758</f>
        <v>0.99954100367197063</v>
      </c>
      <c r="R1758" s="23"/>
      <c r="S1758" s="173"/>
      <c r="T1758" s="30"/>
    </row>
    <row r="1759" spans="1:30" x14ac:dyDescent="0.4">
      <c r="A1759" s="210">
        <v>45834</v>
      </c>
      <c r="B1759" s="151" t="s">
        <v>110</v>
      </c>
      <c r="C1759" s="30" t="str">
        <f>VLOOKUP(B1759,'112年全品項生產鍋數'!A:H,2,0)</f>
        <v>顆粒花生醬(1*12KG)</v>
      </c>
      <c r="D1759" s="287">
        <v>21</v>
      </c>
      <c r="E1759" s="48">
        <f>VLOOKUP(B1759,'112年全品項生產鍋數'!A:H,3,0)</f>
        <v>3</v>
      </c>
      <c r="F1759" s="142">
        <f>VLOOKUP(B1759,'112年全品項生產鍋數'!A:H,7,0)</f>
        <v>30.8</v>
      </c>
      <c r="G1759" s="143">
        <f t="shared" si="238"/>
        <v>646.80000000000007</v>
      </c>
      <c r="H1759" s="156">
        <v>632</v>
      </c>
      <c r="I1759" s="23">
        <f t="shared" si="239"/>
        <v>1896</v>
      </c>
      <c r="J1759" s="100">
        <f t="shared" si="240"/>
        <v>0.97711811997526277</v>
      </c>
      <c r="K1759" s="51">
        <f>VLOOKUP(B:B,'生產達成率(目標)'!A:C,3,0)</f>
        <v>1</v>
      </c>
      <c r="L1759" s="20">
        <f t="shared" si="241"/>
        <v>-2.3E-2</v>
      </c>
      <c r="M1759" s="137" t="str">
        <f>工時!R943</f>
        <v>540</v>
      </c>
      <c r="N1759" s="144"/>
      <c r="O1759" s="144">
        <f t="shared" si="242"/>
        <v>0</v>
      </c>
      <c r="P1759" s="156">
        <v>632</v>
      </c>
      <c r="Q1759" s="98">
        <f t="shared" si="243"/>
        <v>1</v>
      </c>
      <c r="R1759" s="23"/>
      <c r="S1759" s="173"/>
      <c r="T1759" s="30"/>
    </row>
    <row r="1760" spans="1:30" s="146" customFormat="1" x14ac:dyDescent="0.4">
      <c r="A1760" s="212">
        <v>45834</v>
      </c>
      <c r="B1760" s="151" t="s">
        <v>65</v>
      </c>
      <c r="C1760" s="140" t="str">
        <f>VLOOKUP(B1760,'112年全品項生產鍋數'!A:H,2,0)</f>
        <v>＃1花生(1*2.8kg)</v>
      </c>
      <c r="D1760" s="287">
        <v>72</v>
      </c>
      <c r="E1760" s="141">
        <f>VLOOKUP(B1760,'112年全品項生產鍋數'!A:H,3,0)</f>
        <v>2.8</v>
      </c>
      <c r="F1760" s="142">
        <f>VLOOKUP(B1760,'112年全品項生產鍋數'!A:H,7,0)</f>
        <v>44.5</v>
      </c>
      <c r="G1760" s="143">
        <f t="shared" si="238"/>
        <v>3204</v>
      </c>
      <c r="H1760" s="156">
        <v>3299</v>
      </c>
      <c r="I1760" s="144">
        <f t="shared" si="239"/>
        <v>9237.1999999999989</v>
      </c>
      <c r="J1760" s="100">
        <f t="shared" si="240"/>
        <v>1.0296504369538078</v>
      </c>
      <c r="K1760" s="51">
        <f>VLOOKUP(B:B,'生產達成率(目標)'!A:C,3,0)</f>
        <v>1</v>
      </c>
      <c r="L1760" s="20">
        <f t="shared" si="241"/>
        <v>0.03</v>
      </c>
      <c r="M1760" s="137" t="str">
        <f>工時!R944</f>
        <v>640</v>
      </c>
      <c r="N1760" s="144"/>
      <c r="O1760" s="144">
        <f t="shared" si="242"/>
        <v>6</v>
      </c>
      <c r="P1760" s="156">
        <v>3293</v>
      </c>
      <c r="Q1760" s="145">
        <f t="shared" si="243"/>
        <v>0.99818126705062138</v>
      </c>
      <c r="R1760" s="144"/>
      <c r="S1760" s="153">
        <v>220</v>
      </c>
      <c r="T1760" s="30" t="s">
        <v>1083</v>
      </c>
      <c r="V1760" s="381"/>
      <c r="W1760" s="421"/>
      <c r="X1760" s="381"/>
      <c r="Y1760" s="421"/>
      <c r="Z1760" s="421"/>
      <c r="AA1760" s="421"/>
      <c r="AB1760" s="421"/>
      <c r="AC1760" s="421"/>
      <c r="AD1760" s="421"/>
    </row>
    <row r="1761" spans="1:30" s="146" customFormat="1" x14ac:dyDescent="0.4">
      <c r="A1761" s="212">
        <v>45835</v>
      </c>
      <c r="B1761" s="151" t="s">
        <v>114</v>
      </c>
      <c r="C1761" s="140" t="str">
        <f>VLOOKUP(B1761,'112年全品項生產鍋數'!A:H,2,0)</f>
        <v>開心草莓果醬(1*430g)</v>
      </c>
      <c r="D1761" s="287">
        <v>15</v>
      </c>
      <c r="E1761" s="141">
        <f>VLOOKUP(B1761,'112年全品項生產鍋數'!A:H,3,0)</f>
        <v>0.43</v>
      </c>
      <c r="F1761" s="142">
        <f>VLOOKUP(B1761,'112年全品項生產鍋數'!A:H,7,0)</f>
        <v>364</v>
      </c>
      <c r="G1761" s="143">
        <f t="shared" si="238"/>
        <v>5460</v>
      </c>
      <c r="H1761" s="156">
        <v>5375</v>
      </c>
      <c r="I1761" s="144">
        <f t="shared" si="239"/>
        <v>2311.25</v>
      </c>
      <c r="J1761" s="100">
        <f t="shared" si="240"/>
        <v>0.98443223443223449</v>
      </c>
      <c r="K1761" s="51">
        <f>VLOOKUP(B:B,'生產達成率(目標)'!A:C,3,0)</f>
        <v>1</v>
      </c>
      <c r="L1761" s="20">
        <f t="shared" si="241"/>
        <v>-1.6E-2</v>
      </c>
      <c r="M1761" s="137" t="str">
        <f>工時!R945</f>
        <v>360</v>
      </c>
      <c r="N1761" s="144"/>
      <c r="O1761" s="144">
        <f t="shared" si="242"/>
        <v>8</v>
      </c>
      <c r="P1761" s="156">
        <v>5367</v>
      </c>
      <c r="Q1761" s="145">
        <f t="shared" si="243"/>
        <v>0.99851162790697678</v>
      </c>
      <c r="R1761" s="144"/>
      <c r="S1761" s="153"/>
      <c r="T1761" s="140"/>
      <c r="V1761" s="381"/>
      <c r="W1761" s="421"/>
      <c r="X1761" s="381"/>
      <c r="Y1761" s="421"/>
      <c r="Z1761" s="421"/>
      <c r="AA1761" s="421"/>
      <c r="AB1761" s="421"/>
      <c r="AC1761" s="421"/>
      <c r="AD1761" s="421"/>
    </row>
    <row r="1762" spans="1:30" s="146" customFormat="1" x14ac:dyDescent="0.4">
      <c r="A1762" s="212">
        <v>45835</v>
      </c>
      <c r="B1762" s="151" t="s">
        <v>473</v>
      </c>
      <c r="C1762" s="140" t="str">
        <f>VLOOKUP(B1762,'112年全品項生產鍋數'!A:H,2,0)</f>
        <v>桑椹果粒茶(1*400G)</v>
      </c>
      <c r="D1762" s="287">
        <v>6</v>
      </c>
      <c r="E1762" s="141">
        <f>VLOOKUP(B1762,'112年全品項生產鍋數'!A:H,3,0)</f>
        <v>0.4</v>
      </c>
      <c r="F1762" s="142">
        <f>VLOOKUP(B1762,'112年全品項生產鍋數'!A:H,7,0)</f>
        <v>366.4</v>
      </c>
      <c r="G1762" s="143">
        <f t="shared" si="238"/>
        <v>2198.3999999999996</v>
      </c>
      <c r="H1762" s="156">
        <v>2150</v>
      </c>
      <c r="I1762" s="144">
        <f t="shared" si="239"/>
        <v>860</v>
      </c>
      <c r="J1762" s="100">
        <f t="shared" si="240"/>
        <v>0.97798398835516753</v>
      </c>
      <c r="K1762" s="51">
        <f>VLOOKUP(B:B,'生產達成率(目標)'!A:C,3,0)</f>
        <v>1</v>
      </c>
      <c r="L1762" s="20">
        <f t="shared" si="241"/>
        <v>-2.1999999999999999E-2</v>
      </c>
      <c r="M1762" s="137" t="str">
        <f>工時!R946</f>
        <v>240</v>
      </c>
      <c r="N1762" s="144"/>
      <c r="O1762" s="144">
        <f t="shared" si="242"/>
        <v>9</v>
      </c>
      <c r="P1762" s="156">
        <v>2141</v>
      </c>
      <c r="Q1762" s="145">
        <f t="shared" si="243"/>
        <v>0.99581395348837209</v>
      </c>
      <c r="R1762" s="144"/>
      <c r="S1762" s="153"/>
      <c r="T1762" s="140"/>
      <c r="V1762" s="381"/>
      <c r="W1762" s="421"/>
      <c r="X1762" s="381"/>
      <c r="Y1762" s="421"/>
      <c r="Z1762" s="421"/>
      <c r="AA1762" s="421"/>
      <c r="AB1762" s="421"/>
      <c r="AC1762" s="421"/>
      <c r="AD1762" s="421"/>
    </row>
    <row r="1763" spans="1:30" s="146" customFormat="1" x14ac:dyDescent="0.4">
      <c r="A1763" s="212">
        <v>45835</v>
      </c>
      <c r="B1763" s="151" t="s">
        <v>77</v>
      </c>
      <c r="C1763" s="140" t="str">
        <f>VLOOKUP(B1763,'112年全品項生產鍋數'!A:H,2,0)</f>
        <v>草莓餡50°(1*6Kg)</v>
      </c>
      <c r="D1763" s="287">
        <v>8</v>
      </c>
      <c r="E1763" s="141">
        <f>VLOOKUP(B1763,'112年全品項生產鍋數'!A:H,3,0)</f>
        <v>6</v>
      </c>
      <c r="F1763" s="142">
        <f>VLOOKUP(B1763,'112年全品項生產鍋數'!A:H,7,0)</f>
        <v>25</v>
      </c>
      <c r="G1763" s="143">
        <f t="shared" si="238"/>
        <v>200</v>
      </c>
      <c r="H1763" s="156">
        <v>205</v>
      </c>
      <c r="I1763" s="144">
        <f t="shared" si="239"/>
        <v>1230</v>
      </c>
      <c r="J1763" s="100">
        <f t="shared" si="240"/>
        <v>1.0249999999999999</v>
      </c>
      <c r="K1763" s="51">
        <f>VLOOKUP(B:B,'生產達成率(目標)'!A:C,3,0)</f>
        <v>1</v>
      </c>
      <c r="L1763" s="20">
        <f t="shared" si="241"/>
        <v>2.5000000000000001E-2</v>
      </c>
      <c r="M1763" s="137" t="str">
        <f>工時!R947</f>
        <v>121</v>
      </c>
      <c r="N1763" s="144"/>
      <c r="O1763" s="144">
        <f t="shared" si="242"/>
        <v>1</v>
      </c>
      <c r="P1763" s="156">
        <v>204</v>
      </c>
      <c r="Q1763" s="145">
        <f t="shared" si="243"/>
        <v>0.99512195121951219</v>
      </c>
      <c r="R1763" s="144"/>
      <c r="S1763" s="153"/>
      <c r="T1763" s="140" t="s">
        <v>998</v>
      </c>
      <c r="V1763" s="381"/>
      <c r="W1763" s="421"/>
      <c r="X1763" s="381"/>
      <c r="Y1763" s="421"/>
      <c r="Z1763" s="421"/>
      <c r="AA1763" s="421"/>
      <c r="AB1763" s="421"/>
      <c r="AC1763" s="421"/>
      <c r="AD1763" s="421"/>
    </row>
    <row r="1764" spans="1:30" s="146" customFormat="1" x14ac:dyDescent="0.4">
      <c r="A1764" s="212">
        <v>45835</v>
      </c>
      <c r="B1764" s="151" t="s">
        <v>133</v>
      </c>
      <c r="C1764" s="140" t="str">
        <f>VLOOKUP(B1764,'112年全品項生產鍋數'!A:H,2,0)</f>
        <v>藍莓餡(1*6KG)</v>
      </c>
      <c r="D1764" s="287">
        <v>6</v>
      </c>
      <c r="E1764" s="141">
        <f>VLOOKUP(B1764,'112年全品項生產鍋數'!A:H,3,0)</f>
        <v>6</v>
      </c>
      <c r="F1764" s="142">
        <f>VLOOKUP(B1764,'112年全品項生產鍋數'!A:H,7,0)</f>
        <v>25.5</v>
      </c>
      <c r="G1764" s="143">
        <f t="shared" si="238"/>
        <v>153</v>
      </c>
      <c r="H1764" s="156">
        <v>154</v>
      </c>
      <c r="I1764" s="144">
        <f t="shared" si="239"/>
        <v>924</v>
      </c>
      <c r="J1764" s="100">
        <f t="shared" si="240"/>
        <v>1.0065359477124183</v>
      </c>
      <c r="K1764" s="51">
        <f>VLOOKUP(B:B,'生產達成率(目標)'!A:C,3,0)</f>
        <v>1</v>
      </c>
      <c r="L1764" s="20">
        <f t="shared" si="241"/>
        <v>7.0000000000000001E-3</v>
      </c>
      <c r="M1764" s="137" t="str">
        <f>工時!R948</f>
        <v>150</v>
      </c>
      <c r="N1764" s="144"/>
      <c r="O1764" s="144">
        <f t="shared" si="242"/>
        <v>1</v>
      </c>
      <c r="P1764" s="156">
        <v>153</v>
      </c>
      <c r="Q1764" s="145">
        <f t="shared" si="243"/>
        <v>0.99350649350649356</v>
      </c>
      <c r="R1764" s="144"/>
      <c r="S1764" s="153"/>
      <c r="T1764" s="140" t="s">
        <v>998</v>
      </c>
      <c r="V1764" s="381"/>
      <c r="W1764" s="421"/>
      <c r="X1764" s="381"/>
      <c r="Y1764" s="421"/>
      <c r="Z1764" s="421"/>
      <c r="AA1764" s="421"/>
      <c r="AB1764" s="421"/>
      <c r="AC1764" s="421"/>
      <c r="AD1764" s="421"/>
    </row>
    <row r="1765" spans="1:30" s="146" customFormat="1" x14ac:dyDescent="0.4">
      <c r="A1765" s="212">
        <v>45835</v>
      </c>
      <c r="B1765" s="151" t="s">
        <v>63</v>
      </c>
      <c r="C1765" s="140" t="str">
        <f>VLOOKUP(B1765,'112年全品項生產鍋數'!A:H,2,0)</f>
        <v>草莓蒟蒻餡(1*6kg)</v>
      </c>
      <c r="D1765" s="287">
        <v>24</v>
      </c>
      <c r="E1765" s="141">
        <f>VLOOKUP(B1765,'112年全品項生產鍋數'!A:H,3,0)</f>
        <v>6</v>
      </c>
      <c r="F1765" s="142">
        <f>VLOOKUP(B1765,'112年全品項生產鍋數'!A:H,7,0)</f>
        <v>25.7</v>
      </c>
      <c r="G1765" s="143">
        <f t="shared" si="238"/>
        <v>616.79999999999995</v>
      </c>
      <c r="H1765" s="156">
        <f>308+326</f>
        <v>634</v>
      </c>
      <c r="I1765" s="144">
        <f t="shared" si="239"/>
        <v>3804</v>
      </c>
      <c r="J1765" s="100">
        <f t="shared" si="240"/>
        <v>1.0278858625162128</v>
      </c>
      <c r="K1765" s="51">
        <f>VLOOKUP(B:B,'生產達成率(目標)'!A:C,3,0)</f>
        <v>1</v>
      </c>
      <c r="L1765" s="20">
        <f t="shared" si="241"/>
        <v>2.8000000000000001E-2</v>
      </c>
      <c r="M1765" s="137" t="str">
        <f>工時!R949</f>
        <v>322</v>
      </c>
      <c r="N1765" s="144"/>
      <c r="O1765" s="144">
        <f t="shared" si="242"/>
        <v>1</v>
      </c>
      <c r="P1765" s="156">
        <f>307+326</f>
        <v>633</v>
      </c>
      <c r="Q1765" s="145">
        <f t="shared" si="243"/>
        <v>0.99842271293375395</v>
      </c>
      <c r="R1765" s="144"/>
      <c r="S1765" s="153"/>
      <c r="T1765" s="140" t="s">
        <v>1072</v>
      </c>
      <c r="V1765" s="381"/>
      <c r="W1765" s="421"/>
      <c r="X1765" s="381"/>
      <c r="Y1765" s="421"/>
      <c r="Z1765" s="421"/>
      <c r="AA1765" s="421"/>
      <c r="AB1765" s="421"/>
      <c r="AC1765" s="421"/>
      <c r="AD1765" s="421"/>
    </row>
    <row r="1766" spans="1:30" s="146" customFormat="1" x14ac:dyDescent="0.4">
      <c r="A1766" s="212">
        <v>45835</v>
      </c>
      <c r="B1766" s="151" t="s">
        <v>104</v>
      </c>
      <c r="C1766" s="140" t="str">
        <f>VLOOKUP(B1766,'112年全品項生產鍋數'!A:H,2,0)</f>
        <v>＃1花生(粒)(1*2.8kg)</v>
      </c>
      <c r="D1766" s="287">
        <v>72</v>
      </c>
      <c r="E1766" s="141">
        <f>VLOOKUP(B1766,'112年全品項生產鍋數'!A:H,3,0)</f>
        <v>2.8</v>
      </c>
      <c r="F1766" s="142">
        <f>VLOOKUP(B1766,'112年全品項生產鍋數'!A:H,7,0)</f>
        <v>44.2</v>
      </c>
      <c r="G1766" s="143">
        <f t="shared" si="238"/>
        <v>3182.4</v>
      </c>
      <c r="H1766" s="156">
        <v>3165</v>
      </c>
      <c r="I1766" s="144">
        <f t="shared" si="239"/>
        <v>8862</v>
      </c>
      <c r="J1766" s="100">
        <f t="shared" si="240"/>
        <v>0.99453242835595779</v>
      </c>
      <c r="K1766" s="51">
        <f>VLOOKUP(B:B,'生產達成率(目標)'!A:C,3,0)</f>
        <v>1</v>
      </c>
      <c r="L1766" s="20">
        <f t="shared" si="241"/>
        <v>-5.0000000000000001E-3</v>
      </c>
      <c r="M1766" s="137" t="str">
        <f>工時!R950</f>
        <v>570</v>
      </c>
      <c r="N1766" s="144"/>
      <c r="O1766" s="144">
        <f t="shared" si="242"/>
        <v>1</v>
      </c>
      <c r="P1766" s="156">
        <v>3164</v>
      </c>
      <c r="Q1766" s="145">
        <f t="shared" si="243"/>
        <v>0.9996840442338073</v>
      </c>
      <c r="R1766" s="144"/>
      <c r="S1766" s="153"/>
      <c r="T1766" s="140"/>
      <c r="V1766" s="381"/>
      <c r="W1766" s="421"/>
      <c r="X1766" s="381"/>
      <c r="Y1766" s="421"/>
      <c r="Z1766" s="421"/>
      <c r="AA1766" s="421"/>
      <c r="AB1766" s="421"/>
      <c r="AC1766" s="421"/>
      <c r="AD1766" s="421"/>
    </row>
    <row r="1767" spans="1:30" s="146" customFormat="1" x14ac:dyDescent="0.4">
      <c r="A1767" s="212">
        <v>45836</v>
      </c>
      <c r="B1767" s="151" t="s">
        <v>65</v>
      </c>
      <c r="C1767" s="140" t="str">
        <f>VLOOKUP(B1767,'112年全品項生產鍋數'!A:H,2,0)</f>
        <v>＃1花生(1*2.8kg)</v>
      </c>
      <c r="D1767" s="287">
        <v>60</v>
      </c>
      <c r="E1767" s="141">
        <f>VLOOKUP(B1767,'112年全品項生產鍋數'!A:H,3,0)</f>
        <v>2.8</v>
      </c>
      <c r="F1767" s="142">
        <f>VLOOKUP(B1767,'112年全品項生產鍋數'!A:H,7,0)</f>
        <v>44.5</v>
      </c>
      <c r="G1767" s="143">
        <f t="shared" si="238"/>
        <v>2670</v>
      </c>
      <c r="H1767" s="156">
        <v>2773</v>
      </c>
      <c r="I1767" s="144">
        <f t="shared" si="239"/>
        <v>7764.4</v>
      </c>
      <c r="J1767" s="100">
        <f t="shared" si="240"/>
        <v>1.0385767790262173</v>
      </c>
      <c r="K1767" s="51">
        <f>VLOOKUP(B:B,'生產達成率(目標)'!A:C,3,0)</f>
        <v>1</v>
      </c>
      <c r="L1767" s="20">
        <f t="shared" si="241"/>
        <v>3.9E-2</v>
      </c>
      <c r="M1767" s="137" t="str">
        <f>工時!R951</f>
        <v>590</v>
      </c>
      <c r="N1767" s="144"/>
      <c r="O1767" s="144">
        <f t="shared" si="242"/>
        <v>1</v>
      </c>
      <c r="P1767" s="156">
        <v>2772</v>
      </c>
      <c r="Q1767" s="145">
        <f t="shared" si="243"/>
        <v>0.99963937973314099</v>
      </c>
      <c r="R1767" s="144"/>
      <c r="S1767" s="153">
        <v>300</v>
      </c>
      <c r="T1767" s="30" t="s">
        <v>1083</v>
      </c>
      <c r="V1767" s="381"/>
      <c r="W1767" s="421"/>
      <c r="X1767" s="381"/>
      <c r="Y1767" s="421"/>
      <c r="Z1767" s="421"/>
      <c r="AA1767" s="421"/>
      <c r="AB1767" s="421"/>
      <c r="AC1767" s="421"/>
      <c r="AD1767" s="421"/>
    </row>
    <row r="1768" spans="1:30" x14ac:dyDescent="0.4">
      <c r="A1768" s="210">
        <v>45838</v>
      </c>
      <c r="B1768" s="151" t="s">
        <v>64</v>
      </c>
      <c r="C1768" s="30" t="str">
        <f>VLOOKUP(B1768,'112年全品項生產鍋數'!A:H,2,0)</f>
        <v>藍莓餡(1*6KG)</v>
      </c>
      <c r="D1768" s="287">
        <v>24</v>
      </c>
      <c r="E1768" s="48">
        <f>VLOOKUP(B1768,'112年全品項生產鍋數'!A:H,3,0)</f>
        <v>6</v>
      </c>
      <c r="F1768" s="142">
        <f>VLOOKUP(B1768,'112年全品項生產鍋數'!A:H,7,0)</f>
        <v>25.4</v>
      </c>
      <c r="G1768" s="143">
        <f t="shared" si="238"/>
        <v>609.59999999999991</v>
      </c>
      <c r="H1768" s="156">
        <f>296+313</f>
        <v>609</v>
      </c>
      <c r="I1768" s="23">
        <f t="shared" si="239"/>
        <v>3654</v>
      </c>
      <c r="J1768" s="100">
        <f t="shared" si="240"/>
        <v>0.99901574803149618</v>
      </c>
      <c r="K1768" s="51">
        <f>VLOOKUP(B:B,'生產達成率(目標)'!A:C,3,0)</f>
        <v>1</v>
      </c>
      <c r="L1768" s="20">
        <f t="shared" si="241"/>
        <v>-1E-3</v>
      </c>
      <c r="M1768" s="137" t="str">
        <f>工時!R952</f>
        <v>330</v>
      </c>
      <c r="N1768" s="144"/>
      <c r="O1768" s="144">
        <f t="shared" si="242"/>
        <v>1</v>
      </c>
      <c r="P1768" s="156">
        <f>295+313</f>
        <v>608</v>
      </c>
      <c r="Q1768" s="98">
        <f t="shared" si="243"/>
        <v>0.99835796387520526</v>
      </c>
      <c r="R1768" s="23"/>
      <c r="S1768" s="173"/>
      <c r="T1768" s="30"/>
    </row>
    <row r="1769" spans="1:30" x14ac:dyDescent="0.4">
      <c r="A1769" s="210">
        <v>45838</v>
      </c>
      <c r="B1769" s="151" t="s">
        <v>63</v>
      </c>
      <c r="C1769" s="30" t="str">
        <f>VLOOKUP(B1769,'112年全品項生產鍋數'!A:H,2,0)</f>
        <v>草莓蒟蒻餡(1*6kg)</v>
      </c>
      <c r="D1769" s="287">
        <v>16</v>
      </c>
      <c r="E1769" s="48">
        <f>VLOOKUP(B1769,'112年全品項生產鍋數'!A:H,3,0)</f>
        <v>6</v>
      </c>
      <c r="F1769" s="142">
        <f>VLOOKUP(B1769,'112年全品項生產鍋數'!A:H,7,0)</f>
        <v>25.7</v>
      </c>
      <c r="G1769" s="143">
        <f t="shared" si="238"/>
        <v>411.2</v>
      </c>
      <c r="H1769" s="156">
        <f>191+221</f>
        <v>412</v>
      </c>
      <c r="I1769" s="23">
        <f t="shared" si="239"/>
        <v>2472</v>
      </c>
      <c r="J1769" s="100">
        <f t="shared" si="240"/>
        <v>1.0019455252918288</v>
      </c>
      <c r="K1769" s="51">
        <f>VLOOKUP(B:B,'生產達成率(目標)'!A:C,3,0)</f>
        <v>1</v>
      </c>
      <c r="L1769" s="20">
        <f t="shared" si="241"/>
        <v>2E-3</v>
      </c>
      <c r="M1769" s="137" t="str">
        <f>工時!R953</f>
        <v>210</v>
      </c>
      <c r="N1769" s="144"/>
      <c r="O1769" s="144">
        <f t="shared" si="242"/>
        <v>1</v>
      </c>
      <c r="P1769" s="156">
        <f>190+221</f>
        <v>411</v>
      </c>
      <c r="Q1769" s="98">
        <f t="shared" si="243"/>
        <v>0.99757281553398058</v>
      </c>
      <c r="R1769" s="23"/>
      <c r="S1769" s="173"/>
      <c r="T1769" s="30"/>
    </row>
    <row r="1770" spans="1:30" x14ac:dyDescent="0.4">
      <c r="A1770" s="210">
        <v>45838</v>
      </c>
      <c r="B1770" s="151" t="s">
        <v>73</v>
      </c>
      <c r="C1770" s="30" t="str">
        <f>VLOOKUP(B1770,'112年全品項生產鍋數'!A:H,2,0)</f>
        <v>顆粒花生醬(1*12KG)</v>
      </c>
      <c r="D1770" s="287">
        <v>21</v>
      </c>
      <c r="E1770" s="48">
        <f>VLOOKUP(B1770,'112年全品項生產鍋數'!A:H,3,0)</f>
        <v>3</v>
      </c>
      <c r="F1770" s="142">
        <f>VLOOKUP(B1770,'112年全品項生產鍋數'!A:H,7,0)</f>
        <v>29.7</v>
      </c>
      <c r="G1770" s="143">
        <f t="shared" si="238"/>
        <v>623.69999999999993</v>
      </c>
      <c r="H1770" s="156">
        <v>632</v>
      </c>
      <c r="I1770" s="23">
        <f t="shared" si="239"/>
        <v>1896</v>
      </c>
      <c r="J1770" s="100">
        <f t="shared" si="240"/>
        <v>1.0133076799743468</v>
      </c>
      <c r="K1770" s="51">
        <f>VLOOKUP(B:B,'生產達成率(目標)'!A:C,3,0)</f>
        <v>1</v>
      </c>
      <c r="L1770" s="20">
        <f t="shared" si="241"/>
        <v>1.2999999999999999E-2</v>
      </c>
      <c r="M1770" s="137" t="str">
        <f>工時!R954</f>
        <v>540</v>
      </c>
      <c r="N1770" s="144"/>
      <c r="O1770" s="144">
        <f t="shared" si="242"/>
        <v>0</v>
      </c>
      <c r="P1770" s="156">
        <v>632</v>
      </c>
      <c r="Q1770" s="98">
        <f t="shared" si="243"/>
        <v>1</v>
      </c>
      <c r="R1770" s="23"/>
      <c r="S1770" s="173"/>
      <c r="T1770" s="30"/>
    </row>
    <row r="1771" spans="1:30" x14ac:dyDescent="0.4">
      <c r="A1771" s="210">
        <v>45838</v>
      </c>
      <c r="B1771" s="151" t="s">
        <v>97</v>
      </c>
      <c r="C1771" s="30" t="str">
        <f>VLOOKUP(B1771,'112年全品項生產鍋數'!A:H,2,0)</f>
        <v>花生醬(1*18KG)</v>
      </c>
      <c r="D1771" s="287">
        <v>16</v>
      </c>
      <c r="E1771" s="48">
        <f>VLOOKUP(B1771,'112年全品項生產鍋數'!A:H,3,0)</f>
        <v>18</v>
      </c>
      <c r="F1771" s="142">
        <f>VLOOKUP(B1771,'112年全品項生產鍋數'!A:H,7,0)</f>
        <v>6.6</v>
      </c>
      <c r="G1771" s="143">
        <f t="shared" si="238"/>
        <v>105.6</v>
      </c>
      <c r="H1771" s="156">
        <v>108</v>
      </c>
      <c r="I1771" s="23">
        <f t="shared" si="239"/>
        <v>1944</v>
      </c>
      <c r="J1771" s="100">
        <f t="shared" si="240"/>
        <v>1.0227272727272727</v>
      </c>
      <c r="K1771" s="51">
        <f>VLOOKUP(B:B,'生產達成率(目標)'!A:C,3,0)</f>
        <v>1</v>
      </c>
      <c r="L1771" s="20">
        <f t="shared" si="241"/>
        <v>2.3E-2</v>
      </c>
      <c r="M1771" s="137" t="str">
        <f>工時!R955</f>
        <v>195</v>
      </c>
      <c r="N1771" s="144"/>
      <c r="O1771" s="144">
        <f t="shared" si="242"/>
        <v>0</v>
      </c>
      <c r="P1771" s="156">
        <v>108</v>
      </c>
      <c r="Q1771" s="98">
        <f t="shared" si="243"/>
        <v>1</v>
      </c>
      <c r="R1771" s="23"/>
      <c r="S1771" s="173"/>
      <c r="T1771" s="30"/>
    </row>
    <row r="1772" spans="1:30" x14ac:dyDescent="0.4">
      <c r="A1772" s="210">
        <v>45838</v>
      </c>
      <c r="B1772" s="151" t="s">
        <v>65</v>
      </c>
      <c r="C1772" s="30" t="str">
        <f>VLOOKUP(B1772,'112年全品項生產鍋數'!A:H,2,0)</f>
        <v>＃1花生(1*2.8kg)</v>
      </c>
      <c r="D1772" s="287">
        <v>56</v>
      </c>
      <c r="E1772" s="48">
        <f>VLOOKUP(B1772,'112年全品項生產鍋數'!A:H,3,0)</f>
        <v>2.8</v>
      </c>
      <c r="F1772" s="142">
        <f>VLOOKUP(B1772,'112年全品項生產鍋數'!A:H,7,0)</f>
        <v>44.5</v>
      </c>
      <c r="G1772" s="143">
        <f t="shared" si="238"/>
        <v>2492</v>
      </c>
      <c r="H1772" s="156">
        <v>2603</v>
      </c>
      <c r="I1772" s="23">
        <f t="shared" si="239"/>
        <v>7288.4</v>
      </c>
      <c r="J1772" s="100">
        <f t="shared" si="240"/>
        <v>1.0445425361155698</v>
      </c>
      <c r="K1772" s="51">
        <f>VLOOKUP(B:B,'生產達成率(目標)'!A:C,3,0)</f>
        <v>1</v>
      </c>
      <c r="L1772" s="20">
        <f t="shared" si="241"/>
        <v>4.4999999999999998E-2</v>
      </c>
      <c r="M1772" s="137" t="str">
        <f>工時!R956</f>
        <v>540</v>
      </c>
      <c r="N1772" s="144"/>
      <c r="O1772" s="144">
        <f t="shared" si="242"/>
        <v>1</v>
      </c>
      <c r="P1772" s="156">
        <v>2602</v>
      </c>
      <c r="Q1772" s="98">
        <f t="shared" si="243"/>
        <v>0.99961582789089509</v>
      </c>
      <c r="R1772" s="23"/>
      <c r="S1772" s="153">
        <v>360</v>
      </c>
      <c r="T1772" s="30" t="s">
        <v>1084</v>
      </c>
    </row>
    <row r="1773" spans="1:30" x14ac:dyDescent="0.4">
      <c r="A1773" s="210">
        <v>45839</v>
      </c>
      <c r="B1773" s="151" t="s">
        <v>71</v>
      </c>
      <c r="C1773" s="30" t="str">
        <f>VLOOKUP(B1773,'112年全品項生產鍋數'!A:H,2,0)</f>
        <v>＃1草莓(1*3.2kg)</v>
      </c>
      <c r="D1773" s="287">
        <v>72</v>
      </c>
      <c r="E1773" s="48">
        <f>VLOOKUP(B1773,'112年全品項生產鍋數'!A:H,3,0)</f>
        <v>3.2</v>
      </c>
      <c r="F1773" s="142">
        <f>VLOOKUP(B1773,'112年全品項生產鍋數'!A:H,7,0)</f>
        <v>46.8</v>
      </c>
      <c r="G1773" s="143">
        <f t="shared" si="238"/>
        <v>3369.6</v>
      </c>
      <c r="H1773" s="156">
        <v>3385</v>
      </c>
      <c r="I1773" s="23">
        <f t="shared" si="239"/>
        <v>10832</v>
      </c>
      <c r="J1773" s="100">
        <f t="shared" si="240"/>
        <v>1.0045702754036088</v>
      </c>
      <c r="K1773" s="51">
        <f>VLOOKUP(B:B,'生產達成率(目標)'!A:C,3,0)</f>
        <v>1</v>
      </c>
      <c r="L1773" s="20">
        <f t="shared" si="241"/>
        <v>5.0000000000000001E-3</v>
      </c>
      <c r="M1773" s="137" t="str">
        <f>工時!R957</f>
        <v>540</v>
      </c>
      <c r="N1773" s="144"/>
      <c r="O1773" s="144">
        <f t="shared" si="242"/>
        <v>2</v>
      </c>
      <c r="P1773" s="156">
        <v>3383</v>
      </c>
      <c r="Q1773" s="98">
        <f t="shared" si="243"/>
        <v>0.99940915805022157</v>
      </c>
      <c r="R1773" s="23"/>
      <c r="S1773" s="173"/>
      <c r="T1773" s="30"/>
    </row>
    <row r="1774" spans="1:30" x14ac:dyDescent="0.4">
      <c r="A1774" s="210">
        <v>45839</v>
      </c>
      <c r="B1774" s="151">
        <v>111010</v>
      </c>
      <c r="C1774" s="30" t="str">
        <f>VLOOKUP(B1774,'112年全品項生產鍋數'!A:H,2,0)</f>
        <v>糖漬桔皮絲</v>
      </c>
      <c r="D1774" s="287">
        <v>1</v>
      </c>
      <c r="E1774" s="48">
        <f>VLOOKUP(B1774,'112年全品項生產鍋數'!A:H,3,0)</f>
        <v>1</v>
      </c>
      <c r="F1774" s="142">
        <f>VLOOKUP(B1774,'112年全品項生產鍋數'!A:H,7,0)</f>
        <v>942</v>
      </c>
      <c r="G1774" s="143">
        <f t="shared" si="238"/>
        <v>942</v>
      </c>
      <c r="H1774" s="156">
        <v>930</v>
      </c>
      <c r="I1774" s="23">
        <f t="shared" si="239"/>
        <v>930</v>
      </c>
      <c r="J1774" s="100">
        <f t="shared" si="240"/>
        <v>0.98726114649681529</v>
      </c>
      <c r="K1774" s="51">
        <f>VLOOKUP(B:B,'生產達成率(目標)'!A:C,3,0)</f>
        <v>1</v>
      </c>
      <c r="L1774" s="20">
        <f t="shared" si="241"/>
        <v>-1.2999999999999999E-2</v>
      </c>
      <c r="M1774" s="137" t="str">
        <f>工時!R958</f>
        <v>0</v>
      </c>
      <c r="N1774" s="144"/>
      <c r="O1774" s="144">
        <f t="shared" si="242"/>
        <v>0</v>
      </c>
      <c r="P1774" s="156">
        <v>930</v>
      </c>
      <c r="Q1774" s="98">
        <f t="shared" si="243"/>
        <v>1</v>
      </c>
      <c r="R1774" s="23"/>
      <c r="S1774" s="173"/>
      <c r="T1774" s="30"/>
    </row>
    <row r="1775" spans="1:30" x14ac:dyDescent="0.4">
      <c r="A1775" s="210">
        <v>45839</v>
      </c>
      <c r="B1775" s="151" t="s">
        <v>107</v>
      </c>
      <c r="C1775" s="30" t="str">
        <f>VLOOKUP(B1775,'112年全品項生產鍋數'!A:H,2,0)</f>
        <v>藍莓餡(1*6kg)</v>
      </c>
      <c r="D1775" s="287">
        <v>8</v>
      </c>
      <c r="E1775" s="48">
        <f>VLOOKUP(B1775,'112年全品項生產鍋數'!A:H,3,0)</f>
        <v>6</v>
      </c>
      <c r="F1775" s="142">
        <f>VLOOKUP(B1775,'112年全品項生產鍋數'!A:H,7,0)</f>
        <v>26.4</v>
      </c>
      <c r="G1775" s="143">
        <f t="shared" si="238"/>
        <v>211.2</v>
      </c>
      <c r="H1775" s="156">
        <v>206</v>
      </c>
      <c r="I1775" s="23">
        <f t="shared" si="239"/>
        <v>1236</v>
      </c>
      <c r="J1775" s="100">
        <f t="shared" si="240"/>
        <v>0.97537878787878796</v>
      </c>
      <c r="K1775" s="51">
        <f>VLOOKUP(B:B,'生產達成率(目標)'!A:C,3,0)</f>
        <v>1</v>
      </c>
      <c r="L1775" s="20">
        <f t="shared" si="241"/>
        <v>-2.5000000000000001E-2</v>
      </c>
      <c r="M1775" s="137" t="str">
        <f>工時!R959</f>
        <v>200</v>
      </c>
      <c r="N1775" s="144"/>
      <c r="O1775" s="144">
        <f t="shared" si="242"/>
        <v>1</v>
      </c>
      <c r="P1775" s="156">
        <v>205</v>
      </c>
      <c r="Q1775" s="98">
        <f t="shared" si="243"/>
        <v>0.99514563106796117</v>
      </c>
      <c r="R1775" s="23"/>
      <c r="S1775" s="173"/>
      <c r="T1775" s="30"/>
    </row>
    <row r="1776" spans="1:30" x14ac:dyDescent="0.4">
      <c r="A1776" s="210">
        <v>45839</v>
      </c>
      <c r="B1776" s="151" t="s">
        <v>75</v>
      </c>
      <c r="C1776" s="30" t="str">
        <f>VLOOKUP(B1776,'112年全品項生產鍋數'!A:H,2,0)</f>
        <v>草莓椰果餡(1*6Kg)</v>
      </c>
      <c r="D1776" s="287">
        <v>8</v>
      </c>
      <c r="E1776" s="48">
        <f>VLOOKUP(B1776,'112年全品項生產鍋數'!A:H,3,0)</f>
        <v>6</v>
      </c>
      <c r="F1776" s="142">
        <f>VLOOKUP(B1776,'112年全品項生產鍋數'!A:H,7,0)</f>
        <v>26.4</v>
      </c>
      <c r="G1776" s="143">
        <f t="shared" si="238"/>
        <v>211.2</v>
      </c>
      <c r="H1776" s="156">
        <v>212</v>
      </c>
      <c r="I1776" s="23">
        <f t="shared" si="239"/>
        <v>1272</v>
      </c>
      <c r="J1776" s="100">
        <f t="shared" si="240"/>
        <v>1.0037878787878789</v>
      </c>
      <c r="K1776" s="51">
        <f>VLOOKUP(B:B,'生產達成率(目標)'!A:C,3,0)</f>
        <v>1</v>
      </c>
      <c r="L1776" s="20">
        <f t="shared" si="241"/>
        <v>4.0000000000000001E-3</v>
      </c>
      <c r="M1776" s="137" t="str">
        <f>工時!R960</f>
        <v>185</v>
      </c>
      <c r="N1776" s="144"/>
      <c r="O1776" s="144">
        <f t="shared" si="242"/>
        <v>2</v>
      </c>
      <c r="P1776" s="156">
        <v>210</v>
      </c>
      <c r="Q1776" s="98">
        <f t="shared" si="243"/>
        <v>0.99056603773584906</v>
      </c>
      <c r="R1776" s="23"/>
      <c r="S1776" s="173"/>
      <c r="T1776" s="30"/>
    </row>
    <row r="1777" spans="1:30" x14ac:dyDescent="0.4">
      <c r="A1777" s="210">
        <v>45839</v>
      </c>
      <c r="B1777" s="151" t="s">
        <v>99</v>
      </c>
      <c r="C1777" s="30" t="str">
        <f>VLOOKUP(B1777,'112年全品項生產鍋數'!A:H,2,0)</f>
        <v>葡萄奇異果醬(1*6kg)</v>
      </c>
      <c r="D1777" s="287">
        <v>6</v>
      </c>
      <c r="E1777" s="48">
        <f>VLOOKUP(B1777,'112年全品項生產鍋數'!A:H,3,0)</f>
        <v>6</v>
      </c>
      <c r="F1777" s="142">
        <f>VLOOKUP(B1777,'112年全品項生產鍋數'!A:H,7,0)</f>
        <v>24.3</v>
      </c>
      <c r="G1777" s="143">
        <f t="shared" si="238"/>
        <v>145.80000000000001</v>
      </c>
      <c r="H1777" s="156">
        <v>150</v>
      </c>
      <c r="I1777" s="23">
        <f t="shared" si="239"/>
        <v>900</v>
      </c>
      <c r="J1777" s="100">
        <f t="shared" si="240"/>
        <v>1.0288065843621399</v>
      </c>
      <c r="K1777" s="51">
        <f>VLOOKUP(B:B,'生產達成率(目標)'!A:C,3,0)</f>
        <v>1</v>
      </c>
      <c r="L1777" s="20">
        <f t="shared" si="241"/>
        <v>2.9000000000000001E-2</v>
      </c>
      <c r="M1777" s="137" t="str">
        <f>工時!R961</f>
        <v>130</v>
      </c>
      <c r="N1777" s="144"/>
      <c r="O1777" s="144">
        <f t="shared" si="242"/>
        <v>1</v>
      </c>
      <c r="P1777" s="156">
        <v>149</v>
      </c>
      <c r="Q1777" s="98">
        <f t="shared" si="243"/>
        <v>0.99333333333333329</v>
      </c>
      <c r="R1777" s="23"/>
      <c r="S1777" s="173"/>
      <c r="T1777" s="30"/>
    </row>
    <row r="1778" spans="1:30" x14ac:dyDescent="0.4">
      <c r="A1778" s="210">
        <v>45839</v>
      </c>
      <c r="B1778" s="151" t="s">
        <v>1046</v>
      </c>
      <c r="C1778" s="30" t="str">
        <f>VLOOKUP(B1778,'112年全品項生產鍋數'!A:H,2,0)</f>
        <v>藍莓顆粒果醬(1*6kg)</v>
      </c>
      <c r="D1778" s="287">
        <v>8</v>
      </c>
      <c r="E1778" s="48">
        <f>VLOOKUP(B1778,'112年全品項生產鍋數'!A:H,3,0)</f>
        <v>6</v>
      </c>
      <c r="F1778" s="142">
        <f>VLOOKUP(B1778,'112年全品項生產鍋數'!A:H,7,0)</f>
        <v>0</v>
      </c>
      <c r="G1778" s="143">
        <f t="shared" si="238"/>
        <v>0</v>
      </c>
      <c r="H1778" s="156">
        <v>207</v>
      </c>
      <c r="I1778" s="23">
        <f t="shared" si="239"/>
        <v>1242</v>
      </c>
      <c r="J1778" s="100" t="str">
        <f t="shared" si="240"/>
        <v>無法預估數據</v>
      </c>
      <c r="K1778" s="51">
        <f>VLOOKUP(B:B,'生產達成率(目標)'!A:C,3,0)</f>
        <v>1</v>
      </c>
      <c r="L1778" s="20" t="str">
        <f t="shared" si="241"/>
        <v>無法預估數據</v>
      </c>
      <c r="M1778" s="137" t="str">
        <f>工時!R962</f>
        <v>166</v>
      </c>
      <c r="N1778" s="144"/>
      <c r="O1778" s="144">
        <f t="shared" si="242"/>
        <v>1</v>
      </c>
      <c r="P1778" s="156">
        <v>206</v>
      </c>
      <c r="Q1778" s="98">
        <f t="shared" si="243"/>
        <v>0.99516908212560384</v>
      </c>
      <c r="R1778" s="23"/>
      <c r="S1778" s="173"/>
      <c r="T1778" s="30"/>
    </row>
    <row r="1779" spans="1:30" x14ac:dyDescent="0.4">
      <c r="A1779" s="210">
        <v>45839</v>
      </c>
      <c r="B1779" s="151" t="s">
        <v>58</v>
      </c>
      <c r="C1779" s="30" t="str">
        <f>VLOOKUP(B1779,'112年全品項生產鍋數'!A:H,2,0)</f>
        <v>PET大花生(1*400g)</v>
      </c>
      <c r="D1779" s="287">
        <v>40</v>
      </c>
      <c r="E1779" s="48">
        <f>VLOOKUP(B1779,'112年全品項生產鍋數'!A:H,3,0)</f>
        <v>0.4</v>
      </c>
      <c r="F1779" s="142">
        <f>VLOOKUP(B1779,'112年全品項生產鍋數'!A:H,7,0)</f>
        <v>309.2</v>
      </c>
      <c r="G1779" s="143">
        <f t="shared" si="238"/>
        <v>12368</v>
      </c>
      <c r="H1779" s="156">
        <v>12396</v>
      </c>
      <c r="I1779" s="23">
        <f t="shared" si="239"/>
        <v>4958.4000000000005</v>
      </c>
      <c r="J1779" s="100">
        <f t="shared" si="240"/>
        <v>1.0022639068564037</v>
      </c>
      <c r="K1779" s="51">
        <f>VLOOKUP(B:B,'生產達成率(目標)'!A:C,3,0)</f>
        <v>1</v>
      </c>
      <c r="L1779" s="20">
        <f t="shared" si="241"/>
        <v>2E-3</v>
      </c>
      <c r="M1779" s="137" t="str">
        <f>工時!R963</f>
        <v>515</v>
      </c>
      <c r="N1779" s="144"/>
      <c r="O1779" s="144">
        <f t="shared" si="242"/>
        <v>4</v>
      </c>
      <c r="P1779" s="156">
        <v>12392</v>
      </c>
      <c r="Q1779" s="98">
        <f t="shared" si="243"/>
        <v>0.99967731526298809</v>
      </c>
      <c r="R1779" s="23"/>
      <c r="S1779" s="173"/>
      <c r="T1779" s="30"/>
    </row>
    <row r="1780" spans="1:30" x14ac:dyDescent="0.4">
      <c r="A1780" s="210">
        <v>45840</v>
      </c>
      <c r="B1780" s="151" t="s">
        <v>61</v>
      </c>
      <c r="C1780" s="30" t="str">
        <f>VLOOKUP(B1780,'112年全品項生產鍋數'!A:H,2,0)</f>
        <v>大圓草莓-新</v>
      </c>
      <c r="D1780" s="287">
        <v>24</v>
      </c>
      <c r="E1780" s="48">
        <f>VLOOKUP(B1780,'112年全品項生產鍋數'!A:H,3,0)</f>
        <v>0.44</v>
      </c>
      <c r="F1780" s="142">
        <f>VLOOKUP(B1780,'112年全品項生產鍋數'!A:H,7,0)</f>
        <v>344</v>
      </c>
      <c r="G1780" s="143">
        <f t="shared" ref="G1780:G1795" si="244">D1780*F1780</f>
        <v>8256</v>
      </c>
      <c r="H1780" s="156">
        <v>8123</v>
      </c>
      <c r="I1780" s="23">
        <f t="shared" ref="I1780:I1795" si="245">H1780*E1780</f>
        <v>3574.12</v>
      </c>
      <c r="J1780" s="100">
        <f t="shared" ref="J1780:J1795" si="246">IF(G1780=0,"無法預估數據",H1780/G1780)</f>
        <v>0.98389050387596899</v>
      </c>
      <c r="K1780" s="51">
        <f>VLOOKUP(B:B,'生產達成率(目標)'!A:C,3,0)</f>
        <v>1</v>
      </c>
      <c r="L1780" s="20">
        <f t="shared" ref="L1780:L1795" si="247">IF(G1780=0,"無法預估數據",ROUND(J1780-K1780,3))</f>
        <v>-1.6E-2</v>
      </c>
      <c r="M1780" s="137" t="str">
        <f>工時!R964</f>
        <v>320</v>
      </c>
      <c r="N1780" s="144"/>
      <c r="O1780" s="144">
        <f t="shared" ref="O1780:O1795" si="248">H1780-N1780-P1780</f>
        <v>9</v>
      </c>
      <c r="P1780" s="156">
        <v>8114</v>
      </c>
      <c r="Q1780" s="98">
        <f t="shared" ref="Q1780:Q1795" si="249">P1780/H1780</f>
        <v>0.99889203496245227</v>
      </c>
      <c r="R1780" s="23"/>
      <c r="S1780" s="173"/>
      <c r="T1780" s="30"/>
    </row>
    <row r="1781" spans="1:30" s="146" customFormat="1" x14ac:dyDescent="0.4">
      <c r="A1781" s="212">
        <v>45840</v>
      </c>
      <c r="B1781" s="151" t="s">
        <v>91</v>
      </c>
      <c r="C1781" s="140" t="str">
        <f>VLOOKUP(B1781,'112年全品項生產鍋數'!A:H,2,0)</f>
        <v>梨山草莓果醬(1*430g)</v>
      </c>
      <c r="D1781" s="287">
        <v>8</v>
      </c>
      <c r="E1781" s="141">
        <f>VLOOKUP(B1781,'112年全品項生產鍋數'!A:H,3,0)</f>
        <v>0.43</v>
      </c>
      <c r="F1781" s="142">
        <f>VLOOKUP(B1781,'112年全品項生產鍋數'!A:H,7,0)</f>
        <v>340.4</v>
      </c>
      <c r="G1781" s="143">
        <f t="shared" si="244"/>
        <v>2723.2</v>
      </c>
      <c r="H1781" s="156">
        <f>480+2162</f>
        <v>2642</v>
      </c>
      <c r="I1781" s="144">
        <f t="shared" si="245"/>
        <v>1136.06</v>
      </c>
      <c r="J1781" s="100">
        <f t="shared" si="246"/>
        <v>0.9701821386603996</v>
      </c>
      <c r="K1781" s="51">
        <f>VLOOKUP(B:B,'生產達成率(目標)'!A:C,3,0)</f>
        <v>1</v>
      </c>
      <c r="L1781" s="20">
        <f t="shared" si="247"/>
        <v>-0.03</v>
      </c>
      <c r="M1781" s="137" t="str">
        <f>工時!R965</f>
        <v>270</v>
      </c>
      <c r="N1781" s="144"/>
      <c r="O1781" s="144">
        <f t="shared" si="248"/>
        <v>8</v>
      </c>
      <c r="P1781" s="156">
        <f>474+2160</f>
        <v>2634</v>
      </c>
      <c r="Q1781" s="145">
        <f t="shared" si="249"/>
        <v>0.99697199091597277</v>
      </c>
      <c r="R1781" s="144"/>
      <c r="S1781" s="153"/>
      <c r="T1781" s="140" t="s">
        <v>1078</v>
      </c>
      <c r="V1781" s="381"/>
      <c r="W1781" s="421"/>
      <c r="X1781" s="381"/>
      <c r="Y1781" s="421"/>
      <c r="Z1781" s="421"/>
      <c r="AA1781" s="421"/>
      <c r="AB1781" s="421"/>
      <c r="AC1781" s="421"/>
      <c r="AD1781" s="421"/>
    </row>
    <row r="1782" spans="1:30" x14ac:dyDescent="0.4">
      <c r="A1782" s="210">
        <v>45840</v>
      </c>
      <c r="B1782" s="151" t="s">
        <v>63</v>
      </c>
      <c r="C1782" s="30" t="str">
        <f>VLOOKUP(B1782,'112年全品項生產鍋數'!A:H,2,0)</f>
        <v>草莓蒟蒻餡(1*6kg)</v>
      </c>
      <c r="D1782" s="287">
        <v>24</v>
      </c>
      <c r="E1782" s="48">
        <f>VLOOKUP(B1782,'112年全品項生產鍋數'!A:H,3,0)</f>
        <v>6</v>
      </c>
      <c r="F1782" s="142">
        <f>VLOOKUP(B1782,'112年全品項生產鍋數'!A:H,7,0)</f>
        <v>25.7</v>
      </c>
      <c r="G1782" s="143">
        <f t="shared" si="244"/>
        <v>616.79999999999995</v>
      </c>
      <c r="H1782" s="156">
        <f>305+323</f>
        <v>628</v>
      </c>
      <c r="I1782" s="23">
        <f t="shared" si="245"/>
        <v>3768</v>
      </c>
      <c r="J1782" s="100">
        <f t="shared" si="246"/>
        <v>1.0181582360570689</v>
      </c>
      <c r="K1782" s="51">
        <f>VLOOKUP(B:B,'生產達成率(目標)'!A:C,3,0)</f>
        <v>1</v>
      </c>
      <c r="L1782" s="20">
        <f t="shared" si="247"/>
        <v>1.7999999999999999E-2</v>
      </c>
      <c r="M1782" s="137" t="str">
        <f>工時!R966</f>
        <v>325</v>
      </c>
      <c r="N1782" s="144"/>
      <c r="O1782" s="144">
        <f t="shared" si="248"/>
        <v>1</v>
      </c>
      <c r="P1782" s="156">
        <f>304+323</f>
        <v>627</v>
      </c>
      <c r="Q1782" s="98">
        <f t="shared" si="249"/>
        <v>0.99840764331210186</v>
      </c>
      <c r="R1782" s="23"/>
      <c r="S1782" s="173"/>
      <c r="T1782" s="30"/>
    </row>
    <row r="1783" spans="1:30" x14ac:dyDescent="0.4">
      <c r="A1783" s="210">
        <v>45840</v>
      </c>
      <c r="B1783" s="151" t="s">
        <v>54</v>
      </c>
      <c r="C1783" s="30" t="str">
        <f>VLOOKUP(B1783,'112年全品項生產鍋數'!A:H,2,0)</f>
        <v>草莓醬(1*6kg)</v>
      </c>
      <c r="D1783" s="287">
        <v>20</v>
      </c>
      <c r="E1783" s="48">
        <f>VLOOKUP(B1783,'112年全品項生產鍋數'!A:H,3,0)</f>
        <v>6</v>
      </c>
      <c r="F1783" s="142">
        <f>VLOOKUP(B1783,'112年全品項生產鍋數'!A:H,7,0)</f>
        <v>26.6</v>
      </c>
      <c r="G1783" s="143">
        <f t="shared" si="244"/>
        <v>532</v>
      </c>
      <c r="H1783" s="156">
        <v>515</v>
      </c>
      <c r="I1783" s="23">
        <f t="shared" si="245"/>
        <v>3090</v>
      </c>
      <c r="J1783" s="100">
        <f t="shared" si="246"/>
        <v>0.96804511278195493</v>
      </c>
      <c r="K1783" s="51">
        <f>VLOOKUP(B:B,'生產達成率(目標)'!A:C,3,0)</f>
        <v>1</v>
      </c>
      <c r="L1783" s="20">
        <f t="shared" si="247"/>
        <v>-3.2000000000000001E-2</v>
      </c>
      <c r="M1783" s="137" t="str">
        <f>工時!R967</f>
        <v>250</v>
      </c>
      <c r="N1783" s="144"/>
      <c r="O1783" s="144">
        <f t="shared" si="248"/>
        <v>1</v>
      </c>
      <c r="P1783" s="156">
        <v>514</v>
      </c>
      <c r="Q1783" s="98">
        <f t="shared" si="249"/>
        <v>0.99805825242718449</v>
      </c>
      <c r="R1783" s="23"/>
      <c r="S1783" s="173"/>
      <c r="T1783" s="30"/>
    </row>
    <row r="1784" spans="1:30" x14ac:dyDescent="0.4">
      <c r="A1784" s="210">
        <v>45840</v>
      </c>
      <c r="B1784" s="151" t="s">
        <v>65</v>
      </c>
      <c r="C1784" s="30" t="str">
        <f>VLOOKUP(B1784,'112年全品項生產鍋數'!A:H,2,0)</f>
        <v>＃1花生(1*2.8kg)</v>
      </c>
      <c r="D1784" s="287">
        <v>72</v>
      </c>
      <c r="E1784" s="48">
        <f>VLOOKUP(B1784,'112年全品項生產鍋數'!A:H,3,0)</f>
        <v>2.8</v>
      </c>
      <c r="F1784" s="142">
        <f>VLOOKUP(B1784,'112年全品項生產鍋數'!A:H,7,0)</f>
        <v>44.5</v>
      </c>
      <c r="G1784" s="143">
        <f>D1784*F1784-25*18/E1784</f>
        <v>3043.2857142857142</v>
      </c>
      <c r="H1784" s="156">
        <v>3098</v>
      </c>
      <c r="I1784" s="23">
        <f t="shared" si="245"/>
        <v>8674.4</v>
      </c>
      <c r="J1784" s="100">
        <f t="shared" si="246"/>
        <v>1.0179786884476365</v>
      </c>
      <c r="K1784" s="51">
        <f>VLOOKUP(B:B,'生產達成率(目標)'!A:C,3,0)</f>
        <v>1</v>
      </c>
      <c r="L1784" s="20">
        <f t="shared" si="247"/>
        <v>1.7999999999999999E-2</v>
      </c>
      <c r="M1784" s="137" t="str">
        <f>工時!R968</f>
        <v>655</v>
      </c>
      <c r="N1784" s="144"/>
      <c r="O1784" s="144">
        <f t="shared" si="248"/>
        <v>1</v>
      </c>
      <c r="P1784" s="156">
        <v>3097</v>
      </c>
      <c r="Q1784" s="98">
        <f t="shared" si="249"/>
        <v>0.99967721110393803</v>
      </c>
      <c r="R1784" s="23"/>
      <c r="S1784" s="173">
        <v>80</v>
      </c>
      <c r="T1784" s="30" t="s">
        <v>1085</v>
      </c>
    </row>
    <row r="1785" spans="1:30" x14ac:dyDescent="0.4">
      <c r="A1785" s="210">
        <v>45841</v>
      </c>
      <c r="B1785" s="151" t="s">
        <v>71</v>
      </c>
      <c r="C1785" s="30" t="str">
        <f>VLOOKUP(B1785,'112年全品項生產鍋數'!A:H,2,0)</f>
        <v>＃1草莓(1*3.2kg)</v>
      </c>
      <c r="D1785" s="287">
        <v>36</v>
      </c>
      <c r="E1785" s="48">
        <f>VLOOKUP(B1785,'112年全品項生產鍋數'!A:H,3,0)</f>
        <v>3.2</v>
      </c>
      <c r="F1785" s="142">
        <f>VLOOKUP(B1785,'112年全品項生產鍋數'!A:H,7,0)</f>
        <v>46.8</v>
      </c>
      <c r="G1785" s="143">
        <f t="shared" si="244"/>
        <v>1684.8</v>
      </c>
      <c r="H1785" s="156">
        <v>1675</v>
      </c>
      <c r="I1785" s="23">
        <f t="shared" si="245"/>
        <v>5360</v>
      </c>
      <c r="J1785" s="100">
        <f t="shared" si="246"/>
        <v>0.99418328584995252</v>
      </c>
      <c r="K1785" s="51">
        <f>VLOOKUP(B:B,'生產達成率(目標)'!A:C,3,0)</f>
        <v>1</v>
      </c>
      <c r="L1785" s="20">
        <f t="shared" si="247"/>
        <v>-6.0000000000000001E-3</v>
      </c>
      <c r="M1785" s="137" t="str">
        <f>工時!R969</f>
        <v>300</v>
      </c>
      <c r="N1785" s="144"/>
      <c r="O1785" s="144">
        <f t="shared" si="248"/>
        <v>1</v>
      </c>
      <c r="P1785" s="156">
        <v>1674</v>
      </c>
      <c r="Q1785" s="98">
        <f t="shared" si="249"/>
        <v>0.99940298507462688</v>
      </c>
      <c r="R1785" s="23"/>
      <c r="S1785" s="173"/>
      <c r="T1785" s="30"/>
    </row>
    <row r="1786" spans="1:30" x14ac:dyDescent="0.4">
      <c r="A1786" s="210">
        <v>45841</v>
      </c>
      <c r="B1786" s="151" t="s">
        <v>87</v>
      </c>
      <c r="C1786" s="30" t="str">
        <f>VLOOKUP(B1786,'112年全品項生產鍋數'!A:H,2,0)</f>
        <v>＃1藍莓(1*3.2kg)</v>
      </c>
      <c r="D1786" s="287">
        <v>36</v>
      </c>
      <c r="E1786" s="48">
        <f>VLOOKUP(B1786,'112年全品項生產鍋數'!A:H,3,0)</f>
        <v>3.2</v>
      </c>
      <c r="F1786" s="142">
        <f>VLOOKUP(B1786,'112年全品項生產鍋數'!A:H,7,0)</f>
        <v>47.5</v>
      </c>
      <c r="G1786" s="143">
        <f t="shared" si="244"/>
        <v>1710</v>
      </c>
      <c r="H1786" s="156">
        <v>1664</v>
      </c>
      <c r="I1786" s="23">
        <f t="shared" si="245"/>
        <v>5324.8</v>
      </c>
      <c r="J1786" s="100">
        <f t="shared" si="246"/>
        <v>0.97309941520467835</v>
      </c>
      <c r="K1786" s="51">
        <f>VLOOKUP(B:B,'生產達成率(目標)'!A:C,3,0)</f>
        <v>1</v>
      </c>
      <c r="L1786" s="20">
        <f t="shared" si="247"/>
        <v>-2.7E-2</v>
      </c>
      <c r="M1786" s="137" t="str">
        <f>工時!R970</f>
        <v>240</v>
      </c>
      <c r="N1786" s="144"/>
      <c r="O1786" s="144">
        <f t="shared" si="248"/>
        <v>1</v>
      </c>
      <c r="P1786" s="156">
        <v>1663</v>
      </c>
      <c r="Q1786" s="98">
        <f t="shared" si="249"/>
        <v>0.99939903846153844</v>
      </c>
      <c r="R1786" s="23"/>
      <c r="S1786" s="173"/>
      <c r="T1786" s="30"/>
    </row>
    <row r="1787" spans="1:30" x14ac:dyDescent="0.4">
      <c r="A1787" s="210">
        <v>45841</v>
      </c>
      <c r="B1787" s="151" t="s">
        <v>54</v>
      </c>
      <c r="C1787" s="30" t="str">
        <f>VLOOKUP(B1787,'112年全品項生產鍋數'!A:H,2,0)</f>
        <v>草莓醬(1*6kg)</v>
      </c>
      <c r="D1787" s="287">
        <v>24</v>
      </c>
      <c r="E1787" s="48">
        <f>VLOOKUP(B1787,'112年全品項生產鍋數'!A:H,3,0)</f>
        <v>6</v>
      </c>
      <c r="F1787" s="142">
        <f>VLOOKUP(B1787,'112年全品項生產鍋數'!A:H,7,0)</f>
        <v>26.6</v>
      </c>
      <c r="G1787" s="143">
        <f t="shared" si="244"/>
        <v>638.40000000000009</v>
      </c>
      <c r="H1787" s="156">
        <v>627</v>
      </c>
      <c r="I1787" s="23">
        <f t="shared" si="245"/>
        <v>3762</v>
      </c>
      <c r="J1787" s="100">
        <f t="shared" si="246"/>
        <v>0.98214285714285698</v>
      </c>
      <c r="K1787" s="51">
        <f>VLOOKUP(B:B,'生產達成率(目標)'!A:C,3,0)</f>
        <v>1</v>
      </c>
      <c r="L1787" s="20">
        <f t="shared" si="247"/>
        <v>-1.7999999999999999E-2</v>
      </c>
      <c r="M1787" s="137" t="str">
        <f>工時!R971</f>
        <v>340</v>
      </c>
      <c r="N1787" s="144"/>
      <c r="O1787" s="144">
        <f t="shared" si="248"/>
        <v>1</v>
      </c>
      <c r="P1787" s="156">
        <v>626</v>
      </c>
      <c r="Q1787" s="98">
        <f t="shared" si="249"/>
        <v>0.99840510366826152</v>
      </c>
      <c r="R1787" s="23"/>
      <c r="S1787" s="173"/>
      <c r="T1787" s="30"/>
    </row>
    <row r="1788" spans="1:30" x14ac:dyDescent="0.4">
      <c r="A1788" s="210">
        <v>45841</v>
      </c>
      <c r="B1788" s="151" t="s">
        <v>109</v>
      </c>
      <c r="C1788" s="30" t="str">
        <f>VLOOKUP(B1788,'112年全品項生產鍋數'!A:H,2,0)</f>
        <v>蔓越莓醬(1*6KG)</v>
      </c>
      <c r="D1788" s="287">
        <v>12</v>
      </c>
      <c r="E1788" s="48">
        <f>VLOOKUP(B1788,'112年全品項生產鍋數'!A:H,3,0)</f>
        <v>6</v>
      </c>
      <c r="F1788" s="142">
        <f>VLOOKUP(B1788,'112年全品項生產鍋數'!A:H,7,0)</f>
        <v>25.6</v>
      </c>
      <c r="G1788" s="143">
        <f t="shared" si="244"/>
        <v>307.20000000000005</v>
      </c>
      <c r="H1788" s="156">
        <v>313</v>
      </c>
      <c r="I1788" s="23">
        <f t="shared" si="245"/>
        <v>1878</v>
      </c>
      <c r="J1788" s="100">
        <f t="shared" si="246"/>
        <v>1.0188802083333333</v>
      </c>
      <c r="K1788" s="51">
        <f>VLOOKUP(B:B,'生產達成率(目標)'!A:C,3,0)</f>
        <v>1</v>
      </c>
      <c r="L1788" s="20">
        <f t="shared" si="247"/>
        <v>1.9E-2</v>
      </c>
      <c r="M1788" s="137" t="str">
        <f>工時!R972</f>
        <v>210</v>
      </c>
      <c r="N1788" s="144"/>
      <c r="O1788" s="144">
        <f t="shared" si="248"/>
        <v>2</v>
      </c>
      <c r="P1788" s="156">
        <v>311</v>
      </c>
      <c r="Q1788" s="98">
        <f t="shared" si="249"/>
        <v>0.99361022364217255</v>
      </c>
      <c r="R1788" s="23"/>
      <c r="S1788" s="173"/>
      <c r="T1788" s="30"/>
    </row>
    <row r="1789" spans="1:30" s="146" customFormat="1" x14ac:dyDescent="0.4">
      <c r="A1789" s="212">
        <v>45841</v>
      </c>
      <c r="B1789" s="151" t="s">
        <v>96</v>
      </c>
      <c r="C1789" s="140" t="str">
        <f>VLOOKUP(B1789,'112年全品項生產鍋數'!A:H,2,0)</f>
        <v>PET瓶花生(1*340g)</v>
      </c>
      <c r="D1789" s="287">
        <v>20</v>
      </c>
      <c r="E1789" s="141">
        <f>VLOOKUP(B1789,'112年全品項生產鍋數'!A:H,3,0)</f>
        <v>0.34</v>
      </c>
      <c r="F1789" s="142">
        <f>VLOOKUP(B1789,'112年全品項生產鍋數'!A:H,7,0)</f>
        <v>358.3</v>
      </c>
      <c r="G1789" s="143">
        <f t="shared" si="244"/>
        <v>7166</v>
      </c>
      <c r="H1789" s="144">
        <f>2662+4802</f>
        <v>7464</v>
      </c>
      <c r="I1789" s="144">
        <f t="shared" si="245"/>
        <v>2537.7600000000002</v>
      </c>
      <c r="J1789" s="100">
        <f t="shared" si="246"/>
        <v>1.0415852637454648</v>
      </c>
      <c r="K1789" s="51">
        <f>VLOOKUP(B:B,'生產達成率(目標)'!A:C,3,0)</f>
        <v>1</v>
      </c>
      <c r="L1789" s="20">
        <f t="shared" si="247"/>
        <v>4.2000000000000003E-2</v>
      </c>
      <c r="M1789" s="137" t="str">
        <f>工時!R973</f>
        <v>410</v>
      </c>
      <c r="N1789" s="144"/>
      <c r="O1789" s="144">
        <f t="shared" si="248"/>
        <v>5</v>
      </c>
      <c r="P1789" s="156">
        <f>2659+4800</f>
        <v>7459</v>
      </c>
      <c r="Q1789" s="145">
        <f t="shared" si="249"/>
        <v>0.99933011789924975</v>
      </c>
      <c r="R1789" s="144"/>
      <c r="S1789" s="153"/>
      <c r="T1789" s="140" t="s">
        <v>1079</v>
      </c>
      <c r="V1789" s="381"/>
      <c r="W1789" s="421"/>
      <c r="X1789" s="381"/>
      <c r="Y1789" s="421"/>
      <c r="Z1789" s="421"/>
      <c r="AA1789" s="421"/>
      <c r="AB1789" s="421"/>
      <c r="AC1789" s="421"/>
      <c r="AD1789" s="421"/>
    </row>
    <row r="1790" spans="1:30" s="146" customFormat="1" x14ac:dyDescent="0.4">
      <c r="A1790" s="212">
        <v>45841</v>
      </c>
      <c r="B1790" s="151" t="s">
        <v>597</v>
      </c>
      <c r="C1790" s="140" t="str">
        <f>VLOOKUP(B1790,'112年全品項生產鍋數'!A:H,2,0)</f>
        <v>無加糖花生醬(1*290g)</v>
      </c>
      <c r="D1790" s="287">
        <v>8</v>
      </c>
      <c r="E1790" s="141">
        <f>VLOOKUP(B1790,'112年全品項生產鍋數'!A:H,3,0)</f>
        <v>0.28999999999999998</v>
      </c>
      <c r="F1790" s="142">
        <f>VLOOKUP(B1790,'112年全品項生產鍋數'!A:H,7,0)</f>
        <v>388</v>
      </c>
      <c r="G1790" s="143">
        <f t="shared" si="244"/>
        <v>3104</v>
      </c>
      <c r="H1790" s="156">
        <v>3294</v>
      </c>
      <c r="I1790" s="144">
        <f t="shared" si="245"/>
        <v>955.26</v>
      </c>
      <c r="J1790" s="100">
        <f t="shared" si="246"/>
        <v>1.0612113402061856</v>
      </c>
      <c r="K1790" s="51">
        <f>VLOOKUP(B:B,'生產達成率(目標)'!A:C,3,0)</f>
        <v>1</v>
      </c>
      <c r="L1790" s="20">
        <f t="shared" si="247"/>
        <v>6.0999999999999999E-2</v>
      </c>
      <c r="M1790" s="137" t="str">
        <f>工時!R974</f>
        <v>230</v>
      </c>
      <c r="N1790" s="144"/>
      <c r="O1790" s="144">
        <f t="shared" si="248"/>
        <v>5</v>
      </c>
      <c r="P1790" s="156">
        <v>3289</v>
      </c>
      <c r="Q1790" s="145">
        <f t="shared" si="249"/>
        <v>0.99848208864602306</v>
      </c>
      <c r="R1790" s="144"/>
      <c r="S1790" s="153"/>
      <c r="T1790" s="140" t="s">
        <v>1080</v>
      </c>
      <c r="V1790" s="381"/>
      <c r="W1790" s="421"/>
      <c r="X1790" s="381"/>
      <c r="Y1790" s="421"/>
      <c r="Z1790" s="421"/>
      <c r="AA1790" s="421"/>
      <c r="AB1790" s="421"/>
      <c r="AC1790" s="421"/>
      <c r="AD1790" s="421"/>
    </row>
    <row r="1791" spans="1:30" s="146" customFormat="1" x14ac:dyDescent="0.4">
      <c r="A1791" s="212">
        <v>45842</v>
      </c>
      <c r="B1791" s="151" t="s">
        <v>61</v>
      </c>
      <c r="C1791" s="140" t="str">
        <f>VLOOKUP(B1791,'112年全品項生產鍋數'!A:H,2,0)</f>
        <v>大圓草莓-新</v>
      </c>
      <c r="D1791" s="287">
        <v>20</v>
      </c>
      <c r="E1791" s="141">
        <f>VLOOKUP(B1791,'112年全品項生產鍋數'!A:H,3,0)</f>
        <v>0.44</v>
      </c>
      <c r="F1791" s="142">
        <f>VLOOKUP(B1791,'112年全品項生產鍋數'!A:H,7,0)</f>
        <v>344</v>
      </c>
      <c r="G1791" s="143">
        <f t="shared" si="244"/>
        <v>6880</v>
      </c>
      <c r="H1791" s="156">
        <v>6752</v>
      </c>
      <c r="I1791" s="144">
        <f t="shared" si="245"/>
        <v>2970.88</v>
      </c>
      <c r="J1791" s="100">
        <f t="shared" si="246"/>
        <v>0.98139534883720925</v>
      </c>
      <c r="K1791" s="51">
        <f>VLOOKUP(B:B,'生產達成率(目標)'!A:C,3,0)</f>
        <v>1</v>
      </c>
      <c r="L1791" s="20">
        <f t="shared" si="247"/>
        <v>-1.9E-2</v>
      </c>
      <c r="M1791" s="137" t="str">
        <f>工時!R975</f>
        <v>300</v>
      </c>
      <c r="N1791" s="144"/>
      <c r="O1791" s="144">
        <f t="shared" si="248"/>
        <v>4</v>
      </c>
      <c r="P1791" s="156">
        <v>6748</v>
      </c>
      <c r="Q1791" s="145">
        <f t="shared" si="249"/>
        <v>0.99940758293838861</v>
      </c>
      <c r="R1791" s="144"/>
      <c r="S1791" s="153"/>
      <c r="T1791" s="140"/>
      <c r="V1791" s="381"/>
      <c r="W1791" s="421"/>
      <c r="X1791" s="381"/>
      <c r="Y1791" s="421"/>
      <c r="Z1791" s="421"/>
      <c r="AA1791" s="421"/>
      <c r="AB1791" s="421"/>
      <c r="AC1791" s="421"/>
      <c r="AD1791" s="421"/>
    </row>
    <row r="1792" spans="1:30" s="146" customFormat="1" x14ac:dyDescent="0.4">
      <c r="A1792" s="212">
        <v>45842</v>
      </c>
      <c r="B1792" s="151" t="s">
        <v>63</v>
      </c>
      <c r="C1792" s="140" t="str">
        <f>VLOOKUP(B1792,'112年全品項生產鍋數'!A:H,2,0)</f>
        <v>草莓蒟蒻餡(1*6kg)</v>
      </c>
      <c r="D1792" s="287">
        <v>20</v>
      </c>
      <c r="E1792" s="141">
        <f>VLOOKUP(B1792,'112年全品項生產鍋數'!A:H,3,0)</f>
        <v>6</v>
      </c>
      <c r="F1792" s="142">
        <f>VLOOKUP(B1792,'112年全品項生產鍋數'!A:H,7,0)</f>
        <v>25.7</v>
      </c>
      <c r="G1792" s="143">
        <f t="shared" si="244"/>
        <v>514</v>
      </c>
      <c r="H1792" s="156">
        <f>314+213</f>
        <v>527</v>
      </c>
      <c r="I1792" s="144">
        <f t="shared" si="245"/>
        <v>3162</v>
      </c>
      <c r="J1792" s="100">
        <f t="shared" si="246"/>
        <v>1.0252918287937742</v>
      </c>
      <c r="K1792" s="51">
        <f>VLOOKUP(B:B,'生產達成率(目標)'!A:C,3,0)</f>
        <v>1</v>
      </c>
      <c r="L1792" s="20">
        <f t="shared" si="247"/>
        <v>2.5000000000000001E-2</v>
      </c>
      <c r="M1792" s="137" t="str">
        <f>工時!R976</f>
        <v>295</v>
      </c>
      <c r="N1792" s="144"/>
      <c r="O1792" s="144">
        <f t="shared" si="248"/>
        <v>1</v>
      </c>
      <c r="P1792" s="156">
        <f>313+213</f>
        <v>526</v>
      </c>
      <c r="Q1792" s="145">
        <f t="shared" si="249"/>
        <v>0.99810246679316883</v>
      </c>
      <c r="R1792" s="144"/>
      <c r="S1792" s="153"/>
      <c r="T1792" s="140"/>
      <c r="V1792" s="381"/>
      <c r="W1792" s="421"/>
      <c r="X1792" s="381"/>
      <c r="Y1792" s="421"/>
      <c r="Z1792" s="421"/>
      <c r="AA1792" s="421"/>
      <c r="AB1792" s="421"/>
      <c r="AC1792" s="421"/>
      <c r="AD1792" s="421"/>
    </row>
    <row r="1793" spans="1:30" s="146" customFormat="1" x14ac:dyDescent="0.4">
      <c r="A1793" s="212">
        <v>45842</v>
      </c>
      <c r="B1793" s="151" t="s">
        <v>1060</v>
      </c>
      <c r="C1793" s="140" t="str">
        <f>VLOOKUP(B1793,'112年全品項生產鍋數'!A:H,2,0)</f>
        <v>草莓蔓越莓餡(1*6KG)</v>
      </c>
      <c r="D1793" s="287">
        <v>8</v>
      </c>
      <c r="E1793" s="141">
        <f>VLOOKUP(B1793,'112年全品項生產鍋數'!A:H,3,0)</f>
        <v>6</v>
      </c>
      <c r="F1793" s="142">
        <f>VLOOKUP(B1793,'112年全品項生產鍋數'!A:H,7,0)</f>
        <v>25.2</v>
      </c>
      <c r="G1793" s="143">
        <f t="shared" si="244"/>
        <v>201.6</v>
      </c>
      <c r="H1793" s="156">
        <v>213</v>
      </c>
      <c r="I1793" s="144">
        <f t="shared" si="245"/>
        <v>1278</v>
      </c>
      <c r="J1793" s="100">
        <f t="shared" si="246"/>
        <v>1.0565476190476191</v>
      </c>
      <c r="K1793" s="51" t="e">
        <f>VLOOKUP(B:B,'生產達成率(目標)'!A:C,3,0)</f>
        <v>#N/A</v>
      </c>
      <c r="L1793" s="20" t="e">
        <f t="shared" si="247"/>
        <v>#N/A</v>
      </c>
      <c r="M1793" s="137" t="str">
        <f>工時!R977</f>
        <v>155</v>
      </c>
      <c r="N1793" s="144"/>
      <c r="O1793" s="144">
        <f t="shared" si="248"/>
        <v>2</v>
      </c>
      <c r="P1793" s="156">
        <v>211</v>
      </c>
      <c r="Q1793" s="145">
        <f t="shared" si="249"/>
        <v>0.99061032863849763</v>
      </c>
      <c r="R1793" s="144"/>
      <c r="S1793" s="153">
        <v>30</v>
      </c>
      <c r="T1793" s="140" t="s">
        <v>1081</v>
      </c>
      <c r="V1793" s="381"/>
      <c r="W1793" s="421"/>
      <c r="X1793" s="381"/>
      <c r="Y1793" s="421"/>
      <c r="Z1793" s="421"/>
      <c r="AA1793" s="421"/>
      <c r="AB1793" s="421"/>
      <c r="AC1793" s="421"/>
      <c r="AD1793" s="421"/>
    </row>
    <row r="1794" spans="1:30" s="146" customFormat="1" x14ac:dyDescent="0.4">
      <c r="A1794" s="212">
        <v>45842</v>
      </c>
      <c r="B1794" s="151" t="s">
        <v>76</v>
      </c>
      <c r="C1794" s="140" t="str">
        <f>VLOOKUP(B1794,'112年全品項生產鍋數'!A:H,2,0)</f>
        <v>草莓餡(1*6Kg)</v>
      </c>
      <c r="D1794" s="287">
        <v>12</v>
      </c>
      <c r="E1794" s="141">
        <f>VLOOKUP(B1794,'112年全品項生產鍋數'!A:H,3,0)</f>
        <v>6</v>
      </c>
      <c r="F1794" s="142">
        <f>VLOOKUP(B1794,'112年全品項生產鍋數'!A:H,7,0)</f>
        <v>25.5</v>
      </c>
      <c r="G1794" s="143">
        <f t="shared" si="244"/>
        <v>306</v>
      </c>
      <c r="H1794" s="156">
        <v>302</v>
      </c>
      <c r="I1794" s="144">
        <f t="shared" si="245"/>
        <v>1812</v>
      </c>
      <c r="J1794" s="100">
        <f t="shared" si="246"/>
        <v>0.98692810457516345</v>
      </c>
      <c r="K1794" s="51">
        <f>VLOOKUP(B:B,'生產達成率(目標)'!A:C,3,0)</f>
        <v>1</v>
      </c>
      <c r="L1794" s="20">
        <f t="shared" si="247"/>
        <v>-1.2999999999999999E-2</v>
      </c>
      <c r="M1794" s="137" t="str">
        <f>工時!R978</f>
        <v>175</v>
      </c>
      <c r="N1794" s="144"/>
      <c r="O1794" s="144">
        <f t="shared" si="248"/>
        <v>1</v>
      </c>
      <c r="P1794" s="156">
        <v>301</v>
      </c>
      <c r="Q1794" s="145">
        <f t="shared" si="249"/>
        <v>0.99668874172185429</v>
      </c>
      <c r="R1794" s="144"/>
      <c r="S1794" s="153"/>
      <c r="T1794" s="140"/>
      <c r="V1794" s="381"/>
      <c r="W1794" s="421"/>
      <c r="X1794" s="381"/>
      <c r="Y1794" s="421"/>
      <c r="Z1794" s="421"/>
      <c r="AA1794" s="421"/>
      <c r="AB1794" s="421"/>
      <c r="AC1794" s="421"/>
      <c r="AD1794" s="421"/>
    </row>
    <row r="1795" spans="1:30" s="146" customFormat="1" x14ac:dyDescent="0.4">
      <c r="A1795" s="212">
        <v>45842</v>
      </c>
      <c r="B1795" s="151" t="s">
        <v>65</v>
      </c>
      <c r="C1795" s="140" t="str">
        <f>VLOOKUP(B1795,'112年全品項生產鍋數'!A:H,2,0)</f>
        <v>＃1花生(1*2.8kg)</v>
      </c>
      <c r="D1795" s="287">
        <v>72</v>
      </c>
      <c r="E1795" s="141">
        <f>VLOOKUP(B1795,'112年全品項生產鍋數'!A:H,3,0)</f>
        <v>2.8</v>
      </c>
      <c r="F1795" s="142">
        <f>VLOOKUP(B1795,'112年全品項生產鍋數'!A:H,7,0)</f>
        <v>44.5</v>
      </c>
      <c r="G1795" s="143">
        <f t="shared" si="244"/>
        <v>3204</v>
      </c>
      <c r="H1795" s="156">
        <v>3225</v>
      </c>
      <c r="I1795" s="144">
        <f t="shared" si="245"/>
        <v>9030</v>
      </c>
      <c r="J1795" s="100">
        <f t="shared" si="246"/>
        <v>1.0065543071161049</v>
      </c>
      <c r="K1795" s="51">
        <f>VLOOKUP(B:B,'生產達成率(目標)'!A:C,3,0)</f>
        <v>1</v>
      </c>
      <c r="L1795" s="20">
        <f t="shared" si="247"/>
        <v>7.0000000000000001E-3</v>
      </c>
      <c r="M1795" s="137" t="str">
        <f>工時!R979</f>
        <v>625</v>
      </c>
      <c r="N1795" s="144"/>
      <c r="O1795" s="144">
        <f t="shared" si="248"/>
        <v>1</v>
      </c>
      <c r="P1795" s="156">
        <v>3224</v>
      </c>
      <c r="Q1795" s="145">
        <f t="shared" si="249"/>
        <v>0.99968992248062016</v>
      </c>
      <c r="R1795" s="144"/>
      <c r="S1795" s="153"/>
      <c r="T1795" s="140"/>
      <c r="V1795" s="381"/>
      <c r="W1795" s="421"/>
      <c r="X1795" s="381"/>
      <c r="Y1795" s="421"/>
      <c r="Z1795" s="421"/>
      <c r="AA1795" s="421"/>
      <c r="AB1795" s="421"/>
      <c r="AC1795" s="421"/>
      <c r="AD1795" s="421"/>
    </row>
    <row r="1796" spans="1:30" s="146" customFormat="1" x14ac:dyDescent="0.4">
      <c r="A1796" s="212">
        <v>45845</v>
      </c>
      <c r="B1796" s="151" t="s">
        <v>71</v>
      </c>
      <c r="C1796" s="140" t="str">
        <f>VLOOKUP(B1796,'112年全品項生產鍋數'!A:H,2,0)</f>
        <v>＃1草莓(1*3.2kg)</v>
      </c>
      <c r="D1796" s="287">
        <v>72</v>
      </c>
      <c r="E1796" s="141">
        <f>VLOOKUP(B1796,'112年全品項生產鍋數'!A:H,3,0)</f>
        <v>3.2</v>
      </c>
      <c r="F1796" s="142">
        <f>VLOOKUP(B1796,'112年全品項生產鍋數'!A:H,7,0)</f>
        <v>46.8</v>
      </c>
      <c r="G1796" s="143">
        <f t="shared" ref="G1796:G1842" si="250">D1796*F1796</f>
        <v>3369.6</v>
      </c>
      <c r="H1796" s="156">
        <v>3393</v>
      </c>
      <c r="I1796" s="144">
        <f t="shared" ref="I1796:I1842" si="251">H1796*E1796</f>
        <v>10857.6</v>
      </c>
      <c r="J1796" s="100">
        <f t="shared" ref="J1796:J1842" si="252">IF(G1796=0,"無法預估數據",H1796/G1796)</f>
        <v>1.0069444444444444</v>
      </c>
      <c r="K1796" s="51">
        <f>VLOOKUP(B:B,'生產達成率(目標)'!A:C,3,0)</f>
        <v>1</v>
      </c>
      <c r="L1796" s="20">
        <f t="shared" ref="L1796:L1842" si="253">IF(G1796=0,"無法預估數據",ROUND(J1796-K1796,3))</f>
        <v>7.0000000000000001E-3</v>
      </c>
      <c r="M1796" s="137" t="str">
        <f>工時!R980</f>
        <v>540</v>
      </c>
      <c r="N1796" s="144"/>
      <c r="O1796" s="144">
        <f t="shared" ref="O1796:O1842" si="254">H1796-N1796-P1796</f>
        <v>4</v>
      </c>
      <c r="P1796" s="156">
        <v>3389</v>
      </c>
      <c r="Q1796" s="145">
        <f t="shared" ref="Q1796:Q1842" si="255">P1796/H1796</f>
        <v>0.99882110226937815</v>
      </c>
      <c r="R1796" s="144"/>
      <c r="S1796" s="153"/>
      <c r="T1796" s="140"/>
      <c r="V1796" s="381"/>
      <c r="W1796" s="421"/>
      <c r="X1796" s="381"/>
      <c r="Y1796" s="421"/>
      <c r="Z1796" s="421"/>
      <c r="AA1796" s="421"/>
      <c r="AB1796" s="421"/>
      <c r="AC1796" s="421"/>
      <c r="AD1796" s="421"/>
    </row>
    <row r="1797" spans="1:30" s="146" customFormat="1" x14ac:dyDescent="0.4">
      <c r="A1797" s="212">
        <v>45845</v>
      </c>
      <c r="B1797" s="151" t="s">
        <v>63</v>
      </c>
      <c r="C1797" s="140" t="str">
        <f>VLOOKUP(B1797,'112年全品項生產鍋數'!A:H,2,0)</f>
        <v>草莓蒟蒻餡(1*6kg)</v>
      </c>
      <c r="D1797" s="287">
        <v>20</v>
      </c>
      <c r="E1797" s="141">
        <f>VLOOKUP(B1797,'112年全品項生產鍋數'!A:H,3,0)</f>
        <v>6</v>
      </c>
      <c r="F1797" s="142">
        <f>VLOOKUP(B1797,'112年全品項生產鍋數'!A:H,7,0)</f>
        <v>25.7</v>
      </c>
      <c r="G1797" s="143">
        <f t="shared" si="250"/>
        <v>514</v>
      </c>
      <c r="H1797" s="156">
        <f>310+209</f>
        <v>519</v>
      </c>
      <c r="I1797" s="144">
        <f t="shared" si="251"/>
        <v>3114</v>
      </c>
      <c r="J1797" s="100">
        <f t="shared" si="252"/>
        <v>1.0097276264591439</v>
      </c>
      <c r="K1797" s="51">
        <f>VLOOKUP(B:B,'生產達成率(目標)'!A:C,3,0)</f>
        <v>1</v>
      </c>
      <c r="L1797" s="20">
        <f t="shared" si="253"/>
        <v>0.01</v>
      </c>
      <c r="M1797" s="137" t="str">
        <f>工時!R981</f>
        <v>270</v>
      </c>
      <c r="N1797" s="144"/>
      <c r="O1797" s="144">
        <f t="shared" si="254"/>
        <v>1</v>
      </c>
      <c r="P1797" s="156">
        <f>309+209</f>
        <v>518</v>
      </c>
      <c r="Q1797" s="145">
        <f t="shared" si="255"/>
        <v>0.9980732177263969</v>
      </c>
      <c r="R1797" s="144"/>
      <c r="S1797" s="153"/>
      <c r="T1797" s="140"/>
      <c r="V1797" s="381"/>
      <c r="W1797" s="421"/>
      <c r="X1797" s="381"/>
      <c r="Y1797" s="421"/>
      <c r="Z1797" s="421"/>
      <c r="AA1797" s="421"/>
      <c r="AB1797" s="421"/>
      <c r="AC1797" s="421"/>
      <c r="AD1797" s="421"/>
    </row>
    <row r="1798" spans="1:30" s="146" customFormat="1" x14ac:dyDescent="0.4">
      <c r="A1798" s="212">
        <v>45845</v>
      </c>
      <c r="B1798" s="151" t="s">
        <v>997</v>
      </c>
      <c r="C1798" s="140" t="str">
        <f>VLOOKUP(B1798,'112年全品項生產鍋數'!A:H,2,0)</f>
        <v>蜜桃餡(1*6Kg)</v>
      </c>
      <c r="D1798" s="287">
        <v>8</v>
      </c>
      <c r="E1798" s="141">
        <f>VLOOKUP(B1798,'112年全品項生產鍋數'!A:H,3,0)</f>
        <v>6</v>
      </c>
      <c r="F1798" s="142">
        <f>VLOOKUP(B1798,'112年全品項生產鍋數'!A:H,7,0)</f>
        <v>25.8</v>
      </c>
      <c r="G1798" s="143">
        <f t="shared" si="250"/>
        <v>206.4</v>
      </c>
      <c r="H1798" s="156">
        <v>207</v>
      </c>
      <c r="I1798" s="144">
        <f t="shared" si="251"/>
        <v>1242</v>
      </c>
      <c r="J1798" s="100">
        <f t="shared" si="252"/>
        <v>1.0029069767441861</v>
      </c>
      <c r="K1798" s="51" t="e">
        <f>VLOOKUP(B:B,'生產達成率(目標)'!A:C,3,0)</f>
        <v>#N/A</v>
      </c>
      <c r="L1798" s="20" t="e">
        <f t="shared" si="253"/>
        <v>#N/A</v>
      </c>
      <c r="M1798" s="137" t="str">
        <f>工時!R982</f>
        <v>160</v>
      </c>
      <c r="N1798" s="144"/>
      <c r="O1798" s="144">
        <f t="shared" si="254"/>
        <v>1</v>
      </c>
      <c r="P1798" s="156">
        <v>206</v>
      </c>
      <c r="Q1798" s="145">
        <f t="shared" si="255"/>
        <v>0.99516908212560384</v>
      </c>
      <c r="R1798" s="144"/>
      <c r="S1798" s="153">
        <v>180</v>
      </c>
      <c r="T1798" s="30" t="s">
        <v>1100</v>
      </c>
      <c r="V1798" s="381"/>
      <c r="W1798" s="421"/>
      <c r="X1798" s="381"/>
      <c r="Y1798" s="421"/>
      <c r="Z1798" s="421"/>
      <c r="AA1798" s="421"/>
      <c r="AB1798" s="421"/>
      <c r="AC1798" s="421"/>
      <c r="AD1798" s="421"/>
    </row>
    <row r="1799" spans="1:30" s="146" customFormat="1" x14ac:dyDescent="0.4">
      <c r="A1799" s="212">
        <v>45845</v>
      </c>
      <c r="B1799" s="151" t="s">
        <v>53</v>
      </c>
      <c r="C1799" s="140" t="str">
        <f>VLOOKUP(B1799,'112年全品項生產鍋數'!A:H,2,0)</f>
        <v>鳳梨芒果百香果醬(1*6KG)</v>
      </c>
      <c r="D1799" s="287">
        <v>12</v>
      </c>
      <c r="E1799" s="141">
        <f>VLOOKUP(B1799,'112年全品項生產鍋數'!A:H,3,0)</f>
        <v>6</v>
      </c>
      <c r="F1799" s="142">
        <f>VLOOKUP(B1799,'112年全品項生產鍋數'!A:H,7,0)</f>
        <v>25.7</v>
      </c>
      <c r="G1799" s="143">
        <f t="shared" si="250"/>
        <v>308.39999999999998</v>
      </c>
      <c r="H1799" s="156">
        <v>303</v>
      </c>
      <c r="I1799" s="144">
        <f t="shared" si="251"/>
        <v>1818</v>
      </c>
      <c r="J1799" s="100">
        <f t="shared" si="252"/>
        <v>0.98249027237354092</v>
      </c>
      <c r="K1799" s="51">
        <f>VLOOKUP(B:B,'生產達成率(目標)'!A:C,3,0)</f>
        <v>1</v>
      </c>
      <c r="L1799" s="20">
        <f t="shared" si="253"/>
        <v>-1.7999999999999999E-2</v>
      </c>
      <c r="M1799" s="137" t="str">
        <f>工時!R983</f>
        <v>210</v>
      </c>
      <c r="N1799" s="144"/>
      <c r="O1799" s="144">
        <f t="shared" si="254"/>
        <v>1</v>
      </c>
      <c r="P1799" s="156">
        <v>302</v>
      </c>
      <c r="Q1799" s="145">
        <f t="shared" si="255"/>
        <v>0.99669966996699666</v>
      </c>
      <c r="R1799" s="144"/>
      <c r="S1799" s="153"/>
      <c r="T1799" s="140"/>
      <c r="V1799" s="381"/>
      <c r="W1799" s="421"/>
      <c r="X1799" s="381"/>
      <c r="Y1799" s="421"/>
      <c r="Z1799" s="421"/>
      <c r="AA1799" s="421"/>
      <c r="AB1799" s="421"/>
      <c r="AC1799" s="421"/>
      <c r="AD1799" s="421"/>
    </row>
    <row r="1800" spans="1:30" s="146" customFormat="1" x14ac:dyDescent="0.4">
      <c r="A1800" s="212">
        <v>45845</v>
      </c>
      <c r="B1800" s="151" t="s">
        <v>66</v>
      </c>
      <c r="C1800" s="140" t="str">
        <f>VLOOKUP(B1800,'112年全品項生產鍋數'!A:H,2,0)</f>
        <v>＃2花生(1*800g)</v>
      </c>
      <c r="D1800" s="287">
        <v>20</v>
      </c>
      <c r="E1800" s="141">
        <f>VLOOKUP(B1800,'112年全品項生產鍋數'!A:H,3,0)</f>
        <v>0.8</v>
      </c>
      <c r="F1800" s="142">
        <f>VLOOKUP(B1800,'112年全品項生產鍋數'!A:H,7,0)</f>
        <v>157.69999999999999</v>
      </c>
      <c r="G1800" s="143">
        <f t="shared" si="250"/>
        <v>3154</v>
      </c>
      <c r="H1800" s="156">
        <v>3162</v>
      </c>
      <c r="I1800" s="144">
        <f t="shared" si="251"/>
        <v>2529.6000000000004</v>
      </c>
      <c r="J1800" s="100">
        <f t="shared" si="252"/>
        <v>1.0025364616360177</v>
      </c>
      <c r="K1800" s="51">
        <f>VLOOKUP(B:B,'生產達成率(目標)'!A:C,3,0)</f>
        <v>1</v>
      </c>
      <c r="L1800" s="20">
        <f t="shared" si="253"/>
        <v>3.0000000000000001E-3</v>
      </c>
      <c r="M1800" s="137" t="str">
        <f>工時!R984</f>
        <v>310</v>
      </c>
      <c r="N1800" s="144"/>
      <c r="O1800" s="144">
        <f t="shared" si="254"/>
        <v>2</v>
      </c>
      <c r="P1800" s="156">
        <v>3160</v>
      </c>
      <c r="Q1800" s="145">
        <f t="shared" si="255"/>
        <v>0.99936748893105631</v>
      </c>
      <c r="R1800" s="144"/>
      <c r="S1800" s="153"/>
      <c r="T1800" s="140"/>
      <c r="V1800" s="381"/>
      <c r="W1800" s="421"/>
      <c r="X1800" s="381"/>
      <c r="Y1800" s="421"/>
      <c r="Z1800" s="421"/>
      <c r="AA1800" s="421"/>
      <c r="AB1800" s="421"/>
      <c r="AC1800" s="421"/>
      <c r="AD1800" s="421"/>
    </row>
    <row r="1801" spans="1:30" s="146" customFormat="1" x14ac:dyDescent="0.4">
      <c r="A1801" s="212">
        <v>45845</v>
      </c>
      <c r="B1801" s="151" t="s">
        <v>123</v>
      </c>
      <c r="C1801" s="140" t="str">
        <f>VLOOKUP(B1801,'112年全品項生產鍋數'!A:H,2,0)</f>
        <v>深烤焙花生醬(1*18KG)</v>
      </c>
      <c r="D1801" s="287">
        <v>28</v>
      </c>
      <c r="E1801" s="141">
        <f>VLOOKUP(B1801,'112年全品項生產鍋數'!A:H,3,0)</f>
        <v>18</v>
      </c>
      <c r="F1801" s="142">
        <f>VLOOKUP(B1801,'112年全品項生產鍋數'!A:H,7,0)</f>
        <v>6.9</v>
      </c>
      <c r="G1801" s="143">
        <f t="shared" si="250"/>
        <v>193.20000000000002</v>
      </c>
      <c r="H1801" s="156">
        <v>193</v>
      </c>
      <c r="I1801" s="144">
        <f t="shared" si="251"/>
        <v>3474</v>
      </c>
      <c r="J1801" s="100">
        <f t="shared" si="252"/>
        <v>0.99896480331262927</v>
      </c>
      <c r="K1801" s="51">
        <f>VLOOKUP(B:B,'生產達成率(目標)'!A:C,3,0)</f>
        <v>1</v>
      </c>
      <c r="L1801" s="20">
        <f t="shared" si="253"/>
        <v>-1E-3</v>
      </c>
      <c r="M1801" s="137" t="str">
        <f>工時!R985</f>
        <v>295</v>
      </c>
      <c r="N1801" s="144"/>
      <c r="O1801" s="144">
        <f t="shared" si="254"/>
        <v>0</v>
      </c>
      <c r="P1801" s="156">
        <v>193</v>
      </c>
      <c r="Q1801" s="145">
        <f t="shared" si="255"/>
        <v>1</v>
      </c>
      <c r="R1801" s="144"/>
      <c r="S1801" s="153"/>
      <c r="T1801" s="140"/>
      <c r="V1801" s="381"/>
      <c r="W1801" s="421"/>
      <c r="X1801" s="381"/>
      <c r="Y1801" s="421"/>
      <c r="Z1801" s="421"/>
      <c r="AA1801" s="421"/>
      <c r="AB1801" s="421"/>
      <c r="AC1801" s="421"/>
      <c r="AD1801" s="421"/>
    </row>
    <row r="1802" spans="1:30" s="146" customFormat="1" ht="15.75" customHeight="1" x14ac:dyDescent="0.4">
      <c r="A1802" s="212">
        <v>45845</v>
      </c>
      <c r="B1802" s="151">
        <v>153010</v>
      </c>
      <c r="C1802" s="140" t="str">
        <f>VLOOKUP(B1802,'112年全品項生產鍋數'!A:H,2,0)</f>
        <v>蜜桔皮6m/m</v>
      </c>
      <c r="D1802" s="287">
        <v>1</v>
      </c>
      <c r="E1802" s="141">
        <f>VLOOKUP(B1802,'112年全品項生產鍋數'!A:H,3,0)</f>
        <v>1</v>
      </c>
      <c r="F1802" s="142">
        <f>VLOOKUP(B1802,'112年全品項生產鍋數'!A:H,7,0)</f>
        <v>591</v>
      </c>
      <c r="G1802" s="143">
        <f t="shared" si="250"/>
        <v>591</v>
      </c>
      <c r="H1802" s="156">
        <v>552</v>
      </c>
      <c r="I1802" s="144">
        <f t="shared" si="251"/>
        <v>552</v>
      </c>
      <c r="J1802" s="100">
        <f t="shared" si="252"/>
        <v>0.93401015228426398</v>
      </c>
      <c r="K1802" s="51">
        <f>VLOOKUP(B:B,'生產達成率(目標)'!A:C,3,0)</f>
        <v>1</v>
      </c>
      <c r="L1802" s="20">
        <f t="shared" si="253"/>
        <v>-6.6000000000000003E-2</v>
      </c>
      <c r="M1802" s="137" t="str">
        <f>工時!R986</f>
        <v>0</v>
      </c>
      <c r="N1802" s="144"/>
      <c r="O1802" s="144">
        <f t="shared" si="254"/>
        <v>0</v>
      </c>
      <c r="P1802" s="156">
        <v>552</v>
      </c>
      <c r="Q1802" s="145">
        <f t="shared" si="255"/>
        <v>1</v>
      </c>
      <c r="R1802" s="144"/>
      <c r="S1802" s="153"/>
      <c r="T1802" s="140"/>
      <c r="V1802" s="381"/>
      <c r="W1802" s="421"/>
      <c r="X1802" s="381"/>
      <c r="Y1802" s="421"/>
      <c r="Z1802" s="421"/>
      <c r="AA1802" s="421"/>
      <c r="AB1802" s="421"/>
      <c r="AC1802" s="421"/>
      <c r="AD1802" s="421"/>
    </row>
    <row r="1803" spans="1:30" s="146" customFormat="1" x14ac:dyDescent="0.4">
      <c r="A1803" s="212">
        <v>45846</v>
      </c>
      <c r="B1803" s="151" t="s">
        <v>1062</v>
      </c>
      <c r="C1803" s="140" t="str">
        <f>VLOOKUP(B1803,'112年全品項生產鍋數'!A:H,2,0)</f>
        <v>上好佳芒果餡(大)4.5KG</v>
      </c>
      <c r="D1803" s="287">
        <v>12</v>
      </c>
      <c r="E1803" s="141">
        <f>VLOOKUP(B1803,'112年全品項生產鍋數'!A:H,3,0)</f>
        <v>4.5</v>
      </c>
      <c r="F1803" s="142">
        <f>VLOOKUP(B1803,'112年全品項生產鍋數'!A:H,7,0)</f>
        <v>33.200000000000003</v>
      </c>
      <c r="G1803" s="143">
        <f t="shared" si="250"/>
        <v>398.40000000000003</v>
      </c>
      <c r="H1803" s="156">
        <v>402</v>
      </c>
      <c r="I1803" s="144">
        <f t="shared" si="251"/>
        <v>1809</v>
      </c>
      <c r="J1803" s="100">
        <f t="shared" si="252"/>
        <v>1.0090361445783131</v>
      </c>
      <c r="K1803" s="51" t="e">
        <f>VLOOKUP(B:B,'生產達成率(目標)'!A:C,3,0)</f>
        <v>#N/A</v>
      </c>
      <c r="L1803" s="20" t="e">
        <f t="shared" si="253"/>
        <v>#N/A</v>
      </c>
      <c r="M1803" s="137" t="str">
        <f>工時!R987</f>
        <v>210</v>
      </c>
      <c r="N1803" s="144"/>
      <c r="O1803" s="144">
        <f t="shared" si="254"/>
        <v>0</v>
      </c>
      <c r="P1803" s="156">
        <v>402</v>
      </c>
      <c r="Q1803" s="145">
        <f t="shared" si="255"/>
        <v>1</v>
      </c>
      <c r="R1803" s="144"/>
      <c r="S1803" s="153"/>
      <c r="T1803" s="140"/>
      <c r="V1803" s="381"/>
      <c r="W1803" s="421"/>
      <c r="X1803" s="381"/>
      <c r="Y1803" s="421"/>
      <c r="Z1803" s="421"/>
      <c r="AA1803" s="421"/>
      <c r="AB1803" s="421"/>
      <c r="AC1803" s="421"/>
      <c r="AD1803" s="421"/>
    </row>
    <row r="1804" spans="1:30" s="146" customFormat="1" x14ac:dyDescent="0.4">
      <c r="A1804" s="212">
        <v>45846</v>
      </c>
      <c r="B1804" s="151" t="s">
        <v>548</v>
      </c>
      <c r="C1804" s="140" t="str">
        <f>VLOOKUP(B1804,'112年全品項生產鍋數'!A:H,2,0)</f>
        <v>天天開心芒果餡4.5KG</v>
      </c>
      <c r="D1804" s="287">
        <v>8</v>
      </c>
      <c r="E1804" s="141">
        <f>VLOOKUP(B1804,'112年全品項生產鍋數'!A:H,3,0)</f>
        <v>4.5</v>
      </c>
      <c r="F1804" s="142">
        <f>VLOOKUP(B1804,'112年全品項生產鍋數'!A:H,7,0)</f>
        <v>33.200000000000003</v>
      </c>
      <c r="G1804" s="143">
        <f t="shared" si="250"/>
        <v>265.60000000000002</v>
      </c>
      <c r="H1804" s="156">
        <v>275</v>
      </c>
      <c r="I1804" s="144">
        <f t="shared" si="251"/>
        <v>1237.5</v>
      </c>
      <c r="J1804" s="100">
        <f t="shared" si="252"/>
        <v>1.0353915662650601</v>
      </c>
      <c r="K1804" s="51">
        <f>VLOOKUP(B:B,'生產達成率(目標)'!A:C,3,0)</f>
        <v>1</v>
      </c>
      <c r="L1804" s="20">
        <f t="shared" si="253"/>
        <v>3.5000000000000003E-2</v>
      </c>
      <c r="M1804" s="137" t="str">
        <f>工時!R988</f>
        <v>195</v>
      </c>
      <c r="N1804" s="144"/>
      <c r="O1804" s="144">
        <f t="shared" si="254"/>
        <v>0</v>
      </c>
      <c r="P1804" s="156">
        <v>275</v>
      </c>
      <c r="Q1804" s="145">
        <f t="shared" si="255"/>
        <v>1</v>
      </c>
      <c r="R1804" s="144"/>
      <c r="S1804" s="153"/>
      <c r="T1804" s="140"/>
      <c r="V1804" s="381"/>
      <c r="W1804" s="421"/>
      <c r="X1804" s="381"/>
      <c r="Y1804" s="421"/>
      <c r="Z1804" s="421"/>
      <c r="AA1804" s="421"/>
      <c r="AB1804" s="421"/>
      <c r="AC1804" s="421"/>
      <c r="AD1804" s="421"/>
    </row>
    <row r="1805" spans="1:30" s="146" customFormat="1" x14ac:dyDescent="0.4">
      <c r="A1805" s="212">
        <v>45846</v>
      </c>
      <c r="B1805" s="151" t="s">
        <v>63</v>
      </c>
      <c r="C1805" s="140" t="str">
        <f>VLOOKUP(B1805,'112年全品項生產鍋數'!A:H,2,0)</f>
        <v>草莓蒟蒻餡(1*6kg)</v>
      </c>
      <c r="D1805" s="287">
        <v>16</v>
      </c>
      <c r="E1805" s="141">
        <f>VLOOKUP(B1805,'112年全品項生產鍋數'!A:H,3,0)</f>
        <v>6</v>
      </c>
      <c r="F1805" s="142">
        <f>VLOOKUP(B1805,'112年全品項生產鍋數'!A:H,7,0)</f>
        <v>25.7</v>
      </c>
      <c r="G1805" s="143">
        <f t="shared" si="250"/>
        <v>411.2</v>
      </c>
      <c r="H1805" s="156">
        <f>199+217</f>
        <v>416</v>
      </c>
      <c r="I1805" s="144">
        <f t="shared" si="251"/>
        <v>2496</v>
      </c>
      <c r="J1805" s="100">
        <f t="shared" si="252"/>
        <v>1.0116731517509727</v>
      </c>
      <c r="K1805" s="51">
        <f>VLOOKUP(B:B,'生產達成率(目標)'!A:C,3,0)</f>
        <v>1</v>
      </c>
      <c r="L1805" s="20">
        <f t="shared" si="253"/>
        <v>1.2E-2</v>
      </c>
      <c r="M1805" s="137" t="str">
        <f>工時!R989</f>
        <v>270</v>
      </c>
      <c r="N1805" s="144"/>
      <c r="O1805" s="144">
        <f t="shared" si="254"/>
        <v>1</v>
      </c>
      <c r="P1805" s="156">
        <f>198+217</f>
        <v>415</v>
      </c>
      <c r="Q1805" s="145">
        <f t="shared" si="255"/>
        <v>0.99759615384615385</v>
      </c>
      <c r="R1805" s="144"/>
      <c r="S1805" s="153"/>
      <c r="T1805" s="140"/>
      <c r="V1805" s="381"/>
      <c r="W1805" s="421"/>
      <c r="X1805" s="381"/>
      <c r="Y1805" s="421"/>
      <c r="Z1805" s="421"/>
      <c r="AA1805" s="421"/>
      <c r="AB1805" s="421"/>
      <c r="AC1805" s="421"/>
      <c r="AD1805" s="421"/>
    </row>
    <row r="1806" spans="1:30" s="146" customFormat="1" x14ac:dyDescent="0.4">
      <c r="A1806" s="212">
        <v>45846</v>
      </c>
      <c r="B1806" s="151" t="s">
        <v>108</v>
      </c>
      <c r="C1806" s="140" t="str">
        <f>VLOOKUP(B1806,'112年全品項生產鍋數'!A:H,2,0)</f>
        <v>顆粒花生醬(1*12KG)</v>
      </c>
      <c r="D1806" s="287">
        <v>21</v>
      </c>
      <c r="E1806" s="141">
        <f>VLOOKUP(B1806,'112年全品項生產鍋數'!A:H,3,0)</f>
        <v>3</v>
      </c>
      <c r="F1806" s="142">
        <f>VLOOKUP(B1806,'112年全品項生產鍋數'!A:H,7,0)</f>
        <v>31.6</v>
      </c>
      <c r="G1806" s="143">
        <f t="shared" si="250"/>
        <v>663.6</v>
      </c>
      <c r="H1806" s="156">
        <v>668</v>
      </c>
      <c r="I1806" s="144">
        <f t="shared" si="251"/>
        <v>2004</v>
      </c>
      <c r="J1806" s="100">
        <f t="shared" si="252"/>
        <v>1.0066305003013862</v>
      </c>
      <c r="K1806" s="51">
        <f>VLOOKUP(B:B,'生產達成率(目標)'!A:C,3,0)</f>
        <v>1</v>
      </c>
      <c r="L1806" s="20">
        <f t="shared" si="253"/>
        <v>7.0000000000000001E-3</v>
      </c>
      <c r="M1806" s="137" t="str">
        <f>工時!R990</f>
        <v>540</v>
      </c>
      <c r="N1806" s="144"/>
      <c r="O1806" s="144">
        <f t="shared" si="254"/>
        <v>0</v>
      </c>
      <c r="P1806" s="156">
        <v>668</v>
      </c>
      <c r="Q1806" s="145">
        <f t="shared" si="255"/>
        <v>1</v>
      </c>
      <c r="R1806" s="144"/>
      <c r="S1806" s="153"/>
      <c r="T1806" s="140"/>
      <c r="V1806" s="381"/>
      <c r="W1806" s="421"/>
      <c r="X1806" s="381"/>
      <c r="Y1806" s="421"/>
      <c r="Z1806" s="421"/>
      <c r="AA1806" s="421"/>
      <c r="AB1806" s="421"/>
      <c r="AC1806" s="421"/>
      <c r="AD1806" s="421"/>
    </row>
    <row r="1807" spans="1:30" s="146" customFormat="1" x14ac:dyDescent="0.4">
      <c r="A1807" s="212">
        <v>45846</v>
      </c>
      <c r="B1807" s="151" t="s">
        <v>65</v>
      </c>
      <c r="C1807" s="140" t="str">
        <f>VLOOKUP(B1807,'112年全品項生產鍋數'!A:H,2,0)</f>
        <v>＃1花生(1*2.8kg)</v>
      </c>
      <c r="D1807" s="287">
        <v>72</v>
      </c>
      <c r="E1807" s="141">
        <f>VLOOKUP(B1807,'112年全品項生產鍋數'!A:H,3,0)</f>
        <v>2.8</v>
      </c>
      <c r="F1807" s="142">
        <f>VLOOKUP(B1807,'112年全品項生產鍋數'!A:H,7,0)</f>
        <v>44.5</v>
      </c>
      <c r="G1807" s="143">
        <f t="shared" si="250"/>
        <v>3204</v>
      </c>
      <c r="H1807" s="156">
        <v>2989</v>
      </c>
      <c r="I1807" s="144">
        <f t="shared" si="251"/>
        <v>8369.1999999999989</v>
      </c>
      <c r="J1807" s="100">
        <f t="shared" si="252"/>
        <v>0.93289637952559301</v>
      </c>
      <c r="K1807" s="51">
        <f>VLOOKUP(B:B,'生產達成率(目標)'!A:C,3,0)</f>
        <v>1</v>
      </c>
      <c r="L1807" s="20">
        <f t="shared" si="253"/>
        <v>-6.7000000000000004E-2</v>
      </c>
      <c r="M1807" s="137" t="str">
        <f>工時!R991</f>
        <v>555</v>
      </c>
      <c r="N1807" s="144"/>
      <c r="O1807" s="144">
        <f t="shared" si="254"/>
        <v>1</v>
      </c>
      <c r="P1807" s="156">
        <v>2988</v>
      </c>
      <c r="Q1807" s="145">
        <f t="shared" si="255"/>
        <v>0.99966543994647039</v>
      </c>
      <c r="R1807" s="144"/>
      <c r="S1807" s="153"/>
      <c r="T1807" s="140" t="s">
        <v>1077</v>
      </c>
      <c r="V1807" s="381"/>
      <c r="W1807" s="421"/>
      <c r="X1807" s="381"/>
      <c r="Y1807" s="421"/>
      <c r="Z1807" s="421"/>
      <c r="AA1807" s="421"/>
      <c r="AB1807" s="421"/>
      <c r="AC1807" s="421"/>
      <c r="AD1807" s="421"/>
    </row>
    <row r="1808" spans="1:30" s="146" customFormat="1" x14ac:dyDescent="0.4">
      <c r="A1808" s="212">
        <v>45847</v>
      </c>
      <c r="B1808" s="151" t="s">
        <v>68</v>
      </c>
      <c r="C1808" s="140" t="str">
        <f>VLOOKUP(B1808,'112年全品項生產鍋數'!A:H,2,0)</f>
        <v>#2草莓果醬(1*900g)</v>
      </c>
      <c r="D1808" s="287">
        <v>20</v>
      </c>
      <c r="E1808" s="141">
        <f>VLOOKUP(B1808,'112年全品項生產鍋數'!A:H,3,0)</f>
        <v>0.9</v>
      </c>
      <c r="F1808" s="142">
        <f>VLOOKUP(B1808,'112年全品項生產鍋數'!A:H,7,0)</f>
        <v>160.5</v>
      </c>
      <c r="G1808" s="143">
        <f t="shared" si="250"/>
        <v>3210</v>
      </c>
      <c r="H1808" s="156">
        <v>3208</v>
      </c>
      <c r="I1808" s="144">
        <f t="shared" si="251"/>
        <v>2887.2000000000003</v>
      </c>
      <c r="J1808" s="100">
        <f t="shared" si="252"/>
        <v>0.9993769470404984</v>
      </c>
      <c r="K1808" s="51">
        <f>VLOOKUP(B:B,'生產達成率(目標)'!A:C,3,0)</f>
        <v>1</v>
      </c>
      <c r="L1808" s="20">
        <f t="shared" si="253"/>
        <v>-1E-3</v>
      </c>
      <c r="M1808" s="137" t="str">
        <f>工時!R992</f>
        <v>330</v>
      </c>
      <c r="N1808" s="144"/>
      <c r="O1808" s="144">
        <f t="shared" si="254"/>
        <v>3</v>
      </c>
      <c r="P1808" s="156">
        <v>3205</v>
      </c>
      <c r="Q1808" s="145">
        <f t="shared" si="255"/>
        <v>0.99906483790523692</v>
      </c>
      <c r="R1808" s="144"/>
      <c r="S1808" s="153"/>
      <c r="T1808" s="140"/>
      <c r="V1808" s="381"/>
      <c r="W1808" s="421"/>
      <c r="X1808" s="381"/>
      <c r="Y1808" s="421"/>
      <c r="Z1808" s="421"/>
      <c r="AA1808" s="421"/>
      <c r="AB1808" s="421"/>
      <c r="AC1808" s="421"/>
      <c r="AD1808" s="421"/>
    </row>
    <row r="1809" spans="1:30" s="146" customFormat="1" x14ac:dyDescent="0.4">
      <c r="A1809" s="212">
        <v>45847</v>
      </c>
      <c r="B1809" s="151" t="s">
        <v>106</v>
      </c>
      <c r="C1809" s="140" t="str">
        <f>VLOOKUP(B1809,'112年全品項生產鍋數'!A:H,2,0)</f>
        <v>小藍莓1*260G</v>
      </c>
      <c r="D1809" s="287">
        <v>16</v>
      </c>
      <c r="E1809" s="141">
        <f>VLOOKUP(B1809,'112年全品項生產鍋數'!A:H,3,0)</f>
        <v>0.26</v>
      </c>
      <c r="F1809" s="142">
        <f>VLOOKUP(B1809,'112年全品項生產鍋數'!A:H,7,0)</f>
        <v>584.29999999999995</v>
      </c>
      <c r="G1809" s="143">
        <f t="shared" si="250"/>
        <v>9348.7999999999993</v>
      </c>
      <c r="H1809" s="156">
        <v>9420</v>
      </c>
      <c r="I1809" s="144">
        <f t="shared" si="251"/>
        <v>2449.2000000000003</v>
      </c>
      <c r="J1809" s="100">
        <f t="shared" si="252"/>
        <v>1.0076159507102516</v>
      </c>
      <c r="K1809" s="51">
        <f>VLOOKUP(B:B,'生產達成率(目標)'!A:C,3,0)</f>
        <v>1</v>
      </c>
      <c r="L1809" s="20">
        <f t="shared" si="253"/>
        <v>8.0000000000000002E-3</v>
      </c>
      <c r="M1809" s="137" t="str">
        <f>工時!R993</f>
        <v>240</v>
      </c>
      <c r="N1809" s="144"/>
      <c r="O1809" s="144">
        <f t="shared" si="254"/>
        <v>35</v>
      </c>
      <c r="P1809" s="156">
        <v>9385</v>
      </c>
      <c r="Q1809" s="145">
        <f t="shared" si="255"/>
        <v>0.99628450106157107</v>
      </c>
      <c r="R1809" s="144"/>
      <c r="S1809" s="153"/>
      <c r="T1809" s="140"/>
      <c r="V1809" s="381"/>
      <c r="W1809" s="421"/>
      <c r="X1809" s="381"/>
      <c r="Y1809" s="421"/>
      <c r="Z1809" s="421"/>
      <c r="AA1809" s="421"/>
      <c r="AB1809" s="421"/>
      <c r="AC1809" s="421"/>
      <c r="AD1809" s="421"/>
    </row>
    <row r="1810" spans="1:30" s="146" customFormat="1" x14ac:dyDescent="0.4">
      <c r="A1810" s="212">
        <v>45847</v>
      </c>
      <c r="B1810" s="151" t="s">
        <v>1088</v>
      </c>
      <c r="C1810" s="140" t="str">
        <f>VLOOKUP(B1810,'112年全品項生產鍋數'!A:H,2,0)</f>
        <v>糖蜜桔皮(1*3KG)</v>
      </c>
      <c r="D1810" s="287">
        <v>4</v>
      </c>
      <c r="E1810" s="141">
        <f>VLOOKUP(B1810,'112年全品項生產鍋數'!A:H,3,0)</f>
        <v>3</v>
      </c>
      <c r="F1810" s="142">
        <f>VLOOKUP(B1810,'112年全品項生產鍋數'!A:H,7,0)</f>
        <v>0</v>
      </c>
      <c r="G1810" s="143">
        <f t="shared" si="250"/>
        <v>0</v>
      </c>
      <c r="H1810" s="156">
        <v>146</v>
      </c>
      <c r="I1810" s="144">
        <f t="shared" si="251"/>
        <v>438</v>
      </c>
      <c r="J1810" s="100" t="str">
        <f t="shared" si="252"/>
        <v>無法預估數據</v>
      </c>
      <c r="K1810" s="51">
        <f>VLOOKUP(B:B,'生產達成率(目標)'!A:C,3,0)</f>
        <v>1</v>
      </c>
      <c r="L1810" s="20" t="str">
        <f t="shared" si="253"/>
        <v>無法預估數據</v>
      </c>
      <c r="M1810" s="137" t="str">
        <f>工時!R994</f>
        <v>360</v>
      </c>
      <c r="N1810" s="144"/>
      <c r="O1810" s="144">
        <f t="shared" si="254"/>
        <v>0</v>
      </c>
      <c r="P1810" s="156">
        <v>146</v>
      </c>
      <c r="Q1810" s="145">
        <f t="shared" si="255"/>
        <v>1</v>
      </c>
      <c r="R1810" s="144"/>
      <c r="S1810" s="153"/>
      <c r="T1810" s="140"/>
      <c r="V1810" s="381"/>
      <c r="W1810" s="421"/>
      <c r="X1810" s="381"/>
      <c r="Y1810" s="421"/>
      <c r="Z1810" s="421"/>
      <c r="AA1810" s="421"/>
      <c r="AB1810" s="421"/>
      <c r="AC1810" s="421"/>
      <c r="AD1810" s="421"/>
    </row>
    <row r="1811" spans="1:30" x14ac:dyDescent="0.4">
      <c r="A1811" s="210">
        <v>45847</v>
      </c>
      <c r="B1811" s="151" t="s">
        <v>65</v>
      </c>
      <c r="C1811" s="30" t="str">
        <f>VLOOKUP(B1811,'112年全品項生產鍋數'!A:H,2,0)</f>
        <v>＃1花生(1*2.8kg)</v>
      </c>
      <c r="D1811" s="287">
        <v>72</v>
      </c>
      <c r="E1811" s="48">
        <f>VLOOKUP(B1811,'112年全品項生產鍋數'!A:H,3,0)</f>
        <v>2.8</v>
      </c>
      <c r="F1811" s="142">
        <f>VLOOKUP(B1811,'112年全品項生產鍋數'!A:H,7,0)</f>
        <v>44.5</v>
      </c>
      <c r="G1811" s="143">
        <f t="shared" si="250"/>
        <v>3204</v>
      </c>
      <c r="H1811" s="156">
        <v>3213</v>
      </c>
      <c r="I1811" s="23">
        <f t="shared" si="251"/>
        <v>8996.4</v>
      </c>
      <c r="J1811" s="100">
        <f t="shared" si="252"/>
        <v>1.002808988764045</v>
      </c>
      <c r="K1811" s="51">
        <f>VLOOKUP(B:B,'生產達成率(目標)'!A:C,3,0)</f>
        <v>1</v>
      </c>
      <c r="L1811" s="20">
        <f t="shared" si="253"/>
        <v>3.0000000000000001E-3</v>
      </c>
      <c r="M1811" s="137" t="str">
        <f>工時!R995</f>
        <v>625</v>
      </c>
      <c r="N1811" s="144"/>
      <c r="O1811" s="144">
        <f t="shared" si="254"/>
        <v>1</v>
      </c>
      <c r="P1811" s="156">
        <v>3212</v>
      </c>
      <c r="Q1811" s="98">
        <f t="shared" si="255"/>
        <v>0.99968876439464671</v>
      </c>
      <c r="R1811" s="23"/>
      <c r="S1811" s="173"/>
      <c r="T1811" s="30"/>
    </row>
    <row r="1812" spans="1:30" s="146" customFormat="1" x14ac:dyDescent="0.4">
      <c r="A1812" s="212">
        <v>45847</v>
      </c>
      <c r="B1812" s="151" t="s">
        <v>1091</v>
      </c>
      <c r="C1812" s="140" t="str">
        <f>VLOOKUP(B1812,'112年全品項生產鍋數'!A:H,2,0)</f>
        <v>蜜餞水果(1*1kg)</v>
      </c>
      <c r="D1812" s="287">
        <v>50</v>
      </c>
      <c r="E1812" s="141">
        <f>VLOOKUP(B1812,'112年全品項生產鍋數'!A:H,3,0)</f>
        <v>1</v>
      </c>
      <c r="F1812" s="142">
        <f>VLOOKUP(B1812,'112年全品項生產鍋數'!A:H,7,0)</f>
        <v>5.7</v>
      </c>
      <c r="G1812" s="143">
        <f>D1812*F1812</f>
        <v>285</v>
      </c>
      <c r="H1812" s="156">
        <v>290</v>
      </c>
      <c r="I1812" s="144">
        <f>H1812*E1812</f>
        <v>290</v>
      </c>
      <c r="J1812" s="100">
        <f>IF(G1812=0,"無法預估數據",H1812/G1812)</f>
        <v>1.0175438596491229</v>
      </c>
      <c r="K1812" s="51">
        <f>VLOOKUP(B:B,'生產達成率(目標)'!A:C,3,0)</f>
        <v>1</v>
      </c>
      <c r="L1812" s="20">
        <f>IF(G1812=0,"無法預估數據",ROUND(J1812-K1812,3))</f>
        <v>1.7999999999999999E-2</v>
      </c>
      <c r="M1812" s="137" t="s">
        <v>1002</v>
      </c>
      <c r="N1812" s="144"/>
      <c r="O1812" s="144">
        <f>H1812-N1812-P1812</f>
        <v>0</v>
      </c>
      <c r="P1812" s="156">
        <v>290</v>
      </c>
      <c r="Q1812" s="145">
        <f>P1812/H1812</f>
        <v>1</v>
      </c>
      <c r="R1812" s="144"/>
      <c r="S1812" s="153"/>
      <c r="T1812" s="140"/>
      <c r="V1812" s="381"/>
      <c r="W1812" s="421"/>
      <c r="X1812" s="381"/>
      <c r="Y1812" s="421"/>
      <c r="Z1812" s="421"/>
      <c r="AA1812" s="421"/>
      <c r="AB1812" s="421"/>
      <c r="AC1812" s="421"/>
      <c r="AD1812" s="421"/>
    </row>
    <row r="1813" spans="1:30" s="146" customFormat="1" x14ac:dyDescent="0.4">
      <c r="A1813" s="212">
        <v>45848</v>
      </c>
      <c r="B1813" s="151" t="s">
        <v>71</v>
      </c>
      <c r="C1813" s="140" t="str">
        <f>VLOOKUP(B1813,'112年全品項生產鍋數'!A:H,2,0)</f>
        <v>＃1草莓(1*3.2kg)</v>
      </c>
      <c r="D1813" s="287">
        <v>72</v>
      </c>
      <c r="E1813" s="141">
        <f>VLOOKUP(B1813,'112年全品項生產鍋數'!A:H,3,0)</f>
        <v>3.2</v>
      </c>
      <c r="F1813" s="142">
        <f>VLOOKUP(B1813,'112年全品項生產鍋數'!A:H,7,0)</f>
        <v>46.8</v>
      </c>
      <c r="G1813" s="143">
        <f t="shared" si="250"/>
        <v>3369.6</v>
      </c>
      <c r="H1813" s="156">
        <v>3393</v>
      </c>
      <c r="I1813" s="144">
        <f t="shared" si="251"/>
        <v>10857.6</v>
      </c>
      <c r="J1813" s="100">
        <f t="shared" si="252"/>
        <v>1.0069444444444444</v>
      </c>
      <c r="K1813" s="51">
        <f>VLOOKUP(B:B,'生產達成率(目標)'!A:C,3,0)</f>
        <v>1</v>
      </c>
      <c r="L1813" s="20">
        <f t="shared" si="253"/>
        <v>7.0000000000000001E-3</v>
      </c>
      <c r="M1813" s="137" t="str">
        <f>工時!R996</f>
        <v>0</v>
      </c>
      <c r="N1813" s="144"/>
      <c r="O1813" s="144">
        <f t="shared" si="254"/>
        <v>2</v>
      </c>
      <c r="P1813" s="156">
        <v>3391</v>
      </c>
      <c r="Q1813" s="145">
        <f t="shared" si="255"/>
        <v>0.99941055113468902</v>
      </c>
      <c r="R1813" s="144"/>
      <c r="S1813" s="153"/>
      <c r="T1813" s="140"/>
      <c r="V1813" s="381"/>
      <c r="W1813" s="421"/>
      <c r="X1813" s="381"/>
      <c r="Y1813" s="421"/>
      <c r="Z1813" s="421"/>
      <c r="AA1813" s="421"/>
      <c r="AB1813" s="421"/>
      <c r="AC1813" s="421"/>
      <c r="AD1813" s="421"/>
    </row>
    <row r="1814" spans="1:30" s="146" customFormat="1" x14ac:dyDescent="0.4">
      <c r="A1814" s="212">
        <v>45848</v>
      </c>
      <c r="B1814" s="151" t="s">
        <v>81</v>
      </c>
      <c r="C1814" s="140" t="str">
        <f>VLOOKUP(B1814,'112年全品項生產鍋數'!A:H,2,0)</f>
        <v>藍莓餡(1*6Kg)</v>
      </c>
      <c r="D1814" s="287">
        <v>20</v>
      </c>
      <c r="E1814" s="141">
        <f>VLOOKUP(B1814,'112年全品項生產鍋數'!A:H,3,0)</f>
        <v>6</v>
      </c>
      <c r="F1814" s="142">
        <f>VLOOKUP(B1814,'112年全品項生產鍋數'!A:H,7,0)</f>
        <v>25.1</v>
      </c>
      <c r="G1814" s="143">
        <f t="shared" si="250"/>
        <v>502</v>
      </c>
      <c r="H1814" s="156">
        <v>511</v>
      </c>
      <c r="I1814" s="144">
        <f t="shared" si="251"/>
        <v>3066</v>
      </c>
      <c r="J1814" s="100">
        <f t="shared" si="252"/>
        <v>1.0179282868525896</v>
      </c>
      <c r="K1814" s="51">
        <f>VLOOKUP(B:B,'生產達成率(目標)'!A:C,3,0)</f>
        <v>1</v>
      </c>
      <c r="L1814" s="20">
        <f t="shared" si="253"/>
        <v>1.7999999999999999E-2</v>
      </c>
      <c r="M1814" s="137" t="str">
        <f>工時!R997</f>
        <v>540</v>
      </c>
      <c r="N1814" s="144"/>
      <c r="O1814" s="144">
        <f t="shared" si="254"/>
        <v>2</v>
      </c>
      <c r="P1814" s="156">
        <v>509</v>
      </c>
      <c r="Q1814" s="145">
        <f t="shared" si="255"/>
        <v>0.99608610567514677</v>
      </c>
      <c r="R1814" s="144"/>
      <c r="S1814" s="153"/>
      <c r="T1814" s="140"/>
      <c r="V1814" s="381"/>
      <c r="W1814" s="421"/>
      <c r="X1814" s="381"/>
      <c r="Y1814" s="421"/>
      <c r="Z1814" s="421"/>
      <c r="AA1814" s="421"/>
      <c r="AB1814" s="421"/>
      <c r="AC1814" s="421"/>
      <c r="AD1814" s="421"/>
    </row>
    <row r="1815" spans="1:30" s="146" customFormat="1" x14ac:dyDescent="0.4">
      <c r="A1815" s="212">
        <v>45848</v>
      </c>
      <c r="B1815" s="151" t="s">
        <v>64</v>
      </c>
      <c r="C1815" s="140" t="str">
        <f>VLOOKUP(B1815,'112年全品項生產鍋數'!A:H,2,0)</f>
        <v>藍莓餡(1*6KG)</v>
      </c>
      <c r="D1815" s="287">
        <v>20</v>
      </c>
      <c r="E1815" s="141">
        <f>VLOOKUP(B1815,'112年全品項生產鍋數'!A:H,3,0)</f>
        <v>6</v>
      </c>
      <c r="F1815" s="142">
        <f>VLOOKUP(B1815,'112年全品項生產鍋數'!A:H,7,0)</f>
        <v>25.4</v>
      </c>
      <c r="G1815" s="143">
        <f t="shared" si="250"/>
        <v>508</v>
      </c>
      <c r="H1815" s="156">
        <f>298+203</f>
        <v>501</v>
      </c>
      <c r="I1815" s="144">
        <f t="shared" si="251"/>
        <v>3006</v>
      </c>
      <c r="J1815" s="100">
        <f t="shared" si="252"/>
        <v>0.98622047244094491</v>
      </c>
      <c r="K1815" s="51">
        <f>VLOOKUP(B:B,'生產達成率(目標)'!A:C,3,0)</f>
        <v>1</v>
      </c>
      <c r="L1815" s="20">
        <f t="shared" si="253"/>
        <v>-1.4E-2</v>
      </c>
      <c r="M1815" s="137" t="str">
        <f>工時!R998</f>
        <v>270</v>
      </c>
      <c r="N1815" s="144"/>
      <c r="O1815" s="144">
        <f t="shared" si="254"/>
        <v>1</v>
      </c>
      <c r="P1815" s="156">
        <f>297+203</f>
        <v>500</v>
      </c>
      <c r="Q1815" s="145">
        <f t="shared" si="255"/>
        <v>0.99800399201596801</v>
      </c>
      <c r="R1815" s="144"/>
      <c r="S1815" s="153"/>
      <c r="T1815" s="140"/>
      <c r="V1815" s="381"/>
      <c r="W1815" s="421"/>
      <c r="X1815" s="381"/>
      <c r="Y1815" s="421"/>
      <c r="Z1815" s="421"/>
      <c r="AA1815" s="421"/>
      <c r="AB1815" s="421"/>
      <c r="AC1815" s="421"/>
      <c r="AD1815" s="421"/>
    </row>
    <row r="1816" spans="1:30" s="146" customFormat="1" x14ac:dyDescent="0.4">
      <c r="A1816" s="212">
        <v>45848</v>
      </c>
      <c r="B1816" s="151" t="s">
        <v>104</v>
      </c>
      <c r="C1816" s="140" t="str">
        <f>VLOOKUP(B1816,'112年全品項生產鍋數'!A:H,2,0)</f>
        <v>＃1花生(粒)(1*2.8kg)</v>
      </c>
      <c r="D1816" s="287">
        <v>36</v>
      </c>
      <c r="E1816" s="141">
        <f>VLOOKUP(B1816,'112年全品項生產鍋數'!A:H,3,0)</f>
        <v>2.8</v>
      </c>
      <c r="F1816" s="142">
        <f>VLOOKUP(B1816,'112年全品項生產鍋數'!A:H,7,0)</f>
        <v>44.2</v>
      </c>
      <c r="G1816" s="143">
        <f t="shared" si="250"/>
        <v>1591.2</v>
      </c>
      <c r="H1816" s="156">
        <v>1597</v>
      </c>
      <c r="I1816" s="144">
        <f t="shared" si="251"/>
        <v>4471.5999999999995</v>
      </c>
      <c r="J1816" s="100">
        <f t="shared" si="252"/>
        <v>1.0036450477626948</v>
      </c>
      <c r="K1816" s="51">
        <f>VLOOKUP(B:B,'生產達成率(目標)'!A:C,3,0)</f>
        <v>1</v>
      </c>
      <c r="L1816" s="20">
        <f t="shared" si="253"/>
        <v>4.0000000000000001E-3</v>
      </c>
      <c r="M1816" s="137" t="str">
        <f>工時!R999</f>
        <v>308</v>
      </c>
      <c r="N1816" s="144"/>
      <c r="O1816" s="144">
        <f t="shared" si="254"/>
        <v>1</v>
      </c>
      <c r="P1816" s="156">
        <v>1596</v>
      </c>
      <c r="Q1816" s="145">
        <f t="shared" si="255"/>
        <v>0.9993738259236068</v>
      </c>
      <c r="R1816" s="144"/>
      <c r="S1816" s="153"/>
      <c r="T1816" s="140"/>
      <c r="V1816" s="381"/>
      <c r="W1816" s="421"/>
      <c r="X1816" s="381"/>
      <c r="Y1816" s="421"/>
      <c r="Z1816" s="421"/>
      <c r="AA1816" s="421"/>
      <c r="AB1816" s="421"/>
      <c r="AC1816" s="421"/>
      <c r="AD1816" s="421"/>
    </row>
    <row r="1817" spans="1:30" s="146" customFormat="1" x14ac:dyDescent="0.4">
      <c r="A1817" s="212">
        <v>45848</v>
      </c>
      <c r="B1817" s="151" t="s">
        <v>1089</v>
      </c>
      <c r="C1817" s="140" t="str">
        <f>VLOOKUP(B1817,'112年全品項生產鍋數'!A:H,2,0)</f>
        <v>顆粒花生醬(1*12KG)</v>
      </c>
      <c r="D1817" s="287">
        <v>6.6</v>
      </c>
      <c r="E1817" s="141">
        <f>VLOOKUP(B1817,'112年全品項生產鍋數'!A:H,3,0)</f>
        <v>3</v>
      </c>
      <c r="F1817" s="142">
        <f>VLOOKUP(B1817,'112年全品項生產鍋數'!A:H,7,0)</f>
        <v>0</v>
      </c>
      <c r="G1817" s="143">
        <f t="shared" si="250"/>
        <v>0</v>
      </c>
      <c r="H1817" s="156">
        <v>267</v>
      </c>
      <c r="I1817" s="144">
        <f t="shared" si="251"/>
        <v>801</v>
      </c>
      <c r="J1817" s="100" t="str">
        <f t="shared" si="252"/>
        <v>無法預估數據</v>
      </c>
      <c r="K1817" s="51">
        <f>VLOOKUP(B:B,'生產達成率(目標)'!A:C,3,0)</f>
        <v>1</v>
      </c>
      <c r="L1817" s="20" t="str">
        <f t="shared" si="253"/>
        <v>無法預估數據</v>
      </c>
      <c r="M1817" s="137" t="str">
        <f>工時!R1000</f>
        <v>315</v>
      </c>
      <c r="N1817" s="144"/>
      <c r="O1817" s="144">
        <f t="shared" si="254"/>
        <v>0</v>
      </c>
      <c r="P1817" s="156">
        <v>267</v>
      </c>
      <c r="Q1817" s="145">
        <f t="shared" si="255"/>
        <v>1</v>
      </c>
      <c r="R1817" s="144"/>
      <c r="S1817" s="153"/>
      <c r="T1817" s="140" t="s">
        <v>1090</v>
      </c>
      <c r="V1817" s="381"/>
      <c r="W1817" s="421"/>
      <c r="X1817" s="381"/>
      <c r="Y1817" s="421"/>
      <c r="Z1817" s="421"/>
      <c r="AA1817" s="421"/>
      <c r="AB1817" s="421"/>
      <c r="AC1817" s="421"/>
      <c r="AD1817" s="421"/>
    </row>
    <row r="1818" spans="1:30" s="146" customFormat="1" x14ac:dyDescent="0.4">
      <c r="A1818" s="212">
        <v>45849</v>
      </c>
      <c r="B1818" s="151" t="s">
        <v>63</v>
      </c>
      <c r="C1818" s="140" t="str">
        <f>VLOOKUP(B1818,'112年全品項生產鍋數'!A:H,2,0)</f>
        <v>草莓蒟蒻餡(1*6kg)</v>
      </c>
      <c r="D1818" s="287">
        <v>16</v>
      </c>
      <c r="E1818" s="141">
        <f>VLOOKUP(B1818,'112年全品項生產鍋數'!A:H,3,0)</f>
        <v>6</v>
      </c>
      <c r="F1818" s="142">
        <f>VLOOKUP(B1818,'112年全品項生產鍋數'!A:H,7,0)</f>
        <v>25.7</v>
      </c>
      <c r="G1818" s="143">
        <f t="shared" si="250"/>
        <v>411.2</v>
      </c>
      <c r="H1818" s="156">
        <f>201+217</f>
        <v>418</v>
      </c>
      <c r="I1818" s="144">
        <f t="shared" si="251"/>
        <v>2508</v>
      </c>
      <c r="J1818" s="100">
        <f t="shared" si="252"/>
        <v>1.0165369649805447</v>
      </c>
      <c r="K1818" s="51">
        <f>VLOOKUP(B:B,'生產達成率(目標)'!A:C,3,0)</f>
        <v>1</v>
      </c>
      <c r="L1818" s="20">
        <f t="shared" si="253"/>
        <v>1.7000000000000001E-2</v>
      </c>
      <c r="M1818" s="137" t="str">
        <f>工時!R1001</f>
        <v>260</v>
      </c>
      <c r="N1818" s="144"/>
      <c r="O1818" s="144">
        <f t="shared" si="254"/>
        <v>1</v>
      </c>
      <c r="P1818" s="156">
        <f>200+217</f>
        <v>417</v>
      </c>
      <c r="Q1818" s="145">
        <f t="shared" si="255"/>
        <v>0.99760765550239239</v>
      </c>
      <c r="R1818" s="144"/>
      <c r="S1818" s="153"/>
      <c r="T1818" s="140"/>
      <c r="V1818" s="381"/>
      <c r="W1818" s="421"/>
      <c r="X1818" s="381"/>
      <c r="Y1818" s="421"/>
      <c r="Z1818" s="421"/>
      <c r="AA1818" s="421"/>
      <c r="AB1818" s="421"/>
      <c r="AC1818" s="421"/>
      <c r="AD1818" s="421"/>
    </row>
    <row r="1819" spans="1:30" s="146" customFormat="1" x14ac:dyDescent="0.4">
      <c r="A1819" s="212">
        <v>45849</v>
      </c>
      <c r="B1819" s="151" t="s">
        <v>72</v>
      </c>
      <c r="C1819" s="140" t="str">
        <f>VLOOKUP(B1819,'112年全品項生產鍋數'!A:H,2,0)</f>
        <v>草莓餡45%(1*6Kg)</v>
      </c>
      <c r="D1819" s="287">
        <v>20</v>
      </c>
      <c r="E1819" s="141">
        <f>VLOOKUP(B1819,'112年全品項生產鍋數'!A:H,3,0)</f>
        <v>6</v>
      </c>
      <c r="F1819" s="142">
        <f>VLOOKUP(B1819,'112年全品項生產鍋數'!A:H,7,0)</f>
        <v>26.1</v>
      </c>
      <c r="G1819" s="143">
        <f t="shared" si="250"/>
        <v>522</v>
      </c>
      <c r="H1819" s="156">
        <v>528</v>
      </c>
      <c r="I1819" s="144">
        <f t="shared" si="251"/>
        <v>3168</v>
      </c>
      <c r="J1819" s="100">
        <f t="shared" si="252"/>
        <v>1.0114942528735633</v>
      </c>
      <c r="K1819" s="51">
        <f>VLOOKUP(B:B,'生產達成率(目標)'!A:C,3,0)</f>
        <v>1</v>
      </c>
      <c r="L1819" s="20">
        <f t="shared" si="253"/>
        <v>1.0999999999999999E-2</v>
      </c>
      <c r="M1819" s="137" t="str">
        <f>工時!R1002</f>
        <v>230</v>
      </c>
      <c r="N1819" s="144"/>
      <c r="O1819" s="144">
        <f t="shared" si="254"/>
        <v>2</v>
      </c>
      <c r="P1819" s="156">
        <v>526</v>
      </c>
      <c r="Q1819" s="145">
        <f t="shared" si="255"/>
        <v>0.99621212121212122</v>
      </c>
      <c r="R1819" s="144"/>
      <c r="S1819" s="153"/>
      <c r="T1819" s="140"/>
      <c r="V1819" s="381"/>
      <c r="W1819" s="421"/>
      <c r="X1819" s="381"/>
      <c r="Y1819" s="421"/>
      <c r="Z1819" s="421"/>
      <c r="AA1819" s="421"/>
      <c r="AB1819" s="421"/>
      <c r="AC1819" s="421"/>
      <c r="AD1819" s="421"/>
    </row>
    <row r="1820" spans="1:30" x14ac:dyDescent="0.4">
      <c r="A1820" s="210">
        <v>45849</v>
      </c>
      <c r="B1820" s="151" t="s">
        <v>73</v>
      </c>
      <c r="C1820" s="30" t="str">
        <f>VLOOKUP(B1820,'112年全品項生產鍋數'!A:H,2,0)</f>
        <v>顆粒花生醬(1*12KG)</v>
      </c>
      <c r="D1820" s="287">
        <v>21</v>
      </c>
      <c r="E1820" s="48">
        <f>VLOOKUP(B1820,'112年全品項生產鍋數'!A:H,3,0)</f>
        <v>3</v>
      </c>
      <c r="F1820" s="142">
        <f>VLOOKUP(B1820,'112年全品項生產鍋數'!A:H,7,0)</f>
        <v>29.7</v>
      </c>
      <c r="G1820" s="143">
        <f t="shared" si="250"/>
        <v>623.69999999999993</v>
      </c>
      <c r="H1820" s="156">
        <v>628</v>
      </c>
      <c r="I1820" s="23">
        <f t="shared" si="251"/>
        <v>1884</v>
      </c>
      <c r="J1820" s="100">
        <f t="shared" si="252"/>
        <v>1.0068943402276738</v>
      </c>
      <c r="K1820" s="51">
        <f>VLOOKUP(B:B,'生產達成率(目標)'!A:C,3,0)</f>
        <v>1</v>
      </c>
      <c r="L1820" s="20">
        <f t="shared" si="253"/>
        <v>7.0000000000000001E-3</v>
      </c>
      <c r="M1820" s="137" t="str">
        <f>工時!R1003</f>
        <v>345</v>
      </c>
      <c r="N1820" s="144"/>
      <c r="O1820" s="144">
        <f t="shared" si="254"/>
        <v>0</v>
      </c>
      <c r="P1820" s="156">
        <v>628</v>
      </c>
      <c r="Q1820" s="98">
        <f t="shared" si="255"/>
        <v>1</v>
      </c>
      <c r="R1820" s="23"/>
      <c r="S1820" s="173"/>
      <c r="T1820" s="30"/>
    </row>
    <row r="1821" spans="1:30" s="146" customFormat="1" x14ac:dyDescent="0.4">
      <c r="A1821" s="212">
        <v>45849</v>
      </c>
      <c r="B1821" s="151" t="s">
        <v>65</v>
      </c>
      <c r="C1821" s="140" t="str">
        <f>VLOOKUP(B1821,'112年全品項生產鍋數'!A:H,2,0)</f>
        <v>＃1花生(1*2.8kg)</v>
      </c>
      <c r="D1821" s="287">
        <v>72</v>
      </c>
      <c r="E1821" s="141">
        <f>VLOOKUP(B1821,'112年全品項生產鍋數'!A:H,3,0)</f>
        <v>2.8</v>
      </c>
      <c r="F1821" s="142">
        <f>VLOOKUP(B1821,'112年全品項生產鍋數'!A:H,7,0)</f>
        <v>44.5</v>
      </c>
      <c r="G1821" s="143">
        <f t="shared" si="250"/>
        <v>3204</v>
      </c>
      <c r="H1821" s="156">
        <v>3200</v>
      </c>
      <c r="I1821" s="144">
        <f t="shared" si="251"/>
        <v>8960</v>
      </c>
      <c r="J1821" s="100">
        <f t="shared" si="252"/>
        <v>0.99875156054931336</v>
      </c>
      <c r="K1821" s="51">
        <f>VLOOKUP(B:B,'生產達成率(目標)'!A:C,3,0)</f>
        <v>1</v>
      </c>
      <c r="L1821" s="20">
        <f t="shared" si="253"/>
        <v>-1E-3</v>
      </c>
      <c r="M1821" s="137" t="str">
        <f>工時!R1004</f>
        <v>540</v>
      </c>
      <c r="N1821" s="144"/>
      <c r="O1821" s="144">
        <f t="shared" si="254"/>
        <v>1</v>
      </c>
      <c r="P1821" s="156">
        <v>3199</v>
      </c>
      <c r="Q1821" s="145">
        <f t="shared" si="255"/>
        <v>0.99968749999999995</v>
      </c>
      <c r="R1821" s="144"/>
      <c r="S1821" s="153"/>
      <c r="T1821" s="140"/>
      <c r="V1821" s="381"/>
      <c r="W1821" s="421"/>
      <c r="X1821" s="381"/>
      <c r="Y1821" s="421"/>
      <c r="Z1821" s="421"/>
      <c r="AA1821" s="421"/>
      <c r="AB1821" s="421"/>
      <c r="AC1821" s="421"/>
      <c r="AD1821" s="421"/>
    </row>
    <row r="1822" spans="1:30" x14ac:dyDescent="0.4">
      <c r="A1822" s="210">
        <v>45852</v>
      </c>
      <c r="B1822" s="151" t="s">
        <v>71</v>
      </c>
      <c r="C1822" s="30" t="str">
        <f>VLOOKUP(B1822,'112年全品項生產鍋數'!A:H,2,0)</f>
        <v>＃1草莓(1*3.2kg)</v>
      </c>
      <c r="D1822" s="287">
        <v>72</v>
      </c>
      <c r="E1822" s="48">
        <f>VLOOKUP(B1822,'112年全品項生產鍋數'!A:H,3,0)</f>
        <v>3.2</v>
      </c>
      <c r="F1822" s="142">
        <f>VLOOKUP(B1822,'112年全品項生產鍋數'!A:H,7,0)</f>
        <v>46.8</v>
      </c>
      <c r="G1822" s="143">
        <f t="shared" si="250"/>
        <v>3369.6</v>
      </c>
      <c r="H1822" s="156">
        <v>3378</v>
      </c>
      <c r="I1822" s="23">
        <f t="shared" si="251"/>
        <v>10809.6</v>
      </c>
      <c r="J1822" s="100">
        <f t="shared" si="252"/>
        <v>1.0024928774928774</v>
      </c>
      <c r="K1822" s="51">
        <f>VLOOKUP(B:B,'生產達成率(目標)'!A:C,3,0)</f>
        <v>1</v>
      </c>
      <c r="L1822" s="20">
        <f t="shared" si="253"/>
        <v>2E-3</v>
      </c>
      <c r="M1822" s="137" t="str">
        <f>工時!R1006</f>
        <v>540</v>
      </c>
      <c r="N1822" s="144"/>
      <c r="O1822" s="144">
        <f t="shared" si="254"/>
        <v>7</v>
      </c>
      <c r="P1822" s="156">
        <v>3371</v>
      </c>
      <c r="Q1822" s="98">
        <f t="shared" si="255"/>
        <v>0.99792776791000593</v>
      </c>
      <c r="R1822" s="23"/>
      <c r="S1822" s="173"/>
      <c r="T1822" s="30"/>
    </row>
    <row r="1823" spans="1:30" x14ac:dyDescent="0.4">
      <c r="A1823" s="210">
        <v>45852</v>
      </c>
      <c r="B1823" s="151" t="s">
        <v>72</v>
      </c>
      <c r="C1823" s="30" t="str">
        <f>VLOOKUP(B1823,'112年全品項生產鍋數'!A:H,2,0)</f>
        <v>草莓餡45%(1*6Kg)</v>
      </c>
      <c r="D1823" s="287">
        <v>20</v>
      </c>
      <c r="E1823" s="48">
        <f>VLOOKUP(B1823,'112年全品項生產鍋數'!A:H,3,0)</f>
        <v>6</v>
      </c>
      <c r="F1823" s="142">
        <f>VLOOKUP(B1823,'112年全品項生產鍋數'!A:H,7,0)</f>
        <v>26.1</v>
      </c>
      <c r="G1823" s="143">
        <f t="shared" si="250"/>
        <v>522</v>
      </c>
      <c r="H1823" s="156">
        <v>525</v>
      </c>
      <c r="I1823" s="23">
        <f t="shared" si="251"/>
        <v>3150</v>
      </c>
      <c r="J1823" s="100">
        <f t="shared" si="252"/>
        <v>1.0057471264367817</v>
      </c>
      <c r="K1823" s="51">
        <f>VLOOKUP(B:B,'生產達成率(目標)'!A:C,3,0)</f>
        <v>1</v>
      </c>
      <c r="L1823" s="20">
        <f t="shared" si="253"/>
        <v>6.0000000000000001E-3</v>
      </c>
      <c r="M1823" s="137" t="str">
        <f>工時!R1007</f>
        <v>275</v>
      </c>
      <c r="N1823" s="144"/>
      <c r="O1823" s="144">
        <f t="shared" si="254"/>
        <v>4</v>
      </c>
      <c r="P1823" s="156">
        <v>521</v>
      </c>
      <c r="Q1823" s="98">
        <f t="shared" si="255"/>
        <v>0.99238095238095236</v>
      </c>
      <c r="R1823" s="23"/>
      <c r="S1823" s="173"/>
      <c r="T1823" s="30"/>
    </row>
    <row r="1824" spans="1:30" x14ac:dyDescent="0.4">
      <c r="A1824" s="210">
        <v>45852</v>
      </c>
      <c r="B1824" s="151" t="s">
        <v>63</v>
      </c>
      <c r="C1824" s="30" t="str">
        <f>VLOOKUP(B1824,'112年全品項生產鍋數'!A:H,2,0)</f>
        <v>草莓蒟蒻餡(1*6kg)</v>
      </c>
      <c r="D1824" s="287">
        <v>20</v>
      </c>
      <c r="E1824" s="48">
        <f>VLOOKUP(B1824,'112年全品項生產鍋數'!A:H,3,0)</f>
        <v>6</v>
      </c>
      <c r="F1824" s="142">
        <f>VLOOKUP(B1824,'112年全品項生產鍋數'!A:H,7,0)</f>
        <v>25.7</v>
      </c>
      <c r="G1824" s="143">
        <f t="shared" si="250"/>
        <v>514</v>
      </c>
      <c r="H1824" s="156">
        <f>314+211</f>
        <v>525</v>
      </c>
      <c r="I1824" s="23">
        <f t="shared" si="251"/>
        <v>3150</v>
      </c>
      <c r="J1824" s="100">
        <f t="shared" si="252"/>
        <v>1.0214007782101167</v>
      </c>
      <c r="K1824" s="51">
        <f>VLOOKUP(B:B,'生產達成率(目標)'!A:C,3,0)</f>
        <v>1</v>
      </c>
      <c r="L1824" s="20">
        <f t="shared" si="253"/>
        <v>2.1000000000000001E-2</v>
      </c>
      <c r="M1824" s="137" t="str">
        <f>工時!R1008</f>
        <v>293</v>
      </c>
      <c r="N1824" s="144"/>
      <c r="O1824" s="144">
        <f t="shared" si="254"/>
        <v>2</v>
      </c>
      <c r="P1824" s="156">
        <f>312+211</f>
        <v>523</v>
      </c>
      <c r="Q1824" s="98">
        <f t="shared" si="255"/>
        <v>0.99619047619047618</v>
      </c>
      <c r="R1824" s="23"/>
      <c r="S1824" s="173"/>
      <c r="T1824" s="30"/>
    </row>
    <row r="1825" spans="1:30" x14ac:dyDescent="0.4">
      <c r="A1825" s="210">
        <v>45852</v>
      </c>
      <c r="B1825" s="151" t="s">
        <v>96</v>
      </c>
      <c r="C1825" s="30" t="str">
        <f>VLOOKUP(B1825,'112年全品項生產鍋數'!A:H,2,0)</f>
        <v>PET瓶花生(1*340g)</v>
      </c>
      <c r="D1825" s="287">
        <v>20</v>
      </c>
      <c r="E1825" s="48">
        <f>VLOOKUP(B1825,'112年全品項生產鍋數'!A:H,3,0)</f>
        <v>0.34</v>
      </c>
      <c r="F1825" s="142">
        <f>VLOOKUP(B1825,'112年全品項生產鍋數'!A:H,7,0)</f>
        <v>358.3</v>
      </c>
      <c r="G1825" s="143">
        <f t="shared" si="250"/>
        <v>7166</v>
      </c>
      <c r="H1825" s="156">
        <v>7315</v>
      </c>
      <c r="I1825" s="23">
        <f t="shared" si="251"/>
        <v>2487.1000000000004</v>
      </c>
      <c r="J1825" s="100">
        <f t="shared" si="252"/>
        <v>1.0207926318727323</v>
      </c>
      <c r="K1825" s="51">
        <f>VLOOKUP(B:B,'生產達成率(目標)'!A:C,3,0)</f>
        <v>1</v>
      </c>
      <c r="L1825" s="20">
        <f t="shared" si="253"/>
        <v>2.1000000000000001E-2</v>
      </c>
      <c r="M1825" s="137" t="str">
        <f>工時!R1009</f>
        <v>320</v>
      </c>
      <c r="N1825" s="144"/>
      <c r="O1825" s="144">
        <f t="shared" si="254"/>
        <v>1</v>
      </c>
      <c r="P1825" s="156">
        <v>7314</v>
      </c>
      <c r="Q1825" s="98">
        <f t="shared" si="255"/>
        <v>0.99986329460013668</v>
      </c>
      <c r="R1825" s="23"/>
      <c r="S1825" s="173"/>
      <c r="T1825" s="30"/>
    </row>
    <row r="1826" spans="1:30" x14ac:dyDescent="0.4">
      <c r="A1826" s="210">
        <v>45852</v>
      </c>
      <c r="B1826" s="151" t="s">
        <v>83</v>
      </c>
      <c r="C1826" s="30" t="str">
        <f>VLOOKUP(B1826,'112年全品項生產鍋數'!A:H,2,0)</f>
        <v>PET瓶花生(粒)(1*340g)</v>
      </c>
      <c r="D1826" s="287">
        <v>12</v>
      </c>
      <c r="E1826" s="48">
        <f>VLOOKUP(B1826,'112年全品項生產鍋數'!A:H,3,0)</f>
        <v>0.34</v>
      </c>
      <c r="F1826" s="142">
        <f>VLOOKUP(B1826,'112年全品項生產鍋數'!A:H,7,0)</f>
        <v>366</v>
      </c>
      <c r="G1826" s="143">
        <f t="shared" si="250"/>
        <v>4392</v>
      </c>
      <c r="H1826" s="156">
        <f>1823+2402</f>
        <v>4225</v>
      </c>
      <c r="I1826" s="23">
        <f t="shared" si="251"/>
        <v>1436.5</v>
      </c>
      <c r="J1826" s="100">
        <f t="shared" si="252"/>
        <v>0.96197632058287796</v>
      </c>
      <c r="K1826" s="51">
        <f>VLOOKUP(B:B,'生產達成率(目標)'!A:C,3,0)</f>
        <v>1</v>
      </c>
      <c r="L1826" s="20">
        <f t="shared" si="253"/>
        <v>-3.7999999999999999E-2</v>
      </c>
      <c r="M1826" s="137" t="str">
        <f>工時!R1010</f>
        <v>280</v>
      </c>
      <c r="N1826" s="144"/>
      <c r="O1826" s="144">
        <f t="shared" si="254"/>
        <v>5</v>
      </c>
      <c r="P1826" s="156">
        <f>1820+2400</f>
        <v>4220</v>
      </c>
      <c r="Q1826" s="98">
        <f t="shared" si="255"/>
        <v>0.99881656804733732</v>
      </c>
      <c r="R1826" s="23"/>
      <c r="S1826" s="173"/>
      <c r="T1826" s="30" t="s">
        <v>1092</v>
      </c>
    </row>
    <row r="1827" spans="1:30" x14ac:dyDescent="0.4">
      <c r="A1827" s="210">
        <v>45852</v>
      </c>
      <c r="B1827" s="151" t="s">
        <v>82</v>
      </c>
      <c r="C1827" s="30" t="str">
        <f>VLOOKUP(B1827,'112年全品項生產鍋數'!A:H,2,0)</f>
        <v>顆粒花生醬(全)</v>
      </c>
      <c r="D1827" s="287">
        <v>8</v>
      </c>
      <c r="E1827" s="48">
        <f>VLOOKUP(B1827,'112年全品項生產鍋數'!A:H,3,0)</f>
        <v>0.34</v>
      </c>
      <c r="F1827" s="142">
        <f>VLOOKUP(B1827,'112年全品項生產鍋數'!A:H,7,0)</f>
        <v>364.6</v>
      </c>
      <c r="G1827" s="143">
        <f t="shared" si="250"/>
        <v>2916.8</v>
      </c>
      <c r="H1827" s="156">
        <v>3213</v>
      </c>
      <c r="I1827" s="23">
        <f t="shared" si="251"/>
        <v>1092.42</v>
      </c>
      <c r="J1827" s="100">
        <f t="shared" si="252"/>
        <v>1.1015496434448711</v>
      </c>
      <c r="K1827" s="51">
        <f>VLOOKUP(B:B,'生產達成率(目標)'!A:C,3,0)</f>
        <v>1</v>
      </c>
      <c r="L1827" s="20">
        <f t="shared" si="253"/>
        <v>0.10199999999999999</v>
      </c>
      <c r="M1827" s="137" t="str">
        <f>工時!R1011</f>
        <v>260</v>
      </c>
      <c r="N1827" s="144"/>
      <c r="O1827" s="144">
        <f t="shared" si="254"/>
        <v>3</v>
      </c>
      <c r="P1827" s="156">
        <v>3210</v>
      </c>
      <c r="Q1827" s="98">
        <f t="shared" si="255"/>
        <v>0.99906629318394025</v>
      </c>
      <c r="R1827" s="23"/>
      <c r="S1827" s="173"/>
      <c r="T1827" s="30"/>
    </row>
    <row r="1828" spans="1:30" s="146" customFormat="1" x14ac:dyDescent="0.4">
      <c r="A1828" s="212">
        <v>45852</v>
      </c>
      <c r="B1828" s="151" t="s">
        <v>943</v>
      </c>
      <c r="C1828" s="140" t="str">
        <f>VLOOKUP(B1828,'112年全品項生產鍋數'!A:H,2,0)</f>
        <v>蜜桔皮(10kg/桶)</v>
      </c>
      <c r="D1828" s="287">
        <v>1</v>
      </c>
      <c r="E1828" s="141">
        <f>VLOOKUP(B1828,'112年全品項生產鍋數'!A:H,3,0)</f>
        <v>1</v>
      </c>
      <c r="F1828" s="142">
        <f>VLOOKUP(B1828,'112年全品項生產鍋數'!A:H,7,0)</f>
        <v>0</v>
      </c>
      <c r="G1828" s="143">
        <f t="shared" si="250"/>
        <v>0</v>
      </c>
      <c r="H1828" s="156">
        <v>540</v>
      </c>
      <c r="I1828" s="144">
        <f t="shared" si="251"/>
        <v>540</v>
      </c>
      <c r="J1828" s="100" t="str">
        <f t="shared" si="252"/>
        <v>無法預估數據</v>
      </c>
      <c r="K1828" s="51">
        <f>VLOOKUP(B:B,'生產達成率(目標)'!A:C,3,0)</f>
        <v>1</v>
      </c>
      <c r="L1828" s="20" t="str">
        <f t="shared" si="253"/>
        <v>無法預估數據</v>
      </c>
      <c r="M1828" s="137" t="str">
        <f>工時!R1012</f>
        <v>0</v>
      </c>
      <c r="N1828" s="144"/>
      <c r="O1828" s="144">
        <f t="shared" si="254"/>
        <v>0</v>
      </c>
      <c r="P1828" s="156">
        <v>540</v>
      </c>
      <c r="Q1828" s="145">
        <f t="shared" si="255"/>
        <v>1</v>
      </c>
      <c r="R1828" s="144"/>
      <c r="S1828" s="153"/>
      <c r="T1828" s="140"/>
      <c r="V1828" s="381"/>
      <c r="W1828" s="421"/>
      <c r="X1828" s="381"/>
      <c r="Y1828" s="421"/>
      <c r="Z1828" s="421"/>
      <c r="AA1828" s="421"/>
      <c r="AB1828" s="421"/>
      <c r="AC1828" s="421"/>
      <c r="AD1828" s="421"/>
    </row>
    <row r="1829" spans="1:30" s="146" customFormat="1" x14ac:dyDescent="0.4">
      <c r="A1829" s="212">
        <v>45853</v>
      </c>
      <c r="B1829" s="151" t="s">
        <v>61</v>
      </c>
      <c r="C1829" s="140" t="str">
        <f>VLOOKUP(B1829,'112年全品項生產鍋數'!A:H,2,0)</f>
        <v>大圓草莓-新</v>
      </c>
      <c r="D1829" s="287">
        <v>40</v>
      </c>
      <c r="E1829" s="141">
        <f>VLOOKUP(B1829,'112年全品項生產鍋數'!A:H,3,0)</f>
        <v>0.44</v>
      </c>
      <c r="F1829" s="142">
        <f>VLOOKUP(B1829,'112年全品項生產鍋數'!A:H,7,0)</f>
        <v>344</v>
      </c>
      <c r="G1829" s="143">
        <f t="shared" si="250"/>
        <v>13760</v>
      </c>
      <c r="H1829" s="156">
        <v>13789</v>
      </c>
      <c r="I1829" s="144">
        <f t="shared" si="251"/>
        <v>6067.16</v>
      </c>
      <c r="J1829" s="100">
        <f t="shared" si="252"/>
        <v>1.0021075581395349</v>
      </c>
      <c r="K1829" s="51">
        <f>VLOOKUP(B:B,'生產達成率(目標)'!A:C,3,0)</f>
        <v>1</v>
      </c>
      <c r="L1829" s="20">
        <f t="shared" si="253"/>
        <v>2E-3</v>
      </c>
      <c r="M1829" s="137" t="str">
        <f>工時!R1013</f>
        <v>540</v>
      </c>
      <c r="N1829" s="144"/>
      <c r="O1829" s="144">
        <f t="shared" si="254"/>
        <v>10</v>
      </c>
      <c r="P1829" s="156">
        <v>13779</v>
      </c>
      <c r="Q1829" s="145">
        <f t="shared" si="255"/>
        <v>0.99927478424831384</v>
      </c>
      <c r="R1829" s="144"/>
      <c r="S1829" s="153"/>
      <c r="T1829" s="140"/>
      <c r="V1829" s="381"/>
      <c r="W1829" s="421"/>
      <c r="X1829" s="381"/>
      <c r="Y1829" s="421"/>
      <c r="Z1829" s="421"/>
      <c r="AA1829" s="421"/>
      <c r="AB1829" s="421"/>
      <c r="AC1829" s="421"/>
      <c r="AD1829" s="421"/>
    </row>
    <row r="1830" spans="1:30" x14ac:dyDescent="0.4">
      <c r="A1830" s="210">
        <v>45853</v>
      </c>
      <c r="B1830" s="151" t="s">
        <v>63</v>
      </c>
      <c r="C1830" s="30" t="str">
        <f>VLOOKUP(B1830,'112年全品項生產鍋數'!A:H,2,0)</f>
        <v>草莓蒟蒻餡(1*6kg)</v>
      </c>
      <c r="D1830" s="287">
        <v>20</v>
      </c>
      <c r="E1830" s="48">
        <f>VLOOKUP(B1830,'112年全品項生產鍋數'!A:H,3,0)</f>
        <v>6</v>
      </c>
      <c r="F1830" s="142">
        <f>VLOOKUP(B1830,'112年全品項生產鍋數'!A:H,7,0)</f>
        <v>25.7</v>
      </c>
      <c r="G1830" s="143">
        <f t="shared" si="250"/>
        <v>514</v>
      </c>
      <c r="H1830" s="156">
        <f>309+213</f>
        <v>522</v>
      </c>
      <c r="I1830" s="23">
        <f t="shared" si="251"/>
        <v>3132</v>
      </c>
      <c r="J1830" s="100">
        <f t="shared" si="252"/>
        <v>1.0155642023346303</v>
      </c>
      <c r="K1830" s="51">
        <f>VLOOKUP(B:B,'生產達成率(目標)'!A:C,3,0)</f>
        <v>1</v>
      </c>
      <c r="L1830" s="20">
        <f t="shared" si="253"/>
        <v>1.6E-2</v>
      </c>
      <c r="M1830" s="137" t="str">
        <f>工時!R1014</f>
        <v>273</v>
      </c>
      <c r="N1830" s="144"/>
      <c r="O1830" s="144">
        <f t="shared" si="254"/>
        <v>1</v>
      </c>
      <c r="P1830" s="156">
        <f>308+213</f>
        <v>521</v>
      </c>
      <c r="Q1830" s="98">
        <f t="shared" si="255"/>
        <v>0.99808429118773945</v>
      </c>
      <c r="R1830" s="23"/>
      <c r="S1830" s="173"/>
      <c r="T1830" s="30"/>
    </row>
    <row r="1831" spans="1:30" x14ac:dyDescent="0.4">
      <c r="A1831" s="210">
        <v>45853</v>
      </c>
      <c r="B1831" s="151" t="s">
        <v>75</v>
      </c>
      <c r="C1831" s="30" t="str">
        <f>VLOOKUP(B1831,'112年全品項生產鍋數'!A:H,2,0)</f>
        <v>草莓椰果餡(1*6Kg)</v>
      </c>
      <c r="D1831" s="287">
        <v>20</v>
      </c>
      <c r="E1831" s="48">
        <f>VLOOKUP(B1831,'112年全品項生產鍋數'!A:H,3,0)</f>
        <v>6</v>
      </c>
      <c r="F1831" s="142">
        <f>VLOOKUP(B1831,'112年全品項生產鍋數'!A:H,7,0)</f>
        <v>26.4</v>
      </c>
      <c r="G1831" s="143">
        <f t="shared" si="250"/>
        <v>528</v>
      </c>
      <c r="H1831" s="156">
        <v>526</v>
      </c>
      <c r="I1831" s="23">
        <f t="shared" si="251"/>
        <v>3156</v>
      </c>
      <c r="J1831" s="100">
        <f t="shared" si="252"/>
        <v>0.99621212121212122</v>
      </c>
      <c r="K1831" s="51">
        <f>VLOOKUP(B:B,'生產達成率(目標)'!A:C,3,0)</f>
        <v>1</v>
      </c>
      <c r="L1831" s="20">
        <f t="shared" si="253"/>
        <v>-4.0000000000000001E-3</v>
      </c>
      <c r="M1831" s="137" t="str">
        <f>工時!R1015</f>
        <v>275</v>
      </c>
      <c r="N1831" s="144"/>
      <c r="O1831" s="144">
        <f t="shared" si="254"/>
        <v>2</v>
      </c>
      <c r="P1831" s="156">
        <v>524</v>
      </c>
      <c r="Q1831" s="98">
        <f t="shared" si="255"/>
        <v>0.99619771863117867</v>
      </c>
      <c r="R1831" s="23"/>
      <c r="S1831" s="173"/>
      <c r="T1831" s="30"/>
    </row>
    <row r="1832" spans="1:30" x14ac:dyDescent="0.4">
      <c r="A1832" s="210">
        <v>45853</v>
      </c>
      <c r="B1832" s="151" t="s">
        <v>65</v>
      </c>
      <c r="C1832" s="30" t="str">
        <f>VLOOKUP(B1832,'112年全品項生產鍋數'!A:H,2,0)</f>
        <v>＃1花生(1*2.8kg)</v>
      </c>
      <c r="D1832" s="287">
        <v>72</v>
      </c>
      <c r="E1832" s="48">
        <f>VLOOKUP(B1832,'112年全品項生產鍋數'!A:H,3,0)</f>
        <v>2.8</v>
      </c>
      <c r="F1832" s="142">
        <f>VLOOKUP(B1832,'112年全品項生產鍋數'!A:H,7,0)</f>
        <v>44.5</v>
      </c>
      <c r="G1832" s="143">
        <f>D1832*F1832-30*18/E1832</f>
        <v>3011.1428571428573</v>
      </c>
      <c r="H1832" s="156">
        <v>3004</v>
      </c>
      <c r="I1832" s="23">
        <f t="shared" si="251"/>
        <v>8411.1999999999989</v>
      </c>
      <c r="J1832" s="100">
        <f t="shared" si="252"/>
        <v>0.9976278584305911</v>
      </c>
      <c r="K1832" s="51">
        <f>VLOOKUP(B:B,'生產達成率(目標)'!A:C,3,0)</f>
        <v>1</v>
      </c>
      <c r="L1832" s="20">
        <f t="shared" si="253"/>
        <v>-2E-3</v>
      </c>
      <c r="M1832" s="137" t="str">
        <f>工時!R1016</f>
        <v>650</v>
      </c>
      <c r="N1832" s="144"/>
      <c r="O1832" s="144">
        <f t="shared" si="254"/>
        <v>1</v>
      </c>
      <c r="P1832" s="156">
        <v>3003</v>
      </c>
      <c r="Q1832" s="98">
        <f t="shared" si="255"/>
        <v>0.99966711051930757</v>
      </c>
      <c r="R1832" s="23"/>
      <c r="S1832" s="173"/>
      <c r="T1832" s="30" t="s">
        <v>1093</v>
      </c>
    </row>
    <row r="1833" spans="1:30" x14ac:dyDescent="0.4">
      <c r="A1833" s="210">
        <v>45854</v>
      </c>
      <c r="B1833" s="151" t="s">
        <v>54</v>
      </c>
      <c r="C1833" s="30" t="str">
        <f>VLOOKUP(B1833,'112年全品項生產鍋數'!A:H,2,0)</f>
        <v>草莓醬(1*6kg)</v>
      </c>
      <c r="D1833" s="287">
        <v>32</v>
      </c>
      <c r="E1833" s="48">
        <f>VLOOKUP(B1833,'112年全品項生產鍋數'!A:H,3,0)</f>
        <v>6</v>
      </c>
      <c r="F1833" s="142">
        <f>VLOOKUP(B1833,'112年全品項生產鍋數'!A:H,7,0)</f>
        <v>26.6</v>
      </c>
      <c r="G1833" s="143">
        <f t="shared" si="250"/>
        <v>851.2</v>
      </c>
      <c r="H1833" s="156">
        <v>853</v>
      </c>
      <c r="I1833" s="23">
        <f t="shared" si="251"/>
        <v>5118</v>
      </c>
      <c r="J1833" s="100">
        <f t="shared" si="252"/>
        <v>1.0021146616541352</v>
      </c>
      <c r="K1833" s="51">
        <f>VLOOKUP(B:B,'生產達成率(目標)'!A:C,3,0)</f>
        <v>1</v>
      </c>
      <c r="L1833" s="20">
        <f t="shared" si="253"/>
        <v>2E-3</v>
      </c>
      <c r="M1833" s="137" t="str">
        <f>工時!R1017</f>
        <v>475</v>
      </c>
      <c r="N1833" s="144"/>
      <c r="O1833" s="144">
        <f t="shared" si="254"/>
        <v>1</v>
      </c>
      <c r="P1833" s="156">
        <v>852</v>
      </c>
      <c r="Q1833" s="98">
        <f t="shared" si="255"/>
        <v>0.9988276670574443</v>
      </c>
      <c r="R1833" s="23"/>
      <c r="S1833" s="173"/>
      <c r="T1833" s="30"/>
    </row>
    <row r="1834" spans="1:30" s="146" customFormat="1" x14ac:dyDescent="0.4">
      <c r="A1834" s="212">
        <v>45854</v>
      </c>
      <c r="B1834" s="151" t="s">
        <v>1045</v>
      </c>
      <c r="C1834" s="140" t="str">
        <f>VLOOKUP(B1834,'112年全品項生產鍋數'!A:H,2,0)</f>
        <v>芒果蜜桃醬(含桃丁)</v>
      </c>
      <c r="D1834" s="287">
        <v>6</v>
      </c>
      <c r="E1834" s="141">
        <f>VLOOKUP(B1834,'112年全品項生產鍋數'!A:H,3,0)</f>
        <v>6</v>
      </c>
      <c r="F1834" s="142">
        <f>VLOOKUP(B1834,'112年全品項生產鍋數'!A:H,7,0)</f>
        <v>0</v>
      </c>
      <c r="G1834" s="143">
        <f t="shared" si="250"/>
        <v>0</v>
      </c>
      <c r="H1834" s="156">
        <v>150</v>
      </c>
      <c r="I1834" s="144">
        <f t="shared" si="251"/>
        <v>900</v>
      </c>
      <c r="J1834" s="100" t="str">
        <f t="shared" si="252"/>
        <v>無法預估數據</v>
      </c>
      <c r="K1834" s="51">
        <f>VLOOKUP(B:B,'生產達成率(目標)'!A:C,3,0)</f>
        <v>1</v>
      </c>
      <c r="L1834" s="20" t="str">
        <f t="shared" si="253"/>
        <v>無法預估數據</v>
      </c>
      <c r="M1834" s="137" t="str">
        <f>工時!R1018</f>
        <v>160</v>
      </c>
      <c r="N1834" s="144"/>
      <c r="O1834" s="144">
        <f t="shared" si="254"/>
        <v>10</v>
      </c>
      <c r="P1834" s="156">
        <v>140</v>
      </c>
      <c r="Q1834" s="145">
        <f t="shared" si="255"/>
        <v>0.93333333333333335</v>
      </c>
      <c r="R1834" s="144"/>
      <c r="S1834" s="153"/>
      <c r="T1834" s="140"/>
      <c r="V1834" s="381"/>
      <c r="W1834" s="421"/>
      <c r="X1834" s="381"/>
      <c r="Y1834" s="421"/>
      <c r="Z1834" s="421"/>
      <c r="AA1834" s="421"/>
      <c r="AB1834" s="421"/>
      <c r="AC1834" s="421"/>
      <c r="AD1834" s="421"/>
    </row>
    <row r="1835" spans="1:30" s="146" customFormat="1" x14ac:dyDescent="0.4">
      <c r="A1835" s="212">
        <v>45854</v>
      </c>
      <c r="B1835" s="151" t="s">
        <v>65</v>
      </c>
      <c r="C1835" s="140" t="str">
        <f>VLOOKUP(B1835,'112年全品項生產鍋數'!A:H,2,0)</f>
        <v>＃1花生(1*2.8kg)</v>
      </c>
      <c r="D1835" s="287">
        <v>24</v>
      </c>
      <c r="E1835" s="141">
        <f>VLOOKUP(B1835,'112年全品項生產鍋數'!A:H,3,0)</f>
        <v>2.8</v>
      </c>
      <c r="F1835" s="142">
        <f>VLOOKUP(B1835,'112年全品項生產鍋數'!A:H,7,0)</f>
        <v>44.5</v>
      </c>
      <c r="G1835" s="143">
        <f t="shared" si="250"/>
        <v>1068</v>
      </c>
      <c r="H1835" s="156">
        <f>181+900</f>
        <v>1081</v>
      </c>
      <c r="I1835" s="144">
        <f t="shared" si="251"/>
        <v>3026.7999999999997</v>
      </c>
      <c r="J1835" s="100">
        <f t="shared" si="252"/>
        <v>1.0121722846441947</v>
      </c>
      <c r="K1835" s="51">
        <f>VLOOKUP(B:B,'生產達成率(目標)'!A:C,3,0)</f>
        <v>1</v>
      </c>
      <c r="L1835" s="20">
        <f t="shared" si="253"/>
        <v>1.2E-2</v>
      </c>
      <c r="M1835" s="137" t="str">
        <f>工時!R1019</f>
        <v>290</v>
      </c>
      <c r="N1835" s="144"/>
      <c r="O1835" s="144">
        <f t="shared" si="254"/>
        <v>1</v>
      </c>
      <c r="P1835" s="156">
        <f>180+900</f>
        <v>1080</v>
      </c>
      <c r="Q1835" s="145">
        <f t="shared" si="255"/>
        <v>0.99907493061979646</v>
      </c>
      <c r="R1835" s="144"/>
      <c r="S1835" s="153"/>
      <c r="T1835" s="140" t="s">
        <v>1094</v>
      </c>
      <c r="V1835" s="381"/>
      <c r="W1835" s="421"/>
      <c r="X1835" s="381"/>
      <c r="Y1835" s="421"/>
      <c r="Z1835" s="421"/>
      <c r="AA1835" s="421"/>
      <c r="AB1835" s="421"/>
      <c r="AC1835" s="421"/>
      <c r="AD1835" s="421"/>
    </row>
    <row r="1836" spans="1:30" s="146" customFormat="1" x14ac:dyDescent="0.4">
      <c r="A1836" s="212">
        <v>45855</v>
      </c>
      <c r="B1836" s="151" t="s">
        <v>51</v>
      </c>
      <c r="C1836" s="140" t="str">
        <f>VLOOKUP(B1836,'112年全品項生產鍋數'!A:H,2,0)</f>
        <v>藍莓醬(1*6kg)</v>
      </c>
      <c r="D1836" s="287">
        <v>24</v>
      </c>
      <c r="E1836" s="141">
        <f>VLOOKUP(B1836,'112年全品項生產鍋數'!A:H,3,0)</f>
        <v>6</v>
      </c>
      <c r="F1836" s="142">
        <f>VLOOKUP(B1836,'112年全品項生產鍋數'!A:H,7,0)</f>
        <v>25.5</v>
      </c>
      <c r="G1836" s="143">
        <f t="shared" si="250"/>
        <v>612</v>
      </c>
      <c r="H1836" s="156">
        <v>613</v>
      </c>
      <c r="I1836" s="144">
        <f t="shared" si="251"/>
        <v>3678</v>
      </c>
      <c r="J1836" s="100">
        <f t="shared" si="252"/>
        <v>1.0016339869281046</v>
      </c>
      <c r="K1836" s="51">
        <f>VLOOKUP(B:B,'生產達成率(目標)'!A:C,3,0)</f>
        <v>1</v>
      </c>
      <c r="L1836" s="20">
        <f t="shared" si="253"/>
        <v>2E-3</v>
      </c>
      <c r="M1836" s="137" t="str">
        <f>工時!R1020</f>
        <v>288</v>
      </c>
      <c r="N1836" s="144"/>
      <c r="O1836" s="144">
        <f t="shared" si="254"/>
        <v>4</v>
      </c>
      <c r="P1836" s="156">
        <v>609</v>
      </c>
      <c r="Q1836" s="145">
        <f t="shared" si="255"/>
        <v>0.99347471451876024</v>
      </c>
      <c r="R1836" s="144"/>
      <c r="S1836" s="153"/>
      <c r="T1836" s="140"/>
      <c r="V1836" s="381"/>
      <c r="W1836" s="421"/>
      <c r="X1836" s="381"/>
      <c r="Y1836" s="421"/>
      <c r="Z1836" s="421"/>
      <c r="AA1836" s="421"/>
      <c r="AB1836" s="421"/>
      <c r="AC1836" s="421"/>
      <c r="AD1836" s="421"/>
    </row>
    <row r="1837" spans="1:30" s="146" customFormat="1" x14ac:dyDescent="0.4">
      <c r="A1837" s="212">
        <v>45855</v>
      </c>
      <c r="B1837" s="151" t="s">
        <v>451</v>
      </c>
      <c r="C1837" s="140" t="str">
        <f>VLOOKUP(B1837,'112年全品項生產鍋數'!A:H,2,0)</f>
        <v>水蜜桃醬(1*6kg)</v>
      </c>
      <c r="D1837" s="287">
        <v>6</v>
      </c>
      <c r="E1837" s="141">
        <f>VLOOKUP(B1837,'112年全品項生產鍋數'!A:H,3,0)</f>
        <v>6</v>
      </c>
      <c r="F1837" s="142">
        <f>VLOOKUP(B1837,'112年全品項生產鍋數'!A:H,7,0)</f>
        <v>24.5</v>
      </c>
      <c r="G1837" s="143">
        <f t="shared" si="250"/>
        <v>147</v>
      </c>
      <c r="H1837" s="156">
        <v>145</v>
      </c>
      <c r="I1837" s="144">
        <f t="shared" si="251"/>
        <v>870</v>
      </c>
      <c r="J1837" s="100">
        <f t="shared" si="252"/>
        <v>0.98639455782312924</v>
      </c>
      <c r="K1837" s="51">
        <f>VLOOKUP(B:B,'生產達成率(目標)'!A:C,3,0)</f>
        <v>1</v>
      </c>
      <c r="L1837" s="20">
        <f t="shared" si="253"/>
        <v>-1.4E-2</v>
      </c>
      <c r="M1837" s="137" t="str">
        <f>工時!R1021</f>
        <v>160</v>
      </c>
      <c r="N1837" s="144"/>
      <c r="O1837" s="144">
        <f t="shared" si="254"/>
        <v>1</v>
      </c>
      <c r="P1837" s="156">
        <v>144</v>
      </c>
      <c r="Q1837" s="145">
        <f t="shared" si="255"/>
        <v>0.99310344827586206</v>
      </c>
      <c r="R1837" s="144"/>
      <c r="S1837" s="153"/>
      <c r="T1837" s="140"/>
      <c r="V1837" s="381"/>
      <c r="W1837" s="421"/>
      <c r="X1837" s="381"/>
      <c r="Y1837" s="421"/>
      <c r="Z1837" s="421"/>
      <c r="AA1837" s="421"/>
      <c r="AB1837" s="421"/>
      <c r="AC1837" s="421"/>
      <c r="AD1837" s="421"/>
    </row>
    <row r="1838" spans="1:30" s="146" customFormat="1" x14ac:dyDescent="0.4">
      <c r="A1838" s="212">
        <v>45855</v>
      </c>
      <c r="B1838" s="151" t="s">
        <v>1046</v>
      </c>
      <c r="C1838" s="140" t="str">
        <f>VLOOKUP(B1838,'112年全品項生產鍋數'!A:H,2,0)</f>
        <v>藍莓顆粒果醬(1*6kg)</v>
      </c>
      <c r="D1838" s="287">
        <v>8</v>
      </c>
      <c r="E1838" s="141">
        <f>VLOOKUP(B1838,'112年全品項生產鍋數'!A:H,3,0)</f>
        <v>6</v>
      </c>
      <c r="F1838" s="142">
        <f>VLOOKUP(B1838,'112年全品項生產鍋數'!A:H,7,0)</f>
        <v>0</v>
      </c>
      <c r="G1838" s="143">
        <f t="shared" si="250"/>
        <v>0</v>
      </c>
      <c r="H1838" s="156">
        <v>209</v>
      </c>
      <c r="I1838" s="144">
        <f t="shared" si="251"/>
        <v>1254</v>
      </c>
      <c r="J1838" s="100" t="str">
        <f t="shared" si="252"/>
        <v>無法預估數據</v>
      </c>
      <c r="K1838" s="51">
        <f>VLOOKUP(B:B,'生產達成率(目標)'!A:C,3,0)</f>
        <v>1</v>
      </c>
      <c r="L1838" s="20" t="str">
        <f t="shared" si="253"/>
        <v>無法預估數據</v>
      </c>
      <c r="M1838" s="137" t="str">
        <f>工時!R1022</f>
        <v>185</v>
      </c>
      <c r="N1838" s="144"/>
      <c r="O1838" s="144">
        <f t="shared" si="254"/>
        <v>6</v>
      </c>
      <c r="P1838" s="156">
        <v>203</v>
      </c>
      <c r="Q1838" s="145">
        <f t="shared" si="255"/>
        <v>0.9712918660287081</v>
      </c>
      <c r="R1838" s="144"/>
      <c r="S1838" s="153"/>
      <c r="T1838" s="140"/>
      <c r="V1838" s="381"/>
      <c r="W1838" s="421"/>
      <c r="X1838" s="381"/>
      <c r="Y1838" s="421"/>
      <c r="Z1838" s="421"/>
      <c r="AA1838" s="421"/>
      <c r="AB1838" s="421"/>
      <c r="AC1838" s="421"/>
      <c r="AD1838" s="421"/>
    </row>
    <row r="1839" spans="1:30" ht="15.75" customHeight="1" x14ac:dyDescent="0.4">
      <c r="A1839" s="210">
        <v>45855</v>
      </c>
      <c r="B1839" s="151" t="s">
        <v>117</v>
      </c>
      <c r="C1839" s="30" t="str">
        <f>VLOOKUP(B1839,'112年全品項生產鍋數'!A:H,2,0)</f>
        <v>草莓餡(1*4.5Kg)</v>
      </c>
      <c r="D1839" s="287">
        <v>8</v>
      </c>
      <c r="E1839" s="48">
        <f>VLOOKUP(B1839,'112年全品項生產鍋數'!A:H,3,0)</f>
        <v>4.5</v>
      </c>
      <c r="F1839" s="142">
        <f>VLOOKUP(B1839,'112年全品項生產鍋數'!A:H,7,0)</f>
        <v>35.6</v>
      </c>
      <c r="G1839" s="143">
        <f t="shared" si="250"/>
        <v>284.8</v>
      </c>
      <c r="H1839" s="156">
        <v>284</v>
      </c>
      <c r="I1839" s="23">
        <f t="shared" si="251"/>
        <v>1278</v>
      </c>
      <c r="J1839" s="100">
        <f t="shared" si="252"/>
        <v>0.99719101123595499</v>
      </c>
      <c r="K1839" s="51">
        <f>VLOOKUP(B:B,'生產達成率(目標)'!A:C,3,0)</f>
        <v>1</v>
      </c>
      <c r="L1839" s="20">
        <f t="shared" si="253"/>
        <v>-3.0000000000000001E-3</v>
      </c>
      <c r="M1839" s="137" t="str">
        <f>工時!R1023</f>
        <v>260</v>
      </c>
      <c r="N1839" s="144"/>
      <c r="O1839" s="144">
        <f t="shared" si="254"/>
        <v>0</v>
      </c>
      <c r="P1839" s="156">
        <v>284</v>
      </c>
      <c r="Q1839" s="98">
        <f t="shared" si="255"/>
        <v>1</v>
      </c>
      <c r="R1839" s="23"/>
      <c r="S1839" s="173"/>
      <c r="T1839" s="30"/>
    </row>
    <row r="1840" spans="1:30" s="146" customFormat="1" x14ac:dyDescent="0.4">
      <c r="A1840" s="212">
        <v>45855</v>
      </c>
      <c r="B1840" s="151" t="s">
        <v>1007</v>
      </c>
      <c r="C1840" s="140" t="str">
        <f>VLOOKUP(B1840,'112年全品項生產鍋數'!A:H,2,0)</f>
        <v>藍莓餡（大）(1*9.08kg)</v>
      </c>
      <c r="D1840" s="287">
        <v>12</v>
      </c>
      <c r="E1840" s="141">
        <f>VLOOKUP(B1840,'112年全品項生產鍋數'!A:H,3,0)</f>
        <v>9.08</v>
      </c>
      <c r="F1840" s="142">
        <f>VLOOKUP(B1840,'112年全品項生產鍋數'!A:H,7,0)</f>
        <v>17.399999999999999</v>
      </c>
      <c r="G1840" s="143">
        <f t="shared" si="250"/>
        <v>208.79999999999998</v>
      </c>
      <c r="H1840" s="156">
        <v>227</v>
      </c>
      <c r="I1840" s="144">
        <f t="shared" si="251"/>
        <v>2061.16</v>
      </c>
      <c r="J1840" s="100">
        <f t="shared" si="252"/>
        <v>1.0871647509578546</v>
      </c>
      <c r="K1840" s="51" t="e">
        <f>VLOOKUP(B:B,'生產達成率(目標)'!A:C,3,0)</f>
        <v>#N/A</v>
      </c>
      <c r="L1840" s="20" t="e">
        <f t="shared" si="253"/>
        <v>#N/A</v>
      </c>
      <c r="M1840" s="137" t="str">
        <f>工時!R1024</f>
        <v>256</v>
      </c>
      <c r="N1840" s="144"/>
      <c r="O1840" s="144">
        <f t="shared" si="254"/>
        <v>0</v>
      </c>
      <c r="P1840" s="156">
        <v>227</v>
      </c>
      <c r="Q1840" s="145">
        <f t="shared" si="255"/>
        <v>1</v>
      </c>
      <c r="R1840" s="144"/>
      <c r="S1840" s="153">
        <v>180</v>
      </c>
      <c r="T1840" s="30" t="s">
        <v>1124</v>
      </c>
      <c r="V1840" s="381"/>
      <c r="W1840" s="421"/>
      <c r="X1840" s="381"/>
      <c r="Y1840" s="421"/>
      <c r="Z1840" s="421"/>
      <c r="AA1840" s="421"/>
      <c r="AB1840" s="421"/>
      <c r="AC1840" s="421"/>
      <c r="AD1840" s="421"/>
    </row>
    <row r="1841" spans="1:30" s="146" customFormat="1" x14ac:dyDescent="0.4">
      <c r="A1841" s="212">
        <v>45855</v>
      </c>
      <c r="B1841" s="151" t="s">
        <v>965</v>
      </c>
      <c r="C1841" s="140" t="str">
        <f>VLOOKUP(B1841,'112年全品項生產鍋數'!A:H,2,0)</f>
        <v>草莓餡°(1*6KG)</v>
      </c>
      <c r="D1841" s="287">
        <v>16</v>
      </c>
      <c r="E1841" s="141">
        <f>VLOOKUP(B1841,'112年全品項生產鍋數'!A:H,3,0)</f>
        <v>6</v>
      </c>
      <c r="F1841" s="142">
        <f>VLOOKUP(B1841,'112年全品項生產鍋數'!A:H,7,0)</f>
        <v>0</v>
      </c>
      <c r="G1841" s="143">
        <f t="shared" si="250"/>
        <v>0</v>
      </c>
      <c r="H1841" s="156">
        <v>399</v>
      </c>
      <c r="I1841" s="144">
        <f t="shared" si="251"/>
        <v>2394</v>
      </c>
      <c r="J1841" s="100" t="str">
        <f t="shared" si="252"/>
        <v>無法預估數據</v>
      </c>
      <c r="K1841" s="51">
        <f>VLOOKUP(B:B,'生產達成率(目標)'!A:C,3,0)</f>
        <v>1</v>
      </c>
      <c r="L1841" s="20" t="str">
        <f t="shared" si="253"/>
        <v>無法預估數據</v>
      </c>
      <c r="M1841" s="137" t="str">
        <f>工時!R1025</f>
        <v>270</v>
      </c>
      <c r="N1841" s="144"/>
      <c r="O1841" s="144">
        <f t="shared" si="254"/>
        <v>1</v>
      </c>
      <c r="P1841" s="156">
        <v>398</v>
      </c>
      <c r="Q1841" s="145">
        <f t="shared" si="255"/>
        <v>0.99749373433583954</v>
      </c>
      <c r="R1841" s="144"/>
      <c r="S1841" s="153"/>
      <c r="T1841" s="140"/>
      <c r="V1841" s="381"/>
      <c r="W1841" s="421"/>
      <c r="X1841" s="381"/>
      <c r="Y1841" s="421"/>
      <c r="Z1841" s="421"/>
      <c r="AA1841" s="421"/>
      <c r="AB1841" s="421"/>
      <c r="AC1841" s="421"/>
      <c r="AD1841" s="421"/>
    </row>
    <row r="1842" spans="1:30" s="146" customFormat="1" ht="15.75" customHeight="1" x14ac:dyDescent="0.4">
      <c r="A1842" s="212">
        <v>45855</v>
      </c>
      <c r="B1842" s="151" t="s">
        <v>58</v>
      </c>
      <c r="C1842" s="140" t="str">
        <f>VLOOKUP(B1842,'112年全品項生產鍋數'!A:H,2,0)</f>
        <v>PET大花生(1*400g)</v>
      </c>
      <c r="D1842" s="287">
        <v>48</v>
      </c>
      <c r="E1842" s="141">
        <f>VLOOKUP(B1842,'112年全品項生產鍋數'!A:H,3,0)</f>
        <v>0.4</v>
      </c>
      <c r="F1842" s="142">
        <f>VLOOKUP(B1842,'112年全品項生產鍋數'!A:H,7,0)</f>
        <v>309.2</v>
      </c>
      <c r="G1842" s="143">
        <f t="shared" si="250"/>
        <v>14841.599999999999</v>
      </c>
      <c r="H1842" s="156">
        <v>14870</v>
      </c>
      <c r="I1842" s="144">
        <f t="shared" si="251"/>
        <v>5948</v>
      </c>
      <c r="J1842" s="100">
        <f t="shared" si="252"/>
        <v>1.0019135403191031</v>
      </c>
      <c r="K1842" s="51">
        <f>VLOOKUP(B:B,'生產達成率(目標)'!A:C,3,0)</f>
        <v>1</v>
      </c>
      <c r="L1842" s="20">
        <f t="shared" si="253"/>
        <v>2E-3</v>
      </c>
      <c r="M1842" s="137" t="str">
        <f>工時!R1026</f>
        <v>575</v>
      </c>
      <c r="N1842" s="144"/>
      <c r="O1842" s="144">
        <f t="shared" si="254"/>
        <v>3</v>
      </c>
      <c r="P1842" s="156">
        <v>14867</v>
      </c>
      <c r="Q1842" s="145">
        <f t="shared" si="255"/>
        <v>0.99979825151311363</v>
      </c>
      <c r="R1842" s="144"/>
      <c r="S1842" s="153"/>
      <c r="T1842" s="140"/>
      <c r="V1842" s="381"/>
      <c r="W1842" s="421"/>
      <c r="X1842" s="381"/>
      <c r="Y1842" s="421"/>
      <c r="Z1842" s="421"/>
      <c r="AA1842" s="421"/>
      <c r="AB1842" s="421"/>
      <c r="AC1842" s="421"/>
      <c r="AD1842" s="421"/>
    </row>
    <row r="1843" spans="1:30" s="146" customFormat="1" x14ac:dyDescent="0.4">
      <c r="A1843" s="212">
        <v>45856</v>
      </c>
      <c r="B1843" s="151" t="s">
        <v>158</v>
      </c>
      <c r="C1843" s="140" t="str">
        <f>VLOOKUP(B1843,'112年全品項生產鍋數'!A:H,2,0)</f>
        <v>小圓草莓(1*170g)</v>
      </c>
      <c r="D1843" s="287">
        <v>4</v>
      </c>
      <c r="E1843" s="141">
        <f>VLOOKUP(B1843,'112年全品項生產鍋數'!A:H,3,0)</f>
        <v>0.17</v>
      </c>
      <c r="F1843" s="142">
        <f>VLOOKUP(B1843,'112年全品項生產鍋數'!A:H,7,0)</f>
        <v>912.6</v>
      </c>
      <c r="G1843" s="143">
        <f t="shared" ref="G1843:G1890" si="256">D1843*F1843</f>
        <v>3650.4</v>
      </c>
      <c r="H1843" s="156">
        <v>3352</v>
      </c>
      <c r="I1843" s="144">
        <f t="shared" ref="I1843:I1890" si="257">H1843*E1843</f>
        <v>569.84</v>
      </c>
      <c r="J1843" s="100">
        <f t="shared" ref="J1843:J1890" si="258">IF(G1843=0,"無法預估數據",H1843/G1843)</f>
        <v>0.918255533640149</v>
      </c>
      <c r="K1843" s="51">
        <f>VLOOKUP(B:B,'生產達成率(目標)'!A:C,3,0)</f>
        <v>1</v>
      </c>
      <c r="L1843" s="20">
        <f t="shared" ref="L1843:L1890" si="259">IF(G1843=0,"無法預估數據",ROUND(J1843-K1843,3))</f>
        <v>-8.2000000000000003E-2</v>
      </c>
      <c r="M1843" s="137" t="str">
        <f>工時!R1027</f>
        <v>190</v>
      </c>
      <c r="N1843" s="144"/>
      <c r="O1843" s="144">
        <f t="shared" ref="O1843:O1890" si="260">H1843-N1843-P1843</f>
        <v>5</v>
      </c>
      <c r="P1843" s="156">
        <v>3347</v>
      </c>
      <c r="Q1843" s="145">
        <f t="shared" ref="Q1843:Q1890" si="261">P1843/H1843</f>
        <v>0.99850835322195708</v>
      </c>
      <c r="R1843" s="144"/>
      <c r="S1843" s="153"/>
      <c r="T1843" s="140"/>
      <c r="V1843" s="381"/>
      <c r="W1843" s="421"/>
      <c r="X1843" s="381"/>
      <c r="Y1843" s="421"/>
      <c r="Z1843" s="421"/>
      <c r="AA1843" s="421"/>
      <c r="AB1843" s="421"/>
      <c r="AC1843" s="421"/>
      <c r="AD1843" s="421"/>
    </row>
    <row r="1844" spans="1:30" s="146" customFormat="1" x14ac:dyDescent="0.4">
      <c r="A1844" s="212">
        <v>45856</v>
      </c>
      <c r="B1844" s="151" t="s">
        <v>887</v>
      </c>
      <c r="C1844" s="140" t="str">
        <f>VLOOKUP(B1844,'112年全品項生產鍋數'!A:H,2,0)</f>
        <v>檸檬藍莓醬1*260G</v>
      </c>
      <c r="D1844" s="287">
        <v>4</v>
      </c>
      <c r="E1844" s="141">
        <f>VLOOKUP(B1844,'112年全品項生產鍋數'!A:H,3,0)</f>
        <v>0.26</v>
      </c>
      <c r="F1844" s="142">
        <f>VLOOKUP(B1844,'112年全品項生產鍋數'!A:H,7,0)</f>
        <v>612</v>
      </c>
      <c r="G1844" s="143">
        <f t="shared" si="256"/>
        <v>2448</v>
      </c>
      <c r="H1844" s="156">
        <v>2264</v>
      </c>
      <c r="I1844" s="144">
        <f t="shared" si="257"/>
        <v>588.64</v>
      </c>
      <c r="J1844" s="100">
        <f t="shared" si="258"/>
        <v>0.92483660130718959</v>
      </c>
      <c r="K1844" s="51">
        <f>VLOOKUP(B:B,'生產達成率(目標)'!A:C,3,0)</f>
        <v>1</v>
      </c>
      <c r="L1844" s="20">
        <f t="shared" si="259"/>
        <v>-7.4999999999999997E-2</v>
      </c>
      <c r="M1844" s="137" t="str">
        <f>工時!R1028</f>
        <v>130</v>
      </c>
      <c r="N1844" s="144"/>
      <c r="O1844" s="144">
        <f t="shared" si="260"/>
        <v>11</v>
      </c>
      <c r="P1844" s="156">
        <v>2253</v>
      </c>
      <c r="Q1844" s="145">
        <f t="shared" si="261"/>
        <v>0.99514134275618371</v>
      </c>
      <c r="R1844" s="144"/>
      <c r="S1844" s="153"/>
      <c r="T1844" s="140"/>
      <c r="V1844" s="381"/>
      <c r="W1844" s="421"/>
      <c r="X1844" s="381"/>
      <c r="Y1844" s="421"/>
      <c r="Z1844" s="421"/>
      <c r="AA1844" s="421"/>
      <c r="AB1844" s="421"/>
      <c r="AC1844" s="421"/>
      <c r="AD1844" s="421"/>
    </row>
    <row r="1845" spans="1:30" x14ac:dyDescent="0.4">
      <c r="A1845" s="210">
        <v>45856</v>
      </c>
      <c r="B1845" s="151" t="s">
        <v>80</v>
      </c>
      <c r="C1845" s="30" t="str">
        <f>VLOOKUP(B1845,'112年全品項生產鍋數'!A:H,2,0)</f>
        <v>＃1桔子(1*3.2kg)</v>
      </c>
      <c r="D1845" s="287">
        <v>40</v>
      </c>
      <c r="E1845" s="48">
        <f>VLOOKUP(B1845,'112年全品項生產鍋數'!A:H,3,0)</f>
        <v>3.2</v>
      </c>
      <c r="F1845" s="142">
        <f>VLOOKUP(B1845,'112年全品項生產鍋數'!A:H,7,0)</f>
        <v>46.4</v>
      </c>
      <c r="G1845" s="143">
        <f t="shared" si="256"/>
        <v>1856</v>
      </c>
      <c r="H1845" s="156">
        <v>1878</v>
      </c>
      <c r="I1845" s="23">
        <f t="shared" si="257"/>
        <v>6009.6</v>
      </c>
      <c r="J1845" s="100">
        <f t="shared" si="258"/>
        <v>1.0118534482758621</v>
      </c>
      <c r="K1845" s="51">
        <f>VLOOKUP(B:B,'生產達成率(目標)'!A:C,3,0)</f>
        <v>1</v>
      </c>
      <c r="L1845" s="20">
        <f t="shared" si="259"/>
        <v>1.2E-2</v>
      </c>
      <c r="M1845" s="137" t="str">
        <f>工時!R1029</f>
        <v>360</v>
      </c>
      <c r="N1845" s="144"/>
      <c r="O1845" s="144">
        <f t="shared" si="260"/>
        <v>1</v>
      </c>
      <c r="P1845" s="156">
        <v>1877</v>
      </c>
      <c r="Q1845" s="98">
        <f t="shared" si="261"/>
        <v>0.99946751863684768</v>
      </c>
      <c r="R1845" s="23"/>
      <c r="S1845" s="173"/>
      <c r="T1845" s="30"/>
    </row>
    <row r="1846" spans="1:30" ht="15.75" customHeight="1" x14ac:dyDescent="0.4">
      <c r="A1846" s="210">
        <v>45856</v>
      </c>
      <c r="B1846" s="151" t="s">
        <v>110</v>
      </c>
      <c r="C1846" s="30" t="str">
        <f>VLOOKUP(B1846,'112年全品項生產鍋數'!A:H,2,0)</f>
        <v>顆粒花生醬(1*12KG)</v>
      </c>
      <c r="D1846" s="287">
        <v>20</v>
      </c>
      <c r="E1846" s="48">
        <f>VLOOKUP(B1846,'112年全品項生產鍋數'!A:H,3,0)</f>
        <v>3</v>
      </c>
      <c r="F1846" s="142">
        <f>VLOOKUP(B1846,'112年全品項生產鍋數'!A:H,7,0)</f>
        <v>30.8</v>
      </c>
      <c r="G1846" s="143">
        <f t="shared" si="256"/>
        <v>616</v>
      </c>
      <c r="H1846" s="156">
        <v>648</v>
      </c>
      <c r="I1846" s="23">
        <f t="shared" si="257"/>
        <v>1944</v>
      </c>
      <c r="J1846" s="100">
        <f t="shared" si="258"/>
        <v>1.051948051948052</v>
      </c>
      <c r="K1846" s="51">
        <f>VLOOKUP(B:B,'生產達成率(目標)'!A:C,3,0)</f>
        <v>1</v>
      </c>
      <c r="L1846" s="20">
        <f t="shared" si="259"/>
        <v>5.1999999999999998E-2</v>
      </c>
      <c r="M1846" s="137" t="str">
        <f>工時!R1030</f>
        <v>540</v>
      </c>
      <c r="N1846" s="144"/>
      <c r="O1846" s="144">
        <f t="shared" si="260"/>
        <v>0</v>
      </c>
      <c r="P1846" s="156">
        <v>648</v>
      </c>
      <c r="Q1846" s="98">
        <f t="shared" si="261"/>
        <v>1</v>
      </c>
      <c r="R1846" s="23"/>
      <c r="S1846" s="173"/>
      <c r="T1846" s="30"/>
    </row>
    <row r="1847" spans="1:30" x14ac:dyDescent="0.4">
      <c r="A1847" s="210">
        <v>45856</v>
      </c>
      <c r="B1847" s="151" t="s">
        <v>104</v>
      </c>
      <c r="C1847" s="30" t="str">
        <f>VLOOKUP(B1847,'112年全品項生產鍋數'!A:H,2,0)</f>
        <v>＃1花生(粒)(1*2.8kg)</v>
      </c>
      <c r="D1847" s="287">
        <v>40</v>
      </c>
      <c r="E1847" s="48">
        <f>VLOOKUP(B1847,'112年全品項生產鍋數'!A:H,3,0)</f>
        <v>2.8</v>
      </c>
      <c r="F1847" s="142">
        <f>VLOOKUP(B1847,'112年全品項生產鍋數'!A:H,7,0)</f>
        <v>44.2</v>
      </c>
      <c r="G1847" s="143">
        <f t="shared" si="256"/>
        <v>1768</v>
      </c>
      <c r="H1847" s="156">
        <v>1791</v>
      </c>
      <c r="I1847" s="23">
        <f t="shared" si="257"/>
        <v>5014.7999999999993</v>
      </c>
      <c r="J1847" s="100">
        <f t="shared" si="258"/>
        <v>1.0130090497737556</v>
      </c>
      <c r="K1847" s="51">
        <f>VLOOKUP(B:B,'生產達成率(目標)'!A:C,3,0)</f>
        <v>1</v>
      </c>
      <c r="L1847" s="20">
        <f t="shared" si="259"/>
        <v>1.2999999999999999E-2</v>
      </c>
      <c r="M1847" s="137" t="str">
        <f>工時!R1031</f>
        <v>370</v>
      </c>
      <c r="N1847" s="144"/>
      <c r="O1847" s="144">
        <f t="shared" si="260"/>
        <v>2</v>
      </c>
      <c r="P1847" s="156">
        <v>1789</v>
      </c>
      <c r="Q1847" s="98">
        <f t="shared" si="261"/>
        <v>0.9988833054159687</v>
      </c>
      <c r="R1847" s="23"/>
      <c r="S1847" s="173"/>
      <c r="T1847" s="30"/>
    </row>
    <row r="1848" spans="1:30" x14ac:dyDescent="0.4">
      <c r="A1848" s="210">
        <v>45856</v>
      </c>
      <c r="B1848" s="151" t="s">
        <v>131</v>
      </c>
      <c r="C1848" s="30" t="str">
        <f>VLOOKUP(B1848,'112年全品項生產鍋數'!A:H,2,0)</f>
        <v>花生醬(1*18KG)</v>
      </c>
      <c r="D1848" s="287">
        <v>32</v>
      </c>
      <c r="E1848" s="48">
        <f>VLOOKUP(B1848,'112年全品項生產鍋數'!A:H,3,0)</f>
        <v>18</v>
      </c>
      <c r="F1848" s="142">
        <f>VLOOKUP(B1848,'112年全品項生產鍋數'!A:H,7,0)</f>
        <v>6.9</v>
      </c>
      <c r="G1848" s="143">
        <f t="shared" si="256"/>
        <v>220.8</v>
      </c>
      <c r="H1848" s="156">
        <v>224</v>
      </c>
      <c r="I1848" s="23">
        <f t="shared" si="257"/>
        <v>4032</v>
      </c>
      <c r="J1848" s="100">
        <f t="shared" si="258"/>
        <v>1.0144927536231882</v>
      </c>
      <c r="K1848" s="51">
        <f>VLOOKUP(B:B,'生產達成率(目標)'!A:C,3,0)</f>
        <v>1</v>
      </c>
      <c r="L1848" s="20">
        <f t="shared" si="259"/>
        <v>1.4E-2</v>
      </c>
      <c r="M1848" s="137" t="str">
        <f>工時!R1032</f>
        <v>365</v>
      </c>
      <c r="N1848" s="144"/>
      <c r="O1848" s="144">
        <f t="shared" si="260"/>
        <v>0</v>
      </c>
      <c r="P1848" s="156">
        <v>224</v>
      </c>
      <c r="Q1848" s="98">
        <f t="shared" si="261"/>
        <v>1</v>
      </c>
      <c r="R1848" s="23"/>
      <c r="S1848" s="173"/>
      <c r="T1848" s="30"/>
    </row>
    <row r="1849" spans="1:30" x14ac:dyDescent="0.4">
      <c r="A1849" s="210">
        <v>45859</v>
      </c>
      <c r="B1849" s="151" t="s">
        <v>71</v>
      </c>
      <c r="C1849" s="30" t="str">
        <f>VLOOKUP(B1849,'112年全品項生產鍋數'!A:H,2,0)</f>
        <v>＃1草莓(1*3.2kg)</v>
      </c>
      <c r="D1849" s="287">
        <v>40</v>
      </c>
      <c r="E1849" s="48">
        <f>VLOOKUP(B1849,'112年全品項生產鍋數'!A:H,3,0)</f>
        <v>3.2</v>
      </c>
      <c r="F1849" s="142">
        <f>VLOOKUP(B1849,'112年全品項生產鍋數'!A:H,7,0)</f>
        <v>46.8</v>
      </c>
      <c r="G1849" s="143">
        <f t="shared" si="256"/>
        <v>1872</v>
      </c>
      <c r="H1849" s="156">
        <v>1891</v>
      </c>
      <c r="I1849" s="23">
        <f t="shared" si="257"/>
        <v>6051.2000000000007</v>
      </c>
      <c r="J1849" s="100">
        <f t="shared" si="258"/>
        <v>1.0101495726495726</v>
      </c>
      <c r="K1849" s="51">
        <f>VLOOKUP(B:B,'生產達成率(目標)'!A:C,3,0)</f>
        <v>1</v>
      </c>
      <c r="L1849" s="20">
        <f t="shared" si="259"/>
        <v>0.01</v>
      </c>
      <c r="M1849" s="137" t="str">
        <f>工時!R1033</f>
        <v>340</v>
      </c>
      <c r="N1849" s="144"/>
      <c r="O1849" s="144">
        <f t="shared" si="260"/>
        <v>1</v>
      </c>
      <c r="P1849" s="156">
        <v>1890</v>
      </c>
      <c r="Q1849" s="98">
        <f t="shared" si="261"/>
        <v>0.99947117927022744</v>
      </c>
      <c r="R1849" s="23"/>
      <c r="S1849" s="173"/>
      <c r="T1849" s="30"/>
    </row>
    <row r="1850" spans="1:30" x14ac:dyDescent="0.4">
      <c r="A1850" s="210">
        <v>45859</v>
      </c>
      <c r="B1850" s="151" t="s">
        <v>91</v>
      </c>
      <c r="C1850" s="30" t="str">
        <f>VLOOKUP(B1850,'112年全品項生產鍋數'!A:H,2,0)</f>
        <v>梨山草莓果醬(1*430g)</v>
      </c>
      <c r="D1850" s="287">
        <v>12</v>
      </c>
      <c r="E1850" s="48">
        <f>VLOOKUP(B1850,'112年全品項生產鍋數'!A:H,3,0)</f>
        <v>0.43</v>
      </c>
      <c r="F1850" s="142">
        <f>VLOOKUP(B1850,'112年全品項生產鍋數'!A:H,7,0)</f>
        <v>340.4</v>
      </c>
      <c r="G1850" s="143">
        <f t="shared" si="256"/>
        <v>4084.7999999999997</v>
      </c>
      <c r="H1850" s="156">
        <v>4105</v>
      </c>
      <c r="I1850" s="23">
        <f t="shared" si="257"/>
        <v>1765.1499999999999</v>
      </c>
      <c r="J1850" s="100">
        <f t="shared" si="258"/>
        <v>1.0049451625538584</v>
      </c>
      <c r="K1850" s="51">
        <f>VLOOKUP(B:B,'生產達成率(目標)'!A:C,3,0)</f>
        <v>1</v>
      </c>
      <c r="L1850" s="20">
        <f t="shared" si="259"/>
        <v>5.0000000000000001E-3</v>
      </c>
      <c r="M1850" s="137" t="str">
        <f>工時!R1034</f>
        <v>210</v>
      </c>
      <c r="N1850" s="144"/>
      <c r="O1850" s="144">
        <f t="shared" si="260"/>
        <v>11</v>
      </c>
      <c r="P1850" s="156">
        <v>4094</v>
      </c>
      <c r="Q1850" s="98">
        <f t="shared" si="261"/>
        <v>0.997320341047503</v>
      </c>
      <c r="R1850" s="23"/>
      <c r="S1850" s="173"/>
      <c r="T1850" s="30"/>
    </row>
    <row r="1851" spans="1:30" x14ac:dyDescent="0.4">
      <c r="A1851" s="210">
        <v>45859</v>
      </c>
      <c r="B1851" s="151" t="s">
        <v>1099</v>
      </c>
      <c r="C1851" s="30" t="str">
        <f>VLOOKUP(B1851,'112年全品項生產鍋數'!A:H,2,0)</f>
        <v>百香綠茶餡(1*6Kg)</v>
      </c>
      <c r="D1851" s="287">
        <v>4</v>
      </c>
      <c r="E1851" s="48">
        <f>VLOOKUP(B1851,'112年全品項生產鍋數'!A:H,3,0)</f>
        <v>6</v>
      </c>
      <c r="F1851" s="142">
        <f>VLOOKUP(B1851,'112年全品項生產鍋數'!A:H,7,0)</f>
        <v>0</v>
      </c>
      <c r="G1851" s="143">
        <f t="shared" si="256"/>
        <v>0</v>
      </c>
      <c r="H1851" s="156">
        <v>104</v>
      </c>
      <c r="I1851" s="23">
        <f t="shared" si="257"/>
        <v>624</v>
      </c>
      <c r="J1851" s="100" t="str">
        <f t="shared" si="258"/>
        <v>無法預估數據</v>
      </c>
      <c r="K1851" s="51">
        <f>VLOOKUP(B:B,'生產達成率(目標)'!A:C,3,0)</f>
        <v>1</v>
      </c>
      <c r="L1851" s="20" t="str">
        <f t="shared" si="259"/>
        <v>無法預估數據</v>
      </c>
      <c r="M1851" s="137" t="str">
        <f>工時!R1035</f>
        <v>89</v>
      </c>
      <c r="N1851" s="144"/>
      <c r="O1851" s="144">
        <f t="shared" si="260"/>
        <v>1</v>
      </c>
      <c r="P1851" s="156">
        <v>103</v>
      </c>
      <c r="Q1851" s="98">
        <f t="shared" si="261"/>
        <v>0.99038461538461542</v>
      </c>
      <c r="R1851" s="23"/>
      <c r="S1851" s="173"/>
      <c r="T1851" s="30"/>
    </row>
    <row r="1852" spans="1:30" x14ac:dyDescent="0.4">
      <c r="A1852" s="210">
        <v>45859</v>
      </c>
      <c r="B1852" s="151" t="s">
        <v>997</v>
      </c>
      <c r="C1852" s="30" t="str">
        <f>VLOOKUP(B1852,'112年全品項生產鍋數'!A:H,2,0)</f>
        <v>蜜桃餡(1*6Kg)</v>
      </c>
      <c r="D1852" s="287">
        <v>6</v>
      </c>
      <c r="E1852" s="48">
        <f>VLOOKUP(B1852,'112年全品項生產鍋數'!A:H,3,0)</f>
        <v>6</v>
      </c>
      <c r="F1852" s="142">
        <f>VLOOKUP(B1852,'112年全品項生產鍋數'!A:H,7,0)</f>
        <v>25.8</v>
      </c>
      <c r="G1852" s="143">
        <f t="shared" si="256"/>
        <v>154.80000000000001</v>
      </c>
      <c r="H1852" s="156">
        <v>183</v>
      </c>
      <c r="I1852" s="23">
        <f t="shared" si="257"/>
        <v>1098</v>
      </c>
      <c r="J1852" s="100">
        <f t="shared" si="258"/>
        <v>1.1821705426356588</v>
      </c>
      <c r="K1852" s="51" t="e">
        <f>VLOOKUP(B:B,'生產達成率(目標)'!A:C,3,0)</f>
        <v>#N/A</v>
      </c>
      <c r="L1852" s="20" t="e">
        <f t="shared" si="259"/>
        <v>#N/A</v>
      </c>
      <c r="M1852" s="137" t="str">
        <f>工時!R1036</f>
        <v>175</v>
      </c>
      <c r="N1852" s="144"/>
      <c r="O1852" s="144">
        <f t="shared" si="260"/>
        <v>2</v>
      </c>
      <c r="P1852" s="156">
        <v>181</v>
      </c>
      <c r="Q1852" s="98">
        <f t="shared" si="261"/>
        <v>0.98907103825136611</v>
      </c>
      <c r="R1852" s="23"/>
      <c r="S1852" s="173"/>
      <c r="T1852" s="30"/>
    </row>
    <row r="1853" spans="1:30" x14ac:dyDescent="0.4">
      <c r="A1853" s="210">
        <v>45859</v>
      </c>
      <c r="B1853" s="151" t="s">
        <v>81</v>
      </c>
      <c r="C1853" s="30" t="str">
        <f>VLOOKUP(B1853,'112年全品項生產鍋數'!A:H,2,0)</f>
        <v>藍莓餡(1*6Kg)</v>
      </c>
      <c r="D1853" s="287">
        <v>28</v>
      </c>
      <c r="E1853" s="48">
        <f>VLOOKUP(B1853,'112年全品項生產鍋數'!A:H,3,0)</f>
        <v>6</v>
      </c>
      <c r="F1853" s="142">
        <f>VLOOKUP(B1853,'112年全品項生產鍋數'!A:H,7,0)</f>
        <v>25.1</v>
      </c>
      <c r="G1853" s="143">
        <f t="shared" si="256"/>
        <v>702.80000000000007</v>
      </c>
      <c r="H1853" s="156">
        <v>711</v>
      </c>
      <c r="I1853" s="23">
        <f t="shared" si="257"/>
        <v>4266</v>
      </c>
      <c r="J1853" s="100">
        <f t="shared" si="258"/>
        <v>1.0116676152532724</v>
      </c>
      <c r="K1853" s="51">
        <f>VLOOKUP(B:B,'生產達成率(目標)'!A:C,3,0)</f>
        <v>1</v>
      </c>
      <c r="L1853" s="20">
        <f t="shared" si="259"/>
        <v>1.2E-2</v>
      </c>
      <c r="M1853" s="137" t="str">
        <f>工時!R1037</f>
        <v>390</v>
      </c>
      <c r="N1853" s="144"/>
      <c r="O1853" s="144">
        <f t="shared" si="260"/>
        <v>1</v>
      </c>
      <c r="P1853" s="156">
        <v>710</v>
      </c>
      <c r="Q1853" s="98">
        <f t="shared" si="261"/>
        <v>0.99859353023909991</v>
      </c>
      <c r="R1853" s="23"/>
      <c r="S1853" s="173"/>
      <c r="T1853" s="30"/>
    </row>
    <row r="1854" spans="1:30" x14ac:dyDescent="0.4">
      <c r="A1854" s="210">
        <v>45859</v>
      </c>
      <c r="B1854" s="151" t="s">
        <v>97</v>
      </c>
      <c r="C1854" s="30" t="str">
        <f>VLOOKUP(B1854,'112年全品項生產鍋數'!A:H,2,0)</f>
        <v>花生醬(1*18KG)</v>
      </c>
      <c r="D1854" s="287">
        <v>8</v>
      </c>
      <c r="E1854" s="48">
        <f>VLOOKUP(B1854,'112年全品項生產鍋數'!A:H,3,0)</f>
        <v>18</v>
      </c>
      <c r="F1854" s="142">
        <f>VLOOKUP(B1854,'112年全品項生產鍋數'!A:H,7,0)</f>
        <v>6.6</v>
      </c>
      <c r="G1854" s="143">
        <f t="shared" si="256"/>
        <v>52.8</v>
      </c>
      <c r="H1854" s="156">
        <v>48</v>
      </c>
      <c r="I1854" s="23">
        <f t="shared" si="257"/>
        <v>864</v>
      </c>
      <c r="J1854" s="100">
        <f t="shared" si="258"/>
        <v>0.90909090909090917</v>
      </c>
      <c r="K1854" s="51">
        <f>VLOOKUP(B:B,'生產達成率(目標)'!A:C,3,0)</f>
        <v>1</v>
      </c>
      <c r="L1854" s="20">
        <f t="shared" si="259"/>
        <v>-9.0999999999999998E-2</v>
      </c>
      <c r="M1854" s="137" t="str">
        <f>工時!R1038</f>
        <v>135</v>
      </c>
      <c r="N1854" s="144"/>
      <c r="O1854" s="144">
        <f t="shared" si="260"/>
        <v>0</v>
      </c>
      <c r="P1854" s="156">
        <v>48</v>
      </c>
      <c r="Q1854" s="98">
        <f t="shared" si="261"/>
        <v>1</v>
      </c>
      <c r="R1854" s="23"/>
      <c r="S1854" s="173"/>
      <c r="T1854" s="30"/>
    </row>
    <row r="1855" spans="1:30" x14ac:dyDescent="0.4">
      <c r="A1855" s="210">
        <v>45859</v>
      </c>
      <c r="B1855" s="151" t="s">
        <v>123</v>
      </c>
      <c r="C1855" s="30" t="str">
        <f>VLOOKUP(B1855,'112年全品項生產鍋數'!A:H,2,0)</f>
        <v>深烤焙花生醬(1*18KG)</v>
      </c>
      <c r="D1855" s="287">
        <v>40</v>
      </c>
      <c r="E1855" s="48">
        <f>VLOOKUP(B1855,'112年全品項生產鍋數'!A:H,3,0)</f>
        <v>18</v>
      </c>
      <c r="F1855" s="142">
        <f>VLOOKUP(B1855,'112年全品項生產鍋數'!A:H,7,0)</f>
        <v>6.9</v>
      </c>
      <c r="G1855" s="143">
        <f t="shared" si="256"/>
        <v>276</v>
      </c>
      <c r="H1855" s="156">
        <v>281</v>
      </c>
      <c r="I1855" s="23">
        <f t="shared" si="257"/>
        <v>5058</v>
      </c>
      <c r="J1855" s="100">
        <f t="shared" si="258"/>
        <v>1.0181159420289856</v>
      </c>
      <c r="K1855" s="51">
        <f>VLOOKUP(B:B,'生產達成率(目標)'!A:C,3,0)</f>
        <v>1</v>
      </c>
      <c r="L1855" s="20">
        <f t="shared" si="259"/>
        <v>1.7999999999999999E-2</v>
      </c>
      <c r="M1855" s="137" t="str">
        <f>工時!R1039</f>
        <v>425</v>
      </c>
      <c r="N1855" s="144"/>
      <c r="O1855" s="144">
        <f t="shared" si="260"/>
        <v>0</v>
      </c>
      <c r="P1855" s="156">
        <v>281</v>
      </c>
      <c r="Q1855" s="98">
        <f t="shared" si="261"/>
        <v>1</v>
      </c>
      <c r="R1855" s="23"/>
      <c r="S1855" s="173"/>
      <c r="T1855" s="30"/>
    </row>
    <row r="1856" spans="1:30" s="146" customFormat="1" x14ac:dyDescent="0.4">
      <c r="A1856" s="212">
        <v>45859</v>
      </c>
      <c r="B1856" s="151" t="s">
        <v>594</v>
      </c>
      <c r="C1856" s="140" t="str">
        <f>VLOOKUP(B1856,'112年全品項生產鍋數'!A:H,2,0)</f>
        <v>柚皮鮮果乾(100g)</v>
      </c>
      <c r="D1856" s="287">
        <v>1</v>
      </c>
      <c r="E1856" s="141">
        <f>VLOOKUP(B1856,'112年全品項生產鍋數'!A:H,3,0)</f>
        <v>0.1</v>
      </c>
      <c r="F1856" s="142">
        <f>VLOOKUP(B1856,'112年全品項生產鍋數'!A:H,7,0)</f>
        <v>1732</v>
      </c>
      <c r="G1856" s="143">
        <f t="shared" si="256"/>
        <v>1732</v>
      </c>
      <c r="H1856" s="156">
        <v>1650</v>
      </c>
      <c r="I1856" s="144">
        <f t="shared" si="257"/>
        <v>165</v>
      </c>
      <c r="J1856" s="100">
        <f t="shared" si="258"/>
        <v>0.95265588914549648</v>
      </c>
      <c r="K1856" s="51">
        <f>VLOOKUP(B:B,'生產達成率(目標)'!A:C,3,0)</f>
        <v>1</v>
      </c>
      <c r="L1856" s="20">
        <f t="shared" si="259"/>
        <v>-4.7E-2</v>
      </c>
      <c r="M1856" s="137" t="str">
        <f>工時!R1040</f>
        <v>0</v>
      </c>
      <c r="N1856" s="144"/>
      <c r="O1856" s="144">
        <f t="shared" si="260"/>
        <v>29</v>
      </c>
      <c r="P1856" s="156">
        <v>1621</v>
      </c>
      <c r="Q1856" s="145">
        <f t="shared" si="261"/>
        <v>0.98242424242424242</v>
      </c>
      <c r="R1856" s="144"/>
      <c r="S1856" s="153"/>
      <c r="T1856" s="140"/>
      <c r="V1856" s="381"/>
      <c r="W1856" s="421"/>
      <c r="X1856" s="381"/>
      <c r="Y1856" s="421"/>
      <c r="Z1856" s="421"/>
      <c r="AA1856" s="421"/>
      <c r="AB1856" s="421"/>
      <c r="AC1856" s="421"/>
      <c r="AD1856" s="421"/>
    </row>
    <row r="1857" spans="1:30" x14ac:dyDescent="0.4">
      <c r="A1857" s="210">
        <v>45860</v>
      </c>
      <c r="B1857" s="151" t="s">
        <v>75</v>
      </c>
      <c r="C1857" s="30" t="str">
        <f>VLOOKUP(B1857,'112年全品項生產鍋數'!A:H,2,0)</f>
        <v>草莓椰果餡(1*6Kg)</v>
      </c>
      <c r="D1857" s="287">
        <v>16</v>
      </c>
      <c r="E1857" s="48">
        <f>VLOOKUP(B1857,'112年全品項生產鍋數'!A:H,3,0)</f>
        <v>6</v>
      </c>
      <c r="F1857" s="142">
        <f>VLOOKUP(B1857,'112年全品項生產鍋數'!A:H,7,0)</f>
        <v>26.4</v>
      </c>
      <c r="G1857" s="143">
        <f t="shared" si="256"/>
        <v>422.4</v>
      </c>
      <c r="H1857" s="156">
        <v>433</v>
      </c>
      <c r="I1857" s="23">
        <f t="shared" si="257"/>
        <v>2598</v>
      </c>
      <c r="J1857" s="100">
        <f t="shared" si="258"/>
        <v>1.025094696969697</v>
      </c>
      <c r="K1857" s="51">
        <f>VLOOKUP(B:B,'生產達成率(目標)'!A:C,3,0)</f>
        <v>1</v>
      </c>
      <c r="L1857" s="20">
        <f t="shared" si="259"/>
        <v>2.5000000000000001E-2</v>
      </c>
      <c r="M1857" s="137" t="str">
        <f>工時!R1041</f>
        <v>250</v>
      </c>
      <c r="N1857" s="144"/>
      <c r="O1857" s="144">
        <f t="shared" si="260"/>
        <v>2</v>
      </c>
      <c r="P1857" s="156">
        <v>431</v>
      </c>
      <c r="Q1857" s="98">
        <f t="shared" si="261"/>
        <v>0.99538106235565815</v>
      </c>
      <c r="R1857" s="23"/>
      <c r="S1857" s="173"/>
      <c r="T1857" s="30"/>
    </row>
    <row r="1858" spans="1:30" x14ac:dyDescent="0.4">
      <c r="A1858" s="210">
        <v>45860</v>
      </c>
      <c r="B1858" s="151" t="s">
        <v>63</v>
      </c>
      <c r="C1858" s="30" t="str">
        <f>VLOOKUP(B1858,'112年全品項生產鍋數'!A:H,2,0)</f>
        <v>草莓蒟蒻餡(1*6kg)</v>
      </c>
      <c r="D1858" s="287">
        <v>24</v>
      </c>
      <c r="E1858" s="48">
        <f>VLOOKUP(B1858,'112年全品項生產鍋數'!A:H,3,0)</f>
        <v>6</v>
      </c>
      <c r="F1858" s="142">
        <f>VLOOKUP(B1858,'112年全品項生產鍋數'!A:H,7,0)</f>
        <v>25.7</v>
      </c>
      <c r="G1858" s="143">
        <f t="shared" si="256"/>
        <v>616.79999999999995</v>
      </c>
      <c r="H1858" s="156">
        <f>308+327</f>
        <v>635</v>
      </c>
      <c r="I1858" s="23">
        <f t="shared" si="257"/>
        <v>3810</v>
      </c>
      <c r="J1858" s="100">
        <f t="shared" si="258"/>
        <v>1.0295071335927368</v>
      </c>
      <c r="K1858" s="51">
        <f>VLOOKUP(B:B,'生產達成率(目標)'!A:C,3,0)</f>
        <v>1</v>
      </c>
      <c r="L1858" s="20">
        <f t="shared" si="259"/>
        <v>0.03</v>
      </c>
      <c r="M1858" s="137" t="str">
        <f>工時!R1042</f>
        <v>330</v>
      </c>
      <c r="N1858" s="144"/>
      <c r="O1858" s="144">
        <f t="shared" si="260"/>
        <v>2</v>
      </c>
      <c r="P1858" s="156">
        <f>306+327</f>
        <v>633</v>
      </c>
      <c r="Q1858" s="98">
        <f t="shared" si="261"/>
        <v>0.99685039370078743</v>
      </c>
      <c r="R1858" s="23"/>
      <c r="S1858" s="173"/>
      <c r="T1858" s="30"/>
    </row>
    <row r="1859" spans="1:30" x14ac:dyDescent="0.4">
      <c r="A1859" s="210">
        <v>45860</v>
      </c>
      <c r="B1859" s="151" t="s">
        <v>108</v>
      </c>
      <c r="C1859" s="30" t="str">
        <f>VLOOKUP(B1859,'112年全品項生產鍋數'!A:H,2,0)</f>
        <v>顆粒花生醬(1*12KG)</v>
      </c>
      <c r="D1859" s="287">
        <v>21</v>
      </c>
      <c r="E1859" s="48">
        <f>VLOOKUP(B1859,'112年全品項生產鍋數'!A:H,3,0)</f>
        <v>3</v>
      </c>
      <c r="F1859" s="142">
        <f>VLOOKUP(B1859,'112年全品項生產鍋數'!A:H,7,0)</f>
        <v>31.6</v>
      </c>
      <c r="G1859" s="143">
        <f t="shared" si="256"/>
        <v>663.6</v>
      </c>
      <c r="H1859" s="156">
        <v>668</v>
      </c>
      <c r="I1859" s="23">
        <f t="shared" si="257"/>
        <v>2004</v>
      </c>
      <c r="J1859" s="100">
        <f t="shared" si="258"/>
        <v>1.0066305003013862</v>
      </c>
      <c r="K1859" s="51">
        <f>VLOOKUP(B:B,'生產達成率(目標)'!A:C,3,0)</f>
        <v>1</v>
      </c>
      <c r="L1859" s="20">
        <f t="shared" si="259"/>
        <v>7.0000000000000001E-3</v>
      </c>
      <c r="M1859" s="137" t="str">
        <f>工時!R1043</f>
        <v>540</v>
      </c>
      <c r="N1859" s="144"/>
      <c r="O1859" s="144">
        <f t="shared" si="260"/>
        <v>0</v>
      </c>
      <c r="P1859" s="156">
        <v>668</v>
      </c>
      <c r="Q1859" s="98">
        <f t="shared" si="261"/>
        <v>1</v>
      </c>
      <c r="R1859" s="23"/>
      <c r="S1859" s="173"/>
      <c r="T1859" s="30"/>
    </row>
    <row r="1860" spans="1:30" x14ac:dyDescent="0.4">
      <c r="A1860" s="210">
        <v>45860</v>
      </c>
      <c r="B1860" s="151" t="s">
        <v>65</v>
      </c>
      <c r="C1860" s="30" t="str">
        <f>VLOOKUP(B1860,'112年全品項生產鍋數'!A:H,2,0)</f>
        <v>＃1花生(1*2.8kg)</v>
      </c>
      <c r="D1860" s="287">
        <v>72</v>
      </c>
      <c r="E1860" s="48">
        <f>VLOOKUP(B1860,'112年全品項生產鍋數'!A:H,3,0)</f>
        <v>2.8</v>
      </c>
      <c r="F1860" s="142">
        <f>VLOOKUP(B1860,'112年全品項生產鍋數'!A:H,7,0)</f>
        <v>44.5</v>
      </c>
      <c r="G1860" s="143">
        <f t="shared" si="256"/>
        <v>3204</v>
      </c>
      <c r="H1860" s="156">
        <v>3216</v>
      </c>
      <c r="I1860" s="23">
        <f t="shared" si="257"/>
        <v>9004.7999999999993</v>
      </c>
      <c r="J1860" s="100">
        <f t="shared" si="258"/>
        <v>1.0037453183520599</v>
      </c>
      <c r="K1860" s="51">
        <f>VLOOKUP(B:B,'生產達成率(目標)'!A:C,3,0)</f>
        <v>1</v>
      </c>
      <c r="L1860" s="20">
        <f t="shared" si="259"/>
        <v>4.0000000000000001E-3</v>
      </c>
      <c r="M1860" s="137" t="str">
        <f>工時!R1044</f>
        <v>615</v>
      </c>
      <c r="N1860" s="144"/>
      <c r="O1860" s="144">
        <f t="shared" si="260"/>
        <v>1</v>
      </c>
      <c r="P1860" s="156">
        <v>3215</v>
      </c>
      <c r="Q1860" s="98">
        <f t="shared" si="261"/>
        <v>0.99968905472636815</v>
      </c>
      <c r="R1860" s="23"/>
      <c r="S1860" s="173"/>
      <c r="T1860" s="30"/>
    </row>
    <row r="1861" spans="1:30" x14ac:dyDescent="0.4">
      <c r="A1861" s="210">
        <v>45861</v>
      </c>
      <c r="B1861" s="151" t="s">
        <v>63</v>
      </c>
      <c r="C1861" s="30" t="str">
        <f>VLOOKUP(B1861,'112年全品項生產鍋數'!A:H,2,0)</f>
        <v>草莓蒟蒻餡(1*6kg)</v>
      </c>
      <c r="D1861" s="287">
        <v>24</v>
      </c>
      <c r="E1861" s="48">
        <f>VLOOKUP(B1861,'112年全品項生產鍋數'!A:H,3,0)</f>
        <v>6</v>
      </c>
      <c r="F1861" s="142">
        <f>VLOOKUP(B1861,'112年全品項生產鍋數'!A:H,7,0)</f>
        <v>25.7</v>
      </c>
      <c r="G1861" s="143">
        <f t="shared" si="256"/>
        <v>616.79999999999995</v>
      </c>
      <c r="H1861" s="156">
        <f>309+324</f>
        <v>633</v>
      </c>
      <c r="I1861" s="23">
        <f t="shared" si="257"/>
        <v>3798</v>
      </c>
      <c r="J1861" s="100">
        <f t="shared" si="258"/>
        <v>1.0262645914396888</v>
      </c>
      <c r="K1861" s="51">
        <f>VLOOKUP(B:B,'生產達成率(目標)'!A:C,3,0)</f>
        <v>1</v>
      </c>
      <c r="L1861" s="20">
        <f t="shared" si="259"/>
        <v>2.5999999999999999E-2</v>
      </c>
      <c r="M1861" s="137" t="str">
        <f>工時!R1045</f>
        <v>310</v>
      </c>
      <c r="N1861" s="144"/>
      <c r="O1861" s="144">
        <f t="shared" si="260"/>
        <v>3</v>
      </c>
      <c r="P1861" s="156">
        <f>307+323</f>
        <v>630</v>
      </c>
      <c r="Q1861" s="98">
        <f t="shared" si="261"/>
        <v>0.99526066350710896</v>
      </c>
      <c r="R1861" s="23"/>
      <c r="S1861" s="173"/>
      <c r="T1861" s="30"/>
    </row>
    <row r="1862" spans="1:30" x14ac:dyDescent="0.4">
      <c r="A1862" s="210">
        <v>45861</v>
      </c>
      <c r="B1862" s="151" t="s">
        <v>1099</v>
      </c>
      <c r="C1862" s="30" t="str">
        <f>VLOOKUP(B1862,'112年全品項生產鍋數'!A:H,2,0)</f>
        <v>百香綠茶餡(1*6Kg)</v>
      </c>
      <c r="D1862" s="287">
        <v>16</v>
      </c>
      <c r="E1862" s="48">
        <f>VLOOKUP(B1862,'112年全品項生產鍋數'!A:H,3,0)</f>
        <v>6</v>
      </c>
      <c r="F1862" s="142">
        <f>VLOOKUP(B1862,'112年全品項生產鍋數'!A:H,7,0)</f>
        <v>0</v>
      </c>
      <c r="G1862" s="143">
        <f t="shared" si="256"/>
        <v>0</v>
      </c>
      <c r="H1862" s="156">
        <v>431</v>
      </c>
      <c r="I1862" s="23">
        <f t="shared" si="257"/>
        <v>2586</v>
      </c>
      <c r="J1862" s="100" t="str">
        <f t="shared" si="258"/>
        <v>無法預估數據</v>
      </c>
      <c r="K1862" s="51">
        <f>VLOOKUP(B:B,'生產達成率(目標)'!A:C,3,0)</f>
        <v>1</v>
      </c>
      <c r="L1862" s="20" t="str">
        <f t="shared" si="259"/>
        <v>無法預估數據</v>
      </c>
      <c r="M1862" s="137" t="str">
        <f>工時!R1046</f>
        <v>250</v>
      </c>
      <c r="N1862" s="144"/>
      <c r="O1862" s="144">
        <f t="shared" si="260"/>
        <v>1</v>
      </c>
      <c r="P1862" s="156">
        <v>430</v>
      </c>
      <c r="Q1862" s="98">
        <f t="shared" si="261"/>
        <v>0.99767981438515085</v>
      </c>
      <c r="R1862" s="23"/>
      <c r="S1862" s="173"/>
      <c r="T1862" s="30"/>
    </row>
    <row r="1863" spans="1:30" x14ac:dyDescent="0.4">
      <c r="A1863" s="210">
        <v>45861</v>
      </c>
      <c r="B1863" s="151" t="s">
        <v>73</v>
      </c>
      <c r="C1863" s="30" t="str">
        <f>VLOOKUP(B1863,'112年全品項生產鍋數'!A:H,2,0)</f>
        <v>顆粒花生醬(1*12KG)</v>
      </c>
      <c r="D1863" s="287">
        <v>21</v>
      </c>
      <c r="E1863" s="48">
        <f>VLOOKUP(B1863,'112年全品項生產鍋數'!A:H,3,0)</f>
        <v>3</v>
      </c>
      <c r="F1863" s="142">
        <f>VLOOKUP(B1863,'112年全品項生產鍋數'!A:H,7,0)</f>
        <v>29.7</v>
      </c>
      <c r="G1863" s="143">
        <f t="shared" si="256"/>
        <v>623.69999999999993</v>
      </c>
      <c r="H1863" s="156">
        <v>628</v>
      </c>
      <c r="I1863" s="23">
        <f t="shared" si="257"/>
        <v>1884</v>
      </c>
      <c r="J1863" s="100">
        <f t="shared" si="258"/>
        <v>1.0068943402276738</v>
      </c>
      <c r="K1863" s="51">
        <f>VLOOKUP(B:B,'生產達成率(目標)'!A:C,3,0)</f>
        <v>1</v>
      </c>
      <c r="L1863" s="20">
        <f t="shared" si="259"/>
        <v>7.0000000000000001E-3</v>
      </c>
      <c r="M1863" s="137" t="str">
        <f>工時!R1047</f>
        <v>540</v>
      </c>
      <c r="N1863" s="144"/>
      <c r="O1863" s="144">
        <f t="shared" si="260"/>
        <v>0</v>
      </c>
      <c r="P1863" s="156">
        <v>628</v>
      </c>
      <c r="Q1863" s="98">
        <f t="shared" si="261"/>
        <v>1</v>
      </c>
      <c r="R1863" s="23"/>
      <c r="S1863" s="173"/>
      <c r="T1863" s="30"/>
    </row>
    <row r="1864" spans="1:30" x14ac:dyDescent="0.4">
      <c r="A1864" s="210">
        <v>45861</v>
      </c>
      <c r="B1864" s="151" t="s">
        <v>65</v>
      </c>
      <c r="C1864" s="30" t="str">
        <f>VLOOKUP(B1864,'112年全品項生產鍋數'!A:H,2,0)</f>
        <v>＃1花生(1*2.8kg)</v>
      </c>
      <c r="D1864" s="287">
        <v>72</v>
      </c>
      <c r="E1864" s="48">
        <f>VLOOKUP(B1864,'112年全品項生產鍋數'!A:H,3,0)</f>
        <v>2.8</v>
      </c>
      <c r="F1864" s="142">
        <f>VLOOKUP(B1864,'112年全品項生產鍋數'!A:H,7,0)</f>
        <v>44.5</v>
      </c>
      <c r="G1864" s="143">
        <f t="shared" si="256"/>
        <v>3204</v>
      </c>
      <c r="H1864" s="144">
        <v>3213</v>
      </c>
      <c r="I1864" s="23">
        <f t="shared" si="257"/>
        <v>8996.4</v>
      </c>
      <c r="J1864" s="100">
        <f t="shared" si="258"/>
        <v>1.002808988764045</v>
      </c>
      <c r="K1864" s="51">
        <f>VLOOKUP(B:B,'生產達成率(目標)'!A:C,3,0)</f>
        <v>1</v>
      </c>
      <c r="L1864" s="20">
        <f t="shared" si="259"/>
        <v>3.0000000000000001E-3</v>
      </c>
      <c r="M1864" s="137" t="str">
        <f>工時!R1048</f>
        <v>595</v>
      </c>
      <c r="N1864" s="144"/>
      <c r="O1864" s="144">
        <f t="shared" si="260"/>
        <v>1</v>
      </c>
      <c r="P1864" s="156">
        <v>3212</v>
      </c>
      <c r="Q1864" s="98">
        <f t="shared" si="261"/>
        <v>0.99968876439464671</v>
      </c>
      <c r="R1864" s="23"/>
      <c r="S1864" s="173"/>
      <c r="T1864" s="30"/>
    </row>
    <row r="1865" spans="1:30" x14ac:dyDescent="0.4">
      <c r="A1865" s="210">
        <v>45861</v>
      </c>
      <c r="B1865" s="151" t="s">
        <v>434</v>
      </c>
      <c r="C1865" s="30" t="str">
        <f>VLOOKUP(B1865,'112年全品項生產鍋數'!A:H,2,0)</f>
        <v>蜜桔皮</v>
      </c>
      <c r="D1865" s="287">
        <v>50</v>
      </c>
      <c r="E1865" s="48">
        <f>VLOOKUP(B1865,'112年全品項生產鍋數'!A:H,3,0)</f>
        <v>1</v>
      </c>
      <c r="F1865" s="142">
        <f>VLOOKUP(B1865,'112年全品項生產鍋數'!A:H,7,0)</f>
        <v>6</v>
      </c>
      <c r="G1865" s="143">
        <f>D1865*F1865</f>
        <v>300</v>
      </c>
      <c r="H1865" s="156">
        <v>301</v>
      </c>
      <c r="I1865" s="23">
        <f>H1865*E1865</f>
        <v>301</v>
      </c>
      <c r="J1865" s="100">
        <f>IF(G1865=0,"無法預估數據",H1865/G1865)</f>
        <v>1.0033333333333334</v>
      </c>
      <c r="K1865" s="51">
        <f>VLOOKUP(B:B,'生產達成率(目標)'!A:C,3,0)</f>
        <v>1</v>
      </c>
      <c r="L1865" s="20">
        <f>IF(G1865=0,"無法預估數據",ROUND(J1865-K1865,3))</f>
        <v>3.0000000000000001E-3</v>
      </c>
      <c r="M1865" s="137" t="str">
        <f>工時!R1049</f>
        <v>0</v>
      </c>
      <c r="N1865" s="144"/>
      <c r="O1865" s="144">
        <f>H1865-N1865-P1865</f>
        <v>0</v>
      </c>
      <c r="P1865" s="156">
        <v>301</v>
      </c>
      <c r="Q1865" s="98">
        <f>P1865/H1865</f>
        <v>1</v>
      </c>
      <c r="R1865" s="23"/>
      <c r="S1865" s="173"/>
      <c r="T1865" s="30"/>
    </row>
    <row r="1866" spans="1:30" x14ac:dyDescent="0.4">
      <c r="A1866" s="210">
        <v>45862</v>
      </c>
      <c r="B1866" s="151" t="s">
        <v>87</v>
      </c>
      <c r="C1866" s="30" t="str">
        <f>VLOOKUP(B1866,'112年全品項生產鍋數'!A:H,2,0)</f>
        <v>＃1藍莓(1*3.2kg)</v>
      </c>
      <c r="D1866" s="287">
        <v>72</v>
      </c>
      <c r="E1866" s="48">
        <f>VLOOKUP(B1866,'112年全品項生產鍋數'!A:H,3,0)</f>
        <v>3.2</v>
      </c>
      <c r="F1866" s="142">
        <f>VLOOKUP(B1866,'112年全品項生產鍋數'!A:H,7,0)</f>
        <v>47.5</v>
      </c>
      <c r="G1866" s="143">
        <f t="shared" si="256"/>
        <v>3420</v>
      </c>
      <c r="H1866" s="156">
        <v>3349</v>
      </c>
      <c r="I1866" s="23">
        <f t="shared" si="257"/>
        <v>10716.800000000001</v>
      </c>
      <c r="J1866" s="100">
        <f t="shared" si="258"/>
        <v>0.97923976608187135</v>
      </c>
      <c r="K1866" s="51">
        <f>VLOOKUP(B:B,'生產達成率(目標)'!A:C,3,0)</f>
        <v>1</v>
      </c>
      <c r="L1866" s="20">
        <f t="shared" si="259"/>
        <v>-2.1000000000000001E-2</v>
      </c>
      <c r="M1866" s="137" t="str">
        <f>工時!R1050</f>
        <v>540</v>
      </c>
      <c r="N1866" s="144"/>
      <c r="O1866" s="144">
        <f t="shared" si="260"/>
        <v>2</v>
      </c>
      <c r="P1866" s="156">
        <v>3347</v>
      </c>
      <c r="Q1866" s="98">
        <f t="shared" si="261"/>
        <v>0.99940280680800242</v>
      </c>
      <c r="R1866" s="23"/>
      <c r="S1866" s="173"/>
      <c r="T1866" s="30"/>
    </row>
    <row r="1867" spans="1:30" s="146" customFormat="1" x14ac:dyDescent="0.4">
      <c r="A1867" s="212">
        <v>45862</v>
      </c>
      <c r="B1867" s="151" t="s">
        <v>64</v>
      </c>
      <c r="C1867" s="140" t="str">
        <f>VLOOKUP(B1867,'112年全品項生產鍋數'!A:H,2,0)</f>
        <v>藍莓餡(1*6KG)</v>
      </c>
      <c r="D1867" s="287">
        <v>20</v>
      </c>
      <c r="E1867" s="141">
        <f>VLOOKUP(B1867,'112年全品項生產鍋數'!A:H,3,0)</f>
        <v>6</v>
      </c>
      <c r="F1867" s="142">
        <f>VLOOKUP(B1867,'112年全品項生產鍋數'!A:H,7,0)</f>
        <v>25.4</v>
      </c>
      <c r="G1867" s="143">
        <f t="shared" si="256"/>
        <v>508</v>
      </c>
      <c r="H1867" s="156">
        <f>290+209</f>
        <v>499</v>
      </c>
      <c r="I1867" s="144">
        <f t="shared" si="257"/>
        <v>2994</v>
      </c>
      <c r="J1867" s="100">
        <f t="shared" si="258"/>
        <v>0.98228346456692917</v>
      </c>
      <c r="K1867" s="51">
        <f>VLOOKUP(B:B,'生產達成率(目標)'!A:C,3,0)</f>
        <v>1</v>
      </c>
      <c r="L1867" s="20">
        <f t="shared" si="259"/>
        <v>-1.7999999999999999E-2</v>
      </c>
      <c r="M1867" s="137" t="str">
        <f>工時!R1051</f>
        <v>330</v>
      </c>
      <c r="N1867" s="144"/>
      <c r="O1867" s="144">
        <f t="shared" si="260"/>
        <v>1</v>
      </c>
      <c r="P1867" s="156">
        <f>289+209</f>
        <v>498</v>
      </c>
      <c r="Q1867" s="145">
        <f t="shared" si="261"/>
        <v>0.99799599198396793</v>
      </c>
      <c r="R1867" s="144"/>
      <c r="S1867" s="153"/>
      <c r="T1867" s="140"/>
      <c r="V1867" s="381"/>
      <c r="W1867" s="421"/>
      <c r="X1867" s="381"/>
      <c r="Y1867" s="421"/>
      <c r="Z1867" s="421"/>
      <c r="AA1867" s="421"/>
      <c r="AB1867" s="421"/>
      <c r="AC1867" s="421"/>
      <c r="AD1867" s="421"/>
    </row>
    <row r="1868" spans="1:30" s="146" customFormat="1" x14ac:dyDescent="0.4">
      <c r="A1868" s="212">
        <v>45862</v>
      </c>
      <c r="B1868" s="151" t="s">
        <v>63</v>
      </c>
      <c r="C1868" s="140" t="str">
        <f>VLOOKUP(B1868,'112年全品項生產鍋數'!A:H,2,0)</f>
        <v>草莓蒟蒻餡(1*6kg)</v>
      </c>
      <c r="D1868" s="287">
        <v>20</v>
      </c>
      <c r="E1868" s="141">
        <f>VLOOKUP(B1868,'112年全品項生產鍋數'!A:H,3,0)</f>
        <v>6</v>
      </c>
      <c r="F1868" s="142">
        <f>VLOOKUP(B1868,'112年全品項生產鍋數'!A:H,7,0)</f>
        <v>25.7</v>
      </c>
      <c r="G1868" s="143">
        <f t="shared" si="256"/>
        <v>514</v>
      </c>
      <c r="H1868" s="156">
        <f>305+221</f>
        <v>526</v>
      </c>
      <c r="I1868" s="144">
        <f t="shared" si="257"/>
        <v>3156</v>
      </c>
      <c r="J1868" s="100">
        <f t="shared" si="258"/>
        <v>1.0233463035019454</v>
      </c>
      <c r="K1868" s="51">
        <f>VLOOKUP(B:B,'生產達成率(目標)'!A:C,3,0)</f>
        <v>1</v>
      </c>
      <c r="L1868" s="20">
        <f t="shared" si="259"/>
        <v>2.3E-2</v>
      </c>
      <c r="M1868" s="137" t="str">
        <f>工時!R1052</f>
        <v>270</v>
      </c>
      <c r="N1868" s="144"/>
      <c r="O1868" s="144">
        <f t="shared" si="260"/>
        <v>1</v>
      </c>
      <c r="P1868" s="156">
        <f>304+221</f>
        <v>525</v>
      </c>
      <c r="Q1868" s="145">
        <f t="shared" si="261"/>
        <v>0.99809885931558939</v>
      </c>
      <c r="R1868" s="144"/>
      <c r="S1868" s="153"/>
      <c r="T1868" s="140"/>
      <c r="V1868" s="381"/>
      <c r="W1868" s="421"/>
      <c r="X1868" s="381"/>
      <c r="Y1868" s="421"/>
      <c r="Z1868" s="421"/>
      <c r="AA1868" s="421"/>
      <c r="AB1868" s="421"/>
      <c r="AC1868" s="421"/>
      <c r="AD1868" s="421"/>
    </row>
    <row r="1869" spans="1:30" s="146" customFormat="1" x14ac:dyDescent="0.4">
      <c r="A1869" s="212">
        <v>45862</v>
      </c>
      <c r="B1869" s="151" t="s">
        <v>597</v>
      </c>
      <c r="C1869" s="140" t="str">
        <f>VLOOKUP(B1869,'112年全品項生產鍋數'!A:H,2,0)</f>
        <v>無加糖花生醬(1*290g)</v>
      </c>
      <c r="D1869" s="287">
        <v>8</v>
      </c>
      <c r="E1869" s="141">
        <f>VLOOKUP(B1869,'112年全品項生產鍋數'!A:H,3,0)</f>
        <v>0.28999999999999998</v>
      </c>
      <c r="F1869" s="142">
        <f>VLOOKUP(B1869,'112年全品項生產鍋數'!A:H,7,0)</f>
        <v>388</v>
      </c>
      <c r="G1869" s="143">
        <f t="shared" si="256"/>
        <v>3104</v>
      </c>
      <c r="H1869" s="156">
        <v>3355</v>
      </c>
      <c r="I1869" s="144">
        <f t="shared" si="257"/>
        <v>972.94999999999993</v>
      </c>
      <c r="J1869" s="100">
        <f t="shared" si="258"/>
        <v>1.0808634020618557</v>
      </c>
      <c r="K1869" s="51">
        <f>VLOOKUP(B:B,'生產達成率(目標)'!A:C,3,0)</f>
        <v>1</v>
      </c>
      <c r="L1869" s="20">
        <f t="shared" si="259"/>
        <v>8.1000000000000003E-2</v>
      </c>
      <c r="M1869" s="137" t="str">
        <f>工時!R1053</f>
        <v>255</v>
      </c>
      <c r="N1869" s="144"/>
      <c r="O1869" s="144">
        <f t="shared" si="260"/>
        <v>9</v>
      </c>
      <c r="P1869" s="156">
        <v>3346</v>
      </c>
      <c r="Q1869" s="145">
        <f t="shared" si="261"/>
        <v>0.99731743666169892</v>
      </c>
      <c r="R1869" s="144"/>
      <c r="S1869" s="153"/>
      <c r="T1869" s="140"/>
      <c r="V1869" s="381"/>
      <c r="W1869" s="421"/>
      <c r="X1869" s="381"/>
      <c r="Y1869" s="421"/>
      <c r="Z1869" s="421"/>
      <c r="AA1869" s="421"/>
      <c r="AB1869" s="421"/>
      <c r="AC1869" s="421"/>
      <c r="AD1869" s="421"/>
    </row>
    <row r="1870" spans="1:30" s="146" customFormat="1" x14ac:dyDescent="0.4">
      <c r="A1870" s="212">
        <v>45862</v>
      </c>
      <c r="B1870" s="151" t="s">
        <v>104</v>
      </c>
      <c r="C1870" s="140" t="str">
        <f>VLOOKUP(B1870,'112年全品項生產鍋數'!A:H,2,0)</f>
        <v>＃1花生(粒)(1*2.8kg)</v>
      </c>
      <c r="D1870" s="287">
        <v>36</v>
      </c>
      <c r="E1870" s="141">
        <f>VLOOKUP(B1870,'112年全品項生產鍋數'!A:H,3,0)</f>
        <v>2.8</v>
      </c>
      <c r="F1870" s="142">
        <f>VLOOKUP(B1870,'112年全品項生產鍋數'!A:H,7,0)</f>
        <v>44.2</v>
      </c>
      <c r="G1870" s="143">
        <f t="shared" si="256"/>
        <v>1591.2</v>
      </c>
      <c r="H1870" s="156">
        <v>1604</v>
      </c>
      <c r="I1870" s="144">
        <f t="shared" si="257"/>
        <v>4491.2</v>
      </c>
      <c r="J1870" s="100">
        <f t="shared" si="258"/>
        <v>1.008044243338361</v>
      </c>
      <c r="K1870" s="51">
        <f>VLOOKUP(B:B,'生產達成率(目標)'!A:C,3,0)</f>
        <v>1</v>
      </c>
      <c r="L1870" s="20">
        <f t="shared" si="259"/>
        <v>8.0000000000000002E-3</v>
      </c>
      <c r="M1870" s="137" t="str">
        <f>工時!R1054</f>
        <v>435</v>
      </c>
      <c r="N1870" s="144"/>
      <c r="O1870" s="144">
        <f t="shared" si="260"/>
        <v>1</v>
      </c>
      <c r="P1870" s="156">
        <v>1603</v>
      </c>
      <c r="Q1870" s="145">
        <f t="shared" si="261"/>
        <v>0.99937655860349128</v>
      </c>
      <c r="R1870" s="144"/>
      <c r="S1870" s="153"/>
      <c r="T1870" s="140"/>
      <c r="V1870" s="381"/>
      <c r="W1870" s="421"/>
      <c r="X1870" s="381"/>
      <c r="Y1870" s="421"/>
      <c r="Z1870" s="421"/>
      <c r="AA1870" s="421"/>
      <c r="AB1870" s="421"/>
      <c r="AC1870" s="421"/>
      <c r="AD1870" s="421"/>
    </row>
    <row r="1871" spans="1:30" s="146" customFormat="1" x14ac:dyDescent="0.4">
      <c r="A1871" s="212">
        <v>45863</v>
      </c>
      <c r="B1871" s="151" t="s">
        <v>106</v>
      </c>
      <c r="C1871" s="140" t="str">
        <f>VLOOKUP(B1871,'112年全品項生產鍋數'!A:H,2,0)</f>
        <v>小藍莓1*260G</v>
      </c>
      <c r="D1871" s="287">
        <v>16</v>
      </c>
      <c r="E1871" s="141">
        <f>VLOOKUP(B1871,'112年全品項生產鍋數'!A:H,3,0)</f>
        <v>0.26</v>
      </c>
      <c r="F1871" s="142">
        <f>VLOOKUP(B1871,'112年全品項生產鍋數'!A:H,7,0)</f>
        <v>584.29999999999995</v>
      </c>
      <c r="G1871" s="143">
        <f t="shared" si="256"/>
        <v>9348.7999999999993</v>
      </c>
      <c r="H1871" s="156">
        <v>9352</v>
      </c>
      <c r="I1871" s="144">
        <f t="shared" si="257"/>
        <v>2431.52</v>
      </c>
      <c r="J1871" s="100">
        <f t="shared" si="258"/>
        <v>1.000342289919562</v>
      </c>
      <c r="K1871" s="51">
        <f>VLOOKUP(B:B,'生產達成率(目標)'!A:C,3,0)</f>
        <v>1</v>
      </c>
      <c r="L1871" s="20">
        <f t="shared" si="259"/>
        <v>0</v>
      </c>
      <c r="M1871" s="137" t="str">
        <f>工時!R1055</f>
        <v>240</v>
      </c>
      <c r="N1871" s="144"/>
      <c r="O1871" s="144">
        <f t="shared" si="260"/>
        <v>11</v>
      </c>
      <c r="P1871" s="156">
        <v>9341</v>
      </c>
      <c r="Q1871" s="145">
        <f t="shared" si="261"/>
        <v>0.99882378100940972</v>
      </c>
      <c r="R1871" s="144"/>
      <c r="S1871" s="153"/>
      <c r="T1871" s="140" t="s">
        <v>1101</v>
      </c>
      <c r="V1871" s="381"/>
      <c r="W1871" s="421"/>
      <c r="X1871" s="381"/>
      <c r="Y1871" s="421"/>
      <c r="Z1871" s="421"/>
      <c r="AA1871" s="421"/>
      <c r="AB1871" s="421"/>
      <c r="AC1871" s="421"/>
      <c r="AD1871" s="421"/>
    </row>
    <row r="1872" spans="1:30" s="146" customFormat="1" x14ac:dyDescent="0.4">
      <c r="A1872" s="212">
        <v>45863</v>
      </c>
      <c r="B1872" s="151" t="s">
        <v>61</v>
      </c>
      <c r="C1872" s="140" t="str">
        <f>VLOOKUP(B1872,'112年全品項生產鍋數'!A:H,2,0)</f>
        <v>大圓草莓-新</v>
      </c>
      <c r="D1872" s="287">
        <v>24</v>
      </c>
      <c r="E1872" s="141">
        <f>VLOOKUP(B1872,'112年全品項生產鍋數'!A:H,3,0)</f>
        <v>0.44</v>
      </c>
      <c r="F1872" s="142">
        <f>VLOOKUP(B1872,'112年全品項生產鍋數'!A:H,7,0)</f>
        <v>344</v>
      </c>
      <c r="G1872" s="143">
        <f t="shared" si="256"/>
        <v>8256</v>
      </c>
      <c r="H1872" s="156">
        <v>8214</v>
      </c>
      <c r="I1872" s="144">
        <f t="shared" si="257"/>
        <v>3614.16</v>
      </c>
      <c r="J1872" s="100">
        <f t="shared" si="258"/>
        <v>0.99491279069767447</v>
      </c>
      <c r="K1872" s="51">
        <f>VLOOKUP(B:B,'生產達成率(目標)'!A:C,3,0)</f>
        <v>1</v>
      </c>
      <c r="L1872" s="20">
        <f t="shared" si="259"/>
        <v>-5.0000000000000001E-3</v>
      </c>
      <c r="M1872" s="137" t="str">
        <f>工時!R1056</f>
        <v>340</v>
      </c>
      <c r="N1872" s="144"/>
      <c r="O1872" s="144">
        <f t="shared" si="260"/>
        <v>5</v>
      </c>
      <c r="P1872" s="156">
        <v>8209</v>
      </c>
      <c r="Q1872" s="145">
        <f t="shared" si="261"/>
        <v>0.99939128317506698</v>
      </c>
      <c r="R1872" s="144"/>
      <c r="S1872" s="153"/>
      <c r="T1872" s="140"/>
      <c r="V1872" s="381"/>
      <c r="W1872" s="421"/>
      <c r="X1872" s="381"/>
      <c r="Y1872" s="421"/>
      <c r="Z1872" s="421"/>
      <c r="AA1872" s="421"/>
      <c r="AB1872" s="421"/>
      <c r="AC1872" s="421"/>
      <c r="AD1872" s="421"/>
    </row>
    <row r="1873" spans="1:30" s="146" customFormat="1" x14ac:dyDescent="0.4">
      <c r="A1873" s="212">
        <v>45863</v>
      </c>
      <c r="B1873" s="151" t="s">
        <v>56</v>
      </c>
      <c r="C1873" s="140" t="str">
        <f>VLOOKUP(B1873,'112年全品項生產鍋數'!A:H,2,0)</f>
        <v>天天熱帶水果餡 4.5KG</v>
      </c>
      <c r="D1873" s="287">
        <v>12</v>
      </c>
      <c r="E1873" s="141">
        <f>VLOOKUP(B1873,'112年全品項生產鍋數'!A:H,3,0)</f>
        <v>4.5</v>
      </c>
      <c r="F1873" s="142">
        <f>VLOOKUP(B1873,'112年全品項生產鍋數'!A:H,7,0)</f>
        <v>34.5</v>
      </c>
      <c r="G1873" s="143">
        <f t="shared" si="256"/>
        <v>414</v>
      </c>
      <c r="H1873" s="156">
        <v>424</v>
      </c>
      <c r="I1873" s="144">
        <f t="shared" si="257"/>
        <v>1908</v>
      </c>
      <c r="J1873" s="100">
        <f t="shared" si="258"/>
        <v>1.0241545893719808</v>
      </c>
      <c r="K1873" s="51">
        <f>VLOOKUP(B:B,'生產達成率(目標)'!A:C,3,0)</f>
        <v>1</v>
      </c>
      <c r="L1873" s="20">
        <f t="shared" si="259"/>
        <v>2.4E-2</v>
      </c>
      <c r="M1873" s="137" t="str">
        <f>工時!R1057</f>
        <v>285</v>
      </c>
      <c r="N1873" s="144"/>
      <c r="O1873" s="144">
        <f t="shared" si="260"/>
        <v>1</v>
      </c>
      <c r="P1873" s="156">
        <v>423</v>
      </c>
      <c r="Q1873" s="145">
        <f t="shared" si="261"/>
        <v>0.99764150943396224</v>
      </c>
      <c r="R1873" s="144"/>
      <c r="S1873" s="153"/>
      <c r="T1873" s="140"/>
      <c r="V1873" s="381"/>
      <c r="W1873" s="421"/>
      <c r="X1873" s="381"/>
      <c r="Y1873" s="421"/>
      <c r="Z1873" s="421"/>
      <c r="AA1873" s="421"/>
      <c r="AB1873" s="421"/>
      <c r="AC1873" s="421"/>
      <c r="AD1873" s="421"/>
    </row>
    <row r="1874" spans="1:30" s="146" customFormat="1" x14ac:dyDescent="0.4">
      <c r="A1874" s="212">
        <v>45863</v>
      </c>
      <c r="B1874" s="151" t="s">
        <v>130</v>
      </c>
      <c r="C1874" s="140" t="str">
        <f>VLOOKUP(B1874,'112年全品項生產鍋數'!A:H,2,0)</f>
        <v>天天開心柳橙餡4.5KG</v>
      </c>
      <c r="D1874" s="287">
        <v>12</v>
      </c>
      <c r="E1874" s="141">
        <f>VLOOKUP(B1874,'112年全品項生產鍋數'!A:H,3,0)</f>
        <v>4.5</v>
      </c>
      <c r="F1874" s="142">
        <f>VLOOKUP(B1874,'112年全品項生產鍋數'!A:H,7,0)</f>
        <v>34.9</v>
      </c>
      <c r="G1874" s="143">
        <f t="shared" si="256"/>
        <v>418.79999999999995</v>
      </c>
      <c r="H1874" s="156">
        <v>434</v>
      </c>
      <c r="I1874" s="144">
        <f t="shared" si="257"/>
        <v>1953</v>
      </c>
      <c r="J1874" s="100">
        <f t="shared" si="258"/>
        <v>1.0362941738299907</v>
      </c>
      <c r="K1874" s="51">
        <f>VLOOKUP(B:B,'生產達成率(目標)'!A:C,3,0)</f>
        <v>1</v>
      </c>
      <c r="L1874" s="20">
        <f t="shared" si="259"/>
        <v>3.5999999999999997E-2</v>
      </c>
      <c r="M1874" s="137" t="str">
        <f>工時!R1058</f>
        <v>217</v>
      </c>
      <c r="N1874" s="144"/>
      <c r="O1874" s="144">
        <f t="shared" si="260"/>
        <v>0</v>
      </c>
      <c r="P1874" s="156">
        <v>434</v>
      </c>
      <c r="Q1874" s="145">
        <f t="shared" si="261"/>
        <v>1</v>
      </c>
      <c r="R1874" s="144"/>
      <c r="S1874" s="153"/>
      <c r="T1874" s="140"/>
      <c r="V1874" s="381"/>
      <c r="W1874" s="421"/>
      <c r="X1874" s="381"/>
      <c r="Y1874" s="421"/>
      <c r="Z1874" s="421"/>
      <c r="AA1874" s="421"/>
      <c r="AB1874" s="421"/>
      <c r="AC1874" s="421"/>
      <c r="AD1874" s="421"/>
    </row>
    <row r="1875" spans="1:30" s="146" customFormat="1" x14ac:dyDescent="0.4">
      <c r="A1875" s="212">
        <v>45863</v>
      </c>
      <c r="B1875" s="151" t="s">
        <v>72</v>
      </c>
      <c r="C1875" s="140" t="str">
        <f>VLOOKUP(B1875,'112年全品項生產鍋數'!A:H,2,0)</f>
        <v>草莓餡45%(1*6Kg)</v>
      </c>
      <c r="D1875" s="287">
        <v>12</v>
      </c>
      <c r="E1875" s="141">
        <f>VLOOKUP(B1875,'112年全品項生產鍋數'!A:H,3,0)</f>
        <v>6</v>
      </c>
      <c r="F1875" s="142">
        <f>VLOOKUP(B1875,'112年全品項生產鍋數'!A:H,7,0)</f>
        <v>26.1</v>
      </c>
      <c r="G1875" s="143">
        <f t="shared" si="256"/>
        <v>313.20000000000005</v>
      </c>
      <c r="H1875" s="156">
        <v>322</v>
      </c>
      <c r="I1875" s="144">
        <f t="shared" si="257"/>
        <v>1932</v>
      </c>
      <c r="J1875" s="100">
        <f t="shared" si="258"/>
        <v>1.0280970625798211</v>
      </c>
      <c r="K1875" s="51">
        <f>VLOOKUP(B:B,'生產達成率(目標)'!A:C,3,0)</f>
        <v>1</v>
      </c>
      <c r="L1875" s="20">
        <f t="shared" si="259"/>
        <v>2.8000000000000001E-2</v>
      </c>
      <c r="M1875" s="137" t="str">
        <f>工時!R1059</f>
        <v>220</v>
      </c>
      <c r="N1875" s="144"/>
      <c r="O1875" s="144">
        <f t="shared" si="260"/>
        <v>1</v>
      </c>
      <c r="P1875" s="156">
        <v>321</v>
      </c>
      <c r="Q1875" s="145">
        <f t="shared" si="261"/>
        <v>0.99689440993788825</v>
      </c>
      <c r="R1875" s="144"/>
      <c r="S1875" s="153"/>
      <c r="T1875" s="140"/>
      <c r="V1875" s="381"/>
      <c r="W1875" s="421"/>
      <c r="X1875" s="381"/>
      <c r="Y1875" s="421"/>
      <c r="Z1875" s="421"/>
      <c r="AA1875" s="421"/>
      <c r="AB1875" s="421"/>
      <c r="AC1875" s="421"/>
      <c r="AD1875" s="421"/>
    </row>
    <row r="1876" spans="1:30" s="146" customFormat="1" x14ac:dyDescent="0.4">
      <c r="A1876" s="212">
        <v>45863</v>
      </c>
      <c r="B1876" s="151" t="s">
        <v>65</v>
      </c>
      <c r="C1876" s="140" t="str">
        <f>VLOOKUP(B1876,'112年全品項生產鍋數'!A:H,2,0)</f>
        <v>＃1花生(1*2.8kg)</v>
      </c>
      <c r="D1876" s="287">
        <v>72</v>
      </c>
      <c r="E1876" s="141">
        <f>VLOOKUP(B1876,'112年全品項生產鍋數'!A:H,3,0)</f>
        <v>2.8</v>
      </c>
      <c r="F1876" s="142">
        <f>VLOOKUP(B1876,'112年全品項生產鍋數'!A:H,7,0)</f>
        <v>44.5</v>
      </c>
      <c r="G1876" s="143">
        <f t="shared" si="256"/>
        <v>3204</v>
      </c>
      <c r="H1876" s="156">
        <v>3222</v>
      </c>
      <c r="I1876" s="144">
        <f t="shared" si="257"/>
        <v>9021.5999999999985</v>
      </c>
      <c r="J1876" s="100">
        <f t="shared" si="258"/>
        <v>1.0056179775280898</v>
      </c>
      <c r="K1876" s="51">
        <f>VLOOKUP(B:B,'生產達成率(目標)'!A:C,3,0)</f>
        <v>1</v>
      </c>
      <c r="L1876" s="20">
        <f t="shared" si="259"/>
        <v>6.0000000000000001E-3</v>
      </c>
      <c r="M1876" s="137" t="str">
        <f>工時!R1060</f>
        <v>600</v>
      </c>
      <c r="N1876" s="144"/>
      <c r="O1876" s="144">
        <f t="shared" si="260"/>
        <v>1</v>
      </c>
      <c r="P1876" s="156">
        <v>3221</v>
      </c>
      <c r="Q1876" s="145">
        <f t="shared" si="261"/>
        <v>0.99968963376784603</v>
      </c>
      <c r="R1876" s="144"/>
      <c r="S1876" s="153"/>
      <c r="T1876" s="140"/>
      <c r="V1876" s="381"/>
      <c r="W1876" s="421"/>
      <c r="X1876" s="381"/>
      <c r="Y1876" s="421"/>
      <c r="Z1876" s="421"/>
      <c r="AA1876" s="421"/>
      <c r="AB1876" s="421"/>
      <c r="AC1876" s="421"/>
      <c r="AD1876" s="421"/>
    </row>
    <row r="1877" spans="1:30" x14ac:dyDescent="0.4">
      <c r="A1877" s="210">
        <v>45866</v>
      </c>
      <c r="B1877" s="151" t="s">
        <v>107</v>
      </c>
      <c r="C1877" s="30" t="str">
        <f>VLOOKUP(B1877,'112年全品項生產鍋數'!A:H,2,0)</f>
        <v>藍莓餡(1*6kg)</v>
      </c>
      <c r="D1877" s="287">
        <v>8</v>
      </c>
      <c r="E1877" s="48">
        <f>VLOOKUP(B1877,'112年全品項生產鍋數'!A:H,3,0)</f>
        <v>6</v>
      </c>
      <c r="F1877" s="142">
        <f>VLOOKUP(B1877,'112年全品項生產鍋數'!A:H,7,0)</f>
        <v>26.4</v>
      </c>
      <c r="G1877" s="143">
        <f t="shared" si="256"/>
        <v>211.2</v>
      </c>
      <c r="H1877" s="156">
        <v>208</v>
      </c>
      <c r="I1877" s="23">
        <f t="shared" si="257"/>
        <v>1248</v>
      </c>
      <c r="J1877" s="100">
        <f t="shared" si="258"/>
        <v>0.98484848484848486</v>
      </c>
      <c r="K1877" s="51">
        <f>VLOOKUP(B:B,'生產達成率(目標)'!A:C,3,0)</f>
        <v>1</v>
      </c>
      <c r="L1877" s="20">
        <f t="shared" si="259"/>
        <v>-1.4999999999999999E-2</v>
      </c>
      <c r="M1877" s="137" t="str">
        <f>工時!R1061</f>
        <v>120</v>
      </c>
      <c r="N1877" s="144"/>
      <c r="O1877" s="144">
        <f t="shared" si="260"/>
        <v>1</v>
      </c>
      <c r="P1877" s="156">
        <v>207</v>
      </c>
      <c r="Q1877" s="98">
        <f t="shared" si="261"/>
        <v>0.99519230769230771</v>
      </c>
      <c r="R1877" s="23"/>
      <c r="S1877" s="173"/>
      <c r="T1877" s="30"/>
    </row>
    <row r="1878" spans="1:30" x14ac:dyDescent="0.4">
      <c r="A1878" s="210">
        <v>45866</v>
      </c>
      <c r="B1878" s="151" t="s">
        <v>51</v>
      </c>
      <c r="C1878" s="30" t="str">
        <f>VLOOKUP(B1878,'112年全品項生產鍋數'!A:H,2,0)</f>
        <v>藍莓醬(1*6kg)</v>
      </c>
      <c r="D1878" s="287">
        <v>12</v>
      </c>
      <c r="E1878" s="48">
        <f>VLOOKUP(B1878,'112年全品項生產鍋數'!A:H,3,0)</f>
        <v>6</v>
      </c>
      <c r="F1878" s="142">
        <f>VLOOKUP(B1878,'112年全品項生產鍋數'!A:H,7,0)</f>
        <v>25.5</v>
      </c>
      <c r="G1878" s="143">
        <f t="shared" si="256"/>
        <v>306</v>
      </c>
      <c r="H1878" s="156">
        <v>294</v>
      </c>
      <c r="I1878" s="23">
        <f t="shared" si="257"/>
        <v>1764</v>
      </c>
      <c r="J1878" s="100">
        <f t="shared" si="258"/>
        <v>0.96078431372549022</v>
      </c>
      <c r="K1878" s="51">
        <f>VLOOKUP(B:B,'生產達成率(目標)'!A:C,3,0)</f>
        <v>1</v>
      </c>
      <c r="L1878" s="20">
        <f t="shared" si="259"/>
        <v>-3.9E-2</v>
      </c>
      <c r="M1878" s="137" t="str">
        <f>工時!R1062</f>
        <v>120</v>
      </c>
      <c r="N1878" s="144"/>
      <c r="O1878" s="144">
        <f t="shared" si="260"/>
        <v>1</v>
      </c>
      <c r="P1878" s="156">
        <v>293</v>
      </c>
      <c r="Q1878" s="98">
        <f t="shared" si="261"/>
        <v>0.99659863945578231</v>
      </c>
      <c r="R1878" s="23"/>
      <c r="S1878" s="173"/>
      <c r="T1878" s="30"/>
    </row>
    <row r="1879" spans="1:30" x14ac:dyDescent="0.4">
      <c r="A1879" s="210">
        <v>45866</v>
      </c>
      <c r="B1879" s="151" t="s">
        <v>547</v>
      </c>
      <c r="C1879" s="30" t="str">
        <f>VLOOKUP(B1879,'112年全品項生產鍋數'!A:H,2,0)</f>
        <v>草莓果醬(桶)(1*9.5KG)</v>
      </c>
      <c r="D1879" s="287">
        <v>20</v>
      </c>
      <c r="E1879" s="48">
        <f>VLOOKUP(B1879,'112年全品項生產鍋數'!A:H,3,0)</f>
        <v>9.5</v>
      </c>
      <c r="F1879" s="142">
        <f>VLOOKUP(B1879,'112年全品項生產鍋數'!A:H,7,0)</f>
        <v>16.600000000000001</v>
      </c>
      <c r="G1879" s="143">
        <f t="shared" si="256"/>
        <v>332</v>
      </c>
      <c r="H1879" s="156">
        <v>332</v>
      </c>
      <c r="I1879" s="23">
        <f t="shared" si="257"/>
        <v>3154</v>
      </c>
      <c r="J1879" s="100">
        <f t="shared" si="258"/>
        <v>1</v>
      </c>
      <c r="K1879" s="51">
        <f>VLOOKUP(B:B,'生產達成率(目標)'!A:C,3,0)</f>
        <v>1</v>
      </c>
      <c r="L1879" s="20">
        <f t="shared" si="259"/>
        <v>0</v>
      </c>
      <c r="M1879" s="137" t="str">
        <f>工時!R1063</f>
        <v>310</v>
      </c>
      <c r="N1879" s="144"/>
      <c r="O1879" s="144">
        <f t="shared" si="260"/>
        <v>0</v>
      </c>
      <c r="P1879" s="156">
        <v>332</v>
      </c>
      <c r="Q1879" s="98">
        <f t="shared" si="261"/>
        <v>1</v>
      </c>
      <c r="R1879" s="23"/>
      <c r="S1879" s="173"/>
      <c r="T1879" s="30"/>
    </row>
    <row r="1880" spans="1:30" x14ac:dyDescent="0.4">
      <c r="A1880" s="210">
        <v>45866</v>
      </c>
      <c r="B1880" s="151" t="s">
        <v>1103</v>
      </c>
      <c r="C1880" s="30" t="e">
        <f>VLOOKUP(B1880,'112年全品項生產鍋數'!A:H,2,0)</f>
        <v>#N/A</v>
      </c>
      <c r="D1880" s="287">
        <v>8</v>
      </c>
      <c r="E1880" s="48" t="e">
        <f>VLOOKUP(B1880,'112年全品項生產鍋數'!A:H,3,0)</f>
        <v>#N/A</v>
      </c>
      <c r="F1880" s="142" t="e">
        <f>VLOOKUP(B1880,'112年全品項生產鍋數'!A:H,7,0)</f>
        <v>#N/A</v>
      </c>
      <c r="G1880" s="143" t="e">
        <f t="shared" si="256"/>
        <v>#N/A</v>
      </c>
      <c r="H1880" s="156">
        <v>648</v>
      </c>
      <c r="I1880" s="23" t="e">
        <f t="shared" si="257"/>
        <v>#N/A</v>
      </c>
      <c r="J1880" s="100" t="e">
        <f t="shared" si="258"/>
        <v>#N/A</v>
      </c>
      <c r="K1880" s="51" t="e">
        <f>VLOOKUP(B:B,'生產達成率(目標)'!A:C,3,0)</f>
        <v>#N/A</v>
      </c>
      <c r="L1880" s="20" t="e">
        <f t="shared" si="259"/>
        <v>#N/A</v>
      </c>
      <c r="M1880" s="137" t="str">
        <f>工時!R1064</f>
        <v>540</v>
      </c>
      <c r="N1880" s="144"/>
      <c r="O1880" s="144">
        <f t="shared" si="260"/>
        <v>0</v>
      </c>
      <c r="P1880" s="156">
        <v>648</v>
      </c>
      <c r="Q1880" s="98">
        <f t="shared" si="261"/>
        <v>1</v>
      </c>
      <c r="R1880" s="23"/>
      <c r="S1880" s="173"/>
      <c r="T1880" s="30"/>
    </row>
    <row r="1881" spans="1:30" x14ac:dyDescent="0.4">
      <c r="A1881" s="210">
        <v>45866</v>
      </c>
      <c r="B1881" s="151" t="s">
        <v>65</v>
      </c>
      <c r="C1881" s="30" t="str">
        <f>VLOOKUP(B1881,'112年全品項生產鍋數'!A:H,2,0)</f>
        <v>＃1花生(1*2.8kg)</v>
      </c>
      <c r="D1881" s="287">
        <v>72</v>
      </c>
      <c r="E1881" s="48">
        <f>VLOOKUP(B1881,'112年全品項生產鍋數'!A:H,3,0)</f>
        <v>2.8</v>
      </c>
      <c r="F1881" s="142">
        <f>VLOOKUP(B1881,'112年全品項生產鍋數'!A:H,7,0)</f>
        <v>44.5</v>
      </c>
      <c r="G1881" s="143">
        <f>D1881*F1881-50*18/E1881</f>
        <v>2882.5714285714284</v>
      </c>
      <c r="H1881" s="156">
        <v>2893</v>
      </c>
      <c r="I1881" s="23">
        <f t="shared" si="257"/>
        <v>8100.4</v>
      </c>
      <c r="J1881" s="100">
        <f t="shared" si="258"/>
        <v>1.0036178015660622</v>
      </c>
      <c r="K1881" s="51">
        <f>VLOOKUP(B:B,'生產達成率(目標)'!A:C,3,0)</f>
        <v>1</v>
      </c>
      <c r="L1881" s="20">
        <f t="shared" si="259"/>
        <v>4.0000000000000001E-3</v>
      </c>
      <c r="M1881" s="137" t="str">
        <f>工時!R1065</f>
        <v>590</v>
      </c>
      <c r="N1881" s="144"/>
      <c r="O1881" s="144">
        <f t="shared" si="260"/>
        <v>1</v>
      </c>
      <c r="P1881" s="156">
        <v>2892</v>
      </c>
      <c r="Q1881" s="98">
        <f t="shared" si="261"/>
        <v>0.99965433805737991</v>
      </c>
      <c r="R1881" s="23"/>
      <c r="S1881" s="173"/>
      <c r="T1881" s="30" t="s">
        <v>1110</v>
      </c>
    </row>
    <row r="1882" spans="1:30" s="146" customFormat="1" x14ac:dyDescent="0.4">
      <c r="A1882" s="212">
        <v>45866</v>
      </c>
      <c r="B1882" s="151" t="s">
        <v>431</v>
      </c>
      <c r="C1882" s="140" t="str">
        <f>VLOOKUP(B1882,'112年全品項生產鍋數'!A:H,2,0)</f>
        <v>文旦丁</v>
      </c>
      <c r="D1882" s="287">
        <v>2</v>
      </c>
      <c r="E1882" s="141">
        <f>VLOOKUP(B1882,'112年全品項生產鍋數'!A:H,3,0)</f>
        <v>1</v>
      </c>
      <c r="F1882" s="142">
        <f>VLOOKUP(B1882,'112年全品項生產鍋數'!A:H,7,0)</f>
        <v>243</v>
      </c>
      <c r="G1882" s="143">
        <f t="shared" si="256"/>
        <v>486</v>
      </c>
      <c r="H1882" s="156">
        <v>472</v>
      </c>
      <c r="I1882" s="144">
        <f t="shared" si="257"/>
        <v>472</v>
      </c>
      <c r="J1882" s="100">
        <f t="shared" si="258"/>
        <v>0.9711934156378601</v>
      </c>
      <c r="K1882" s="51">
        <f>VLOOKUP(B:B,'生產達成率(目標)'!A:C,3,0)</f>
        <v>1</v>
      </c>
      <c r="L1882" s="20">
        <f t="shared" si="259"/>
        <v>-2.9000000000000001E-2</v>
      </c>
      <c r="M1882" s="137" t="str">
        <f>工時!R1066</f>
        <v>0</v>
      </c>
      <c r="N1882" s="144"/>
      <c r="O1882" s="144">
        <f t="shared" si="260"/>
        <v>2</v>
      </c>
      <c r="P1882" s="156">
        <v>470</v>
      </c>
      <c r="Q1882" s="145">
        <f t="shared" si="261"/>
        <v>0.99576271186440679</v>
      </c>
      <c r="R1882" s="144"/>
      <c r="S1882" s="153"/>
      <c r="T1882" s="140" t="s">
        <v>1118</v>
      </c>
      <c r="V1882" s="381"/>
      <c r="W1882" s="421"/>
      <c r="X1882" s="381"/>
      <c r="Y1882" s="421"/>
      <c r="Z1882" s="421"/>
      <c r="AA1882" s="421"/>
      <c r="AB1882" s="421"/>
      <c r="AC1882" s="421"/>
      <c r="AD1882" s="421"/>
    </row>
    <row r="1883" spans="1:30" x14ac:dyDescent="0.4">
      <c r="A1883" s="210">
        <v>45867</v>
      </c>
      <c r="B1883" s="151" t="s">
        <v>63</v>
      </c>
      <c r="C1883" s="30" t="str">
        <f>VLOOKUP(B1883,'112年全品項生產鍋數'!A:H,2,0)</f>
        <v>草莓蒟蒻餡(1*6kg)</v>
      </c>
      <c r="D1883" s="287">
        <v>24</v>
      </c>
      <c r="E1883" s="48">
        <f>VLOOKUP(B1883,'112年全品項生產鍋數'!A:H,3,0)</f>
        <v>6</v>
      </c>
      <c r="F1883" s="142">
        <f>VLOOKUP(B1883,'112年全品項生產鍋數'!A:H,7,0)</f>
        <v>25.7</v>
      </c>
      <c r="G1883" s="143">
        <f t="shared" si="256"/>
        <v>616.79999999999995</v>
      </c>
      <c r="H1883" s="156">
        <f>314+316</f>
        <v>630</v>
      </c>
      <c r="I1883" s="23">
        <f t="shared" si="257"/>
        <v>3780</v>
      </c>
      <c r="J1883" s="100">
        <f t="shared" si="258"/>
        <v>1.0214007782101169</v>
      </c>
      <c r="K1883" s="51">
        <f>VLOOKUP(B:B,'生產達成率(目標)'!A:C,3,0)</f>
        <v>1</v>
      </c>
      <c r="L1883" s="20">
        <f t="shared" si="259"/>
        <v>2.1000000000000001E-2</v>
      </c>
      <c r="M1883" s="137" t="str">
        <f>工時!R1067</f>
        <v>352</v>
      </c>
      <c r="N1883" s="144"/>
      <c r="O1883" s="144">
        <f t="shared" si="260"/>
        <v>2</v>
      </c>
      <c r="P1883" s="156">
        <f>313+315</f>
        <v>628</v>
      </c>
      <c r="Q1883" s="98">
        <f t="shared" si="261"/>
        <v>0.99682539682539684</v>
      </c>
      <c r="R1883" s="23"/>
      <c r="S1883" s="173"/>
      <c r="T1883" s="30"/>
    </row>
    <row r="1884" spans="1:30" x14ac:dyDescent="0.4">
      <c r="A1884" s="210">
        <v>45867</v>
      </c>
      <c r="B1884" s="151" t="s">
        <v>76</v>
      </c>
      <c r="C1884" s="30" t="str">
        <f>VLOOKUP(B1884,'112年全品項生產鍋數'!A:H,2,0)</f>
        <v>草莓餡(1*6Kg)</v>
      </c>
      <c r="D1884" s="287">
        <v>16</v>
      </c>
      <c r="E1884" s="48">
        <f>VLOOKUP(B1884,'112年全品項生產鍋數'!A:H,3,0)</f>
        <v>6</v>
      </c>
      <c r="F1884" s="142">
        <f>VLOOKUP(B1884,'112年全品項生產鍋數'!A:H,7,0)</f>
        <v>25.5</v>
      </c>
      <c r="G1884" s="143">
        <f t="shared" si="256"/>
        <v>408</v>
      </c>
      <c r="H1884" s="156">
        <v>405</v>
      </c>
      <c r="I1884" s="23">
        <f t="shared" si="257"/>
        <v>2430</v>
      </c>
      <c r="J1884" s="100">
        <f t="shared" si="258"/>
        <v>0.99264705882352944</v>
      </c>
      <c r="K1884" s="51">
        <f>VLOOKUP(B:B,'生產達成率(目標)'!A:C,3,0)</f>
        <v>1</v>
      </c>
      <c r="L1884" s="20">
        <f t="shared" si="259"/>
        <v>-7.0000000000000001E-3</v>
      </c>
      <c r="M1884" s="137" t="str">
        <f>工時!R1068</f>
        <v>210</v>
      </c>
      <c r="N1884" s="144"/>
      <c r="O1884" s="144">
        <f t="shared" si="260"/>
        <v>1</v>
      </c>
      <c r="P1884" s="156">
        <v>404</v>
      </c>
      <c r="Q1884" s="98">
        <f t="shared" si="261"/>
        <v>0.9975308641975309</v>
      </c>
      <c r="R1884" s="23"/>
      <c r="S1884" s="173"/>
      <c r="T1884" s="30"/>
    </row>
    <row r="1885" spans="1:30" x14ac:dyDescent="0.4">
      <c r="A1885" s="210">
        <v>45867</v>
      </c>
      <c r="B1885" s="151" t="s">
        <v>1103</v>
      </c>
      <c r="C1885" s="30" t="e">
        <f>VLOOKUP(B1885,'112年全品項生產鍋數'!A:H,2,0)</f>
        <v>#N/A</v>
      </c>
      <c r="D1885" s="287">
        <v>6</v>
      </c>
      <c r="E1885" s="48" t="e">
        <f>VLOOKUP(B1885,'112年全品項生產鍋數'!A:H,3,0)</f>
        <v>#N/A</v>
      </c>
      <c r="F1885" s="142" t="e">
        <f>VLOOKUP(B1885,'112年全品項生產鍋數'!A:H,7,0)</f>
        <v>#N/A</v>
      </c>
      <c r="G1885" s="143" t="e">
        <f t="shared" si="256"/>
        <v>#N/A</v>
      </c>
      <c r="H1885" s="156">
        <v>490</v>
      </c>
      <c r="I1885" s="23" t="e">
        <f t="shared" si="257"/>
        <v>#N/A</v>
      </c>
      <c r="J1885" s="100" t="e">
        <f t="shared" si="258"/>
        <v>#N/A</v>
      </c>
      <c r="K1885" s="51" t="e">
        <f>VLOOKUP(B:B,'生產達成率(目標)'!A:C,3,0)</f>
        <v>#N/A</v>
      </c>
      <c r="L1885" s="20" t="e">
        <f t="shared" si="259"/>
        <v>#N/A</v>
      </c>
      <c r="M1885" s="137" t="str">
        <f>工時!R1069</f>
        <v>540</v>
      </c>
      <c r="N1885" s="144"/>
      <c r="O1885" s="144">
        <f t="shared" si="260"/>
        <v>0</v>
      </c>
      <c r="P1885" s="156">
        <v>490</v>
      </c>
      <c r="Q1885" s="98">
        <f t="shared" si="261"/>
        <v>1</v>
      </c>
      <c r="R1885" s="23"/>
      <c r="S1885" s="173"/>
      <c r="T1885" s="30"/>
    </row>
    <row r="1886" spans="1:30" x14ac:dyDescent="0.4">
      <c r="A1886" s="210">
        <v>45867</v>
      </c>
      <c r="B1886" s="151" t="s">
        <v>82</v>
      </c>
      <c r="C1886" s="30" t="str">
        <f>VLOOKUP(B1886,'112年全品項生產鍋數'!A:H,2,0)</f>
        <v>顆粒花生醬(全)</v>
      </c>
      <c r="D1886" s="287">
        <v>32</v>
      </c>
      <c r="E1886" s="48">
        <f>VLOOKUP(B1886,'112年全品項生產鍋數'!A:H,3,0)</f>
        <v>0.34</v>
      </c>
      <c r="F1886" s="142">
        <f>VLOOKUP(B1886,'112年全品項生產鍋數'!A:H,7,0)</f>
        <v>364.6</v>
      </c>
      <c r="G1886" s="143">
        <f t="shared" si="256"/>
        <v>11667.2</v>
      </c>
      <c r="H1886" s="156">
        <v>11400</v>
      </c>
      <c r="I1886" s="23">
        <f t="shared" si="257"/>
        <v>3876.0000000000005</v>
      </c>
      <c r="J1886" s="100">
        <f t="shared" si="258"/>
        <v>0.97709818979703777</v>
      </c>
      <c r="K1886" s="51">
        <f>VLOOKUP(B:B,'生產達成率(目標)'!A:C,3,0)</f>
        <v>1</v>
      </c>
      <c r="L1886" s="20">
        <f t="shared" si="259"/>
        <v>-2.3E-2</v>
      </c>
      <c r="M1886" s="137" t="str">
        <f>工時!R1070</f>
        <v>430</v>
      </c>
      <c r="N1886" s="144"/>
      <c r="O1886" s="144">
        <f t="shared" si="260"/>
        <v>3</v>
      </c>
      <c r="P1886" s="156">
        <v>11397</v>
      </c>
      <c r="Q1886" s="98">
        <f t="shared" si="261"/>
        <v>0.99973684210526315</v>
      </c>
      <c r="R1886" s="23"/>
      <c r="S1886" s="173"/>
      <c r="T1886" s="30"/>
    </row>
    <row r="1887" spans="1:30" x14ac:dyDescent="0.4">
      <c r="A1887" s="210">
        <v>45867</v>
      </c>
      <c r="B1887" s="151" t="s">
        <v>83</v>
      </c>
      <c r="C1887" s="30" t="str">
        <f>VLOOKUP(B1887,'112年全品項生產鍋數'!A:H,2,0)</f>
        <v>PET瓶花生(粒)(1*340g)</v>
      </c>
      <c r="D1887" s="287">
        <v>12</v>
      </c>
      <c r="E1887" s="48">
        <f>VLOOKUP(B1887,'112年全品項生產鍋數'!A:H,3,0)</f>
        <v>0.34</v>
      </c>
      <c r="F1887" s="142">
        <f>VLOOKUP(B1887,'112年全品項生產鍋數'!A:H,7,0)</f>
        <v>366</v>
      </c>
      <c r="G1887" s="143">
        <f t="shared" si="256"/>
        <v>4392</v>
      </c>
      <c r="H1887" s="156">
        <f>2025+2402</f>
        <v>4427</v>
      </c>
      <c r="I1887" s="23">
        <f t="shared" si="257"/>
        <v>1505.18</v>
      </c>
      <c r="J1887" s="100">
        <f t="shared" si="258"/>
        <v>1.0079690346083789</v>
      </c>
      <c r="K1887" s="51">
        <f>VLOOKUP(B:B,'生產達成率(目標)'!A:C,3,0)</f>
        <v>1</v>
      </c>
      <c r="L1887" s="20">
        <f t="shared" si="259"/>
        <v>8.0000000000000002E-3</v>
      </c>
      <c r="M1887" s="137" t="str">
        <f>工時!R1071</f>
        <v>260</v>
      </c>
      <c r="N1887" s="144"/>
      <c r="O1887" s="144">
        <f t="shared" si="260"/>
        <v>5</v>
      </c>
      <c r="P1887" s="156">
        <f>2022+2400</f>
        <v>4422</v>
      </c>
      <c r="Q1887" s="98">
        <f t="shared" si="261"/>
        <v>0.99887056697537835</v>
      </c>
      <c r="R1887" s="23"/>
      <c r="S1887" s="173"/>
      <c r="T1887" s="30" t="s">
        <v>1109</v>
      </c>
    </row>
    <row r="1888" spans="1:30" x14ac:dyDescent="0.4">
      <c r="A1888" s="210">
        <v>45868</v>
      </c>
      <c r="B1888" s="151" t="s">
        <v>995</v>
      </c>
      <c r="C1888" s="30" t="str">
        <f>VLOOKUP(B1888,'112年全品項生產鍋數'!A:H,2,0)</f>
        <v>＃2藍莓(1*900g)</v>
      </c>
      <c r="D1888" s="287">
        <v>20</v>
      </c>
      <c r="E1888" s="48">
        <f>VLOOKUP(B1888,'112年全品項生產鍋數'!A:H,3,0)</f>
        <v>0.9</v>
      </c>
      <c r="F1888" s="142">
        <f>VLOOKUP(B1888,'112年全品項生產鍋數'!A:H,7,0)</f>
        <v>163</v>
      </c>
      <c r="G1888" s="143">
        <f t="shared" si="256"/>
        <v>3260</v>
      </c>
      <c r="H1888" s="156">
        <v>3146</v>
      </c>
      <c r="I1888" s="23">
        <f t="shared" si="257"/>
        <v>2831.4</v>
      </c>
      <c r="J1888" s="100">
        <f t="shared" si="258"/>
        <v>0.96503067484662575</v>
      </c>
      <c r="K1888" s="51" t="e">
        <f>VLOOKUP(B:B,'生產達成率(目標)'!A:C,3,0)</f>
        <v>#N/A</v>
      </c>
      <c r="L1888" s="20" t="e">
        <f>IF(G1888=0,"無法預估數據",ROUND(J1888-K1888,3))</f>
        <v>#N/A</v>
      </c>
      <c r="M1888" s="137" t="str">
        <f>工時!R1072</f>
        <v>300</v>
      </c>
      <c r="N1888" s="144"/>
      <c r="O1888" s="144">
        <f t="shared" si="260"/>
        <v>2</v>
      </c>
      <c r="P1888" s="156">
        <v>3144</v>
      </c>
      <c r="Q1888" s="98">
        <f t="shared" si="261"/>
        <v>0.99936427209154477</v>
      </c>
      <c r="R1888" s="23"/>
      <c r="S1888" s="173"/>
      <c r="T1888" s="30"/>
    </row>
    <row r="1889" spans="1:30" x14ac:dyDescent="0.4">
      <c r="A1889" s="210">
        <v>45868</v>
      </c>
      <c r="B1889" s="151" t="s">
        <v>979</v>
      </c>
      <c r="C1889" s="30" t="str">
        <f>VLOOKUP(B1889,'112年全品項生產鍋數'!A:H,2,0)</f>
        <v>＃1藍莓(1*3.2kg)</v>
      </c>
      <c r="D1889" s="287">
        <v>36</v>
      </c>
      <c r="E1889" s="48">
        <f>VLOOKUP(B1889,'112年全品項生產鍋數'!A:H,3,0)</f>
        <v>3.2</v>
      </c>
      <c r="F1889" s="142">
        <f>VLOOKUP(B1889,'112年全品項生產鍋數'!A:H,7,0)</f>
        <v>47.5</v>
      </c>
      <c r="G1889" s="143">
        <f t="shared" si="256"/>
        <v>1710</v>
      </c>
      <c r="H1889" s="156">
        <v>1702</v>
      </c>
      <c r="I1889" s="23">
        <f t="shared" si="257"/>
        <v>5446.4000000000005</v>
      </c>
      <c r="J1889" s="100">
        <f t="shared" si="258"/>
        <v>0.99532163742690061</v>
      </c>
      <c r="K1889" s="51" t="e">
        <f>VLOOKUP(B:B,'生產達成率(目標)'!A:C,3,0)</f>
        <v>#N/A</v>
      </c>
      <c r="L1889" s="20" t="e">
        <f t="shared" si="259"/>
        <v>#N/A</v>
      </c>
      <c r="M1889" s="137" t="str">
        <f>工時!R1073</f>
        <v>240</v>
      </c>
      <c r="N1889" s="144"/>
      <c r="O1889" s="144">
        <f t="shared" si="260"/>
        <v>3</v>
      </c>
      <c r="P1889" s="156">
        <v>1699</v>
      </c>
      <c r="Q1889" s="98">
        <f t="shared" si="261"/>
        <v>0.99823736780258521</v>
      </c>
      <c r="R1889" s="23"/>
      <c r="S1889" s="173"/>
      <c r="T1889" s="30"/>
    </row>
    <row r="1890" spans="1:30" x14ac:dyDescent="0.4">
      <c r="A1890" s="210">
        <v>45868</v>
      </c>
      <c r="B1890" s="151" t="s">
        <v>64</v>
      </c>
      <c r="C1890" s="30" t="str">
        <f>VLOOKUP(B1890,'112年全品項生產鍋數'!A:H,2,0)</f>
        <v>藍莓餡(1*6KG)</v>
      </c>
      <c r="D1890" s="287">
        <v>20</v>
      </c>
      <c r="E1890" s="48">
        <f>VLOOKUP(B1890,'112年全品項生產鍋數'!A:H,3,0)</f>
        <v>6</v>
      </c>
      <c r="F1890" s="142">
        <f>VLOOKUP(B1890,'112年全品項生產鍋數'!A:H,7,0)</f>
        <v>25.4</v>
      </c>
      <c r="G1890" s="143">
        <f t="shared" si="256"/>
        <v>508</v>
      </c>
      <c r="H1890" s="156">
        <f>303+209</f>
        <v>512</v>
      </c>
      <c r="I1890" s="23">
        <f t="shared" si="257"/>
        <v>3072</v>
      </c>
      <c r="J1890" s="100">
        <f t="shared" si="258"/>
        <v>1.0078740157480315</v>
      </c>
      <c r="K1890" s="51">
        <f>VLOOKUP(B:B,'生產達成率(目標)'!A:C,3,0)</f>
        <v>1</v>
      </c>
      <c r="L1890" s="20">
        <f t="shared" si="259"/>
        <v>8.0000000000000002E-3</v>
      </c>
      <c r="M1890" s="137" t="str">
        <f>工時!R1074</f>
        <v>270</v>
      </c>
      <c r="N1890" s="144"/>
      <c r="O1890" s="144">
        <f t="shared" si="260"/>
        <v>1</v>
      </c>
      <c r="P1890" s="156">
        <f>302+209</f>
        <v>511</v>
      </c>
      <c r="Q1890" s="98">
        <f t="shared" si="261"/>
        <v>0.998046875</v>
      </c>
      <c r="R1890" s="23"/>
      <c r="S1890" s="173"/>
      <c r="T1890" s="30"/>
    </row>
    <row r="1891" spans="1:30" x14ac:dyDescent="0.4">
      <c r="A1891" s="210">
        <v>45868</v>
      </c>
      <c r="B1891" s="151" t="s">
        <v>53</v>
      </c>
      <c r="C1891" s="30" t="str">
        <f>VLOOKUP(B1891,'112年全品項生產鍋數'!A:H,2,0)</f>
        <v>鳳梨芒果百香果醬(1*6KG)</v>
      </c>
      <c r="D1891" s="287">
        <v>6</v>
      </c>
      <c r="E1891" s="48">
        <f>VLOOKUP(B1891,'112年全品項生產鍋數'!A:H,3,0)</f>
        <v>6</v>
      </c>
      <c r="F1891" s="142">
        <f>VLOOKUP(B1891,'112年全品項生產鍋數'!A:H,7,0)</f>
        <v>25.7</v>
      </c>
      <c r="G1891" s="143">
        <f t="shared" ref="G1891:G1938" si="262">D1891*F1891</f>
        <v>154.19999999999999</v>
      </c>
      <c r="H1891" s="156">
        <v>151</v>
      </c>
      <c r="I1891" s="23">
        <f t="shared" ref="I1891:I1938" si="263">H1891*E1891</f>
        <v>906</v>
      </c>
      <c r="J1891" s="100">
        <f t="shared" ref="J1891:J1938" si="264">IF(G1891=0,"無法預估數據",H1891/G1891)</f>
        <v>0.97924773022049294</v>
      </c>
      <c r="K1891" s="51">
        <f>VLOOKUP(B:B,'生產達成率(目標)'!A:C,3,0)</f>
        <v>1</v>
      </c>
      <c r="L1891" s="20">
        <f t="shared" ref="L1891:L1938" si="265">IF(G1891=0,"無法預估數據",ROUND(J1891-K1891,3))</f>
        <v>-2.1000000000000001E-2</v>
      </c>
      <c r="M1891" s="137" t="str">
        <f>工時!R1075</f>
        <v>142</v>
      </c>
      <c r="N1891" s="144"/>
      <c r="O1891" s="144">
        <f t="shared" ref="O1891:O1938" si="266">H1891-N1891-P1891</f>
        <v>1</v>
      </c>
      <c r="P1891" s="156">
        <v>150</v>
      </c>
      <c r="Q1891" s="98">
        <f t="shared" ref="Q1891:Q1938" si="267">P1891/H1891</f>
        <v>0.99337748344370858</v>
      </c>
      <c r="R1891" s="23"/>
      <c r="S1891" s="173"/>
      <c r="T1891" s="30"/>
    </row>
    <row r="1892" spans="1:30" x14ac:dyDescent="0.4">
      <c r="A1892" s="210">
        <v>45868</v>
      </c>
      <c r="B1892" s="151" t="s">
        <v>1046</v>
      </c>
      <c r="C1892" s="30" t="str">
        <f>VLOOKUP(B1892,'112年全品項生產鍋數'!A:H,2,0)</f>
        <v>藍莓顆粒果醬(1*6kg)</v>
      </c>
      <c r="D1892" s="287">
        <v>6</v>
      </c>
      <c r="E1892" s="48">
        <f>VLOOKUP(B1892,'112年全品項生產鍋數'!A:H,3,0)</f>
        <v>6</v>
      </c>
      <c r="F1892" s="142">
        <f>VLOOKUP(B1892,'112年全品項生產鍋數'!A:H,7,0)</f>
        <v>0</v>
      </c>
      <c r="G1892" s="143">
        <f t="shared" si="262"/>
        <v>0</v>
      </c>
      <c r="H1892" s="156">
        <v>151</v>
      </c>
      <c r="I1892" s="23">
        <f t="shared" si="263"/>
        <v>906</v>
      </c>
      <c r="J1892" s="100" t="str">
        <f t="shared" si="264"/>
        <v>無法預估數據</v>
      </c>
      <c r="K1892" s="51">
        <f>VLOOKUP(B:B,'生產達成率(目標)'!A:C,3,0)</f>
        <v>1</v>
      </c>
      <c r="L1892" s="20" t="str">
        <f t="shared" si="265"/>
        <v>無法預估數據</v>
      </c>
      <c r="M1892" s="137" t="str">
        <f>工時!R1076</f>
        <v>142</v>
      </c>
      <c r="N1892" s="144"/>
      <c r="O1892" s="144">
        <f t="shared" si="266"/>
        <v>1</v>
      </c>
      <c r="P1892" s="156">
        <v>150</v>
      </c>
      <c r="Q1892" s="98">
        <f t="shared" si="267"/>
        <v>0.99337748344370858</v>
      </c>
      <c r="R1892" s="23"/>
      <c r="S1892" s="173"/>
      <c r="T1892" s="30"/>
    </row>
    <row r="1893" spans="1:30" x14ac:dyDescent="0.4">
      <c r="A1893" s="210">
        <v>45868</v>
      </c>
      <c r="B1893" s="151" t="s">
        <v>1045</v>
      </c>
      <c r="C1893" s="30" t="str">
        <f>VLOOKUP(B1893,'112年全品項生產鍋數'!A:H,2,0)</f>
        <v>芒果蜜桃醬(含桃丁)</v>
      </c>
      <c r="D1893" s="287">
        <v>6</v>
      </c>
      <c r="E1893" s="48">
        <f>VLOOKUP(B1893,'112年全品項生產鍋數'!A:H,3,0)</f>
        <v>6</v>
      </c>
      <c r="F1893" s="142">
        <f>VLOOKUP(B1893,'112年全品項生產鍋數'!A:H,7,0)</f>
        <v>0</v>
      </c>
      <c r="G1893" s="143">
        <f t="shared" si="262"/>
        <v>0</v>
      </c>
      <c r="H1893" s="156">
        <v>159</v>
      </c>
      <c r="I1893" s="23">
        <f t="shared" si="263"/>
        <v>954</v>
      </c>
      <c r="J1893" s="100" t="str">
        <f t="shared" si="264"/>
        <v>無法預估數據</v>
      </c>
      <c r="K1893" s="51">
        <f>VLOOKUP(B:B,'生產達成率(目標)'!A:C,3,0)</f>
        <v>1</v>
      </c>
      <c r="L1893" s="20" t="str">
        <f t="shared" si="265"/>
        <v>無法預估數據</v>
      </c>
      <c r="M1893" s="137" t="str">
        <f>工時!R1077</f>
        <v>145</v>
      </c>
      <c r="N1893" s="144"/>
      <c r="O1893" s="144">
        <f t="shared" si="266"/>
        <v>2</v>
      </c>
      <c r="P1893" s="156">
        <v>157</v>
      </c>
      <c r="Q1893" s="98">
        <f t="shared" si="267"/>
        <v>0.98742138364779874</v>
      </c>
      <c r="R1893" s="23"/>
      <c r="S1893" s="173"/>
      <c r="T1893" s="30"/>
    </row>
    <row r="1894" spans="1:30" x14ac:dyDescent="0.4">
      <c r="A1894" s="210">
        <v>45868</v>
      </c>
      <c r="B1894" s="151" t="s">
        <v>65</v>
      </c>
      <c r="C1894" s="30" t="str">
        <f>VLOOKUP(B1894,'112年全品項生產鍋數'!A:H,2,0)</f>
        <v>＃1花生(1*2.8kg)</v>
      </c>
      <c r="D1894" s="287">
        <v>72</v>
      </c>
      <c r="E1894" s="48">
        <f>VLOOKUP(B1894,'112年全品項生產鍋數'!A:H,3,0)</f>
        <v>2.8</v>
      </c>
      <c r="F1894" s="142">
        <f>VLOOKUP(B1894,'112年全品項生產鍋數'!A:H,7,0)</f>
        <v>44.5</v>
      </c>
      <c r="G1894" s="143">
        <f>D1894*F1894-50*18/E1894</f>
        <v>2882.5714285714284</v>
      </c>
      <c r="H1894" s="156">
        <v>2890</v>
      </c>
      <c r="I1894" s="23">
        <f t="shared" si="263"/>
        <v>8091.9999999999991</v>
      </c>
      <c r="J1894" s="100">
        <f t="shared" si="264"/>
        <v>1.0025770641292497</v>
      </c>
      <c r="K1894" s="51">
        <f>VLOOKUP(B:B,'生產達成率(目標)'!A:C,3,0)</f>
        <v>1</v>
      </c>
      <c r="L1894" s="20">
        <f t="shared" si="265"/>
        <v>3.0000000000000001E-3</v>
      </c>
      <c r="M1894" s="137" t="str">
        <f>工時!R1078</f>
        <v>590</v>
      </c>
      <c r="N1894" s="144"/>
      <c r="O1894" s="144">
        <f t="shared" si="266"/>
        <v>1</v>
      </c>
      <c r="P1894" s="156">
        <v>2889</v>
      </c>
      <c r="Q1894" s="98">
        <f t="shared" si="267"/>
        <v>0.99965397923875432</v>
      </c>
      <c r="R1894" s="23"/>
      <c r="S1894" s="173"/>
      <c r="T1894" s="30" t="s">
        <v>1108</v>
      </c>
    </row>
    <row r="1895" spans="1:30" x14ac:dyDescent="0.4">
      <c r="A1895" s="210">
        <v>45869</v>
      </c>
      <c r="B1895" s="151" t="s">
        <v>114</v>
      </c>
      <c r="C1895" s="30" t="str">
        <f>VLOOKUP(B1895,'112年全品項生產鍋數'!A:H,2,0)</f>
        <v>開心草莓果醬(1*430g)</v>
      </c>
      <c r="D1895" s="287">
        <v>15</v>
      </c>
      <c r="E1895" s="48">
        <f>VLOOKUP(B1895,'112年全品項生產鍋數'!A:H,3,0)</f>
        <v>0.43</v>
      </c>
      <c r="F1895" s="142">
        <f>VLOOKUP(B1895,'112年全品項生產鍋數'!A:H,7,0)</f>
        <v>364</v>
      </c>
      <c r="G1895" s="143">
        <f t="shared" si="262"/>
        <v>5460</v>
      </c>
      <c r="H1895" s="156">
        <v>5607</v>
      </c>
      <c r="I1895" s="23">
        <f t="shared" si="263"/>
        <v>2411.0099999999998</v>
      </c>
      <c r="J1895" s="100">
        <f t="shared" si="264"/>
        <v>1.0269230769230768</v>
      </c>
      <c r="K1895" s="51">
        <f>VLOOKUP(B:B,'生產達成率(目標)'!A:C,3,0)</f>
        <v>1</v>
      </c>
      <c r="L1895" s="20">
        <f t="shared" si="265"/>
        <v>2.7E-2</v>
      </c>
      <c r="M1895" s="137" t="str">
        <f>工時!R1079</f>
        <v>300</v>
      </c>
      <c r="N1895" s="144"/>
      <c r="O1895" s="144">
        <f t="shared" si="266"/>
        <v>10</v>
      </c>
      <c r="P1895" s="156">
        <v>5597</v>
      </c>
      <c r="Q1895" s="98">
        <f t="shared" si="267"/>
        <v>0.99821651507044762</v>
      </c>
      <c r="R1895" s="23"/>
      <c r="S1895" s="173"/>
      <c r="T1895" s="30"/>
    </row>
    <row r="1896" spans="1:30" s="146" customFormat="1" x14ac:dyDescent="0.4">
      <c r="A1896" s="212">
        <v>45869</v>
      </c>
      <c r="B1896" s="151" t="s">
        <v>472</v>
      </c>
      <c r="C1896" s="140" t="str">
        <f>VLOOKUP(B1896,'112年全品項生產鍋數'!A:H,2,0)</f>
        <v>藍莓果醬(1*210G)</v>
      </c>
      <c r="D1896" s="287">
        <v>4</v>
      </c>
      <c r="E1896" s="141">
        <f>VLOOKUP(B1896,'112年全品項生產鍋數'!A:H,3,0)</f>
        <v>0.21</v>
      </c>
      <c r="F1896" s="142">
        <f>VLOOKUP(B1896,'112年全品項生產鍋數'!A:H,7,0)</f>
        <v>698.4</v>
      </c>
      <c r="G1896" s="143">
        <f t="shared" si="262"/>
        <v>2793.6</v>
      </c>
      <c r="H1896" s="156">
        <v>2664</v>
      </c>
      <c r="I1896" s="144">
        <f t="shared" si="263"/>
        <v>559.43999999999994</v>
      </c>
      <c r="J1896" s="100">
        <f t="shared" si="264"/>
        <v>0.95360824742268047</v>
      </c>
      <c r="K1896" s="51">
        <f>VLOOKUP(B:B,'生產達成率(目標)'!A:C,3,0)</f>
        <v>1</v>
      </c>
      <c r="L1896" s="20">
        <f t="shared" si="265"/>
        <v>-4.5999999999999999E-2</v>
      </c>
      <c r="M1896" s="137" t="str">
        <f>工時!R1080</f>
        <v>240</v>
      </c>
      <c r="N1896" s="144"/>
      <c r="O1896" s="144">
        <f t="shared" si="266"/>
        <v>6</v>
      </c>
      <c r="P1896" s="156">
        <v>2658</v>
      </c>
      <c r="Q1896" s="145">
        <f t="shared" si="267"/>
        <v>0.99774774774774777</v>
      </c>
      <c r="R1896" s="144"/>
      <c r="S1896" s="153"/>
      <c r="T1896" s="140"/>
      <c r="V1896" s="381"/>
      <c r="W1896" s="421"/>
      <c r="X1896" s="381"/>
      <c r="Y1896" s="421"/>
      <c r="Z1896" s="421"/>
      <c r="AA1896" s="421"/>
      <c r="AB1896" s="421"/>
      <c r="AC1896" s="421"/>
      <c r="AD1896" s="421"/>
    </row>
    <row r="1897" spans="1:30" x14ac:dyDescent="0.4">
      <c r="A1897" s="210">
        <v>45869</v>
      </c>
      <c r="B1897" s="151" t="s">
        <v>101</v>
      </c>
      <c r="C1897" s="30" t="str">
        <f>VLOOKUP(B1897,'112年全品項生產鍋數'!A:H,2,0)</f>
        <v>上好佳綜合莓餡4.5KG</v>
      </c>
      <c r="D1897" s="287">
        <v>3</v>
      </c>
      <c r="E1897" s="48">
        <f>VLOOKUP(B1897,'112年全品項生產鍋數'!A:H,3,0)</f>
        <v>4.5</v>
      </c>
      <c r="F1897" s="142">
        <f>VLOOKUP(B1897,'112年全品項生產鍋數'!A:H,7,0)</f>
        <v>32.799999999999997</v>
      </c>
      <c r="G1897" s="143">
        <f t="shared" si="262"/>
        <v>98.399999999999991</v>
      </c>
      <c r="H1897" s="156">
        <v>102</v>
      </c>
      <c r="I1897" s="23">
        <f t="shared" si="263"/>
        <v>459</v>
      </c>
      <c r="J1897" s="100">
        <f t="shared" si="264"/>
        <v>1.0365853658536586</v>
      </c>
      <c r="K1897" s="51">
        <f>VLOOKUP(B:B,'生產達成率(目標)'!A:C,3,0)</f>
        <v>1</v>
      </c>
      <c r="L1897" s="20">
        <f t="shared" si="265"/>
        <v>3.6999999999999998E-2</v>
      </c>
      <c r="M1897" s="137" t="str">
        <f>工時!R1081</f>
        <v>157</v>
      </c>
      <c r="N1897" s="144"/>
      <c r="O1897" s="144">
        <f t="shared" si="266"/>
        <v>0</v>
      </c>
      <c r="P1897" s="156">
        <v>102</v>
      </c>
      <c r="Q1897" s="98">
        <f t="shared" si="267"/>
        <v>1</v>
      </c>
      <c r="R1897" s="23"/>
      <c r="S1897" s="173"/>
      <c r="T1897" s="30"/>
    </row>
    <row r="1898" spans="1:30" x14ac:dyDescent="0.4">
      <c r="A1898" s="210">
        <v>45869</v>
      </c>
      <c r="B1898" s="151" t="s">
        <v>1007</v>
      </c>
      <c r="C1898" s="30" t="str">
        <f>VLOOKUP(B1898,'112年全品項生產鍋數'!A:H,2,0)</f>
        <v>藍莓餡（大）(1*9.08kg)</v>
      </c>
      <c r="D1898" s="287">
        <v>20</v>
      </c>
      <c r="E1898" s="48">
        <f>VLOOKUP(B1898,'112年全品項生產鍋數'!A:H,3,0)</f>
        <v>9.08</v>
      </c>
      <c r="F1898" s="142">
        <f>VLOOKUP(B1898,'112年全品項生產鍋數'!A:H,7,0)</f>
        <v>17.399999999999999</v>
      </c>
      <c r="G1898" s="143">
        <f t="shared" si="262"/>
        <v>348</v>
      </c>
      <c r="H1898" s="156">
        <v>354</v>
      </c>
      <c r="I1898" s="23">
        <f t="shared" si="263"/>
        <v>3214.32</v>
      </c>
      <c r="J1898" s="100">
        <f t="shared" si="264"/>
        <v>1.0172413793103448</v>
      </c>
      <c r="K1898" s="51" t="e">
        <f>VLOOKUP(B:B,'生產達成率(目標)'!A:C,3,0)</f>
        <v>#N/A</v>
      </c>
      <c r="L1898" s="20" t="e">
        <f t="shared" si="265"/>
        <v>#N/A</v>
      </c>
      <c r="M1898" s="137" t="str">
        <f>工時!R1082</f>
        <v>270</v>
      </c>
      <c r="N1898" s="144"/>
      <c r="O1898" s="144">
        <f t="shared" si="266"/>
        <v>0</v>
      </c>
      <c r="P1898" s="156">
        <v>354</v>
      </c>
      <c r="Q1898" s="98">
        <f t="shared" si="267"/>
        <v>1</v>
      </c>
      <c r="R1898" s="23"/>
      <c r="S1898" s="173">
        <v>25</v>
      </c>
      <c r="T1898" s="30" t="s">
        <v>1124</v>
      </c>
    </row>
    <row r="1899" spans="1:30" x14ac:dyDescent="0.4">
      <c r="A1899" s="210">
        <v>45869</v>
      </c>
      <c r="B1899" s="151" t="s">
        <v>548</v>
      </c>
      <c r="C1899" s="30" t="str">
        <f>VLOOKUP(B1899,'112年全品項生產鍋數'!A:H,2,0)</f>
        <v>天天開心芒果餡4.5KG</v>
      </c>
      <c r="D1899" s="287">
        <v>12</v>
      </c>
      <c r="E1899" s="48">
        <f>VLOOKUP(B1899,'112年全品項生產鍋數'!A:H,3,0)</f>
        <v>4.5</v>
      </c>
      <c r="F1899" s="142">
        <f>VLOOKUP(B1899,'112年全品項生產鍋數'!A:H,7,0)</f>
        <v>33.200000000000003</v>
      </c>
      <c r="G1899" s="143">
        <f t="shared" si="262"/>
        <v>398.40000000000003</v>
      </c>
      <c r="H1899" s="156">
        <v>437</v>
      </c>
      <c r="I1899" s="23">
        <f t="shared" si="263"/>
        <v>1966.5</v>
      </c>
      <c r="J1899" s="100">
        <f t="shared" si="264"/>
        <v>1.0968875502008031</v>
      </c>
      <c r="K1899" s="51">
        <f>VLOOKUP(B:B,'生產達成率(目標)'!A:C,3,0)</f>
        <v>1</v>
      </c>
      <c r="L1899" s="20">
        <f t="shared" si="265"/>
        <v>9.7000000000000003E-2</v>
      </c>
      <c r="M1899" s="137" t="str">
        <f>工時!R1083</f>
        <v>240</v>
      </c>
      <c r="N1899" s="144"/>
      <c r="O1899" s="144">
        <f t="shared" si="266"/>
        <v>0</v>
      </c>
      <c r="P1899" s="156">
        <v>437</v>
      </c>
      <c r="Q1899" s="98">
        <f t="shared" si="267"/>
        <v>1</v>
      </c>
      <c r="R1899" s="23"/>
      <c r="S1899" s="173"/>
      <c r="T1899" s="30"/>
    </row>
    <row r="1900" spans="1:30" x14ac:dyDescent="0.4">
      <c r="A1900" s="210">
        <v>45869</v>
      </c>
      <c r="B1900" s="151" t="s">
        <v>65</v>
      </c>
      <c r="C1900" s="30" t="str">
        <f>VLOOKUP(B1900,'112年全品項生產鍋數'!A:H,2,0)</f>
        <v>＃1花生(1*2.8kg)</v>
      </c>
      <c r="D1900" s="287">
        <v>44</v>
      </c>
      <c r="E1900" s="48">
        <f>VLOOKUP(B1900,'112年全品項生產鍋數'!A:H,3,0)</f>
        <v>2.8</v>
      </c>
      <c r="F1900" s="142">
        <f>VLOOKUP(B1900,'112年全品項生產鍋數'!A:H,7,0)</f>
        <v>44.5</v>
      </c>
      <c r="G1900" s="143">
        <f t="shared" si="262"/>
        <v>1958</v>
      </c>
      <c r="H1900" s="156">
        <v>1955</v>
      </c>
      <c r="I1900" s="23">
        <f t="shared" si="263"/>
        <v>5474</v>
      </c>
      <c r="J1900" s="100">
        <f t="shared" si="264"/>
        <v>0.99846782431052095</v>
      </c>
      <c r="K1900" s="51">
        <f>VLOOKUP(B:B,'生產達成率(目標)'!A:C,3,0)</f>
        <v>1</v>
      </c>
      <c r="L1900" s="20">
        <f t="shared" si="265"/>
        <v>-2E-3</v>
      </c>
      <c r="M1900" s="137" t="str">
        <f>工時!R1084</f>
        <v>365</v>
      </c>
      <c r="N1900" s="144"/>
      <c r="O1900" s="144">
        <f t="shared" si="266"/>
        <v>1</v>
      </c>
      <c r="P1900" s="156">
        <v>1954</v>
      </c>
      <c r="Q1900" s="98">
        <f t="shared" si="267"/>
        <v>0.99948849104859339</v>
      </c>
      <c r="R1900" s="23"/>
      <c r="S1900" s="173"/>
      <c r="T1900" s="30"/>
    </row>
    <row r="1901" spans="1:30" x14ac:dyDescent="0.4">
      <c r="A1901" s="210">
        <v>45869</v>
      </c>
      <c r="B1901" s="151" t="s">
        <v>66</v>
      </c>
      <c r="C1901" s="30" t="str">
        <f>VLOOKUP(B1901,'112年全品項生產鍋數'!A:H,2,0)</f>
        <v>＃2花生(1*800g)</v>
      </c>
      <c r="D1901" s="287">
        <v>20</v>
      </c>
      <c r="E1901" s="48">
        <f>VLOOKUP(B1901,'112年全品項生產鍋數'!A:H,3,0)</f>
        <v>0.8</v>
      </c>
      <c r="F1901" s="142">
        <f>VLOOKUP(B1901,'112年全品項生產鍋數'!A:H,7,0)</f>
        <v>157.69999999999999</v>
      </c>
      <c r="G1901" s="143">
        <f t="shared" si="262"/>
        <v>3154</v>
      </c>
      <c r="H1901" s="156">
        <v>3138</v>
      </c>
      <c r="I1901" s="23">
        <f t="shared" si="263"/>
        <v>2510.4</v>
      </c>
      <c r="J1901" s="100">
        <f t="shared" si="264"/>
        <v>0.99492707672796454</v>
      </c>
      <c r="K1901" s="51">
        <f>VLOOKUP(B:B,'生產達成率(目標)'!A:C,3,0)</f>
        <v>1</v>
      </c>
      <c r="L1901" s="20">
        <f t="shared" si="265"/>
        <v>-5.0000000000000001E-3</v>
      </c>
      <c r="M1901" s="137" t="str">
        <f>工時!R1085</f>
        <v>285</v>
      </c>
      <c r="N1901" s="144"/>
      <c r="O1901" s="144">
        <f t="shared" si="266"/>
        <v>2</v>
      </c>
      <c r="P1901" s="156">
        <v>3136</v>
      </c>
      <c r="Q1901" s="98">
        <f t="shared" si="267"/>
        <v>0.99936265137029956</v>
      </c>
      <c r="R1901" s="23"/>
      <c r="S1901" s="173"/>
      <c r="T1901" s="30"/>
    </row>
    <row r="1902" spans="1:30" x14ac:dyDescent="0.4">
      <c r="A1902" s="210">
        <v>45870</v>
      </c>
      <c r="B1902" s="151" t="s">
        <v>63</v>
      </c>
      <c r="C1902" s="30" t="str">
        <f>VLOOKUP(B1902,'112年全品項生產鍋數'!A:H,2,0)</f>
        <v>草莓蒟蒻餡(1*6kg)</v>
      </c>
      <c r="D1902" s="287">
        <v>16</v>
      </c>
      <c r="E1902" s="48">
        <f>VLOOKUP(B1902,'112年全品項生產鍋數'!A:H,3,0)</f>
        <v>6</v>
      </c>
      <c r="F1902" s="142">
        <f>VLOOKUP(B1902,'112年全品項生產鍋數'!A:H,7,0)</f>
        <v>25.7</v>
      </c>
      <c r="G1902" s="143">
        <f t="shared" si="262"/>
        <v>411.2</v>
      </c>
      <c r="H1902" s="156">
        <f>202+214</f>
        <v>416</v>
      </c>
      <c r="I1902" s="23">
        <f t="shared" si="263"/>
        <v>2496</v>
      </c>
      <c r="J1902" s="100">
        <f t="shared" si="264"/>
        <v>1.0116731517509727</v>
      </c>
      <c r="K1902" s="51">
        <f>VLOOKUP(B:B,'生產達成率(目標)'!A:C,3,0)</f>
        <v>1</v>
      </c>
      <c r="L1902" s="20">
        <f t="shared" si="265"/>
        <v>1.2E-2</v>
      </c>
      <c r="M1902" s="137" t="str">
        <f>工時!R1086</f>
        <v>210</v>
      </c>
      <c r="N1902" s="144"/>
      <c r="O1902" s="144">
        <f t="shared" si="266"/>
        <v>1</v>
      </c>
      <c r="P1902" s="156">
        <f>201+214</f>
        <v>415</v>
      </c>
      <c r="Q1902" s="98">
        <f t="shared" si="267"/>
        <v>0.99759615384615385</v>
      </c>
      <c r="R1902" s="23"/>
      <c r="S1902" s="173"/>
      <c r="T1902" s="30"/>
    </row>
    <row r="1903" spans="1:30" x14ac:dyDescent="0.4">
      <c r="A1903" s="210">
        <v>45870</v>
      </c>
      <c r="B1903" s="151" t="s">
        <v>54</v>
      </c>
      <c r="C1903" s="30" t="str">
        <f>VLOOKUP(B1903,'112年全品項生產鍋數'!A:H,2,0)</f>
        <v>草莓醬(1*6kg)</v>
      </c>
      <c r="D1903" s="287">
        <v>24</v>
      </c>
      <c r="E1903" s="48">
        <f>VLOOKUP(B1903,'112年全品項生產鍋數'!A:H,3,0)</f>
        <v>6</v>
      </c>
      <c r="F1903" s="142">
        <f>VLOOKUP(B1903,'112年全品項生產鍋數'!A:H,7,0)</f>
        <v>26.6</v>
      </c>
      <c r="G1903" s="143">
        <f t="shared" si="262"/>
        <v>638.40000000000009</v>
      </c>
      <c r="H1903" s="156">
        <v>629</v>
      </c>
      <c r="I1903" s="23">
        <f t="shared" si="263"/>
        <v>3774</v>
      </c>
      <c r="J1903" s="100">
        <f t="shared" si="264"/>
        <v>0.98527568922305753</v>
      </c>
      <c r="K1903" s="51">
        <f>VLOOKUP(B:B,'生產達成率(目標)'!A:C,3,0)</f>
        <v>1</v>
      </c>
      <c r="L1903" s="20">
        <f t="shared" si="265"/>
        <v>-1.4999999999999999E-2</v>
      </c>
      <c r="M1903" s="137" t="str">
        <f>工時!R1087</f>
        <v>330</v>
      </c>
      <c r="N1903" s="144"/>
      <c r="O1903" s="144">
        <f t="shared" si="266"/>
        <v>1</v>
      </c>
      <c r="P1903" s="156">
        <v>628</v>
      </c>
      <c r="Q1903" s="98">
        <f t="shared" si="267"/>
        <v>0.99841017488076311</v>
      </c>
      <c r="R1903" s="23"/>
      <c r="S1903" s="173"/>
      <c r="T1903" s="30"/>
    </row>
    <row r="1904" spans="1:30" x14ac:dyDescent="0.4">
      <c r="A1904" s="210">
        <v>45870</v>
      </c>
      <c r="B1904" s="151" t="s">
        <v>73</v>
      </c>
      <c r="C1904" s="30" t="str">
        <f>VLOOKUP(B1904,'112年全品項生產鍋數'!A:H,2,0)</f>
        <v>顆粒花生醬(1*12KG)</v>
      </c>
      <c r="D1904" s="287">
        <v>21</v>
      </c>
      <c r="E1904" s="48">
        <f>VLOOKUP(B1904,'112年全品項生產鍋數'!A:H,3,0)</f>
        <v>3</v>
      </c>
      <c r="F1904" s="142">
        <f>VLOOKUP(B1904,'112年全品項生產鍋數'!A:H,7,0)</f>
        <v>29.7</v>
      </c>
      <c r="G1904" s="143">
        <f t="shared" si="262"/>
        <v>623.69999999999993</v>
      </c>
      <c r="H1904" s="156">
        <v>628</v>
      </c>
      <c r="I1904" s="23">
        <f t="shared" si="263"/>
        <v>1884</v>
      </c>
      <c r="J1904" s="100">
        <f t="shared" si="264"/>
        <v>1.0068943402276738</v>
      </c>
      <c r="K1904" s="51">
        <f>VLOOKUP(B:B,'生產達成率(目標)'!A:C,3,0)</f>
        <v>1</v>
      </c>
      <c r="L1904" s="20">
        <f t="shared" si="265"/>
        <v>7.0000000000000001E-3</v>
      </c>
      <c r="M1904" s="137" t="str">
        <f>工時!R1088</f>
        <v>540</v>
      </c>
      <c r="N1904" s="144"/>
      <c r="O1904" s="144">
        <f t="shared" si="266"/>
        <v>0</v>
      </c>
      <c r="P1904" s="156">
        <v>628</v>
      </c>
      <c r="Q1904" s="98">
        <f t="shared" si="267"/>
        <v>1</v>
      </c>
      <c r="R1904" s="23"/>
      <c r="S1904" s="173"/>
      <c r="T1904" s="30"/>
    </row>
    <row r="1905" spans="1:30" s="146" customFormat="1" x14ac:dyDescent="0.4">
      <c r="A1905" s="212">
        <v>45870</v>
      </c>
      <c r="B1905" s="151" t="s">
        <v>471</v>
      </c>
      <c r="C1905" s="140" t="str">
        <f>VLOOKUP(B1905,'112年全品項生產鍋數'!A:H,2,0)</f>
        <v>花生醬(1*290g)</v>
      </c>
      <c r="D1905" s="287">
        <v>8</v>
      </c>
      <c r="E1905" s="141">
        <f>VLOOKUP(B1905,'112年全品項生產鍋數'!A:H,3,0)</f>
        <v>0.28999999999999998</v>
      </c>
      <c r="F1905" s="142">
        <f>VLOOKUP(B1905,'112年全品項生產鍋數'!A:H,7,0)</f>
        <v>412.6</v>
      </c>
      <c r="G1905" s="143">
        <f t="shared" si="262"/>
        <v>3300.8</v>
      </c>
      <c r="H1905" s="156">
        <v>3395</v>
      </c>
      <c r="I1905" s="144">
        <f t="shared" si="263"/>
        <v>984.55</v>
      </c>
      <c r="J1905" s="100">
        <f t="shared" si="264"/>
        <v>1.0285385361124575</v>
      </c>
      <c r="K1905" s="51">
        <f>VLOOKUP(B:B,'生產達成率(目標)'!A:C,3,0)</f>
        <v>1</v>
      </c>
      <c r="L1905" s="20">
        <f t="shared" si="265"/>
        <v>2.9000000000000001E-2</v>
      </c>
      <c r="M1905" s="137" t="str">
        <f>工時!R1089</f>
        <v>245</v>
      </c>
      <c r="N1905" s="144"/>
      <c r="O1905" s="144">
        <f t="shared" si="266"/>
        <v>7</v>
      </c>
      <c r="P1905" s="156">
        <v>3388</v>
      </c>
      <c r="Q1905" s="145">
        <f t="shared" si="267"/>
        <v>0.99793814432989691</v>
      </c>
      <c r="R1905" s="144"/>
      <c r="S1905" s="153"/>
      <c r="T1905" s="140"/>
      <c r="V1905" s="381"/>
      <c r="W1905" s="421"/>
      <c r="X1905" s="381"/>
      <c r="Y1905" s="421"/>
      <c r="Z1905" s="421"/>
      <c r="AA1905" s="421"/>
      <c r="AB1905" s="421"/>
      <c r="AC1905" s="421"/>
      <c r="AD1905" s="421"/>
    </row>
    <row r="1906" spans="1:30" s="146" customFormat="1" x14ac:dyDescent="0.4">
      <c r="A1906" s="212">
        <v>45870</v>
      </c>
      <c r="B1906" s="151" t="s">
        <v>104</v>
      </c>
      <c r="C1906" s="140" t="str">
        <f>VLOOKUP(B1906,'112年全品項生產鍋數'!A:H,2,0)</f>
        <v>＃1花生(粒)(1*2.8kg)</v>
      </c>
      <c r="D1906" s="287">
        <v>44</v>
      </c>
      <c r="E1906" s="141">
        <f>VLOOKUP(B1906,'112年全品項生產鍋數'!A:H,3,0)</f>
        <v>2.8</v>
      </c>
      <c r="F1906" s="142">
        <f>VLOOKUP(B1906,'112年全品項生產鍋數'!A:H,7,0)</f>
        <v>44.2</v>
      </c>
      <c r="G1906" s="143">
        <f>D1906*F1906-10*18/E1906</f>
        <v>1880.514285714286</v>
      </c>
      <c r="H1906" s="156">
        <f>1878-1</f>
        <v>1877</v>
      </c>
      <c r="I1906" s="144">
        <f t="shared" si="263"/>
        <v>5255.5999999999995</v>
      </c>
      <c r="J1906" s="100">
        <f t="shared" si="264"/>
        <v>0.99813121030721064</v>
      </c>
      <c r="K1906" s="51">
        <f>VLOOKUP(B:B,'生產達成率(目標)'!A:C,3,0)</f>
        <v>1</v>
      </c>
      <c r="L1906" s="20">
        <f t="shared" si="265"/>
        <v>-2E-3</v>
      </c>
      <c r="M1906" s="137" t="str">
        <f>工時!R1090</f>
        <v>480</v>
      </c>
      <c r="N1906" s="144"/>
      <c r="O1906" s="144">
        <f t="shared" si="266"/>
        <v>1</v>
      </c>
      <c r="P1906" s="156">
        <v>1876</v>
      </c>
      <c r="Q1906" s="145">
        <f t="shared" si="267"/>
        <v>0.99946723494938727</v>
      </c>
      <c r="R1906" s="144"/>
      <c r="S1906" s="153"/>
      <c r="T1906" s="140" t="s">
        <v>1107</v>
      </c>
      <c r="V1906" s="381"/>
      <c r="W1906" s="421"/>
      <c r="X1906" s="381"/>
      <c r="Y1906" s="421"/>
      <c r="Z1906" s="421"/>
      <c r="AA1906" s="421"/>
      <c r="AB1906" s="421"/>
      <c r="AC1906" s="421"/>
      <c r="AD1906" s="421"/>
    </row>
    <row r="1907" spans="1:30" x14ac:dyDescent="0.4">
      <c r="A1907" s="210">
        <v>45873</v>
      </c>
      <c r="B1907" s="151" t="s">
        <v>1099</v>
      </c>
      <c r="C1907" s="30" t="str">
        <f>VLOOKUP(B1907,'112年全品項生產鍋數'!A:H,2,0)</f>
        <v>百香綠茶餡(1*6Kg)</v>
      </c>
      <c r="D1907" s="287">
        <v>8</v>
      </c>
      <c r="E1907" s="48">
        <f>VLOOKUP(B1907,'112年全品項生產鍋數'!A:H,3,0)</f>
        <v>6</v>
      </c>
      <c r="F1907" s="142">
        <f>VLOOKUP(B1907,'112年全品項生產鍋數'!A:H,7,0)</f>
        <v>0</v>
      </c>
      <c r="G1907" s="143">
        <f t="shared" si="262"/>
        <v>0</v>
      </c>
      <c r="H1907" s="156">
        <v>212</v>
      </c>
      <c r="I1907" s="23">
        <f t="shared" si="263"/>
        <v>1272</v>
      </c>
      <c r="J1907" s="100" t="str">
        <f t="shared" si="264"/>
        <v>無法預估數據</v>
      </c>
      <c r="K1907" s="51">
        <f>VLOOKUP(B:B,'生產達成率(目標)'!A:C,3,0)</f>
        <v>1</v>
      </c>
      <c r="L1907" s="20" t="str">
        <f t="shared" si="265"/>
        <v>無法預估數據</v>
      </c>
      <c r="M1907" s="137" t="str">
        <f>工時!R1091</f>
        <v>120</v>
      </c>
      <c r="N1907" s="144"/>
      <c r="O1907" s="144">
        <f t="shared" si="266"/>
        <v>1</v>
      </c>
      <c r="P1907" s="156">
        <v>211</v>
      </c>
      <c r="Q1907" s="98">
        <f t="shared" si="267"/>
        <v>0.99528301886792447</v>
      </c>
      <c r="R1907" s="23"/>
      <c r="S1907" s="173"/>
      <c r="T1907" s="30"/>
    </row>
    <row r="1908" spans="1:30" x14ac:dyDescent="0.4">
      <c r="A1908" s="210">
        <v>45873</v>
      </c>
      <c r="B1908" s="151" t="s">
        <v>54</v>
      </c>
      <c r="C1908" s="30" t="str">
        <f>VLOOKUP(B1908,'112年全品項生產鍋數'!A:H,2,0)</f>
        <v>草莓醬(1*6kg)</v>
      </c>
      <c r="D1908" s="287">
        <v>32</v>
      </c>
      <c r="E1908" s="48">
        <f>VLOOKUP(B1908,'112年全品項生產鍋數'!A:H,3,0)</f>
        <v>6</v>
      </c>
      <c r="F1908" s="142">
        <f>VLOOKUP(B1908,'112年全品項生產鍋數'!A:H,7,0)</f>
        <v>26.6</v>
      </c>
      <c r="G1908" s="143">
        <f t="shared" si="262"/>
        <v>851.2</v>
      </c>
      <c r="H1908" s="156">
        <v>854</v>
      </c>
      <c r="I1908" s="23">
        <f t="shared" si="263"/>
        <v>5124</v>
      </c>
      <c r="J1908" s="100">
        <f t="shared" si="264"/>
        <v>1.0032894736842104</v>
      </c>
      <c r="K1908" s="51">
        <f>VLOOKUP(B:B,'生產達成率(目標)'!A:C,3,0)</f>
        <v>1</v>
      </c>
      <c r="L1908" s="20">
        <f t="shared" si="265"/>
        <v>3.0000000000000001E-3</v>
      </c>
      <c r="M1908" s="137" t="str">
        <f>工時!R1092</f>
        <v>380</v>
      </c>
      <c r="N1908" s="144"/>
      <c r="O1908" s="144">
        <f t="shared" si="266"/>
        <v>6</v>
      </c>
      <c r="P1908" s="156">
        <v>848</v>
      </c>
      <c r="Q1908" s="98">
        <f t="shared" si="267"/>
        <v>0.99297423887587821</v>
      </c>
      <c r="R1908" s="23"/>
      <c r="S1908" s="173"/>
      <c r="T1908" s="30"/>
    </row>
    <row r="1909" spans="1:30" x14ac:dyDescent="0.4">
      <c r="A1909" s="210">
        <v>45873</v>
      </c>
      <c r="B1909" s="151" t="s">
        <v>110</v>
      </c>
      <c r="C1909" s="30" t="str">
        <f>VLOOKUP(B1909,'112年全品項生產鍋數'!A:H,2,0)</f>
        <v>顆粒花生醬(1*12KG)</v>
      </c>
      <c r="D1909" s="287">
        <v>21</v>
      </c>
      <c r="E1909" s="48">
        <f>VLOOKUP(B1909,'112年全品項生產鍋數'!A:H,3,0)</f>
        <v>3</v>
      </c>
      <c r="F1909" s="142">
        <f>VLOOKUP(B1909,'112年全品項生產鍋數'!A:H,7,0)</f>
        <v>30.8</v>
      </c>
      <c r="G1909" s="143">
        <f t="shared" si="262"/>
        <v>646.80000000000007</v>
      </c>
      <c r="H1909" s="156">
        <v>648</v>
      </c>
      <c r="I1909" s="23">
        <f t="shared" si="263"/>
        <v>1944</v>
      </c>
      <c r="J1909" s="100">
        <f t="shared" si="264"/>
        <v>1.0018552875695732</v>
      </c>
      <c r="K1909" s="51">
        <f>VLOOKUP(B:B,'生產達成率(目標)'!A:C,3,0)</f>
        <v>1</v>
      </c>
      <c r="L1909" s="20">
        <f t="shared" si="265"/>
        <v>2E-3</v>
      </c>
      <c r="M1909" s="137" t="str">
        <f>工時!R1093</f>
        <v>540</v>
      </c>
      <c r="N1909" s="144"/>
      <c r="O1909" s="144">
        <f t="shared" si="266"/>
        <v>0</v>
      </c>
      <c r="P1909" s="156">
        <v>648</v>
      </c>
      <c r="Q1909" s="98">
        <f t="shared" si="267"/>
        <v>1</v>
      </c>
      <c r="R1909" s="23"/>
      <c r="S1909" s="173"/>
      <c r="T1909" s="30"/>
    </row>
    <row r="1910" spans="1:30" x14ac:dyDescent="0.4">
      <c r="A1910" s="210">
        <v>45873</v>
      </c>
      <c r="B1910" s="151" t="s">
        <v>131</v>
      </c>
      <c r="C1910" s="30" t="str">
        <f>VLOOKUP(B1910,'112年全品項生產鍋數'!A:H,2,0)</f>
        <v>花生醬(1*18KG)</v>
      </c>
      <c r="D1910" s="287">
        <v>40</v>
      </c>
      <c r="E1910" s="48">
        <f>VLOOKUP(B1910,'112年全品項生產鍋數'!A:H,3,0)</f>
        <v>18</v>
      </c>
      <c r="F1910" s="142">
        <f>VLOOKUP(B1910,'112年全品項生產鍋數'!A:H,7,0)</f>
        <v>6.9</v>
      </c>
      <c r="G1910" s="143">
        <f t="shared" si="262"/>
        <v>276</v>
      </c>
      <c r="H1910" s="156">
        <v>281</v>
      </c>
      <c r="I1910" s="23">
        <f t="shared" si="263"/>
        <v>5058</v>
      </c>
      <c r="J1910" s="100">
        <f t="shared" si="264"/>
        <v>1.0181159420289856</v>
      </c>
      <c r="K1910" s="51">
        <f>VLOOKUP(B:B,'生產達成率(目標)'!A:C,3,0)</f>
        <v>1</v>
      </c>
      <c r="L1910" s="20">
        <f t="shared" si="265"/>
        <v>1.7999999999999999E-2</v>
      </c>
      <c r="M1910" s="137" t="str">
        <f>工時!R1094</f>
        <v>390</v>
      </c>
      <c r="N1910" s="144"/>
      <c r="O1910" s="144">
        <f t="shared" si="266"/>
        <v>0</v>
      </c>
      <c r="P1910" s="156">
        <v>281</v>
      </c>
      <c r="Q1910" s="98">
        <f t="shared" si="267"/>
        <v>1</v>
      </c>
      <c r="R1910" s="23"/>
      <c r="S1910" s="173"/>
      <c r="T1910" s="30"/>
    </row>
    <row r="1911" spans="1:30" s="146" customFormat="1" x14ac:dyDescent="0.4">
      <c r="A1911" s="212">
        <v>45873</v>
      </c>
      <c r="B1911" s="151" t="s">
        <v>431</v>
      </c>
      <c r="C1911" s="140" t="str">
        <f>VLOOKUP(B1911,'112年全品項生產鍋數'!A:H,2,0)</f>
        <v>文旦丁</v>
      </c>
      <c r="D1911" s="287">
        <v>2</v>
      </c>
      <c r="E1911" s="141">
        <f>VLOOKUP(B1911,'112年全品項生產鍋數'!A:H,3,0)</f>
        <v>1</v>
      </c>
      <c r="F1911" s="142">
        <f>VLOOKUP(B1911,'112年全品項生產鍋數'!A:H,7,0)</f>
        <v>243</v>
      </c>
      <c r="G1911" s="143">
        <f t="shared" si="262"/>
        <v>486</v>
      </c>
      <c r="H1911" s="156">
        <v>488</v>
      </c>
      <c r="I1911" s="144">
        <f t="shared" si="263"/>
        <v>488</v>
      </c>
      <c r="J1911" s="100">
        <f t="shared" si="264"/>
        <v>1.0041152263374487</v>
      </c>
      <c r="K1911" s="51">
        <f>VLOOKUP(B:B,'生產達成率(目標)'!A:C,3,0)</f>
        <v>1</v>
      </c>
      <c r="L1911" s="20">
        <f t="shared" si="265"/>
        <v>4.0000000000000001E-3</v>
      </c>
      <c r="M1911" s="137" t="str">
        <f>工時!R1095</f>
        <v>0</v>
      </c>
      <c r="N1911" s="144"/>
      <c r="O1911" s="144">
        <f t="shared" si="266"/>
        <v>2</v>
      </c>
      <c r="P1911" s="156">
        <v>486</v>
      </c>
      <c r="Q1911" s="145">
        <f t="shared" si="267"/>
        <v>0.99590163934426235</v>
      </c>
      <c r="R1911" s="144"/>
      <c r="S1911" s="153"/>
      <c r="T1911" s="140" t="s">
        <v>1119</v>
      </c>
      <c r="V1911" s="381"/>
      <c r="W1911" s="421"/>
      <c r="X1911" s="381"/>
      <c r="Y1911" s="421"/>
      <c r="Z1911" s="421"/>
      <c r="AA1911" s="421"/>
      <c r="AB1911" s="421"/>
      <c r="AC1911" s="421"/>
      <c r="AD1911" s="421"/>
    </row>
    <row r="1912" spans="1:30" x14ac:dyDescent="0.4">
      <c r="A1912" s="210">
        <v>45874</v>
      </c>
      <c r="B1912" s="151" t="s">
        <v>109</v>
      </c>
      <c r="C1912" s="30" t="str">
        <f>VLOOKUP(B1912,'112年全品項生產鍋數'!A:H,2,0)</f>
        <v>蔓越莓醬(1*6KG)</v>
      </c>
      <c r="D1912" s="287">
        <v>12</v>
      </c>
      <c r="E1912" s="48">
        <f>VLOOKUP(B1912,'112年全品項生產鍋數'!A:H,3,0)</f>
        <v>6</v>
      </c>
      <c r="F1912" s="142">
        <f>VLOOKUP(B1912,'112年全品項生產鍋數'!A:H,7,0)</f>
        <v>25.6</v>
      </c>
      <c r="G1912" s="143">
        <f t="shared" si="262"/>
        <v>307.20000000000005</v>
      </c>
      <c r="H1912" s="156">
        <v>314</v>
      </c>
      <c r="I1912" s="23">
        <f t="shared" si="263"/>
        <v>1884</v>
      </c>
      <c r="J1912" s="100">
        <f t="shared" si="264"/>
        <v>1.0221354166666665</v>
      </c>
      <c r="K1912" s="51">
        <f>VLOOKUP(B:B,'生產達成率(目標)'!A:C,3,0)</f>
        <v>1</v>
      </c>
      <c r="L1912" s="20">
        <f t="shared" si="265"/>
        <v>2.1999999999999999E-2</v>
      </c>
      <c r="M1912" s="137" t="str">
        <f>工時!R1096</f>
        <v>190</v>
      </c>
      <c r="N1912" s="144"/>
      <c r="O1912" s="144">
        <f t="shared" si="266"/>
        <v>1</v>
      </c>
      <c r="P1912" s="156">
        <v>313</v>
      </c>
      <c r="Q1912" s="98">
        <f t="shared" si="267"/>
        <v>0.99681528662420382</v>
      </c>
      <c r="R1912" s="23"/>
      <c r="S1912" s="173"/>
      <c r="T1912" s="30"/>
    </row>
    <row r="1913" spans="1:30" x14ac:dyDescent="0.4">
      <c r="A1913" s="210">
        <v>45874</v>
      </c>
      <c r="B1913" s="151" t="s">
        <v>63</v>
      </c>
      <c r="C1913" s="30" t="str">
        <f>VLOOKUP(B1913,'112年全品項生產鍋數'!A:H,2,0)</f>
        <v>草莓蒟蒻餡(1*6kg)</v>
      </c>
      <c r="D1913" s="287">
        <v>24</v>
      </c>
      <c r="E1913" s="48">
        <f>VLOOKUP(B1913,'112年全品項生產鍋數'!A:H,3,0)</f>
        <v>6</v>
      </c>
      <c r="F1913" s="142">
        <f>VLOOKUP(B1913,'112年全品項生產鍋數'!A:H,7,0)</f>
        <v>25.7</v>
      </c>
      <c r="G1913" s="143">
        <f t="shared" si="262"/>
        <v>616.79999999999995</v>
      </c>
      <c r="H1913" s="156">
        <f>311+313</f>
        <v>624</v>
      </c>
      <c r="I1913" s="23">
        <f t="shared" si="263"/>
        <v>3744</v>
      </c>
      <c r="J1913" s="100">
        <f t="shared" si="264"/>
        <v>1.0116731517509729</v>
      </c>
      <c r="K1913" s="51">
        <f>VLOOKUP(B:B,'生產達成率(目標)'!A:C,3,0)</f>
        <v>1</v>
      </c>
      <c r="L1913" s="20">
        <f t="shared" si="265"/>
        <v>1.2E-2</v>
      </c>
      <c r="M1913" s="137" t="str">
        <f>工時!R1097</f>
        <v>360</v>
      </c>
      <c r="N1913" s="144"/>
      <c r="O1913" s="144">
        <f t="shared" si="266"/>
        <v>1</v>
      </c>
      <c r="P1913" s="156">
        <f>310+313</f>
        <v>623</v>
      </c>
      <c r="Q1913" s="98">
        <f t="shared" si="267"/>
        <v>0.9983974358974359</v>
      </c>
      <c r="R1913" s="23"/>
      <c r="S1913" s="173"/>
      <c r="T1913" s="30"/>
    </row>
    <row r="1914" spans="1:30" x14ac:dyDescent="0.4">
      <c r="A1914" s="210">
        <v>45874</v>
      </c>
      <c r="B1914" s="151" t="s">
        <v>73</v>
      </c>
      <c r="C1914" s="30" t="str">
        <f>VLOOKUP(B1914,'112年全品項生產鍋數'!A:H,2,0)</f>
        <v>顆粒花生醬(1*12KG)</v>
      </c>
      <c r="D1914" s="287">
        <v>21</v>
      </c>
      <c r="E1914" s="48">
        <f>VLOOKUP(B1914,'112年全品項生產鍋數'!A:H,3,0)</f>
        <v>3</v>
      </c>
      <c r="F1914" s="142">
        <f>VLOOKUP(B1914,'112年全品項生產鍋數'!A:H,7,0)</f>
        <v>29.7</v>
      </c>
      <c r="G1914" s="143">
        <f t="shared" si="262"/>
        <v>623.69999999999993</v>
      </c>
      <c r="H1914" s="156">
        <v>624</v>
      </c>
      <c r="I1914" s="23">
        <f t="shared" si="263"/>
        <v>1872</v>
      </c>
      <c r="J1914" s="100">
        <f t="shared" si="264"/>
        <v>1.0004810004810005</v>
      </c>
      <c r="K1914" s="51">
        <f>VLOOKUP(B:B,'生產達成率(目標)'!A:C,3,0)</f>
        <v>1</v>
      </c>
      <c r="L1914" s="20">
        <f t="shared" si="265"/>
        <v>0</v>
      </c>
      <c r="M1914" s="137" t="str">
        <f>工時!R1098</f>
        <v>540</v>
      </c>
      <c r="N1914" s="144"/>
      <c r="O1914" s="144">
        <f t="shared" si="266"/>
        <v>0</v>
      </c>
      <c r="P1914" s="156">
        <v>624</v>
      </c>
      <c r="Q1914" s="98">
        <f t="shared" si="267"/>
        <v>1</v>
      </c>
      <c r="R1914" s="23"/>
      <c r="S1914" s="173"/>
      <c r="T1914" s="30"/>
    </row>
    <row r="1915" spans="1:30" x14ac:dyDescent="0.4">
      <c r="A1915" s="210">
        <v>45874</v>
      </c>
      <c r="B1915" s="151" t="s">
        <v>642</v>
      </c>
      <c r="C1915" s="30" t="str">
        <f>VLOOKUP(B1915,'112年全品項生產鍋數'!A:H,2,0)</f>
        <v>＃2花生（粒）(1*800g)</v>
      </c>
      <c r="D1915" s="287">
        <v>20</v>
      </c>
      <c r="E1915" s="48">
        <f>VLOOKUP(B1915,'112年全品項生產鍋數'!A:H,3,0)</f>
        <v>0.8</v>
      </c>
      <c r="F1915" s="142">
        <f>VLOOKUP(B1915,'112年全品項生產鍋數'!A:H,7,0)</f>
        <v>155.5</v>
      </c>
      <c r="G1915" s="143">
        <f t="shared" si="262"/>
        <v>3110</v>
      </c>
      <c r="H1915" s="156">
        <v>3105</v>
      </c>
      <c r="I1915" s="23">
        <f t="shared" si="263"/>
        <v>2484</v>
      </c>
      <c r="J1915" s="100">
        <f t="shared" si="264"/>
        <v>0.99839228295819937</v>
      </c>
      <c r="K1915" s="51">
        <f>VLOOKUP(B:B,'生產達成率(目標)'!A:C,3,0)</f>
        <v>1</v>
      </c>
      <c r="L1915" s="20">
        <f t="shared" si="265"/>
        <v>-2E-3</v>
      </c>
      <c r="M1915" s="137" t="str">
        <f>工時!R1099</f>
        <v>280</v>
      </c>
      <c r="N1915" s="144"/>
      <c r="O1915" s="144">
        <f t="shared" si="266"/>
        <v>2</v>
      </c>
      <c r="P1915" s="156">
        <v>3103</v>
      </c>
      <c r="Q1915" s="98">
        <f t="shared" si="267"/>
        <v>0.99935587761674716</v>
      </c>
      <c r="R1915" s="23"/>
      <c r="S1915" s="173"/>
      <c r="T1915" s="30"/>
    </row>
    <row r="1916" spans="1:30" x14ac:dyDescent="0.4">
      <c r="A1916" s="210">
        <v>45874</v>
      </c>
      <c r="B1916" s="151" t="s">
        <v>104</v>
      </c>
      <c r="C1916" s="30" t="str">
        <f>VLOOKUP(B1916,'112年全品項生產鍋數'!A:H,2,0)</f>
        <v>＃1花生(粒)(1*2.8kg)</v>
      </c>
      <c r="D1916" s="287">
        <v>44</v>
      </c>
      <c r="E1916" s="48">
        <f>VLOOKUP(B1916,'112年全品項生產鍋數'!A:H,3,0)</f>
        <v>2.8</v>
      </c>
      <c r="F1916" s="142">
        <f>VLOOKUP(B1916,'112年全品項生產鍋數'!A:H,7,0)</f>
        <v>44.2</v>
      </c>
      <c r="G1916" s="143">
        <f t="shared" si="262"/>
        <v>1944.8000000000002</v>
      </c>
      <c r="H1916" s="156">
        <v>1919</v>
      </c>
      <c r="I1916" s="23">
        <f t="shared" si="263"/>
        <v>5373.2</v>
      </c>
      <c r="J1916" s="100">
        <f t="shared" si="264"/>
        <v>0.9867338543809131</v>
      </c>
      <c r="K1916" s="51">
        <f>VLOOKUP(B:B,'生產達成率(目標)'!A:C,3,0)</f>
        <v>1</v>
      </c>
      <c r="L1916" s="20">
        <f t="shared" si="265"/>
        <v>-1.2999999999999999E-2</v>
      </c>
      <c r="M1916" s="137" t="str">
        <f>工時!R1100</f>
        <v>380</v>
      </c>
      <c r="N1916" s="144"/>
      <c r="O1916" s="144">
        <f t="shared" si="266"/>
        <v>1</v>
      </c>
      <c r="P1916" s="156">
        <v>1918</v>
      </c>
      <c r="Q1916" s="98">
        <f t="shared" si="267"/>
        <v>0.99947889525794686</v>
      </c>
      <c r="R1916" s="23"/>
      <c r="S1916" s="173"/>
      <c r="T1916" s="30"/>
    </row>
    <row r="1917" spans="1:30" x14ac:dyDescent="0.4">
      <c r="A1917" s="249">
        <v>45875</v>
      </c>
      <c r="B1917" s="250" t="s">
        <v>68</v>
      </c>
      <c r="C1917" s="251" t="str">
        <f>VLOOKUP(B1917,'112年全品項生產鍋數'!A:H,2,0)</f>
        <v>#2草莓果醬(1*900g)</v>
      </c>
      <c r="D1917" s="294">
        <v>20</v>
      </c>
      <c r="E1917" s="252">
        <f>VLOOKUP(B1917,'112年全品項生產鍋數'!A:H,3,0)</f>
        <v>0.9</v>
      </c>
      <c r="F1917" s="253">
        <f>VLOOKUP(B1917,'112年全品項生產鍋數'!A:H,7,0)</f>
        <v>160.5</v>
      </c>
      <c r="G1917" s="254">
        <f t="shared" si="262"/>
        <v>3210</v>
      </c>
      <c r="H1917" s="255">
        <f>2602+600</f>
        <v>3202</v>
      </c>
      <c r="I1917" s="256">
        <f t="shared" si="263"/>
        <v>2881.8</v>
      </c>
      <c r="J1917" s="257">
        <f t="shared" si="264"/>
        <v>0.99750778816199381</v>
      </c>
      <c r="K1917" s="258">
        <f>VLOOKUP(B:B,'生產達成率(目標)'!A:C,3,0)</f>
        <v>1</v>
      </c>
      <c r="L1917" s="259">
        <f t="shared" si="265"/>
        <v>-2E-3</v>
      </c>
      <c r="M1917" s="260" t="str">
        <f>工時!R1101</f>
        <v>270</v>
      </c>
      <c r="N1917" s="261"/>
      <c r="O1917" s="261">
        <f t="shared" si="266"/>
        <v>2</v>
      </c>
      <c r="P1917" s="255">
        <f>2600+600</f>
        <v>3200</v>
      </c>
      <c r="Q1917" s="262">
        <f t="shared" si="267"/>
        <v>0.99937539038101186</v>
      </c>
      <c r="R1917" s="256"/>
      <c r="S1917" s="263"/>
      <c r="T1917" s="251" t="s">
        <v>1111</v>
      </c>
    </row>
    <row r="1918" spans="1:30" x14ac:dyDescent="0.4">
      <c r="A1918" s="210">
        <v>45875</v>
      </c>
      <c r="B1918" s="151" t="s">
        <v>995</v>
      </c>
      <c r="C1918" s="30" t="str">
        <f>VLOOKUP(B1918,'112年全品項生產鍋數'!A:H,2,0)</f>
        <v>＃2藍莓(1*900g)</v>
      </c>
      <c r="D1918" s="287">
        <v>20</v>
      </c>
      <c r="E1918" s="48">
        <f>VLOOKUP(B1918,'112年全品項生產鍋數'!A:H,3,0)</f>
        <v>0.9</v>
      </c>
      <c r="F1918" s="142">
        <f>VLOOKUP(B1918,'112年全品項生產鍋數'!A:H,7,0)</f>
        <v>163</v>
      </c>
      <c r="G1918" s="143">
        <f t="shared" si="262"/>
        <v>3260</v>
      </c>
      <c r="H1918" s="156">
        <v>3253</v>
      </c>
      <c r="I1918" s="23">
        <f t="shared" si="263"/>
        <v>2927.7000000000003</v>
      </c>
      <c r="J1918" s="100">
        <f t="shared" si="264"/>
        <v>0.99785276073619633</v>
      </c>
      <c r="K1918" s="51" t="e">
        <f>VLOOKUP(B:B,'生產達成率(目標)'!A:C,3,0)</f>
        <v>#N/A</v>
      </c>
      <c r="L1918" s="20" t="e">
        <f t="shared" si="265"/>
        <v>#N/A</v>
      </c>
      <c r="M1918" s="137" t="str">
        <f>工時!R1102</f>
        <v>270</v>
      </c>
      <c r="N1918" s="144"/>
      <c r="O1918" s="144">
        <f t="shared" si="266"/>
        <v>2</v>
      </c>
      <c r="P1918" s="156">
        <v>3251</v>
      </c>
      <c r="Q1918" s="98">
        <f t="shared" si="267"/>
        <v>0.99938518290808487</v>
      </c>
      <c r="R1918" s="23"/>
      <c r="S1918" s="173"/>
      <c r="T1918" s="30"/>
      <c r="U1918" s="1"/>
      <c r="V1918" s="460"/>
      <c r="X1918" s="460"/>
    </row>
    <row r="1919" spans="1:30" x14ac:dyDescent="0.4">
      <c r="A1919" s="210">
        <v>45875</v>
      </c>
      <c r="B1919" s="151" t="s">
        <v>72</v>
      </c>
      <c r="C1919" s="30" t="str">
        <f>VLOOKUP(B1919,'112年全品項生產鍋數'!A:H,2,0)</f>
        <v>草莓餡45%(1*6Kg)</v>
      </c>
      <c r="D1919" s="287">
        <v>16</v>
      </c>
      <c r="E1919" s="48">
        <f>VLOOKUP(B1919,'112年全品項生產鍋數'!A:H,3,0)</f>
        <v>6</v>
      </c>
      <c r="F1919" s="142">
        <f>VLOOKUP(B1919,'112年全品項生產鍋數'!A:H,7,0)</f>
        <v>26.1</v>
      </c>
      <c r="G1919" s="143">
        <f t="shared" si="262"/>
        <v>417.6</v>
      </c>
      <c r="H1919" s="156">
        <v>422</v>
      </c>
      <c r="I1919" s="23">
        <f t="shared" si="263"/>
        <v>2532</v>
      </c>
      <c r="J1919" s="100">
        <f t="shared" si="264"/>
        <v>1.0105363984674329</v>
      </c>
      <c r="K1919" s="51">
        <f>VLOOKUP(B:B,'生產達成率(目標)'!A:C,3,0)</f>
        <v>1</v>
      </c>
      <c r="L1919" s="20">
        <f t="shared" si="265"/>
        <v>1.0999999999999999E-2</v>
      </c>
      <c r="M1919" s="137" t="str">
        <f>工時!R1103</f>
        <v>260</v>
      </c>
      <c r="N1919" s="144"/>
      <c r="O1919" s="144">
        <f t="shared" si="266"/>
        <v>1</v>
      </c>
      <c r="P1919" s="156">
        <v>421</v>
      </c>
      <c r="Q1919" s="98">
        <f t="shared" si="267"/>
        <v>0.99763033175355453</v>
      </c>
      <c r="R1919" s="23"/>
      <c r="S1919" s="173"/>
      <c r="T1919" s="30"/>
      <c r="U1919" s="1"/>
      <c r="V1919" s="460"/>
      <c r="X1919" s="460"/>
    </row>
    <row r="1920" spans="1:30" x14ac:dyDescent="0.4">
      <c r="A1920" s="210">
        <v>45875</v>
      </c>
      <c r="B1920" s="151" t="s">
        <v>81</v>
      </c>
      <c r="C1920" s="30" t="str">
        <f>VLOOKUP(B1920,'112年全品項生產鍋數'!A:H,2,0)</f>
        <v>藍莓餡(1*6Kg)</v>
      </c>
      <c r="D1920" s="287">
        <v>16</v>
      </c>
      <c r="E1920" s="48">
        <f>VLOOKUP(B1920,'112年全品項生產鍋數'!A:H,3,0)</f>
        <v>6</v>
      </c>
      <c r="F1920" s="142">
        <f>VLOOKUP(B1920,'112年全品項生產鍋數'!A:H,7,0)</f>
        <v>25.1</v>
      </c>
      <c r="G1920" s="143">
        <f t="shared" si="262"/>
        <v>401.6</v>
      </c>
      <c r="H1920" s="156">
        <v>405</v>
      </c>
      <c r="I1920" s="23">
        <f t="shared" si="263"/>
        <v>2430</v>
      </c>
      <c r="J1920" s="100">
        <f t="shared" si="264"/>
        <v>1.0084661354581672</v>
      </c>
      <c r="K1920" s="51">
        <f>VLOOKUP(B:B,'生產達成率(目標)'!A:C,3,0)</f>
        <v>1</v>
      </c>
      <c r="L1920" s="20">
        <f t="shared" si="265"/>
        <v>8.0000000000000002E-3</v>
      </c>
      <c r="M1920" s="137" t="str">
        <f>工時!R1104</f>
        <v>297</v>
      </c>
      <c r="N1920" s="144"/>
      <c r="O1920" s="144">
        <f t="shared" si="266"/>
        <v>1</v>
      </c>
      <c r="P1920" s="156">
        <v>404</v>
      </c>
      <c r="Q1920" s="98">
        <f t="shared" si="267"/>
        <v>0.9975308641975309</v>
      </c>
      <c r="R1920" s="23"/>
      <c r="S1920" s="173"/>
      <c r="T1920" s="30"/>
      <c r="U1920" s="1"/>
      <c r="V1920" s="460"/>
      <c r="X1920" s="460"/>
    </row>
    <row r="1921" spans="1:30" ht="17.25" customHeight="1" x14ac:dyDescent="0.4">
      <c r="A1921" s="210">
        <v>45875</v>
      </c>
      <c r="B1921" s="151" t="s">
        <v>65</v>
      </c>
      <c r="C1921" s="30" t="str">
        <f>VLOOKUP(B1921,'112年全品項生產鍋數'!A:H,2,0)</f>
        <v>＃1花生(1*2.8kg)</v>
      </c>
      <c r="D1921" s="287">
        <v>72</v>
      </c>
      <c r="E1921" s="48">
        <f>VLOOKUP(B1921,'112年全品項生產鍋數'!A:H,3,0)</f>
        <v>2.8</v>
      </c>
      <c r="F1921" s="142">
        <f>VLOOKUP(B1921,'112年全品項生產鍋數'!A:H,7,0)</f>
        <v>44.5</v>
      </c>
      <c r="G1921" s="143">
        <f>D1921*F1921-18*35/E1921</f>
        <v>2979</v>
      </c>
      <c r="H1921" s="156">
        <v>2984</v>
      </c>
      <c r="I1921" s="23">
        <f t="shared" si="263"/>
        <v>8355.1999999999989</v>
      </c>
      <c r="J1921" s="100">
        <f t="shared" si="264"/>
        <v>1.0016784155756966</v>
      </c>
      <c r="K1921" s="51">
        <f>VLOOKUP(B:B,'生產達成率(目標)'!A:C,3,0)</f>
        <v>1</v>
      </c>
      <c r="L1921" s="20">
        <f t="shared" si="265"/>
        <v>2E-3</v>
      </c>
      <c r="M1921" s="137" t="str">
        <f>工時!R1105</f>
        <v>575</v>
      </c>
      <c r="N1921" s="144"/>
      <c r="O1921" s="144">
        <f t="shared" si="266"/>
        <v>2</v>
      </c>
      <c r="P1921" s="156">
        <v>2982</v>
      </c>
      <c r="Q1921" s="98">
        <f t="shared" si="267"/>
        <v>0.99932975871313678</v>
      </c>
      <c r="R1921" s="23"/>
      <c r="S1921" s="173"/>
      <c r="T1921" s="30" t="s">
        <v>1112</v>
      </c>
      <c r="U1921" s="1"/>
      <c r="V1921" s="460"/>
      <c r="X1921" s="460"/>
    </row>
    <row r="1922" spans="1:30" s="146" customFormat="1" x14ac:dyDescent="0.4">
      <c r="A1922" s="212">
        <v>45876</v>
      </c>
      <c r="B1922" s="151" t="s">
        <v>61</v>
      </c>
      <c r="C1922" s="140" t="str">
        <f>VLOOKUP(B1922,'112年全品項生產鍋數'!A:H,2,0)</f>
        <v>大圓草莓-新</v>
      </c>
      <c r="D1922" s="287">
        <v>40</v>
      </c>
      <c r="E1922" s="141">
        <f>VLOOKUP(B1922,'112年全品項生產鍋數'!A:H,3,0)</f>
        <v>0.44</v>
      </c>
      <c r="F1922" s="142">
        <f>VLOOKUP(B1922,'112年全品項生產鍋數'!A:H,7,0)</f>
        <v>344</v>
      </c>
      <c r="G1922" s="143">
        <f t="shared" si="262"/>
        <v>13760</v>
      </c>
      <c r="H1922" s="156">
        <v>13633</v>
      </c>
      <c r="I1922" s="144">
        <f t="shared" si="263"/>
        <v>5998.52</v>
      </c>
      <c r="J1922" s="100">
        <f t="shared" si="264"/>
        <v>0.99077034883720927</v>
      </c>
      <c r="K1922" s="51">
        <f>VLOOKUP(B:B,'生產達成率(目標)'!A:C,3,0)</f>
        <v>1</v>
      </c>
      <c r="L1922" s="20">
        <f t="shared" si="265"/>
        <v>-8.9999999999999993E-3</v>
      </c>
      <c r="M1922" s="137" t="str">
        <f>工時!R1106</f>
        <v>570</v>
      </c>
      <c r="N1922" s="144"/>
      <c r="O1922" s="144">
        <f t="shared" si="266"/>
        <v>15</v>
      </c>
      <c r="P1922" s="156">
        <v>13618</v>
      </c>
      <c r="Q1922" s="145">
        <f t="shared" si="267"/>
        <v>0.99889972859972131</v>
      </c>
      <c r="R1922" s="144"/>
      <c r="S1922" s="153"/>
      <c r="T1922" s="140"/>
      <c r="U1922" s="158"/>
      <c r="V1922" s="461"/>
      <c r="W1922" s="421"/>
      <c r="X1922" s="461"/>
      <c r="Y1922" s="421"/>
      <c r="Z1922" s="421"/>
      <c r="AA1922" s="421"/>
      <c r="AB1922" s="421"/>
      <c r="AC1922" s="421"/>
      <c r="AD1922" s="421"/>
    </row>
    <row r="1923" spans="1:30" s="146" customFormat="1" x14ac:dyDescent="0.4">
      <c r="A1923" s="212">
        <v>45876</v>
      </c>
      <c r="B1923" s="151" t="s">
        <v>115</v>
      </c>
      <c r="C1923" s="140" t="str">
        <f>VLOOKUP(B1923,'112年全品項生產鍋數'!A:H,2,0)</f>
        <v>天天開心藍莓餡4.5KG</v>
      </c>
      <c r="D1923" s="287">
        <v>12</v>
      </c>
      <c r="E1923" s="141">
        <f>VLOOKUP(B1923,'112年全品項生產鍋數'!A:H,3,0)</f>
        <v>4.5</v>
      </c>
      <c r="F1923" s="142">
        <f>VLOOKUP(B1923,'112年全品項生產鍋數'!A:H,7,0)</f>
        <v>36.799999999999997</v>
      </c>
      <c r="G1923" s="143">
        <f t="shared" si="262"/>
        <v>441.59999999999997</v>
      </c>
      <c r="H1923" s="156">
        <v>445</v>
      </c>
      <c r="I1923" s="144">
        <f t="shared" si="263"/>
        <v>2002.5</v>
      </c>
      <c r="J1923" s="100">
        <f t="shared" si="264"/>
        <v>1.0076992753623188</v>
      </c>
      <c r="K1923" s="51">
        <f>VLOOKUP(B:B,'生產達成率(目標)'!A:C,3,0)</f>
        <v>1</v>
      </c>
      <c r="L1923" s="20">
        <f t="shared" si="265"/>
        <v>8.0000000000000002E-3</v>
      </c>
      <c r="M1923" s="137" t="str">
        <f>工時!R1107</f>
        <v>240</v>
      </c>
      <c r="N1923" s="144"/>
      <c r="O1923" s="144">
        <f t="shared" si="266"/>
        <v>0</v>
      </c>
      <c r="P1923" s="156">
        <v>445</v>
      </c>
      <c r="Q1923" s="145">
        <f t="shared" si="267"/>
        <v>1</v>
      </c>
      <c r="R1923" s="144"/>
      <c r="S1923" s="153"/>
      <c r="T1923" s="140"/>
      <c r="U1923" s="158"/>
      <c r="V1923" s="461"/>
      <c r="W1923" s="421"/>
      <c r="X1923" s="461"/>
      <c r="Y1923" s="421"/>
      <c r="Z1923" s="421"/>
      <c r="AA1923" s="421"/>
      <c r="AB1923" s="421"/>
      <c r="AC1923" s="421"/>
      <c r="AD1923" s="421"/>
    </row>
    <row r="1924" spans="1:30" s="146" customFormat="1" x14ac:dyDescent="0.4">
      <c r="A1924" s="212">
        <v>45876</v>
      </c>
      <c r="B1924" s="151" t="s">
        <v>55</v>
      </c>
      <c r="C1924" s="140" t="str">
        <f>VLOOKUP(B1924,'112年全品項生產鍋數'!A:H,2,0)</f>
        <v>天天開心草莓餡4.5KG</v>
      </c>
      <c r="D1924" s="287">
        <v>24</v>
      </c>
      <c r="E1924" s="141">
        <f>VLOOKUP(B1924,'112年全品項生產鍋數'!A:H,3,0)</f>
        <v>4.5</v>
      </c>
      <c r="F1924" s="142">
        <f>VLOOKUP(B1924,'112年全品項生產鍋數'!A:H,7,0)</f>
        <v>36.299999999999997</v>
      </c>
      <c r="G1924" s="143">
        <f t="shared" si="262"/>
        <v>871.19999999999993</v>
      </c>
      <c r="H1924" s="156">
        <v>891</v>
      </c>
      <c r="I1924" s="144">
        <f t="shared" si="263"/>
        <v>4009.5</v>
      </c>
      <c r="J1924" s="100">
        <f t="shared" si="264"/>
        <v>1.0227272727272727</v>
      </c>
      <c r="K1924" s="51">
        <f>VLOOKUP(B:B,'生產達成率(目標)'!A:C,3,0)</f>
        <v>1</v>
      </c>
      <c r="L1924" s="20">
        <f t="shared" si="265"/>
        <v>2.3E-2</v>
      </c>
      <c r="M1924" s="137" t="str">
        <f>工時!R1108</f>
        <v>345</v>
      </c>
      <c r="N1924" s="144"/>
      <c r="O1924" s="144">
        <f t="shared" si="266"/>
        <v>0</v>
      </c>
      <c r="P1924" s="156">
        <v>891</v>
      </c>
      <c r="Q1924" s="145">
        <f t="shared" si="267"/>
        <v>1</v>
      </c>
      <c r="R1924" s="144"/>
      <c r="S1924" s="153"/>
      <c r="T1924" s="140"/>
      <c r="U1924" s="158"/>
      <c r="V1924" s="461"/>
      <c r="W1924" s="421"/>
      <c r="X1924" s="461"/>
      <c r="Y1924" s="421"/>
      <c r="Z1924" s="421"/>
      <c r="AA1924" s="421"/>
      <c r="AB1924" s="421"/>
      <c r="AC1924" s="421"/>
      <c r="AD1924" s="421"/>
    </row>
    <row r="1925" spans="1:30" x14ac:dyDescent="0.4">
      <c r="A1925" s="210">
        <v>45876</v>
      </c>
      <c r="B1925" s="151" t="s">
        <v>65</v>
      </c>
      <c r="C1925" s="30" t="str">
        <f>VLOOKUP(B1925,'112年全品項生產鍋數'!A:H,2,0)</f>
        <v>＃1花生(1*2.8kg)</v>
      </c>
      <c r="D1925" s="287">
        <v>72</v>
      </c>
      <c r="E1925" s="48">
        <f>VLOOKUP(B1925,'112年全品項生產鍋數'!A:H,3,0)</f>
        <v>2.8</v>
      </c>
      <c r="F1925" s="142">
        <f>VLOOKUP(B1925,'112年全品項生產鍋數'!A:H,7,0)</f>
        <v>44.5</v>
      </c>
      <c r="G1925" s="143">
        <f t="shared" si="262"/>
        <v>3204</v>
      </c>
      <c r="H1925" s="156">
        <v>3216</v>
      </c>
      <c r="I1925" s="23">
        <f t="shared" si="263"/>
        <v>9004.7999999999993</v>
      </c>
      <c r="J1925" s="100">
        <f t="shared" si="264"/>
        <v>1.0037453183520599</v>
      </c>
      <c r="K1925" s="51">
        <f>VLOOKUP(B:B,'生產達成率(目標)'!A:C,3,0)</f>
        <v>1</v>
      </c>
      <c r="L1925" s="20">
        <f t="shared" si="265"/>
        <v>4.0000000000000001E-3</v>
      </c>
      <c r="M1925" s="137" t="str">
        <f>工時!R1109</f>
        <v>565</v>
      </c>
      <c r="N1925" s="144"/>
      <c r="O1925" s="144">
        <f t="shared" si="266"/>
        <v>1</v>
      </c>
      <c r="P1925" s="156">
        <v>3215</v>
      </c>
      <c r="Q1925" s="98">
        <f t="shared" si="267"/>
        <v>0.99968905472636815</v>
      </c>
      <c r="R1925" s="23"/>
      <c r="S1925" s="173"/>
      <c r="T1925" s="30"/>
      <c r="U1925" s="1"/>
      <c r="V1925" s="460"/>
      <c r="X1925" s="460"/>
    </row>
    <row r="1926" spans="1:30" x14ac:dyDescent="0.4">
      <c r="A1926" s="210">
        <v>45877</v>
      </c>
      <c r="B1926" s="151" t="s">
        <v>71</v>
      </c>
      <c r="C1926" s="30" t="str">
        <f>VLOOKUP(B1926,'112年全品項生產鍋數'!A:H,2,0)</f>
        <v>＃1草莓(1*3.2kg)</v>
      </c>
      <c r="D1926" s="287">
        <v>72</v>
      </c>
      <c r="E1926" s="48">
        <f>VLOOKUP(B1926,'112年全品項生產鍋數'!A:H,3,0)</f>
        <v>3.2</v>
      </c>
      <c r="F1926" s="142">
        <f>VLOOKUP(B1926,'112年全品項生產鍋數'!A:H,7,0)</f>
        <v>46.8</v>
      </c>
      <c r="G1926" s="143">
        <f t="shared" si="262"/>
        <v>3369.6</v>
      </c>
      <c r="H1926" s="156">
        <v>3376</v>
      </c>
      <c r="I1926" s="23">
        <f t="shared" si="263"/>
        <v>10803.2</v>
      </c>
      <c r="J1926" s="100">
        <f t="shared" si="264"/>
        <v>1.0018993352326686</v>
      </c>
      <c r="K1926" s="51">
        <f>VLOOKUP(B:B,'生產達成率(目標)'!A:C,3,0)</f>
        <v>1</v>
      </c>
      <c r="L1926" s="20">
        <f t="shared" si="265"/>
        <v>2E-3</v>
      </c>
      <c r="M1926" s="137" t="str">
        <f>工時!R1110</f>
        <v>540</v>
      </c>
      <c r="N1926" s="144"/>
      <c r="O1926" s="144">
        <f t="shared" si="266"/>
        <v>2</v>
      </c>
      <c r="P1926" s="156">
        <v>3374</v>
      </c>
      <c r="Q1926" s="98">
        <f t="shared" si="267"/>
        <v>0.99940758293838861</v>
      </c>
      <c r="R1926" s="23"/>
      <c r="S1926" s="173"/>
      <c r="T1926" s="30"/>
      <c r="U1926" s="1"/>
      <c r="V1926" s="460"/>
      <c r="X1926" s="460"/>
    </row>
    <row r="1927" spans="1:30" x14ac:dyDescent="0.4">
      <c r="A1927" s="210">
        <v>45877</v>
      </c>
      <c r="B1927" s="151" t="s">
        <v>536</v>
      </c>
      <c r="C1927" s="30" t="str">
        <f>VLOOKUP(B1927,'112年全品項生產鍋數'!A:H,2,0)</f>
        <v>花生醬(1*3.5KG)</v>
      </c>
      <c r="D1927" s="287">
        <v>6</v>
      </c>
      <c r="E1927" s="48">
        <f>VLOOKUP(B1927,'112年全品項生產鍋數'!A:H,3,0)</f>
        <v>3.5</v>
      </c>
      <c r="F1927" s="142">
        <f>VLOOKUP(B1927,'112年全品項生產鍋數'!A:H,7,0)</f>
        <v>25.4</v>
      </c>
      <c r="G1927" s="143">
        <f t="shared" si="262"/>
        <v>152.39999999999998</v>
      </c>
      <c r="H1927" s="156">
        <v>152</v>
      </c>
      <c r="I1927" s="23">
        <f t="shared" si="263"/>
        <v>532</v>
      </c>
      <c r="J1927" s="100">
        <f t="shared" si="264"/>
        <v>0.99737532808398965</v>
      </c>
      <c r="K1927" s="51">
        <f>VLOOKUP(B:B,'生產達成率(目標)'!A:C,3,0)</f>
        <v>1</v>
      </c>
      <c r="L1927" s="20">
        <f t="shared" si="265"/>
        <v>-3.0000000000000001E-3</v>
      </c>
      <c r="M1927" s="137" t="str">
        <f>工時!R1111</f>
        <v>300</v>
      </c>
      <c r="N1927" s="144"/>
      <c r="O1927" s="144">
        <f t="shared" si="266"/>
        <v>0</v>
      </c>
      <c r="P1927" s="156">
        <v>152</v>
      </c>
      <c r="Q1927" s="98">
        <f t="shared" si="267"/>
        <v>1</v>
      </c>
      <c r="R1927" s="23"/>
      <c r="S1927" s="173"/>
      <c r="T1927" s="30"/>
      <c r="U1927" s="1"/>
      <c r="V1927" s="460"/>
      <c r="X1927" s="460"/>
    </row>
    <row r="1928" spans="1:30" x14ac:dyDescent="0.4">
      <c r="A1928" s="210">
        <v>45877</v>
      </c>
      <c r="B1928" s="151" t="s">
        <v>63</v>
      </c>
      <c r="C1928" s="30" t="str">
        <f>VLOOKUP(B1928,'112年全品項生產鍋數'!A:H,2,0)</f>
        <v>草莓蒟蒻餡(1*6kg)</v>
      </c>
      <c r="D1928" s="287">
        <v>20</v>
      </c>
      <c r="E1928" s="48">
        <f>VLOOKUP(B1928,'112年全品項生產鍋數'!A:H,3,0)</f>
        <v>6</v>
      </c>
      <c r="F1928" s="142">
        <f>VLOOKUP(B1928,'112年全品項生產鍋數'!A:H,7,0)</f>
        <v>25.7</v>
      </c>
      <c r="G1928" s="143">
        <f t="shared" si="262"/>
        <v>514</v>
      </c>
      <c r="H1928" s="156">
        <f>307+215</f>
        <v>522</v>
      </c>
      <c r="I1928" s="23">
        <f t="shared" si="263"/>
        <v>3132</v>
      </c>
      <c r="J1928" s="100">
        <f t="shared" si="264"/>
        <v>1.0155642023346303</v>
      </c>
      <c r="K1928" s="51">
        <f>VLOOKUP(B:B,'生產達成率(目標)'!A:C,3,0)</f>
        <v>1</v>
      </c>
      <c r="L1928" s="20">
        <f t="shared" si="265"/>
        <v>1.6E-2</v>
      </c>
      <c r="M1928" s="137" t="str">
        <f>工時!R1112</f>
        <v>255</v>
      </c>
      <c r="N1928" s="144"/>
      <c r="O1928" s="144">
        <f t="shared" si="266"/>
        <v>2</v>
      </c>
      <c r="P1928" s="156">
        <f>305+215</f>
        <v>520</v>
      </c>
      <c r="Q1928" s="98">
        <f t="shared" si="267"/>
        <v>0.99616858237547889</v>
      </c>
      <c r="R1928" s="23"/>
      <c r="S1928" s="173"/>
      <c r="T1928" s="30"/>
      <c r="U1928" s="1"/>
      <c r="V1928" s="460"/>
      <c r="X1928" s="460"/>
    </row>
    <row r="1929" spans="1:30" s="146" customFormat="1" x14ac:dyDescent="0.4">
      <c r="A1929" s="212">
        <v>45877</v>
      </c>
      <c r="B1929" s="151" t="s">
        <v>96</v>
      </c>
      <c r="C1929" s="140" t="str">
        <f>VLOOKUP(B1929,'112年全品項生產鍋數'!A:H,2,0)</f>
        <v>PET瓶花生(1*340g)</v>
      </c>
      <c r="D1929" s="287">
        <v>20</v>
      </c>
      <c r="E1929" s="141">
        <f>VLOOKUP(B1929,'112年全品項生產鍋數'!A:H,3,0)</f>
        <v>0.34</v>
      </c>
      <c r="F1929" s="142">
        <f>VLOOKUP(B1929,'112年全品項生產鍋數'!A:H,7,0)</f>
        <v>358.3</v>
      </c>
      <c r="G1929" s="143">
        <f t="shared" si="262"/>
        <v>7166</v>
      </c>
      <c r="H1929" s="156">
        <f>3609+3602</f>
        <v>7211</v>
      </c>
      <c r="I1929" s="144">
        <f t="shared" si="263"/>
        <v>2451.7400000000002</v>
      </c>
      <c r="J1929" s="100">
        <f t="shared" si="264"/>
        <v>1.006279653921295</v>
      </c>
      <c r="K1929" s="51">
        <f>VLOOKUP(B:B,'生產達成率(目標)'!A:C,3,0)</f>
        <v>1</v>
      </c>
      <c r="L1929" s="20">
        <f t="shared" si="265"/>
        <v>6.0000000000000001E-3</v>
      </c>
      <c r="M1929" s="137" t="str">
        <f>工時!R1113</f>
        <v>300</v>
      </c>
      <c r="N1929" s="144"/>
      <c r="O1929" s="144">
        <f t="shared" si="266"/>
        <v>5</v>
      </c>
      <c r="P1929" s="156">
        <f>3606+3600</f>
        <v>7206</v>
      </c>
      <c r="Q1929" s="145">
        <f t="shared" si="267"/>
        <v>0.99930661489391204</v>
      </c>
      <c r="R1929" s="144"/>
      <c r="S1929" s="153"/>
      <c r="T1929" s="140" t="s">
        <v>1113</v>
      </c>
      <c r="U1929" s="158"/>
      <c r="V1929" s="461"/>
      <c r="W1929" s="421"/>
      <c r="X1929" s="461"/>
      <c r="Y1929" s="421"/>
      <c r="Z1929" s="421"/>
      <c r="AA1929" s="421"/>
      <c r="AB1929" s="421"/>
      <c r="AC1929" s="421"/>
      <c r="AD1929" s="421"/>
    </row>
    <row r="1930" spans="1:30" s="146" customFormat="1" x14ac:dyDescent="0.4">
      <c r="A1930" s="212">
        <v>45877</v>
      </c>
      <c r="B1930" s="151" t="s">
        <v>65</v>
      </c>
      <c r="C1930" s="140" t="str">
        <f>VLOOKUP(B1930,'112年全品項生產鍋數'!A:H,2,0)</f>
        <v>＃1花生(1*2.8kg)</v>
      </c>
      <c r="D1930" s="287">
        <v>36</v>
      </c>
      <c r="E1930" s="141">
        <f>VLOOKUP(B1930,'112年全品項生產鍋數'!A:H,3,0)</f>
        <v>2.8</v>
      </c>
      <c r="F1930" s="142">
        <f>VLOOKUP(B1930,'112年全品項生產鍋數'!A:H,7,0)</f>
        <v>44.5</v>
      </c>
      <c r="G1930" s="143">
        <f t="shared" si="262"/>
        <v>1602</v>
      </c>
      <c r="H1930" s="156">
        <f>1305+300</f>
        <v>1605</v>
      </c>
      <c r="I1930" s="144">
        <f t="shared" si="263"/>
        <v>4494</v>
      </c>
      <c r="J1930" s="100">
        <f t="shared" si="264"/>
        <v>1.0018726591760299</v>
      </c>
      <c r="K1930" s="51">
        <f>VLOOKUP(B:B,'生產達成率(目標)'!A:C,3,0)</f>
        <v>1</v>
      </c>
      <c r="L1930" s="20">
        <f t="shared" si="265"/>
        <v>2E-3</v>
      </c>
      <c r="M1930" s="137" t="str">
        <f>工時!R1114</f>
        <v>370</v>
      </c>
      <c r="N1930" s="144"/>
      <c r="O1930" s="144">
        <f t="shared" si="266"/>
        <v>1</v>
      </c>
      <c r="P1930" s="156">
        <f>1304+300</f>
        <v>1604</v>
      </c>
      <c r="Q1930" s="145">
        <f t="shared" si="267"/>
        <v>0.9993769470404984</v>
      </c>
      <c r="R1930" s="144"/>
      <c r="S1930" s="153"/>
      <c r="T1930" s="140" t="s">
        <v>1114</v>
      </c>
      <c r="U1930" s="158"/>
      <c r="V1930" s="461"/>
      <c r="W1930" s="421"/>
      <c r="X1930" s="461"/>
      <c r="Y1930" s="421"/>
      <c r="Z1930" s="421"/>
      <c r="AA1930" s="421"/>
      <c r="AB1930" s="421"/>
      <c r="AC1930" s="421"/>
      <c r="AD1930" s="421"/>
    </row>
    <row r="1931" spans="1:30" x14ac:dyDescent="0.4">
      <c r="A1931" s="210">
        <v>45880</v>
      </c>
      <c r="B1931" s="151" t="s">
        <v>72</v>
      </c>
      <c r="C1931" s="30" t="str">
        <f>VLOOKUP(B1931,'112年全品項生產鍋數'!A:H,2,0)</f>
        <v>草莓餡45%(1*6Kg)</v>
      </c>
      <c r="D1931" s="287">
        <v>20</v>
      </c>
      <c r="E1931" s="48">
        <f>VLOOKUP(B1931,'112年全品項生產鍋數'!A:H,3,0)</f>
        <v>6</v>
      </c>
      <c r="F1931" s="142">
        <f>VLOOKUP(B1931,'112年全品項生產鍋數'!A:H,7,0)</f>
        <v>26.1</v>
      </c>
      <c r="G1931" s="143">
        <f t="shared" si="262"/>
        <v>522</v>
      </c>
      <c r="H1931" s="156">
        <v>532</v>
      </c>
      <c r="I1931" s="23">
        <f t="shared" si="263"/>
        <v>3192</v>
      </c>
      <c r="J1931" s="100">
        <f t="shared" si="264"/>
        <v>1.0191570881226053</v>
      </c>
      <c r="K1931" s="51">
        <f>VLOOKUP(B:B,'生產達成率(目標)'!A:C,3,0)</f>
        <v>1</v>
      </c>
      <c r="L1931" s="20">
        <f t="shared" si="265"/>
        <v>1.9E-2</v>
      </c>
      <c r="M1931" s="137" t="str">
        <f>工時!R1115</f>
        <v>300</v>
      </c>
      <c r="N1931" s="144"/>
      <c r="O1931" s="144">
        <f t="shared" si="266"/>
        <v>1</v>
      </c>
      <c r="P1931" s="156">
        <v>531</v>
      </c>
      <c r="Q1931" s="98">
        <f t="shared" si="267"/>
        <v>0.99812030075187974</v>
      </c>
      <c r="R1931" s="23"/>
      <c r="S1931" s="173"/>
      <c r="T1931" s="30"/>
      <c r="U1931" s="1"/>
      <c r="V1931" s="460"/>
      <c r="X1931" s="460"/>
    </row>
    <row r="1932" spans="1:30" x14ac:dyDescent="0.4">
      <c r="A1932" s="210">
        <v>45880</v>
      </c>
      <c r="B1932" s="151" t="s">
        <v>51</v>
      </c>
      <c r="C1932" s="30" t="str">
        <f>VLOOKUP(B1932,'112年全品項生產鍋數'!A:H,2,0)</f>
        <v>藍莓醬(1*6kg)</v>
      </c>
      <c r="D1932" s="287">
        <v>12</v>
      </c>
      <c r="E1932" s="48">
        <f>VLOOKUP(B1932,'112年全品項生產鍋數'!A:H,3,0)</f>
        <v>6</v>
      </c>
      <c r="F1932" s="142">
        <f>VLOOKUP(B1932,'112年全品項生產鍋數'!A:H,7,0)</f>
        <v>25.5</v>
      </c>
      <c r="G1932" s="143">
        <f t="shared" si="262"/>
        <v>306</v>
      </c>
      <c r="H1932" s="156">
        <v>298</v>
      </c>
      <c r="I1932" s="23">
        <f t="shared" si="263"/>
        <v>1788</v>
      </c>
      <c r="J1932" s="100">
        <f t="shared" si="264"/>
        <v>0.97385620915032678</v>
      </c>
      <c r="K1932" s="51">
        <f>VLOOKUP(B:B,'生產達成率(目標)'!A:C,3,0)</f>
        <v>1</v>
      </c>
      <c r="L1932" s="20">
        <f t="shared" si="265"/>
        <v>-2.5999999999999999E-2</v>
      </c>
      <c r="M1932" s="137" t="str">
        <f>工時!R1116</f>
        <v>150</v>
      </c>
      <c r="N1932" s="144"/>
      <c r="O1932" s="144">
        <f t="shared" si="266"/>
        <v>1</v>
      </c>
      <c r="P1932" s="156">
        <v>297</v>
      </c>
      <c r="Q1932" s="98">
        <f t="shared" si="267"/>
        <v>0.99664429530201337</v>
      </c>
      <c r="R1932" s="23"/>
      <c r="S1932" s="173"/>
      <c r="T1932" s="30"/>
      <c r="U1932" s="1"/>
      <c r="V1932" s="460"/>
      <c r="X1932" s="460"/>
    </row>
    <row r="1933" spans="1:30" x14ac:dyDescent="0.4">
      <c r="A1933" s="210">
        <v>45880</v>
      </c>
      <c r="B1933" s="151" t="s">
        <v>99</v>
      </c>
      <c r="C1933" s="30" t="str">
        <f>VLOOKUP(B1933,'112年全品項生產鍋數'!A:H,2,0)</f>
        <v>葡萄奇異果醬(1*6kg)</v>
      </c>
      <c r="D1933" s="287">
        <v>6</v>
      </c>
      <c r="E1933" s="48">
        <f>VLOOKUP(B1933,'112年全品項生產鍋數'!A:H,3,0)</f>
        <v>6</v>
      </c>
      <c r="F1933" s="142">
        <f>VLOOKUP(B1933,'112年全品項生產鍋數'!A:H,7,0)</f>
        <v>24.3</v>
      </c>
      <c r="G1933" s="143">
        <f t="shared" si="262"/>
        <v>145.80000000000001</v>
      </c>
      <c r="H1933" s="156">
        <v>148</v>
      </c>
      <c r="I1933" s="23">
        <f t="shared" si="263"/>
        <v>888</v>
      </c>
      <c r="J1933" s="100">
        <f t="shared" si="264"/>
        <v>1.0150891632373114</v>
      </c>
      <c r="K1933" s="51">
        <f>VLOOKUP(B:B,'生產達成率(目標)'!A:C,3,0)</f>
        <v>1</v>
      </c>
      <c r="L1933" s="20">
        <f t="shared" si="265"/>
        <v>1.4999999999999999E-2</v>
      </c>
      <c r="M1933" s="137" t="str">
        <f>工時!R1117</f>
        <v>120</v>
      </c>
      <c r="N1933" s="144"/>
      <c r="O1933" s="144">
        <f t="shared" si="266"/>
        <v>2</v>
      </c>
      <c r="P1933" s="156">
        <v>146</v>
      </c>
      <c r="Q1933" s="98">
        <f t="shared" si="267"/>
        <v>0.98648648648648651</v>
      </c>
      <c r="R1933" s="23"/>
      <c r="S1933" s="173"/>
      <c r="T1933" s="30"/>
      <c r="U1933" s="1"/>
      <c r="V1933" s="460"/>
      <c r="X1933" s="460"/>
    </row>
    <row r="1934" spans="1:30" x14ac:dyDescent="0.4">
      <c r="A1934" s="210">
        <v>45880</v>
      </c>
      <c r="B1934" s="151" t="s">
        <v>108</v>
      </c>
      <c r="C1934" s="30" t="str">
        <f>VLOOKUP(B1934,'112年全品項生產鍋數'!A:H,2,0)</f>
        <v>顆粒花生醬(1*12KG)</v>
      </c>
      <c r="D1934" s="287">
        <v>21</v>
      </c>
      <c r="E1934" s="48">
        <f>VLOOKUP(B1934,'112年全品項生產鍋數'!A:H,3,0)</f>
        <v>3</v>
      </c>
      <c r="F1934" s="142">
        <f>VLOOKUP(B1934,'112年全品項生產鍋數'!A:H,7,0)</f>
        <v>31.6</v>
      </c>
      <c r="G1934" s="143">
        <f t="shared" si="262"/>
        <v>663.6</v>
      </c>
      <c r="H1934" s="156">
        <v>668</v>
      </c>
      <c r="I1934" s="23">
        <f t="shared" si="263"/>
        <v>2004</v>
      </c>
      <c r="J1934" s="100">
        <f t="shared" si="264"/>
        <v>1.0066305003013862</v>
      </c>
      <c r="K1934" s="51">
        <f>VLOOKUP(B:B,'生產達成率(目標)'!A:C,3,0)</f>
        <v>1</v>
      </c>
      <c r="L1934" s="20">
        <f t="shared" si="265"/>
        <v>7.0000000000000001E-3</v>
      </c>
      <c r="M1934" s="137" t="str">
        <f>工時!R1118</f>
        <v>540</v>
      </c>
      <c r="N1934" s="144"/>
      <c r="O1934" s="144">
        <f t="shared" si="266"/>
        <v>0</v>
      </c>
      <c r="P1934" s="156">
        <v>668</v>
      </c>
      <c r="Q1934" s="98">
        <f t="shared" si="267"/>
        <v>1</v>
      </c>
      <c r="R1934" s="23"/>
      <c r="S1934" s="173"/>
      <c r="T1934" s="30"/>
      <c r="U1934" s="1"/>
      <c r="V1934" s="460"/>
      <c r="X1934" s="460"/>
    </row>
    <row r="1935" spans="1:30" x14ac:dyDescent="0.4">
      <c r="A1935" s="210">
        <v>45880</v>
      </c>
      <c r="B1935" s="151" t="s">
        <v>97</v>
      </c>
      <c r="C1935" s="30" t="str">
        <f>VLOOKUP(B1935,'112年全品項生產鍋數'!A:H,2,0)</f>
        <v>花生醬(1*18KG)</v>
      </c>
      <c r="D1935" s="287">
        <v>8</v>
      </c>
      <c r="E1935" s="48">
        <f>VLOOKUP(B1935,'112年全品項生產鍋數'!A:H,3,0)</f>
        <v>18</v>
      </c>
      <c r="F1935" s="142">
        <f>VLOOKUP(B1935,'112年全品項生產鍋數'!A:H,7,0)</f>
        <v>6.6</v>
      </c>
      <c r="G1935" s="143">
        <f t="shared" si="262"/>
        <v>52.8</v>
      </c>
      <c r="H1935" s="156">
        <v>52</v>
      </c>
      <c r="I1935" s="23">
        <f t="shared" si="263"/>
        <v>936</v>
      </c>
      <c r="J1935" s="100">
        <f t="shared" si="264"/>
        <v>0.98484848484848486</v>
      </c>
      <c r="K1935" s="51">
        <f>VLOOKUP(B:B,'生產達成率(目標)'!A:C,3,0)</f>
        <v>1</v>
      </c>
      <c r="L1935" s="20">
        <f t="shared" si="265"/>
        <v>-1.4999999999999999E-2</v>
      </c>
      <c r="M1935" s="137" t="str">
        <f>工時!R1119</f>
        <v>115</v>
      </c>
      <c r="N1935" s="144"/>
      <c r="O1935" s="144">
        <f t="shared" si="266"/>
        <v>0</v>
      </c>
      <c r="P1935" s="156">
        <v>52</v>
      </c>
      <c r="Q1935" s="98">
        <f t="shared" si="267"/>
        <v>1</v>
      </c>
      <c r="R1935" s="23"/>
      <c r="S1935" s="173"/>
      <c r="T1935" s="30"/>
      <c r="U1935" s="1"/>
      <c r="V1935" s="460"/>
      <c r="X1935" s="460"/>
    </row>
    <row r="1936" spans="1:30" x14ac:dyDescent="0.4">
      <c r="A1936" s="210">
        <v>45880</v>
      </c>
      <c r="B1936" s="151" t="s">
        <v>65</v>
      </c>
      <c r="C1936" s="30" t="str">
        <f>VLOOKUP(B1936,'112年全品項生產鍋數'!A:H,2,0)</f>
        <v>＃1花生(1*2.8kg)</v>
      </c>
      <c r="D1936" s="287">
        <v>64</v>
      </c>
      <c r="E1936" s="48">
        <f>VLOOKUP(B1936,'112年全品項生產鍋數'!A:H,3,0)</f>
        <v>2.8</v>
      </c>
      <c r="F1936" s="142">
        <f>VLOOKUP(B1936,'112年全品項生產鍋數'!A:H,7,0)</f>
        <v>44.5</v>
      </c>
      <c r="G1936" s="143">
        <f>D1936*F1936-50*18/E1936</f>
        <v>2526.5714285714284</v>
      </c>
      <c r="H1936" s="156">
        <v>2571</v>
      </c>
      <c r="I1936" s="23">
        <f t="shared" si="263"/>
        <v>7198.7999999999993</v>
      </c>
      <c r="J1936" s="100">
        <f t="shared" si="264"/>
        <v>1.0175845301368314</v>
      </c>
      <c r="K1936" s="51">
        <f>VLOOKUP(B:B,'生產達成率(目標)'!A:C,3,0)</f>
        <v>1</v>
      </c>
      <c r="L1936" s="20">
        <f t="shared" si="265"/>
        <v>1.7999999999999999E-2</v>
      </c>
      <c r="M1936" s="137" t="str">
        <f>工時!R1120</f>
        <v>475</v>
      </c>
      <c r="N1936" s="144"/>
      <c r="O1936" s="144">
        <f t="shared" si="266"/>
        <v>1</v>
      </c>
      <c r="P1936" s="156">
        <v>2570</v>
      </c>
      <c r="Q1936" s="98">
        <f t="shared" si="267"/>
        <v>0.99961104628549202</v>
      </c>
      <c r="R1936" s="23"/>
      <c r="S1936" s="173"/>
      <c r="T1936" s="30" t="s">
        <v>1115</v>
      </c>
      <c r="U1936" s="1"/>
      <c r="V1936" s="460"/>
      <c r="X1936" s="460"/>
    </row>
    <row r="1937" spans="1:30" x14ac:dyDescent="0.4">
      <c r="A1937" s="210">
        <v>45880</v>
      </c>
      <c r="B1937" s="151" t="s">
        <v>488</v>
      </c>
      <c r="C1937" s="30" t="str">
        <f>VLOOKUP(B1937,'112年全品項生產鍋數'!A:H,2,0)</f>
        <v>文旦絲(1*1KG/包)</v>
      </c>
      <c r="D1937" s="287">
        <v>1</v>
      </c>
      <c r="E1937" s="48">
        <f>VLOOKUP(B1937,'112年全品項生產鍋數'!A:H,3,0)</f>
        <v>1</v>
      </c>
      <c r="F1937" s="142">
        <f>VLOOKUP(B1937,'112年全品項生產鍋數'!A:H,7,0)</f>
        <v>670</v>
      </c>
      <c r="G1937" s="143">
        <f t="shared" si="262"/>
        <v>670</v>
      </c>
      <c r="H1937" s="156">
        <v>397</v>
      </c>
      <c r="I1937" s="23">
        <f t="shared" si="263"/>
        <v>397</v>
      </c>
      <c r="J1937" s="100">
        <f t="shared" si="264"/>
        <v>0.59253731343283578</v>
      </c>
      <c r="K1937" s="51">
        <f>VLOOKUP(B:B,'生產達成率(目標)'!A:C,3,0)</f>
        <v>1</v>
      </c>
      <c r="L1937" s="20">
        <f t="shared" si="265"/>
        <v>-0.40699999999999997</v>
      </c>
      <c r="M1937" s="137" t="str">
        <f>工時!R1121</f>
        <v>0</v>
      </c>
      <c r="N1937" s="144"/>
      <c r="O1937" s="144">
        <f t="shared" si="266"/>
        <v>0</v>
      </c>
      <c r="P1937" s="156">
        <v>397</v>
      </c>
      <c r="Q1937" s="98">
        <f t="shared" si="267"/>
        <v>1</v>
      </c>
      <c r="R1937" s="23"/>
      <c r="S1937" s="173"/>
      <c r="T1937" s="30" t="s">
        <v>1120</v>
      </c>
      <c r="U1937" s="1"/>
      <c r="V1937" s="460"/>
      <c r="X1937" s="460"/>
    </row>
    <row r="1938" spans="1:30" x14ac:dyDescent="0.4">
      <c r="A1938" s="210">
        <v>45881</v>
      </c>
      <c r="B1938" s="151" t="s">
        <v>71</v>
      </c>
      <c r="C1938" s="30" t="str">
        <f>VLOOKUP(B1938,'112年全品項生產鍋數'!A:H,2,0)</f>
        <v>＃1草莓(1*3.2kg)</v>
      </c>
      <c r="D1938" s="287">
        <v>32</v>
      </c>
      <c r="E1938" s="48">
        <f>VLOOKUP(B1938,'112年全品項生產鍋數'!A:H,3,0)</f>
        <v>3.2</v>
      </c>
      <c r="F1938" s="142">
        <f>VLOOKUP(B1938,'112年全品項生產鍋數'!A:H,7,0)</f>
        <v>46.8</v>
      </c>
      <c r="G1938" s="143">
        <f t="shared" si="262"/>
        <v>1497.6</v>
      </c>
      <c r="H1938" s="156">
        <v>1492</v>
      </c>
      <c r="I1938" s="23">
        <f t="shared" si="263"/>
        <v>4774.4000000000005</v>
      </c>
      <c r="J1938" s="100">
        <f t="shared" si="264"/>
        <v>0.99626068376068377</v>
      </c>
      <c r="K1938" s="51">
        <f>VLOOKUP(B:B,'生產達成率(目標)'!A:C,3,0)</f>
        <v>1</v>
      </c>
      <c r="L1938" s="20">
        <f t="shared" si="265"/>
        <v>-4.0000000000000001E-3</v>
      </c>
      <c r="M1938" s="137" t="str">
        <f>工時!R1122</f>
        <v>300</v>
      </c>
      <c r="N1938" s="144"/>
      <c r="O1938" s="144">
        <f t="shared" si="266"/>
        <v>1</v>
      </c>
      <c r="P1938" s="156">
        <v>1491</v>
      </c>
      <c r="Q1938" s="98">
        <f t="shared" si="267"/>
        <v>0.99932975871313678</v>
      </c>
      <c r="R1938" s="23"/>
      <c r="S1938" s="173"/>
      <c r="T1938" s="30"/>
      <c r="U1938" s="1"/>
      <c r="V1938" s="460"/>
      <c r="X1938" s="460"/>
    </row>
    <row r="1939" spans="1:30" x14ac:dyDescent="0.4">
      <c r="A1939" s="210">
        <v>45881</v>
      </c>
      <c r="B1939" s="151" t="s">
        <v>979</v>
      </c>
      <c r="C1939" s="30" t="str">
        <f>VLOOKUP(B1939,'112年全品項生產鍋數'!A:H,2,0)</f>
        <v>＃1藍莓(1*3.2kg)</v>
      </c>
      <c r="D1939" s="287">
        <v>32</v>
      </c>
      <c r="E1939" s="48">
        <f>VLOOKUP(B1939,'112年全品項生產鍋數'!A:H,3,0)</f>
        <v>3.2</v>
      </c>
      <c r="F1939" s="142">
        <f>VLOOKUP(B1939,'112年全品項生產鍋數'!A:H,7,0)</f>
        <v>47.5</v>
      </c>
      <c r="G1939" s="143">
        <f t="shared" ref="G1939:G1953" si="268">D1939*F1939</f>
        <v>1520</v>
      </c>
      <c r="H1939" s="156">
        <v>1463</v>
      </c>
      <c r="I1939" s="23">
        <f t="shared" ref="I1939:I1953" si="269">H1939*E1939</f>
        <v>4681.6000000000004</v>
      </c>
      <c r="J1939" s="100">
        <f t="shared" ref="J1939:J1953" si="270">IF(G1939=0,"無法預估數據",H1939/G1939)</f>
        <v>0.96250000000000002</v>
      </c>
      <c r="K1939" s="51" t="e">
        <f>VLOOKUP(B:B,'生產達成率(目標)'!A:C,3,0)</f>
        <v>#N/A</v>
      </c>
      <c r="L1939" s="20" t="e">
        <f t="shared" ref="L1939:L1953" si="271">IF(G1939=0,"無法預估數據",ROUND(J1939-K1939,3))</f>
        <v>#N/A</v>
      </c>
      <c r="M1939" s="137" t="str">
        <f>工時!R1123</f>
        <v>330</v>
      </c>
      <c r="N1939" s="144"/>
      <c r="O1939" s="144">
        <f t="shared" ref="O1939:O1953" si="272">H1939-N1939-P1939</f>
        <v>2</v>
      </c>
      <c r="P1939" s="156">
        <v>1461</v>
      </c>
      <c r="Q1939" s="98">
        <f t="shared" ref="Q1939:Q1953" si="273">P1939/H1939</f>
        <v>0.99863294600136709</v>
      </c>
      <c r="R1939" s="23" t="s">
        <v>1126</v>
      </c>
      <c r="S1939" s="173"/>
      <c r="T1939" s="30" t="s">
        <v>1125</v>
      </c>
      <c r="U1939" s="1"/>
      <c r="V1939" s="460"/>
      <c r="X1939" s="460"/>
    </row>
    <row r="1940" spans="1:30" x14ac:dyDescent="0.4">
      <c r="A1940" s="210">
        <v>45881</v>
      </c>
      <c r="B1940" s="151" t="s">
        <v>1046</v>
      </c>
      <c r="C1940" s="30" t="str">
        <f>VLOOKUP(B1940,'112年全品項生產鍋數'!A:H,2,0)</f>
        <v>藍莓顆粒果醬(1*6kg)</v>
      </c>
      <c r="D1940" s="287">
        <v>18</v>
      </c>
      <c r="E1940" s="48">
        <f>VLOOKUP(B1940,'112年全品項生產鍋數'!A:H,3,0)</f>
        <v>6</v>
      </c>
      <c r="F1940" s="142">
        <f>VLOOKUP(B1940,'112年全品項生產鍋數'!A:H,7,0)</f>
        <v>0</v>
      </c>
      <c r="G1940" s="143">
        <f t="shared" si="268"/>
        <v>0</v>
      </c>
      <c r="H1940" s="156">
        <v>469</v>
      </c>
      <c r="I1940" s="23">
        <f t="shared" si="269"/>
        <v>2814</v>
      </c>
      <c r="J1940" s="100" t="str">
        <f t="shared" si="270"/>
        <v>無法預估數據</v>
      </c>
      <c r="K1940" s="51">
        <f>VLOOKUP(B:B,'生產達成率(目標)'!A:C,3,0)</f>
        <v>1</v>
      </c>
      <c r="L1940" s="20" t="str">
        <f t="shared" si="271"/>
        <v>無法預估數據</v>
      </c>
      <c r="M1940" s="137" t="str">
        <f>工時!R1124</f>
        <v>340</v>
      </c>
      <c r="N1940" s="144"/>
      <c r="O1940" s="144">
        <f t="shared" si="272"/>
        <v>1</v>
      </c>
      <c r="P1940" s="156">
        <v>468</v>
      </c>
      <c r="Q1940" s="98">
        <f t="shared" si="273"/>
        <v>0.99786780383795304</v>
      </c>
      <c r="R1940" s="23"/>
      <c r="S1940" s="173"/>
      <c r="T1940" s="30"/>
      <c r="U1940" s="1"/>
      <c r="V1940" s="460"/>
      <c r="X1940" s="460"/>
    </row>
    <row r="1941" spans="1:30" x14ac:dyDescent="0.4">
      <c r="A1941" s="210">
        <v>45881</v>
      </c>
      <c r="B1941" s="151" t="s">
        <v>63</v>
      </c>
      <c r="C1941" s="30" t="str">
        <f>VLOOKUP(B1941,'112年全品項生產鍋數'!A:H,2,0)</f>
        <v>草莓蒟蒻餡(1*6kg)</v>
      </c>
      <c r="D1941" s="287">
        <v>16</v>
      </c>
      <c r="E1941" s="48">
        <f>VLOOKUP(B1941,'112年全品項生產鍋數'!A:H,3,0)</f>
        <v>6</v>
      </c>
      <c r="F1941" s="142">
        <f>VLOOKUP(B1941,'112年全品項生產鍋數'!A:H,7,0)</f>
        <v>25.7</v>
      </c>
      <c r="G1941" s="143">
        <f t="shared" si="268"/>
        <v>411.2</v>
      </c>
      <c r="H1941" s="156">
        <f>202+212</f>
        <v>414</v>
      </c>
      <c r="I1941" s="23">
        <f t="shared" si="269"/>
        <v>2484</v>
      </c>
      <c r="J1941" s="100">
        <f t="shared" si="270"/>
        <v>1.0068093385214008</v>
      </c>
      <c r="K1941" s="51">
        <f>VLOOKUP(B:B,'生產達成率(目標)'!A:C,3,0)</f>
        <v>1</v>
      </c>
      <c r="L1941" s="20">
        <f t="shared" si="271"/>
        <v>7.0000000000000001E-3</v>
      </c>
      <c r="M1941" s="137" t="str">
        <f>工時!R1125</f>
        <v>210</v>
      </c>
      <c r="N1941" s="144"/>
      <c r="O1941" s="144">
        <f t="shared" si="272"/>
        <v>1</v>
      </c>
      <c r="P1941" s="156">
        <f>201+212</f>
        <v>413</v>
      </c>
      <c r="Q1941" s="98">
        <f t="shared" si="273"/>
        <v>0.99758454106280192</v>
      </c>
      <c r="R1941" s="23"/>
      <c r="S1941" s="173"/>
      <c r="T1941" s="30"/>
      <c r="U1941" s="1"/>
      <c r="V1941" s="460"/>
      <c r="X1941" s="460"/>
    </row>
    <row r="1942" spans="1:30" x14ac:dyDescent="0.4">
      <c r="A1942" s="210">
        <v>45881</v>
      </c>
      <c r="B1942" s="151" t="s">
        <v>104</v>
      </c>
      <c r="C1942" s="30" t="str">
        <f>VLOOKUP(B1942,'112年全品項生產鍋數'!A:H,2,0)</f>
        <v>＃1花生(粒)(1*2.8kg)</v>
      </c>
      <c r="D1942" s="287">
        <v>72</v>
      </c>
      <c r="E1942" s="48">
        <f>VLOOKUP(B1942,'112年全品項生產鍋數'!A:H,3,0)</f>
        <v>2.8</v>
      </c>
      <c r="F1942" s="142">
        <f>VLOOKUP(B1942,'112年全品項生產鍋數'!A:H,7,0)</f>
        <v>44.2</v>
      </c>
      <c r="G1942" s="143">
        <f>D1942*F1942-100*18/E1942</f>
        <v>2539.5428571428574</v>
      </c>
      <c r="H1942" s="156">
        <v>2522</v>
      </c>
      <c r="I1942" s="23">
        <f t="shared" si="269"/>
        <v>7061.5999999999995</v>
      </c>
      <c r="J1942" s="100">
        <f t="shared" si="270"/>
        <v>0.99309212006660352</v>
      </c>
      <c r="K1942" s="51">
        <f>VLOOKUP(B:B,'生產達成率(目標)'!A:C,3,0)</f>
        <v>1</v>
      </c>
      <c r="L1942" s="20">
        <f t="shared" si="271"/>
        <v>-7.0000000000000001E-3</v>
      </c>
      <c r="M1942" s="137" t="str">
        <f>工時!R1126</f>
        <v>570</v>
      </c>
      <c r="N1942" s="144"/>
      <c r="O1942" s="144">
        <f t="shared" si="272"/>
        <v>1</v>
      </c>
      <c r="P1942" s="156">
        <v>2521</v>
      </c>
      <c r="Q1942" s="98">
        <f t="shared" si="273"/>
        <v>0.99960348929421095</v>
      </c>
      <c r="R1942" s="23"/>
      <c r="S1942" s="173"/>
      <c r="T1942" s="30" t="s">
        <v>1116</v>
      </c>
      <c r="U1942" s="1"/>
      <c r="V1942" s="460"/>
      <c r="X1942" s="460"/>
    </row>
    <row r="1943" spans="1:30" s="146" customFormat="1" x14ac:dyDescent="0.4">
      <c r="A1943" s="212">
        <v>45882</v>
      </c>
      <c r="B1943" s="151" t="s">
        <v>106</v>
      </c>
      <c r="C1943" s="140" t="str">
        <f>VLOOKUP(B1943,'112年全品項生產鍋數'!A:H,2,0)</f>
        <v>小藍莓1*260G</v>
      </c>
      <c r="D1943" s="287">
        <v>20</v>
      </c>
      <c r="E1943" s="141">
        <f>VLOOKUP(B1943,'112年全品項生產鍋數'!A:H,3,0)</f>
        <v>0.26</v>
      </c>
      <c r="F1943" s="142">
        <f>VLOOKUP(B1943,'112年全品項生產鍋數'!A:H,7,0)</f>
        <v>584.29999999999995</v>
      </c>
      <c r="G1943" s="143">
        <f t="shared" si="268"/>
        <v>11686</v>
      </c>
      <c r="H1943" s="156">
        <v>11802</v>
      </c>
      <c r="I1943" s="144">
        <f t="shared" si="269"/>
        <v>3068.52</v>
      </c>
      <c r="J1943" s="100">
        <f t="shared" si="270"/>
        <v>1.0099264076672942</v>
      </c>
      <c r="K1943" s="51">
        <f>VLOOKUP(B:B,'生產達成率(目標)'!A:C,3,0)</f>
        <v>1</v>
      </c>
      <c r="L1943" s="20">
        <f t="shared" si="271"/>
        <v>0.01</v>
      </c>
      <c r="M1943" s="137" t="str">
        <f>工時!R1127</f>
        <v>300</v>
      </c>
      <c r="N1943" s="144"/>
      <c r="O1943" s="144">
        <f t="shared" si="272"/>
        <v>26</v>
      </c>
      <c r="P1943" s="156">
        <v>11776</v>
      </c>
      <c r="Q1943" s="145">
        <f t="shared" si="273"/>
        <v>0.99779698356210811</v>
      </c>
      <c r="R1943" s="144"/>
      <c r="S1943" s="153"/>
      <c r="T1943" s="140"/>
      <c r="U1943" s="158"/>
      <c r="V1943" s="461"/>
      <c r="W1943" s="421"/>
      <c r="X1943" s="461"/>
      <c r="Y1943" s="421"/>
      <c r="Z1943" s="421"/>
      <c r="AA1943" s="421"/>
      <c r="AB1943" s="421"/>
      <c r="AC1943" s="421"/>
      <c r="AD1943" s="421"/>
    </row>
    <row r="1944" spans="1:30" x14ac:dyDescent="0.4">
      <c r="A1944" s="210">
        <v>45882</v>
      </c>
      <c r="B1944" s="151" t="s">
        <v>91</v>
      </c>
      <c r="C1944" s="30" t="str">
        <f>VLOOKUP(B1944,'112年全品項生產鍋數'!A:H,2,0)</f>
        <v>梨山草莓果醬(1*430g)</v>
      </c>
      <c r="D1944" s="287">
        <v>8</v>
      </c>
      <c r="E1944" s="48">
        <f>VLOOKUP(B1944,'112年全品項生產鍋數'!A:H,3,0)</f>
        <v>0.43</v>
      </c>
      <c r="F1944" s="142">
        <f>VLOOKUP(B1944,'112年全品項生產鍋數'!A:H,7,0)</f>
        <v>340.4</v>
      </c>
      <c r="G1944" s="143">
        <f t="shared" si="268"/>
        <v>2723.2</v>
      </c>
      <c r="H1944" s="156">
        <f>499+2160</f>
        <v>2659</v>
      </c>
      <c r="I1944" s="23">
        <f t="shared" si="269"/>
        <v>1143.3699999999999</v>
      </c>
      <c r="J1944" s="100">
        <f t="shared" si="270"/>
        <v>0.97642479435957708</v>
      </c>
      <c r="K1944" s="51">
        <f>VLOOKUP(B:B,'生產達成率(目標)'!A:C,3,0)</f>
        <v>1</v>
      </c>
      <c r="L1944" s="20">
        <f t="shared" si="271"/>
        <v>-2.4E-2</v>
      </c>
      <c r="M1944" s="137" t="str">
        <f>工時!R1128</f>
        <v>240</v>
      </c>
      <c r="N1944" s="144"/>
      <c r="O1944" s="144">
        <f t="shared" si="272"/>
        <v>12</v>
      </c>
      <c r="P1944" s="156">
        <f>487+2160</f>
        <v>2647</v>
      </c>
      <c r="Q1944" s="98">
        <f t="shared" si="273"/>
        <v>0.9954870251974427</v>
      </c>
      <c r="R1944" s="23"/>
      <c r="S1944" s="173"/>
      <c r="T1944" s="30" t="s">
        <v>1117</v>
      </c>
      <c r="U1944" s="1"/>
      <c r="V1944" s="460"/>
      <c r="X1944" s="460"/>
    </row>
    <row r="1945" spans="1:30" x14ac:dyDescent="0.4">
      <c r="A1945" s="210">
        <v>45882</v>
      </c>
      <c r="B1945" s="151" t="s">
        <v>965</v>
      </c>
      <c r="C1945" s="30" t="str">
        <f>VLOOKUP(B1945,'112年全品項生產鍋數'!A:H,2,0)</f>
        <v>草莓餡°(1*6KG)</v>
      </c>
      <c r="D1945" s="287">
        <v>16</v>
      </c>
      <c r="E1945" s="48">
        <f>VLOOKUP(B1945,'112年全品項生產鍋數'!A:H,3,0)</f>
        <v>6</v>
      </c>
      <c r="F1945" s="142">
        <f>VLOOKUP(B1945,'112年全品項生產鍋數'!A:H,7,0)</f>
        <v>0</v>
      </c>
      <c r="G1945" s="143">
        <f t="shared" si="268"/>
        <v>0</v>
      </c>
      <c r="H1945" s="156">
        <v>406</v>
      </c>
      <c r="I1945" s="23">
        <f t="shared" si="269"/>
        <v>2436</v>
      </c>
      <c r="J1945" s="100" t="str">
        <f t="shared" si="270"/>
        <v>無法預估數據</v>
      </c>
      <c r="K1945" s="51">
        <f>VLOOKUP(B:B,'生產達成率(目標)'!A:C,3,0)</f>
        <v>1</v>
      </c>
      <c r="L1945" s="20" t="str">
        <f t="shared" si="271"/>
        <v>無法預估數據</v>
      </c>
      <c r="M1945" s="137" t="str">
        <f>工時!R1129</f>
        <v>220</v>
      </c>
      <c r="N1945" s="144"/>
      <c r="O1945" s="144">
        <f t="shared" si="272"/>
        <v>2</v>
      </c>
      <c r="P1945" s="156">
        <v>404</v>
      </c>
      <c r="Q1945" s="98">
        <f t="shared" si="273"/>
        <v>0.99507389162561577</v>
      </c>
      <c r="R1945" s="23"/>
      <c r="S1945" s="173"/>
      <c r="T1945" s="30"/>
      <c r="U1945" s="1"/>
      <c r="V1945" s="460"/>
      <c r="X1945" s="460"/>
    </row>
    <row r="1946" spans="1:30" x14ac:dyDescent="0.4">
      <c r="A1946" s="210">
        <v>45882</v>
      </c>
      <c r="B1946" s="151" t="s">
        <v>63</v>
      </c>
      <c r="C1946" s="30" t="str">
        <f>VLOOKUP(B1946,'112年全品項生產鍋數'!A:H,2,0)</f>
        <v>草莓蒟蒻餡(1*6kg)</v>
      </c>
      <c r="D1946" s="287">
        <v>20</v>
      </c>
      <c r="E1946" s="48">
        <f>VLOOKUP(B1946,'112年全品項生產鍋數'!A:H,3,0)</f>
        <v>6</v>
      </c>
      <c r="F1946" s="142">
        <f>VLOOKUP(B1946,'112年全品項生產鍋數'!A:H,7,0)</f>
        <v>25.7</v>
      </c>
      <c r="G1946" s="143">
        <f t="shared" si="268"/>
        <v>514</v>
      </c>
      <c r="H1946" s="156">
        <f>308+213</f>
        <v>521</v>
      </c>
      <c r="I1946" s="23">
        <f t="shared" si="269"/>
        <v>3126</v>
      </c>
      <c r="J1946" s="100">
        <f t="shared" si="270"/>
        <v>1.0136186770428015</v>
      </c>
      <c r="K1946" s="51">
        <f>VLOOKUP(B:B,'生產達成率(目標)'!A:C,3,0)</f>
        <v>1</v>
      </c>
      <c r="L1946" s="20">
        <f t="shared" si="271"/>
        <v>1.4E-2</v>
      </c>
      <c r="M1946" s="137" t="str">
        <f>工時!R1130</f>
        <v>333</v>
      </c>
      <c r="N1946" s="144"/>
      <c r="O1946" s="144">
        <f t="shared" si="272"/>
        <v>1</v>
      </c>
      <c r="P1946" s="156">
        <f>307+213</f>
        <v>520</v>
      </c>
      <c r="Q1946" s="98">
        <f t="shared" si="273"/>
        <v>0.99808061420345484</v>
      </c>
      <c r="R1946" s="23"/>
      <c r="S1946" s="173"/>
      <c r="T1946" s="30"/>
      <c r="U1946" s="1"/>
      <c r="V1946" s="460"/>
      <c r="X1946" s="460"/>
    </row>
    <row r="1947" spans="1:30" s="146" customFormat="1" x14ac:dyDescent="0.4">
      <c r="A1947" s="212">
        <v>45882</v>
      </c>
      <c r="B1947" s="151" t="s">
        <v>65</v>
      </c>
      <c r="C1947" s="140" t="str">
        <f>VLOOKUP(B1947,'112年全品項生產鍋數'!A:H,2,0)</f>
        <v>＃1花生(1*2.8kg)</v>
      </c>
      <c r="D1947" s="287">
        <v>72</v>
      </c>
      <c r="E1947" s="141">
        <f>VLOOKUP(B1947,'112年全品項生產鍋數'!A:H,3,0)</f>
        <v>2.8</v>
      </c>
      <c r="F1947" s="142">
        <f>VLOOKUP(B1947,'112年全品項生產鍋數'!A:H,7,0)</f>
        <v>44.5</v>
      </c>
      <c r="G1947" s="143">
        <f t="shared" si="268"/>
        <v>3204</v>
      </c>
      <c r="H1947" s="156">
        <v>3212</v>
      </c>
      <c r="I1947" s="144">
        <f t="shared" si="269"/>
        <v>8993.5999999999985</v>
      </c>
      <c r="J1947" s="100">
        <f t="shared" si="270"/>
        <v>1.0024968789013733</v>
      </c>
      <c r="K1947" s="51">
        <f>VLOOKUP(B:B,'生產達成率(目標)'!A:C,3,0)</f>
        <v>1</v>
      </c>
      <c r="L1947" s="20">
        <f t="shared" si="271"/>
        <v>2E-3</v>
      </c>
      <c r="M1947" s="137" t="str">
        <f>工時!R1131</f>
        <v>550</v>
      </c>
      <c r="N1947" s="144"/>
      <c r="O1947" s="144">
        <f t="shared" si="272"/>
        <v>2</v>
      </c>
      <c r="P1947" s="156">
        <v>3210</v>
      </c>
      <c r="Q1947" s="145">
        <f t="shared" si="273"/>
        <v>0.99937733499377335</v>
      </c>
      <c r="R1947" s="144"/>
      <c r="S1947" s="153"/>
      <c r="T1947" s="140"/>
      <c r="U1947" s="158"/>
      <c r="V1947" s="461"/>
      <c r="W1947" s="421"/>
      <c r="X1947" s="461"/>
      <c r="Y1947" s="421"/>
      <c r="Z1947" s="421"/>
      <c r="AA1947" s="421"/>
      <c r="AB1947" s="421"/>
      <c r="AC1947" s="421"/>
      <c r="AD1947" s="421"/>
    </row>
    <row r="1948" spans="1:30" x14ac:dyDescent="0.4">
      <c r="A1948" s="210">
        <v>45883</v>
      </c>
      <c r="B1948" s="151" t="s">
        <v>71</v>
      </c>
      <c r="C1948" s="30" t="str">
        <f>VLOOKUP(B1948,'112年全品項生產鍋數'!A:H,2,0)</f>
        <v>＃1草莓(1*3.2kg)</v>
      </c>
      <c r="D1948" s="287">
        <v>72</v>
      </c>
      <c r="E1948" s="48">
        <f>VLOOKUP(B1948,'112年全品項生產鍋數'!A:H,3,0)</f>
        <v>3.2</v>
      </c>
      <c r="F1948" s="142">
        <f>VLOOKUP(B1948,'112年全品項生產鍋數'!A:H,7,0)</f>
        <v>46.8</v>
      </c>
      <c r="G1948" s="143">
        <f t="shared" si="268"/>
        <v>3369.6</v>
      </c>
      <c r="H1948" s="156">
        <v>3387</v>
      </c>
      <c r="I1948" s="23">
        <f t="shared" si="269"/>
        <v>10838.400000000001</v>
      </c>
      <c r="J1948" s="100">
        <f t="shared" si="270"/>
        <v>1.0051638176638178</v>
      </c>
      <c r="K1948" s="51">
        <f>VLOOKUP(B:B,'生產達成率(目標)'!A:C,3,0)</f>
        <v>1</v>
      </c>
      <c r="L1948" s="20">
        <f t="shared" si="271"/>
        <v>5.0000000000000001E-3</v>
      </c>
      <c r="M1948" s="137" t="str">
        <f>工時!R1132</f>
        <v>540</v>
      </c>
      <c r="N1948" s="144"/>
      <c r="O1948" s="144">
        <f t="shared" si="272"/>
        <v>2</v>
      </c>
      <c r="P1948" s="156">
        <v>3385</v>
      </c>
      <c r="Q1948" s="98">
        <f t="shared" si="273"/>
        <v>0.99940950693829345</v>
      </c>
      <c r="R1948" s="23"/>
      <c r="S1948" s="173"/>
      <c r="T1948" s="30"/>
      <c r="U1948" s="1"/>
      <c r="V1948" s="460"/>
      <c r="X1948" s="460"/>
    </row>
    <row r="1949" spans="1:30" x14ac:dyDescent="0.4">
      <c r="A1949" s="210">
        <v>45883</v>
      </c>
      <c r="B1949" s="151" t="s">
        <v>63</v>
      </c>
      <c r="C1949" s="30" t="str">
        <f>VLOOKUP(B1949,'112年全品項生產鍋數'!A:H,2,0)</f>
        <v>草莓蒟蒻餡(1*6kg)</v>
      </c>
      <c r="D1949" s="287">
        <v>12</v>
      </c>
      <c r="E1949" s="48">
        <f>VLOOKUP(B1949,'112年全品項生產鍋數'!A:H,3,0)</f>
        <v>6</v>
      </c>
      <c r="F1949" s="142">
        <f>VLOOKUP(B1949,'112年全品項生產鍋數'!A:H,7,0)</f>
        <v>25.7</v>
      </c>
      <c r="G1949" s="143">
        <f t="shared" si="268"/>
        <v>308.39999999999998</v>
      </c>
      <c r="H1949" s="156">
        <v>312</v>
      </c>
      <c r="I1949" s="23">
        <f t="shared" si="269"/>
        <v>1872</v>
      </c>
      <c r="J1949" s="100">
        <f t="shared" si="270"/>
        <v>1.0116731517509729</v>
      </c>
      <c r="K1949" s="51">
        <f>VLOOKUP(B:B,'生產達成率(目標)'!A:C,3,0)</f>
        <v>1</v>
      </c>
      <c r="L1949" s="20">
        <f t="shared" si="271"/>
        <v>1.2E-2</v>
      </c>
      <c r="M1949" s="137" t="str">
        <f>工時!R1133</f>
        <v>210</v>
      </c>
      <c r="N1949" s="144"/>
      <c r="O1949" s="144">
        <f t="shared" si="272"/>
        <v>3</v>
      </c>
      <c r="P1949" s="156">
        <v>309</v>
      </c>
      <c r="Q1949" s="98">
        <f t="shared" si="273"/>
        <v>0.99038461538461542</v>
      </c>
      <c r="R1949" s="23"/>
      <c r="S1949" s="173"/>
      <c r="T1949" s="30"/>
      <c r="U1949" s="1"/>
      <c r="V1949" s="460"/>
      <c r="X1949" s="460"/>
    </row>
    <row r="1950" spans="1:30" s="146" customFormat="1" x14ac:dyDescent="0.4">
      <c r="A1950" s="212">
        <v>45883</v>
      </c>
      <c r="B1950" s="151" t="s">
        <v>64</v>
      </c>
      <c r="C1950" s="140" t="str">
        <f>VLOOKUP(B1950,'112年全品項生產鍋數'!A:H,2,0)</f>
        <v>藍莓餡(1*6KG)</v>
      </c>
      <c r="D1950" s="287">
        <v>24</v>
      </c>
      <c r="E1950" s="141">
        <f>VLOOKUP(B1950,'112年全品項生產鍋數'!A:H,3,0)</f>
        <v>6</v>
      </c>
      <c r="F1950" s="142">
        <f>VLOOKUP(B1950,'112年全品項生產鍋數'!A:H,7,0)</f>
        <v>25.4</v>
      </c>
      <c r="G1950" s="143">
        <f t="shared" si="268"/>
        <v>609.59999999999991</v>
      </c>
      <c r="H1950" s="156">
        <f>297+314</f>
        <v>611</v>
      </c>
      <c r="I1950" s="144">
        <f t="shared" si="269"/>
        <v>3666</v>
      </c>
      <c r="J1950" s="100">
        <f t="shared" si="270"/>
        <v>1.0022965879265093</v>
      </c>
      <c r="K1950" s="51">
        <f>VLOOKUP(B:B,'生產達成率(目標)'!A:C,3,0)</f>
        <v>1</v>
      </c>
      <c r="L1950" s="20">
        <f t="shared" si="271"/>
        <v>2E-3</v>
      </c>
      <c r="M1950" s="137" t="str">
        <f>工時!R1134</f>
        <v>340</v>
      </c>
      <c r="N1950" s="144"/>
      <c r="O1950" s="144">
        <f t="shared" si="272"/>
        <v>3</v>
      </c>
      <c r="P1950" s="156">
        <f>294+314</f>
        <v>608</v>
      </c>
      <c r="Q1950" s="145">
        <f t="shared" si="273"/>
        <v>0.9950900163666121</v>
      </c>
      <c r="R1950" s="144"/>
      <c r="S1950" s="153"/>
      <c r="T1950" s="140"/>
      <c r="U1950" s="158"/>
      <c r="V1950" s="461"/>
      <c r="W1950" s="421"/>
      <c r="X1950" s="461"/>
      <c r="Y1950" s="421"/>
      <c r="Z1950" s="421"/>
      <c r="AA1950" s="421"/>
      <c r="AB1950" s="421"/>
      <c r="AC1950" s="421"/>
      <c r="AD1950" s="421"/>
    </row>
    <row r="1951" spans="1:30" s="146" customFormat="1" x14ac:dyDescent="0.4">
      <c r="A1951" s="212">
        <v>45883</v>
      </c>
      <c r="B1951" s="151" t="s">
        <v>82</v>
      </c>
      <c r="C1951" s="140" t="str">
        <f>VLOOKUP(B1951,'112年全品項生產鍋數'!A:H,2,0)</f>
        <v>顆粒花生醬(全)</v>
      </c>
      <c r="D1951" s="287">
        <v>36</v>
      </c>
      <c r="E1951" s="141">
        <f>VLOOKUP(B1951,'112年全品項生產鍋數'!A:H,3,0)</f>
        <v>0.34</v>
      </c>
      <c r="F1951" s="142">
        <f>VLOOKUP(B1951,'112年全品項生產鍋數'!A:H,7,0)</f>
        <v>364.6</v>
      </c>
      <c r="G1951" s="143">
        <f t="shared" si="268"/>
        <v>13125.6</v>
      </c>
      <c r="H1951" s="156">
        <v>12940</v>
      </c>
      <c r="I1951" s="144">
        <f t="shared" si="269"/>
        <v>4399.6000000000004</v>
      </c>
      <c r="J1951" s="100">
        <f t="shared" si="270"/>
        <v>0.98585969403303464</v>
      </c>
      <c r="K1951" s="51">
        <f>VLOOKUP(B:B,'生產達成率(目標)'!A:C,3,0)</f>
        <v>1</v>
      </c>
      <c r="L1951" s="20">
        <f t="shared" si="271"/>
        <v>-1.4E-2</v>
      </c>
      <c r="M1951" s="137" t="str">
        <f>工時!R1135</f>
        <v>495</v>
      </c>
      <c r="N1951" s="144"/>
      <c r="O1951" s="144">
        <f t="shared" si="272"/>
        <v>3</v>
      </c>
      <c r="P1951" s="156">
        <v>12937</v>
      </c>
      <c r="Q1951" s="145">
        <f t="shared" si="273"/>
        <v>0.99976816074188568</v>
      </c>
      <c r="R1951" s="144"/>
      <c r="S1951" s="153"/>
      <c r="T1951" s="140"/>
      <c r="U1951" s="158"/>
      <c r="V1951" s="461"/>
      <c r="W1951" s="421"/>
      <c r="X1951" s="461"/>
      <c r="Y1951" s="421"/>
      <c r="Z1951" s="421"/>
      <c r="AA1951" s="421"/>
      <c r="AB1951" s="421"/>
      <c r="AC1951" s="421"/>
      <c r="AD1951" s="421"/>
    </row>
    <row r="1952" spans="1:30" s="146" customFormat="1" x14ac:dyDescent="0.4">
      <c r="A1952" s="212">
        <v>45883</v>
      </c>
      <c r="B1952" s="151" t="s">
        <v>83</v>
      </c>
      <c r="C1952" s="140" t="str">
        <f>VLOOKUP(B1952,'112年全品項生產鍋數'!A:H,2,0)</f>
        <v>PET瓶花生(粒)(1*340g)</v>
      </c>
      <c r="D1952" s="287">
        <v>8</v>
      </c>
      <c r="E1952" s="141">
        <f>VLOOKUP(B1952,'112年全品項生產鍋數'!A:H,3,0)</f>
        <v>0.34</v>
      </c>
      <c r="F1952" s="142">
        <f>VLOOKUP(B1952,'112年全品項生產鍋數'!A:H,7,0)</f>
        <v>366</v>
      </c>
      <c r="G1952" s="143">
        <f t="shared" si="268"/>
        <v>2928</v>
      </c>
      <c r="H1952" s="156">
        <v>2969</v>
      </c>
      <c r="I1952" s="144">
        <f t="shared" si="269"/>
        <v>1009.46</v>
      </c>
      <c r="J1952" s="100">
        <f t="shared" si="270"/>
        <v>1.0140027322404372</v>
      </c>
      <c r="K1952" s="51">
        <f>VLOOKUP(B:B,'生產達成率(目標)'!A:C,3,0)</f>
        <v>1</v>
      </c>
      <c r="L1952" s="20">
        <f t="shared" si="271"/>
        <v>1.4E-2</v>
      </c>
      <c r="M1952" s="137" t="str">
        <f>工時!R1136</f>
        <v>230</v>
      </c>
      <c r="N1952" s="144"/>
      <c r="O1952" s="144">
        <f t="shared" si="272"/>
        <v>3</v>
      </c>
      <c r="P1952" s="156">
        <v>2966</v>
      </c>
      <c r="Q1952" s="145">
        <f t="shared" si="273"/>
        <v>0.99898955877399798</v>
      </c>
      <c r="R1952" s="144"/>
      <c r="S1952" s="153"/>
      <c r="T1952" s="140"/>
      <c r="U1952" s="158"/>
      <c r="V1952" s="461"/>
      <c r="W1952" s="421"/>
      <c r="X1952" s="461"/>
      <c r="Y1952" s="421"/>
      <c r="Z1952" s="421"/>
      <c r="AA1952" s="421"/>
      <c r="AB1952" s="421"/>
      <c r="AC1952" s="421"/>
      <c r="AD1952" s="421"/>
    </row>
    <row r="1953" spans="1:30" s="146" customFormat="1" x14ac:dyDescent="0.4">
      <c r="A1953" s="212">
        <v>45884</v>
      </c>
      <c r="B1953" s="151" t="s">
        <v>63</v>
      </c>
      <c r="C1953" s="140" t="str">
        <f>VLOOKUP(B1953,'112年全品項生產鍋數'!A:H,2,0)</f>
        <v>草莓蒟蒻餡(1*6kg)</v>
      </c>
      <c r="D1953" s="287">
        <v>16</v>
      </c>
      <c r="E1953" s="141">
        <f>VLOOKUP(B1953,'112年全品項生產鍋數'!A:H,3,0)</f>
        <v>6</v>
      </c>
      <c r="F1953" s="142">
        <f>VLOOKUP(B1953,'112年全品項生產鍋數'!A:H,7,0)</f>
        <v>25.7</v>
      </c>
      <c r="G1953" s="143">
        <f t="shared" si="268"/>
        <v>411.2</v>
      </c>
      <c r="H1953" s="156">
        <f>203+213</f>
        <v>416</v>
      </c>
      <c r="I1953" s="144">
        <f t="shared" si="269"/>
        <v>2496</v>
      </c>
      <c r="J1953" s="100">
        <f t="shared" si="270"/>
        <v>1.0116731517509727</v>
      </c>
      <c r="K1953" s="51">
        <f>VLOOKUP(B:B,'生產達成率(目標)'!A:C,3,0)</f>
        <v>1</v>
      </c>
      <c r="L1953" s="20">
        <f t="shared" si="271"/>
        <v>1.2E-2</v>
      </c>
      <c r="M1953" s="137" t="str">
        <f>工時!R1137</f>
        <v>240</v>
      </c>
      <c r="N1953" s="144"/>
      <c r="O1953" s="144">
        <f t="shared" si="272"/>
        <v>1</v>
      </c>
      <c r="P1953" s="156">
        <f>202+213</f>
        <v>415</v>
      </c>
      <c r="Q1953" s="145">
        <f t="shared" si="273"/>
        <v>0.99759615384615385</v>
      </c>
      <c r="R1953" s="144"/>
      <c r="S1953" s="153"/>
      <c r="T1953" s="140"/>
      <c r="U1953" s="158"/>
      <c r="V1953" s="461"/>
      <c r="W1953" s="421"/>
      <c r="X1953" s="461"/>
      <c r="Y1953" s="421"/>
      <c r="Z1953" s="421"/>
      <c r="AA1953" s="421"/>
      <c r="AB1953" s="421"/>
      <c r="AC1953" s="421"/>
      <c r="AD1953" s="421"/>
    </row>
    <row r="1954" spans="1:30" s="146" customFormat="1" x14ac:dyDescent="0.4">
      <c r="A1954" s="212">
        <v>45884</v>
      </c>
      <c r="B1954" s="139" t="s">
        <v>1060</v>
      </c>
      <c r="C1954" s="140" t="str">
        <f>VLOOKUP(B1954,'112年全品項生產鍋數'!A:H,2,0)</f>
        <v>草莓蔓越莓餡(1*6KG)</v>
      </c>
      <c r="D1954" s="290">
        <v>4</v>
      </c>
      <c r="E1954" s="141">
        <f>VLOOKUP(B1954,'112年全品項生產鍋數'!A:H,3,0)</f>
        <v>6</v>
      </c>
      <c r="F1954" s="142">
        <f>VLOOKUP(B1954,'112年全品項生產鍋數'!A:H,7,0)</f>
        <v>25.2</v>
      </c>
      <c r="G1954" s="143">
        <f t="shared" ref="G1954:G2000" si="274">D1954*F1954</f>
        <v>100.8</v>
      </c>
      <c r="H1954" s="156">
        <v>101</v>
      </c>
      <c r="I1954" s="144">
        <f t="shared" ref="I1954:I2000" si="275">H1954*E1954</f>
        <v>606</v>
      </c>
      <c r="J1954" s="100">
        <f t="shared" ref="J1954:J2000" si="276">IF(G1954=0,"無法預估數據",H1954/G1954)</f>
        <v>1.001984126984127</v>
      </c>
      <c r="K1954" s="51" t="e">
        <f>VLOOKUP(B:B,'生產達成率(目標)'!A:C,3,0)</f>
        <v>#N/A</v>
      </c>
      <c r="L1954" s="20" t="e">
        <f t="shared" ref="L1954:L2000" si="277">IF(G1954=0,"無法預估數據",ROUND(J1954-K1954,3))</f>
        <v>#N/A</v>
      </c>
      <c r="M1954" s="137" t="str">
        <f>工時!R1138</f>
        <v>114</v>
      </c>
      <c r="N1954" s="144"/>
      <c r="O1954" s="144">
        <f t="shared" ref="O1954:O2000" si="278">H1954-N1954-P1954</f>
        <v>1</v>
      </c>
      <c r="P1954" s="156">
        <v>100</v>
      </c>
      <c r="Q1954" s="145">
        <f t="shared" ref="Q1954:Q2000" si="279">P1954/H1954</f>
        <v>0.99009900990099009</v>
      </c>
      <c r="R1954" s="144"/>
      <c r="S1954" s="153"/>
      <c r="T1954" s="140"/>
      <c r="U1954" s="158"/>
      <c r="V1954" s="461"/>
      <c r="W1954" s="421"/>
      <c r="X1954" s="461"/>
      <c r="Y1954" s="421"/>
      <c r="Z1954" s="421"/>
      <c r="AA1954" s="421"/>
      <c r="AB1954" s="421"/>
      <c r="AC1954" s="421"/>
      <c r="AD1954" s="421"/>
    </row>
    <row r="1955" spans="1:30" s="146" customFormat="1" x14ac:dyDescent="0.4">
      <c r="A1955" s="212">
        <v>45884</v>
      </c>
      <c r="B1955" s="139" t="s">
        <v>1045</v>
      </c>
      <c r="C1955" s="140" t="str">
        <f>VLOOKUP(B1955,'112年全品項生產鍋數'!A:H,2,0)</f>
        <v>芒果蜜桃醬(含桃丁)</v>
      </c>
      <c r="D1955" s="290">
        <v>18</v>
      </c>
      <c r="E1955" s="141">
        <f>VLOOKUP(B1955,'112年全品項生產鍋數'!A:H,3,0)</f>
        <v>6</v>
      </c>
      <c r="F1955" s="142">
        <f>VLOOKUP(B1955,'112年全品項生產鍋數'!A:H,7,0)</f>
        <v>0</v>
      </c>
      <c r="G1955" s="143">
        <f t="shared" si="274"/>
        <v>0</v>
      </c>
      <c r="H1955" s="156">
        <v>465</v>
      </c>
      <c r="I1955" s="144">
        <f t="shared" si="275"/>
        <v>2790</v>
      </c>
      <c r="J1955" s="100" t="str">
        <f t="shared" si="276"/>
        <v>無法預估數據</v>
      </c>
      <c r="K1955" s="51">
        <f>VLOOKUP(B:B,'生產達成率(目標)'!A:C,3,0)</f>
        <v>1</v>
      </c>
      <c r="L1955" s="20" t="str">
        <f t="shared" si="277"/>
        <v>無法預估數據</v>
      </c>
      <c r="M1955" s="137" t="str">
        <f>工時!R1139</f>
        <v>275</v>
      </c>
      <c r="N1955" s="144"/>
      <c r="O1955" s="144">
        <f t="shared" si="278"/>
        <v>2</v>
      </c>
      <c r="P1955" s="156">
        <v>463</v>
      </c>
      <c r="Q1955" s="145">
        <f t="shared" si="279"/>
        <v>0.99569892473118282</v>
      </c>
      <c r="R1955" s="144"/>
      <c r="S1955" s="153"/>
      <c r="T1955" s="140"/>
      <c r="U1955" s="158"/>
      <c r="V1955" s="461"/>
      <c r="W1955" s="421"/>
      <c r="X1955" s="461"/>
      <c r="Y1955" s="421"/>
      <c r="Z1955" s="421"/>
      <c r="AA1955" s="421"/>
      <c r="AB1955" s="421"/>
      <c r="AC1955" s="421"/>
      <c r="AD1955" s="421"/>
    </row>
    <row r="1956" spans="1:30" s="146" customFormat="1" x14ac:dyDescent="0.4">
      <c r="A1956" s="212">
        <v>45884</v>
      </c>
      <c r="B1956" s="139" t="s">
        <v>110</v>
      </c>
      <c r="C1956" s="140" t="str">
        <f>VLOOKUP(B1956,'112年全品項生產鍋數'!A:H,2,0)</f>
        <v>顆粒花生醬(1*12KG)</v>
      </c>
      <c r="D1956" s="290">
        <v>21</v>
      </c>
      <c r="E1956" s="141">
        <f>VLOOKUP(B1956,'112年全品項生產鍋數'!A:H,3,0)</f>
        <v>3</v>
      </c>
      <c r="F1956" s="142">
        <f>VLOOKUP(B1956,'112年全品項生產鍋數'!A:H,7,0)</f>
        <v>30.8</v>
      </c>
      <c r="G1956" s="143">
        <f t="shared" si="274"/>
        <v>646.80000000000007</v>
      </c>
      <c r="H1956" s="156">
        <v>648</v>
      </c>
      <c r="I1956" s="144">
        <f t="shared" si="275"/>
        <v>1944</v>
      </c>
      <c r="J1956" s="100">
        <f t="shared" si="276"/>
        <v>1.0018552875695732</v>
      </c>
      <c r="K1956" s="51">
        <f>VLOOKUP(B:B,'生產達成率(目標)'!A:C,3,0)</f>
        <v>1</v>
      </c>
      <c r="L1956" s="20">
        <f t="shared" si="277"/>
        <v>2E-3</v>
      </c>
      <c r="M1956" s="137" t="str">
        <f>工時!R1140</f>
        <v>570</v>
      </c>
      <c r="N1956" s="144"/>
      <c r="O1956" s="144">
        <f t="shared" si="278"/>
        <v>0</v>
      </c>
      <c r="P1956" s="156">
        <v>648</v>
      </c>
      <c r="Q1956" s="145">
        <f t="shared" si="279"/>
        <v>1</v>
      </c>
      <c r="R1956" s="144"/>
      <c r="S1956" s="153"/>
      <c r="T1956" s="140"/>
      <c r="U1956" s="158"/>
      <c r="V1956" s="461"/>
      <c r="W1956" s="421"/>
      <c r="X1956" s="461"/>
      <c r="Y1956" s="421"/>
      <c r="Z1956" s="421"/>
      <c r="AA1956" s="421"/>
      <c r="AB1956" s="421"/>
      <c r="AC1956" s="421"/>
      <c r="AD1956" s="421"/>
    </row>
    <row r="1957" spans="1:30" s="146" customFormat="1" x14ac:dyDescent="0.4">
      <c r="A1957" s="212">
        <v>45884</v>
      </c>
      <c r="B1957" s="139" t="s">
        <v>104</v>
      </c>
      <c r="C1957" s="140" t="str">
        <f>VLOOKUP(B1957,'112年全品項生產鍋數'!A:H,2,0)</f>
        <v>＃1花生(粒)(1*2.8kg)</v>
      </c>
      <c r="D1957" s="290">
        <v>72</v>
      </c>
      <c r="E1957" s="141">
        <f>VLOOKUP(B1957,'112年全品項生產鍋數'!A:H,3,0)</f>
        <v>2.8</v>
      </c>
      <c r="F1957" s="142">
        <f>VLOOKUP(B1957,'112年全品項生產鍋數'!A:H,7,0)</f>
        <v>44.2</v>
      </c>
      <c r="G1957" s="143">
        <f t="shared" si="274"/>
        <v>3182.4</v>
      </c>
      <c r="H1957" s="156">
        <v>3151</v>
      </c>
      <c r="I1957" s="144">
        <f t="shared" si="275"/>
        <v>8822.7999999999993</v>
      </c>
      <c r="J1957" s="100">
        <f t="shared" si="276"/>
        <v>0.99013323278029153</v>
      </c>
      <c r="K1957" s="51">
        <f>VLOOKUP(B:B,'生產達成率(目標)'!A:C,3,0)</f>
        <v>1</v>
      </c>
      <c r="L1957" s="20">
        <f t="shared" si="277"/>
        <v>-0.01</v>
      </c>
      <c r="M1957" s="137" t="str">
        <f>工時!R1141</f>
        <v>550</v>
      </c>
      <c r="N1957" s="144"/>
      <c r="O1957" s="144">
        <f t="shared" si="278"/>
        <v>1</v>
      </c>
      <c r="P1957" s="156">
        <v>3150</v>
      </c>
      <c r="Q1957" s="145">
        <f t="shared" si="279"/>
        <v>0.99968264043160904</v>
      </c>
      <c r="R1957" s="144"/>
      <c r="S1957" s="153"/>
      <c r="T1957" s="140"/>
      <c r="U1957" s="158"/>
      <c r="V1957" s="461"/>
      <c r="W1957" s="421"/>
      <c r="X1957" s="461"/>
      <c r="Y1957" s="421"/>
      <c r="Z1957" s="421"/>
      <c r="AA1957" s="421"/>
      <c r="AB1957" s="421"/>
      <c r="AC1957" s="421"/>
      <c r="AD1957" s="421"/>
    </row>
    <row r="1958" spans="1:30" x14ac:dyDescent="0.4">
      <c r="A1958" s="212">
        <v>45887</v>
      </c>
      <c r="B1958" s="139" t="s">
        <v>68</v>
      </c>
      <c r="C1958" s="30" t="str">
        <f>VLOOKUP(B1958,'112年全品項生產鍋數'!A:H,2,0)</f>
        <v>#2草莓果醬(1*900g)</v>
      </c>
      <c r="D1958" s="290">
        <v>40</v>
      </c>
      <c r="E1958" s="48">
        <f>VLOOKUP(B1958,'112年全品項生產鍋數'!A:H,3,0)</f>
        <v>0.9</v>
      </c>
      <c r="F1958" s="142">
        <f>VLOOKUP(B1958,'112年全品項生產鍋數'!A:H,7,0)</f>
        <v>160.5</v>
      </c>
      <c r="G1958" s="143">
        <f t="shared" si="274"/>
        <v>6420</v>
      </c>
      <c r="H1958" s="156">
        <v>6517</v>
      </c>
      <c r="I1958" s="23">
        <f t="shared" si="275"/>
        <v>5865.3</v>
      </c>
      <c r="J1958" s="100">
        <f t="shared" si="276"/>
        <v>1.0151090342679128</v>
      </c>
      <c r="K1958" s="51">
        <f>VLOOKUP(B:B,'生產達成率(目標)'!A:C,3,0)</f>
        <v>1</v>
      </c>
      <c r="L1958" s="20">
        <f t="shared" si="277"/>
        <v>1.4999999999999999E-2</v>
      </c>
      <c r="M1958" s="137" t="str">
        <f>工時!R1142</f>
        <v>532</v>
      </c>
      <c r="N1958" s="144"/>
      <c r="O1958" s="144">
        <f t="shared" si="278"/>
        <v>3</v>
      </c>
      <c r="P1958" s="156">
        <v>6514</v>
      </c>
      <c r="Q1958" s="98">
        <f t="shared" si="279"/>
        <v>0.9995396654902563</v>
      </c>
      <c r="R1958" s="23"/>
      <c r="S1958" s="173"/>
      <c r="T1958" s="30"/>
      <c r="U1958" s="1"/>
      <c r="V1958" s="460"/>
      <c r="X1958" s="460"/>
    </row>
    <row r="1959" spans="1:30" x14ac:dyDescent="0.4">
      <c r="A1959" s="212">
        <v>45887</v>
      </c>
      <c r="B1959" s="139" t="s">
        <v>63</v>
      </c>
      <c r="C1959" s="30" t="str">
        <f>VLOOKUP(B1959,'112年全品項生產鍋數'!A:H,2,0)</f>
        <v>草莓蒟蒻餡(1*6kg)</v>
      </c>
      <c r="D1959" s="290">
        <v>24</v>
      </c>
      <c r="E1959" s="48">
        <f>VLOOKUP(B1959,'112年全品項生產鍋數'!A:H,3,0)</f>
        <v>6</v>
      </c>
      <c r="F1959" s="142">
        <f>VLOOKUP(B1959,'112年全品項生產鍋數'!A:H,7,0)</f>
        <v>25.7</v>
      </c>
      <c r="G1959" s="143">
        <f t="shared" si="274"/>
        <v>616.79999999999995</v>
      </c>
      <c r="H1959" s="156">
        <f>306+323</f>
        <v>629</v>
      </c>
      <c r="I1959" s="23">
        <f t="shared" si="275"/>
        <v>3774</v>
      </c>
      <c r="J1959" s="100">
        <f t="shared" si="276"/>
        <v>1.0197795071335929</v>
      </c>
      <c r="K1959" s="51">
        <f>VLOOKUP(B:B,'生產達成率(目標)'!A:C,3,0)</f>
        <v>1</v>
      </c>
      <c r="L1959" s="20">
        <f t="shared" si="277"/>
        <v>0.02</v>
      </c>
      <c r="M1959" s="137" t="str">
        <f>工時!R1143</f>
        <v>349</v>
      </c>
      <c r="N1959" s="144"/>
      <c r="O1959" s="144">
        <f t="shared" si="278"/>
        <v>9</v>
      </c>
      <c r="P1959" s="156">
        <f>305+315</f>
        <v>620</v>
      </c>
      <c r="Q1959" s="98">
        <f t="shared" si="279"/>
        <v>0.98569157392686801</v>
      </c>
      <c r="R1959" s="23" t="s">
        <v>1181</v>
      </c>
      <c r="S1959" s="173"/>
      <c r="T1959" s="30"/>
      <c r="U1959" s="1"/>
      <c r="V1959" s="460"/>
      <c r="X1959" s="460"/>
    </row>
    <row r="1960" spans="1:30" x14ac:dyDescent="0.4">
      <c r="A1960" s="212">
        <v>45887</v>
      </c>
      <c r="B1960" s="139" t="s">
        <v>1045</v>
      </c>
      <c r="C1960" s="30" t="str">
        <f>VLOOKUP(B1960,'112年全品項生產鍋數'!A:H,2,0)</f>
        <v>芒果蜜桃醬(含桃丁)</v>
      </c>
      <c r="D1960" s="290">
        <v>12</v>
      </c>
      <c r="E1960" s="48">
        <f>VLOOKUP(B1960,'112年全品項生產鍋數'!A:H,3,0)</f>
        <v>6</v>
      </c>
      <c r="F1960" s="142">
        <f>VLOOKUP(B1960,'112年全品項生產鍋數'!A:H,7,0)</f>
        <v>0</v>
      </c>
      <c r="G1960" s="143">
        <f t="shared" si="274"/>
        <v>0</v>
      </c>
      <c r="H1960" s="156">
        <v>307</v>
      </c>
      <c r="I1960" s="23">
        <f t="shared" si="275"/>
        <v>1842</v>
      </c>
      <c r="J1960" s="100" t="str">
        <f t="shared" si="276"/>
        <v>無法預估數據</v>
      </c>
      <c r="K1960" s="51">
        <f>VLOOKUP(B:B,'生產達成率(目標)'!A:C,3,0)</f>
        <v>1</v>
      </c>
      <c r="L1960" s="20" t="str">
        <f t="shared" si="277"/>
        <v>無法預估數據</v>
      </c>
      <c r="M1960" s="137" t="str">
        <f>工時!R1144</f>
        <v>200</v>
      </c>
      <c r="N1960" s="144"/>
      <c r="O1960" s="144">
        <f t="shared" si="278"/>
        <v>1</v>
      </c>
      <c r="P1960" s="156">
        <v>306</v>
      </c>
      <c r="Q1960" s="98">
        <f t="shared" si="279"/>
        <v>0.99674267100977199</v>
      </c>
      <c r="R1960" s="23"/>
      <c r="S1960" s="173"/>
      <c r="T1960" s="30"/>
      <c r="U1960" s="1"/>
      <c r="V1960" s="460"/>
      <c r="X1960" s="460"/>
    </row>
    <row r="1961" spans="1:30" x14ac:dyDescent="0.4">
      <c r="A1961" s="212">
        <v>45887</v>
      </c>
      <c r="B1961" s="139" t="s">
        <v>96</v>
      </c>
      <c r="C1961" s="30" t="str">
        <f>VLOOKUP(B1961,'112年全品項生產鍋數'!A:H,2,0)</f>
        <v>PET瓶花生(1*340g)</v>
      </c>
      <c r="D1961" s="290">
        <v>20</v>
      </c>
      <c r="E1961" s="48">
        <f>VLOOKUP(B1961,'112年全品項生產鍋數'!A:H,3,0)</f>
        <v>0.34</v>
      </c>
      <c r="F1961" s="142">
        <f>VLOOKUP(B1961,'112年全品項生產鍋數'!A:H,7,0)</f>
        <v>358.3</v>
      </c>
      <c r="G1961" s="143">
        <f t="shared" si="274"/>
        <v>7166</v>
      </c>
      <c r="H1961" s="156">
        <v>7267</v>
      </c>
      <c r="I1961" s="23">
        <f t="shared" si="275"/>
        <v>2470.7800000000002</v>
      </c>
      <c r="J1961" s="100">
        <f t="shared" si="276"/>
        <v>1.0140943343566844</v>
      </c>
      <c r="K1961" s="51">
        <f>VLOOKUP(B:B,'生產達成率(目標)'!A:C,3,0)</f>
        <v>1</v>
      </c>
      <c r="L1961" s="20">
        <f t="shared" si="277"/>
        <v>1.4E-2</v>
      </c>
      <c r="M1961" s="137" t="str">
        <f>工時!R1145</f>
        <v>395</v>
      </c>
      <c r="N1961" s="144"/>
      <c r="O1961" s="144">
        <f t="shared" si="278"/>
        <v>3</v>
      </c>
      <c r="P1961" s="156">
        <v>7264</v>
      </c>
      <c r="Q1961" s="98">
        <f t="shared" si="279"/>
        <v>0.99958717490023397</v>
      </c>
      <c r="R1961" s="23"/>
      <c r="S1961" s="173"/>
      <c r="T1961" s="30"/>
      <c r="U1961" s="1"/>
      <c r="V1961" s="460"/>
      <c r="X1961" s="460"/>
    </row>
    <row r="1962" spans="1:30" x14ac:dyDescent="0.4">
      <c r="A1962" s="212">
        <v>45887</v>
      </c>
      <c r="B1962" s="139" t="s">
        <v>83</v>
      </c>
      <c r="C1962" s="30" t="str">
        <f>VLOOKUP(B1962,'112年全品項生產鍋數'!A:H,2,0)</f>
        <v>PET瓶花生(粒)(1*340g)</v>
      </c>
      <c r="D1962" s="290">
        <v>16</v>
      </c>
      <c r="E1962" s="48">
        <f>VLOOKUP(B1962,'112年全品項生產鍋數'!A:H,3,0)</f>
        <v>0.34</v>
      </c>
      <c r="F1962" s="142">
        <f>VLOOKUP(B1962,'112年全品項生產鍋數'!A:H,7,0)</f>
        <v>366</v>
      </c>
      <c r="G1962" s="143">
        <f t="shared" si="274"/>
        <v>5856</v>
      </c>
      <c r="H1962" s="156">
        <f>3602+2146</f>
        <v>5748</v>
      </c>
      <c r="I1962" s="23">
        <f t="shared" si="275"/>
        <v>1954.3200000000002</v>
      </c>
      <c r="J1962" s="100">
        <f t="shared" si="276"/>
        <v>0.98155737704918034</v>
      </c>
      <c r="K1962" s="51">
        <f>VLOOKUP(B:B,'生產達成率(目標)'!A:C,3,0)</f>
        <v>1</v>
      </c>
      <c r="L1962" s="20">
        <f t="shared" si="277"/>
        <v>-1.7999999999999999E-2</v>
      </c>
      <c r="M1962" s="137" t="str">
        <f>工時!R1146</f>
        <v>285</v>
      </c>
      <c r="N1962" s="144"/>
      <c r="O1962" s="144">
        <f t="shared" si="278"/>
        <v>5</v>
      </c>
      <c r="P1962" s="156">
        <f>3600+2143</f>
        <v>5743</v>
      </c>
      <c r="Q1962" s="98">
        <f t="shared" si="279"/>
        <v>0.99913013221990254</v>
      </c>
      <c r="R1962" s="23"/>
      <c r="S1962" s="173"/>
      <c r="T1962" s="30" t="s">
        <v>1121</v>
      </c>
      <c r="U1962" s="1"/>
      <c r="V1962" s="460"/>
      <c r="X1962" s="460"/>
    </row>
    <row r="1963" spans="1:30" x14ac:dyDescent="0.4">
      <c r="A1963" s="212">
        <v>45888</v>
      </c>
      <c r="B1963" s="139" t="s">
        <v>460</v>
      </c>
      <c r="C1963" s="30" t="str">
        <f>VLOOKUP(B1963,'112年全品項生產鍋數'!A:H,2,0)</f>
        <v>＃1草莓原漿(1*3.4kg)</v>
      </c>
      <c r="D1963" s="290">
        <v>4</v>
      </c>
      <c r="E1963" s="48">
        <f>VLOOKUP(B1963,'112年全品項生產鍋數'!A:H,3,0)</f>
        <v>3.4</v>
      </c>
      <c r="F1963" s="142">
        <f>VLOOKUP(B1963,'112年全品項生產鍋數'!A:H,7,0)</f>
        <v>43</v>
      </c>
      <c r="G1963" s="143">
        <f t="shared" si="274"/>
        <v>172</v>
      </c>
      <c r="H1963" s="156">
        <v>177</v>
      </c>
      <c r="I1963" s="23">
        <f t="shared" si="275"/>
        <v>601.79999999999995</v>
      </c>
      <c r="J1963" s="100">
        <f t="shared" si="276"/>
        <v>1.0290697674418605</v>
      </c>
      <c r="K1963" s="51">
        <f>VLOOKUP(B:B,'生產達成率(目標)'!A:C,3,0)</f>
        <v>1</v>
      </c>
      <c r="L1963" s="20">
        <f t="shared" si="277"/>
        <v>2.9000000000000001E-2</v>
      </c>
      <c r="M1963" s="137" t="str">
        <f>工時!R1147</f>
        <v>164</v>
      </c>
      <c r="N1963" s="144"/>
      <c r="O1963" s="144">
        <f t="shared" si="278"/>
        <v>1</v>
      </c>
      <c r="P1963" s="156">
        <v>176</v>
      </c>
      <c r="Q1963" s="98">
        <f t="shared" si="279"/>
        <v>0.99435028248587576</v>
      </c>
      <c r="R1963" s="23"/>
      <c r="S1963" s="173"/>
      <c r="T1963" s="30"/>
      <c r="U1963" s="1"/>
      <c r="V1963" s="460"/>
      <c r="X1963" s="460"/>
    </row>
    <row r="1964" spans="1:30" x14ac:dyDescent="0.4">
      <c r="A1964" s="212">
        <v>45888</v>
      </c>
      <c r="B1964" s="139" t="s">
        <v>71</v>
      </c>
      <c r="C1964" s="30" t="str">
        <f>VLOOKUP(B1964,'112年全品項生產鍋數'!A:H,2,0)</f>
        <v>＃1草莓(1*3.2kg)</v>
      </c>
      <c r="D1964" s="290">
        <v>68</v>
      </c>
      <c r="E1964" s="48">
        <f>VLOOKUP(B1964,'112年全品項生產鍋數'!A:H,3,0)</f>
        <v>3.2</v>
      </c>
      <c r="F1964" s="142">
        <f>VLOOKUP(B1964,'112年全品項生產鍋數'!A:H,7,0)</f>
        <v>46.8</v>
      </c>
      <c r="G1964" s="143">
        <f t="shared" si="274"/>
        <v>3182.3999999999996</v>
      </c>
      <c r="H1964" s="156">
        <v>3213</v>
      </c>
      <c r="I1964" s="23">
        <f t="shared" si="275"/>
        <v>10281.6</v>
      </c>
      <c r="J1964" s="100">
        <f t="shared" si="276"/>
        <v>1.0096153846153848</v>
      </c>
      <c r="K1964" s="51">
        <f>VLOOKUP(B:B,'生產達成率(目標)'!A:C,3,0)</f>
        <v>1</v>
      </c>
      <c r="L1964" s="20">
        <f t="shared" si="277"/>
        <v>0.01</v>
      </c>
      <c r="M1964" s="137" t="str">
        <f>工時!R1148</f>
        <v>460</v>
      </c>
      <c r="N1964" s="144"/>
      <c r="O1964" s="144">
        <f t="shared" si="278"/>
        <v>3</v>
      </c>
      <c r="P1964" s="156">
        <v>3210</v>
      </c>
      <c r="Q1964" s="98">
        <f t="shared" si="279"/>
        <v>0.99906629318394025</v>
      </c>
      <c r="R1964" s="23"/>
      <c r="S1964" s="173"/>
      <c r="T1964" s="30"/>
      <c r="U1964" s="1"/>
      <c r="V1964" s="460"/>
      <c r="X1964" s="460"/>
    </row>
    <row r="1965" spans="1:30" x14ac:dyDescent="0.4">
      <c r="A1965" s="212">
        <v>45888</v>
      </c>
      <c r="B1965" s="139" t="s">
        <v>54</v>
      </c>
      <c r="C1965" s="30" t="str">
        <f>VLOOKUP(B1965,'112年全品項生產鍋數'!A:H,2,0)</f>
        <v>草莓醬(1*6kg)</v>
      </c>
      <c r="D1965" s="290">
        <v>36</v>
      </c>
      <c r="E1965" s="48">
        <f>VLOOKUP(B1965,'112年全品項生產鍋數'!A:H,3,0)</f>
        <v>6</v>
      </c>
      <c r="F1965" s="142">
        <f>VLOOKUP(B1965,'112年全品項生產鍋數'!A:H,7,0)</f>
        <v>26.6</v>
      </c>
      <c r="G1965" s="143">
        <f t="shared" si="274"/>
        <v>957.6</v>
      </c>
      <c r="H1965" s="156">
        <v>952</v>
      </c>
      <c r="I1965" s="23">
        <f t="shared" si="275"/>
        <v>5712</v>
      </c>
      <c r="J1965" s="100">
        <f t="shared" si="276"/>
        <v>0.99415204678362568</v>
      </c>
      <c r="K1965" s="51">
        <f>VLOOKUP(B:B,'生產達成率(目標)'!A:C,3,0)</f>
        <v>1</v>
      </c>
      <c r="L1965" s="20">
        <f t="shared" si="277"/>
        <v>-6.0000000000000001E-3</v>
      </c>
      <c r="M1965" s="137" t="str">
        <f>工時!R1149</f>
        <v>460</v>
      </c>
      <c r="N1965" s="144"/>
      <c r="O1965" s="144">
        <f t="shared" si="278"/>
        <v>3</v>
      </c>
      <c r="P1965" s="156">
        <v>949</v>
      </c>
      <c r="Q1965" s="98">
        <f t="shared" si="279"/>
        <v>0.99684873949579833</v>
      </c>
      <c r="R1965" s="23"/>
      <c r="S1965" s="173"/>
      <c r="T1965" s="30"/>
      <c r="U1965" s="1"/>
      <c r="V1965" s="460"/>
      <c r="X1965" s="460"/>
    </row>
    <row r="1966" spans="1:30" x14ac:dyDescent="0.4">
      <c r="A1966" s="212">
        <v>45888</v>
      </c>
      <c r="B1966" s="139" t="s">
        <v>997</v>
      </c>
      <c r="C1966" s="30" t="str">
        <f>VLOOKUP(B1966,'112年全品項生產鍋數'!A:H,2,0)</f>
        <v>蜜桃餡(1*6Kg)</v>
      </c>
      <c r="D1966" s="290">
        <v>0.6</v>
      </c>
      <c r="E1966" s="48">
        <f>VLOOKUP(B1966,'112年全品項生產鍋數'!A:H,3,0)</f>
        <v>6</v>
      </c>
      <c r="F1966" s="142">
        <f>VLOOKUP(B1966,'112年全品項生產鍋數'!A:H,7,0)</f>
        <v>25.8</v>
      </c>
      <c r="G1966" s="143">
        <f t="shared" si="274"/>
        <v>15.48</v>
      </c>
      <c r="H1966" s="156">
        <v>15</v>
      </c>
      <c r="I1966" s="23">
        <f t="shared" si="275"/>
        <v>90</v>
      </c>
      <c r="J1966" s="100">
        <f t="shared" si="276"/>
        <v>0.96899224806201545</v>
      </c>
      <c r="K1966" s="51" t="e">
        <f>VLOOKUP(B:B,'生產達成率(目標)'!A:C,3,0)</f>
        <v>#N/A</v>
      </c>
      <c r="L1966" s="20" t="e">
        <f t="shared" si="277"/>
        <v>#N/A</v>
      </c>
      <c r="M1966" s="137" t="str">
        <f>工時!R1150</f>
        <v>83</v>
      </c>
      <c r="N1966" s="144"/>
      <c r="O1966" s="144">
        <f t="shared" si="278"/>
        <v>1</v>
      </c>
      <c r="P1966" s="156">
        <v>14</v>
      </c>
      <c r="Q1966" s="98">
        <f t="shared" si="279"/>
        <v>0.93333333333333335</v>
      </c>
      <c r="R1966" s="23"/>
      <c r="S1966" s="173">
        <v>24</v>
      </c>
      <c r="T1966" s="30" t="s">
        <v>1122</v>
      </c>
      <c r="U1966" s="1"/>
      <c r="V1966" s="460"/>
      <c r="X1966" s="460"/>
    </row>
    <row r="1967" spans="1:30" x14ac:dyDescent="0.4">
      <c r="A1967" s="212">
        <v>45888</v>
      </c>
      <c r="B1967" s="139" t="s">
        <v>66</v>
      </c>
      <c r="C1967" s="30" t="str">
        <f>VLOOKUP(B1967,'112年全品項生產鍋數'!A:H,2,0)</f>
        <v>＃2花生(1*800g)</v>
      </c>
      <c r="D1967" s="290">
        <v>40</v>
      </c>
      <c r="E1967" s="48">
        <f>VLOOKUP(B1967,'112年全品項生產鍋數'!A:H,3,0)</f>
        <v>0.8</v>
      </c>
      <c r="F1967" s="142">
        <f>VLOOKUP(B1967,'112年全品項生產鍋數'!A:H,7,0)</f>
        <v>157.69999999999999</v>
      </c>
      <c r="G1967" s="143">
        <f t="shared" si="274"/>
        <v>6308</v>
      </c>
      <c r="H1967" s="156">
        <v>6263</v>
      </c>
      <c r="I1967" s="23">
        <f t="shared" si="275"/>
        <v>5010.4000000000005</v>
      </c>
      <c r="J1967" s="100">
        <f t="shared" si="276"/>
        <v>0.9928662016487001</v>
      </c>
      <c r="K1967" s="51">
        <f>VLOOKUP(B:B,'生產達成率(目標)'!A:C,3,0)</f>
        <v>1</v>
      </c>
      <c r="L1967" s="20">
        <f t="shared" si="277"/>
        <v>-7.0000000000000001E-3</v>
      </c>
      <c r="M1967" s="137" t="str">
        <f>工時!R1151</f>
        <v>475</v>
      </c>
      <c r="N1967" s="144"/>
      <c r="O1967" s="144">
        <f t="shared" si="278"/>
        <v>3</v>
      </c>
      <c r="P1967" s="156">
        <v>6260</v>
      </c>
      <c r="Q1967" s="98">
        <f t="shared" si="279"/>
        <v>0.99952099632763847</v>
      </c>
      <c r="R1967" s="23"/>
      <c r="S1967" s="173"/>
      <c r="T1967" s="30"/>
      <c r="U1967" s="1"/>
      <c r="V1967" s="460"/>
      <c r="X1967" s="460"/>
    </row>
    <row r="1968" spans="1:30" s="146" customFormat="1" x14ac:dyDescent="0.4">
      <c r="A1968" s="212">
        <v>45889</v>
      </c>
      <c r="B1968" s="139" t="s">
        <v>61</v>
      </c>
      <c r="C1968" s="140" t="str">
        <f>VLOOKUP(B1968,'112年全品項生產鍋數'!A:H,2,0)</f>
        <v>大圓草莓-新</v>
      </c>
      <c r="D1968" s="290">
        <v>40</v>
      </c>
      <c r="E1968" s="141">
        <f>VLOOKUP(B1968,'112年全品項生產鍋數'!A:H,3,0)</f>
        <v>0.44</v>
      </c>
      <c r="F1968" s="142">
        <f>VLOOKUP(B1968,'112年全品項生產鍋數'!A:H,7,0)</f>
        <v>344</v>
      </c>
      <c r="G1968" s="143">
        <f t="shared" si="274"/>
        <v>13760</v>
      </c>
      <c r="H1968" s="156">
        <v>13778</v>
      </c>
      <c r="I1968" s="144">
        <f t="shared" si="275"/>
        <v>6062.32</v>
      </c>
      <c r="J1968" s="100">
        <f t="shared" si="276"/>
        <v>1.0013081395348837</v>
      </c>
      <c r="K1968" s="51">
        <f>VLOOKUP(B:B,'生產達成率(目標)'!A:C,3,0)</f>
        <v>1</v>
      </c>
      <c r="L1968" s="20">
        <f t="shared" si="277"/>
        <v>1E-3</v>
      </c>
      <c r="M1968" s="137" t="str">
        <f>工時!R1152</f>
        <v>480</v>
      </c>
      <c r="N1968" s="144"/>
      <c r="O1968" s="144">
        <f t="shared" si="278"/>
        <v>10</v>
      </c>
      <c r="P1968" s="156">
        <v>13768</v>
      </c>
      <c r="Q1968" s="145">
        <f t="shared" si="279"/>
        <v>0.99927420525475397</v>
      </c>
      <c r="R1968" s="144"/>
      <c r="S1968" s="153"/>
      <c r="T1968" s="140"/>
      <c r="U1968" s="158"/>
      <c r="V1968" s="461"/>
      <c r="W1968" s="421"/>
      <c r="X1968" s="461"/>
      <c r="Y1968" s="421"/>
      <c r="Z1968" s="421"/>
      <c r="AA1968" s="421"/>
      <c r="AB1968" s="421"/>
      <c r="AC1968" s="421"/>
      <c r="AD1968" s="421"/>
    </row>
    <row r="1969" spans="1:30" x14ac:dyDescent="0.4">
      <c r="A1969" s="212">
        <v>45889</v>
      </c>
      <c r="B1969" s="139" t="s">
        <v>81</v>
      </c>
      <c r="C1969" s="30" t="str">
        <f>VLOOKUP(B1969,'112年全品項生產鍋數'!A:H,2,0)</f>
        <v>藍莓餡(1*6Kg)</v>
      </c>
      <c r="D1969" s="290">
        <v>12</v>
      </c>
      <c r="E1969" s="48">
        <f>VLOOKUP(B1969,'112年全品項生產鍋數'!A:H,3,0)</f>
        <v>6</v>
      </c>
      <c r="F1969" s="142">
        <f>VLOOKUP(B1969,'112年全品項生產鍋數'!A:H,7,0)</f>
        <v>25.1</v>
      </c>
      <c r="G1969" s="143">
        <f t="shared" si="274"/>
        <v>301.20000000000005</v>
      </c>
      <c r="H1969" s="156">
        <v>302</v>
      </c>
      <c r="I1969" s="23">
        <f t="shared" si="275"/>
        <v>1812</v>
      </c>
      <c r="J1969" s="100">
        <f t="shared" si="276"/>
        <v>1.0026560424966797</v>
      </c>
      <c r="K1969" s="51">
        <f>VLOOKUP(B:B,'生產達成率(目標)'!A:C,3,0)</f>
        <v>1</v>
      </c>
      <c r="L1969" s="20">
        <f t="shared" si="277"/>
        <v>3.0000000000000001E-3</v>
      </c>
      <c r="M1969" s="137" t="str">
        <f>工時!R1153</f>
        <v>180</v>
      </c>
      <c r="N1969" s="144"/>
      <c r="O1969" s="144">
        <f t="shared" si="278"/>
        <v>2</v>
      </c>
      <c r="P1969" s="156">
        <v>300</v>
      </c>
      <c r="Q1969" s="98">
        <f t="shared" si="279"/>
        <v>0.99337748344370858</v>
      </c>
      <c r="R1969" s="23"/>
      <c r="S1969" s="173"/>
      <c r="T1969" s="30"/>
      <c r="U1969" s="1"/>
      <c r="V1969" s="460"/>
      <c r="X1969" s="460"/>
    </row>
    <row r="1970" spans="1:30" x14ac:dyDescent="0.4">
      <c r="A1970" s="212">
        <v>45889</v>
      </c>
      <c r="B1970" s="139" t="s">
        <v>64</v>
      </c>
      <c r="C1970" s="30" t="str">
        <f>VLOOKUP(B1970,'112年全品項生產鍋數'!A:H,2,0)</f>
        <v>藍莓餡(1*6KG)</v>
      </c>
      <c r="D1970" s="290">
        <v>24</v>
      </c>
      <c r="E1970" s="48">
        <f>VLOOKUP(B1970,'112年全品項生產鍋數'!A:H,3,0)</f>
        <v>6</v>
      </c>
      <c r="F1970" s="142">
        <f>VLOOKUP(B1970,'112年全品項生產鍋數'!A:H,7,0)</f>
        <v>25.4</v>
      </c>
      <c r="G1970" s="143">
        <f t="shared" si="274"/>
        <v>609.59999999999991</v>
      </c>
      <c r="H1970" s="156">
        <f>306+313</f>
        <v>619</v>
      </c>
      <c r="I1970" s="23">
        <f t="shared" si="275"/>
        <v>3714</v>
      </c>
      <c r="J1970" s="100">
        <f t="shared" si="276"/>
        <v>1.0154199475065617</v>
      </c>
      <c r="K1970" s="51">
        <f>VLOOKUP(B:B,'生產達成率(目標)'!A:C,3,0)</f>
        <v>1</v>
      </c>
      <c r="L1970" s="20">
        <f t="shared" si="277"/>
        <v>1.4999999999999999E-2</v>
      </c>
      <c r="M1970" s="137" t="str">
        <f>工時!R1154</f>
        <v>370</v>
      </c>
      <c r="N1970" s="144"/>
      <c r="O1970" s="144">
        <f t="shared" si="278"/>
        <v>1</v>
      </c>
      <c r="P1970" s="156">
        <f>313+305</f>
        <v>618</v>
      </c>
      <c r="Q1970" s="98">
        <f t="shared" si="279"/>
        <v>0.99838449111470118</v>
      </c>
      <c r="R1970" s="23"/>
      <c r="S1970" s="173"/>
      <c r="T1970" s="30"/>
      <c r="U1970" s="1"/>
      <c r="V1970" s="460"/>
      <c r="X1970" s="460"/>
    </row>
    <row r="1971" spans="1:30" x14ac:dyDescent="0.4">
      <c r="A1971" s="212">
        <v>45889</v>
      </c>
      <c r="B1971" s="139" t="s">
        <v>65</v>
      </c>
      <c r="C1971" s="30" t="str">
        <f>VLOOKUP(B1971,'112年全品項生產鍋數'!A:H,2,0)</f>
        <v>＃1花生(1*2.8kg)</v>
      </c>
      <c r="D1971" s="290">
        <v>72</v>
      </c>
      <c r="E1971" s="48">
        <f>VLOOKUP(B1971,'112年全品項生產鍋數'!A:H,3,0)</f>
        <v>2.8</v>
      </c>
      <c r="F1971" s="142">
        <f>VLOOKUP(B1971,'112年全品項生產鍋數'!A:H,7,0)</f>
        <v>44.5</v>
      </c>
      <c r="G1971" s="143">
        <f>D1971*F1971-20*18/E1971</f>
        <v>3075.4285714285716</v>
      </c>
      <c r="H1971" s="156">
        <f>300+2785</f>
        <v>3085</v>
      </c>
      <c r="I1971" s="23">
        <f t="shared" si="275"/>
        <v>8638</v>
      </c>
      <c r="J1971" s="100">
        <f t="shared" si="276"/>
        <v>1.003112225938313</v>
      </c>
      <c r="K1971" s="51">
        <f>VLOOKUP(B:B,'生產達成率(目標)'!A:C,3,0)</f>
        <v>1</v>
      </c>
      <c r="L1971" s="20">
        <f t="shared" si="277"/>
        <v>3.0000000000000001E-3</v>
      </c>
      <c r="M1971" s="137" t="str">
        <f>工時!R1155</f>
        <v>565</v>
      </c>
      <c r="N1971" s="144"/>
      <c r="O1971" s="144">
        <f t="shared" si="278"/>
        <v>1</v>
      </c>
      <c r="P1971" s="156">
        <f>300+2784</f>
        <v>3084</v>
      </c>
      <c r="Q1971" s="98">
        <f t="shared" si="279"/>
        <v>0.99967585089141009</v>
      </c>
      <c r="R1971" s="23"/>
      <c r="S1971" s="173"/>
      <c r="T1971" s="30" t="s">
        <v>1123</v>
      </c>
      <c r="U1971" s="1"/>
      <c r="V1971" s="460"/>
      <c r="X1971" s="460"/>
    </row>
    <row r="1972" spans="1:30" x14ac:dyDescent="0.4">
      <c r="A1972" s="212">
        <v>45889</v>
      </c>
      <c r="B1972" s="139">
        <v>151010</v>
      </c>
      <c r="C1972" s="30" t="str">
        <f>VLOOKUP(B1972,'112年全品項生產鍋數'!A:H,2,0)</f>
        <v>蜜紅果6m/m</v>
      </c>
      <c r="D1972" s="290">
        <v>1</v>
      </c>
      <c r="E1972" s="48">
        <f>VLOOKUP(B1972,'112年全品項生產鍋數'!A:H,3,0)</f>
        <v>1</v>
      </c>
      <c r="F1972" s="142">
        <f>VLOOKUP(B1972,'112年全品項生產鍋數'!A:H,7,0)</f>
        <v>142</v>
      </c>
      <c r="G1972" s="143">
        <f t="shared" si="274"/>
        <v>142</v>
      </c>
      <c r="H1972" s="156">
        <v>139</v>
      </c>
      <c r="I1972" s="23">
        <f t="shared" si="275"/>
        <v>139</v>
      </c>
      <c r="J1972" s="100">
        <f t="shared" si="276"/>
        <v>0.97887323943661975</v>
      </c>
      <c r="K1972" s="51">
        <f>VLOOKUP(B:B,'生產達成率(目標)'!A:C,3,0)</f>
        <v>1</v>
      </c>
      <c r="L1972" s="20">
        <f t="shared" si="277"/>
        <v>-2.1000000000000001E-2</v>
      </c>
      <c r="M1972" s="137" t="str">
        <f>工時!R1156</f>
        <v>0</v>
      </c>
      <c r="N1972" s="144"/>
      <c r="O1972" s="144">
        <f t="shared" si="278"/>
        <v>0</v>
      </c>
      <c r="P1972" s="156">
        <v>139</v>
      </c>
      <c r="Q1972" s="98">
        <f t="shared" si="279"/>
        <v>1</v>
      </c>
      <c r="R1972" s="23"/>
      <c r="S1972" s="173"/>
      <c r="T1972" s="30"/>
      <c r="U1972" s="1"/>
      <c r="V1972" s="460"/>
      <c r="X1972" s="460"/>
    </row>
    <row r="1973" spans="1:30" x14ac:dyDescent="0.4">
      <c r="A1973" s="212">
        <v>45890</v>
      </c>
      <c r="B1973" s="139" t="s">
        <v>51</v>
      </c>
      <c r="C1973" s="30" t="str">
        <f>VLOOKUP(B1973,'112年全品項生產鍋數'!A:H,2,0)</f>
        <v>藍莓醬(1*6kg)</v>
      </c>
      <c r="D1973" s="290">
        <v>12</v>
      </c>
      <c r="E1973" s="48">
        <f>VLOOKUP(B1973,'112年全品項生產鍋數'!A:H,3,0)</f>
        <v>6</v>
      </c>
      <c r="F1973" s="142">
        <f>VLOOKUP(B1973,'112年全品項生產鍋數'!A:H,7,0)</f>
        <v>25.5</v>
      </c>
      <c r="G1973" s="143">
        <f t="shared" si="274"/>
        <v>306</v>
      </c>
      <c r="H1973" s="156">
        <v>299</v>
      </c>
      <c r="I1973" s="23">
        <f t="shared" si="275"/>
        <v>1794</v>
      </c>
      <c r="J1973" s="100">
        <f t="shared" si="276"/>
        <v>0.97712418300653592</v>
      </c>
      <c r="K1973" s="51">
        <f>VLOOKUP(B:B,'生產達成率(目標)'!A:C,3,0)</f>
        <v>1</v>
      </c>
      <c r="L1973" s="20">
        <f t="shared" si="277"/>
        <v>-2.3E-2</v>
      </c>
      <c r="M1973" s="137" t="str">
        <f>工時!R1157</f>
        <v>160</v>
      </c>
      <c r="N1973" s="144"/>
      <c r="O1973" s="144">
        <f t="shared" si="278"/>
        <v>5</v>
      </c>
      <c r="P1973" s="156">
        <v>294</v>
      </c>
      <c r="Q1973" s="98">
        <f t="shared" si="279"/>
        <v>0.98327759197324416</v>
      </c>
      <c r="R1973" s="23"/>
      <c r="S1973" s="173"/>
      <c r="T1973" s="30"/>
      <c r="U1973" s="1"/>
      <c r="V1973" s="460"/>
      <c r="X1973" s="460"/>
    </row>
    <row r="1974" spans="1:30" x14ac:dyDescent="0.4">
      <c r="A1974" s="212">
        <v>45890</v>
      </c>
      <c r="B1974" s="139" t="s">
        <v>1046</v>
      </c>
      <c r="C1974" s="30" t="str">
        <f>VLOOKUP(B1974,'112年全品項生產鍋數'!A:H,2,0)</f>
        <v>藍莓顆粒果醬(1*6kg)</v>
      </c>
      <c r="D1974" s="290">
        <v>18</v>
      </c>
      <c r="E1974" s="48">
        <f>VLOOKUP(B1974,'112年全品項生產鍋數'!A:H,3,0)</f>
        <v>6</v>
      </c>
      <c r="F1974" s="142">
        <f>VLOOKUP(B1974,'112年全品項生產鍋數'!A:H,7,0)</f>
        <v>0</v>
      </c>
      <c r="G1974" s="143">
        <f t="shared" si="274"/>
        <v>0</v>
      </c>
      <c r="H1974" s="156">
        <v>490</v>
      </c>
      <c r="I1974" s="23">
        <f t="shared" si="275"/>
        <v>2940</v>
      </c>
      <c r="J1974" s="100" t="str">
        <f t="shared" si="276"/>
        <v>無法預估數據</v>
      </c>
      <c r="K1974" s="51">
        <f>VLOOKUP(B:B,'生產達成率(目標)'!A:C,3,0)</f>
        <v>1</v>
      </c>
      <c r="L1974" s="20" t="str">
        <f t="shared" si="277"/>
        <v>無法預估數據</v>
      </c>
      <c r="M1974" s="137" t="str">
        <f>工時!R1158</f>
        <v>330</v>
      </c>
      <c r="N1974" s="144"/>
      <c r="O1974" s="144">
        <f t="shared" si="278"/>
        <v>2</v>
      </c>
      <c r="P1974" s="156">
        <v>488</v>
      </c>
      <c r="Q1974" s="98">
        <f t="shared" si="279"/>
        <v>0.99591836734693873</v>
      </c>
      <c r="R1974" s="23"/>
      <c r="S1974" s="173"/>
      <c r="T1974" s="30"/>
      <c r="U1974" s="1"/>
      <c r="V1974" s="460"/>
      <c r="X1974" s="460"/>
    </row>
    <row r="1975" spans="1:30" s="146" customFormat="1" x14ac:dyDescent="0.4">
      <c r="A1975" s="212">
        <v>45890</v>
      </c>
      <c r="B1975" s="139" t="s">
        <v>53</v>
      </c>
      <c r="C1975" s="140" t="str">
        <f>VLOOKUP(B1975,'112年全品項生產鍋數'!A:H,2,0)</f>
        <v>鳳梨芒果百香果醬(1*6KG)</v>
      </c>
      <c r="D1975" s="290">
        <v>6</v>
      </c>
      <c r="E1975" s="141">
        <f>VLOOKUP(B1975,'112年全品項生產鍋數'!A:H,3,0)</f>
        <v>6</v>
      </c>
      <c r="F1975" s="142">
        <f>VLOOKUP(B1975,'112年全品項生產鍋數'!A:H,7,0)</f>
        <v>25.7</v>
      </c>
      <c r="G1975" s="143">
        <f t="shared" si="274"/>
        <v>154.19999999999999</v>
      </c>
      <c r="H1975" s="156">
        <v>152</v>
      </c>
      <c r="I1975" s="144">
        <f t="shared" si="275"/>
        <v>912</v>
      </c>
      <c r="J1975" s="100">
        <f t="shared" si="276"/>
        <v>0.9857328145265889</v>
      </c>
      <c r="K1975" s="51">
        <f>VLOOKUP(B:B,'生產達成率(目標)'!A:C,3,0)</f>
        <v>1</v>
      </c>
      <c r="L1975" s="20">
        <f t="shared" si="277"/>
        <v>-1.4E-2</v>
      </c>
      <c r="M1975" s="137" t="str">
        <f>工時!R1159</f>
        <v>150</v>
      </c>
      <c r="N1975" s="144"/>
      <c r="O1975" s="144">
        <f t="shared" si="278"/>
        <v>3</v>
      </c>
      <c r="P1975" s="156">
        <v>149</v>
      </c>
      <c r="Q1975" s="145">
        <f t="shared" si="279"/>
        <v>0.98026315789473684</v>
      </c>
      <c r="R1975" s="144"/>
      <c r="S1975" s="153"/>
      <c r="T1975" s="140"/>
      <c r="U1975" s="158"/>
      <c r="V1975" s="461"/>
      <c r="W1975" s="421"/>
      <c r="X1975" s="461"/>
      <c r="Y1975" s="421"/>
      <c r="Z1975" s="421"/>
      <c r="AA1975" s="421"/>
      <c r="AB1975" s="421"/>
      <c r="AC1975" s="421"/>
      <c r="AD1975" s="421"/>
    </row>
    <row r="1976" spans="1:30" s="146" customFormat="1" x14ac:dyDescent="0.4">
      <c r="A1976" s="212">
        <v>45890</v>
      </c>
      <c r="B1976" s="139" t="s">
        <v>55</v>
      </c>
      <c r="C1976" s="140" t="str">
        <f>VLOOKUP(B1976,'112年全品項生產鍋數'!A:H,2,0)</f>
        <v>天天開心草莓餡4.5KG</v>
      </c>
      <c r="D1976" s="290">
        <v>20</v>
      </c>
      <c r="E1976" s="141">
        <f>VLOOKUP(B1976,'112年全品項生產鍋數'!A:H,3,0)</f>
        <v>4.5</v>
      </c>
      <c r="F1976" s="142">
        <f>VLOOKUP(B1976,'112年全品項生產鍋數'!A:H,7,0)</f>
        <v>36.299999999999997</v>
      </c>
      <c r="G1976" s="143">
        <f t="shared" si="274"/>
        <v>726</v>
      </c>
      <c r="H1976" s="156">
        <v>736</v>
      </c>
      <c r="I1976" s="144">
        <f t="shared" si="275"/>
        <v>3312</v>
      </c>
      <c r="J1976" s="100">
        <f t="shared" si="276"/>
        <v>1.0137741046831956</v>
      </c>
      <c r="K1976" s="51">
        <f>VLOOKUP(B:B,'生產達成率(目標)'!A:C,3,0)</f>
        <v>1</v>
      </c>
      <c r="L1976" s="20">
        <f t="shared" si="277"/>
        <v>1.4E-2</v>
      </c>
      <c r="M1976" s="137" t="str">
        <f>工時!R1160</f>
        <v>354</v>
      </c>
      <c r="N1976" s="144"/>
      <c r="O1976" s="144">
        <f t="shared" si="278"/>
        <v>0</v>
      </c>
      <c r="P1976" s="156">
        <v>736</v>
      </c>
      <c r="Q1976" s="145">
        <f t="shared" si="279"/>
        <v>1</v>
      </c>
      <c r="R1976" s="144"/>
      <c r="S1976" s="153"/>
      <c r="T1976" s="140"/>
      <c r="U1976" s="158"/>
      <c r="V1976" s="461"/>
      <c r="W1976" s="421"/>
      <c r="X1976" s="461"/>
      <c r="Y1976" s="421"/>
      <c r="Z1976" s="421"/>
      <c r="AA1976" s="421"/>
      <c r="AB1976" s="421"/>
      <c r="AC1976" s="421"/>
      <c r="AD1976" s="421"/>
    </row>
    <row r="1977" spans="1:30" s="146" customFormat="1" x14ac:dyDescent="0.4">
      <c r="A1977" s="212">
        <v>45890</v>
      </c>
      <c r="B1977" s="139" t="s">
        <v>102</v>
      </c>
      <c r="C1977" s="140" t="str">
        <f>VLOOKUP(B1977,'112年全品項生產鍋數'!A:H,2,0)</f>
        <v>耐烤草莓餡(1*4.5KG)</v>
      </c>
      <c r="D1977" s="290">
        <v>12</v>
      </c>
      <c r="E1977" s="141">
        <f>VLOOKUP(B1977,'112年全品項生產鍋數'!A:H,3,0)</f>
        <v>4.5</v>
      </c>
      <c r="F1977" s="142">
        <f>VLOOKUP(B1977,'112年全品項生產鍋數'!A:H,7,0)</f>
        <v>36</v>
      </c>
      <c r="G1977" s="143">
        <f t="shared" si="274"/>
        <v>432</v>
      </c>
      <c r="H1977" s="156">
        <v>429</v>
      </c>
      <c r="I1977" s="144">
        <f t="shared" si="275"/>
        <v>1930.5</v>
      </c>
      <c r="J1977" s="100">
        <f t="shared" si="276"/>
        <v>0.99305555555555558</v>
      </c>
      <c r="K1977" s="51">
        <f>VLOOKUP(B:B,'生產達成率(目標)'!A:C,3,0)</f>
        <v>1</v>
      </c>
      <c r="L1977" s="20">
        <f t="shared" si="277"/>
        <v>-7.0000000000000001E-3</v>
      </c>
      <c r="M1977" s="137" t="str">
        <f>工時!R1161</f>
        <v>195</v>
      </c>
      <c r="N1977" s="144"/>
      <c r="O1977" s="144">
        <f t="shared" si="278"/>
        <v>0</v>
      </c>
      <c r="P1977" s="156">
        <v>429</v>
      </c>
      <c r="Q1977" s="145">
        <f t="shared" si="279"/>
        <v>1</v>
      </c>
      <c r="R1977" s="144"/>
      <c r="S1977" s="153"/>
      <c r="T1977" s="140"/>
      <c r="U1977" s="158"/>
      <c r="V1977" s="461"/>
      <c r="W1977" s="421"/>
      <c r="X1977" s="461"/>
      <c r="Y1977" s="421"/>
      <c r="Z1977" s="421"/>
      <c r="AA1977" s="421"/>
      <c r="AB1977" s="421"/>
      <c r="AC1977" s="421"/>
      <c r="AD1977" s="421"/>
    </row>
    <row r="1978" spans="1:30" s="146" customFormat="1" x14ac:dyDescent="0.4">
      <c r="A1978" s="212">
        <v>45890</v>
      </c>
      <c r="B1978" s="139" t="s">
        <v>646</v>
      </c>
      <c r="C1978" s="140" t="str">
        <f>VLOOKUP(B1978,'112年全品項生產鍋數'!A:H,2,0)</f>
        <v>玫瑰洛神餡(1*4.5KG)</v>
      </c>
      <c r="D1978" s="290">
        <v>3</v>
      </c>
      <c r="E1978" s="141">
        <f>VLOOKUP(B1978,'112年全品項生產鍋數'!A:H,3,0)</f>
        <v>4.5</v>
      </c>
      <c r="F1978" s="142">
        <f>VLOOKUP(B1978,'112年全品項生產鍋數'!A:H,7,0)</f>
        <v>32.9</v>
      </c>
      <c r="G1978" s="143">
        <f t="shared" si="274"/>
        <v>98.699999999999989</v>
      </c>
      <c r="H1978" s="156">
        <v>101</v>
      </c>
      <c r="I1978" s="144">
        <f t="shared" si="275"/>
        <v>454.5</v>
      </c>
      <c r="J1978" s="100">
        <f t="shared" si="276"/>
        <v>1.0233029381965553</v>
      </c>
      <c r="K1978" s="51">
        <f>VLOOKUP(B:B,'生產達成率(目標)'!A:C,3,0)</f>
        <v>1</v>
      </c>
      <c r="L1978" s="20">
        <f t="shared" si="277"/>
        <v>2.3E-2</v>
      </c>
      <c r="M1978" s="137" t="str">
        <f>工時!R1162</f>
        <v>130</v>
      </c>
      <c r="N1978" s="144"/>
      <c r="O1978" s="144">
        <f t="shared" si="278"/>
        <v>0</v>
      </c>
      <c r="P1978" s="156">
        <v>101</v>
      </c>
      <c r="Q1978" s="145">
        <f t="shared" si="279"/>
        <v>1</v>
      </c>
      <c r="R1978" s="144"/>
      <c r="S1978" s="153"/>
      <c r="T1978" s="140"/>
      <c r="U1978" s="158"/>
      <c r="V1978" s="461"/>
      <c r="W1978" s="421"/>
      <c r="X1978" s="461"/>
      <c r="Y1978" s="421"/>
      <c r="Z1978" s="421"/>
      <c r="AA1978" s="421"/>
      <c r="AB1978" s="421"/>
      <c r="AC1978" s="421"/>
      <c r="AD1978" s="421"/>
    </row>
    <row r="1979" spans="1:30" s="146" customFormat="1" x14ac:dyDescent="0.4">
      <c r="A1979" s="212">
        <v>45890</v>
      </c>
      <c r="B1979" s="139" t="s">
        <v>65</v>
      </c>
      <c r="C1979" s="140" t="str">
        <f>VLOOKUP(B1979,'112年全品項生產鍋數'!A:H,2,0)</f>
        <v>＃1花生(1*2.8kg)</v>
      </c>
      <c r="D1979" s="290">
        <v>72</v>
      </c>
      <c r="E1979" s="141">
        <f>VLOOKUP(B1979,'112年全品項生產鍋數'!A:H,3,0)</f>
        <v>2.8</v>
      </c>
      <c r="F1979" s="142">
        <f>VLOOKUP(B1979,'112年全品項生產鍋數'!A:H,7,0)</f>
        <v>44.5</v>
      </c>
      <c r="G1979" s="143">
        <f t="shared" si="274"/>
        <v>3204</v>
      </c>
      <c r="H1979" s="156">
        <v>3216</v>
      </c>
      <c r="I1979" s="144">
        <f t="shared" si="275"/>
        <v>9004.7999999999993</v>
      </c>
      <c r="J1979" s="100">
        <f t="shared" si="276"/>
        <v>1.0037453183520599</v>
      </c>
      <c r="K1979" s="51">
        <f>VLOOKUP(B:B,'生產達成率(目標)'!A:C,3,0)</f>
        <v>1</v>
      </c>
      <c r="L1979" s="20">
        <f t="shared" si="277"/>
        <v>4.0000000000000001E-3</v>
      </c>
      <c r="M1979" s="137" t="str">
        <f>工時!R1163</f>
        <v>545</v>
      </c>
      <c r="N1979" s="144"/>
      <c r="O1979" s="144">
        <f t="shared" si="278"/>
        <v>1</v>
      </c>
      <c r="P1979" s="156">
        <v>3215</v>
      </c>
      <c r="Q1979" s="145">
        <f t="shared" si="279"/>
        <v>0.99968905472636815</v>
      </c>
      <c r="R1979" s="144"/>
      <c r="S1979" s="153"/>
      <c r="T1979" s="140"/>
      <c r="U1979" s="158"/>
      <c r="V1979" s="461"/>
      <c r="W1979" s="421"/>
      <c r="X1979" s="461"/>
      <c r="Y1979" s="421"/>
      <c r="Z1979" s="421"/>
      <c r="AA1979" s="421"/>
      <c r="AB1979" s="421"/>
      <c r="AC1979" s="421"/>
      <c r="AD1979" s="421"/>
    </row>
    <row r="1980" spans="1:30" s="146" customFormat="1" x14ac:dyDescent="0.4">
      <c r="A1980" s="212">
        <v>45890</v>
      </c>
      <c r="B1980" s="139" t="s">
        <v>434</v>
      </c>
      <c r="C1980" s="140" t="s">
        <v>545</v>
      </c>
      <c r="D1980" s="290">
        <v>50</v>
      </c>
      <c r="E1980" s="141">
        <f>VLOOKUP(B1980,'112年全品項生產鍋數'!A:H,3,0)</f>
        <v>1</v>
      </c>
      <c r="F1980" s="142">
        <f>VLOOKUP(B1980,'112年全品項生產鍋數'!A:H,7,0)</f>
        <v>6</v>
      </c>
      <c r="G1980" s="143">
        <f t="shared" si="274"/>
        <v>300</v>
      </c>
      <c r="H1980" s="156">
        <v>301</v>
      </c>
      <c r="I1980" s="144">
        <f t="shared" si="275"/>
        <v>301</v>
      </c>
      <c r="J1980" s="100">
        <f t="shared" si="276"/>
        <v>1.0033333333333334</v>
      </c>
      <c r="K1980" s="51">
        <f>VLOOKUP(B:B,'生產達成率(目標)'!A:C,3,0)</f>
        <v>1</v>
      </c>
      <c r="L1980" s="20">
        <f t="shared" si="277"/>
        <v>3.0000000000000001E-3</v>
      </c>
      <c r="M1980" s="137" t="str">
        <f>工時!R1164</f>
        <v>0</v>
      </c>
      <c r="N1980" s="144"/>
      <c r="O1980" s="144">
        <f t="shared" si="278"/>
        <v>0</v>
      </c>
      <c r="P1980" s="156">
        <v>301</v>
      </c>
      <c r="Q1980" s="145">
        <f t="shared" si="279"/>
        <v>1</v>
      </c>
      <c r="R1980" s="144"/>
      <c r="S1980" s="153"/>
      <c r="T1980" s="140"/>
      <c r="U1980" s="158"/>
      <c r="V1980" s="461"/>
      <c r="W1980" s="421"/>
      <c r="X1980" s="461"/>
      <c r="Y1980" s="421"/>
      <c r="Z1980" s="421"/>
      <c r="AA1980" s="421"/>
      <c r="AB1980" s="421"/>
      <c r="AC1980" s="421"/>
      <c r="AD1980" s="421"/>
    </row>
    <row r="1981" spans="1:30" s="146" customFormat="1" x14ac:dyDescent="0.4">
      <c r="A1981" s="212">
        <v>45891</v>
      </c>
      <c r="B1981" s="139" t="s">
        <v>71</v>
      </c>
      <c r="C1981" s="140" t="str">
        <f>VLOOKUP(B1981,'112年全品項生產鍋數'!A:H,2,0)</f>
        <v>＃1草莓(1*3.2kg)</v>
      </c>
      <c r="D1981" s="290">
        <v>72</v>
      </c>
      <c r="E1981" s="141">
        <f>VLOOKUP(B1981,'112年全品項生產鍋數'!A:H,3,0)</f>
        <v>3.2</v>
      </c>
      <c r="F1981" s="142">
        <f>VLOOKUP(B1981,'112年全品項生產鍋數'!A:H,7,0)</f>
        <v>46.8</v>
      </c>
      <c r="G1981" s="143">
        <f t="shared" si="274"/>
        <v>3369.6</v>
      </c>
      <c r="H1981" s="156">
        <v>3381</v>
      </c>
      <c r="I1981" s="144">
        <f t="shared" si="275"/>
        <v>10819.2</v>
      </c>
      <c r="J1981" s="100">
        <f t="shared" si="276"/>
        <v>1.0033831908831909</v>
      </c>
      <c r="K1981" s="51">
        <f>VLOOKUP(B:B,'生產達成率(目標)'!A:C,3,0)</f>
        <v>1</v>
      </c>
      <c r="L1981" s="20">
        <f t="shared" si="277"/>
        <v>3.0000000000000001E-3</v>
      </c>
      <c r="M1981" s="137" t="str">
        <f>工時!R1165</f>
        <v>540</v>
      </c>
      <c r="N1981" s="144"/>
      <c r="O1981" s="144">
        <f t="shared" si="278"/>
        <v>795</v>
      </c>
      <c r="P1981" s="156">
        <v>2586</v>
      </c>
      <c r="Q1981" s="145">
        <f t="shared" si="279"/>
        <v>0.76486246672582081</v>
      </c>
      <c r="R1981" s="144"/>
      <c r="S1981" s="153"/>
      <c r="T1981" s="140" t="s">
        <v>1276</v>
      </c>
      <c r="U1981" s="158"/>
      <c r="V1981" s="461"/>
      <c r="W1981" s="421"/>
      <c r="X1981" s="461"/>
      <c r="Y1981" s="421"/>
      <c r="Z1981" s="421"/>
      <c r="AA1981" s="421"/>
      <c r="AB1981" s="421"/>
      <c r="AC1981" s="421"/>
      <c r="AD1981" s="421"/>
    </row>
    <row r="1982" spans="1:30" s="146" customFormat="1" x14ac:dyDescent="0.4">
      <c r="A1982" s="212">
        <v>45891</v>
      </c>
      <c r="B1982" s="139" t="s">
        <v>72</v>
      </c>
      <c r="C1982" s="140" t="str">
        <f>VLOOKUP(B1982,'112年全品項生產鍋數'!A:H,2,0)</f>
        <v>草莓餡45%(1*6Kg)</v>
      </c>
      <c r="D1982" s="290">
        <v>16</v>
      </c>
      <c r="E1982" s="141">
        <f>VLOOKUP(B1982,'112年全品項生產鍋數'!A:H,3,0)</f>
        <v>6</v>
      </c>
      <c r="F1982" s="142">
        <f>VLOOKUP(B1982,'112年全品項生產鍋數'!A:H,7,0)</f>
        <v>26.1</v>
      </c>
      <c r="G1982" s="143">
        <f t="shared" si="274"/>
        <v>417.6</v>
      </c>
      <c r="H1982" s="156">
        <v>421</v>
      </c>
      <c r="I1982" s="144">
        <f t="shared" si="275"/>
        <v>2526</v>
      </c>
      <c r="J1982" s="100">
        <f t="shared" si="276"/>
        <v>1.0081417624521072</v>
      </c>
      <c r="K1982" s="51">
        <f>VLOOKUP(B:B,'生產達成率(目標)'!A:C,3,0)</f>
        <v>1</v>
      </c>
      <c r="L1982" s="20">
        <f t="shared" si="277"/>
        <v>8.0000000000000002E-3</v>
      </c>
      <c r="M1982" s="137" t="str">
        <f>工時!R1166</f>
        <v>220</v>
      </c>
      <c r="N1982" s="144"/>
      <c r="O1982" s="144">
        <f t="shared" si="278"/>
        <v>1</v>
      </c>
      <c r="P1982" s="156">
        <v>420</v>
      </c>
      <c r="Q1982" s="145">
        <f t="shared" si="279"/>
        <v>0.99762470308788598</v>
      </c>
      <c r="R1982" s="144"/>
      <c r="S1982" s="153"/>
      <c r="T1982" s="140"/>
      <c r="U1982" s="158"/>
      <c r="V1982" s="461"/>
      <c r="W1982" s="421"/>
      <c r="X1982" s="461"/>
      <c r="Y1982" s="421"/>
      <c r="Z1982" s="421"/>
      <c r="AA1982" s="421"/>
      <c r="AB1982" s="421"/>
      <c r="AC1982" s="421"/>
      <c r="AD1982" s="421"/>
    </row>
    <row r="1983" spans="1:30" s="146" customFormat="1" x14ac:dyDescent="0.4">
      <c r="A1983" s="212">
        <v>45891</v>
      </c>
      <c r="B1983" s="139" t="s">
        <v>109</v>
      </c>
      <c r="C1983" s="140" t="str">
        <f>VLOOKUP(B1983,'112年全品項生產鍋數'!A:H,2,0)</f>
        <v>蔓越莓醬(1*6KG)</v>
      </c>
      <c r="D1983" s="290">
        <v>8</v>
      </c>
      <c r="E1983" s="141">
        <f>VLOOKUP(B1983,'112年全品項生產鍋數'!A:H,3,0)</f>
        <v>6</v>
      </c>
      <c r="F1983" s="142">
        <f>VLOOKUP(B1983,'112年全品項生產鍋數'!A:H,7,0)</f>
        <v>25.6</v>
      </c>
      <c r="G1983" s="143">
        <f t="shared" si="274"/>
        <v>204.8</v>
      </c>
      <c r="H1983" s="156">
        <v>209</v>
      </c>
      <c r="I1983" s="144">
        <f t="shared" si="275"/>
        <v>1254</v>
      </c>
      <c r="J1983" s="100">
        <f t="shared" si="276"/>
        <v>1.0205078125</v>
      </c>
      <c r="K1983" s="51">
        <f>VLOOKUP(B:B,'生產達成率(目標)'!A:C,3,0)</f>
        <v>1</v>
      </c>
      <c r="L1983" s="20">
        <f t="shared" si="277"/>
        <v>2.1000000000000001E-2</v>
      </c>
      <c r="M1983" s="137" t="str">
        <f>工時!R1167</f>
        <v>154</v>
      </c>
      <c r="N1983" s="144"/>
      <c r="O1983" s="144">
        <f t="shared" si="278"/>
        <v>1</v>
      </c>
      <c r="P1983" s="156">
        <v>208</v>
      </c>
      <c r="Q1983" s="145">
        <f t="shared" si="279"/>
        <v>0.99521531100478466</v>
      </c>
      <c r="R1983" s="144"/>
      <c r="S1983" s="153"/>
      <c r="T1983" s="140"/>
      <c r="U1983" s="158"/>
      <c r="V1983" s="461"/>
      <c r="W1983" s="421"/>
      <c r="X1983" s="461"/>
      <c r="Y1983" s="421"/>
      <c r="Z1983" s="421"/>
      <c r="AA1983" s="421"/>
      <c r="AB1983" s="421"/>
      <c r="AC1983" s="421"/>
      <c r="AD1983" s="421"/>
    </row>
    <row r="1984" spans="1:30" s="146" customFormat="1" x14ac:dyDescent="0.4">
      <c r="A1984" s="212">
        <v>45891</v>
      </c>
      <c r="B1984" s="139" t="s">
        <v>76</v>
      </c>
      <c r="C1984" s="140" t="str">
        <f>VLOOKUP(B1984,'112年全品項生產鍋數'!A:H,2,0)</f>
        <v>草莓餡(1*6Kg)</v>
      </c>
      <c r="D1984" s="290">
        <v>12</v>
      </c>
      <c r="E1984" s="141">
        <f>VLOOKUP(B1984,'112年全品項生產鍋數'!A:H,3,0)</f>
        <v>6</v>
      </c>
      <c r="F1984" s="142">
        <f>VLOOKUP(B1984,'112年全品項生產鍋數'!A:H,7,0)</f>
        <v>25.5</v>
      </c>
      <c r="G1984" s="143">
        <f t="shared" si="274"/>
        <v>306</v>
      </c>
      <c r="H1984" s="156">
        <v>308</v>
      </c>
      <c r="I1984" s="144">
        <f t="shared" si="275"/>
        <v>1848</v>
      </c>
      <c r="J1984" s="100">
        <f t="shared" si="276"/>
        <v>1.0065359477124183</v>
      </c>
      <c r="K1984" s="51">
        <f>VLOOKUP(B:B,'生產達成率(目標)'!A:C,3,0)</f>
        <v>1</v>
      </c>
      <c r="L1984" s="20">
        <f t="shared" si="277"/>
        <v>7.0000000000000001E-3</v>
      </c>
      <c r="M1984" s="137" t="str">
        <f>工時!R1168</f>
        <v>210</v>
      </c>
      <c r="N1984" s="144"/>
      <c r="O1984" s="144">
        <f t="shared" si="278"/>
        <v>1</v>
      </c>
      <c r="P1984" s="156">
        <v>307</v>
      </c>
      <c r="Q1984" s="145">
        <f t="shared" si="279"/>
        <v>0.99675324675324672</v>
      </c>
      <c r="R1984" s="144"/>
      <c r="S1984" s="153"/>
      <c r="T1984" s="140"/>
      <c r="U1984" s="158"/>
      <c r="V1984" s="461"/>
      <c r="W1984" s="421"/>
      <c r="X1984" s="461"/>
      <c r="Y1984" s="421"/>
      <c r="Z1984" s="421"/>
      <c r="AA1984" s="421"/>
      <c r="AB1984" s="421"/>
      <c r="AC1984" s="421"/>
      <c r="AD1984" s="421"/>
    </row>
    <row r="1985" spans="1:30" s="146" customFormat="1" x14ac:dyDescent="0.4">
      <c r="A1985" s="212">
        <v>45891</v>
      </c>
      <c r="B1985" s="139" t="s">
        <v>65</v>
      </c>
      <c r="C1985" s="140" t="str">
        <f>VLOOKUP(B1985,'112年全品項生產鍋數'!A:H,2,0)</f>
        <v>＃1花生(1*2.8kg)</v>
      </c>
      <c r="D1985" s="290">
        <v>72</v>
      </c>
      <c r="E1985" s="141">
        <f>VLOOKUP(B1985,'112年全品項生產鍋數'!A:H,3,0)</f>
        <v>2.8</v>
      </c>
      <c r="F1985" s="142">
        <f>VLOOKUP(B1985,'112年全品項生產鍋數'!A:H,7,0)</f>
        <v>44.5</v>
      </c>
      <c r="G1985" s="143">
        <f t="shared" si="274"/>
        <v>3204</v>
      </c>
      <c r="H1985" s="156">
        <v>3221</v>
      </c>
      <c r="I1985" s="144">
        <f t="shared" si="275"/>
        <v>9018.7999999999993</v>
      </c>
      <c r="J1985" s="100">
        <f t="shared" si="276"/>
        <v>1.0053058676654183</v>
      </c>
      <c r="K1985" s="51">
        <f>VLOOKUP(B:B,'生產達成率(目標)'!A:C,3,0)</f>
        <v>1</v>
      </c>
      <c r="L1985" s="20">
        <f t="shared" si="277"/>
        <v>5.0000000000000001E-3</v>
      </c>
      <c r="M1985" s="137" t="str">
        <f>工時!R1169</f>
        <v>540</v>
      </c>
      <c r="N1985" s="144"/>
      <c r="O1985" s="144">
        <f t="shared" si="278"/>
        <v>3</v>
      </c>
      <c r="P1985" s="156">
        <v>3218</v>
      </c>
      <c r="Q1985" s="145">
        <f t="shared" si="279"/>
        <v>0.99906861223222598</v>
      </c>
      <c r="R1985" s="144"/>
      <c r="S1985" s="153"/>
      <c r="T1985" s="140"/>
      <c r="U1985" s="158"/>
      <c r="V1985" s="461"/>
      <c r="W1985" s="421"/>
      <c r="X1985" s="461"/>
      <c r="Y1985" s="421"/>
      <c r="Z1985" s="421"/>
      <c r="AA1985" s="421"/>
      <c r="AB1985" s="421"/>
      <c r="AC1985" s="421"/>
      <c r="AD1985" s="421"/>
    </row>
    <row r="1986" spans="1:30" x14ac:dyDescent="0.4">
      <c r="A1986" s="212">
        <v>45894</v>
      </c>
      <c r="B1986" s="139" t="s">
        <v>86</v>
      </c>
      <c r="C1986" s="30" t="str">
        <f>VLOOKUP(B1986,'112年全品項生產鍋數'!A:H,2,0)</f>
        <v>＃2藍莓(1*900g)</v>
      </c>
      <c r="D1986" s="290">
        <v>20</v>
      </c>
      <c r="E1986" s="48">
        <f>VLOOKUP(B1986,'112年全品項生產鍋數'!A:H,3,0)</f>
        <v>0.9</v>
      </c>
      <c r="F1986" s="142">
        <f>VLOOKUP(B1986,'112年全品項生產鍋數'!A:H,7,0)</f>
        <v>163</v>
      </c>
      <c r="G1986" s="143">
        <f t="shared" si="274"/>
        <v>3260</v>
      </c>
      <c r="H1986" s="156">
        <v>3277</v>
      </c>
      <c r="I1986" s="23">
        <f t="shared" si="275"/>
        <v>2949.3</v>
      </c>
      <c r="J1986" s="100">
        <f t="shared" si="276"/>
        <v>1.0052147239263804</v>
      </c>
      <c r="K1986" s="51">
        <f>VLOOKUP(B:B,'生產達成率(目標)'!A:C,3,0)</f>
        <v>1</v>
      </c>
      <c r="L1986" s="20">
        <f t="shared" si="277"/>
        <v>5.0000000000000001E-3</v>
      </c>
      <c r="M1986" s="137" t="str">
        <f>工時!R1170</f>
        <v>270</v>
      </c>
      <c r="N1986" s="144"/>
      <c r="O1986" s="144">
        <f t="shared" si="278"/>
        <v>2</v>
      </c>
      <c r="P1986" s="156">
        <v>3275</v>
      </c>
      <c r="Q1986" s="98">
        <f t="shared" si="279"/>
        <v>0.99938968568812936</v>
      </c>
      <c r="R1986" s="23"/>
      <c r="S1986" s="173"/>
      <c r="T1986" s="30"/>
      <c r="U1986" s="1"/>
      <c r="V1986" s="460"/>
      <c r="X1986" s="460"/>
    </row>
    <row r="1987" spans="1:30" x14ac:dyDescent="0.4">
      <c r="A1987" s="212">
        <v>45894</v>
      </c>
      <c r="B1987" s="139" t="s">
        <v>80</v>
      </c>
      <c r="C1987" s="30" t="str">
        <f>VLOOKUP(B1987,'112年全品項生產鍋數'!A:H,2,0)</f>
        <v>＃1桔子(1*3.2kg)</v>
      </c>
      <c r="D1987" s="290">
        <v>36</v>
      </c>
      <c r="E1987" s="48">
        <f>VLOOKUP(B1987,'112年全品項生產鍋數'!A:H,3,0)</f>
        <v>3.2</v>
      </c>
      <c r="F1987" s="142">
        <f>VLOOKUP(B1987,'112年全品項生產鍋數'!A:H,7,0)</f>
        <v>46.4</v>
      </c>
      <c r="G1987" s="143">
        <f t="shared" si="274"/>
        <v>1670.3999999999999</v>
      </c>
      <c r="H1987" s="156">
        <v>1658</v>
      </c>
      <c r="I1987" s="23">
        <f t="shared" si="275"/>
        <v>5305.6</v>
      </c>
      <c r="J1987" s="100">
        <f t="shared" si="276"/>
        <v>0.9925766283524905</v>
      </c>
      <c r="K1987" s="51">
        <f>VLOOKUP(B:B,'生產達成率(目標)'!A:C,3,0)</f>
        <v>1</v>
      </c>
      <c r="L1987" s="20">
        <f t="shared" si="277"/>
        <v>-7.0000000000000001E-3</v>
      </c>
      <c r="M1987" s="137" t="str">
        <f>工時!R1171</f>
        <v>300</v>
      </c>
      <c r="N1987" s="144"/>
      <c r="O1987" s="144">
        <f t="shared" si="278"/>
        <v>1</v>
      </c>
      <c r="P1987" s="156">
        <v>1657</v>
      </c>
      <c r="Q1987" s="98">
        <f t="shared" si="279"/>
        <v>0.99939686369119418</v>
      </c>
      <c r="R1987" s="23"/>
      <c r="S1987" s="173">
        <v>60</v>
      </c>
      <c r="T1987" s="30" t="s">
        <v>1132</v>
      </c>
      <c r="U1987" s="1"/>
      <c r="V1987" s="460"/>
      <c r="X1987" s="460"/>
    </row>
    <row r="1988" spans="1:30" x14ac:dyDescent="0.4">
      <c r="A1988" s="212">
        <v>45894</v>
      </c>
      <c r="B1988" s="139" t="s">
        <v>88</v>
      </c>
      <c r="C1988" s="30" t="str">
        <f>VLOOKUP(B1988,'112年全品項生產鍋數'!A:H,2,0)</f>
        <v>草莓餡(1*6KG)</v>
      </c>
      <c r="D1988" s="290">
        <v>16</v>
      </c>
      <c r="E1988" s="48">
        <f>VLOOKUP(B1988,'112年全品項生產鍋數'!A:H,3,0)</f>
        <v>6</v>
      </c>
      <c r="F1988" s="142">
        <f>VLOOKUP(B1988,'112年全品項生產鍋數'!A:H,7,0)</f>
        <v>25.5</v>
      </c>
      <c r="G1988" s="143">
        <f t="shared" si="274"/>
        <v>408</v>
      </c>
      <c r="H1988" s="156">
        <v>414</v>
      </c>
      <c r="I1988" s="23">
        <f t="shared" si="275"/>
        <v>2484</v>
      </c>
      <c r="J1988" s="100">
        <f t="shared" si="276"/>
        <v>1.0147058823529411</v>
      </c>
      <c r="K1988" s="51">
        <f>VLOOKUP(B:B,'生產達成率(目標)'!A:C,3,0)</f>
        <v>1</v>
      </c>
      <c r="L1988" s="20">
        <f t="shared" si="277"/>
        <v>1.4999999999999999E-2</v>
      </c>
      <c r="M1988" s="137" t="str">
        <f>工時!R1172</f>
        <v>239</v>
      </c>
      <c r="N1988" s="144"/>
      <c r="O1988" s="144">
        <f t="shared" si="278"/>
        <v>2</v>
      </c>
      <c r="P1988" s="156">
        <v>412</v>
      </c>
      <c r="Q1988" s="98">
        <f t="shared" si="279"/>
        <v>0.99516908212560384</v>
      </c>
      <c r="R1988" s="23"/>
      <c r="S1988" s="173"/>
      <c r="T1988" s="30"/>
      <c r="U1988" s="1"/>
      <c r="V1988" s="460"/>
      <c r="X1988" s="460"/>
    </row>
    <row r="1989" spans="1:30" x14ac:dyDescent="0.4">
      <c r="A1989" s="212">
        <v>45894</v>
      </c>
      <c r="B1989" s="139" t="s">
        <v>75</v>
      </c>
      <c r="C1989" s="30" t="str">
        <f>VLOOKUP(B1989,'112年全品項生產鍋數'!A:H,2,0)</f>
        <v>草莓椰果餡(1*6Kg)</v>
      </c>
      <c r="D1989" s="290">
        <v>12</v>
      </c>
      <c r="E1989" s="48">
        <f>VLOOKUP(B1989,'112年全品項生產鍋數'!A:H,3,0)</f>
        <v>6</v>
      </c>
      <c r="F1989" s="142">
        <f>VLOOKUP(B1989,'112年全品項生產鍋數'!A:H,7,0)</f>
        <v>26.4</v>
      </c>
      <c r="G1989" s="143">
        <f t="shared" si="274"/>
        <v>316.79999999999995</v>
      </c>
      <c r="H1989" s="156">
        <v>322</v>
      </c>
      <c r="I1989" s="23">
        <f t="shared" si="275"/>
        <v>1932</v>
      </c>
      <c r="J1989" s="100">
        <f t="shared" si="276"/>
        <v>1.0164141414141417</v>
      </c>
      <c r="K1989" s="51">
        <f>VLOOKUP(B:B,'生產達成率(目標)'!A:C,3,0)</f>
        <v>1</v>
      </c>
      <c r="L1989" s="20">
        <f t="shared" si="277"/>
        <v>1.6E-2</v>
      </c>
      <c r="M1989" s="137" t="str">
        <f>工時!R1173</f>
        <v>162</v>
      </c>
      <c r="N1989" s="144"/>
      <c r="O1989" s="144">
        <f t="shared" si="278"/>
        <v>1</v>
      </c>
      <c r="P1989" s="156">
        <v>321</v>
      </c>
      <c r="Q1989" s="98">
        <f t="shared" si="279"/>
        <v>0.99689440993788825</v>
      </c>
      <c r="R1989" s="23"/>
      <c r="S1989" s="173"/>
      <c r="T1989" s="30"/>
      <c r="U1989" s="1"/>
      <c r="V1989" s="460"/>
      <c r="X1989" s="460"/>
    </row>
    <row r="1990" spans="1:30" x14ac:dyDescent="0.4">
      <c r="A1990" s="212">
        <v>45894</v>
      </c>
      <c r="B1990" s="139" t="s">
        <v>1045</v>
      </c>
      <c r="C1990" s="30" t="str">
        <f>VLOOKUP(B1990,'112年全品項生產鍋數'!A:H,2,0)</f>
        <v>芒果蜜桃醬(含桃丁)</v>
      </c>
      <c r="D1990" s="290">
        <v>12</v>
      </c>
      <c r="E1990" s="48">
        <f>VLOOKUP(B1990,'112年全品項生產鍋數'!A:H,3,0)</f>
        <v>6</v>
      </c>
      <c r="F1990" s="142">
        <f>VLOOKUP(B1990,'112年全品項生產鍋數'!A:H,7,0)</f>
        <v>0</v>
      </c>
      <c r="G1990" s="143">
        <f t="shared" si="274"/>
        <v>0</v>
      </c>
      <c r="H1990" s="156">
        <v>308</v>
      </c>
      <c r="I1990" s="23">
        <f t="shared" si="275"/>
        <v>1848</v>
      </c>
      <c r="J1990" s="100" t="str">
        <f t="shared" si="276"/>
        <v>無法預估數據</v>
      </c>
      <c r="K1990" s="51">
        <f>VLOOKUP(B:B,'生產達成率(目標)'!A:C,3,0)</f>
        <v>1</v>
      </c>
      <c r="L1990" s="20" t="str">
        <f t="shared" si="277"/>
        <v>無法預估數據</v>
      </c>
      <c r="M1990" s="137" t="str">
        <f>工時!R1174</f>
        <v>180</v>
      </c>
      <c r="N1990" s="144"/>
      <c r="O1990" s="144">
        <f t="shared" si="278"/>
        <v>2</v>
      </c>
      <c r="P1990" s="156">
        <v>306</v>
      </c>
      <c r="Q1990" s="98">
        <f t="shared" si="279"/>
        <v>0.99350649350649356</v>
      </c>
      <c r="R1990" s="23"/>
      <c r="S1990" s="173"/>
      <c r="T1990" s="30"/>
      <c r="U1990" s="1"/>
      <c r="V1990" s="460"/>
      <c r="X1990" s="460"/>
    </row>
    <row r="1991" spans="1:30" x14ac:dyDescent="0.4">
      <c r="A1991" s="212">
        <v>45894</v>
      </c>
      <c r="B1991" s="139" t="s">
        <v>65</v>
      </c>
      <c r="C1991" s="30" t="str">
        <f>VLOOKUP(B1991,'112年全品項生產鍋數'!A:H,2,0)</f>
        <v>＃1花生(1*2.8kg)</v>
      </c>
      <c r="D1991" s="290">
        <v>72</v>
      </c>
      <c r="E1991" s="48">
        <f>VLOOKUP(B1991,'112年全品項生產鍋數'!A:H,3,0)</f>
        <v>2.8</v>
      </c>
      <c r="F1991" s="142">
        <f>VLOOKUP(B1991,'112年全品項生產鍋數'!A:H,7,0)</f>
        <v>44.5</v>
      </c>
      <c r="G1991" s="143">
        <f>D1991*F1991-55*18/E1991</f>
        <v>2850.4285714285716</v>
      </c>
      <c r="H1991" s="156">
        <v>2856</v>
      </c>
      <c r="I1991" s="23">
        <f t="shared" si="275"/>
        <v>7996.7999999999993</v>
      </c>
      <c r="J1991" s="100">
        <f t="shared" si="276"/>
        <v>1.0019545932942415</v>
      </c>
      <c r="K1991" s="51">
        <f>VLOOKUP(B:B,'生產達成率(目標)'!A:C,3,0)</f>
        <v>1</v>
      </c>
      <c r="L1991" s="20">
        <f t="shared" si="277"/>
        <v>2E-3</v>
      </c>
      <c r="M1991" s="137" t="str">
        <f>工時!R1175</f>
        <v>555</v>
      </c>
      <c r="N1991" s="144"/>
      <c r="O1991" s="144">
        <f t="shared" si="278"/>
        <v>1</v>
      </c>
      <c r="P1991" s="156">
        <v>2855</v>
      </c>
      <c r="Q1991" s="98">
        <f t="shared" si="279"/>
        <v>0.99964985994397759</v>
      </c>
      <c r="R1991" s="23"/>
      <c r="S1991" s="173"/>
      <c r="T1991" s="30" t="s">
        <v>1127</v>
      </c>
      <c r="U1991" s="1"/>
      <c r="V1991" s="460"/>
      <c r="X1991" s="460"/>
    </row>
    <row r="1992" spans="1:30" s="146" customFormat="1" x14ac:dyDescent="0.4">
      <c r="A1992" s="212">
        <v>45895</v>
      </c>
      <c r="B1992" s="139" t="s">
        <v>106</v>
      </c>
      <c r="C1992" s="140" t="str">
        <f>VLOOKUP(B1992,'112年全品項生產鍋數'!A:H,2,0)</f>
        <v>小藍莓1*260G</v>
      </c>
      <c r="D1992" s="290">
        <v>20</v>
      </c>
      <c r="E1992" s="141">
        <f>VLOOKUP(B1992,'112年全品項生產鍋數'!A:H,3,0)</f>
        <v>0.26</v>
      </c>
      <c r="F1992" s="142">
        <f>VLOOKUP(B1992,'112年全品項生產鍋數'!A:H,7,0)</f>
        <v>584.29999999999995</v>
      </c>
      <c r="G1992" s="143">
        <f t="shared" si="274"/>
        <v>11686</v>
      </c>
      <c r="H1992" s="156">
        <v>11783</v>
      </c>
      <c r="I1992" s="144">
        <f t="shared" si="275"/>
        <v>3063.58</v>
      </c>
      <c r="J1992" s="100">
        <f t="shared" si="276"/>
        <v>1.0083005305493753</v>
      </c>
      <c r="K1992" s="51">
        <f>VLOOKUP(B:B,'生產達成率(目標)'!A:C,3,0)</f>
        <v>1</v>
      </c>
      <c r="L1992" s="20">
        <f t="shared" si="277"/>
        <v>8.0000000000000002E-3</v>
      </c>
      <c r="M1992" s="137" t="str">
        <f>工時!R1176</f>
        <v>370</v>
      </c>
      <c r="N1992" s="144"/>
      <c r="O1992" s="144">
        <f t="shared" si="278"/>
        <v>27</v>
      </c>
      <c r="P1992" s="156">
        <v>11756</v>
      </c>
      <c r="Q1992" s="145">
        <f t="shared" si="279"/>
        <v>0.9977085631842485</v>
      </c>
      <c r="R1992" s="144"/>
      <c r="S1992" s="153"/>
      <c r="T1992" s="140"/>
      <c r="U1992" s="158"/>
      <c r="V1992" s="461"/>
      <c r="W1992" s="421"/>
      <c r="X1992" s="461"/>
      <c r="Y1992" s="421"/>
      <c r="Z1992" s="421"/>
      <c r="AA1992" s="421"/>
      <c r="AB1992" s="421"/>
      <c r="AC1992" s="421"/>
      <c r="AD1992" s="421"/>
    </row>
    <row r="1993" spans="1:30" x14ac:dyDescent="0.4">
      <c r="A1993" s="212">
        <v>45895</v>
      </c>
      <c r="B1993" s="139" t="s">
        <v>158</v>
      </c>
      <c r="C1993" s="30" t="str">
        <f>VLOOKUP(B1993,'112年全品項生產鍋數'!A:H,2,0)</f>
        <v>小圓草莓(1*170g)</v>
      </c>
      <c r="D1993" s="290">
        <v>4</v>
      </c>
      <c r="E1993" s="48">
        <f>VLOOKUP(B1993,'112年全品項生產鍋數'!A:H,3,0)</f>
        <v>0.17</v>
      </c>
      <c r="F1993" s="142">
        <f>VLOOKUP(B1993,'112年全品項生產鍋數'!A:H,7,0)</f>
        <v>912.6</v>
      </c>
      <c r="G1993" s="143">
        <f t="shared" si="274"/>
        <v>3650.4</v>
      </c>
      <c r="H1993" s="156">
        <v>3550</v>
      </c>
      <c r="I1993" s="23">
        <f t="shared" si="275"/>
        <v>603.5</v>
      </c>
      <c r="J1993" s="100">
        <f t="shared" si="276"/>
        <v>0.97249616480385703</v>
      </c>
      <c r="K1993" s="51">
        <f>VLOOKUP(B:B,'生產達成率(目標)'!A:C,3,0)</f>
        <v>1</v>
      </c>
      <c r="L1993" s="20">
        <f t="shared" si="277"/>
        <v>-2.8000000000000001E-2</v>
      </c>
      <c r="M1993" s="137" t="str">
        <f>工時!R1177</f>
        <v>210</v>
      </c>
      <c r="N1993" s="144"/>
      <c r="O1993" s="144">
        <f t="shared" si="278"/>
        <v>3</v>
      </c>
      <c r="P1993" s="156">
        <v>3547</v>
      </c>
      <c r="Q1993" s="98">
        <f t="shared" si="279"/>
        <v>0.99915492957746477</v>
      </c>
      <c r="R1993" s="23"/>
      <c r="S1993" s="173"/>
      <c r="T1993" s="30"/>
      <c r="U1993" s="1"/>
      <c r="V1993" s="460"/>
      <c r="X1993" s="460"/>
    </row>
    <row r="1994" spans="1:30" x14ac:dyDescent="0.4">
      <c r="A1994" s="212">
        <v>45895</v>
      </c>
      <c r="B1994" s="139" t="s">
        <v>72</v>
      </c>
      <c r="C1994" s="30" t="str">
        <f>VLOOKUP(B1994,'112年全品項生產鍋數'!A:H,2,0)</f>
        <v>草莓餡45%(1*6Kg)</v>
      </c>
      <c r="D1994" s="290">
        <v>20</v>
      </c>
      <c r="E1994" s="48">
        <f>VLOOKUP(B1994,'112年全品項生產鍋數'!A:H,3,0)</f>
        <v>6</v>
      </c>
      <c r="F1994" s="142">
        <f>VLOOKUP(B1994,'112年全品項生產鍋數'!A:H,7,0)</f>
        <v>26.1</v>
      </c>
      <c r="G1994" s="143">
        <f t="shared" si="274"/>
        <v>522</v>
      </c>
      <c r="H1994" s="156">
        <v>530</v>
      </c>
      <c r="I1994" s="23">
        <f t="shared" si="275"/>
        <v>3180</v>
      </c>
      <c r="J1994" s="100">
        <f t="shared" si="276"/>
        <v>1.0153256704980842</v>
      </c>
      <c r="K1994" s="51">
        <f>VLOOKUP(B:B,'生產達成率(目標)'!A:C,3,0)</f>
        <v>1</v>
      </c>
      <c r="L1994" s="20">
        <f t="shared" si="277"/>
        <v>1.4999999999999999E-2</v>
      </c>
      <c r="M1994" s="137" t="str">
        <f>工時!R1178</f>
        <v>304</v>
      </c>
      <c r="N1994" s="144"/>
      <c r="O1994" s="144">
        <f t="shared" si="278"/>
        <v>2</v>
      </c>
      <c r="P1994" s="156">
        <v>528</v>
      </c>
      <c r="Q1994" s="98">
        <f t="shared" si="279"/>
        <v>0.99622641509433962</v>
      </c>
      <c r="R1994" s="23"/>
      <c r="S1994" s="173"/>
      <c r="T1994" s="30"/>
      <c r="U1994" s="1"/>
      <c r="V1994" s="460"/>
      <c r="X1994" s="460"/>
    </row>
    <row r="1995" spans="1:30" x14ac:dyDescent="0.4">
      <c r="A1995" s="212">
        <v>45895</v>
      </c>
      <c r="B1995" s="139" t="s">
        <v>128</v>
      </c>
      <c r="C1995" s="30" t="str">
        <f>VLOOKUP(B1995,'112年全品項生產鍋數'!A:H,2,0)</f>
        <v>草莓椰果漿(1*6KG)</v>
      </c>
      <c r="D1995" s="290">
        <v>8</v>
      </c>
      <c r="E1995" s="48">
        <f>VLOOKUP(B1995,'112年全品項生產鍋數'!A:H,3,0)</f>
        <v>6</v>
      </c>
      <c r="F1995" s="142">
        <f>VLOOKUP(B1995,'112年全品項生產鍋數'!A:H,7,0)</f>
        <v>25.7</v>
      </c>
      <c r="G1995" s="143">
        <f t="shared" si="274"/>
        <v>205.6</v>
      </c>
      <c r="H1995" s="156">
        <v>209</v>
      </c>
      <c r="I1995" s="23">
        <f t="shared" si="275"/>
        <v>1254</v>
      </c>
      <c r="J1995" s="100">
        <f t="shared" si="276"/>
        <v>1.0165369649805447</v>
      </c>
      <c r="K1995" s="51">
        <f>VLOOKUP(B:B,'生產達成率(目標)'!A:C,3,0)</f>
        <v>1</v>
      </c>
      <c r="L1995" s="20">
        <f t="shared" si="277"/>
        <v>1.7000000000000001E-2</v>
      </c>
      <c r="M1995" s="137" t="str">
        <f>工時!R1179</f>
        <v>127</v>
      </c>
      <c r="N1995" s="144"/>
      <c r="O1995" s="144">
        <f t="shared" si="278"/>
        <v>2</v>
      </c>
      <c r="P1995" s="156">
        <v>207</v>
      </c>
      <c r="Q1995" s="98">
        <f t="shared" si="279"/>
        <v>0.99043062200956933</v>
      </c>
      <c r="R1995" s="23"/>
      <c r="S1995" s="173"/>
      <c r="T1995" s="30"/>
      <c r="U1995" s="1"/>
      <c r="V1995" s="460"/>
      <c r="X1995" s="460"/>
    </row>
    <row r="1996" spans="1:30" x14ac:dyDescent="0.4">
      <c r="A1996" s="212">
        <v>45895</v>
      </c>
      <c r="B1996" s="139" t="s">
        <v>532</v>
      </c>
      <c r="C1996" s="30" t="str">
        <f>VLOOKUP(B1996,'112年全品項生產鍋數'!A:H,2,0)</f>
        <v>特殊藍莓餡(1*9.08kg)</v>
      </c>
      <c r="D1996" s="290">
        <v>6</v>
      </c>
      <c r="E1996" s="48">
        <f>VLOOKUP(B1996,'112年全品項生產鍋數'!A:H,3,0)</f>
        <v>9.08</v>
      </c>
      <c r="F1996" s="142">
        <f>VLOOKUP(B1996,'112年全品項生產鍋數'!A:H,7,0)</f>
        <v>17.5</v>
      </c>
      <c r="G1996" s="143">
        <f t="shared" si="274"/>
        <v>105</v>
      </c>
      <c r="H1996" s="156">
        <v>104</v>
      </c>
      <c r="I1996" s="23">
        <f t="shared" si="275"/>
        <v>944.32</v>
      </c>
      <c r="J1996" s="100">
        <f t="shared" si="276"/>
        <v>0.99047619047619051</v>
      </c>
      <c r="K1996" s="51">
        <f>VLOOKUP(B:B,'生產達成率(目標)'!A:C,3,0)</f>
        <v>1</v>
      </c>
      <c r="L1996" s="20">
        <f t="shared" si="277"/>
        <v>-0.01</v>
      </c>
      <c r="M1996" s="137" t="str">
        <f>工時!R1180</f>
        <v>165</v>
      </c>
      <c r="N1996" s="144"/>
      <c r="O1996" s="144">
        <f t="shared" si="278"/>
        <v>0</v>
      </c>
      <c r="P1996" s="156">
        <v>104</v>
      </c>
      <c r="Q1996" s="98">
        <f t="shared" si="279"/>
        <v>1</v>
      </c>
      <c r="R1996" s="23"/>
      <c r="S1996" s="173"/>
      <c r="T1996" s="30"/>
      <c r="U1996" s="1"/>
      <c r="V1996" s="460"/>
      <c r="X1996" s="460"/>
    </row>
    <row r="1997" spans="1:30" x14ac:dyDescent="0.4">
      <c r="A1997" s="212">
        <v>45895</v>
      </c>
      <c r="B1997" s="139" t="s">
        <v>123</v>
      </c>
      <c r="C1997" s="30" t="str">
        <f>VLOOKUP(B1997,'112年全品項生產鍋數'!A:H,2,0)</f>
        <v>深烤焙花生醬(1*18KG)</v>
      </c>
      <c r="D1997" s="290">
        <v>40</v>
      </c>
      <c r="E1997" s="48">
        <f>VLOOKUP(B1997,'112年全品項生產鍋數'!A:H,3,0)</f>
        <v>18</v>
      </c>
      <c r="F1997" s="142">
        <f>VLOOKUP(B1997,'112年全品項生產鍋數'!A:H,7,0)</f>
        <v>6.9</v>
      </c>
      <c r="G1997" s="143">
        <f t="shared" si="274"/>
        <v>276</v>
      </c>
      <c r="H1997" s="156">
        <v>280</v>
      </c>
      <c r="I1997" s="23">
        <f t="shared" si="275"/>
        <v>5040</v>
      </c>
      <c r="J1997" s="100">
        <f t="shared" si="276"/>
        <v>1.0144927536231885</v>
      </c>
      <c r="K1997" s="51">
        <f>VLOOKUP(B:B,'生產達成率(目標)'!A:C,3,0)</f>
        <v>1</v>
      </c>
      <c r="L1997" s="20">
        <f t="shared" si="277"/>
        <v>1.4E-2</v>
      </c>
      <c r="M1997" s="137" t="str">
        <f>工時!R1181</f>
        <v>425</v>
      </c>
      <c r="N1997" s="144"/>
      <c r="O1997" s="144">
        <f t="shared" si="278"/>
        <v>0</v>
      </c>
      <c r="P1997" s="156">
        <v>280</v>
      </c>
      <c r="Q1997" s="98">
        <f t="shared" si="279"/>
        <v>1</v>
      </c>
      <c r="R1997" s="23"/>
      <c r="S1997" s="173"/>
      <c r="T1997" s="30"/>
      <c r="U1997" s="1"/>
      <c r="V1997" s="460"/>
      <c r="X1997" s="460"/>
    </row>
    <row r="1998" spans="1:30" x14ac:dyDescent="0.4">
      <c r="A1998" s="212">
        <v>45896</v>
      </c>
      <c r="B1998" s="139" t="s">
        <v>87</v>
      </c>
      <c r="C1998" s="30" t="str">
        <f>VLOOKUP(B1998,'112年全品項生產鍋數'!A:H,2,0)</f>
        <v>＃1藍莓(1*3.2kg)</v>
      </c>
      <c r="D1998" s="290">
        <v>72</v>
      </c>
      <c r="E1998" s="48">
        <f>VLOOKUP(B1998,'112年全品項生產鍋數'!A:H,3,0)</f>
        <v>3.2</v>
      </c>
      <c r="F1998" s="142">
        <f>VLOOKUP(B1998,'112年全品項生產鍋數'!A:H,7,0)</f>
        <v>47.5</v>
      </c>
      <c r="G1998" s="143">
        <f t="shared" si="274"/>
        <v>3420</v>
      </c>
      <c r="H1998" s="156">
        <v>3465</v>
      </c>
      <c r="I1998" s="23">
        <f t="shared" si="275"/>
        <v>11088</v>
      </c>
      <c r="J1998" s="100">
        <f t="shared" si="276"/>
        <v>1.013157894736842</v>
      </c>
      <c r="K1998" s="51">
        <f>VLOOKUP(B:B,'生產達成率(目標)'!A:C,3,0)</f>
        <v>1</v>
      </c>
      <c r="L1998" s="20">
        <f t="shared" si="277"/>
        <v>1.2999999999999999E-2</v>
      </c>
      <c r="M1998" s="137" t="str">
        <f>工時!R1182</f>
        <v>570</v>
      </c>
      <c r="N1998" s="144"/>
      <c r="O1998" s="144">
        <f t="shared" si="278"/>
        <v>3</v>
      </c>
      <c r="P1998" s="156">
        <v>3462</v>
      </c>
      <c r="Q1998" s="98">
        <f t="shared" si="279"/>
        <v>0.9991341991341991</v>
      </c>
      <c r="R1998" s="23"/>
      <c r="S1998" s="173"/>
      <c r="T1998" s="30"/>
      <c r="U1998" s="1"/>
      <c r="V1998" s="460"/>
      <c r="X1998" s="460"/>
    </row>
    <row r="1999" spans="1:30" x14ac:dyDescent="0.4">
      <c r="A1999" s="212">
        <v>45896</v>
      </c>
      <c r="B1999" s="139" t="s">
        <v>107</v>
      </c>
      <c r="C1999" s="30" t="str">
        <f>VLOOKUP(B1999,'112年全品項生產鍋數'!A:H,2,0)</f>
        <v>藍莓餡(1*6kg)</v>
      </c>
      <c r="D1999" s="290">
        <v>8</v>
      </c>
      <c r="E1999" s="48">
        <f>VLOOKUP(B1999,'112年全品項生產鍋數'!A:H,3,0)</f>
        <v>6</v>
      </c>
      <c r="F1999" s="142">
        <f>VLOOKUP(B1999,'112年全品項生產鍋數'!A:H,7,0)</f>
        <v>26.4</v>
      </c>
      <c r="G1999" s="143">
        <f t="shared" si="274"/>
        <v>211.2</v>
      </c>
      <c r="H1999" s="156">
        <v>210</v>
      </c>
      <c r="I1999" s="23">
        <f t="shared" si="275"/>
        <v>1260</v>
      </c>
      <c r="J1999" s="100">
        <f t="shared" si="276"/>
        <v>0.99431818181818188</v>
      </c>
      <c r="K1999" s="51">
        <f>VLOOKUP(B:B,'生產達成率(目標)'!A:C,3,0)</f>
        <v>1</v>
      </c>
      <c r="L1999" s="20">
        <f t="shared" si="277"/>
        <v>-6.0000000000000001E-3</v>
      </c>
      <c r="M1999" s="137" t="str">
        <f>工時!R1183</f>
        <v>172</v>
      </c>
      <c r="N1999" s="144"/>
      <c r="O1999" s="144">
        <f t="shared" si="278"/>
        <v>1</v>
      </c>
      <c r="P1999" s="156">
        <v>209</v>
      </c>
      <c r="Q1999" s="98">
        <f t="shared" si="279"/>
        <v>0.99523809523809526</v>
      </c>
      <c r="R1999" s="23"/>
      <c r="S1999" s="173"/>
      <c r="T1999" s="30"/>
      <c r="U1999" s="1"/>
      <c r="V1999" s="460"/>
      <c r="X1999" s="460"/>
    </row>
    <row r="2000" spans="1:30" x14ac:dyDescent="0.4">
      <c r="A2000" s="212">
        <v>45896</v>
      </c>
      <c r="B2000" s="139" t="s">
        <v>109</v>
      </c>
      <c r="C2000" s="30" t="str">
        <f>VLOOKUP(B2000,'112年全品項生產鍋數'!A:H,2,0)</f>
        <v>蔓越莓醬(1*6KG)</v>
      </c>
      <c r="D2000" s="290">
        <v>16</v>
      </c>
      <c r="E2000" s="48">
        <f>VLOOKUP(B2000,'112年全品項生產鍋數'!A:H,3,0)</f>
        <v>6</v>
      </c>
      <c r="F2000" s="142">
        <f>VLOOKUP(B2000,'112年全品項生產鍋數'!A:H,7,0)</f>
        <v>25.6</v>
      </c>
      <c r="G2000" s="143">
        <f t="shared" si="274"/>
        <v>409.6</v>
      </c>
      <c r="H2000" s="156">
        <v>427</v>
      </c>
      <c r="I2000" s="23">
        <f t="shared" si="275"/>
        <v>2562</v>
      </c>
      <c r="J2000" s="100">
        <f t="shared" si="276"/>
        <v>1.04248046875</v>
      </c>
      <c r="K2000" s="51">
        <f>VLOOKUP(B:B,'生產達成率(目標)'!A:C,3,0)</f>
        <v>1</v>
      </c>
      <c r="L2000" s="20">
        <f t="shared" si="277"/>
        <v>4.2000000000000003E-2</v>
      </c>
      <c r="M2000" s="137" t="str">
        <f>工時!R1184</f>
        <v>210</v>
      </c>
      <c r="N2000" s="144"/>
      <c r="O2000" s="144">
        <f t="shared" si="278"/>
        <v>2</v>
      </c>
      <c r="P2000" s="156">
        <v>425</v>
      </c>
      <c r="Q2000" s="98">
        <f t="shared" si="279"/>
        <v>0.99531615925058547</v>
      </c>
      <c r="R2000" s="23"/>
      <c r="S2000" s="173"/>
      <c r="T2000" s="30"/>
      <c r="U2000" s="1"/>
      <c r="V2000" s="460"/>
      <c r="X2000" s="460"/>
    </row>
    <row r="2001" spans="1:30" s="146" customFormat="1" x14ac:dyDescent="0.4">
      <c r="A2001" s="212">
        <v>45896</v>
      </c>
      <c r="B2001" s="139" t="s">
        <v>81</v>
      </c>
      <c r="C2001" s="140" t="str">
        <f>VLOOKUP(B2001,'112年全品項生產鍋數'!A:H,2,0)</f>
        <v>藍莓餡(1*6Kg)</v>
      </c>
      <c r="D2001" s="290">
        <v>16</v>
      </c>
      <c r="E2001" s="141">
        <f>VLOOKUP(B2001,'112年全品項生產鍋數'!A:H,3,0)</f>
        <v>6</v>
      </c>
      <c r="F2001" s="142">
        <f>VLOOKUP(B2001,'112年全品項生產鍋數'!A:H,7,0)</f>
        <v>25.1</v>
      </c>
      <c r="G2001" s="143">
        <f t="shared" ref="G2001:G2025" si="280">D2001*F2001</f>
        <v>401.6</v>
      </c>
      <c r="H2001" s="156">
        <v>410</v>
      </c>
      <c r="I2001" s="144">
        <f t="shared" ref="I2001:I2025" si="281">H2001*E2001</f>
        <v>2460</v>
      </c>
      <c r="J2001" s="100">
        <f t="shared" ref="J2001:J2025" si="282">IF(G2001=0,"無法預估數據",H2001/G2001)</f>
        <v>1.0209163346613546</v>
      </c>
      <c r="K2001" s="51">
        <f>VLOOKUP(B:B,'生產達成率(目標)'!A:C,3,0)</f>
        <v>1</v>
      </c>
      <c r="L2001" s="20">
        <f t="shared" ref="L2001:L2025" si="283">IF(G2001=0,"無法預估數據",ROUND(J2001-K2001,3))</f>
        <v>2.1000000000000001E-2</v>
      </c>
      <c r="M2001" s="137" t="str">
        <f>工時!R1185</f>
        <v>200</v>
      </c>
      <c r="N2001" s="144"/>
      <c r="O2001" s="144">
        <f t="shared" ref="O2001:O2025" si="284">H2001-N2001-P2001</f>
        <v>2</v>
      </c>
      <c r="P2001" s="156">
        <v>408</v>
      </c>
      <c r="Q2001" s="145">
        <f t="shared" ref="Q2001:Q2025" si="285">P2001/H2001</f>
        <v>0.99512195121951219</v>
      </c>
      <c r="R2001" s="144"/>
      <c r="S2001" s="153"/>
      <c r="T2001" s="140"/>
      <c r="U2001" s="158"/>
      <c r="V2001" s="461"/>
      <c r="W2001" s="421"/>
      <c r="X2001" s="461"/>
      <c r="Y2001" s="421"/>
      <c r="Z2001" s="421"/>
      <c r="AA2001" s="421"/>
      <c r="AB2001" s="421"/>
      <c r="AC2001" s="421"/>
      <c r="AD2001" s="421"/>
    </row>
    <row r="2002" spans="1:30" s="146" customFormat="1" x14ac:dyDescent="0.4">
      <c r="A2002" s="212">
        <v>45896</v>
      </c>
      <c r="B2002" s="139" t="s">
        <v>73</v>
      </c>
      <c r="C2002" s="140" t="str">
        <f>VLOOKUP(B2002,'112年全品項生產鍋數'!A:H,2,0)</f>
        <v>顆粒花生醬(1*12KG)</v>
      </c>
      <c r="D2002" s="290">
        <v>21</v>
      </c>
      <c r="E2002" s="141">
        <f>VLOOKUP(B2002,'112年全品項生產鍋數'!A:H,3,0)</f>
        <v>3</v>
      </c>
      <c r="F2002" s="142">
        <f>VLOOKUP(B2002,'112年全品項生產鍋數'!A:H,7,0)</f>
        <v>29.7</v>
      </c>
      <c r="G2002" s="143">
        <f t="shared" si="280"/>
        <v>623.69999999999993</v>
      </c>
      <c r="H2002" s="156">
        <v>628</v>
      </c>
      <c r="I2002" s="144">
        <f t="shared" si="281"/>
        <v>1884</v>
      </c>
      <c r="J2002" s="100">
        <f t="shared" si="282"/>
        <v>1.0068943402276738</v>
      </c>
      <c r="K2002" s="51">
        <f>VLOOKUP(B:B,'生產達成率(目標)'!A:C,3,0)</f>
        <v>1</v>
      </c>
      <c r="L2002" s="20">
        <f t="shared" si="283"/>
        <v>7.0000000000000001E-3</v>
      </c>
      <c r="M2002" s="137" t="str">
        <f>工時!R1186</f>
        <v>540</v>
      </c>
      <c r="N2002" s="144"/>
      <c r="O2002" s="144">
        <f t="shared" si="284"/>
        <v>0</v>
      </c>
      <c r="P2002" s="156">
        <v>628</v>
      </c>
      <c r="Q2002" s="145">
        <f t="shared" si="285"/>
        <v>1</v>
      </c>
      <c r="R2002" s="144"/>
      <c r="S2002" s="153"/>
      <c r="T2002" s="140"/>
      <c r="U2002" s="158"/>
      <c r="V2002" s="461"/>
      <c r="W2002" s="421"/>
      <c r="X2002" s="461"/>
      <c r="Y2002" s="421"/>
      <c r="Z2002" s="421"/>
      <c r="AA2002" s="421"/>
      <c r="AB2002" s="421"/>
      <c r="AC2002" s="421"/>
      <c r="AD2002" s="421"/>
    </row>
    <row r="2003" spans="1:30" s="146" customFormat="1" x14ac:dyDescent="0.4">
      <c r="A2003" s="212">
        <v>45896</v>
      </c>
      <c r="B2003" s="139" t="s">
        <v>1091</v>
      </c>
      <c r="C2003" s="140" t="str">
        <f>VLOOKUP(B2003,'112年全品項生產鍋數'!A:H,2,0)</f>
        <v>蜜餞水果(1*1kg)</v>
      </c>
      <c r="D2003" s="290">
        <v>50</v>
      </c>
      <c r="E2003" s="141">
        <f>VLOOKUP(B2003,'112年全品項生產鍋數'!A:H,3,0)</f>
        <v>1</v>
      </c>
      <c r="F2003" s="142">
        <f>VLOOKUP(B2003,'112年全品項生產鍋數'!A:H,7,0)</f>
        <v>5.7</v>
      </c>
      <c r="G2003" s="143">
        <f t="shared" si="280"/>
        <v>285</v>
      </c>
      <c r="H2003" s="156">
        <v>296</v>
      </c>
      <c r="I2003" s="144">
        <f t="shared" si="281"/>
        <v>296</v>
      </c>
      <c r="J2003" s="100">
        <f t="shared" si="282"/>
        <v>1.0385964912280701</v>
      </c>
      <c r="K2003" s="51">
        <f>VLOOKUP(B:B,'生產達成率(目標)'!A:C,3,0)</f>
        <v>1</v>
      </c>
      <c r="L2003" s="20">
        <f t="shared" si="283"/>
        <v>3.9E-2</v>
      </c>
      <c r="M2003" s="137" t="str">
        <f>工時!R1187</f>
        <v>0</v>
      </c>
      <c r="N2003" s="144"/>
      <c r="O2003" s="144">
        <f t="shared" si="284"/>
        <v>0</v>
      </c>
      <c r="P2003" s="156">
        <v>296</v>
      </c>
      <c r="Q2003" s="145">
        <f t="shared" si="285"/>
        <v>1</v>
      </c>
      <c r="R2003" s="144"/>
      <c r="S2003" s="153"/>
      <c r="T2003" s="140"/>
      <c r="U2003" s="158"/>
      <c r="V2003" s="461"/>
      <c r="W2003" s="421"/>
      <c r="X2003" s="461"/>
      <c r="Y2003" s="421"/>
      <c r="Z2003" s="421"/>
      <c r="AA2003" s="421"/>
      <c r="AB2003" s="421"/>
      <c r="AC2003" s="421"/>
      <c r="AD2003" s="421"/>
    </row>
    <row r="2004" spans="1:30" x14ac:dyDescent="0.4">
      <c r="A2004" s="212">
        <v>45901</v>
      </c>
      <c r="B2004" s="139" t="s">
        <v>86</v>
      </c>
      <c r="C2004" s="30" t="str">
        <f>VLOOKUP(B2004,'112年全品項生產鍋數'!A:H,2,0)</f>
        <v>＃2藍莓(1*900g)</v>
      </c>
      <c r="D2004" s="290">
        <v>40</v>
      </c>
      <c r="E2004" s="48">
        <f>VLOOKUP(B2004,'112年全品項生產鍋數'!A:H,3,0)</f>
        <v>0.9</v>
      </c>
      <c r="F2004" s="142">
        <f>VLOOKUP(B2004,'112年全品項生產鍋數'!A:H,7,0)</f>
        <v>163</v>
      </c>
      <c r="G2004" s="143">
        <f t="shared" si="280"/>
        <v>6520</v>
      </c>
      <c r="H2004" s="156">
        <v>6673</v>
      </c>
      <c r="I2004" s="23">
        <f t="shared" si="281"/>
        <v>6005.7</v>
      </c>
      <c r="J2004" s="100">
        <f t="shared" si="282"/>
        <v>1.0234662576687117</v>
      </c>
      <c r="K2004" s="51">
        <f>VLOOKUP(B:B,'生產達成率(目標)'!A:C,3,0)</f>
        <v>1</v>
      </c>
      <c r="L2004" s="20">
        <f t="shared" si="283"/>
        <v>2.3E-2</v>
      </c>
      <c r="M2004" s="137" t="str">
        <f>工時!R1188</f>
        <v>570</v>
      </c>
      <c r="N2004" s="144"/>
      <c r="O2004" s="144">
        <f t="shared" si="284"/>
        <v>3</v>
      </c>
      <c r="P2004" s="156">
        <v>6670</v>
      </c>
      <c r="Q2004" s="98">
        <f t="shared" si="285"/>
        <v>0.99955042709426045</v>
      </c>
      <c r="R2004" s="23"/>
      <c r="S2004" s="173">
        <v>216</v>
      </c>
      <c r="T2004" s="30" t="s">
        <v>1132</v>
      </c>
      <c r="U2004" s="1"/>
      <c r="V2004" s="460"/>
      <c r="X2004" s="460"/>
    </row>
    <row r="2005" spans="1:30" s="146" customFormat="1" ht="17.25" customHeight="1" x14ac:dyDescent="0.4">
      <c r="A2005" s="212">
        <v>45901</v>
      </c>
      <c r="B2005" s="139" t="s">
        <v>594</v>
      </c>
      <c r="C2005" s="140" t="str">
        <f>VLOOKUP(B2005,'112年全品項生產鍋數'!A:H,2,0)</f>
        <v>柚皮鮮果乾(100g)</v>
      </c>
      <c r="D2005" s="290">
        <v>1</v>
      </c>
      <c r="E2005" s="141">
        <f>VLOOKUP(B2005,'112年全品項生產鍋數'!A:H,3,0)</f>
        <v>0.1</v>
      </c>
      <c r="F2005" s="142">
        <f>VLOOKUP(B2005,'112年全品項生產鍋數'!A:H,7,0)</f>
        <v>1732</v>
      </c>
      <c r="G2005" s="143">
        <f t="shared" si="280"/>
        <v>1732</v>
      </c>
      <c r="H2005" s="156">
        <v>1600</v>
      </c>
      <c r="I2005" s="144">
        <f t="shared" si="281"/>
        <v>160</v>
      </c>
      <c r="J2005" s="100">
        <f t="shared" si="282"/>
        <v>0.92378752886836024</v>
      </c>
      <c r="K2005" s="51">
        <f>VLOOKUP(B:B,'生產達成率(目標)'!A:C,3,0)</f>
        <v>1</v>
      </c>
      <c r="L2005" s="20">
        <f t="shared" si="283"/>
        <v>-7.5999999999999998E-2</v>
      </c>
      <c r="M2005" s="137" t="str">
        <f>工時!R1189</f>
        <v>0</v>
      </c>
      <c r="N2005" s="144"/>
      <c r="O2005" s="144">
        <f t="shared" si="284"/>
        <v>59</v>
      </c>
      <c r="P2005" s="156">
        <v>1541</v>
      </c>
      <c r="Q2005" s="145">
        <f t="shared" si="285"/>
        <v>0.96312500000000001</v>
      </c>
      <c r="R2005" s="144"/>
      <c r="S2005" s="153"/>
      <c r="T2005" s="140"/>
      <c r="U2005" s="158"/>
      <c r="V2005" s="461"/>
      <c r="W2005" s="421"/>
      <c r="X2005" s="461"/>
      <c r="Y2005" s="421"/>
      <c r="Z2005" s="421"/>
      <c r="AA2005" s="421"/>
      <c r="AB2005" s="421"/>
      <c r="AC2005" s="421"/>
      <c r="AD2005" s="421"/>
    </row>
    <row r="2006" spans="1:30" s="146" customFormat="1" x14ac:dyDescent="0.4">
      <c r="A2006" s="212">
        <v>45901</v>
      </c>
      <c r="B2006" s="139">
        <v>153010</v>
      </c>
      <c r="C2006" s="140" t="str">
        <f>VLOOKUP(B2006,'112年全品項生產鍋數'!A:H,2,0)</f>
        <v>蜜桔皮6m/m</v>
      </c>
      <c r="D2006" s="290">
        <v>1</v>
      </c>
      <c r="E2006" s="141">
        <f>VLOOKUP(B2006,'112年全品項生產鍋數'!A:H,3,0)</f>
        <v>1</v>
      </c>
      <c r="F2006" s="142">
        <f>VLOOKUP(B2006,'112年全品項生產鍋數'!A:H,7,0)</f>
        <v>591</v>
      </c>
      <c r="G2006" s="143">
        <f t="shared" si="280"/>
        <v>591</v>
      </c>
      <c r="H2006" s="156">
        <v>520</v>
      </c>
      <c r="I2006" s="144">
        <f t="shared" si="281"/>
        <v>520</v>
      </c>
      <c r="J2006" s="100">
        <f t="shared" si="282"/>
        <v>0.87986463620981392</v>
      </c>
      <c r="K2006" s="51">
        <f>VLOOKUP(B:B,'生產達成率(目標)'!A:C,3,0)</f>
        <v>1</v>
      </c>
      <c r="L2006" s="20">
        <f t="shared" si="283"/>
        <v>-0.12</v>
      </c>
      <c r="M2006" s="137" t="str">
        <f>工時!R1190</f>
        <v>0</v>
      </c>
      <c r="N2006" s="144"/>
      <c r="O2006" s="144">
        <f t="shared" si="284"/>
        <v>0</v>
      </c>
      <c r="P2006" s="156">
        <v>520</v>
      </c>
      <c r="Q2006" s="145">
        <f t="shared" si="285"/>
        <v>1</v>
      </c>
      <c r="R2006" s="144"/>
      <c r="S2006" s="153"/>
      <c r="T2006" s="140"/>
      <c r="U2006" s="158"/>
      <c r="V2006" s="461"/>
      <c r="W2006" s="421"/>
      <c r="X2006" s="461"/>
      <c r="Y2006" s="421"/>
      <c r="Z2006" s="421"/>
      <c r="AA2006" s="421"/>
      <c r="AB2006" s="421"/>
      <c r="AC2006" s="421"/>
      <c r="AD2006" s="421"/>
    </row>
    <row r="2007" spans="1:30" x14ac:dyDescent="0.4">
      <c r="A2007" s="212">
        <v>45902</v>
      </c>
      <c r="B2007" s="139" t="s">
        <v>116</v>
      </c>
      <c r="C2007" s="30" t="str">
        <f>VLOOKUP(B2007,'112年全品項生產鍋數'!A:H,2,0)</f>
        <v>藍莓餡（大）(1*9.08kg)</v>
      </c>
      <c r="D2007" s="290">
        <v>20</v>
      </c>
      <c r="E2007" s="48">
        <f>VLOOKUP(B2007,'112年全品項生產鍋數'!A:H,3,0)</f>
        <v>9.08</v>
      </c>
      <c r="F2007" s="142">
        <f>VLOOKUP(B2007,'112年全品項生產鍋數'!A:H,7,0)</f>
        <v>17.8</v>
      </c>
      <c r="G2007" s="143">
        <f t="shared" si="280"/>
        <v>356</v>
      </c>
      <c r="H2007" s="156">
        <v>355</v>
      </c>
      <c r="I2007" s="23">
        <f t="shared" si="281"/>
        <v>3223.4</v>
      </c>
      <c r="J2007" s="100">
        <f t="shared" si="282"/>
        <v>0.9971910112359551</v>
      </c>
      <c r="K2007" s="51">
        <f>VLOOKUP(B:B,'生產達成率(目標)'!A:C,3,0)</f>
        <v>1</v>
      </c>
      <c r="L2007" s="20">
        <f t="shared" si="283"/>
        <v>-3.0000000000000001E-3</v>
      </c>
      <c r="M2007" s="137" t="str">
        <f>工時!R1191</f>
        <v>315</v>
      </c>
      <c r="N2007" s="144"/>
      <c r="O2007" s="144">
        <f t="shared" si="284"/>
        <v>0</v>
      </c>
      <c r="P2007" s="156">
        <v>355</v>
      </c>
      <c r="Q2007" s="98">
        <f t="shared" si="285"/>
        <v>1</v>
      </c>
      <c r="R2007" s="23"/>
      <c r="S2007" s="173"/>
      <c r="T2007" s="30"/>
      <c r="U2007" s="1"/>
      <c r="V2007" s="460"/>
      <c r="X2007" s="460"/>
    </row>
    <row r="2008" spans="1:30" x14ac:dyDescent="0.4">
      <c r="A2008" s="212">
        <v>45902</v>
      </c>
      <c r="B2008" s="139" t="s">
        <v>64</v>
      </c>
      <c r="C2008" s="30" t="str">
        <f>VLOOKUP(B2008,'112年全品項生產鍋數'!A:H,2,0)</f>
        <v>藍莓餡(1*6KG)</v>
      </c>
      <c r="D2008" s="290">
        <v>20</v>
      </c>
      <c r="E2008" s="48">
        <f>VLOOKUP(B2008,'112年全品項生產鍋數'!A:H,3,0)</f>
        <v>6</v>
      </c>
      <c r="F2008" s="142">
        <f>VLOOKUP(B2008,'112年全品項生產鍋數'!A:H,7,0)</f>
        <v>25.4</v>
      </c>
      <c r="G2008" s="143">
        <f t="shared" si="280"/>
        <v>508</v>
      </c>
      <c r="H2008" s="156">
        <f>300+208</f>
        <v>508</v>
      </c>
      <c r="I2008" s="23">
        <f t="shared" si="281"/>
        <v>3048</v>
      </c>
      <c r="J2008" s="100">
        <f t="shared" si="282"/>
        <v>1</v>
      </c>
      <c r="K2008" s="51">
        <f>VLOOKUP(B:B,'生產達成率(目標)'!A:C,3,0)</f>
        <v>1</v>
      </c>
      <c r="L2008" s="20">
        <f t="shared" si="283"/>
        <v>0</v>
      </c>
      <c r="M2008" s="137" t="str">
        <f>工時!R1192</f>
        <v>210</v>
      </c>
      <c r="N2008" s="144"/>
      <c r="O2008" s="144">
        <f t="shared" si="284"/>
        <v>1</v>
      </c>
      <c r="P2008" s="156">
        <f>299+208</f>
        <v>507</v>
      </c>
      <c r="Q2008" s="98">
        <f t="shared" si="285"/>
        <v>0.99803149606299213</v>
      </c>
      <c r="R2008" s="23"/>
      <c r="S2008" s="173"/>
      <c r="T2008" s="30"/>
      <c r="U2008" s="1"/>
      <c r="V2008" s="460"/>
      <c r="X2008" s="460"/>
    </row>
    <row r="2009" spans="1:30" x14ac:dyDescent="0.4">
      <c r="A2009" s="212">
        <v>45902</v>
      </c>
      <c r="B2009" s="139" t="s">
        <v>65</v>
      </c>
      <c r="C2009" s="30" t="str">
        <f>VLOOKUP(B2009,'112年全品項生產鍋數'!A:H,2,0)</f>
        <v>＃1花生(1*2.8kg)</v>
      </c>
      <c r="D2009" s="290">
        <v>32</v>
      </c>
      <c r="E2009" s="48">
        <f>VLOOKUP(B2009,'112年全品項生產鍋數'!A:H,3,0)</f>
        <v>2.8</v>
      </c>
      <c r="F2009" s="142">
        <f>VLOOKUP(B2009,'112年全品項生產鍋數'!A:H,7,0)</f>
        <v>44.5</v>
      </c>
      <c r="G2009" s="143">
        <f t="shared" si="280"/>
        <v>1424</v>
      </c>
      <c r="H2009" s="156">
        <v>1436</v>
      </c>
      <c r="I2009" s="23">
        <f t="shared" si="281"/>
        <v>4020.7999999999997</v>
      </c>
      <c r="J2009" s="100">
        <f t="shared" si="282"/>
        <v>1.0084269662921348</v>
      </c>
      <c r="K2009" s="51">
        <f>VLOOKUP(B:B,'生產達成率(目標)'!A:C,3,0)</f>
        <v>1</v>
      </c>
      <c r="L2009" s="20">
        <f t="shared" si="283"/>
        <v>8.0000000000000002E-3</v>
      </c>
      <c r="M2009" s="137" t="str">
        <f>工時!R1193</f>
        <v>390</v>
      </c>
      <c r="N2009" s="144"/>
      <c r="O2009" s="144">
        <f t="shared" si="284"/>
        <v>1</v>
      </c>
      <c r="P2009" s="156">
        <v>1435</v>
      </c>
      <c r="Q2009" s="98">
        <f t="shared" si="285"/>
        <v>0.99930362116991645</v>
      </c>
      <c r="R2009" s="23"/>
      <c r="S2009" s="173"/>
      <c r="T2009" s="30"/>
      <c r="U2009" s="1"/>
      <c r="V2009" s="460"/>
      <c r="X2009" s="460"/>
    </row>
    <row r="2010" spans="1:30" ht="15.75" customHeight="1" x14ac:dyDescent="0.4">
      <c r="A2010" s="212">
        <v>45903</v>
      </c>
      <c r="B2010" s="139" t="s">
        <v>71</v>
      </c>
      <c r="C2010" s="30" t="str">
        <f>VLOOKUP(B2010,'112年全品項生產鍋數'!A:H,2,0)</f>
        <v>＃1草莓(1*3.2kg)</v>
      </c>
      <c r="D2010" s="290">
        <v>36</v>
      </c>
      <c r="E2010" s="48">
        <f>VLOOKUP(B2010,'112年全品項生產鍋數'!A:H,3,0)</f>
        <v>3.2</v>
      </c>
      <c r="F2010" s="142">
        <f>VLOOKUP(B2010,'112年全品項生產鍋數'!A:H,7,0)</f>
        <v>46.8</v>
      </c>
      <c r="G2010" s="143">
        <f t="shared" si="280"/>
        <v>1684.8</v>
      </c>
      <c r="H2010" s="156">
        <v>1661</v>
      </c>
      <c r="I2010" s="23">
        <f t="shared" si="281"/>
        <v>5315.2000000000007</v>
      </c>
      <c r="J2010" s="100">
        <f t="shared" si="282"/>
        <v>0.98587369420702753</v>
      </c>
      <c r="K2010" s="51">
        <f>VLOOKUP(B:B,'生產達成率(目標)'!A:C,3,0)</f>
        <v>1</v>
      </c>
      <c r="L2010" s="20">
        <f t="shared" si="283"/>
        <v>-1.4E-2</v>
      </c>
      <c r="M2010" s="137" t="str">
        <f>工時!R1194</f>
        <v>300</v>
      </c>
      <c r="N2010" s="144"/>
      <c r="O2010" s="144">
        <f t="shared" si="284"/>
        <v>54</v>
      </c>
      <c r="P2010" s="156">
        <v>1607</v>
      </c>
      <c r="Q2010" s="98">
        <f t="shared" si="285"/>
        <v>0.96748946417820592</v>
      </c>
      <c r="R2010" s="23" t="s">
        <v>1130</v>
      </c>
      <c r="S2010" s="173"/>
      <c r="T2010" s="30" t="s">
        <v>1131</v>
      </c>
      <c r="U2010" s="1"/>
      <c r="V2010" s="460"/>
      <c r="X2010" s="460"/>
    </row>
    <row r="2011" spans="1:30" x14ac:dyDescent="0.4">
      <c r="A2011" s="212">
        <v>45903</v>
      </c>
      <c r="B2011" s="139" t="s">
        <v>87</v>
      </c>
      <c r="C2011" s="30" t="str">
        <f>VLOOKUP(B2011,'112年全品項生產鍋數'!A:H,2,0)</f>
        <v>＃1藍莓(1*3.2kg)</v>
      </c>
      <c r="D2011" s="290">
        <v>36</v>
      </c>
      <c r="E2011" s="48">
        <f>VLOOKUP(B2011,'112年全品項生產鍋數'!A:H,3,0)</f>
        <v>3.2</v>
      </c>
      <c r="F2011" s="142">
        <f>VLOOKUP(B2011,'112年全品項生產鍋數'!A:H,7,0)</f>
        <v>47.5</v>
      </c>
      <c r="G2011" s="143">
        <f t="shared" si="280"/>
        <v>1710</v>
      </c>
      <c r="H2011" s="156">
        <v>1741</v>
      </c>
      <c r="I2011" s="23">
        <f t="shared" si="281"/>
        <v>5571.2000000000007</v>
      </c>
      <c r="J2011" s="100">
        <f t="shared" si="282"/>
        <v>1.0181286549707602</v>
      </c>
      <c r="K2011" s="51">
        <f>VLOOKUP(B:B,'生產達成率(目標)'!A:C,3,0)</f>
        <v>1</v>
      </c>
      <c r="L2011" s="20">
        <f t="shared" si="283"/>
        <v>1.7999999999999999E-2</v>
      </c>
      <c r="M2011" s="137" t="str">
        <f>工時!R1195</f>
        <v>240</v>
      </c>
      <c r="N2011" s="144"/>
      <c r="O2011" s="144">
        <f t="shared" si="284"/>
        <v>1</v>
      </c>
      <c r="P2011" s="156">
        <v>1740</v>
      </c>
      <c r="Q2011" s="98">
        <f t="shared" si="285"/>
        <v>0.99942561746122915</v>
      </c>
      <c r="R2011" s="23"/>
      <c r="S2011" s="173">
        <v>108</v>
      </c>
      <c r="T2011" s="30" t="s">
        <v>1132</v>
      </c>
      <c r="U2011" s="1"/>
      <c r="V2011" s="460"/>
      <c r="X2011" s="460"/>
    </row>
    <row r="2012" spans="1:30" x14ac:dyDescent="0.4">
      <c r="A2012" s="212">
        <v>45903</v>
      </c>
      <c r="B2012" s="139" t="s">
        <v>63</v>
      </c>
      <c r="C2012" s="30" t="str">
        <f>VLOOKUP(B2012,'112年全品項生產鍋數'!A:H,2,0)</f>
        <v>草莓蒟蒻餡(1*6kg)</v>
      </c>
      <c r="D2012" s="290">
        <v>20</v>
      </c>
      <c r="E2012" s="48">
        <f>VLOOKUP(B2012,'112年全品項生產鍋數'!A:H,3,0)</f>
        <v>6</v>
      </c>
      <c r="F2012" s="142">
        <f>VLOOKUP(B2012,'112年全品項生產鍋數'!A:H,7,0)</f>
        <v>25.7</v>
      </c>
      <c r="G2012" s="143">
        <f t="shared" si="280"/>
        <v>514</v>
      </c>
      <c r="H2012" s="156">
        <f>312+217</f>
        <v>529</v>
      </c>
      <c r="I2012" s="23">
        <f t="shared" si="281"/>
        <v>3174</v>
      </c>
      <c r="J2012" s="100">
        <f t="shared" si="282"/>
        <v>1.0291828793774318</v>
      </c>
      <c r="K2012" s="51">
        <f>VLOOKUP(B:B,'生產達成率(目標)'!A:C,3,0)</f>
        <v>1</v>
      </c>
      <c r="L2012" s="20">
        <f t="shared" si="283"/>
        <v>2.9000000000000001E-2</v>
      </c>
      <c r="M2012" s="137" t="str">
        <f>工時!R1196</f>
        <v>331</v>
      </c>
      <c r="N2012" s="144"/>
      <c r="O2012" s="144">
        <f t="shared" si="284"/>
        <v>1</v>
      </c>
      <c r="P2012" s="156">
        <f>311+217</f>
        <v>528</v>
      </c>
      <c r="Q2012" s="98">
        <f t="shared" si="285"/>
        <v>0.99810964083175802</v>
      </c>
      <c r="R2012" s="23"/>
      <c r="S2012" s="173"/>
      <c r="T2012" s="30"/>
      <c r="U2012" s="1"/>
      <c r="V2012" s="460"/>
      <c r="X2012" s="460"/>
    </row>
    <row r="2013" spans="1:30" x14ac:dyDescent="0.4">
      <c r="A2013" s="212">
        <v>45903</v>
      </c>
      <c r="B2013" s="139" t="s">
        <v>77</v>
      </c>
      <c r="C2013" s="30" t="str">
        <f>VLOOKUP(B2013,'112年全品項生產鍋數'!A:H,2,0)</f>
        <v>草莓餡50°(1*6Kg)</v>
      </c>
      <c r="D2013" s="290">
        <v>8</v>
      </c>
      <c r="E2013" s="48">
        <f>VLOOKUP(B2013,'112年全品項生產鍋數'!A:H,3,0)</f>
        <v>6</v>
      </c>
      <c r="F2013" s="142">
        <f>VLOOKUP(B2013,'112年全品項生產鍋數'!A:H,7,0)</f>
        <v>25</v>
      </c>
      <c r="G2013" s="143">
        <f t="shared" si="280"/>
        <v>200</v>
      </c>
      <c r="H2013" s="156">
        <v>201</v>
      </c>
      <c r="I2013" s="23">
        <f t="shared" si="281"/>
        <v>1206</v>
      </c>
      <c r="J2013" s="100">
        <f t="shared" si="282"/>
        <v>1.0049999999999999</v>
      </c>
      <c r="K2013" s="51">
        <f>VLOOKUP(B:B,'生產達成率(目標)'!A:C,3,0)</f>
        <v>1</v>
      </c>
      <c r="L2013" s="20">
        <f t="shared" si="283"/>
        <v>5.0000000000000001E-3</v>
      </c>
      <c r="M2013" s="137" t="str">
        <f>工時!R1197</f>
        <v>119</v>
      </c>
      <c r="N2013" s="144"/>
      <c r="O2013" s="144">
        <f t="shared" si="284"/>
        <v>1</v>
      </c>
      <c r="P2013" s="156">
        <v>200</v>
      </c>
      <c r="Q2013" s="98">
        <f t="shared" si="285"/>
        <v>0.99502487562189057</v>
      </c>
      <c r="R2013" s="23"/>
      <c r="S2013" s="173"/>
      <c r="T2013" s="30"/>
      <c r="U2013" s="1"/>
      <c r="V2013" s="460"/>
      <c r="X2013" s="460"/>
    </row>
    <row r="2014" spans="1:30" x14ac:dyDescent="0.4">
      <c r="A2014" s="212">
        <v>45903</v>
      </c>
      <c r="B2014" s="139" t="s">
        <v>99</v>
      </c>
      <c r="C2014" s="30" t="str">
        <f>VLOOKUP(B2014,'112年全品項生產鍋數'!A:H,2,0)</f>
        <v>葡萄奇異果醬(1*6kg)</v>
      </c>
      <c r="D2014" s="290">
        <v>6</v>
      </c>
      <c r="E2014" s="48">
        <f>VLOOKUP(B2014,'112年全品項生產鍋數'!A:H,3,0)</f>
        <v>6</v>
      </c>
      <c r="F2014" s="142">
        <f>VLOOKUP(B2014,'112年全品項生產鍋數'!A:H,7,0)</f>
        <v>24.3</v>
      </c>
      <c r="G2014" s="143">
        <f t="shared" si="280"/>
        <v>145.80000000000001</v>
      </c>
      <c r="H2014" s="156">
        <v>153</v>
      </c>
      <c r="I2014" s="23">
        <f t="shared" si="281"/>
        <v>918</v>
      </c>
      <c r="J2014" s="100">
        <f t="shared" si="282"/>
        <v>1.0493827160493827</v>
      </c>
      <c r="K2014" s="51">
        <f>VLOOKUP(B:B,'生產達成率(目標)'!A:C,3,0)</f>
        <v>1</v>
      </c>
      <c r="L2014" s="20">
        <f t="shared" si="283"/>
        <v>4.9000000000000002E-2</v>
      </c>
      <c r="M2014" s="137" t="str">
        <f>工時!R1198</f>
        <v>130</v>
      </c>
      <c r="N2014" s="144"/>
      <c r="O2014" s="144">
        <f t="shared" si="284"/>
        <v>1</v>
      </c>
      <c r="P2014" s="156">
        <v>152</v>
      </c>
      <c r="Q2014" s="98">
        <f t="shared" si="285"/>
        <v>0.99346405228758172</v>
      </c>
      <c r="R2014" s="23"/>
      <c r="S2014" s="173"/>
      <c r="T2014" s="30"/>
      <c r="U2014" s="1"/>
      <c r="V2014" s="460"/>
      <c r="X2014" s="460"/>
    </row>
    <row r="2015" spans="1:30" s="146" customFormat="1" x14ac:dyDescent="0.4">
      <c r="A2015" s="212">
        <v>45903</v>
      </c>
      <c r="B2015" s="139" t="s">
        <v>58</v>
      </c>
      <c r="C2015" s="140" t="str">
        <f>VLOOKUP(B2015,'112年全品項生產鍋數'!A:H,2,0)</f>
        <v>PET大花生(1*400g)</v>
      </c>
      <c r="D2015" s="290">
        <v>32</v>
      </c>
      <c r="E2015" s="141">
        <f>VLOOKUP(B2015,'112年全品項生產鍋數'!A:H,3,0)</f>
        <v>0.4</v>
      </c>
      <c r="F2015" s="142">
        <f>VLOOKUP(B2015,'112年全品項生產鍋數'!A:H,7,0)</f>
        <v>309.2</v>
      </c>
      <c r="G2015" s="143">
        <f t="shared" si="280"/>
        <v>9894.4</v>
      </c>
      <c r="H2015" s="156">
        <v>10297</v>
      </c>
      <c r="I2015" s="144">
        <f t="shared" si="281"/>
        <v>4118.8</v>
      </c>
      <c r="J2015" s="100">
        <f t="shared" si="282"/>
        <v>1.0406896830530401</v>
      </c>
      <c r="K2015" s="51">
        <f>VLOOKUP(B:B,'生產達成率(目標)'!A:C,3,0)</f>
        <v>1</v>
      </c>
      <c r="L2015" s="20">
        <f t="shared" si="283"/>
        <v>4.1000000000000002E-2</v>
      </c>
      <c r="M2015" s="137" t="str">
        <f>工時!R1199</f>
        <v>475</v>
      </c>
      <c r="N2015" s="144"/>
      <c r="O2015" s="144">
        <f t="shared" si="284"/>
        <v>3</v>
      </c>
      <c r="P2015" s="156">
        <v>10294</v>
      </c>
      <c r="Q2015" s="145">
        <f t="shared" si="285"/>
        <v>0.99970865300572986</v>
      </c>
      <c r="R2015" s="144"/>
      <c r="S2015" s="153"/>
      <c r="T2015" s="140"/>
      <c r="U2015" s="158"/>
      <c r="V2015" s="461"/>
      <c r="W2015" s="421"/>
      <c r="X2015" s="461"/>
      <c r="Y2015" s="421"/>
      <c r="Z2015" s="421"/>
      <c r="AA2015" s="421"/>
      <c r="AB2015" s="421"/>
      <c r="AC2015" s="421"/>
      <c r="AD2015" s="421"/>
    </row>
    <row r="2016" spans="1:30" s="146" customFormat="1" x14ac:dyDescent="0.4">
      <c r="A2016" s="212">
        <v>45903</v>
      </c>
      <c r="B2016" s="139" t="s">
        <v>96</v>
      </c>
      <c r="C2016" s="140" t="str">
        <f>VLOOKUP(B2016,'112年全品項生產鍋數'!A:H,2,0)</f>
        <v>PET瓶花生(1*340g)</v>
      </c>
      <c r="D2016" s="290">
        <v>12</v>
      </c>
      <c r="E2016" s="141">
        <f>VLOOKUP(B2016,'112年全品項生產鍋數'!A:H,3,0)</f>
        <v>0.34</v>
      </c>
      <c r="F2016" s="142">
        <f>VLOOKUP(B2016,'112年全品項生產鍋數'!A:H,7,0)</f>
        <v>358.3</v>
      </c>
      <c r="G2016" s="143">
        <f t="shared" si="280"/>
        <v>4299.6000000000004</v>
      </c>
      <c r="H2016" s="156">
        <f>3602+436</f>
        <v>4038</v>
      </c>
      <c r="I2016" s="144">
        <f t="shared" si="281"/>
        <v>1372.92</v>
      </c>
      <c r="J2016" s="100">
        <f t="shared" si="282"/>
        <v>0.93915713089589725</v>
      </c>
      <c r="K2016" s="51">
        <f>VLOOKUP(B:B,'生產達成率(目標)'!A:C,3,0)</f>
        <v>1</v>
      </c>
      <c r="L2016" s="20">
        <f t="shared" si="283"/>
        <v>-6.0999999999999999E-2</v>
      </c>
      <c r="M2016" s="137" t="str">
        <f>工時!R1200</f>
        <v>190</v>
      </c>
      <c r="N2016" s="144"/>
      <c r="O2016" s="144">
        <f t="shared" si="284"/>
        <v>4</v>
      </c>
      <c r="P2016" s="156">
        <f>3600+434</f>
        <v>4034</v>
      </c>
      <c r="Q2016" s="145">
        <f t="shared" si="285"/>
        <v>0.99900941059930659</v>
      </c>
      <c r="R2016" s="144"/>
      <c r="S2016" s="153"/>
      <c r="T2016" s="140" t="s">
        <v>1129</v>
      </c>
      <c r="U2016" s="158"/>
      <c r="V2016" s="461"/>
      <c r="W2016" s="421"/>
      <c r="X2016" s="461"/>
      <c r="Y2016" s="421"/>
      <c r="Z2016" s="421"/>
      <c r="AA2016" s="421"/>
      <c r="AB2016" s="421"/>
      <c r="AC2016" s="421"/>
      <c r="AD2016" s="421"/>
    </row>
    <row r="2017" spans="1:30" s="146" customFormat="1" x14ac:dyDescent="0.4">
      <c r="A2017" s="212">
        <v>45904</v>
      </c>
      <c r="B2017" s="139" t="s">
        <v>451</v>
      </c>
      <c r="C2017" s="140" t="str">
        <f>VLOOKUP(B2017,'112年全品項生產鍋數'!A:H,2,0)</f>
        <v>水蜜桃醬(1*6kg)</v>
      </c>
      <c r="D2017" s="290">
        <v>6</v>
      </c>
      <c r="E2017" s="141">
        <f>VLOOKUP(B2017,'112年全品項生產鍋數'!A:H,3,0)</f>
        <v>6</v>
      </c>
      <c r="F2017" s="142">
        <f>VLOOKUP(B2017,'112年全品項生產鍋數'!A:H,7,0)</f>
        <v>24.5</v>
      </c>
      <c r="G2017" s="143">
        <f t="shared" si="280"/>
        <v>147</v>
      </c>
      <c r="H2017" s="156">
        <v>144</v>
      </c>
      <c r="I2017" s="144">
        <f t="shared" si="281"/>
        <v>864</v>
      </c>
      <c r="J2017" s="100">
        <f t="shared" si="282"/>
        <v>0.97959183673469385</v>
      </c>
      <c r="K2017" s="51">
        <f>VLOOKUP(B:B,'生產達成率(目標)'!A:C,3,0)</f>
        <v>1</v>
      </c>
      <c r="L2017" s="20">
        <f t="shared" si="283"/>
        <v>-0.02</v>
      </c>
      <c r="M2017" s="137" t="str">
        <f>工時!R1201</f>
        <v>150</v>
      </c>
      <c r="N2017" s="144"/>
      <c r="O2017" s="144">
        <f t="shared" si="284"/>
        <v>1</v>
      </c>
      <c r="P2017" s="156">
        <v>143</v>
      </c>
      <c r="Q2017" s="145">
        <f t="shared" si="285"/>
        <v>0.99305555555555558</v>
      </c>
      <c r="R2017" s="144"/>
      <c r="S2017" s="153"/>
      <c r="T2017" s="140"/>
      <c r="U2017" s="158"/>
      <c r="V2017" s="461"/>
      <c r="W2017" s="421"/>
      <c r="X2017" s="461"/>
      <c r="Y2017" s="421"/>
      <c r="Z2017" s="421"/>
      <c r="AA2017" s="421"/>
      <c r="AB2017" s="421"/>
      <c r="AC2017" s="421"/>
      <c r="AD2017" s="421"/>
    </row>
    <row r="2018" spans="1:30" s="146" customFormat="1" x14ac:dyDescent="0.4">
      <c r="A2018" s="212">
        <v>45904</v>
      </c>
      <c r="B2018" s="139" t="s">
        <v>54</v>
      </c>
      <c r="C2018" s="140" t="str">
        <f>VLOOKUP(B2018,'112年全品項生產鍋數'!A:H,2,0)</f>
        <v>草莓醬(1*6kg)</v>
      </c>
      <c r="D2018" s="290">
        <v>30</v>
      </c>
      <c r="E2018" s="141">
        <f>VLOOKUP(B2018,'112年全品項生產鍋數'!A:H,3,0)</f>
        <v>6</v>
      </c>
      <c r="F2018" s="142">
        <f>VLOOKUP(B2018,'112年全品項生產鍋數'!A:H,7,0)</f>
        <v>26.6</v>
      </c>
      <c r="G2018" s="143">
        <f t="shared" si="280"/>
        <v>798</v>
      </c>
      <c r="H2018" s="156">
        <v>800</v>
      </c>
      <c r="I2018" s="144">
        <f t="shared" si="281"/>
        <v>4800</v>
      </c>
      <c r="J2018" s="100">
        <f t="shared" si="282"/>
        <v>1.0025062656641603</v>
      </c>
      <c r="K2018" s="51">
        <f>VLOOKUP(B:B,'生產達成率(目標)'!A:C,3,0)</f>
        <v>1</v>
      </c>
      <c r="L2018" s="20">
        <f t="shared" si="283"/>
        <v>3.0000000000000001E-3</v>
      </c>
      <c r="M2018" s="137" t="str">
        <f>工時!R1202</f>
        <v>433</v>
      </c>
      <c r="N2018" s="144"/>
      <c r="O2018" s="144">
        <f t="shared" si="284"/>
        <v>1</v>
      </c>
      <c r="P2018" s="156">
        <v>799</v>
      </c>
      <c r="Q2018" s="145">
        <f t="shared" si="285"/>
        <v>0.99875000000000003</v>
      </c>
      <c r="R2018" s="144"/>
      <c r="S2018" s="153"/>
      <c r="T2018" s="140"/>
      <c r="U2018" s="158"/>
      <c r="V2018" s="461"/>
      <c r="W2018" s="421"/>
      <c r="X2018" s="461"/>
      <c r="Y2018" s="421"/>
      <c r="Z2018" s="421"/>
      <c r="AA2018" s="421"/>
      <c r="AB2018" s="421"/>
      <c r="AC2018" s="421"/>
      <c r="AD2018" s="421"/>
    </row>
    <row r="2019" spans="1:30" s="146" customFormat="1" x14ac:dyDescent="0.4">
      <c r="A2019" s="212">
        <v>45904</v>
      </c>
      <c r="B2019" s="139" t="s">
        <v>951</v>
      </c>
      <c r="C2019" s="140" t="str">
        <f>VLOOKUP(B2019,'112年全品項生產鍋數'!A:H,2,0)</f>
        <v>雙曲藍莓餡(1*9.08kg)</v>
      </c>
      <c r="D2019" s="290">
        <v>18</v>
      </c>
      <c r="E2019" s="141">
        <f>VLOOKUP(B2019,'112年全品項生產鍋數'!A:H,3,0)</f>
        <v>9.08</v>
      </c>
      <c r="F2019" s="142">
        <f>VLOOKUP(B2019,'112年全品項生產鍋數'!A:H,7,0)</f>
        <v>17.600000000000001</v>
      </c>
      <c r="G2019" s="143">
        <f t="shared" si="280"/>
        <v>316.8</v>
      </c>
      <c r="H2019" s="156">
        <v>334</v>
      </c>
      <c r="I2019" s="144">
        <f t="shared" si="281"/>
        <v>3032.72</v>
      </c>
      <c r="J2019" s="100">
        <f t="shared" si="282"/>
        <v>1.0542929292929293</v>
      </c>
      <c r="K2019" s="51">
        <f>VLOOKUP(B:B,'生產達成率(目標)'!A:C,3,0)</f>
        <v>1</v>
      </c>
      <c r="L2019" s="20">
        <f t="shared" si="283"/>
        <v>5.3999999999999999E-2</v>
      </c>
      <c r="M2019" s="137" t="str">
        <f>工時!R1203</f>
        <v>290</v>
      </c>
      <c r="N2019" s="144"/>
      <c r="O2019" s="144">
        <f t="shared" si="284"/>
        <v>0</v>
      </c>
      <c r="P2019" s="156">
        <v>334</v>
      </c>
      <c r="Q2019" s="145">
        <f t="shared" si="285"/>
        <v>1</v>
      </c>
      <c r="R2019" s="144"/>
      <c r="S2019" s="153"/>
      <c r="T2019" s="140"/>
      <c r="U2019" s="158"/>
      <c r="V2019" s="461"/>
      <c r="W2019" s="421"/>
      <c r="X2019" s="461"/>
      <c r="Y2019" s="421"/>
      <c r="Z2019" s="421"/>
      <c r="AA2019" s="421"/>
      <c r="AB2019" s="421"/>
      <c r="AC2019" s="421"/>
      <c r="AD2019" s="421"/>
    </row>
    <row r="2020" spans="1:30" s="146" customFormat="1" x14ac:dyDescent="0.4">
      <c r="A2020" s="212">
        <v>45904</v>
      </c>
      <c r="B2020" s="139" t="s">
        <v>57</v>
      </c>
      <c r="C2020" s="140" t="str">
        <f>VLOOKUP(B2020,'112年全品項生產鍋數'!A:H,2,0)</f>
        <v>蘋果藍莓餡(1*9.08kg)</v>
      </c>
      <c r="D2020" s="290">
        <v>18</v>
      </c>
      <c r="E2020" s="141">
        <f>VLOOKUP(B2020,'112年全品項生產鍋數'!A:H,3,0)</f>
        <v>9.08</v>
      </c>
      <c r="F2020" s="142">
        <f>VLOOKUP(B2020,'112年全品項生產鍋數'!A:H,7,0)</f>
        <v>17.3</v>
      </c>
      <c r="G2020" s="143">
        <f t="shared" si="280"/>
        <v>311.40000000000003</v>
      </c>
      <c r="H2020" s="156">
        <v>316</v>
      </c>
      <c r="I2020" s="144">
        <f t="shared" si="281"/>
        <v>2869.28</v>
      </c>
      <c r="J2020" s="100">
        <f t="shared" si="282"/>
        <v>1.0147719974309568</v>
      </c>
      <c r="K2020" s="51">
        <f>VLOOKUP(B:B,'生產達成率(目標)'!A:C,3,0)</f>
        <v>1</v>
      </c>
      <c r="L2020" s="20">
        <f t="shared" si="283"/>
        <v>1.4999999999999999E-2</v>
      </c>
      <c r="M2020" s="137" t="str">
        <f>工時!R1204</f>
        <v>260</v>
      </c>
      <c r="N2020" s="144"/>
      <c r="O2020" s="144">
        <f t="shared" si="284"/>
        <v>1</v>
      </c>
      <c r="P2020" s="156">
        <v>315</v>
      </c>
      <c r="Q2020" s="145">
        <f t="shared" si="285"/>
        <v>0.99683544303797467</v>
      </c>
      <c r="R2020" s="144"/>
      <c r="S2020" s="153"/>
      <c r="T2020" s="140"/>
      <c r="U2020" s="158"/>
      <c r="V2020" s="461"/>
      <c r="W2020" s="421"/>
      <c r="X2020" s="461"/>
      <c r="Y2020" s="421"/>
      <c r="Z2020" s="421"/>
      <c r="AA2020" s="421"/>
      <c r="AB2020" s="421"/>
      <c r="AC2020" s="421"/>
      <c r="AD2020" s="421"/>
    </row>
    <row r="2021" spans="1:30" s="146" customFormat="1" ht="34" x14ac:dyDescent="0.4">
      <c r="A2021" s="212">
        <v>45904</v>
      </c>
      <c r="B2021" s="139" t="s">
        <v>65</v>
      </c>
      <c r="C2021" s="140" t="str">
        <f>VLOOKUP(B2021,'112年全品項生產鍋數'!A:H,2,0)</f>
        <v>＃1花生(1*2.8kg)</v>
      </c>
      <c r="D2021" s="290">
        <v>72</v>
      </c>
      <c r="E2021" s="141">
        <f>VLOOKUP(B2021,'112年全品項生產鍋數'!A:H,3,0)</f>
        <v>2.8</v>
      </c>
      <c r="F2021" s="142">
        <f>VLOOKUP(B2021,'112年全品項生產鍋數'!A:H,7,0)</f>
        <v>44.5</v>
      </c>
      <c r="G2021" s="143">
        <f>D2021*F2021-18*50/E2021</f>
        <v>2882.5714285714284</v>
      </c>
      <c r="H2021" s="156">
        <f>2594+300</f>
        <v>2894</v>
      </c>
      <c r="I2021" s="144">
        <f t="shared" si="281"/>
        <v>8103.2</v>
      </c>
      <c r="J2021" s="100">
        <f t="shared" si="282"/>
        <v>1.0039647140449997</v>
      </c>
      <c r="K2021" s="51">
        <f>VLOOKUP(B:B,'生產達成率(目標)'!A:C,3,0)</f>
        <v>1</v>
      </c>
      <c r="L2021" s="20">
        <f t="shared" si="283"/>
        <v>4.0000000000000001E-3</v>
      </c>
      <c r="M2021" s="137" t="str">
        <f>工時!R1205</f>
        <v>555</v>
      </c>
      <c r="N2021" s="144"/>
      <c r="O2021" s="144">
        <f t="shared" si="284"/>
        <v>1</v>
      </c>
      <c r="P2021" s="156">
        <f>2593+300</f>
        <v>2893</v>
      </c>
      <c r="Q2021" s="145">
        <f t="shared" si="285"/>
        <v>0.99965445749827231</v>
      </c>
      <c r="R2021" s="144"/>
      <c r="S2021" s="153"/>
      <c r="T2021" s="171" t="s">
        <v>1128</v>
      </c>
      <c r="U2021" s="158"/>
      <c r="V2021" s="461"/>
      <c r="W2021" s="421"/>
      <c r="X2021" s="461"/>
      <c r="Y2021" s="421"/>
      <c r="Z2021" s="421"/>
      <c r="AA2021" s="421"/>
      <c r="AB2021" s="421"/>
      <c r="AC2021" s="421"/>
      <c r="AD2021" s="421"/>
    </row>
    <row r="2022" spans="1:30" s="146" customFormat="1" x14ac:dyDescent="0.4">
      <c r="A2022" s="212">
        <v>45905</v>
      </c>
      <c r="B2022" s="139" t="s">
        <v>71</v>
      </c>
      <c r="C2022" s="140" t="str">
        <f>VLOOKUP(B2022,'112年全品項生產鍋數'!A:H,2,0)</f>
        <v>＃1草莓(1*3.2kg)</v>
      </c>
      <c r="D2022" s="290">
        <v>36</v>
      </c>
      <c r="E2022" s="141">
        <f>VLOOKUP(B2022,'112年全品項生產鍋數'!A:H,3,0)</f>
        <v>3.2</v>
      </c>
      <c r="F2022" s="142">
        <f>VLOOKUP(B2022,'112年全品項生產鍋數'!A:H,7,0)</f>
        <v>46.8</v>
      </c>
      <c r="G2022" s="143">
        <f t="shared" si="280"/>
        <v>1684.8</v>
      </c>
      <c r="H2022" s="156">
        <v>1682</v>
      </c>
      <c r="I2022" s="144">
        <f t="shared" si="281"/>
        <v>5382.4000000000005</v>
      </c>
      <c r="J2022" s="100">
        <f t="shared" si="282"/>
        <v>0.99833808167141502</v>
      </c>
      <c r="K2022" s="51">
        <f>VLOOKUP(B:B,'生產達成率(目標)'!A:C,3,0)</f>
        <v>1</v>
      </c>
      <c r="L2022" s="20">
        <f t="shared" si="283"/>
        <v>-2E-3</v>
      </c>
      <c r="M2022" s="137" t="str">
        <f>工時!R1206</f>
        <v>300</v>
      </c>
      <c r="N2022" s="144"/>
      <c r="O2022" s="144">
        <f t="shared" si="284"/>
        <v>6</v>
      </c>
      <c r="P2022" s="156">
        <v>1676</v>
      </c>
      <c r="Q2022" s="145">
        <f t="shared" si="285"/>
        <v>0.99643281807372175</v>
      </c>
      <c r="R2022" s="144"/>
      <c r="S2022" s="153"/>
      <c r="T2022" s="140"/>
      <c r="U2022" s="158"/>
      <c r="V2022" s="461"/>
      <c r="W2022" s="421"/>
      <c r="X2022" s="461"/>
      <c r="Y2022" s="421"/>
      <c r="Z2022" s="421"/>
      <c r="AA2022" s="421"/>
      <c r="AB2022" s="421"/>
      <c r="AC2022" s="421"/>
      <c r="AD2022" s="421"/>
    </row>
    <row r="2023" spans="1:30" s="146" customFormat="1" x14ac:dyDescent="0.4">
      <c r="A2023" s="212">
        <v>45905</v>
      </c>
      <c r="B2023" s="139" t="s">
        <v>86</v>
      </c>
      <c r="C2023" s="140" t="str">
        <f>VLOOKUP(B2023,'112年全品項生產鍋數'!A:H,2,0)</f>
        <v>＃2藍莓(1*900g)</v>
      </c>
      <c r="D2023" s="290">
        <v>20</v>
      </c>
      <c r="E2023" s="141">
        <f>VLOOKUP(B2023,'112年全品項生產鍋數'!A:H,3,0)</f>
        <v>0.9</v>
      </c>
      <c r="F2023" s="142">
        <f>VLOOKUP(B2023,'112年全品項生產鍋數'!A:H,7,0)</f>
        <v>163</v>
      </c>
      <c r="G2023" s="143">
        <f t="shared" si="280"/>
        <v>3260</v>
      </c>
      <c r="H2023" s="156">
        <v>3274</v>
      </c>
      <c r="I2023" s="144">
        <f t="shared" si="281"/>
        <v>2946.6</v>
      </c>
      <c r="J2023" s="100">
        <f t="shared" si="282"/>
        <v>1.0042944785276073</v>
      </c>
      <c r="K2023" s="51">
        <f>VLOOKUP(B:B,'生產達成率(目標)'!A:C,3,0)</f>
        <v>1</v>
      </c>
      <c r="L2023" s="20">
        <f t="shared" si="283"/>
        <v>4.0000000000000001E-3</v>
      </c>
      <c r="M2023" s="137" t="str">
        <f>工時!R1207</f>
        <v>270</v>
      </c>
      <c r="N2023" s="144"/>
      <c r="O2023" s="144">
        <f t="shared" si="284"/>
        <v>2</v>
      </c>
      <c r="P2023" s="156">
        <v>3272</v>
      </c>
      <c r="Q2023" s="145">
        <f t="shared" si="285"/>
        <v>0.99938912645082467</v>
      </c>
      <c r="R2023" s="144"/>
      <c r="S2023" s="173">
        <v>28</v>
      </c>
      <c r="T2023" s="30" t="s">
        <v>1132</v>
      </c>
      <c r="U2023" s="158"/>
      <c r="V2023" s="461"/>
      <c r="W2023" s="421"/>
      <c r="X2023" s="461"/>
      <c r="Y2023" s="421"/>
      <c r="Z2023" s="421"/>
      <c r="AA2023" s="421"/>
      <c r="AB2023" s="421"/>
      <c r="AC2023" s="421"/>
      <c r="AD2023" s="421"/>
    </row>
    <row r="2024" spans="1:30" s="146" customFormat="1" x14ac:dyDescent="0.4">
      <c r="A2024" s="212">
        <v>45905</v>
      </c>
      <c r="B2024" s="139" t="s">
        <v>63</v>
      </c>
      <c r="C2024" s="140" t="str">
        <f>VLOOKUP(B2024,'112年全品項生產鍋數'!A:H,2,0)</f>
        <v>草莓蒟蒻餡(1*6kg)</v>
      </c>
      <c r="D2024" s="290">
        <v>20</v>
      </c>
      <c r="E2024" s="141">
        <f>VLOOKUP(B2024,'112年全品項生產鍋數'!A:H,3,0)</f>
        <v>6</v>
      </c>
      <c r="F2024" s="142">
        <f>VLOOKUP(B2024,'112年全品項生產鍋數'!A:H,7,0)</f>
        <v>25.7</v>
      </c>
      <c r="G2024" s="143">
        <f t="shared" si="280"/>
        <v>514</v>
      </c>
      <c r="H2024" s="156">
        <f>302+217</f>
        <v>519</v>
      </c>
      <c r="I2024" s="144">
        <f t="shared" si="281"/>
        <v>3114</v>
      </c>
      <c r="J2024" s="100">
        <f t="shared" si="282"/>
        <v>1.0097276264591439</v>
      </c>
      <c r="K2024" s="51">
        <f>VLOOKUP(B:B,'生產達成率(目標)'!A:C,3,0)</f>
        <v>1</v>
      </c>
      <c r="L2024" s="20">
        <f t="shared" si="283"/>
        <v>0.01</v>
      </c>
      <c r="M2024" s="137" t="str">
        <f>工時!R1208</f>
        <v>326</v>
      </c>
      <c r="N2024" s="144"/>
      <c r="O2024" s="144">
        <f t="shared" si="284"/>
        <v>1</v>
      </c>
      <c r="P2024" s="156">
        <f>301+217</f>
        <v>518</v>
      </c>
      <c r="Q2024" s="145">
        <f t="shared" si="285"/>
        <v>0.9980732177263969</v>
      </c>
      <c r="R2024" s="144"/>
      <c r="S2024" s="153"/>
      <c r="T2024" s="140"/>
      <c r="U2024" s="158"/>
      <c r="V2024" s="461"/>
      <c r="W2024" s="421"/>
      <c r="X2024" s="461"/>
      <c r="Y2024" s="421"/>
      <c r="Z2024" s="421"/>
      <c r="AA2024" s="421"/>
      <c r="AB2024" s="421"/>
      <c r="AC2024" s="421"/>
      <c r="AD2024" s="421"/>
    </row>
    <row r="2025" spans="1:30" s="146" customFormat="1" x14ac:dyDescent="0.4">
      <c r="A2025" s="212">
        <v>45905</v>
      </c>
      <c r="B2025" s="139" t="s">
        <v>51</v>
      </c>
      <c r="C2025" s="140" t="str">
        <f>VLOOKUP(B2025,'112年全品項生產鍋數'!A:H,2,0)</f>
        <v>藍莓醬(1*6kg)</v>
      </c>
      <c r="D2025" s="290">
        <v>18</v>
      </c>
      <c r="E2025" s="141">
        <f>VLOOKUP(B2025,'112年全品項生產鍋數'!A:H,3,0)</f>
        <v>6</v>
      </c>
      <c r="F2025" s="142">
        <f>VLOOKUP(B2025,'112年全品項生產鍋數'!A:H,7,0)</f>
        <v>25.5</v>
      </c>
      <c r="G2025" s="143">
        <f t="shared" si="280"/>
        <v>459</v>
      </c>
      <c r="H2025" s="156">
        <v>459</v>
      </c>
      <c r="I2025" s="144">
        <f t="shared" si="281"/>
        <v>2754</v>
      </c>
      <c r="J2025" s="100">
        <f t="shared" si="282"/>
        <v>1</v>
      </c>
      <c r="K2025" s="51">
        <f>VLOOKUP(B:B,'生產達成率(目標)'!A:C,3,0)</f>
        <v>1</v>
      </c>
      <c r="L2025" s="20">
        <f t="shared" si="283"/>
        <v>0</v>
      </c>
      <c r="M2025" s="137" t="str">
        <f>工時!R1209</f>
        <v>260</v>
      </c>
      <c r="N2025" s="144"/>
      <c r="O2025" s="144">
        <f t="shared" si="284"/>
        <v>1</v>
      </c>
      <c r="P2025" s="156">
        <v>458</v>
      </c>
      <c r="Q2025" s="145">
        <f t="shared" si="285"/>
        <v>0.9978213507625272</v>
      </c>
      <c r="R2025" s="144"/>
      <c r="S2025" s="153"/>
      <c r="T2025" s="140"/>
      <c r="U2025" s="158"/>
      <c r="V2025" s="461"/>
      <c r="W2025" s="421"/>
      <c r="X2025" s="461"/>
      <c r="Y2025" s="421"/>
      <c r="Z2025" s="421"/>
      <c r="AA2025" s="421"/>
      <c r="AB2025" s="421"/>
      <c r="AC2025" s="421"/>
      <c r="AD2025" s="421"/>
    </row>
    <row r="2026" spans="1:30" s="146" customFormat="1" x14ac:dyDescent="0.4">
      <c r="A2026" s="212">
        <v>45905</v>
      </c>
      <c r="B2026" s="139" t="s">
        <v>65</v>
      </c>
      <c r="C2026" s="140" t="str">
        <f>VLOOKUP(B2026,'112年全品項生產鍋數'!A:H,2,0)</f>
        <v>＃1花生(1*2.8kg)</v>
      </c>
      <c r="D2026" s="290">
        <v>72</v>
      </c>
      <c r="E2026" s="141">
        <f>VLOOKUP(B2026,'112年全品項生產鍋數'!A:H,3,0)</f>
        <v>2.8</v>
      </c>
      <c r="F2026" s="142">
        <f>VLOOKUP(B2026,'112年全品項生產鍋數'!A:H,7,0)</f>
        <v>44.5</v>
      </c>
      <c r="G2026" s="143">
        <f t="shared" ref="G2026:G2039" si="286">D2026*F2026</f>
        <v>3204</v>
      </c>
      <c r="H2026" s="156">
        <v>3210</v>
      </c>
      <c r="I2026" s="144">
        <f t="shared" ref="I2026:I2039" si="287">H2026*E2026</f>
        <v>8988</v>
      </c>
      <c r="J2026" s="100">
        <f t="shared" ref="J2026:J2039" si="288">IF(G2026=0,"無法預估數據",H2026/G2026)</f>
        <v>1.0018726591760299</v>
      </c>
      <c r="K2026" s="51">
        <f>VLOOKUP(B:B,'生產達成率(目標)'!A:C,3,0)</f>
        <v>1</v>
      </c>
      <c r="L2026" s="20">
        <f t="shared" ref="L2026:L2039" si="289">IF(G2026=0,"無法預估數據",ROUND(J2026-K2026,3))</f>
        <v>2E-3</v>
      </c>
      <c r="M2026" s="137" t="str">
        <f>工時!R1210</f>
        <v>545</v>
      </c>
      <c r="N2026" s="144"/>
      <c r="O2026" s="144">
        <f t="shared" ref="O2026:O2039" si="290">H2026-N2026-P2026</f>
        <v>3</v>
      </c>
      <c r="P2026" s="156">
        <v>3207</v>
      </c>
      <c r="Q2026" s="145">
        <f t="shared" ref="Q2026:Q2039" si="291">P2026/H2026</f>
        <v>0.99906542056074765</v>
      </c>
      <c r="R2026" s="144"/>
      <c r="S2026" s="153"/>
      <c r="T2026" s="140"/>
      <c r="U2026" s="158"/>
      <c r="V2026" s="461"/>
      <c r="W2026" s="421"/>
      <c r="X2026" s="461"/>
      <c r="Y2026" s="421"/>
      <c r="Z2026" s="421"/>
      <c r="AA2026" s="421"/>
      <c r="AB2026" s="421"/>
      <c r="AC2026" s="421"/>
      <c r="AD2026" s="421"/>
    </row>
    <row r="2027" spans="1:30" x14ac:dyDescent="0.4">
      <c r="A2027" s="212">
        <v>45908</v>
      </c>
      <c r="B2027" s="139" t="s">
        <v>91</v>
      </c>
      <c r="C2027" s="30" t="str">
        <f>VLOOKUP(B2027,'112年全品項生產鍋數'!A:H,2,0)</f>
        <v>梨山草莓果醬(1*430g)</v>
      </c>
      <c r="D2027" s="290">
        <v>16</v>
      </c>
      <c r="E2027" s="48">
        <f>VLOOKUP(B2027,'112年全品項生產鍋數'!A:H,3,0)</f>
        <v>0.43</v>
      </c>
      <c r="F2027" s="142">
        <f>VLOOKUP(B2027,'112年全品項生產鍋數'!A:H,7,0)</f>
        <v>340.4</v>
      </c>
      <c r="G2027" s="143">
        <f t="shared" si="286"/>
        <v>5446.4</v>
      </c>
      <c r="H2027" s="156">
        <f>3257+2162</f>
        <v>5419</v>
      </c>
      <c r="I2027" s="23">
        <f t="shared" si="287"/>
        <v>2330.17</v>
      </c>
      <c r="J2027" s="100">
        <f t="shared" si="288"/>
        <v>0.99496915393654528</v>
      </c>
      <c r="K2027" s="51">
        <f>VLOOKUP(B:B,'生產達成率(目標)'!A:C,3,0)</f>
        <v>1</v>
      </c>
      <c r="L2027" s="20">
        <f t="shared" si="289"/>
        <v>-5.0000000000000001E-3</v>
      </c>
      <c r="M2027" s="137" t="str">
        <f>工時!R1211</f>
        <v>270</v>
      </c>
      <c r="N2027" s="144"/>
      <c r="O2027" s="144">
        <f t="shared" si="290"/>
        <v>14</v>
      </c>
      <c r="P2027" s="156">
        <f>3245+2160</f>
        <v>5405</v>
      </c>
      <c r="Q2027" s="98">
        <f t="shared" si="291"/>
        <v>0.99741649750876549</v>
      </c>
      <c r="R2027" s="23"/>
      <c r="S2027" s="173"/>
      <c r="T2027" s="30" t="s">
        <v>1133</v>
      </c>
      <c r="U2027" s="1"/>
      <c r="V2027" s="460"/>
      <c r="X2027" s="460"/>
    </row>
    <row r="2028" spans="1:30" x14ac:dyDescent="0.4">
      <c r="A2028" s="212">
        <v>45908</v>
      </c>
      <c r="B2028" s="139" t="s">
        <v>61</v>
      </c>
      <c r="C2028" s="30" t="str">
        <f>VLOOKUP(B2028,'112年全品項生產鍋數'!A:H,2,0)</f>
        <v>大圓草莓-新</v>
      </c>
      <c r="D2028" s="290">
        <v>20</v>
      </c>
      <c r="E2028" s="48">
        <f>VLOOKUP(B2028,'112年全品項生產鍋數'!A:H,3,0)</f>
        <v>0.44</v>
      </c>
      <c r="F2028" s="142">
        <f>VLOOKUP(B2028,'112年全品項生產鍋數'!A:H,7,0)</f>
        <v>344</v>
      </c>
      <c r="G2028" s="143">
        <f t="shared" si="286"/>
        <v>6880</v>
      </c>
      <c r="H2028" s="156">
        <v>6774</v>
      </c>
      <c r="I2028" s="23">
        <f t="shared" si="287"/>
        <v>2980.56</v>
      </c>
      <c r="J2028" s="100">
        <f t="shared" si="288"/>
        <v>0.98459302325581399</v>
      </c>
      <c r="K2028" s="51">
        <f>VLOOKUP(B:B,'生產達成率(目標)'!A:C,3,0)</f>
        <v>1</v>
      </c>
      <c r="L2028" s="20">
        <f t="shared" si="289"/>
        <v>-1.4999999999999999E-2</v>
      </c>
      <c r="M2028" s="137" t="str">
        <f>工時!R1212</f>
        <v>350</v>
      </c>
      <c r="N2028" s="144"/>
      <c r="O2028" s="144">
        <f t="shared" si="290"/>
        <v>8</v>
      </c>
      <c r="P2028" s="156">
        <v>6766</v>
      </c>
      <c r="Q2028" s="98">
        <f t="shared" si="291"/>
        <v>0.998819013876587</v>
      </c>
      <c r="R2028" s="23"/>
      <c r="S2028" s="173"/>
      <c r="T2028" s="30"/>
      <c r="U2028" s="1"/>
      <c r="V2028" s="460"/>
      <c r="X2028" s="460"/>
    </row>
    <row r="2029" spans="1:30" x14ac:dyDescent="0.4">
      <c r="A2029" s="212">
        <v>45908</v>
      </c>
      <c r="B2029" s="139" t="s">
        <v>64</v>
      </c>
      <c r="C2029" s="30" t="str">
        <f>VLOOKUP(B2029,'112年全品項生產鍋數'!A:H,2,0)</f>
        <v>藍莓餡(1*6KG)</v>
      </c>
      <c r="D2029" s="290">
        <v>20</v>
      </c>
      <c r="E2029" s="48">
        <f>VLOOKUP(B2029,'112年全品項生產鍋數'!A:H,3,0)</f>
        <v>6</v>
      </c>
      <c r="F2029" s="142">
        <f>VLOOKUP(B2029,'112年全品項生產鍋數'!A:H,7,0)</f>
        <v>25.4</v>
      </c>
      <c r="G2029" s="143">
        <f t="shared" si="286"/>
        <v>508</v>
      </c>
      <c r="H2029" s="156">
        <f>304+213</f>
        <v>517</v>
      </c>
      <c r="I2029" s="23">
        <f t="shared" si="287"/>
        <v>3102</v>
      </c>
      <c r="J2029" s="100">
        <f t="shared" si="288"/>
        <v>1.0177165354330708</v>
      </c>
      <c r="K2029" s="51">
        <f>VLOOKUP(B:B,'生產達成率(目標)'!A:C,3,0)</f>
        <v>1</v>
      </c>
      <c r="L2029" s="20">
        <f t="shared" si="289"/>
        <v>1.7999999999999999E-2</v>
      </c>
      <c r="M2029" s="137" t="str">
        <f>工時!R1215</f>
        <v>330</v>
      </c>
      <c r="N2029" s="144"/>
      <c r="O2029" s="144">
        <f t="shared" si="290"/>
        <v>1</v>
      </c>
      <c r="P2029" s="156">
        <f>303+213</f>
        <v>516</v>
      </c>
      <c r="Q2029" s="98">
        <f t="shared" si="291"/>
        <v>0.99806576402321079</v>
      </c>
      <c r="R2029" s="23"/>
      <c r="S2029" s="173"/>
      <c r="T2029" s="30"/>
      <c r="U2029" s="1"/>
      <c r="V2029" s="460"/>
      <c r="X2029" s="460"/>
    </row>
    <row r="2030" spans="1:30" x14ac:dyDescent="0.4">
      <c r="A2030" s="212">
        <v>45908</v>
      </c>
      <c r="B2030" s="139" t="s">
        <v>63</v>
      </c>
      <c r="C2030" s="30" t="str">
        <f>VLOOKUP(B2030,'112年全品項生產鍋數'!A:H,2,0)</f>
        <v>草莓蒟蒻餡(1*6kg)</v>
      </c>
      <c r="D2030" s="290">
        <v>20</v>
      </c>
      <c r="E2030" s="48">
        <f>VLOOKUP(B2030,'112年全品項生產鍋數'!A:H,3,0)</f>
        <v>6</v>
      </c>
      <c r="F2030" s="142">
        <f>VLOOKUP(B2030,'112年全品項生產鍋數'!A:H,7,0)</f>
        <v>25.7</v>
      </c>
      <c r="G2030" s="143">
        <f t="shared" si="286"/>
        <v>514</v>
      </c>
      <c r="H2030" s="156">
        <f>312+215</f>
        <v>527</v>
      </c>
      <c r="I2030" s="23">
        <f t="shared" si="287"/>
        <v>3162</v>
      </c>
      <c r="J2030" s="100">
        <f t="shared" si="288"/>
        <v>1.0252918287937742</v>
      </c>
      <c r="K2030" s="51">
        <f>VLOOKUP(B:B,'生產達成率(目標)'!A:C,3,0)</f>
        <v>1</v>
      </c>
      <c r="L2030" s="20">
        <f t="shared" si="289"/>
        <v>2.5000000000000001E-2</v>
      </c>
      <c r="M2030" s="137" t="str">
        <f>工時!R1216</f>
        <v>240</v>
      </c>
      <c r="N2030" s="144"/>
      <c r="O2030" s="144">
        <f t="shared" si="290"/>
        <v>2</v>
      </c>
      <c r="P2030" s="156">
        <f>311+214</f>
        <v>525</v>
      </c>
      <c r="Q2030" s="98">
        <f t="shared" si="291"/>
        <v>0.99620493358633777</v>
      </c>
      <c r="R2030" s="23"/>
      <c r="S2030" s="173"/>
      <c r="T2030" s="30"/>
      <c r="U2030" s="1"/>
      <c r="V2030" s="460"/>
      <c r="X2030" s="460"/>
    </row>
    <row r="2031" spans="1:30" x14ac:dyDescent="0.4">
      <c r="A2031" s="212">
        <v>45908</v>
      </c>
      <c r="B2031" s="139" t="s">
        <v>65</v>
      </c>
      <c r="C2031" s="30" t="str">
        <f>VLOOKUP(B2031,'112年全品項生產鍋數'!A:H,2,0)</f>
        <v>＃1花生(1*2.8kg)</v>
      </c>
      <c r="D2031" s="290">
        <v>72</v>
      </c>
      <c r="E2031" s="48">
        <f>VLOOKUP(B2031,'112年全品項生產鍋數'!A:H,3,0)</f>
        <v>2.8</v>
      </c>
      <c r="F2031" s="142">
        <f>VLOOKUP(B2031,'112年全品項生產鍋數'!A:H,7,0)</f>
        <v>44.5</v>
      </c>
      <c r="G2031" s="143">
        <f t="shared" si="286"/>
        <v>3204</v>
      </c>
      <c r="H2031" s="156">
        <v>3213</v>
      </c>
      <c r="I2031" s="23">
        <f t="shared" si="287"/>
        <v>8996.4</v>
      </c>
      <c r="J2031" s="100">
        <f t="shared" si="288"/>
        <v>1.002808988764045</v>
      </c>
      <c r="K2031" s="51">
        <f>VLOOKUP(B:B,'生產達成率(目標)'!A:C,3,0)</f>
        <v>1</v>
      </c>
      <c r="L2031" s="20">
        <f t="shared" si="289"/>
        <v>3.0000000000000001E-3</v>
      </c>
      <c r="M2031" s="137" t="str">
        <f>工時!R1217</f>
        <v>560</v>
      </c>
      <c r="N2031" s="144"/>
      <c r="O2031" s="144">
        <f t="shared" si="290"/>
        <v>1</v>
      </c>
      <c r="P2031" s="156">
        <v>3212</v>
      </c>
      <c r="Q2031" s="98">
        <f t="shared" si="291"/>
        <v>0.99968876439464671</v>
      </c>
      <c r="R2031" s="23"/>
      <c r="S2031" s="173"/>
      <c r="T2031" s="30"/>
      <c r="U2031" s="1"/>
      <c r="V2031" s="460"/>
      <c r="X2031" s="460"/>
    </row>
    <row r="2032" spans="1:30" s="146" customFormat="1" x14ac:dyDescent="0.4">
      <c r="A2032" s="212">
        <v>45908</v>
      </c>
      <c r="B2032" s="139">
        <v>153010</v>
      </c>
      <c r="C2032" s="140" t="str">
        <f>VLOOKUP(B2032,'112年全品項生產鍋數'!A:H,2,0)</f>
        <v>蜜桔皮6m/m</v>
      </c>
      <c r="D2032" s="290">
        <v>1</v>
      </c>
      <c r="E2032" s="141">
        <f>VLOOKUP(B2032,'112年全品項生產鍋數'!A:H,3,0)</f>
        <v>1</v>
      </c>
      <c r="F2032" s="142">
        <f>VLOOKUP(B2032,'112年全品項生產鍋數'!A:H,7,0)</f>
        <v>591</v>
      </c>
      <c r="G2032" s="143">
        <f t="shared" si="286"/>
        <v>591</v>
      </c>
      <c r="H2032" s="156">
        <v>584</v>
      </c>
      <c r="I2032" s="144">
        <f t="shared" si="287"/>
        <v>584</v>
      </c>
      <c r="J2032" s="100">
        <f t="shared" si="288"/>
        <v>0.98815566835871405</v>
      </c>
      <c r="K2032" s="51">
        <f>VLOOKUP(B:B,'生產達成率(目標)'!A:C,3,0)</f>
        <v>1</v>
      </c>
      <c r="L2032" s="20">
        <f t="shared" si="289"/>
        <v>-1.2E-2</v>
      </c>
      <c r="M2032" s="137" t="str">
        <f>工時!R1218</f>
        <v>0</v>
      </c>
      <c r="N2032" s="144"/>
      <c r="O2032" s="144">
        <f t="shared" si="290"/>
        <v>0</v>
      </c>
      <c r="P2032" s="156">
        <v>584</v>
      </c>
      <c r="Q2032" s="145">
        <f t="shared" si="291"/>
        <v>1</v>
      </c>
      <c r="R2032" s="144"/>
      <c r="S2032" s="153"/>
      <c r="T2032" s="140"/>
      <c r="U2032" s="158"/>
      <c r="V2032" s="461"/>
      <c r="W2032" s="421"/>
      <c r="X2032" s="461"/>
      <c r="Y2032" s="421"/>
      <c r="Z2032" s="421"/>
      <c r="AA2032" s="421"/>
      <c r="AB2032" s="421"/>
      <c r="AC2032" s="421"/>
      <c r="AD2032" s="421"/>
    </row>
    <row r="2033" spans="1:30" x14ac:dyDescent="0.4">
      <c r="A2033" s="212">
        <v>45909</v>
      </c>
      <c r="B2033" s="139" t="s">
        <v>87</v>
      </c>
      <c r="C2033" s="30" t="str">
        <f>VLOOKUP(B2033,'112年全品項生產鍋數'!A:H,2,0)</f>
        <v>＃1藍莓(1*3.2kg)</v>
      </c>
      <c r="D2033" s="290">
        <v>36</v>
      </c>
      <c r="E2033" s="48">
        <f>VLOOKUP(B2033,'112年全品項生產鍋數'!A:H,3,0)</f>
        <v>3.2</v>
      </c>
      <c r="F2033" s="142">
        <f>VLOOKUP(B2033,'112年全品項生產鍋數'!A:H,7,0)</f>
        <v>47.5</v>
      </c>
      <c r="G2033" s="143">
        <f t="shared" si="286"/>
        <v>1710</v>
      </c>
      <c r="H2033" s="156">
        <v>1712</v>
      </c>
      <c r="I2033" s="23">
        <f t="shared" si="287"/>
        <v>5478.4000000000005</v>
      </c>
      <c r="J2033" s="100">
        <f t="shared" si="288"/>
        <v>1.0011695906432749</v>
      </c>
      <c r="K2033" s="51">
        <f>VLOOKUP(B:B,'生產達成率(目標)'!A:C,3,0)</f>
        <v>1</v>
      </c>
      <c r="L2033" s="20">
        <f t="shared" si="289"/>
        <v>1E-3</v>
      </c>
      <c r="M2033" s="137" t="str">
        <f>工時!R1219</f>
        <v>270</v>
      </c>
      <c r="N2033" s="144"/>
      <c r="O2033" s="144">
        <f t="shared" si="290"/>
        <v>1</v>
      </c>
      <c r="P2033" s="156">
        <v>1711</v>
      </c>
      <c r="Q2033" s="98">
        <f t="shared" si="291"/>
        <v>0.99941588785046731</v>
      </c>
      <c r="R2033" s="23"/>
      <c r="S2033" s="173"/>
      <c r="T2033" s="30"/>
      <c r="U2033" s="1"/>
      <c r="V2033" s="460"/>
      <c r="X2033" s="460"/>
    </row>
    <row r="2034" spans="1:30" x14ac:dyDescent="0.4">
      <c r="A2034" s="212">
        <v>45909</v>
      </c>
      <c r="B2034" s="139" t="s">
        <v>71</v>
      </c>
      <c r="C2034" s="30" t="str">
        <f>VLOOKUP(B2034,'112年全品項生產鍋數'!A:H,2,0)</f>
        <v>＃1草莓(1*3.2kg)</v>
      </c>
      <c r="D2034" s="290">
        <v>36</v>
      </c>
      <c r="E2034" s="48">
        <f>VLOOKUP(B2034,'112年全品項生產鍋數'!A:H,3,0)</f>
        <v>3.2</v>
      </c>
      <c r="F2034" s="142">
        <f>VLOOKUP(B2034,'112年全品項生產鍋數'!A:H,7,0)</f>
        <v>46.8</v>
      </c>
      <c r="G2034" s="143">
        <f t="shared" si="286"/>
        <v>1684.8</v>
      </c>
      <c r="H2034" s="156">
        <v>1678</v>
      </c>
      <c r="I2034" s="23">
        <f t="shared" si="287"/>
        <v>5369.6</v>
      </c>
      <c r="J2034" s="100">
        <f t="shared" si="288"/>
        <v>0.99596391263057937</v>
      </c>
      <c r="K2034" s="51">
        <f>VLOOKUP(B:B,'生產達成率(目標)'!A:C,3,0)</f>
        <v>1</v>
      </c>
      <c r="L2034" s="20">
        <f t="shared" si="289"/>
        <v>-4.0000000000000001E-3</v>
      </c>
      <c r="M2034" s="137" t="str">
        <f>工時!R1220</f>
        <v>300</v>
      </c>
      <c r="N2034" s="144"/>
      <c r="O2034" s="144">
        <f t="shared" si="290"/>
        <v>4</v>
      </c>
      <c r="P2034" s="156">
        <v>1674</v>
      </c>
      <c r="Q2034" s="98">
        <f t="shared" si="291"/>
        <v>0.99761620977353993</v>
      </c>
      <c r="R2034" s="23"/>
      <c r="S2034" s="173"/>
      <c r="T2034" s="30"/>
      <c r="U2034" s="1"/>
      <c r="V2034" s="460"/>
      <c r="X2034" s="460"/>
    </row>
    <row r="2035" spans="1:30" x14ac:dyDescent="0.4">
      <c r="A2035" s="212">
        <v>45909</v>
      </c>
      <c r="B2035" s="139" t="s">
        <v>88</v>
      </c>
      <c r="C2035" s="30" t="str">
        <f>VLOOKUP(B2035,'112年全品項生產鍋數'!A:H,2,0)</f>
        <v>草莓餡(1*6KG)</v>
      </c>
      <c r="D2035" s="290">
        <v>16</v>
      </c>
      <c r="E2035" s="48">
        <f>VLOOKUP(B2035,'112年全品項生產鍋數'!A:H,3,0)</f>
        <v>6</v>
      </c>
      <c r="F2035" s="142">
        <f>VLOOKUP(B2035,'112年全品項生產鍋數'!A:H,7,0)</f>
        <v>25.5</v>
      </c>
      <c r="G2035" s="143">
        <f t="shared" si="286"/>
        <v>408</v>
      </c>
      <c r="H2035" s="156">
        <v>410</v>
      </c>
      <c r="I2035" s="23">
        <f t="shared" si="287"/>
        <v>2460</v>
      </c>
      <c r="J2035" s="100">
        <f t="shared" si="288"/>
        <v>1.0049019607843137</v>
      </c>
      <c r="K2035" s="51">
        <f>VLOOKUP(B:B,'生產達成率(目標)'!A:C,3,0)</f>
        <v>1</v>
      </c>
      <c r="L2035" s="20">
        <f t="shared" si="289"/>
        <v>5.0000000000000001E-3</v>
      </c>
      <c r="M2035" s="137" t="str">
        <f>工時!R1221</f>
        <v>240</v>
      </c>
      <c r="N2035" s="144"/>
      <c r="O2035" s="144">
        <f t="shared" si="290"/>
        <v>1</v>
      </c>
      <c r="P2035" s="156">
        <v>409</v>
      </c>
      <c r="Q2035" s="98">
        <f t="shared" si="291"/>
        <v>0.9975609756097561</v>
      </c>
      <c r="R2035" s="23"/>
      <c r="S2035" s="173"/>
      <c r="T2035" s="30"/>
      <c r="U2035" s="1"/>
      <c r="V2035" s="460"/>
      <c r="X2035" s="460"/>
    </row>
    <row r="2036" spans="1:30" x14ac:dyDescent="0.4">
      <c r="A2036" s="212">
        <v>45909</v>
      </c>
      <c r="B2036" s="139" t="s">
        <v>109</v>
      </c>
      <c r="C2036" s="30" t="str">
        <f>VLOOKUP(B2036,'112年全品項生產鍋數'!A:H,2,0)</f>
        <v>蔓越莓醬(1*6KG)</v>
      </c>
      <c r="D2036" s="290">
        <v>12</v>
      </c>
      <c r="E2036" s="48">
        <f>VLOOKUP(B2036,'112年全品項生產鍋數'!A:H,3,0)</f>
        <v>6</v>
      </c>
      <c r="F2036" s="142">
        <f>VLOOKUP(B2036,'112年全品項生產鍋數'!A:H,7,0)</f>
        <v>25.6</v>
      </c>
      <c r="G2036" s="143">
        <f t="shared" si="286"/>
        <v>307.20000000000005</v>
      </c>
      <c r="H2036" s="156">
        <v>314</v>
      </c>
      <c r="I2036" s="23">
        <f t="shared" si="287"/>
        <v>1884</v>
      </c>
      <c r="J2036" s="100">
        <f t="shared" si="288"/>
        <v>1.0221354166666665</v>
      </c>
      <c r="K2036" s="51">
        <f>VLOOKUP(B:B,'生產達成率(目標)'!A:C,3,0)</f>
        <v>1</v>
      </c>
      <c r="L2036" s="20">
        <f t="shared" si="289"/>
        <v>2.1999999999999999E-2</v>
      </c>
      <c r="M2036" s="137" t="str">
        <f>工時!R1222</f>
        <v>158</v>
      </c>
      <c r="N2036" s="144"/>
      <c r="O2036" s="144">
        <f t="shared" si="290"/>
        <v>1</v>
      </c>
      <c r="P2036" s="156">
        <v>313</v>
      </c>
      <c r="Q2036" s="98">
        <f t="shared" si="291"/>
        <v>0.99681528662420382</v>
      </c>
      <c r="R2036" s="23"/>
      <c r="S2036" s="173"/>
      <c r="T2036" s="30"/>
      <c r="U2036" s="1"/>
      <c r="V2036" s="460"/>
      <c r="X2036" s="460"/>
    </row>
    <row r="2037" spans="1:30" x14ac:dyDescent="0.4">
      <c r="A2037" s="212">
        <v>45909</v>
      </c>
      <c r="B2037" s="139" t="s">
        <v>53</v>
      </c>
      <c r="C2037" s="30" t="str">
        <f>VLOOKUP(B2037,'112年全品項生產鍋數'!A:H,2,0)</f>
        <v>鳳梨芒果百香果醬(1*6KG)</v>
      </c>
      <c r="D2037" s="290">
        <v>12</v>
      </c>
      <c r="E2037" s="48">
        <f>VLOOKUP(B2037,'112年全品項生產鍋數'!A:H,3,0)</f>
        <v>6</v>
      </c>
      <c r="F2037" s="142">
        <f>VLOOKUP(B2037,'112年全品項生產鍋數'!A:H,7,0)</f>
        <v>25.7</v>
      </c>
      <c r="G2037" s="143">
        <f t="shared" si="286"/>
        <v>308.39999999999998</v>
      </c>
      <c r="H2037" s="156">
        <v>318</v>
      </c>
      <c r="I2037" s="23">
        <f t="shared" si="287"/>
        <v>1908</v>
      </c>
      <c r="J2037" s="100">
        <f t="shared" si="288"/>
        <v>1.0311284046692608</v>
      </c>
      <c r="K2037" s="51">
        <f>VLOOKUP(B:B,'生產達成率(目標)'!A:C,3,0)</f>
        <v>1</v>
      </c>
      <c r="L2037" s="20">
        <f t="shared" si="289"/>
        <v>3.1E-2</v>
      </c>
      <c r="M2037" s="137" t="str">
        <f>工時!R1223</f>
        <v>177</v>
      </c>
      <c r="N2037" s="144"/>
      <c r="O2037" s="144">
        <f t="shared" si="290"/>
        <v>4</v>
      </c>
      <c r="P2037" s="156">
        <v>314</v>
      </c>
      <c r="Q2037" s="98">
        <f t="shared" si="291"/>
        <v>0.98742138364779874</v>
      </c>
      <c r="R2037" s="23"/>
      <c r="S2037" s="173"/>
      <c r="T2037" s="30"/>
      <c r="U2037" s="1"/>
      <c r="V2037" s="460"/>
      <c r="X2037" s="460"/>
    </row>
    <row r="2038" spans="1:30" s="146" customFormat="1" x14ac:dyDescent="0.4">
      <c r="A2038" s="212">
        <v>45909</v>
      </c>
      <c r="B2038" s="139" t="s">
        <v>597</v>
      </c>
      <c r="C2038" s="140" t="str">
        <f>VLOOKUP(B2038,'112年全品項生產鍋數'!A:H,2,0)</f>
        <v>無加糖花生醬(1*290g)</v>
      </c>
      <c r="D2038" s="290">
        <v>8</v>
      </c>
      <c r="E2038" s="141">
        <f>VLOOKUP(B2038,'112年全品項生產鍋數'!A:H,3,0)</f>
        <v>0.28999999999999998</v>
      </c>
      <c r="F2038" s="142">
        <f>VLOOKUP(B2038,'112年全品項生產鍋數'!A:H,7,0)</f>
        <v>388</v>
      </c>
      <c r="G2038" s="143">
        <f t="shared" si="286"/>
        <v>3104</v>
      </c>
      <c r="H2038" s="156">
        <v>3321</v>
      </c>
      <c r="I2038" s="144">
        <f t="shared" si="287"/>
        <v>963.08999999999992</v>
      </c>
      <c r="J2038" s="100">
        <f t="shared" si="288"/>
        <v>1.0699097938144331</v>
      </c>
      <c r="K2038" s="51">
        <f>VLOOKUP(B:B,'生產達成率(目標)'!A:C,3,0)</f>
        <v>1</v>
      </c>
      <c r="L2038" s="20">
        <f t="shared" si="289"/>
        <v>7.0000000000000007E-2</v>
      </c>
      <c r="M2038" s="137" t="str">
        <f>工時!R1224</f>
        <v>255</v>
      </c>
      <c r="N2038" s="144"/>
      <c r="O2038" s="144">
        <f t="shared" si="290"/>
        <v>5</v>
      </c>
      <c r="P2038" s="156">
        <v>3316</v>
      </c>
      <c r="Q2038" s="145">
        <f t="shared" si="291"/>
        <v>0.99849442938873834</v>
      </c>
      <c r="R2038" s="144"/>
      <c r="S2038" s="153"/>
      <c r="T2038" s="140" t="s">
        <v>1134</v>
      </c>
      <c r="U2038" s="158"/>
      <c r="V2038" s="461"/>
      <c r="W2038" s="421"/>
      <c r="X2038" s="461"/>
      <c r="Y2038" s="421"/>
      <c r="Z2038" s="421"/>
      <c r="AA2038" s="421"/>
      <c r="AB2038" s="421"/>
      <c r="AC2038" s="421"/>
      <c r="AD2038" s="421"/>
    </row>
    <row r="2039" spans="1:30" ht="15.75" customHeight="1" x14ac:dyDescent="0.4">
      <c r="A2039" s="212">
        <v>45909</v>
      </c>
      <c r="B2039" s="139" t="s">
        <v>536</v>
      </c>
      <c r="C2039" s="30" t="str">
        <f>VLOOKUP(B2039,'112年全品項生產鍋數'!A:H,2,0)</f>
        <v>花生醬(1*3.5KG)</v>
      </c>
      <c r="D2039" s="290">
        <v>6</v>
      </c>
      <c r="E2039" s="48">
        <f>VLOOKUP(B2039,'112年全品項生產鍋數'!A:H,3,0)</f>
        <v>3.5</v>
      </c>
      <c r="F2039" s="142">
        <f>VLOOKUP(B2039,'112年全品項生產鍋數'!A:H,7,0)</f>
        <v>25.4</v>
      </c>
      <c r="G2039" s="143">
        <f t="shared" si="286"/>
        <v>152.39999999999998</v>
      </c>
      <c r="H2039" s="156">
        <v>154</v>
      </c>
      <c r="I2039" s="23">
        <f t="shared" si="287"/>
        <v>539</v>
      </c>
      <c r="J2039" s="100">
        <f t="shared" si="288"/>
        <v>1.0104986876640421</v>
      </c>
      <c r="K2039" s="51">
        <f>VLOOKUP(B:B,'生產達成率(目標)'!A:C,3,0)</f>
        <v>1</v>
      </c>
      <c r="L2039" s="20">
        <f t="shared" si="289"/>
        <v>0.01</v>
      </c>
      <c r="M2039" s="137" t="str">
        <f>工時!R1225</f>
        <v>330</v>
      </c>
      <c r="N2039" s="144"/>
      <c r="O2039" s="144">
        <f t="shared" si="290"/>
        <v>0</v>
      </c>
      <c r="P2039" s="156">
        <v>154</v>
      </c>
      <c r="Q2039" s="98">
        <f t="shared" si="291"/>
        <v>1</v>
      </c>
      <c r="R2039" s="23"/>
      <c r="S2039" s="173"/>
      <c r="T2039" s="30"/>
      <c r="U2039" s="1"/>
      <c r="V2039" s="460"/>
      <c r="X2039" s="460"/>
    </row>
    <row r="2040" spans="1:30" x14ac:dyDescent="0.4">
      <c r="A2040" s="212">
        <v>45910</v>
      </c>
      <c r="B2040" s="139" t="s">
        <v>114</v>
      </c>
      <c r="C2040" s="30" t="str">
        <f>VLOOKUP(B2040,'112年全品項生產鍋數'!A:H,2,0)</f>
        <v>開心草莓果醬(1*430g)</v>
      </c>
      <c r="D2040" s="290">
        <v>15</v>
      </c>
      <c r="E2040" s="48">
        <f>VLOOKUP(B2040,'112年全品項生產鍋數'!A:H,3,0)</f>
        <v>0.43</v>
      </c>
      <c r="F2040" s="142">
        <f>VLOOKUP(B2040,'112年全品項生產鍋數'!A:H,7,0)</f>
        <v>364</v>
      </c>
      <c r="G2040" s="143">
        <f t="shared" ref="G2040:G2083" si="292">D2040*F2040</f>
        <v>5460</v>
      </c>
      <c r="H2040" s="156">
        <v>5535</v>
      </c>
      <c r="I2040" s="23">
        <f t="shared" ref="I2040:I2083" si="293">H2040*E2040</f>
        <v>2380.0500000000002</v>
      </c>
      <c r="J2040" s="100">
        <f t="shared" ref="J2040:J2083" si="294">IF(G2040=0,"無法預估數據",H2040/G2040)</f>
        <v>1.0137362637362637</v>
      </c>
      <c r="K2040" s="51">
        <f>VLOOKUP(B:B,'生產達成率(目標)'!A:C,3,0)</f>
        <v>1</v>
      </c>
      <c r="L2040" s="20">
        <f t="shared" ref="L2040:L2083" si="295">IF(G2040=0,"無法預估數據",ROUND(J2040-K2040,3))</f>
        <v>1.4E-2</v>
      </c>
      <c r="M2040" s="137" t="str">
        <f>工時!R1226</f>
        <v>330</v>
      </c>
      <c r="N2040" s="144"/>
      <c r="O2040" s="144">
        <f t="shared" ref="O2040:O2083" si="296">H2040-N2040-P2040</f>
        <v>11</v>
      </c>
      <c r="P2040" s="156">
        <v>5524</v>
      </c>
      <c r="Q2040" s="98">
        <f t="shared" ref="Q2040:Q2083" si="297">P2040/H2040</f>
        <v>0.99801264679313462</v>
      </c>
      <c r="R2040" s="23"/>
      <c r="S2040" s="173"/>
      <c r="T2040" s="86"/>
      <c r="U2040" s="1"/>
      <c r="V2040" s="460"/>
      <c r="X2040" s="460"/>
    </row>
    <row r="2041" spans="1:30" x14ac:dyDescent="0.4">
      <c r="A2041" s="212">
        <v>45910</v>
      </c>
      <c r="B2041" s="139" t="s">
        <v>68</v>
      </c>
      <c r="C2041" s="30" t="str">
        <f>VLOOKUP(B2041,'112年全品項生產鍋數'!A:H,2,0)</f>
        <v>#2草莓果醬(1*900g)</v>
      </c>
      <c r="D2041" s="290">
        <v>20</v>
      </c>
      <c r="E2041" s="48">
        <f>VLOOKUP(B2041,'112年全品項生產鍋數'!A:H,3,0)</f>
        <v>0.9</v>
      </c>
      <c r="F2041" s="142">
        <f>VLOOKUP(B2041,'112年全品項生產鍋數'!A:H,7,0)</f>
        <v>160.5</v>
      </c>
      <c r="G2041" s="143">
        <f t="shared" si="292"/>
        <v>3210</v>
      </c>
      <c r="H2041" s="156">
        <v>3216</v>
      </c>
      <c r="I2041" s="23">
        <f t="shared" si="293"/>
        <v>2894.4</v>
      </c>
      <c r="J2041" s="100">
        <f t="shared" si="294"/>
        <v>1.0018691588785047</v>
      </c>
      <c r="K2041" s="51">
        <f>VLOOKUP(B:B,'生產達成率(目標)'!A:C,3,0)</f>
        <v>1</v>
      </c>
      <c r="L2041" s="20">
        <f t="shared" si="295"/>
        <v>2E-3</v>
      </c>
      <c r="M2041" s="137" t="str">
        <f>工時!R1227</f>
        <v>300</v>
      </c>
      <c r="N2041" s="144"/>
      <c r="O2041" s="144">
        <f t="shared" si="296"/>
        <v>3</v>
      </c>
      <c r="P2041" s="156">
        <v>3213</v>
      </c>
      <c r="Q2041" s="98">
        <f t="shared" si="297"/>
        <v>0.99906716417910446</v>
      </c>
      <c r="R2041" s="23"/>
      <c r="S2041" s="173"/>
      <c r="T2041" s="86"/>
      <c r="U2041" s="1"/>
      <c r="V2041" s="460"/>
      <c r="X2041" s="460"/>
    </row>
    <row r="2042" spans="1:30" x14ac:dyDescent="0.4">
      <c r="A2042" s="212">
        <v>45910</v>
      </c>
      <c r="B2042" s="139" t="s">
        <v>72</v>
      </c>
      <c r="C2042" s="30" t="str">
        <f>VLOOKUP(B2042,'112年全品項生產鍋數'!A:H,2,0)</f>
        <v>草莓餡45%(1*6Kg)</v>
      </c>
      <c r="D2042" s="290">
        <v>20</v>
      </c>
      <c r="E2042" s="48">
        <f>VLOOKUP(B2042,'112年全品項生產鍋數'!A:H,3,0)</f>
        <v>6</v>
      </c>
      <c r="F2042" s="142">
        <f>VLOOKUP(B2042,'112年全品項生產鍋數'!A:H,7,0)</f>
        <v>26.1</v>
      </c>
      <c r="G2042" s="143">
        <f t="shared" si="292"/>
        <v>522</v>
      </c>
      <c r="H2042" s="156">
        <v>525</v>
      </c>
      <c r="I2042" s="23">
        <f t="shared" si="293"/>
        <v>3150</v>
      </c>
      <c r="J2042" s="100">
        <f t="shared" si="294"/>
        <v>1.0057471264367817</v>
      </c>
      <c r="K2042" s="51">
        <f>VLOOKUP(B:B,'生產達成率(目標)'!A:C,3,0)</f>
        <v>1</v>
      </c>
      <c r="L2042" s="20">
        <f t="shared" si="295"/>
        <v>6.0000000000000001E-3</v>
      </c>
      <c r="M2042" s="137" t="str">
        <f>工時!R1228</f>
        <v>260</v>
      </c>
      <c r="N2042" s="144"/>
      <c r="O2042" s="144">
        <f t="shared" si="296"/>
        <v>1</v>
      </c>
      <c r="P2042" s="156">
        <v>524</v>
      </c>
      <c r="Q2042" s="98">
        <f t="shared" si="297"/>
        <v>0.99809523809523815</v>
      </c>
      <c r="R2042" s="23"/>
      <c r="S2042" s="173"/>
      <c r="T2042" s="86"/>
      <c r="U2042" s="1"/>
      <c r="V2042" s="460"/>
      <c r="X2042" s="460"/>
    </row>
    <row r="2043" spans="1:30" x14ac:dyDescent="0.4">
      <c r="A2043" s="212">
        <v>45910</v>
      </c>
      <c r="B2043" s="139" t="s">
        <v>63</v>
      </c>
      <c r="C2043" s="30" t="str">
        <f>VLOOKUP(B2043,'112年全品項生產鍋數'!A:H,2,0)</f>
        <v>草莓蒟蒻餡(1*6kg)</v>
      </c>
      <c r="D2043" s="290">
        <v>20</v>
      </c>
      <c r="E2043" s="48">
        <f>VLOOKUP(B2043,'112年全品項生產鍋數'!A:H,3,0)</f>
        <v>6</v>
      </c>
      <c r="F2043" s="142">
        <f>VLOOKUP(B2043,'112年全品項生產鍋數'!A:H,7,0)</f>
        <v>25.7</v>
      </c>
      <c r="G2043" s="143">
        <f t="shared" si="292"/>
        <v>514</v>
      </c>
      <c r="H2043" s="156">
        <f>315+208</f>
        <v>523</v>
      </c>
      <c r="I2043" s="23">
        <f t="shared" si="293"/>
        <v>3138</v>
      </c>
      <c r="J2043" s="100">
        <f t="shared" si="294"/>
        <v>1.0175097276264591</v>
      </c>
      <c r="K2043" s="51">
        <f>VLOOKUP(B:B,'生產達成率(目標)'!A:C,3,0)</f>
        <v>1</v>
      </c>
      <c r="L2043" s="20">
        <f t="shared" si="295"/>
        <v>1.7999999999999999E-2</v>
      </c>
      <c r="M2043" s="137" t="str">
        <f>工時!R1229</f>
        <v>280</v>
      </c>
      <c r="N2043" s="144"/>
      <c r="O2043" s="144">
        <f t="shared" si="296"/>
        <v>1</v>
      </c>
      <c r="P2043" s="156">
        <f>314+208</f>
        <v>522</v>
      </c>
      <c r="Q2043" s="98">
        <f t="shared" si="297"/>
        <v>0.99808795411089868</v>
      </c>
      <c r="R2043" s="23"/>
      <c r="S2043" s="173"/>
      <c r="T2043" s="86"/>
      <c r="U2043" s="1"/>
      <c r="V2043" s="460"/>
      <c r="X2043" s="460"/>
    </row>
    <row r="2044" spans="1:30" x14ac:dyDescent="0.4">
      <c r="A2044" s="212">
        <v>45910</v>
      </c>
      <c r="B2044" s="139" t="s">
        <v>65</v>
      </c>
      <c r="C2044" s="30" t="str">
        <f>VLOOKUP(B2044,'112年全品項生產鍋數'!A:H,2,0)</f>
        <v>＃1花生(1*2.8kg)</v>
      </c>
      <c r="D2044" s="290">
        <v>72</v>
      </c>
      <c r="E2044" s="48">
        <f>VLOOKUP(B2044,'112年全品項生產鍋數'!A:H,3,0)</f>
        <v>2.8</v>
      </c>
      <c r="F2044" s="142">
        <f>VLOOKUP(B2044,'112年全品項生產鍋數'!A:H,7,0)</f>
        <v>44.5</v>
      </c>
      <c r="G2044" s="143">
        <f t="shared" si="292"/>
        <v>3204</v>
      </c>
      <c r="H2044" s="156">
        <v>3243</v>
      </c>
      <c r="I2044" s="23">
        <f t="shared" si="293"/>
        <v>9080.4</v>
      </c>
      <c r="J2044" s="100">
        <f t="shared" si="294"/>
        <v>1.0121722846441947</v>
      </c>
      <c r="K2044" s="51">
        <f>VLOOKUP(B:B,'生產達成率(目標)'!A:C,3,0)</f>
        <v>1</v>
      </c>
      <c r="L2044" s="20">
        <f t="shared" si="295"/>
        <v>1.2E-2</v>
      </c>
      <c r="M2044" s="137" t="str">
        <f>工時!R1230</f>
        <v>585</v>
      </c>
      <c r="N2044" s="144"/>
      <c r="O2044" s="144">
        <f t="shared" si="296"/>
        <v>1</v>
      </c>
      <c r="P2044" s="156">
        <v>3242</v>
      </c>
      <c r="Q2044" s="98">
        <f t="shared" si="297"/>
        <v>0.99969164353993212</v>
      </c>
      <c r="R2044" s="23"/>
      <c r="S2044" s="173"/>
      <c r="T2044" s="86"/>
      <c r="U2044" s="1"/>
      <c r="V2044" s="460"/>
      <c r="X2044" s="460"/>
    </row>
    <row r="2045" spans="1:30" x14ac:dyDescent="0.4">
      <c r="A2045" s="212">
        <v>45911</v>
      </c>
      <c r="B2045" s="139" t="s">
        <v>460</v>
      </c>
      <c r="C2045" s="30" t="str">
        <f>VLOOKUP(B2045,'112年全品項生產鍋數'!A:H,2,0)</f>
        <v>＃1草莓原漿(1*3.4kg)</v>
      </c>
      <c r="D2045" s="290">
        <v>4</v>
      </c>
      <c r="E2045" s="48">
        <f>VLOOKUP(B2045,'112年全品項生產鍋數'!A:H,3,0)</f>
        <v>3.4</v>
      </c>
      <c r="F2045" s="142">
        <f>VLOOKUP(B2045,'112年全品項生產鍋數'!A:H,7,0)</f>
        <v>43</v>
      </c>
      <c r="G2045" s="143">
        <f t="shared" si="292"/>
        <v>172</v>
      </c>
      <c r="H2045" s="156">
        <v>174</v>
      </c>
      <c r="I2045" s="23">
        <f t="shared" si="293"/>
        <v>591.6</v>
      </c>
      <c r="J2045" s="100">
        <f t="shared" si="294"/>
        <v>1.0116279069767442</v>
      </c>
      <c r="K2045" s="51">
        <f>VLOOKUP(B:B,'生產達成率(目標)'!A:C,3,0)</f>
        <v>1</v>
      </c>
      <c r="L2045" s="20">
        <f t="shared" si="295"/>
        <v>1.2E-2</v>
      </c>
      <c r="M2045" s="137" t="str">
        <f>工時!R1231</f>
        <v>160</v>
      </c>
      <c r="N2045" s="144"/>
      <c r="O2045" s="144">
        <f t="shared" si="296"/>
        <v>1</v>
      </c>
      <c r="P2045" s="156">
        <v>173</v>
      </c>
      <c r="Q2045" s="98">
        <f t="shared" si="297"/>
        <v>0.99425287356321834</v>
      </c>
      <c r="R2045" s="23"/>
      <c r="S2045" s="173"/>
      <c r="T2045" s="86"/>
      <c r="U2045" s="1"/>
      <c r="V2045" s="460"/>
      <c r="X2045" s="460"/>
    </row>
    <row r="2046" spans="1:30" x14ac:dyDescent="0.4">
      <c r="A2046" s="212">
        <v>45911</v>
      </c>
      <c r="B2046" s="139" t="s">
        <v>71</v>
      </c>
      <c r="C2046" s="30" t="str">
        <f>VLOOKUP(B2046,'112年全品項生產鍋數'!A:H,2,0)</f>
        <v>＃1草莓(1*3.2kg)</v>
      </c>
      <c r="D2046" s="290">
        <v>68</v>
      </c>
      <c r="E2046" s="48">
        <f>VLOOKUP(B2046,'112年全品項生產鍋數'!A:H,3,0)</f>
        <v>3.2</v>
      </c>
      <c r="F2046" s="142">
        <f>VLOOKUP(B2046,'112年全品項生產鍋數'!A:H,7,0)</f>
        <v>46.8</v>
      </c>
      <c r="G2046" s="143">
        <f t="shared" si="292"/>
        <v>3182.3999999999996</v>
      </c>
      <c r="H2046" s="156">
        <v>3235</v>
      </c>
      <c r="I2046" s="23">
        <f t="shared" si="293"/>
        <v>10352</v>
      </c>
      <c r="J2046" s="100">
        <f t="shared" si="294"/>
        <v>1.0165284062342888</v>
      </c>
      <c r="K2046" s="51">
        <f>VLOOKUP(B:B,'生產達成率(目標)'!A:C,3,0)</f>
        <v>1</v>
      </c>
      <c r="L2046" s="20">
        <f t="shared" si="295"/>
        <v>1.7000000000000001E-2</v>
      </c>
      <c r="M2046" s="137" t="str">
        <f>工時!R1232</f>
        <v>470</v>
      </c>
      <c r="N2046" s="144"/>
      <c r="O2046" s="144">
        <f t="shared" si="296"/>
        <v>3</v>
      </c>
      <c r="P2046" s="156">
        <v>3232</v>
      </c>
      <c r="Q2046" s="98">
        <f t="shared" si="297"/>
        <v>0.9990726429675425</v>
      </c>
      <c r="R2046" s="23"/>
      <c r="S2046" s="173"/>
      <c r="T2046" s="86"/>
      <c r="U2046" s="1"/>
      <c r="V2046" s="460"/>
      <c r="X2046" s="460"/>
    </row>
    <row r="2047" spans="1:30" s="146" customFormat="1" x14ac:dyDescent="0.4">
      <c r="A2047" s="212">
        <v>45911</v>
      </c>
      <c r="B2047" s="139" t="s">
        <v>115</v>
      </c>
      <c r="C2047" s="140" t="str">
        <f>VLOOKUP(B2047,'112年全品項生產鍋數'!A:H,2,0)</f>
        <v>天天開心藍莓餡4.5KG</v>
      </c>
      <c r="D2047" s="290">
        <v>12</v>
      </c>
      <c r="E2047" s="141">
        <f>VLOOKUP(B2047,'112年全品項生產鍋數'!A:H,3,0)</f>
        <v>4.5</v>
      </c>
      <c r="F2047" s="142">
        <f>VLOOKUP(B2047,'112年全品項生產鍋數'!A:H,7,0)</f>
        <v>36.799999999999997</v>
      </c>
      <c r="G2047" s="143">
        <f t="shared" si="292"/>
        <v>441.59999999999997</v>
      </c>
      <c r="H2047" s="156">
        <v>456</v>
      </c>
      <c r="I2047" s="144">
        <f t="shared" si="293"/>
        <v>2052</v>
      </c>
      <c r="J2047" s="100">
        <f t="shared" si="294"/>
        <v>1.0326086956521741</v>
      </c>
      <c r="K2047" s="51">
        <f>VLOOKUP(B:B,'生產達成率(目標)'!A:C,3,0)</f>
        <v>1</v>
      </c>
      <c r="L2047" s="20">
        <f t="shared" si="295"/>
        <v>3.3000000000000002E-2</v>
      </c>
      <c r="M2047" s="137" t="str">
        <f>工時!R1233</f>
        <v>237</v>
      </c>
      <c r="N2047" s="144"/>
      <c r="O2047" s="144">
        <f t="shared" si="296"/>
        <v>0</v>
      </c>
      <c r="P2047" s="156">
        <v>456</v>
      </c>
      <c r="Q2047" s="145">
        <f t="shared" si="297"/>
        <v>1</v>
      </c>
      <c r="R2047" s="144"/>
      <c r="S2047" s="153"/>
      <c r="T2047" s="282"/>
      <c r="U2047" s="158"/>
      <c r="V2047" s="461"/>
      <c r="W2047" s="421"/>
      <c r="X2047" s="461"/>
      <c r="Y2047" s="421"/>
      <c r="Z2047" s="421"/>
      <c r="AA2047" s="421"/>
      <c r="AB2047" s="421"/>
      <c r="AC2047" s="421"/>
      <c r="AD2047" s="421"/>
    </row>
    <row r="2048" spans="1:30" s="146" customFormat="1" x14ac:dyDescent="0.4">
      <c r="A2048" s="212">
        <v>45911</v>
      </c>
      <c r="B2048" s="139" t="s">
        <v>117</v>
      </c>
      <c r="C2048" s="140" t="str">
        <f>VLOOKUP(B2048,'112年全品項生產鍋數'!A:H,2,0)</f>
        <v>草莓餡(1*4.5Kg)</v>
      </c>
      <c r="D2048" s="290">
        <v>8</v>
      </c>
      <c r="E2048" s="141">
        <f>VLOOKUP(B2048,'112年全品項生產鍋數'!A:H,3,0)</f>
        <v>4.5</v>
      </c>
      <c r="F2048" s="142">
        <f>VLOOKUP(B2048,'112年全品項生產鍋數'!A:H,7,0)</f>
        <v>35.6</v>
      </c>
      <c r="G2048" s="143">
        <f t="shared" si="292"/>
        <v>284.8</v>
      </c>
      <c r="H2048" s="156">
        <v>290</v>
      </c>
      <c r="I2048" s="144">
        <f t="shared" si="293"/>
        <v>1305</v>
      </c>
      <c r="J2048" s="100">
        <f t="shared" si="294"/>
        <v>1.018258426966292</v>
      </c>
      <c r="K2048" s="51">
        <f>VLOOKUP(B:B,'生產達成率(目標)'!A:C,3,0)</f>
        <v>1</v>
      </c>
      <c r="L2048" s="20">
        <f t="shared" si="295"/>
        <v>1.7999999999999999E-2</v>
      </c>
      <c r="M2048" s="137" t="str">
        <f>工時!R1234</f>
        <v>190</v>
      </c>
      <c r="N2048" s="144"/>
      <c r="O2048" s="144">
        <f t="shared" si="296"/>
        <v>0</v>
      </c>
      <c r="P2048" s="156">
        <v>290</v>
      </c>
      <c r="Q2048" s="145">
        <f t="shared" si="297"/>
        <v>1</v>
      </c>
      <c r="R2048" s="144"/>
      <c r="S2048" s="153"/>
      <c r="T2048" s="282"/>
      <c r="U2048" s="158"/>
      <c r="V2048" s="461"/>
      <c r="W2048" s="421"/>
      <c r="X2048" s="461"/>
      <c r="Y2048" s="421"/>
      <c r="Z2048" s="421"/>
      <c r="AA2048" s="421"/>
      <c r="AB2048" s="421"/>
      <c r="AC2048" s="421"/>
      <c r="AD2048" s="421"/>
    </row>
    <row r="2049" spans="1:30" x14ac:dyDescent="0.4">
      <c r="A2049" s="212">
        <v>45911</v>
      </c>
      <c r="B2049" s="139" t="s">
        <v>55</v>
      </c>
      <c r="C2049" s="30" t="str">
        <f>VLOOKUP(B2049,'112年全品項生產鍋數'!A:H,2,0)</f>
        <v>天天開心草莓餡4.5KG</v>
      </c>
      <c r="D2049" s="290">
        <v>16</v>
      </c>
      <c r="E2049" s="48">
        <f>VLOOKUP(B2049,'112年全品項生產鍋數'!A:H,3,0)</f>
        <v>4.5</v>
      </c>
      <c r="F2049" s="142">
        <f>VLOOKUP(B2049,'112年全品項生產鍋數'!A:H,7,0)</f>
        <v>36.299999999999997</v>
      </c>
      <c r="G2049" s="143">
        <f t="shared" si="292"/>
        <v>580.79999999999995</v>
      </c>
      <c r="H2049" s="156">
        <v>584</v>
      </c>
      <c r="I2049" s="23">
        <f t="shared" si="293"/>
        <v>2628</v>
      </c>
      <c r="J2049" s="100">
        <f t="shared" si="294"/>
        <v>1.0055096418732783</v>
      </c>
      <c r="K2049" s="51">
        <f>VLOOKUP(B:B,'生產達成率(目標)'!A:C,3,0)</f>
        <v>1</v>
      </c>
      <c r="L2049" s="20">
        <f t="shared" si="295"/>
        <v>6.0000000000000001E-3</v>
      </c>
      <c r="M2049" s="137" t="str">
        <f>工時!R1235</f>
        <v>287</v>
      </c>
      <c r="N2049" s="144"/>
      <c r="O2049" s="144">
        <f t="shared" si="296"/>
        <v>0</v>
      </c>
      <c r="P2049" s="156">
        <v>584</v>
      </c>
      <c r="Q2049" s="98">
        <f t="shared" si="297"/>
        <v>1</v>
      </c>
      <c r="R2049" s="23"/>
      <c r="S2049" s="173"/>
      <c r="T2049" s="86"/>
      <c r="U2049" s="1"/>
      <c r="V2049" s="460"/>
      <c r="X2049" s="460"/>
    </row>
    <row r="2050" spans="1:30" x14ac:dyDescent="0.4">
      <c r="A2050" s="212">
        <v>45911</v>
      </c>
      <c r="B2050" s="139" t="s">
        <v>108</v>
      </c>
      <c r="C2050" s="30" t="str">
        <f>VLOOKUP(B2050,'112年全品項生產鍋數'!A:H,2,0)</f>
        <v>顆粒花生醬(1*12KG)</v>
      </c>
      <c r="D2050" s="290">
        <v>21</v>
      </c>
      <c r="E2050" s="48">
        <f>VLOOKUP(B2050,'112年全品項生產鍋數'!A:H,3,0)</f>
        <v>3</v>
      </c>
      <c r="F2050" s="142">
        <f>VLOOKUP(B2050,'112年全品項生產鍋數'!A:H,7,0)</f>
        <v>31.6</v>
      </c>
      <c r="G2050" s="143">
        <f t="shared" si="292"/>
        <v>663.6</v>
      </c>
      <c r="H2050" s="156">
        <v>668</v>
      </c>
      <c r="I2050" s="23">
        <f t="shared" si="293"/>
        <v>2004</v>
      </c>
      <c r="J2050" s="100">
        <f t="shared" si="294"/>
        <v>1.0066305003013862</v>
      </c>
      <c r="K2050" s="51">
        <f>VLOOKUP(B:B,'生產達成率(目標)'!A:C,3,0)</f>
        <v>1</v>
      </c>
      <c r="L2050" s="20">
        <f t="shared" si="295"/>
        <v>7.0000000000000001E-3</v>
      </c>
      <c r="M2050" s="137" t="str">
        <f>工時!R1236</f>
        <v>540</v>
      </c>
      <c r="N2050" s="144"/>
      <c r="O2050" s="144">
        <f t="shared" si="296"/>
        <v>0</v>
      </c>
      <c r="P2050" s="156">
        <v>668</v>
      </c>
      <c r="Q2050" s="98">
        <f t="shared" si="297"/>
        <v>1</v>
      </c>
      <c r="R2050" s="23"/>
      <c r="S2050" s="173"/>
      <c r="T2050" s="86"/>
      <c r="U2050" s="1"/>
      <c r="V2050" s="460"/>
      <c r="X2050" s="460"/>
    </row>
    <row r="2051" spans="1:30" s="146" customFormat="1" x14ac:dyDescent="0.4">
      <c r="A2051" s="212">
        <v>45912</v>
      </c>
      <c r="B2051" s="139" t="s">
        <v>54</v>
      </c>
      <c r="C2051" s="140" t="str">
        <f>VLOOKUP(B2051,'112年全品項生產鍋數'!A:H,2,0)</f>
        <v>草莓醬(1*6kg)</v>
      </c>
      <c r="D2051" s="290">
        <v>24</v>
      </c>
      <c r="E2051" s="141">
        <f>VLOOKUP(B2051,'112年全品項生產鍋數'!A:H,3,0)</f>
        <v>6</v>
      </c>
      <c r="F2051" s="142">
        <f>VLOOKUP(B2051,'112年全品項生產鍋數'!A:H,7,0)</f>
        <v>26.6</v>
      </c>
      <c r="G2051" s="143">
        <f t="shared" si="292"/>
        <v>638.40000000000009</v>
      </c>
      <c r="H2051" s="156">
        <v>643</v>
      </c>
      <c r="I2051" s="144">
        <f t="shared" si="293"/>
        <v>3858</v>
      </c>
      <c r="J2051" s="100">
        <f t="shared" si="294"/>
        <v>1.0072055137844611</v>
      </c>
      <c r="K2051" s="51">
        <f>VLOOKUP(B:B,'生產達成率(目標)'!A:C,3,0)</f>
        <v>1</v>
      </c>
      <c r="L2051" s="20">
        <f t="shared" si="295"/>
        <v>7.0000000000000001E-3</v>
      </c>
      <c r="M2051" s="137" t="str">
        <f>工時!R1237</f>
        <v>350</v>
      </c>
      <c r="N2051" s="144"/>
      <c r="O2051" s="144">
        <f t="shared" si="296"/>
        <v>3</v>
      </c>
      <c r="P2051" s="156">
        <v>640</v>
      </c>
      <c r="Q2051" s="145">
        <f t="shared" si="297"/>
        <v>0.99533437013996895</v>
      </c>
      <c r="R2051" s="144"/>
      <c r="S2051" s="153"/>
      <c r="T2051" s="282"/>
      <c r="U2051" s="158"/>
      <c r="V2051" s="461"/>
      <c r="W2051" s="421"/>
      <c r="X2051" s="461"/>
      <c r="Y2051" s="421"/>
      <c r="Z2051" s="421"/>
      <c r="AA2051" s="421"/>
      <c r="AB2051" s="421"/>
      <c r="AC2051" s="421"/>
      <c r="AD2051" s="421"/>
    </row>
    <row r="2052" spans="1:30" s="146" customFormat="1" x14ac:dyDescent="0.4">
      <c r="A2052" s="212">
        <v>45912</v>
      </c>
      <c r="B2052" s="139" t="s">
        <v>75</v>
      </c>
      <c r="C2052" s="140" t="str">
        <f>VLOOKUP(B2052,'112年全品項生產鍋數'!A:H,2,0)</f>
        <v>草莓椰果餡(1*6Kg)</v>
      </c>
      <c r="D2052" s="290">
        <v>16</v>
      </c>
      <c r="E2052" s="141">
        <f>VLOOKUP(B2052,'112年全品項生產鍋數'!A:H,3,0)</f>
        <v>6</v>
      </c>
      <c r="F2052" s="142">
        <f>VLOOKUP(B2052,'112年全品項生產鍋數'!A:H,7,0)</f>
        <v>26.4</v>
      </c>
      <c r="G2052" s="143">
        <f t="shared" si="292"/>
        <v>422.4</v>
      </c>
      <c r="H2052" s="156">
        <v>428</v>
      </c>
      <c r="I2052" s="144">
        <f t="shared" si="293"/>
        <v>2568</v>
      </c>
      <c r="J2052" s="100">
        <f t="shared" si="294"/>
        <v>1.0132575757575759</v>
      </c>
      <c r="K2052" s="51">
        <f>VLOOKUP(B:B,'生產達成率(目標)'!A:C,3,0)</f>
        <v>1</v>
      </c>
      <c r="L2052" s="20">
        <f t="shared" si="295"/>
        <v>1.2999999999999999E-2</v>
      </c>
      <c r="M2052" s="137" t="str">
        <f>工時!R1238</f>
        <v>240</v>
      </c>
      <c r="N2052" s="144"/>
      <c r="O2052" s="144">
        <f t="shared" si="296"/>
        <v>1</v>
      </c>
      <c r="P2052" s="156">
        <v>427</v>
      </c>
      <c r="Q2052" s="145">
        <f t="shared" si="297"/>
        <v>0.99766355140186913</v>
      </c>
      <c r="R2052" s="144"/>
      <c r="S2052" s="153"/>
      <c r="T2052" s="282"/>
      <c r="U2052" s="158"/>
      <c r="V2052" s="461"/>
      <c r="W2052" s="421"/>
      <c r="X2052" s="461"/>
      <c r="Y2052" s="421"/>
      <c r="Z2052" s="421"/>
      <c r="AA2052" s="421"/>
      <c r="AB2052" s="421"/>
      <c r="AC2052" s="421"/>
      <c r="AD2052" s="421"/>
    </row>
    <row r="2053" spans="1:30" x14ac:dyDescent="0.4">
      <c r="A2053" s="212">
        <v>45912</v>
      </c>
      <c r="B2053" s="139" t="s">
        <v>110</v>
      </c>
      <c r="C2053" s="30" t="str">
        <f>VLOOKUP(B2053,'112年全品項生產鍋數'!A:H,2,0)</f>
        <v>顆粒花生醬(1*12KG)</v>
      </c>
      <c r="D2053" s="290">
        <v>21</v>
      </c>
      <c r="E2053" s="48">
        <f>VLOOKUP(B2053,'112年全品項生產鍋數'!A:H,3,0)</f>
        <v>3</v>
      </c>
      <c r="F2053" s="142">
        <f>VLOOKUP(B2053,'112年全品項生產鍋數'!A:H,7,0)</f>
        <v>30.8</v>
      </c>
      <c r="G2053" s="143">
        <f t="shared" si="292"/>
        <v>646.80000000000007</v>
      </c>
      <c r="H2053" s="156">
        <v>648</v>
      </c>
      <c r="I2053" s="23">
        <f t="shared" si="293"/>
        <v>1944</v>
      </c>
      <c r="J2053" s="100">
        <f t="shared" si="294"/>
        <v>1.0018552875695732</v>
      </c>
      <c r="K2053" s="51">
        <f>VLOOKUP(B:B,'生產達成率(目標)'!A:C,3,0)</f>
        <v>1</v>
      </c>
      <c r="L2053" s="20">
        <f t="shared" si="295"/>
        <v>2E-3</v>
      </c>
      <c r="M2053" s="137" t="str">
        <f>工時!R1239</f>
        <v>540</v>
      </c>
      <c r="N2053" s="144"/>
      <c r="O2053" s="144">
        <f t="shared" si="296"/>
        <v>0</v>
      </c>
      <c r="P2053" s="156">
        <v>648</v>
      </c>
      <c r="Q2053" s="98">
        <f t="shared" si="297"/>
        <v>1</v>
      </c>
      <c r="R2053" s="23"/>
      <c r="S2053" s="173"/>
      <c r="T2053" s="86"/>
      <c r="U2053" s="1"/>
      <c r="V2053" s="460"/>
      <c r="X2053" s="460"/>
    </row>
    <row r="2054" spans="1:30" s="146" customFormat="1" x14ac:dyDescent="0.4">
      <c r="A2054" s="212">
        <v>45912</v>
      </c>
      <c r="B2054" s="139" t="s">
        <v>602</v>
      </c>
      <c r="C2054" s="140" t="str">
        <f>VLOOKUP(B2054,'112年全品項生產鍋數'!A:H,2,0)</f>
        <v>顆粒花生醬(1*8kg)</v>
      </c>
      <c r="D2054" s="290">
        <v>8</v>
      </c>
      <c r="E2054" s="141">
        <f>VLOOKUP(B2054,'112年全品項生產鍋數'!A:H,3,0)</f>
        <v>8</v>
      </c>
      <c r="F2054" s="142">
        <f>VLOOKUP(B2054,'112年全品項生產鍋數'!A:H,7,0)</f>
        <v>19.600000000000001</v>
      </c>
      <c r="G2054" s="143">
        <f t="shared" si="292"/>
        <v>156.80000000000001</v>
      </c>
      <c r="H2054" s="156">
        <v>157</v>
      </c>
      <c r="I2054" s="144">
        <f t="shared" si="293"/>
        <v>1256</v>
      </c>
      <c r="J2054" s="100">
        <f t="shared" si="294"/>
        <v>1.0012755102040816</v>
      </c>
      <c r="K2054" s="51">
        <f>VLOOKUP(B:B,'生產達成率(目標)'!A:C,3,0)</f>
        <v>1</v>
      </c>
      <c r="L2054" s="20">
        <f t="shared" si="295"/>
        <v>1E-3</v>
      </c>
      <c r="M2054" s="137" t="str">
        <f>工時!R1240</f>
        <v>190</v>
      </c>
      <c r="N2054" s="144"/>
      <c r="O2054" s="144">
        <f t="shared" si="296"/>
        <v>0</v>
      </c>
      <c r="P2054" s="156">
        <v>157</v>
      </c>
      <c r="Q2054" s="145">
        <f t="shared" si="297"/>
        <v>1</v>
      </c>
      <c r="R2054" s="144"/>
      <c r="S2054" s="153"/>
      <c r="T2054" s="282"/>
      <c r="U2054" s="158"/>
      <c r="V2054" s="461"/>
      <c r="W2054" s="421"/>
      <c r="X2054" s="461"/>
      <c r="Y2054" s="421"/>
      <c r="Z2054" s="421"/>
      <c r="AA2054" s="421"/>
      <c r="AB2054" s="421"/>
      <c r="AC2054" s="421"/>
      <c r="AD2054" s="421"/>
    </row>
    <row r="2055" spans="1:30" s="146" customFormat="1" x14ac:dyDescent="0.4">
      <c r="A2055" s="212">
        <v>45912</v>
      </c>
      <c r="B2055" s="139" t="s">
        <v>104</v>
      </c>
      <c r="C2055" s="140" t="str">
        <f>VLOOKUP(B2055,'112年全品項生產鍋數'!A:H,2,0)</f>
        <v>＃1花生(粒)(1*2.8kg)</v>
      </c>
      <c r="D2055" s="290">
        <v>52</v>
      </c>
      <c r="E2055" s="141">
        <f>VLOOKUP(B2055,'112年全品項生產鍋數'!A:H,3,0)</f>
        <v>2.8</v>
      </c>
      <c r="F2055" s="142">
        <f>VLOOKUP(B2055,'112年全品項生產鍋數'!A:H,7,0)</f>
        <v>44.2</v>
      </c>
      <c r="G2055" s="143">
        <f t="shared" si="292"/>
        <v>2298.4</v>
      </c>
      <c r="H2055" s="156">
        <v>2298</v>
      </c>
      <c r="I2055" s="144">
        <f t="shared" si="293"/>
        <v>6434.4</v>
      </c>
      <c r="J2055" s="100">
        <f t="shared" si="294"/>
        <v>0.99982596588931427</v>
      </c>
      <c r="K2055" s="51">
        <f>VLOOKUP(B:B,'生產達成率(目標)'!A:C,3,0)</f>
        <v>1</v>
      </c>
      <c r="L2055" s="20">
        <f t="shared" si="295"/>
        <v>0</v>
      </c>
      <c r="M2055" s="137" t="str">
        <f>工時!R1241</f>
        <v>430</v>
      </c>
      <c r="N2055" s="144"/>
      <c r="O2055" s="144">
        <f t="shared" si="296"/>
        <v>1</v>
      </c>
      <c r="P2055" s="156">
        <v>2297</v>
      </c>
      <c r="Q2055" s="145">
        <f t="shared" si="297"/>
        <v>0.99956483899042647</v>
      </c>
      <c r="R2055" s="144"/>
      <c r="S2055" s="153"/>
      <c r="T2055" s="282"/>
      <c r="U2055" s="158"/>
      <c r="V2055" s="461"/>
      <c r="W2055" s="421"/>
      <c r="X2055" s="461"/>
      <c r="Y2055" s="421"/>
      <c r="Z2055" s="421"/>
      <c r="AA2055" s="421"/>
      <c r="AB2055" s="421"/>
      <c r="AC2055" s="421"/>
      <c r="AD2055" s="421"/>
    </row>
    <row r="2056" spans="1:30" s="146" customFormat="1" x14ac:dyDescent="0.4">
      <c r="A2056" s="212">
        <v>45912</v>
      </c>
      <c r="B2056" s="139">
        <v>111010</v>
      </c>
      <c r="C2056" s="140" t="str">
        <f>VLOOKUP(B2056,'112年全品項生產鍋數'!A:H,2,0)</f>
        <v>糖漬桔皮絲</v>
      </c>
      <c r="D2056" s="290">
        <v>1</v>
      </c>
      <c r="E2056" s="141">
        <f>VLOOKUP(B2056,'112年全品項生產鍋數'!A:H,3,0)</f>
        <v>1</v>
      </c>
      <c r="F2056" s="142">
        <f>VLOOKUP(B2056,'112年全品項生產鍋數'!A:H,7,0)</f>
        <v>942</v>
      </c>
      <c r="G2056" s="143">
        <f t="shared" si="292"/>
        <v>942</v>
      </c>
      <c r="H2056" s="156">
        <v>901</v>
      </c>
      <c r="I2056" s="144">
        <f t="shared" si="293"/>
        <v>901</v>
      </c>
      <c r="J2056" s="100">
        <f t="shared" si="294"/>
        <v>0.95647558386411891</v>
      </c>
      <c r="K2056" s="51">
        <f>VLOOKUP(B:B,'生產達成率(目標)'!A:C,3,0)</f>
        <v>1</v>
      </c>
      <c r="L2056" s="20">
        <f t="shared" si="295"/>
        <v>-4.3999999999999997E-2</v>
      </c>
      <c r="M2056" s="137" t="str">
        <f>工時!R1242</f>
        <v>0</v>
      </c>
      <c r="N2056" s="144"/>
      <c r="O2056" s="144">
        <f t="shared" si="296"/>
        <v>0</v>
      </c>
      <c r="P2056" s="156">
        <v>901</v>
      </c>
      <c r="Q2056" s="145">
        <f t="shared" si="297"/>
        <v>1</v>
      </c>
      <c r="R2056" s="144"/>
      <c r="S2056" s="153"/>
      <c r="T2056" s="282"/>
      <c r="U2056" s="158"/>
      <c r="V2056" s="461"/>
      <c r="W2056" s="421"/>
      <c r="X2056" s="461"/>
      <c r="Y2056" s="421"/>
      <c r="Z2056" s="421"/>
      <c r="AA2056" s="421"/>
      <c r="AB2056" s="421"/>
      <c r="AC2056" s="421"/>
      <c r="AD2056" s="421"/>
    </row>
    <row r="2057" spans="1:30" s="146" customFormat="1" x14ac:dyDescent="0.4">
      <c r="A2057" s="212">
        <v>45915</v>
      </c>
      <c r="B2057" s="139" t="s">
        <v>61</v>
      </c>
      <c r="C2057" s="140" t="str">
        <f>VLOOKUP(B2057,'112年全品項生產鍋數'!A:H,2,0)</f>
        <v>大圓草莓-新</v>
      </c>
      <c r="D2057" s="290">
        <v>40</v>
      </c>
      <c r="E2057" s="141">
        <f>VLOOKUP(B2057,'112年全品項生產鍋數'!A:H,3,0)</f>
        <v>0.44</v>
      </c>
      <c r="F2057" s="142">
        <f>VLOOKUP(B2057,'112年全品項生產鍋數'!A:H,7,0)</f>
        <v>344</v>
      </c>
      <c r="G2057" s="143">
        <f t="shared" si="292"/>
        <v>13760</v>
      </c>
      <c r="H2057" s="156">
        <v>13698</v>
      </c>
      <c r="I2057" s="144">
        <f t="shared" si="293"/>
        <v>6027.12</v>
      </c>
      <c r="J2057" s="100">
        <f t="shared" si="294"/>
        <v>0.99549418604651163</v>
      </c>
      <c r="K2057" s="51">
        <f>VLOOKUP(B:B,'生產達成率(目標)'!A:C,3,0)</f>
        <v>1</v>
      </c>
      <c r="L2057" s="20">
        <f t="shared" si="295"/>
        <v>-5.0000000000000001E-3</v>
      </c>
      <c r="M2057" s="137" t="str">
        <f>工時!R1243</f>
        <v>540</v>
      </c>
      <c r="N2057" s="144"/>
      <c r="O2057" s="144">
        <f t="shared" si="296"/>
        <v>13</v>
      </c>
      <c r="P2057" s="156">
        <v>13685</v>
      </c>
      <c r="Q2057" s="145">
        <f t="shared" si="297"/>
        <v>0.99905095634399177</v>
      </c>
      <c r="R2057" s="144"/>
      <c r="S2057" s="153"/>
      <c r="T2057" s="282"/>
      <c r="U2057" s="158"/>
      <c r="V2057" s="461"/>
      <c r="W2057" s="421"/>
      <c r="X2057" s="461"/>
      <c r="Y2057" s="421"/>
      <c r="Z2057" s="421"/>
      <c r="AA2057" s="421"/>
      <c r="AB2057" s="421"/>
      <c r="AC2057" s="421"/>
      <c r="AD2057" s="421"/>
    </row>
    <row r="2058" spans="1:30" s="146" customFormat="1" x14ac:dyDescent="0.4">
      <c r="A2058" s="212">
        <v>45915</v>
      </c>
      <c r="B2058" s="139" t="s">
        <v>130</v>
      </c>
      <c r="C2058" s="140" t="str">
        <f>VLOOKUP(B2058,'112年全品項生產鍋數'!A:H,2,0)</f>
        <v>天天開心柳橙餡4.5KG</v>
      </c>
      <c r="D2058" s="290">
        <v>12</v>
      </c>
      <c r="E2058" s="141">
        <f>VLOOKUP(B2058,'112年全品項生產鍋數'!A:H,3,0)</f>
        <v>4.5</v>
      </c>
      <c r="F2058" s="142">
        <f>VLOOKUP(B2058,'112年全品項生產鍋數'!A:H,7,0)</f>
        <v>34.9</v>
      </c>
      <c r="G2058" s="143">
        <f t="shared" si="292"/>
        <v>418.79999999999995</v>
      </c>
      <c r="H2058" s="156">
        <v>424</v>
      </c>
      <c r="I2058" s="144">
        <f t="shared" si="293"/>
        <v>1908</v>
      </c>
      <c r="J2058" s="100">
        <f t="shared" si="294"/>
        <v>1.0124164278892074</v>
      </c>
      <c r="K2058" s="51">
        <f>VLOOKUP(B:B,'生產達成率(目標)'!A:C,3,0)</f>
        <v>1</v>
      </c>
      <c r="L2058" s="20">
        <f t="shared" si="295"/>
        <v>1.2E-2</v>
      </c>
      <c r="M2058" s="137" t="str">
        <f>工時!R1244</f>
        <v>250</v>
      </c>
      <c r="N2058" s="144"/>
      <c r="O2058" s="144">
        <f t="shared" si="296"/>
        <v>1</v>
      </c>
      <c r="P2058" s="156">
        <v>423</v>
      </c>
      <c r="Q2058" s="145">
        <f t="shared" si="297"/>
        <v>0.99764150943396224</v>
      </c>
      <c r="R2058" s="144"/>
      <c r="S2058" s="153"/>
      <c r="T2058" s="282"/>
      <c r="U2058" s="158"/>
      <c r="V2058" s="461"/>
      <c r="W2058" s="421"/>
      <c r="X2058" s="461"/>
      <c r="Y2058" s="421"/>
      <c r="Z2058" s="421"/>
      <c r="AA2058" s="421"/>
      <c r="AB2058" s="421"/>
      <c r="AC2058" s="421"/>
      <c r="AD2058" s="421"/>
    </row>
    <row r="2059" spans="1:30" s="146" customFormat="1" x14ac:dyDescent="0.4">
      <c r="A2059" s="212">
        <v>45915</v>
      </c>
      <c r="B2059" s="139" t="s">
        <v>1060</v>
      </c>
      <c r="C2059" s="140" t="str">
        <f>VLOOKUP(B2059,'112年全品項生產鍋數'!A:H,2,0)</f>
        <v>草莓蔓越莓餡(1*6KG)</v>
      </c>
      <c r="D2059" s="290">
        <v>3</v>
      </c>
      <c r="E2059" s="141">
        <f>VLOOKUP(B2059,'112年全品項生產鍋數'!A:H,3,0)</f>
        <v>6</v>
      </c>
      <c r="F2059" s="142">
        <f>VLOOKUP(B2059,'112年全品項生產鍋數'!A:H,7,0)</f>
        <v>25.2</v>
      </c>
      <c r="G2059" s="143">
        <f t="shared" si="292"/>
        <v>75.599999999999994</v>
      </c>
      <c r="H2059" s="156">
        <v>75</v>
      </c>
      <c r="I2059" s="144">
        <f t="shared" si="293"/>
        <v>450</v>
      </c>
      <c r="J2059" s="100">
        <f t="shared" si="294"/>
        <v>0.99206349206349209</v>
      </c>
      <c r="K2059" s="51" t="e">
        <f>VLOOKUP(B:B,'生產達成率(目標)'!A:C,3,0)</f>
        <v>#N/A</v>
      </c>
      <c r="L2059" s="20" t="e">
        <f t="shared" si="295"/>
        <v>#N/A</v>
      </c>
      <c r="M2059" s="137" t="str">
        <f>工時!R1245</f>
        <v>158</v>
      </c>
      <c r="N2059" s="144"/>
      <c r="O2059" s="144">
        <f t="shared" si="296"/>
        <v>1</v>
      </c>
      <c r="P2059" s="156">
        <v>74</v>
      </c>
      <c r="Q2059" s="145">
        <f t="shared" si="297"/>
        <v>0.98666666666666669</v>
      </c>
      <c r="R2059" s="144"/>
      <c r="S2059" s="153"/>
      <c r="T2059" s="282"/>
      <c r="U2059" s="158"/>
      <c r="V2059" s="461"/>
      <c r="W2059" s="421"/>
      <c r="X2059" s="461"/>
      <c r="Y2059" s="421"/>
      <c r="Z2059" s="421"/>
      <c r="AA2059" s="421"/>
      <c r="AB2059" s="421"/>
      <c r="AC2059" s="421"/>
      <c r="AD2059" s="421"/>
    </row>
    <row r="2060" spans="1:30" s="146" customFormat="1" x14ac:dyDescent="0.4">
      <c r="A2060" s="212">
        <v>45915</v>
      </c>
      <c r="B2060" s="139" t="s">
        <v>51</v>
      </c>
      <c r="C2060" s="140" t="str">
        <f>VLOOKUP(B2060,'112年全品項生產鍋數'!A:H,2,0)</f>
        <v>藍莓醬(1*6kg)</v>
      </c>
      <c r="D2060" s="290">
        <v>18</v>
      </c>
      <c r="E2060" s="141">
        <f>VLOOKUP(B2060,'112年全品項生產鍋數'!A:H,3,0)</f>
        <v>6</v>
      </c>
      <c r="F2060" s="142">
        <f>VLOOKUP(B2060,'112年全品項生產鍋數'!A:H,7,0)</f>
        <v>25.5</v>
      </c>
      <c r="G2060" s="143">
        <f t="shared" si="292"/>
        <v>459</v>
      </c>
      <c r="H2060" s="156">
        <v>459</v>
      </c>
      <c r="I2060" s="144">
        <f t="shared" si="293"/>
        <v>2754</v>
      </c>
      <c r="J2060" s="100">
        <f t="shared" si="294"/>
        <v>1</v>
      </c>
      <c r="K2060" s="51">
        <f>VLOOKUP(B:B,'生產達成率(目標)'!A:C,3,0)</f>
        <v>1</v>
      </c>
      <c r="L2060" s="20">
        <f t="shared" si="295"/>
        <v>0</v>
      </c>
      <c r="M2060" s="137" t="str">
        <f>工時!R1246</f>
        <v>210</v>
      </c>
      <c r="N2060" s="144"/>
      <c r="O2060" s="144">
        <f t="shared" si="296"/>
        <v>5</v>
      </c>
      <c r="P2060" s="156">
        <v>454</v>
      </c>
      <c r="Q2060" s="145">
        <f t="shared" si="297"/>
        <v>0.98910675381263613</v>
      </c>
      <c r="R2060" s="144"/>
      <c r="S2060" s="153"/>
      <c r="T2060" s="282"/>
      <c r="U2060" s="158"/>
      <c r="V2060" s="461"/>
      <c r="W2060" s="421"/>
      <c r="X2060" s="461"/>
      <c r="Y2060" s="421"/>
      <c r="Z2060" s="421"/>
      <c r="AA2060" s="421"/>
      <c r="AB2060" s="421"/>
      <c r="AC2060" s="421"/>
      <c r="AD2060" s="421"/>
    </row>
    <row r="2061" spans="1:30" s="146" customFormat="1" x14ac:dyDescent="0.4">
      <c r="A2061" s="212">
        <v>45915</v>
      </c>
      <c r="B2061" s="139" t="s">
        <v>73</v>
      </c>
      <c r="C2061" s="140" t="str">
        <f>VLOOKUP(B2061,'112年全品項生產鍋數'!A:H,2,0)</f>
        <v>顆粒花生醬(1*12KG)</v>
      </c>
      <c r="D2061" s="290">
        <v>21</v>
      </c>
      <c r="E2061" s="141">
        <f>VLOOKUP(B2061,'112年全品項生產鍋數'!A:H,3,0)</f>
        <v>3</v>
      </c>
      <c r="F2061" s="142">
        <f>VLOOKUP(B2061,'112年全品項生產鍋數'!A:H,7,0)</f>
        <v>29.7</v>
      </c>
      <c r="G2061" s="143">
        <f t="shared" si="292"/>
        <v>623.69999999999993</v>
      </c>
      <c r="H2061" s="156">
        <v>632</v>
      </c>
      <c r="I2061" s="144">
        <f t="shared" si="293"/>
        <v>1896</v>
      </c>
      <c r="J2061" s="100">
        <f t="shared" si="294"/>
        <v>1.0133076799743468</v>
      </c>
      <c r="K2061" s="51">
        <f>VLOOKUP(B:B,'生產達成率(目標)'!A:C,3,0)</f>
        <v>1</v>
      </c>
      <c r="L2061" s="20">
        <f t="shared" si="295"/>
        <v>1.2999999999999999E-2</v>
      </c>
      <c r="M2061" s="137" t="str">
        <f>工時!R1247</f>
        <v>540</v>
      </c>
      <c r="N2061" s="144"/>
      <c r="O2061" s="144">
        <f t="shared" si="296"/>
        <v>0</v>
      </c>
      <c r="P2061" s="156">
        <v>632</v>
      </c>
      <c r="Q2061" s="145">
        <f t="shared" si="297"/>
        <v>1</v>
      </c>
      <c r="R2061" s="144"/>
      <c r="S2061" s="153"/>
      <c r="T2061" s="282"/>
      <c r="U2061" s="158"/>
      <c r="V2061" s="461"/>
      <c r="W2061" s="421"/>
      <c r="X2061" s="461"/>
      <c r="Y2061" s="421"/>
      <c r="Z2061" s="421"/>
      <c r="AA2061" s="421"/>
      <c r="AB2061" s="421"/>
      <c r="AC2061" s="421"/>
      <c r="AD2061" s="421"/>
    </row>
    <row r="2062" spans="1:30" s="146" customFormat="1" x14ac:dyDescent="0.4">
      <c r="A2062" s="212">
        <v>45915</v>
      </c>
      <c r="B2062" s="139">
        <v>153010</v>
      </c>
      <c r="C2062" s="140" t="str">
        <f>VLOOKUP(B2062,'112年全品項生產鍋數'!A:H,2,0)</f>
        <v>蜜桔皮6m/m</v>
      </c>
      <c r="D2062" s="290">
        <v>1</v>
      </c>
      <c r="E2062" s="141">
        <f>VLOOKUP(B2062,'112年全品項生產鍋數'!A:H,3,0)</f>
        <v>1</v>
      </c>
      <c r="F2062" s="142">
        <f>VLOOKUP(B2062,'112年全品項生產鍋數'!A:H,7,0)</f>
        <v>591</v>
      </c>
      <c r="G2062" s="143">
        <f t="shared" si="292"/>
        <v>591</v>
      </c>
      <c r="H2062" s="156">
        <v>496</v>
      </c>
      <c r="I2062" s="144">
        <f t="shared" si="293"/>
        <v>496</v>
      </c>
      <c r="J2062" s="100">
        <f t="shared" si="294"/>
        <v>0.83925549915397635</v>
      </c>
      <c r="K2062" s="51">
        <f>VLOOKUP(B:B,'生產達成率(目標)'!A:C,3,0)</f>
        <v>1</v>
      </c>
      <c r="L2062" s="20">
        <f t="shared" si="295"/>
        <v>-0.161</v>
      </c>
      <c r="M2062" s="137" t="str">
        <f>工時!R1248</f>
        <v>0</v>
      </c>
      <c r="N2062" s="144"/>
      <c r="O2062" s="144">
        <f t="shared" si="296"/>
        <v>0</v>
      </c>
      <c r="P2062" s="156">
        <v>496</v>
      </c>
      <c r="Q2062" s="145">
        <f t="shared" si="297"/>
        <v>1</v>
      </c>
      <c r="R2062" s="144"/>
      <c r="S2062" s="153"/>
      <c r="T2062" s="282"/>
      <c r="U2062" s="158"/>
      <c r="V2062" s="461"/>
      <c r="W2062" s="421"/>
      <c r="X2062" s="461"/>
      <c r="Y2062" s="421"/>
      <c r="Z2062" s="421"/>
      <c r="AA2062" s="421"/>
      <c r="AB2062" s="421"/>
      <c r="AC2062" s="421"/>
      <c r="AD2062" s="421"/>
    </row>
    <row r="2063" spans="1:30" x14ac:dyDescent="0.4">
      <c r="A2063" s="212">
        <v>45915</v>
      </c>
      <c r="B2063" s="139" t="s">
        <v>434</v>
      </c>
      <c r="C2063" s="30" t="str">
        <f>VLOOKUP(B2063,'112年全品項生產鍋數'!A:H,2,0)</f>
        <v>蜜桔皮</v>
      </c>
      <c r="D2063" s="290">
        <v>70</v>
      </c>
      <c r="E2063" s="48">
        <f>VLOOKUP(B2063,'112年全品項生產鍋數'!A:H,3,0)</f>
        <v>1</v>
      </c>
      <c r="F2063" s="142">
        <f>VLOOKUP(B2063,'112年全品項生產鍋數'!A:H,7,0)</f>
        <v>6</v>
      </c>
      <c r="G2063" s="143">
        <f>D2063*F2063</f>
        <v>420</v>
      </c>
      <c r="H2063" s="156">
        <v>422</v>
      </c>
      <c r="I2063" s="23">
        <f>H2063*E2063</f>
        <v>422</v>
      </c>
      <c r="J2063" s="100">
        <f>IF(G2063=0,"無法預估數據",H2063/G2063)</f>
        <v>1.0047619047619047</v>
      </c>
      <c r="K2063" s="51">
        <f>VLOOKUP(B:B,'生產達成率(目標)'!A:C,3,0)</f>
        <v>1</v>
      </c>
      <c r="L2063" s="20">
        <f>IF(G2063=0,"無法預估數據",ROUND(J2063-K2063,3))</f>
        <v>5.0000000000000001E-3</v>
      </c>
      <c r="N2063" s="144"/>
      <c r="O2063" s="144">
        <f>H2063-N2063-P2063</f>
        <v>0</v>
      </c>
      <c r="P2063" s="156">
        <v>422</v>
      </c>
      <c r="Q2063" s="98">
        <f>P2063/H2063</f>
        <v>1</v>
      </c>
      <c r="R2063" s="23"/>
      <c r="S2063" s="173"/>
      <c r="T2063" s="86"/>
      <c r="U2063" s="1"/>
      <c r="V2063" s="460"/>
      <c r="X2063" s="460"/>
    </row>
    <row r="2064" spans="1:30" x14ac:dyDescent="0.4">
      <c r="A2064" s="212">
        <v>45916</v>
      </c>
      <c r="B2064" s="139" t="s">
        <v>71</v>
      </c>
      <c r="C2064" s="30" t="str">
        <f>VLOOKUP(B2064,'112年全品項生產鍋數'!A:H,2,0)</f>
        <v>＃1草莓(1*3.2kg)</v>
      </c>
      <c r="D2064" s="290">
        <v>72</v>
      </c>
      <c r="E2064" s="48">
        <f>VLOOKUP(B2064,'112年全品項生產鍋數'!A:H,3,0)</f>
        <v>3.2</v>
      </c>
      <c r="F2064" s="142">
        <f>VLOOKUP(B2064,'112年全品項生產鍋數'!A:H,7,0)</f>
        <v>46.8</v>
      </c>
      <c r="G2064" s="143">
        <f t="shared" si="292"/>
        <v>3369.6</v>
      </c>
      <c r="H2064" s="156">
        <v>3422</v>
      </c>
      <c r="I2064" s="23">
        <f t="shared" si="293"/>
        <v>10950.400000000001</v>
      </c>
      <c r="J2064" s="100">
        <f t="shared" si="294"/>
        <v>1.0155508072174739</v>
      </c>
      <c r="K2064" s="51">
        <f>VLOOKUP(B:B,'生產達成率(目標)'!A:C,3,0)</f>
        <v>1</v>
      </c>
      <c r="L2064" s="20">
        <f t="shared" si="295"/>
        <v>1.6E-2</v>
      </c>
      <c r="M2064" s="137" t="str">
        <f>工時!R1250</f>
        <v>540</v>
      </c>
      <c r="N2064" s="144"/>
      <c r="O2064" s="144">
        <f t="shared" si="296"/>
        <v>7</v>
      </c>
      <c r="P2064" s="156">
        <v>3415</v>
      </c>
      <c r="Q2064" s="98">
        <f t="shared" si="297"/>
        <v>0.99795441262419637</v>
      </c>
      <c r="R2064" s="23"/>
      <c r="S2064" s="173"/>
      <c r="T2064" s="86"/>
      <c r="U2064" s="1"/>
      <c r="V2064" s="460"/>
      <c r="X2064" s="460"/>
    </row>
    <row r="2065" spans="1:30" x14ac:dyDescent="0.4">
      <c r="A2065" s="212">
        <v>45916</v>
      </c>
      <c r="B2065" s="139" t="s">
        <v>965</v>
      </c>
      <c r="C2065" s="30" t="str">
        <f>VLOOKUP(B2065,'112年全品項生產鍋數'!A:H,2,0)</f>
        <v>草莓餡°(1*6KG)</v>
      </c>
      <c r="D2065" s="290">
        <v>16</v>
      </c>
      <c r="E2065" s="48">
        <f>VLOOKUP(B2065,'112年全品項生產鍋數'!A:H,3,0)</f>
        <v>6</v>
      </c>
      <c r="F2065" s="142">
        <f>VLOOKUP(B2065,'112年全品項生產鍋數'!A:H,7,0)</f>
        <v>0</v>
      </c>
      <c r="G2065" s="143">
        <f t="shared" si="292"/>
        <v>0</v>
      </c>
      <c r="H2065" s="156">
        <v>406</v>
      </c>
      <c r="I2065" s="23">
        <f t="shared" si="293"/>
        <v>2436</v>
      </c>
      <c r="J2065" s="100" t="str">
        <f t="shared" si="294"/>
        <v>無法預估數據</v>
      </c>
      <c r="K2065" s="51">
        <f>VLOOKUP(B:B,'生產達成率(目標)'!A:C,3,0)</f>
        <v>1</v>
      </c>
      <c r="L2065" s="20" t="str">
        <f t="shared" si="295"/>
        <v>無法預估數據</v>
      </c>
      <c r="M2065" s="137" t="str">
        <f>工時!R1251</f>
        <v>230</v>
      </c>
      <c r="N2065" s="144"/>
      <c r="O2065" s="144">
        <f t="shared" si="296"/>
        <v>1</v>
      </c>
      <c r="P2065" s="156">
        <v>405</v>
      </c>
      <c r="Q2065" s="98">
        <f t="shared" si="297"/>
        <v>0.99753694581280783</v>
      </c>
      <c r="R2065" s="23"/>
      <c r="S2065" s="173"/>
      <c r="T2065" s="86"/>
      <c r="U2065" s="1"/>
      <c r="V2065" s="460"/>
      <c r="X2065" s="460"/>
    </row>
    <row r="2066" spans="1:30" x14ac:dyDescent="0.4">
      <c r="A2066" s="212">
        <v>45916</v>
      </c>
      <c r="B2066" s="139" t="s">
        <v>63</v>
      </c>
      <c r="C2066" s="30" t="str">
        <f>VLOOKUP(B2066,'112年全品項生產鍋數'!A:H,2,0)</f>
        <v>草莓蒟蒻餡(1*6kg)</v>
      </c>
      <c r="D2066" s="290">
        <v>24</v>
      </c>
      <c r="E2066" s="48">
        <f>VLOOKUP(B2066,'112年全品項生產鍋數'!A:H,3,0)</f>
        <v>6</v>
      </c>
      <c r="F2066" s="142">
        <f>VLOOKUP(B2066,'112年全品項生產鍋數'!A:H,7,0)</f>
        <v>25.7</v>
      </c>
      <c r="G2066" s="143">
        <f t="shared" si="292"/>
        <v>616.79999999999995</v>
      </c>
      <c r="H2066" s="156">
        <f>311+326</f>
        <v>637</v>
      </c>
      <c r="I2066" s="23">
        <f t="shared" si="293"/>
        <v>3822</v>
      </c>
      <c r="J2066" s="100">
        <f t="shared" si="294"/>
        <v>1.0327496757457848</v>
      </c>
      <c r="K2066" s="51">
        <f>VLOOKUP(B:B,'生產達成率(目標)'!A:C,3,0)</f>
        <v>1</v>
      </c>
      <c r="L2066" s="20">
        <f t="shared" si="295"/>
        <v>3.3000000000000002E-2</v>
      </c>
      <c r="M2066" s="137" t="str">
        <f>工時!R1252</f>
        <v>317</v>
      </c>
      <c r="N2066" s="144"/>
      <c r="O2066" s="144">
        <f t="shared" si="296"/>
        <v>1</v>
      </c>
      <c r="P2066" s="156">
        <f>310+326</f>
        <v>636</v>
      </c>
      <c r="Q2066" s="98">
        <f t="shared" si="297"/>
        <v>0.99843014128728413</v>
      </c>
      <c r="R2066" s="23"/>
      <c r="S2066" s="173"/>
      <c r="T2066" s="86"/>
      <c r="U2066" s="1"/>
      <c r="V2066" s="460"/>
      <c r="X2066" s="460"/>
    </row>
    <row r="2067" spans="1:30" x14ac:dyDescent="0.4">
      <c r="A2067" s="212">
        <v>45916</v>
      </c>
      <c r="B2067" s="139" t="s">
        <v>65</v>
      </c>
      <c r="C2067" s="30" t="str">
        <f>VLOOKUP(B2067,'112年全品項生產鍋數'!A:H,2,0)</f>
        <v>＃1花生(1*2.8kg)</v>
      </c>
      <c r="D2067" s="290">
        <v>72</v>
      </c>
      <c r="E2067" s="48">
        <f>VLOOKUP(B2067,'112年全品項生產鍋數'!A:H,3,0)</f>
        <v>2.8</v>
      </c>
      <c r="F2067" s="142">
        <f>VLOOKUP(B2067,'112年全品項生產鍋數'!A:H,7,0)</f>
        <v>44.5</v>
      </c>
      <c r="G2067" s="143">
        <f t="shared" si="292"/>
        <v>3204</v>
      </c>
      <c r="H2067" s="156">
        <v>3207</v>
      </c>
      <c r="I2067" s="23">
        <f t="shared" si="293"/>
        <v>8979.5999999999985</v>
      </c>
      <c r="J2067" s="100">
        <f t="shared" si="294"/>
        <v>1.0009363295880149</v>
      </c>
      <c r="K2067" s="51">
        <f>VLOOKUP(B:B,'生產達成率(目標)'!A:C,3,0)</f>
        <v>1</v>
      </c>
      <c r="L2067" s="20">
        <f t="shared" si="295"/>
        <v>1E-3</v>
      </c>
      <c r="M2067" s="137" t="str">
        <f>工時!R1253</f>
        <v>575</v>
      </c>
      <c r="N2067" s="144"/>
      <c r="O2067" s="144">
        <f t="shared" si="296"/>
        <v>1</v>
      </c>
      <c r="P2067" s="156">
        <v>3206</v>
      </c>
      <c r="Q2067" s="98">
        <f t="shared" si="297"/>
        <v>0.99968818210165267</v>
      </c>
      <c r="R2067" s="23"/>
      <c r="S2067" s="173"/>
      <c r="T2067" s="86"/>
      <c r="U2067" s="1"/>
      <c r="V2067" s="460"/>
      <c r="X2067" s="460"/>
    </row>
    <row r="2068" spans="1:30" x14ac:dyDescent="0.4">
      <c r="A2068" s="212">
        <v>45917</v>
      </c>
      <c r="B2068" s="139" t="s">
        <v>63</v>
      </c>
      <c r="C2068" s="30" t="str">
        <f>VLOOKUP(B2068,'112年全品項生產鍋數'!A:H,2,0)</f>
        <v>草莓蒟蒻餡(1*6kg)</v>
      </c>
      <c r="D2068" s="290">
        <v>24</v>
      </c>
      <c r="E2068" s="48">
        <f>VLOOKUP(B2068,'112年全品項生產鍋數'!A:H,3,0)</f>
        <v>6</v>
      </c>
      <c r="F2068" s="142">
        <f>VLOOKUP(B2068,'112年全品項生產鍋數'!A:H,7,0)</f>
        <v>25.7</v>
      </c>
      <c r="G2068" s="143">
        <f t="shared" si="292"/>
        <v>616.79999999999995</v>
      </c>
      <c r="H2068" s="156">
        <f>313+324</f>
        <v>637</v>
      </c>
      <c r="I2068" s="23">
        <f t="shared" si="293"/>
        <v>3822</v>
      </c>
      <c r="J2068" s="100">
        <f t="shared" si="294"/>
        <v>1.0327496757457848</v>
      </c>
      <c r="K2068" s="51">
        <f>VLOOKUP(B:B,'生產達成率(目標)'!A:C,3,0)</f>
        <v>1</v>
      </c>
      <c r="L2068" s="20">
        <f t="shared" si="295"/>
        <v>3.3000000000000002E-2</v>
      </c>
      <c r="M2068" s="137" t="str">
        <f>工時!R1254</f>
        <v>327</v>
      </c>
      <c r="N2068" s="144"/>
      <c r="O2068" s="144">
        <f t="shared" si="296"/>
        <v>4</v>
      </c>
      <c r="P2068" s="156">
        <f>309+324</f>
        <v>633</v>
      </c>
      <c r="Q2068" s="98">
        <f t="shared" si="297"/>
        <v>0.99372056514913654</v>
      </c>
      <c r="R2068" s="23"/>
      <c r="S2068" s="173"/>
      <c r="T2068" s="86"/>
      <c r="U2068" s="1"/>
      <c r="V2068" s="460"/>
      <c r="X2068" s="460"/>
    </row>
    <row r="2069" spans="1:30" x14ac:dyDescent="0.4">
      <c r="A2069" s="212">
        <v>45917</v>
      </c>
      <c r="B2069" s="139" t="s">
        <v>88</v>
      </c>
      <c r="C2069" s="30" t="str">
        <f>VLOOKUP(B2069,'112年全品項生產鍋數'!A:H,2,0)</f>
        <v>草莓餡(1*6KG)</v>
      </c>
      <c r="D2069" s="290">
        <v>16</v>
      </c>
      <c r="E2069" s="48">
        <f>VLOOKUP(B2069,'112年全品項生產鍋數'!A:H,3,0)</f>
        <v>6</v>
      </c>
      <c r="F2069" s="142">
        <f>VLOOKUP(B2069,'112年全品項生產鍋數'!A:H,7,0)</f>
        <v>25.5</v>
      </c>
      <c r="G2069" s="143">
        <f t="shared" si="292"/>
        <v>408</v>
      </c>
      <c r="H2069" s="156">
        <v>410</v>
      </c>
      <c r="I2069" s="23">
        <f t="shared" si="293"/>
        <v>2460</v>
      </c>
      <c r="J2069" s="100">
        <f t="shared" si="294"/>
        <v>1.0049019607843137</v>
      </c>
      <c r="K2069" s="51">
        <f>VLOOKUP(B:B,'生產達成率(目標)'!A:C,3,0)</f>
        <v>1</v>
      </c>
      <c r="L2069" s="20">
        <f t="shared" si="295"/>
        <v>5.0000000000000001E-3</v>
      </c>
      <c r="M2069" s="137" t="str">
        <f>工時!R1255</f>
        <v>230</v>
      </c>
      <c r="N2069" s="144"/>
      <c r="O2069" s="144">
        <f t="shared" si="296"/>
        <v>2</v>
      </c>
      <c r="P2069" s="156">
        <v>408</v>
      </c>
      <c r="Q2069" s="98">
        <f t="shared" si="297"/>
        <v>0.99512195121951219</v>
      </c>
      <c r="R2069" s="23"/>
      <c r="S2069" s="173"/>
      <c r="T2069" s="86"/>
      <c r="U2069" s="1"/>
      <c r="V2069" s="460"/>
      <c r="X2069" s="460"/>
    </row>
    <row r="2070" spans="1:30" x14ac:dyDescent="0.4">
      <c r="A2070" s="212">
        <v>45917</v>
      </c>
      <c r="B2070" s="139" t="s">
        <v>108</v>
      </c>
      <c r="C2070" s="30" t="str">
        <f>VLOOKUP(B2070,'112年全品項生產鍋數'!A:H,2,0)</f>
        <v>顆粒花生醬(1*12KG)</v>
      </c>
      <c r="D2070" s="290">
        <v>21</v>
      </c>
      <c r="E2070" s="48">
        <f>VLOOKUP(B2070,'112年全品項生產鍋數'!A:H,3,0)</f>
        <v>3</v>
      </c>
      <c r="F2070" s="142">
        <f>VLOOKUP(B2070,'112年全品項生產鍋數'!A:H,7,0)</f>
        <v>31.6</v>
      </c>
      <c r="G2070" s="143">
        <f t="shared" si="292"/>
        <v>663.6</v>
      </c>
      <c r="H2070" s="156">
        <v>668</v>
      </c>
      <c r="I2070" s="23">
        <f t="shared" si="293"/>
        <v>2004</v>
      </c>
      <c r="J2070" s="100">
        <f t="shared" si="294"/>
        <v>1.0066305003013862</v>
      </c>
      <c r="K2070" s="51">
        <f>VLOOKUP(B:B,'生產達成率(目標)'!A:C,3,0)</f>
        <v>1</v>
      </c>
      <c r="L2070" s="20">
        <f t="shared" si="295"/>
        <v>7.0000000000000001E-3</v>
      </c>
      <c r="M2070" s="137" t="str">
        <f>工時!R1256</f>
        <v>540</v>
      </c>
      <c r="N2070" s="144"/>
      <c r="O2070" s="144">
        <f t="shared" si="296"/>
        <v>0</v>
      </c>
      <c r="P2070" s="156">
        <v>668</v>
      </c>
      <c r="Q2070" s="98">
        <f t="shared" si="297"/>
        <v>1</v>
      </c>
      <c r="R2070" s="23"/>
      <c r="S2070" s="173"/>
      <c r="T2070" s="86"/>
      <c r="U2070" s="1"/>
      <c r="V2070" s="460"/>
      <c r="X2070" s="460"/>
    </row>
    <row r="2071" spans="1:30" x14ac:dyDescent="0.4">
      <c r="A2071" s="212">
        <v>45917</v>
      </c>
      <c r="B2071" s="139" t="s">
        <v>65</v>
      </c>
      <c r="C2071" s="30" t="str">
        <f>VLOOKUP(B2071,'112年全品項生產鍋數'!A:H,2,0)</f>
        <v>＃1花生(1*2.8kg)</v>
      </c>
      <c r="D2071" s="290">
        <v>72</v>
      </c>
      <c r="E2071" s="48">
        <f>VLOOKUP(B2071,'112年全品項生產鍋數'!A:H,3,0)</f>
        <v>2.8</v>
      </c>
      <c r="F2071" s="142">
        <f>VLOOKUP(B2071,'112年全品項生產鍋數'!A:H,7,0)</f>
        <v>44.5</v>
      </c>
      <c r="G2071" s="143">
        <f>D2071*F2071-160*18/E2071</f>
        <v>2175.4285714285716</v>
      </c>
      <c r="H2071" s="156">
        <f>1886+300</f>
        <v>2186</v>
      </c>
      <c r="I2071" s="23">
        <f t="shared" si="293"/>
        <v>6120.7999999999993</v>
      </c>
      <c r="J2071" s="100">
        <f t="shared" si="294"/>
        <v>1.0048594693984765</v>
      </c>
      <c r="K2071" s="51">
        <f>VLOOKUP(B:B,'生產達成率(目標)'!A:C,3,0)</f>
        <v>1</v>
      </c>
      <c r="L2071" s="20">
        <f t="shared" si="295"/>
        <v>5.0000000000000001E-3</v>
      </c>
      <c r="M2071" s="137" t="str">
        <f>工時!R1257</f>
        <v>575</v>
      </c>
      <c r="N2071" s="144"/>
      <c r="O2071" s="144">
        <f t="shared" si="296"/>
        <v>1</v>
      </c>
      <c r="P2071" s="156">
        <f>1885+300</f>
        <v>2185</v>
      </c>
      <c r="Q2071" s="98">
        <f t="shared" si="297"/>
        <v>0.99954254345837146</v>
      </c>
      <c r="R2071" s="23"/>
      <c r="S2071" s="173"/>
      <c r="T2071" s="86" t="s">
        <v>1136</v>
      </c>
      <c r="U2071" s="1"/>
      <c r="V2071" s="460"/>
      <c r="X2071" s="460"/>
    </row>
    <row r="2072" spans="1:30" x14ac:dyDescent="0.4">
      <c r="A2072" s="212">
        <v>45917</v>
      </c>
      <c r="B2072" s="139">
        <v>151010</v>
      </c>
      <c r="C2072" s="30" t="str">
        <f>VLOOKUP(B2072,'112年全品項生產鍋數'!A:H,2,0)</f>
        <v>蜜紅果6m/m</v>
      </c>
      <c r="D2072" s="290">
        <v>1</v>
      </c>
      <c r="E2072" s="48">
        <f>VLOOKUP(B2072,'112年全品項生產鍋數'!A:H,3,0)</f>
        <v>1</v>
      </c>
      <c r="F2072" s="142">
        <f>VLOOKUP(B2072,'112年全品項生產鍋數'!A:H,7,0)</f>
        <v>142</v>
      </c>
      <c r="G2072" s="143">
        <f t="shared" si="292"/>
        <v>142</v>
      </c>
      <c r="H2072" s="156">
        <v>160</v>
      </c>
      <c r="I2072" s="23">
        <f t="shared" si="293"/>
        <v>160</v>
      </c>
      <c r="J2072" s="100">
        <f t="shared" si="294"/>
        <v>1.1267605633802817</v>
      </c>
      <c r="K2072" s="51">
        <f>VLOOKUP(B:B,'生產達成率(目標)'!A:C,3,0)</f>
        <v>1</v>
      </c>
      <c r="L2072" s="20">
        <f t="shared" si="295"/>
        <v>0.127</v>
      </c>
      <c r="M2072" s="137" t="str">
        <f>工時!R1258</f>
        <v>0</v>
      </c>
      <c r="N2072" s="144"/>
      <c r="O2072" s="144">
        <f t="shared" si="296"/>
        <v>0</v>
      </c>
      <c r="P2072" s="156">
        <v>160</v>
      </c>
      <c r="Q2072" s="98">
        <f t="shared" si="297"/>
        <v>1</v>
      </c>
      <c r="R2072" s="23"/>
      <c r="S2072" s="173"/>
      <c r="T2072" s="86"/>
      <c r="U2072" s="1"/>
      <c r="V2072" s="460"/>
      <c r="X2072" s="460"/>
    </row>
    <row r="2073" spans="1:30" s="146" customFormat="1" x14ac:dyDescent="0.4">
      <c r="A2073" s="212">
        <v>45918</v>
      </c>
      <c r="B2073" s="139" t="s">
        <v>106</v>
      </c>
      <c r="C2073" s="140" t="str">
        <f>VLOOKUP(B2073,'112年全品項生產鍋數'!A:H,2,0)</f>
        <v>小藍莓1*260G</v>
      </c>
      <c r="D2073" s="290">
        <v>16</v>
      </c>
      <c r="E2073" s="141">
        <f>VLOOKUP(B2073,'112年全品項生產鍋數'!A:H,3,0)</f>
        <v>0.26</v>
      </c>
      <c r="F2073" s="142">
        <f>VLOOKUP(B2073,'112年全品項生產鍋數'!A:H,7,0)</f>
        <v>584.29999999999995</v>
      </c>
      <c r="G2073" s="143">
        <f t="shared" si="292"/>
        <v>9348.7999999999993</v>
      </c>
      <c r="H2073" s="156">
        <v>9290</v>
      </c>
      <c r="I2073" s="144">
        <f t="shared" si="293"/>
        <v>2415.4</v>
      </c>
      <c r="J2073" s="100">
        <f t="shared" si="294"/>
        <v>0.99371042272805077</v>
      </c>
      <c r="K2073" s="51">
        <f>VLOOKUP(B:B,'生產達成率(目標)'!A:C,3,0)</f>
        <v>1</v>
      </c>
      <c r="L2073" s="20">
        <f t="shared" si="295"/>
        <v>-6.0000000000000001E-3</v>
      </c>
      <c r="M2073" s="137" t="str">
        <f>工時!R1259</f>
        <v>300</v>
      </c>
      <c r="N2073" s="144"/>
      <c r="O2073" s="144">
        <f t="shared" si="296"/>
        <v>49</v>
      </c>
      <c r="P2073" s="156">
        <v>9241</v>
      </c>
      <c r="Q2073" s="145">
        <f t="shared" si="297"/>
        <v>0.99472551130247577</v>
      </c>
      <c r="R2073" s="144"/>
      <c r="S2073" s="153"/>
      <c r="T2073" s="282"/>
      <c r="U2073" s="158"/>
      <c r="V2073" s="461"/>
      <c r="W2073" s="421"/>
      <c r="X2073" s="461"/>
      <c r="Y2073" s="421"/>
      <c r="Z2073" s="421"/>
      <c r="AA2073" s="421"/>
      <c r="AB2073" s="421"/>
      <c r="AC2073" s="421"/>
      <c r="AD2073" s="421"/>
    </row>
    <row r="2074" spans="1:30" x14ac:dyDescent="0.4">
      <c r="A2074" s="212">
        <v>45918</v>
      </c>
      <c r="B2074" s="139" t="s">
        <v>61</v>
      </c>
      <c r="C2074" s="30" t="str">
        <f>VLOOKUP(B2074,'112年全品項生產鍋數'!A:H,2,0)</f>
        <v>大圓草莓-新</v>
      </c>
      <c r="D2074" s="290">
        <v>20</v>
      </c>
      <c r="E2074" s="48">
        <f>VLOOKUP(B2074,'112年全品項生產鍋數'!A:H,3,0)</f>
        <v>0.44</v>
      </c>
      <c r="F2074" s="142">
        <f>VLOOKUP(B2074,'112年全品項生產鍋數'!A:H,7,0)</f>
        <v>344</v>
      </c>
      <c r="G2074" s="143">
        <f t="shared" si="292"/>
        <v>6880</v>
      </c>
      <c r="H2074" s="156">
        <v>6803</v>
      </c>
      <c r="I2074" s="23">
        <f t="shared" si="293"/>
        <v>2993.32</v>
      </c>
      <c r="J2074" s="100">
        <f t="shared" si="294"/>
        <v>0.98880813953488367</v>
      </c>
      <c r="K2074" s="51">
        <f>VLOOKUP(B:B,'生產達成率(目標)'!A:C,3,0)</f>
        <v>1</v>
      </c>
      <c r="L2074" s="20">
        <f t="shared" si="295"/>
        <v>-1.0999999999999999E-2</v>
      </c>
      <c r="M2074" s="137" t="str">
        <f>工時!R1260</f>
        <v>330</v>
      </c>
      <c r="N2074" s="144"/>
      <c r="O2074" s="144">
        <f t="shared" si="296"/>
        <v>7</v>
      </c>
      <c r="P2074" s="156">
        <v>6796</v>
      </c>
      <c r="Q2074" s="98">
        <f t="shared" si="297"/>
        <v>0.99897104218727029</v>
      </c>
      <c r="R2074" s="23"/>
      <c r="S2074" s="173"/>
      <c r="T2074" s="86"/>
      <c r="U2074" s="1"/>
      <c r="V2074" s="460"/>
      <c r="X2074" s="460"/>
    </row>
    <row r="2075" spans="1:30" x14ac:dyDescent="0.4">
      <c r="A2075" s="212">
        <v>45918</v>
      </c>
      <c r="B2075" s="139" t="s">
        <v>1046</v>
      </c>
      <c r="C2075" s="30" t="str">
        <f>VLOOKUP(B2075,'112年全品項生產鍋數'!A:H,2,0)</f>
        <v>藍莓顆粒果醬(1*6kg)</v>
      </c>
      <c r="D2075" s="290">
        <v>12</v>
      </c>
      <c r="E2075" s="48">
        <f>VLOOKUP(B2075,'112年全品項生產鍋數'!A:H,3,0)</f>
        <v>6</v>
      </c>
      <c r="F2075" s="142">
        <f>VLOOKUP(B2075,'112年全品項生產鍋數'!A:H,7,0)</f>
        <v>0</v>
      </c>
      <c r="G2075" s="143">
        <f t="shared" si="292"/>
        <v>0</v>
      </c>
      <c r="H2075" s="156">
        <v>320</v>
      </c>
      <c r="I2075" s="23">
        <f t="shared" si="293"/>
        <v>1920</v>
      </c>
      <c r="J2075" s="100" t="str">
        <f t="shared" si="294"/>
        <v>無法預估數據</v>
      </c>
      <c r="K2075" s="51">
        <f>VLOOKUP(B:B,'生產達成率(目標)'!A:C,3,0)</f>
        <v>1</v>
      </c>
      <c r="L2075" s="20" t="str">
        <f t="shared" si="295"/>
        <v>無法預估數據</v>
      </c>
      <c r="M2075" s="137" t="str">
        <f>工時!R1261</f>
        <v>147</v>
      </c>
      <c r="N2075" s="144"/>
      <c r="O2075" s="144">
        <f t="shared" si="296"/>
        <v>3</v>
      </c>
      <c r="P2075" s="156">
        <v>317</v>
      </c>
      <c r="Q2075" s="98">
        <f t="shared" si="297"/>
        <v>0.99062499999999998</v>
      </c>
      <c r="R2075" s="23"/>
      <c r="S2075" s="173"/>
      <c r="T2075" s="86"/>
      <c r="U2075" s="1"/>
      <c r="V2075" s="460"/>
      <c r="X2075" s="460"/>
    </row>
    <row r="2076" spans="1:30" s="146" customFormat="1" x14ac:dyDescent="0.4">
      <c r="A2076" s="212">
        <v>45918</v>
      </c>
      <c r="B2076" s="139" t="s">
        <v>76</v>
      </c>
      <c r="C2076" s="140" t="str">
        <f>VLOOKUP(B2076,'112年全品項生產鍋數'!A:H,2,0)</f>
        <v>草莓餡(1*6Kg)</v>
      </c>
      <c r="D2076" s="290">
        <v>16</v>
      </c>
      <c r="E2076" s="141">
        <f>VLOOKUP(B2076,'112年全品項生產鍋數'!A:H,3,0)</f>
        <v>6</v>
      </c>
      <c r="F2076" s="142">
        <f>VLOOKUP(B2076,'112年全品項生產鍋數'!A:H,7,0)</f>
        <v>25.5</v>
      </c>
      <c r="G2076" s="143">
        <f t="shared" si="292"/>
        <v>408</v>
      </c>
      <c r="H2076" s="156">
        <v>410</v>
      </c>
      <c r="I2076" s="144">
        <f t="shared" si="293"/>
        <v>2460</v>
      </c>
      <c r="J2076" s="100">
        <f t="shared" si="294"/>
        <v>1.0049019607843137</v>
      </c>
      <c r="K2076" s="51">
        <f>VLOOKUP(B:B,'生產達成率(目標)'!A:C,3,0)</f>
        <v>1</v>
      </c>
      <c r="L2076" s="20">
        <f t="shared" si="295"/>
        <v>5.0000000000000001E-3</v>
      </c>
      <c r="M2076" s="137" t="str">
        <f>工時!R1262</f>
        <v>200</v>
      </c>
      <c r="N2076" s="144"/>
      <c r="O2076" s="144">
        <f t="shared" si="296"/>
        <v>2</v>
      </c>
      <c r="P2076" s="156">
        <v>408</v>
      </c>
      <c r="Q2076" s="145">
        <f t="shared" si="297"/>
        <v>0.99512195121951219</v>
      </c>
      <c r="R2076" s="144"/>
      <c r="S2076" s="153"/>
      <c r="T2076" s="282"/>
      <c r="U2076" s="158"/>
      <c r="V2076" s="461"/>
      <c r="W2076" s="421"/>
      <c r="X2076" s="461"/>
      <c r="Y2076" s="421"/>
      <c r="Z2076" s="421"/>
      <c r="AA2076" s="421"/>
      <c r="AB2076" s="421"/>
      <c r="AC2076" s="421"/>
      <c r="AD2076" s="421"/>
    </row>
    <row r="2077" spans="1:30" x14ac:dyDescent="0.4">
      <c r="A2077" s="212">
        <v>45918</v>
      </c>
      <c r="B2077" s="139" t="s">
        <v>63</v>
      </c>
      <c r="C2077" s="30" t="str">
        <f>VLOOKUP(B2077,'112年全品項生產鍋數'!A:H,2,0)</f>
        <v>草莓蒟蒻餡(1*6kg)</v>
      </c>
      <c r="D2077" s="290">
        <v>12</v>
      </c>
      <c r="E2077" s="48">
        <f>VLOOKUP(B2077,'112年全品項生產鍋數'!A:H,3,0)</f>
        <v>6</v>
      </c>
      <c r="F2077" s="142">
        <f>VLOOKUP(B2077,'112年全品項生產鍋數'!A:H,7,0)</f>
        <v>25.7</v>
      </c>
      <c r="G2077" s="143">
        <f t="shared" si="292"/>
        <v>308.39999999999998</v>
      </c>
      <c r="H2077" s="156">
        <v>316</v>
      </c>
      <c r="I2077" s="23">
        <f t="shared" si="293"/>
        <v>1896</v>
      </c>
      <c r="J2077" s="100">
        <f t="shared" si="294"/>
        <v>1.0246433203631649</v>
      </c>
      <c r="K2077" s="51">
        <f>VLOOKUP(B:B,'生產達成率(目標)'!A:C,3,0)</f>
        <v>1</v>
      </c>
      <c r="L2077" s="20">
        <f t="shared" si="295"/>
        <v>2.5000000000000001E-2</v>
      </c>
      <c r="M2077" s="137" t="str">
        <f>工時!R1263</f>
        <v>234</v>
      </c>
      <c r="N2077" s="144"/>
      <c r="O2077" s="144">
        <f t="shared" si="296"/>
        <v>1</v>
      </c>
      <c r="P2077" s="156">
        <v>315</v>
      </c>
      <c r="Q2077" s="98">
        <f t="shared" si="297"/>
        <v>0.99683544303797467</v>
      </c>
      <c r="R2077" s="23"/>
      <c r="S2077" s="173"/>
      <c r="T2077" s="86"/>
      <c r="U2077" s="1"/>
      <c r="V2077" s="460"/>
      <c r="X2077" s="460"/>
    </row>
    <row r="2078" spans="1:30" s="146" customFormat="1" x14ac:dyDescent="0.4">
      <c r="A2078" s="212">
        <v>45918</v>
      </c>
      <c r="B2078" s="139" t="s">
        <v>65</v>
      </c>
      <c r="C2078" s="140" t="str">
        <f>VLOOKUP(B2078,'112年全品項生產鍋數'!A:H,2,0)</f>
        <v>＃1花生(1*2.8kg)</v>
      </c>
      <c r="D2078" s="290">
        <v>36</v>
      </c>
      <c r="E2078" s="141">
        <f>VLOOKUP(B2078,'112年全品項生產鍋數'!A:H,3,0)</f>
        <v>2.8</v>
      </c>
      <c r="F2078" s="142">
        <f>VLOOKUP(B2078,'112年全品項生產鍋數'!A:H,7,0)</f>
        <v>44.5</v>
      </c>
      <c r="G2078" s="143">
        <f t="shared" si="292"/>
        <v>1602</v>
      </c>
      <c r="H2078" s="156">
        <v>1590</v>
      </c>
      <c r="I2078" s="144">
        <f t="shared" si="293"/>
        <v>4452</v>
      </c>
      <c r="J2078" s="100">
        <f t="shared" si="294"/>
        <v>0.99250936329588013</v>
      </c>
      <c r="K2078" s="51">
        <f>VLOOKUP(B:B,'生產達成率(目標)'!A:C,3,0)</f>
        <v>1</v>
      </c>
      <c r="L2078" s="20">
        <f t="shared" si="295"/>
        <v>-7.0000000000000001E-3</v>
      </c>
      <c r="M2078" s="137" t="str">
        <f>工時!R1264</f>
        <v>340</v>
      </c>
      <c r="N2078" s="144"/>
      <c r="O2078" s="144">
        <f t="shared" si="296"/>
        <v>1</v>
      </c>
      <c r="P2078" s="156">
        <v>1589</v>
      </c>
      <c r="Q2078" s="145">
        <f t="shared" si="297"/>
        <v>0.99937106918238994</v>
      </c>
      <c r="R2078" s="144"/>
      <c r="S2078" s="153"/>
      <c r="T2078" s="282"/>
      <c r="U2078" s="158"/>
      <c r="V2078" s="461"/>
      <c r="W2078" s="421"/>
      <c r="X2078" s="461"/>
      <c r="Y2078" s="421"/>
      <c r="Z2078" s="421"/>
      <c r="AA2078" s="421"/>
      <c r="AB2078" s="421"/>
      <c r="AC2078" s="421"/>
      <c r="AD2078" s="421"/>
    </row>
    <row r="2079" spans="1:30" s="146" customFormat="1" ht="17.25" customHeight="1" x14ac:dyDescent="0.4">
      <c r="A2079" s="212">
        <v>45918</v>
      </c>
      <c r="B2079" s="139" t="s">
        <v>66</v>
      </c>
      <c r="C2079" s="140" t="str">
        <f>VLOOKUP(B2079,'112年全品項生產鍋數'!A:H,2,0)</f>
        <v>＃2花生(1*800g)</v>
      </c>
      <c r="D2079" s="290">
        <v>20</v>
      </c>
      <c r="E2079" s="141">
        <f>VLOOKUP(B2079,'112年全品項生產鍋數'!A:H,3,0)</f>
        <v>0.8</v>
      </c>
      <c r="F2079" s="142">
        <f>VLOOKUP(B2079,'112年全品項生產鍋數'!A:H,7,0)</f>
        <v>157.69999999999999</v>
      </c>
      <c r="G2079" s="143">
        <f t="shared" si="292"/>
        <v>3154</v>
      </c>
      <c r="H2079" s="156">
        <v>3192</v>
      </c>
      <c r="I2079" s="144">
        <f t="shared" si="293"/>
        <v>2553.6000000000004</v>
      </c>
      <c r="J2079" s="100">
        <f t="shared" si="294"/>
        <v>1.0120481927710843</v>
      </c>
      <c r="K2079" s="51">
        <f>VLOOKUP(B:B,'生產達成率(目標)'!A:C,3,0)</f>
        <v>1</v>
      </c>
      <c r="L2079" s="20">
        <f t="shared" si="295"/>
        <v>1.2E-2</v>
      </c>
      <c r="M2079" s="137" t="str">
        <f>工時!R1265</f>
        <v>310</v>
      </c>
      <c r="N2079" s="144"/>
      <c r="O2079" s="144">
        <f t="shared" si="296"/>
        <v>2</v>
      </c>
      <c r="P2079" s="156">
        <v>3190</v>
      </c>
      <c r="Q2079" s="145">
        <f t="shared" si="297"/>
        <v>0.99937343358395991</v>
      </c>
      <c r="R2079" s="144"/>
      <c r="S2079" s="153"/>
      <c r="T2079" s="282"/>
      <c r="U2079" s="158"/>
      <c r="V2079" s="461"/>
      <c r="W2079" s="421"/>
      <c r="X2079" s="461"/>
      <c r="Y2079" s="421"/>
      <c r="Z2079" s="421"/>
      <c r="AA2079" s="421"/>
      <c r="AB2079" s="421"/>
      <c r="AC2079" s="421"/>
      <c r="AD2079" s="421"/>
    </row>
    <row r="2080" spans="1:30" s="146" customFormat="1" x14ac:dyDescent="0.4">
      <c r="A2080" s="212">
        <v>45919</v>
      </c>
      <c r="B2080" s="139" t="s">
        <v>71</v>
      </c>
      <c r="C2080" s="140" t="str">
        <f>VLOOKUP(B2080,'112年全品項生產鍋數'!A:H,2,0)</f>
        <v>＃1草莓(1*3.2kg)</v>
      </c>
      <c r="D2080" s="290">
        <v>72</v>
      </c>
      <c r="E2080" s="141">
        <f>VLOOKUP(B2080,'112年全品項生產鍋數'!A:H,3,0)</f>
        <v>3.2</v>
      </c>
      <c r="F2080" s="142">
        <f>VLOOKUP(B2080,'112年全品項生產鍋數'!A:H,7,0)</f>
        <v>46.8</v>
      </c>
      <c r="G2080" s="143">
        <f t="shared" si="292"/>
        <v>3369.6</v>
      </c>
      <c r="H2080" s="156">
        <v>3403</v>
      </c>
      <c r="I2080" s="144">
        <f t="shared" si="293"/>
        <v>10889.6</v>
      </c>
      <c r="J2080" s="100">
        <f t="shared" si="294"/>
        <v>1.0099121557454891</v>
      </c>
      <c r="K2080" s="51">
        <f>VLOOKUP(B:B,'生產達成率(目標)'!A:C,3,0)</f>
        <v>1</v>
      </c>
      <c r="L2080" s="20">
        <f t="shared" si="295"/>
        <v>0.01</v>
      </c>
      <c r="M2080" s="137" t="str">
        <f>工時!R1266</f>
        <v>540</v>
      </c>
      <c r="N2080" s="144"/>
      <c r="O2080" s="144">
        <f t="shared" si="296"/>
        <v>2</v>
      </c>
      <c r="P2080" s="156">
        <v>3401</v>
      </c>
      <c r="Q2080" s="145">
        <f t="shared" si="297"/>
        <v>0.9994122832794593</v>
      </c>
      <c r="R2080" s="144"/>
      <c r="S2080" s="153"/>
      <c r="T2080" s="282"/>
      <c r="U2080" s="158"/>
      <c r="V2080" s="461"/>
      <c r="W2080" s="421"/>
      <c r="X2080" s="461"/>
      <c r="Y2080" s="421"/>
      <c r="Z2080" s="421"/>
      <c r="AA2080" s="421"/>
      <c r="AB2080" s="421"/>
      <c r="AC2080" s="421"/>
      <c r="AD2080" s="421"/>
    </row>
    <row r="2081" spans="1:30" s="146" customFormat="1" x14ac:dyDescent="0.4">
      <c r="A2081" s="212">
        <v>45919</v>
      </c>
      <c r="B2081" s="139" t="s">
        <v>54</v>
      </c>
      <c r="C2081" s="140" t="str">
        <f>VLOOKUP(B2081,'112年全品項生產鍋數'!A:H,2,0)</f>
        <v>草莓醬(1*6kg)</v>
      </c>
      <c r="D2081" s="290">
        <v>40</v>
      </c>
      <c r="E2081" s="141">
        <f>VLOOKUP(B2081,'112年全品項生產鍋數'!A:H,3,0)</f>
        <v>6</v>
      </c>
      <c r="F2081" s="142">
        <f>VLOOKUP(B2081,'112年全品項生產鍋數'!A:H,7,0)</f>
        <v>26.6</v>
      </c>
      <c r="G2081" s="143">
        <f t="shared" si="292"/>
        <v>1064</v>
      </c>
      <c r="H2081" s="156">
        <v>1068</v>
      </c>
      <c r="I2081" s="144">
        <f t="shared" si="293"/>
        <v>6408</v>
      </c>
      <c r="J2081" s="100">
        <f t="shared" si="294"/>
        <v>1.0037593984962405</v>
      </c>
      <c r="K2081" s="51">
        <f>VLOOKUP(B:B,'生產達成率(目標)'!A:C,3,0)</f>
        <v>1</v>
      </c>
      <c r="L2081" s="20">
        <f t="shared" si="295"/>
        <v>4.0000000000000001E-3</v>
      </c>
      <c r="M2081" s="137" t="str">
        <f>工時!R1267</f>
        <v>510</v>
      </c>
      <c r="N2081" s="144"/>
      <c r="O2081" s="144">
        <f t="shared" si="296"/>
        <v>16</v>
      </c>
      <c r="P2081" s="156">
        <v>1052</v>
      </c>
      <c r="Q2081" s="145">
        <f t="shared" si="297"/>
        <v>0.98501872659176026</v>
      </c>
      <c r="R2081" s="144"/>
      <c r="S2081" s="153"/>
      <c r="T2081" s="282"/>
      <c r="U2081" s="158"/>
      <c r="V2081" s="461"/>
      <c r="W2081" s="421"/>
      <c r="X2081" s="461"/>
      <c r="Y2081" s="421"/>
      <c r="Z2081" s="421"/>
      <c r="AA2081" s="421"/>
      <c r="AB2081" s="421"/>
      <c r="AC2081" s="421"/>
      <c r="AD2081" s="421"/>
    </row>
    <row r="2082" spans="1:30" x14ac:dyDescent="0.4">
      <c r="A2082" s="212">
        <v>45919</v>
      </c>
      <c r="B2082" s="139" t="s">
        <v>73</v>
      </c>
      <c r="C2082" s="30" t="str">
        <f>VLOOKUP(B2082,'112年全品項生產鍋數'!A:H,2,0)</f>
        <v>顆粒花生醬(1*12KG)</v>
      </c>
      <c r="D2082" s="290">
        <v>21</v>
      </c>
      <c r="E2082" s="48">
        <f>VLOOKUP(B2082,'112年全品項生產鍋數'!A:H,3,0)</f>
        <v>3</v>
      </c>
      <c r="F2082" s="142">
        <f>VLOOKUP(B2082,'112年全品項生產鍋數'!A:H,7,0)</f>
        <v>29.7</v>
      </c>
      <c r="G2082" s="143">
        <f t="shared" si="292"/>
        <v>623.69999999999993</v>
      </c>
      <c r="H2082" s="156">
        <v>628</v>
      </c>
      <c r="I2082" s="23">
        <f t="shared" si="293"/>
        <v>1884</v>
      </c>
      <c r="J2082" s="100">
        <f t="shared" si="294"/>
        <v>1.0068943402276738</v>
      </c>
      <c r="K2082" s="51">
        <f>VLOOKUP(B:B,'生產達成率(目標)'!A:C,3,0)</f>
        <v>1</v>
      </c>
      <c r="L2082" s="20">
        <f t="shared" si="295"/>
        <v>7.0000000000000001E-3</v>
      </c>
      <c r="M2082" s="137" t="str">
        <f>工時!R1268</f>
        <v>455</v>
      </c>
      <c r="N2082" s="144"/>
      <c r="O2082" s="144">
        <f t="shared" si="296"/>
        <v>0</v>
      </c>
      <c r="P2082" s="156">
        <v>628</v>
      </c>
      <c r="Q2082" s="98">
        <f t="shared" si="297"/>
        <v>1</v>
      </c>
      <c r="R2082" s="23"/>
      <c r="S2082" s="173"/>
      <c r="T2082" s="86"/>
      <c r="U2082" s="1"/>
      <c r="V2082" s="460"/>
      <c r="X2082" s="460"/>
    </row>
    <row r="2083" spans="1:30" x14ac:dyDescent="0.4">
      <c r="A2083" s="212">
        <v>45922</v>
      </c>
      <c r="B2083" s="139" t="s">
        <v>68</v>
      </c>
      <c r="C2083" s="30" t="str">
        <f>VLOOKUP(B2083,'112年全品項生產鍋數'!A:H,2,0)</f>
        <v>#2草莓果醬(1*900g)</v>
      </c>
      <c r="D2083" s="290">
        <v>40</v>
      </c>
      <c r="E2083" s="48">
        <f>VLOOKUP(B2083,'112年全品項生產鍋數'!A:H,3,0)</f>
        <v>0.9</v>
      </c>
      <c r="F2083" s="142">
        <f>VLOOKUP(B2083,'112年全品項生產鍋數'!A:H,7,0)</f>
        <v>160.5</v>
      </c>
      <c r="G2083" s="143">
        <f t="shared" si="292"/>
        <v>6420</v>
      </c>
      <c r="H2083" s="156">
        <v>6560</v>
      </c>
      <c r="I2083" s="23">
        <f t="shared" si="293"/>
        <v>5904</v>
      </c>
      <c r="J2083" s="100">
        <f t="shared" si="294"/>
        <v>1.0218068535825544</v>
      </c>
      <c r="K2083" s="51">
        <f>VLOOKUP(B:B,'生產達成率(目標)'!A:C,3,0)</f>
        <v>1</v>
      </c>
      <c r="L2083" s="20">
        <f t="shared" si="295"/>
        <v>2.1999999999999999E-2</v>
      </c>
      <c r="M2083" s="137" t="str">
        <f>工時!R1269</f>
        <v>540</v>
      </c>
      <c r="N2083" s="144"/>
      <c r="O2083" s="144">
        <f t="shared" si="296"/>
        <v>2</v>
      </c>
      <c r="P2083" s="156">
        <v>6558</v>
      </c>
      <c r="Q2083" s="98">
        <f t="shared" si="297"/>
        <v>0.99969512195121957</v>
      </c>
      <c r="R2083" s="23"/>
      <c r="S2083" s="173"/>
      <c r="T2083" s="86"/>
      <c r="U2083" s="1"/>
      <c r="V2083" s="460"/>
      <c r="X2083" s="460"/>
    </row>
    <row r="2084" spans="1:30" x14ac:dyDescent="0.4">
      <c r="A2084" s="212">
        <v>45922</v>
      </c>
      <c r="B2084" s="139" t="s">
        <v>72</v>
      </c>
      <c r="C2084" s="30" t="str">
        <f>VLOOKUP(B2084,'112年全品項生產鍋數'!A:H,2,0)</f>
        <v>草莓餡45%(1*6Kg)</v>
      </c>
      <c r="D2084" s="290">
        <v>16</v>
      </c>
      <c r="E2084" s="48">
        <f>VLOOKUP(B2084,'112年全品項生產鍋數'!A:H,3,0)</f>
        <v>6</v>
      </c>
      <c r="F2084" s="142">
        <f>VLOOKUP(B2084,'112年全品項生產鍋數'!A:H,7,0)</f>
        <v>26.1</v>
      </c>
      <c r="G2084" s="143">
        <f t="shared" ref="G2084:G2123" si="298">D2084*F2084</f>
        <v>417.6</v>
      </c>
      <c r="H2084" s="156">
        <v>424</v>
      </c>
      <c r="I2084" s="23">
        <f t="shared" ref="I2084:I2123" si="299">H2084*E2084</f>
        <v>2544</v>
      </c>
      <c r="J2084" s="100">
        <f t="shared" ref="J2084:J2123" si="300">IF(G2084=0,"無法預估數據",H2084/G2084)</f>
        <v>1.0153256704980842</v>
      </c>
      <c r="K2084" s="51">
        <f>VLOOKUP(B:B,'生產達成率(目標)'!A:C,3,0)</f>
        <v>1</v>
      </c>
      <c r="L2084" s="20">
        <f t="shared" ref="L2084:L2123" si="301">IF(G2084=0,"無法預估數據",ROUND(J2084-K2084,3))</f>
        <v>1.4999999999999999E-2</v>
      </c>
      <c r="M2084" s="137" t="str">
        <f>工時!R1270</f>
        <v>200</v>
      </c>
      <c r="N2084" s="144"/>
      <c r="O2084" s="144">
        <f t="shared" ref="O2084:O2123" si="302">H2084-N2084-P2084</f>
        <v>1</v>
      </c>
      <c r="P2084" s="156">
        <v>423</v>
      </c>
      <c r="Q2084" s="98">
        <f t="shared" ref="Q2084:Q2123" si="303">P2084/H2084</f>
        <v>0.99764150943396224</v>
      </c>
      <c r="R2084" s="23"/>
      <c r="S2084" s="173"/>
      <c r="T2084" s="86"/>
      <c r="U2084" s="1"/>
      <c r="V2084" s="460"/>
      <c r="X2084" s="460"/>
    </row>
    <row r="2085" spans="1:30" x14ac:dyDescent="0.4">
      <c r="A2085" s="212">
        <v>45922</v>
      </c>
      <c r="B2085" s="139" t="s">
        <v>64</v>
      </c>
      <c r="C2085" s="30" t="str">
        <f>VLOOKUP(B2085,'112年全品項生產鍋數'!A:H,2,0)</f>
        <v>藍莓餡(1*6KG)</v>
      </c>
      <c r="D2085" s="290">
        <v>28</v>
      </c>
      <c r="E2085" s="48">
        <f>VLOOKUP(B2085,'112年全品項生產鍋數'!A:H,3,0)</f>
        <v>6</v>
      </c>
      <c r="F2085" s="142">
        <f>VLOOKUP(B2085,'112年全品項生產鍋數'!A:H,7,0)</f>
        <v>25.4</v>
      </c>
      <c r="G2085" s="143">
        <f t="shared" si="298"/>
        <v>711.19999999999993</v>
      </c>
      <c r="H2085" s="156">
        <f>408+315</f>
        <v>723</v>
      </c>
      <c r="I2085" s="23">
        <f t="shared" si="299"/>
        <v>4338</v>
      </c>
      <c r="J2085" s="100">
        <f t="shared" si="300"/>
        <v>1.0165916760404949</v>
      </c>
      <c r="K2085" s="51">
        <f>VLOOKUP(B:B,'生產達成率(目標)'!A:C,3,0)</f>
        <v>1</v>
      </c>
      <c r="L2085" s="20">
        <f t="shared" si="301"/>
        <v>1.7000000000000001E-2</v>
      </c>
      <c r="M2085" s="137" t="str">
        <f>工時!R1271</f>
        <v>410</v>
      </c>
      <c r="N2085" s="144"/>
      <c r="O2085" s="144">
        <f t="shared" si="302"/>
        <v>1</v>
      </c>
      <c r="P2085" s="156">
        <f>407+315</f>
        <v>722</v>
      </c>
      <c r="Q2085" s="98">
        <f t="shared" si="303"/>
        <v>0.99861687413554634</v>
      </c>
      <c r="R2085" s="23"/>
      <c r="S2085" s="173"/>
      <c r="T2085" s="86"/>
      <c r="U2085" s="1"/>
      <c r="V2085" s="460"/>
      <c r="X2085" s="460"/>
    </row>
    <row r="2086" spans="1:30" x14ac:dyDescent="0.4">
      <c r="A2086" s="212">
        <v>45922</v>
      </c>
      <c r="B2086" s="139" t="s">
        <v>123</v>
      </c>
      <c r="C2086" s="30" t="str">
        <f>VLOOKUP(B2086,'112年全品項生產鍋數'!A:H,2,0)</f>
        <v>深烤焙花生醬(1*18KG)</v>
      </c>
      <c r="D2086" s="290">
        <v>48</v>
      </c>
      <c r="E2086" s="48">
        <f>VLOOKUP(B2086,'112年全品項生產鍋數'!A:H,3,0)</f>
        <v>18</v>
      </c>
      <c r="F2086" s="142">
        <f>VLOOKUP(B2086,'112年全品項生產鍋數'!A:H,7,0)</f>
        <v>6.9</v>
      </c>
      <c r="G2086" s="143">
        <f t="shared" si="298"/>
        <v>331.20000000000005</v>
      </c>
      <c r="H2086" s="156">
        <v>336</v>
      </c>
      <c r="I2086" s="23">
        <f t="shared" si="299"/>
        <v>6048</v>
      </c>
      <c r="J2086" s="100">
        <f t="shared" si="300"/>
        <v>1.0144927536231882</v>
      </c>
      <c r="K2086" s="51">
        <f>VLOOKUP(B:B,'生產達成率(目標)'!A:C,3,0)</f>
        <v>1</v>
      </c>
      <c r="L2086" s="20">
        <f t="shared" si="301"/>
        <v>1.4E-2</v>
      </c>
      <c r="M2086" s="137" t="str">
        <f>工時!R1272</f>
        <v>385</v>
      </c>
      <c r="N2086" s="144"/>
      <c r="O2086" s="144">
        <f t="shared" si="302"/>
        <v>0</v>
      </c>
      <c r="P2086" s="156">
        <v>336</v>
      </c>
      <c r="Q2086" s="98">
        <f t="shared" si="303"/>
        <v>1</v>
      </c>
      <c r="R2086" s="23"/>
      <c r="S2086" s="173"/>
      <c r="T2086" s="86"/>
      <c r="U2086" s="1"/>
      <c r="V2086" s="460"/>
      <c r="X2086" s="460"/>
    </row>
    <row r="2087" spans="1:30" s="146" customFormat="1" x14ac:dyDescent="0.4">
      <c r="A2087" s="212">
        <v>45923</v>
      </c>
      <c r="B2087" s="139" t="s">
        <v>71</v>
      </c>
      <c r="C2087" s="140" t="str">
        <f>VLOOKUP(B2087,'112年全品項生產鍋數'!A:H,2,0)</f>
        <v>＃1草莓(1*3.2kg)</v>
      </c>
      <c r="D2087" s="290">
        <v>72</v>
      </c>
      <c r="E2087" s="141">
        <f>VLOOKUP(B2087,'112年全品項生產鍋數'!A:H,3,0)</f>
        <v>3.2</v>
      </c>
      <c r="F2087" s="142">
        <f>VLOOKUP(B2087,'112年全品項生產鍋數'!A:H,7,0)</f>
        <v>46.8</v>
      </c>
      <c r="G2087" s="143">
        <f t="shared" si="298"/>
        <v>3369.6</v>
      </c>
      <c r="H2087" s="156">
        <v>3399</v>
      </c>
      <c r="I2087" s="144">
        <f t="shared" si="299"/>
        <v>10876.800000000001</v>
      </c>
      <c r="J2087" s="100">
        <f t="shared" si="300"/>
        <v>1.0087250712250713</v>
      </c>
      <c r="K2087" s="51">
        <f>VLOOKUP(B:B,'生產達成率(目標)'!A:C,3,0)</f>
        <v>1</v>
      </c>
      <c r="L2087" s="20">
        <f t="shared" si="301"/>
        <v>8.9999999999999993E-3</v>
      </c>
      <c r="M2087" s="137" t="str">
        <f>工時!R1273</f>
        <v>540</v>
      </c>
      <c r="N2087" s="144"/>
      <c r="O2087" s="144">
        <f t="shared" si="302"/>
        <v>5</v>
      </c>
      <c r="P2087" s="156">
        <v>3394</v>
      </c>
      <c r="Q2087" s="145">
        <f t="shared" si="303"/>
        <v>0.9985289791115034</v>
      </c>
      <c r="R2087" s="144"/>
      <c r="S2087" s="153"/>
      <c r="T2087" s="282"/>
      <c r="U2087" s="158"/>
      <c r="V2087" s="461"/>
      <c r="W2087" s="421"/>
      <c r="X2087" s="461"/>
      <c r="Y2087" s="421"/>
      <c r="Z2087" s="421"/>
      <c r="AA2087" s="421"/>
      <c r="AB2087" s="421"/>
      <c r="AC2087" s="421"/>
      <c r="AD2087" s="421"/>
    </row>
    <row r="2088" spans="1:30" s="146" customFormat="1" x14ac:dyDescent="0.4">
      <c r="A2088" s="212">
        <v>45923</v>
      </c>
      <c r="B2088" s="139" t="s">
        <v>81</v>
      </c>
      <c r="C2088" s="140" t="str">
        <f>VLOOKUP(B2088,'112年全品項生產鍋數'!A:H,2,0)</f>
        <v>藍莓餡(1*6Kg)</v>
      </c>
      <c r="D2088" s="290">
        <v>16</v>
      </c>
      <c r="E2088" s="141">
        <f>VLOOKUP(B2088,'112年全品項生產鍋數'!A:H,3,0)</f>
        <v>6</v>
      </c>
      <c r="F2088" s="142">
        <f>VLOOKUP(B2088,'112年全品項生產鍋數'!A:H,7,0)</f>
        <v>25.1</v>
      </c>
      <c r="G2088" s="143">
        <f t="shared" si="298"/>
        <v>401.6</v>
      </c>
      <c r="H2088" s="156">
        <v>412</v>
      </c>
      <c r="I2088" s="144">
        <f t="shared" si="299"/>
        <v>2472</v>
      </c>
      <c r="J2088" s="100">
        <f t="shared" si="300"/>
        <v>1.0258964143426295</v>
      </c>
      <c r="K2088" s="51">
        <f>VLOOKUP(B:B,'生產達成率(目標)'!A:C,3,0)</f>
        <v>1</v>
      </c>
      <c r="L2088" s="20">
        <f t="shared" si="301"/>
        <v>2.5999999999999999E-2</v>
      </c>
      <c r="M2088" s="137" t="str">
        <f>工時!R1274</f>
        <v>570</v>
      </c>
      <c r="N2088" s="144"/>
      <c r="O2088" s="144">
        <f t="shared" si="302"/>
        <v>1</v>
      </c>
      <c r="P2088" s="156">
        <v>411</v>
      </c>
      <c r="Q2088" s="145">
        <f t="shared" si="303"/>
        <v>0.99757281553398058</v>
      </c>
      <c r="R2088" s="144"/>
      <c r="S2088" s="153"/>
      <c r="T2088" s="282"/>
      <c r="U2088" s="158"/>
      <c r="V2088" s="461"/>
      <c r="W2088" s="421"/>
      <c r="X2088" s="461"/>
      <c r="Y2088" s="421"/>
      <c r="Z2088" s="421"/>
      <c r="AA2088" s="421"/>
      <c r="AB2088" s="421"/>
      <c r="AC2088" s="421"/>
      <c r="AD2088" s="421"/>
    </row>
    <row r="2089" spans="1:30" s="146" customFormat="1" x14ac:dyDescent="0.4">
      <c r="A2089" s="212">
        <v>45923</v>
      </c>
      <c r="B2089" s="139" t="s">
        <v>63</v>
      </c>
      <c r="C2089" s="140" t="str">
        <f>VLOOKUP(B2089,'112年全品項生產鍋數'!A:H,2,0)</f>
        <v>草莓蒟蒻餡(1*6kg)</v>
      </c>
      <c r="D2089" s="290">
        <v>28</v>
      </c>
      <c r="E2089" s="141">
        <f>VLOOKUP(B2089,'112年全品項生產鍋數'!A:H,3,0)</f>
        <v>6</v>
      </c>
      <c r="F2089" s="142">
        <f>VLOOKUP(B2089,'112年全品項生產鍋數'!A:H,7,0)</f>
        <v>25.7</v>
      </c>
      <c r="G2089" s="143">
        <f t="shared" si="298"/>
        <v>719.6</v>
      </c>
      <c r="H2089" s="156">
        <f>416+321</f>
        <v>737</v>
      </c>
      <c r="I2089" s="144">
        <f t="shared" si="299"/>
        <v>4422</v>
      </c>
      <c r="J2089" s="100">
        <f t="shared" si="300"/>
        <v>1.0241801000555864</v>
      </c>
      <c r="K2089" s="51">
        <f>VLOOKUP(B:B,'生產達成率(目標)'!A:C,3,0)</f>
        <v>1</v>
      </c>
      <c r="L2089" s="20">
        <f t="shared" si="301"/>
        <v>2.4E-2</v>
      </c>
      <c r="M2089" s="137" t="str">
        <f>工時!R1275</f>
        <v>510</v>
      </c>
      <c r="N2089" s="144"/>
      <c r="O2089" s="144">
        <f t="shared" si="302"/>
        <v>1</v>
      </c>
      <c r="P2089" s="156">
        <f>415+321</f>
        <v>736</v>
      </c>
      <c r="Q2089" s="145">
        <f t="shared" si="303"/>
        <v>0.99864314789687925</v>
      </c>
      <c r="R2089" s="144"/>
      <c r="S2089" s="153"/>
      <c r="T2089" s="282"/>
      <c r="U2089" s="158"/>
      <c r="V2089" s="461"/>
      <c r="W2089" s="421"/>
      <c r="X2089" s="461"/>
      <c r="Y2089" s="421"/>
      <c r="Z2089" s="421"/>
      <c r="AA2089" s="421"/>
      <c r="AB2089" s="421"/>
      <c r="AC2089" s="421"/>
      <c r="AD2089" s="421"/>
    </row>
    <row r="2090" spans="1:30" s="146" customFormat="1" x14ac:dyDescent="0.4">
      <c r="A2090" s="212">
        <v>45923</v>
      </c>
      <c r="B2090" s="139" t="s">
        <v>65</v>
      </c>
      <c r="C2090" s="140" t="str">
        <f>VLOOKUP(B2090,'112年全品項生產鍋數'!A:H,2,0)</f>
        <v>＃1花生(1*2.8kg)</v>
      </c>
      <c r="D2090" s="290">
        <v>72</v>
      </c>
      <c r="E2090" s="141">
        <f>VLOOKUP(B2090,'112年全品項生產鍋數'!A:H,3,0)</f>
        <v>2.8</v>
      </c>
      <c r="F2090" s="142">
        <f>VLOOKUP(B2090,'112年全品項生產鍋數'!A:H,7,0)</f>
        <v>44.5</v>
      </c>
      <c r="G2090" s="143">
        <f>D2090*F2090-150*18/E2090</f>
        <v>2239.7142857142858</v>
      </c>
      <c r="H2090" s="156">
        <f>1951+300</f>
        <v>2251</v>
      </c>
      <c r="I2090" s="144">
        <f t="shared" si="299"/>
        <v>6302.7999999999993</v>
      </c>
      <c r="J2090" s="100">
        <f t="shared" si="300"/>
        <v>1.0050389080239825</v>
      </c>
      <c r="K2090" s="51">
        <f>VLOOKUP(B:B,'生產達成率(目標)'!A:C,3,0)</f>
        <v>1</v>
      </c>
      <c r="L2090" s="20">
        <f t="shared" si="301"/>
        <v>5.0000000000000001E-3</v>
      </c>
      <c r="M2090" s="137" t="str">
        <f>工時!R1276</f>
        <v>500</v>
      </c>
      <c r="N2090" s="144"/>
      <c r="O2090" s="144">
        <f t="shared" si="302"/>
        <v>1</v>
      </c>
      <c r="P2090" s="156">
        <f>1950+300</f>
        <v>2250</v>
      </c>
      <c r="Q2090" s="145">
        <f t="shared" si="303"/>
        <v>0.99955575299866728</v>
      </c>
      <c r="R2090" s="144"/>
      <c r="S2090" s="153"/>
      <c r="T2090" s="282" t="s">
        <v>1137</v>
      </c>
      <c r="U2090" s="158"/>
      <c r="V2090" s="461"/>
      <c r="W2090" s="421"/>
      <c r="X2090" s="461"/>
      <c r="Y2090" s="421"/>
      <c r="Z2090" s="421"/>
      <c r="AA2090" s="421"/>
      <c r="AB2090" s="421"/>
      <c r="AC2090" s="421"/>
      <c r="AD2090" s="421"/>
    </row>
    <row r="2091" spans="1:30" s="146" customFormat="1" ht="15.75" customHeight="1" x14ac:dyDescent="0.4">
      <c r="A2091" s="212">
        <v>45923</v>
      </c>
      <c r="B2091" s="139">
        <v>111010</v>
      </c>
      <c r="C2091" s="140" t="str">
        <f>VLOOKUP(B2091,'112年全品項生產鍋數'!A:H,2,0)</f>
        <v>糖漬桔皮絲</v>
      </c>
      <c r="D2091" s="290">
        <v>1</v>
      </c>
      <c r="E2091" s="141">
        <f>VLOOKUP(B2091,'112年全品項生產鍋數'!A:H,3,0)</f>
        <v>1</v>
      </c>
      <c r="F2091" s="142">
        <f>VLOOKUP(B2091,'112年全品項生產鍋數'!A:H,7,0)</f>
        <v>942</v>
      </c>
      <c r="G2091" s="143">
        <f t="shared" si="298"/>
        <v>942</v>
      </c>
      <c r="H2091" s="156">
        <v>750</v>
      </c>
      <c r="I2091" s="144">
        <f t="shared" si="299"/>
        <v>750</v>
      </c>
      <c r="J2091" s="100">
        <f t="shared" si="300"/>
        <v>0.79617834394904463</v>
      </c>
      <c r="K2091" s="51">
        <f>VLOOKUP(B:B,'生產達成率(目標)'!A:C,3,0)</f>
        <v>1</v>
      </c>
      <c r="L2091" s="20">
        <f t="shared" si="301"/>
        <v>-0.20399999999999999</v>
      </c>
      <c r="M2091" s="137" t="str">
        <f>工時!R1277</f>
        <v>0</v>
      </c>
      <c r="N2091" s="144"/>
      <c r="O2091" s="144">
        <f t="shared" si="302"/>
        <v>0</v>
      </c>
      <c r="P2091" s="156">
        <v>750</v>
      </c>
      <c r="Q2091" s="145">
        <f t="shared" si="303"/>
        <v>1</v>
      </c>
      <c r="R2091" s="144"/>
      <c r="S2091" s="153"/>
      <c r="T2091" s="282"/>
      <c r="U2091" s="158"/>
      <c r="V2091" s="461"/>
      <c r="W2091" s="421"/>
      <c r="X2091" s="461"/>
      <c r="Y2091" s="421"/>
      <c r="Z2091" s="421"/>
      <c r="AA2091" s="421"/>
      <c r="AB2091" s="421"/>
      <c r="AC2091" s="421"/>
      <c r="AD2091" s="421"/>
    </row>
    <row r="2092" spans="1:30" x14ac:dyDescent="0.4">
      <c r="A2092" s="212">
        <v>45924</v>
      </c>
      <c r="B2092" s="139" t="s">
        <v>984</v>
      </c>
      <c r="C2092" s="30" t="str">
        <f>VLOOKUP(B2092,'112年全品項生產鍋數'!A:H,2,0)</f>
        <v>蘋果餡(1*6Kg)</v>
      </c>
      <c r="D2092" s="290">
        <v>16</v>
      </c>
      <c r="E2092" s="48">
        <f>VLOOKUP(B2092,'112年全品項生產鍋數'!A:H,3,0)</f>
        <v>6</v>
      </c>
      <c r="F2092" s="142">
        <f>VLOOKUP(B2092,'112年全品項生產鍋數'!A:H,7,0)</f>
        <v>25.6</v>
      </c>
      <c r="G2092" s="143">
        <f t="shared" si="298"/>
        <v>409.6</v>
      </c>
      <c r="H2092" s="156">
        <v>426</v>
      </c>
      <c r="I2092" s="23">
        <f t="shared" si="299"/>
        <v>2556</v>
      </c>
      <c r="J2092" s="100">
        <f t="shared" si="300"/>
        <v>1.0400390625</v>
      </c>
      <c r="K2092" s="51" t="e">
        <f>VLOOKUP(B:B,'生產達成率(目標)'!A:C,3,0)</f>
        <v>#N/A</v>
      </c>
      <c r="L2092" s="20" t="e">
        <f t="shared" si="301"/>
        <v>#N/A</v>
      </c>
      <c r="M2092" s="137" t="str">
        <f>工時!R1278</f>
        <v>200</v>
      </c>
      <c r="N2092" s="144"/>
      <c r="O2092" s="144">
        <f t="shared" si="302"/>
        <v>2</v>
      </c>
      <c r="P2092" s="156">
        <v>424</v>
      </c>
      <c r="Q2092" s="98">
        <f t="shared" si="303"/>
        <v>0.99530516431924887</v>
      </c>
      <c r="R2092" s="23"/>
      <c r="S2092" s="173"/>
      <c r="T2092" s="86"/>
      <c r="U2092" s="1"/>
      <c r="V2092" s="460"/>
      <c r="X2092" s="460"/>
    </row>
    <row r="2093" spans="1:30" x14ac:dyDescent="0.4">
      <c r="A2093" s="212">
        <v>45924</v>
      </c>
      <c r="B2093" s="139" t="s">
        <v>451</v>
      </c>
      <c r="C2093" s="30" t="str">
        <f>VLOOKUP(B2093,'112年全品項生產鍋數'!A:H,2,0)</f>
        <v>水蜜桃醬(1*6kg)</v>
      </c>
      <c r="D2093" s="290">
        <v>6</v>
      </c>
      <c r="E2093" s="48">
        <f>VLOOKUP(B2093,'112年全品項生產鍋數'!A:H,3,0)</f>
        <v>6</v>
      </c>
      <c r="F2093" s="142">
        <f>VLOOKUP(B2093,'112年全品項生產鍋數'!A:H,7,0)</f>
        <v>24.5</v>
      </c>
      <c r="G2093" s="143">
        <f t="shared" si="298"/>
        <v>147</v>
      </c>
      <c r="H2093" s="156">
        <v>150</v>
      </c>
      <c r="I2093" s="23">
        <f t="shared" si="299"/>
        <v>900</v>
      </c>
      <c r="J2093" s="100">
        <f t="shared" si="300"/>
        <v>1.0204081632653061</v>
      </c>
      <c r="K2093" s="51">
        <f>VLOOKUP(B:B,'生產達成率(目標)'!A:C,3,0)</f>
        <v>1</v>
      </c>
      <c r="L2093" s="20">
        <f t="shared" si="301"/>
        <v>0.02</v>
      </c>
      <c r="M2093" s="137" t="str">
        <f>工時!R1279</f>
        <v>160</v>
      </c>
      <c r="N2093" s="144"/>
      <c r="O2093" s="144">
        <f t="shared" si="302"/>
        <v>8</v>
      </c>
      <c r="P2093" s="156">
        <v>142</v>
      </c>
      <c r="Q2093" s="98">
        <f t="shared" si="303"/>
        <v>0.94666666666666666</v>
      </c>
      <c r="R2093" s="23"/>
      <c r="S2093" s="173"/>
      <c r="T2093" s="86"/>
      <c r="U2093" s="1"/>
      <c r="V2093" s="460"/>
      <c r="X2093" s="460"/>
    </row>
    <row r="2094" spans="1:30" x14ac:dyDescent="0.4">
      <c r="A2094" s="212">
        <v>45924</v>
      </c>
      <c r="B2094" s="139" t="s">
        <v>63</v>
      </c>
      <c r="C2094" s="30" t="str">
        <f>VLOOKUP(B2094,'112年全品項生產鍋數'!A:H,2,0)</f>
        <v>草莓蒟蒻餡(1*6kg)</v>
      </c>
      <c r="D2094" s="290">
        <v>16</v>
      </c>
      <c r="E2094" s="48">
        <f>VLOOKUP(B2094,'112年全品項生產鍋數'!A:H,3,0)</f>
        <v>6</v>
      </c>
      <c r="F2094" s="142">
        <f>VLOOKUP(B2094,'112年全品項生產鍋數'!A:H,7,0)</f>
        <v>25.7</v>
      </c>
      <c r="G2094" s="143">
        <f t="shared" si="298"/>
        <v>411.2</v>
      </c>
      <c r="H2094" s="156">
        <f>203+212</f>
        <v>415</v>
      </c>
      <c r="I2094" s="23">
        <f t="shared" si="299"/>
        <v>2490</v>
      </c>
      <c r="J2094" s="100">
        <f t="shared" si="300"/>
        <v>1.0092412451361867</v>
      </c>
      <c r="K2094" s="51">
        <f>VLOOKUP(B:B,'生產達成率(目標)'!A:C,3,0)</f>
        <v>1</v>
      </c>
      <c r="L2094" s="20">
        <f t="shared" si="301"/>
        <v>8.9999999999999993E-3</v>
      </c>
      <c r="M2094" s="137" t="str">
        <f>工時!R1280</f>
        <v>210</v>
      </c>
      <c r="N2094" s="144"/>
      <c r="O2094" s="144">
        <f t="shared" si="302"/>
        <v>1</v>
      </c>
      <c r="P2094" s="156">
        <f>202+212</f>
        <v>414</v>
      </c>
      <c r="Q2094" s="98">
        <f t="shared" si="303"/>
        <v>0.99759036144578317</v>
      </c>
      <c r="R2094" s="23"/>
      <c r="S2094" s="173"/>
      <c r="T2094" s="86"/>
      <c r="U2094" s="1"/>
      <c r="V2094" s="460"/>
      <c r="X2094" s="460"/>
    </row>
    <row r="2095" spans="1:30" s="146" customFormat="1" x14ac:dyDescent="0.4">
      <c r="A2095" s="212">
        <v>45924</v>
      </c>
      <c r="B2095" s="139" t="s">
        <v>110</v>
      </c>
      <c r="C2095" s="140" t="str">
        <f>VLOOKUP(B2095,'112年全品項生產鍋數'!A:H,2,0)</f>
        <v>顆粒花生醬(1*12KG)</v>
      </c>
      <c r="D2095" s="290">
        <v>21</v>
      </c>
      <c r="E2095" s="141">
        <f>VLOOKUP(B2095,'112年全品項生產鍋數'!A:H,3,0)</f>
        <v>3</v>
      </c>
      <c r="F2095" s="142">
        <f>VLOOKUP(B2095,'112年全品項生產鍋數'!A:H,7,0)</f>
        <v>30.8</v>
      </c>
      <c r="G2095" s="143">
        <f t="shared" si="298"/>
        <v>646.80000000000007</v>
      </c>
      <c r="H2095" s="156">
        <v>644</v>
      </c>
      <c r="I2095" s="144">
        <f t="shared" si="299"/>
        <v>1932</v>
      </c>
      <c r="J2095" s="100">
        <f t="shared" si="300"/>
        <v>0.9956709956709956</v>
      </c>
      <c r="K2095" s="51">
        <f>VLOOKUP(B:B,'生產達成率(目標)'!A:C,3,0)</f>
        <v>1</v>
      </c>
      <c r="L2095" s="20">
        <f t="shared" si="301"/>
        <v>-4.0000000000000001E-3</v>
      </c>
      <c r="M2095" s="137" t="str">
        <f>工時!R1281</f>
        <v>540</v>
      </c>
      <c r="N2095" s="144"/>
      <c r="O2095" s="144">
        <f t="shared" si="302"/>
        <v>0</v>
      </c>
      <c r="P2095" s="156">
        <v>644</v>
      </c>
      <c r="Q2095" s="145">
        <f t="shared" si="303"/>
        <v>1</v>
      </c>
      <c r="R2095" s="144"/>
      <c r="S2095" s="153"/>
      <c r="T2095" s="282"/>
      <c r="U2095" s="158"/>
      <c r="V2095" s="461"/>
      <c r="W2095" s="421"/>
      <c r="X2095" s="461"/>
      <c r="Y2095" s="421"/>
      <c r="Z2095" s="421"/>
      <c r="AA2095" s="421"/>
      <c r="AB2095" s="421"/>
      <c r="AC2095" s="421"/>
      <c r="AD2095" s="421"/>
    </row>
    <row r="2096" spans="1:30" s="146" customFormat="1" x14ac:dyDescent="0.4">
      <c r="A2096" s="212">
        <v>45924</v>
      </c>
      <c r="B2096" s="139" t="s">
        <v>65</v>
      </c>
      <c r="C2096" s="140" t="str">
        <f>VLOOKUP(B2096,'112年全品項生產鍋數'!A:H,2,0)</f>
        <v>＃1花生(1*2.8kg)</v>
      </c>
      <c r="D2096" s="290">
        <v>72</v>
      </c>
      <c r="E2096" s="141">
        <f>VLOOKUP(B2096,'112年全品項生產鍋數'!A:H,3,0)</f>
        <v>2.8</v>
      </c>
      <c r="F2096" s="142">
        <f>VLOOKUP(B2096,'112年全品項生產鍋數'!A:H,7,0)</f>
        <v>44.5</v>
      </c>
      <c r="G2096" s="143">
        <f t="shared" si="298"/>
        <v>3204</v>
      </c>
      <c r="H2096" s="156">
        <v>3208</v>
      </c>
      <c r="I2096" s="144">
        <f t="shared" si="299"/>
        <v>8982.4</v>
      </c>
      <c r="J2096" s="100">
        <f t="shared" si="300"/>
        <v>1.0012484394506866</v>
      </c>
      <c r="K2096" s="51">
        <f>VLOOKUP(B:B,'生產達成率(目標)'!A:C,3,0)</f>
        <v>1</v>
      </c>
      <c r="L2096" s="20">
        <f t="shared" si="301"/>
        <v>1E-3</v>
      </c>
      <c r="M2096" s="137" t="str">
        <f>工時!R1282</f>
        <v>515</v>
      </c>
      <c r="N2096" s="144"/>
      <c r="O2096" s="144">
        <f t="shared" si="302"/>
        <v>1</v>
      </c>
      <c r="P2096" s="156">
        <v>3207</v>
      </c>
      <c r="Q2096" s="145">
        <f t="shared" si="303"/>
        <v>0.99968827930174564</v>
      </c>
      <c r="R2096" s="144"/>
      <c r="S2096" s="153"/>
      <c r="T2096" s="282"/>
      <c r="U2096" s="158"/>
      <c r="V2096" s="461"/>
      <c r="W2096" s="421"/>
      <c r="X2096" s="461"/>
      <c r="Y2096" s="421"/>
      <c r="Z2096" s="421"/>
      <c r="AA2096" s="421"/>
      <c r="AB2096" s="421"/>
      <c r="AC2096" s="421"/>
      <c r="AD2096" s="421"/>
    </row>
    <row r="2097" spans="1:30" s="146" customFormat="1" x14ac:dyDescent="0.4">
      <c r="A2097" s="212">
        <v>45924</v>
      </c>
      <c r="B2097" s="139">
        <v>152010</v>
      </c>
      <c r="C2097" s="140" t="str">
        <f>VLOOKUP(B2097,'112年全品項生產鍋數'!A:H,2,0)</f>
        <v>蜜綠果6m/m</v>
      </c>
      <c r="D2097" s="290">
        <v>1</v>
      </c>
      <c r="E2097" s="141">
        <f>VLOOKUP(B2097,'112年全品項生產鍋數'!A:H,3,0)</f>
        <v>1</v>
      </c>
      <c r="F2097" s="142">
        <f>VLOOKUP(B2097,'112年全品項生產鍋數'!A:H,7,0)</f>
        <v>139</v>
      </c>
      <c r="G2097" s="143">
        <f t="shared" si="298"/>
        <v>139</v>
      </c>
      <c r="H2097" s="156">
        <v>162</v>
      </c>
      <c r="I2097" s="144">
        <f t="shared" si="299"/>
        <v>162</v>
      </c>
      <c r="J2097" s="100">
        <f t="shared" si="300"/>
        <v>1.1654676258992807</v>
      </c>
      <c r="K2097" s="51">
        <f>VLOOKUP(B:B,'生產達成率(目標)'!A:C,3,0)</f>
        <v>1</v>
      </c>
      <c r="L2097" s="20">
        <f t="shared" si="301"/>
        <v>0.16500000000000001</v>
      </c>
      <c r="M2097" s="137" t="str">
        <f>工時!R1283</f>
        <v>0</v>
      </c>
      <c r="N2097" s="144"/>
      <c r="O2097" s="144">
        <f t="shared" si="302"/>
        <v>0</v>
      </c>
      <c r="P2097" s="156">
        <v>162</v>
      </c>
      <c r="Q2097" s="145">
        <f t="shared" si="303"/>
        <v>1</v>
      </c>
      <c r="R2097" s="144"/>
      <c r="S2097" s="153"/>
      <c r="T2097" s="282"/>
      <c r="U2097" s="158"/>
      <c r="V2097" s="461"/>
      <c r="W2097" s="421"/>
      <c r="X2097" s="461"/>
      <c r="Y2097" s="421"/>
      <c r="Z2097" s="421"/>
      <c r="AA2097" s="421"/>
      <c r="AB2097" s="421"/>
      <c r="AC2097" s="421"/>
      <c r="AD2097" s="421"/>
    </row>
    <row r="2098" spans="1:30" x14ac:dyDescent="0.4">
      <c r="A2098" s="212">
        <v>45925</v>
      </c>
      <c r="B2098" s="139" t="s">
        <v>87</v>
      </c>
      <c r="C2098" s="30" t="str">
        <f>VLOOKUP(B2098,'112年全品項生產鍋數'!A:H,2,0)</f>
        <v>＃1藍莓(1*3.2kg)</v>
      </c>
      <c r="D2098" s="290">
        <v>32</v>
      </c>
      <c r="E2098" s="48">
        <f>VLOOKUP(B2098,'112年全品項生產鍋數'!A:H,3,0)</f>
        <v>3.2</v>
      </c>
      <c r="F2098" s="142">
        <f>VLOOKUP(B2098,'112年全品項生產鍋數'!A:H,7,0)</f>
        <v>47.5</v>
      </c>
      <c r="G2098" s="143">
        <f t="shared" si="298"/>
        <v>1520</v>
      </c>
      <c r="H2098" s="156">
        <v>1507</v>
      </c>
      <c r="I2098" s="23">
        <f t="shared" si="299"/>
        <v>4822.4000000000005</v>
      </c>
      <c r="J2098" s="100">
        <f t="shared" si="300"/>
        <v>0.99144736842105263</v>
      </c>
      <c r="K2098" s="51">
        <f>VLOOKUP(B:B,'生產達成率(目標)'!A:C,3,0)</f>
        <v>1</v>
      </c>
      <c r="L2098" s="20">
        <f t="shared" si="301"/>
        <v>-8.9999999999999993E-3</v>
      </c>
      <c r="M2098" s="137" t="str">
        <f>工時!R1284</f>
        <v>340</v>
      </c>
      <c r="N2098" s="144"/>
      <c r="O2098" s="144">
        <f t="shared" si="302"/>
        <v>1</v>
      </c>
      <c r="P2098" s="156">
        <v>1506</v>
      </c>
      <c r="Q2098" s="98">
        <f t="shared" si="303"/>
        <v>0.99933642999336425</v>
      </c>
      <c r="R2098" s="23"/>
      <c r="S2098" s="173"/>
      <c r="T2098" s="86"/>
      <c r="U2098" s="1"/>
      <c r="V2098" s="460"/>
      <c r="X2098" s="460"/>
    </row>
    <row r="2099" spans="1:30" s="146" customFormat="1" x14ac:dyDescent="0.4">
      <c r="A2099" s="212">
        <v>45925</v>
      </c>
      <c r="B2099" s="139" t="s">
        <v>472</v>
      </c>
      <c r="C2099" s="140" t="str">
        <f>VLOOKUP(B2099,'112年全品項生產鍋數'!A:H,2,0)</f>
        <v>藍莓果醬(1*210G)</v>
      </c>
      <c r="D2099" s="290">
        <v>4</v>
      </c>
      <c r="E2099" s="141">
        <f>VLOOKUP(B2099,'112年全品項生產鍋數'!A:H,3,0)</f>
        <v>0.21</v>
      </c>
      <c r="F2099" s="142">
        <f>VLOOKUP(B2099,'112年全品項生產鍋數'!A:H,7,0)</f>
        <v>698.4</v>
      </c>
      <c r="G2099" s="143">
        <f t="shared" si="298"/>
        <v>2793.6</v>
      </c>
      <c r="H2099" s="156">
        <v>2820</v>
      </c>
      <c r="I2099" s="144">
        <f t="shared" si="299"/>
        <v>592.19999999999993</v>
      </c>
      <c r="J2099" s="100">
        <f t="shared" si="300"/>
        <v>1.0094501718213058</v>
      </c>
      <c r="K2099" s="51">
        <f>VLOOKUP(B:B,'生產達成率(目標)'!A:C,3,0)</f>
        <v>1</v>
      </c>
      <c r="L2099" s="20">
        <f t="shared" si="301"/>
        <v>8.9999999999999993E-3</v>
      </c>
      <c r="M2099" s="137" t="str">
        <f>工時!R1285</f>
        <v>150</v>
      </c>
      <c r="N2099" s="144"/>
      <c r="O2099" s="144">
        <f t="shared" si="302"/>
        <v>6</v>
      </c>
      <c r="P2099" s="156">
        <v>2814</v>
      </c>
      <c r="Q2099" s="145">
        <f t="shared" si="303"/>
        <v>0.99787234042553197</v>
      </c>
      <c r="R2099" s="144"/>
      <c r="S2099" s="153"/>
      <c r="T2099" s="282"/>
      <c r="U2099" s="158"/>
      <c r="V2099" s="461"/>
      <c r="W2099" s="421"/>
      <c r="X2099" s="461"/>
      <c r="Y2099" s="421"/>
      <c r="Z2099" s="421"/>
      <c r="AA2099" s="421"/>
      <c r="AB2099" s="421"/>
      <c r="AC2099" s="421"/>
      <c r="AD2099" s="421"/>
    </row>
    <row r="2100" spans="1:30" s="146" customFormat="1" x14ac:dyDescent="0.4">
      <c r="A2100" s="212">
        <v>45925</v>
      </c>
      <c r="B2100" s="139" t="s">
        <v>456</v>
      </c>
      <c r="C2100" s="140" t="str">
        <f>VLOOKUP(B2100,'112年全品項生產鍋數'!A:H,2,0)</f>
        <v>桑椹果醬(1*190g)</v>
      </c>
      <c r="D2100" s="290">
        <v>3</v>
      </c>
      <c r="E2100" s="141">
        <f>VLOOKUP(B2100,'112年全品項生產鍋數'!A:H,3,0)</f>
        <v>0.19</v>
      </c>
      <c r="F2100" s="142">
        <f>VLOOKUP(B2100,'112年全品項生產鍋數'!A:H,7,0)</f>
        <v>759.3</v>
      </c>
      <c r="G2100" s="143">
        <f t="shared" si="298"/>
        <v>2277.8999999999996</v>
      </c>
      <c r="H2100" s="156">
        <v>2296</v>
      </c>
      <c r="I2100" s="144">
        <f t="shared" si="299"/>
        <v>436.24</v>
      </c>
      <c r="J2100" s="100">
        <f t="shared" si="300"/>
        <v>1.0079459150972387</v>
      </c>
      <c r="K2100" s="51">
        <f>VLOOKUP(B:B,'生產達成率(目標)'!A:C,3,0)</f>
        <v>1</v>
      </c>
      <c r="L2100" s="20">
        <f t="shared" si="301"/>
        <v>8.0000000000000002E-3</v>
      </c>
      <c r="M2100" s="137" t="str">
        <f>工時!R1286</f>
        <v>180</v>
      </c>
      <c r="N2100" s="144"/>
      <c r="O2100" s="144">
        <f t="shared" si="302"/>
        <v>14</v>
      </c>
      <c r="P2100" s="156">
        <v>2282</v>
      </c>
      <c r="Q2100" s="145">
        <f t="shared" si="303"/>
        <v>0.99390243902439024</v>
      </c>
      <c r="R2100" s="144"/>
      <c r="S2100" s="153"/>
      <c r="T2100" s="282"/>
      <c r="U2100" s="158"/>
      <c r="V2100" s="461"/>
      <c r="W2100" s="421"/>
      <c r="X2100" s="461"/>
      <c r="Y2100" s="421"/>
      <c r="Z2100" s="421"/>
      <c r="AA2100" s="421"/>
      <c r="AB2100" s="421"/>
      <c r="AC2100" s="421"/>
      <c r="AD2100" s="421"/>
    </row>
    <row r="2101" spans="1:30" x14ac:dyDescent="0.4">
      <c r="A2101" s="212">
        <v>45925</v>
      </c>
      <c r="B2101" s="139" t="s">
        <v>107</v>
      </c>
      <c r="C2101" s="30" t="str">
        <f>VLOOKUP(B2101,'112年全品項生產鍋數'!A:H,2,0)</f>
        <v>藍莓餡(1*6kg)</v>
      </c>
      <c r="D2101" s="290">
        <v>16</v>
      </c>
      <c r="E2101" s="48">
        <f>VLOOKUP(B2101,'112年全品項生產鍋數'!A:H,3,0)</f>
        <v>6</v>
      </c>
      <c r="F2101" s="142">
        <f>VLOOKUP(B2101,'112年全品項生產鍋數'!A:H,7,0)</f>
        <v>26.4</v>
      </c>
      <c r="G2101" s="143">
        <f t="shared" si="298"/>
        <v>422.4</v>
      </c>
      <c r="H2101" s="156">
        <v>430</v>
      </c>
      <c r="I2101" s="23">
        <f t="shared" si="299"/>
        <v>2580</v>
      </c>
      <c r="J2101" s="100">
        <f t="shared" si="300"/>
        <v>1.0179924242424243</v>
      </c>
      <c r="K2101" s="51">
        <f>VLOOKUP(B:B,'生產達成率(目標)'!A:C,3,0)</f>
        <v>1</v>
      </c>
      <c r="L2101" s="20">
        <f t="shared" si="301"/>
        <v>1.7999999999999999E-2</v>
      </c>
      <c r="M2101" s="137" t="str">
        <f>工時!R1287</f>
        <v>230</v>
      </c>
      <c r="N2101" s="144"/>
      <c r="O2101" s="144">
        <f t="shared" si="302"/>
        <v>2</v>
      </c>
      <c r="P2101" s="156">
        <v>428</v>
      </c>
      <c r="Q2101" s="98">
        <f t="shared" si="303"/>
        <v>0.99534883720930234</v>
      </c>
      <c r="R2101" s="23"/>
      <c r="S2101" s="173"/>
      <c r="T2101" s="86"/>
      <c r="U2101" s="1"/>
      <c r="V2101" s="460"/>
      <c r="X2101" s="460"/>
    </row>
    <row r="2102" spans="1:30" x14ac:dyDescent="0.4">
      <c r="A2102" s="212">
        <v>45925</v>
      </c>
      <c r="B2102" s="139" t="s">
        <v>63</v>
      </c>
      <c r="C2102" s="30" t="str">
        <f>VLOOKUP(B2102,'112年全品項生產鍋數'!A:H,2,0)</f>
        <v>草莓蒟蒻餡(1*6kg)</v>
      </c>
      <c r="D2102" s="290">
        <v>28</v>
      </c>
      <c r="E2102" s="48">
        <f>VLOOKUP(B2102,'112年全品項生產鍋數'!A:H,3,0)</f>
        <v>6</v>
      </c>
      <c r="F2102" s="142">
        <f>VLOOKUP(B2102,'112年全品項生產鍋數'!A:H,7,0)</f>
        <v>25.7</v>
      </c>
      <c r="G2102" s="143">
        <f t="shared" si="298"/>
        <v>719.6</v>
      </c>
      <c r="H2102" s="156">
        <f>418+318</f>
        <v>736</v>
      </c>
      <c r="I2102" s="23">
        <f t="shared" si="299"/>
        <v>4416</v>
      </c>
      <c r="J2102" s="100">
        <f t="shared" si="300"/>
        <v>1.0227904391328515</v>
      </c>
      <c r="K2102" s="51">
        <f>VLOOKUP(B:B,'生產達成率(目標)'!A:C,3,0)</f>
        <v>1</v>
      </c>
      <c r="L2102" s="20">
        <f t="shared" si="301"/>
        <v>2.3E-2</v>
      </c>
      <c r="M2102" s="137" t="str">
        <f>工時!R1288</f>
        <v>377</v>
      </c>
      <c r="N2102" s="144"/>
      <c r="O2102" s="144">
        <f t="shared" si="302"/>
        <v>1</v>
      </c>
      <c r="P2102" s="156">
        <f>417+318</f>
        <v>735</v>
      </c>
      <c r="Q2102" s="98">
        <f t="shared" si="303"/>
        <v>0.99864130434782605</v>
      </c>
      <c r="R2102" s="23"/>
      <c r="S2102" s="173"/>
      <c r="T2102" s="86"/>
      <c r="U2102" s="1"/>
      <c r="V2102" s="460"/>
      <c r="X2102" s="460"/>
    </row>
    <row r="2103" spans="1:30" x14ac:dyDescent="0.4">
      <c r="A2103" s="212">
        <v>45925</v>
      </c>
      <c r="B2103" s="139" t="s">
        <v>131</v>
      </c>
      <c r="C2103" s="30" t="str">
        <f>VLOOKUP(B2103,'112年全品項生產鍋數'!A:H,2,0)</f>
        <v>花生醬(1*18KG)</v>
      </c>
      <c r="D2103" s="290">
        <v>40</v>
      </c>
      <c r="E2103" s="48">
        <f>VLOOKUP(B2103,'112年全品項生產鍋數'!A:H,3,0)</f>
        <v>18</v>
      </c>
      <c r="F2103" s="142">
        <f>VLOOKUP(B2103,'112年全品項生產鍋數'!A:H,7,0)</f>
        <v>6.9</v>
      </c>
      <c r="G2103" s="143">
        <f t="shared" si="298"/>
        <v>276</v>
      </c>
      <c r="H2103" s="156">
        <v>280</v>
      </c>
      <c r="I2103" s="23">
        <f t="shared" si="299"/>
        <v>5040</v>
      </c>
      <c r="J2103" s="100">
        <f t="shared" si="300"/>
        <v>1.0144927536231885</v>
      </c>
      <c r="K2103" s="51">
        <f>VLOOKUP(B:B,'生產達成率(目標)'!A:C,3,0)</f>
        <v>1</v>
      </c>
      <c r="L2103" s="20">
        <f t="shared" si="301"/>
        <v>1.4E-2</v>
      </c>
      <c r="M2103" s="137" t="str">
        <f>工時!R1289</f>
        <v>345</v>
      </c>
      <c r="N2103" s="144"/>
      <c r="O2103" s="144">
        <f t="shared" si="302"/>
        <v>0</v>
      </c>
      <c r="P2103" s="156">
        <v>280</v>
      </c>
      <c r="Q2103" s="98">
        <f t="shared" si="303"/>
        <v>1</v>
      </c>
      <c r="R2103" s="23"/>
      <c r="S2103" s="173"/>
      <c r="T2103" s="86"/>
      <c r="U2103" s="1"/>
      <c r="V2103" s="460"/>
      <c r="X2103" s="460"/>
    </row>
    <row r="2104" spans="1:30" s="146" customFormat="1" x14ac:dyDescent="0.4">
      <c r="A2104" s="212">
        <v>45926</v>
      </c>
      <c r="B2104" s="139" t="s">
        <v>54</v>
      </c>
      <c r="C2104" s="140" t="str">
        <f>VLOOKUP(B2104,'112年全品項生產鍋數'!A:H,2,0)</f>
        <v>草莓醬(1*6kg)</v>
      </c>
      <c r="D2104" s="290">
        <v>28</v>
      </c>
      <c r="E2104" s="141">
        <f>VLOOKUP(B2104,'112年全品項生產鍋數'!A:H,3,0)</f>
        <v>6</v>
      </c>
      <c r="F2104" s="142">
        <f>VLOOKUP(B2104,'112年全品項生產鍋數'!A:H,7,0)</f>
        <v>26.6</v>
      </c>
      <c r="G2104" s="143">
        <f t="shared" si="298"/>
        <v>744.80000000000007</v>
      </c>
      <c r="H2104" s="156">
        <v>735</v>
      </c>
      <c r="I2104" s="144">
        <f t="shared" si="299"/>
        <v>4410</v>
      </c>
      <c r="J2104" s="100">
        <f t="shared" si="300"/>
        <v>0.98684210526315785</v>
      </c>
      <c r="K2104" s="51">
        <f>VLOOKUP(B:B,'生產達成率(目標)'!A:C,3,0)</f>
        <v>1</v>
      </c>
      <c r="L2104" s="20">
        <f t="shared" si="301"/>
        <v>-1.2999999999999999E-2</v>
      </c>
      <c r="M2104" s="137" t="str">
        <f>工時!R1290</f>
        <v>410</v>
      </c>
      <c r="N2104" s="144"/>
      <c r="O2104" s="144">
        <f t="shared" si="302"/>
        <v>1</v>
      </c>
      <c r="P2104" s="156">
        <v>734</v>
      </c>
      <c r="Q2104" s="145">
        <f t="shared" si="303"/>
        <v>0.99863945578231295</v>
      </c>
      <c r="R2104" s="144"/>
      <c r="S2104" s="153"/>
      <c r="T2104" s="282"/>
      <c r="U2104" s="158"/>
      <c r="V2104" s="461"/>
      <c r="W2104" s="421"/>
      <c r="X2104" s="461"/>
      <c r="Y2104" s="421"/>
      <c r="Z2104" s="421"/>
      <c r="AA2104" s="421"/>
      <c r="AB2104" s="421"/>
      <c r="AC2104" s="421"/>
      <c r="AD2104" s="421"/>
    </row>
    <row r="2105" spans="1:30" s="146" customFormat="1" x14ac:dyDescent="0.4">
      <c r="A2105" s="212">
        <v>45926</v>
      </c>
      <c r="B2105" s="139" t="s">
        <v>51</v>
      </c>
      <c r="C2105" s="140" t="str">
        <f>VLOOKUP(B2105,'112年全品項生產鍋數'!A:H,2,0)</f>
        <v>藍莓醬(1*6kg)</v>
      </c>
      <c r="D2105" s="290">
        <v>20</v>
      </c>
      <c r="E2105" s="141">
        <f>VLOOKUP(B2105,'112年全品項生產鍋數'!A:H,3,0)</f>
        <v>6</v>
      </c>
      <c r="F2105" s="142">
        <f>VLOOKUP(B2105,'112年全品項生產鍋數'!A:H,7,0)</f>
        <v>25.5</v>
      </c>
      <c r="G2105" s="143">
        <f t="shared" si="298"/>
        <v>510</v>
      </c>
      <c r="H2105" s="156">
        <v>514</v>
      </c>
      <c r="I2105" s="144">
        <f t="shared" si="299"/>
        <v>3084</v>
      </c>
      <c r="J2105" s="100">
        <f t="shared" si="300"/>
        <v>1.0078431372549019</v>
      </c>
      <c r="K2105" s="51">
        <f>VLOOKUP(B:B,'生產達成率(目標)'!A:C,3,0)</f>
        <v>1</v>
      </c>
      <c r="L2105" s="20">
        <f t="shared" si="301"/>
        <v>8.0000000000000002E-3</v>
      </c>
      <c r="M2105" s="137" t="str">
        <f>工時!R1291</f>
        <v>285</v>
      </c>
      <c r="N2105" s="144"/>
      <c r="O2105" s="144">
        <f t="shared" si="302"/>
        <v>2</v>
      </c>
      <c r="P2105" s="156">
        <v>512</v>
      </c>
      <c r="Q2105" s="145">
        <f t="shared" si="303"/>
        <v>0.99610894941634243</v>
      </c>
      <c r="R2105" s="144"/>
      <c r="S2105" s="153"/>
      <c r="T2105" s="282"/>
      <c r="U2105" s="158"/>
      <c r="V2105" s="461"/>
      <c r="W2105" s="421"/>
      <c r="X2105" s="461"/>
      <c r="Y2105" s="421"/>
      <c r="Z2105" s="421"/>
      <c r="AA2105" s="421"/>
      <c r="AB2105" s="421"/>
      <c r="AC2105" s="421"/>
      <c r="AD2105" s="421"/>
    </row>
    <row r="2106" spans="1:30" s="146" customFormat="1" x14ac:dyDescent="0.4">
      <c r="A2106" s="212">
        <v>45926</v>
      </c>
      <c r="B2106" s="139" t="s">
        <v>118</v>
      </c>
      <c r="C2106" s="140" t="str">
        <f>VLOOKUP(B2106,'112年全品項生產鍋數'!A:H,2,0)</f>
        <v>草莓餡(1*4.5kg)</v>
      </c>
      <c r="D2106" s="290">
        <v>4</v>
      </c>
      <c r="E2106" s="141">
        <f>VLOOKUP(B2106,'112年全品項生產鍋數'!A:H,3,0)</f>
        <v>4.5</v>
      </c>
      <c r="F2106" s="142">
        <f>VLOOKUP(B2106,'112年全品項生產鍋數'!A:H,7,0)</f>
        <v>34.5</v>
      </c>
      <c r="G2106" s="143">
        <f t="shared" si="298"/>
        <v>138</v>
      </c>
      <c r="H2106" s="156">
        <v>136</v>
      </c>
      <c r="I2106" s="144">
        <f t="shared" si="299"/>
        <v>612</v>
      </c>
      <c r="J2106" s="100">
        <f t="shared" si="300"/>
        <v>0.98550724637681164</v>
      </c>
      <c r="K2106" s="51">
        <f>VLOOKUP(B:B,'生產達成率(目標)'!A:C,3,0)</f>
        <v>1</v>
      </c>
      <c r="L2106" s="20">
        <f t="shared" si="301"/>
        <v>-1.4E-2</v>
      </c>
      <c r="M2106" s="137" t="str">
        <f>工時!R1292</f>
        <v>150</v>
      </c>
      <c r="N2106" s="144"/>
      <c r="O2106" s="144">
        <f t="shared" si="302"/>
        <v>0</v>
      </c>
      <c r="P2106" s="156">
        <v>136</v>
      </c>
      <c r="Q2106" s="145">
        <f t="shared" si="303"/>
        <v>1</v>
      </c>
      <c r="R2106" s="144"/>
      <c r="S2106" s="153"/>
      <c r="T2106" s="282"/>
      <c r="U2106" s="158"/>
      <c r="V2106" s="461"/>
      <c r="W2106" s="421"/>
      <c r="X2106" s="461"/>
      <c r="Y2106" s="421"/>
      <c r="Z2106" s="421"/>
      <c r="AA2106" s="421"/>
      <c r="AB2106" s="421"/>
      <c r="AC2106" s="421"/>
      <c r="AD2106" s="421"/>
    </row>
    <row r="2107" spans="1:30" s="146" customFormat="1" x14ac:dyDescent="0.4">
      <c r="A2107" s="212">
        <v>45926</v>
      </c>
      <c r="B2107" s="139" t="s">
        <v>55</v>
      </c>
      <c r="C2107" s="140" t="str">
        <f>VLOOKUP(B2107,'112年全品項生產鍋數'!A:H,2,0)</f>
        <v>天天開心草莓餡4.5KG</v>
      </c>
      <c r="D2107" s="290">
        <v>20</v>
      </c>
      <c r="E2107" s="141">
        <f>VLOOKUP(B2107,'112年全品項生產鍋數'!A:H,3,0)</f>
        <v>4.5</v>
      </c>
      <c r="F2107" s="142">
        <f>VLOOKUP(B2107,'112年全品項生產鍋數'!A:H,7,0)</f>
        <v>36.299999999999997</v>
      </c>
      <c r="G2107" s="143">
        <f t="shared" si="298"/>
        <v>726</v>
      </c>
      <c r="H2107" s="156">
        <v>734</v>
      </c>
      <c r="I2107" s="144">
        <f t="shared" si="299"/>
        <v>3303</v>
      </c>
      <c r="J2107" s="100">
        <f t="shared" si="300"/>
        <v>1.0110192837465564</v>
      </c>
      <c r="K2107" s="51">
        <f>VLOOKUP(B:B,'生產達成率(目標)'!A:C,3,0)</f>
        <v>1</v>
      </c>
      <c r="L2107" s="20">
        <f t="shared" si="301"/>
        <v>1.0999999999999999E-2</v>
      </c>
      <c r="M2107" s="137" t="str">
        <f>工時!R1293</f>
        <v>351</v>
      </c>
      <c r="N2107" s="144"/>
      <c r="O2107" s="144">
        <f t="shared" si="302"/>
        <v>0</v>
      </c>
      <c r="P2107" s="156">
        <v>734</v>
      </c>
      <c r="Q2107" s="145">
        <f t="shared" si="303"/>
        <v>1</v>
      </c>
      <c r="R2107" s="144"/>
      <c r="S2107" s="153"/>
      <c r="T2107" s="282"/>
      <c r="U2107" s="158"/>
      <c r="V2107" s="461"/>
      <c r="W2107" s="421"/>
      <c r="X2107" s="461"/>
      <c r="Y2107" s="421"/>
      <c r="Z2107" s="421"/>
      <c r="AA2107" s="421"/>
      <c r="AB2107" s="421"/>
      <c r="AC2107" s="421"/>
      <c r="AD2107" s="421"/>
    </row>
    <row r="2108" spans="1:30" s="146" customFormat="1" x14ac:dyDescent="0.4">
      <c r="A2108" s="212">
        <v>45926</v>
      </c>
      <c r="B2108" s="139" t="s">
        <v>547</v>
      </c>
      <c r="C2108" s="140" t="str">
        <f>VLOOKUP(B2108,'112年全品項生產鍋數'!A:H,2,0)</f>
        <v>草莓果醬(桶)(1*9.5KG)</v>
      </c>
      <c r="D2108" s="290">
        <v>12</v>
      </c>
      <c r="E2108" s="141">
        <f>VLOOKUP(B2108,'112年全品項生產鍋數'!A:H,3,0)</f>
        <v>9.5</v>
      </c>
      <c r="F2108" s="142">
        <f>VLOOKUP(B2108,'112年全品項生產鍋數'!A:H,7,0)</f>
        <v>16.600000000000001</v>
      </c>
      <c r="G2108" s="143">
        <f t="shared" si="298"/>
        <v>199.20000000000002</v>
      </c>
      <c r="H2108" s="156">
        <v>196</v>
      </c>
      <c r="I2108" s="144">
        <f t="shared" si="299"/>
        <v>1862</v>
      </c>
      <c r="J2108" s="100">
        <f t="shared" si="300"/>
        <v>0.98393574297188746</v>
      </c>
      <c r="K2108" s="51">
        <f>VLOOKUP(B:B,'生產達成率(目標)'!A:C,3,0)</f>
        <v>1</v>
      </c>
      <c r="L2108" s="20">
        <f t="shared" si="301"/>
        <v>-1.6E-2</v>
      </c>
      <c r="M2108" s="137" t="str">
        <f>工時!R1294</f>
        <v>246</v>
      </c>
      <c r="N2108" s="144"/>
      <c r="O2108" s="144">
        <f t="shared" si="302"/>
        <v>0</v>
      </c>
      <c r="P2108" s="156">
        <v>196</v>
      </c>
      <c r="Q2108" s="145">
        <f t="shared" si="303"/>
        <v>1</v>
      </c>
      <c r="R2108" s="144"/>
      <c r="S2108" s="153"/>
      <c r="T2108" s="282"/>
      <c r="U2108" s="158"/>
      <c r="V2108" s="461"/>
      <c r="W2108" s="421"/>
      <c r="X2108" s="461"/>
      <c r="Y2108" s="421"/>
      <c r="Z2108" s="421"/>
      <c r="AA2108" s="421"/>
      <c r="AB2108" s="421"/>
      <c r="AC2108" s="421"/>
      <c r="AD2108" s="421"/>
    </row>
    <row r="2109" spans="1:30" s="146" customFormat="1" ht="17.25" customHeight="1" x14ac:dyDescent="0.4">
      <c r="A2109" s="212">
        <v>45926</v>
      </c>
      <c r="B2109" s="139" t="s">
        <v>82</v>
      </c>
      <c r="C2109" s="140" t="str">
        <f>VLOOKUP(B2109,'112年全品項生產鍋數'!A:H,2,0)</f>
        <v>顆粒花生醬(全)</v>
      </c>
      <c r="D2109" s="290">
        <v>40</v>
      </c>
      <c r="E2109" s="141">
        <f>VLOOKUP(B2109,'112年全品項生產鍋數'!A:H,3,0)</f>
        <v>0.34</v>
      </c>
      <c r="F2109" s="142">
        <f>VLOOKUP(B2109,'112年全品項生產鍋數'!A:H,7,0)</f>
        <v>364.6</v>
      </c>
      <c r="G2109" s="143">
        <f t="shared" si="298"/>
        <v>14584</v>
      </c>
      <c r="H2109" s="156">
        <v>14482</v>
      </c>
      <c r="I2109" s="144">
        <f t="shared" si="299"/>
        <v>4923.88</v>
      </c>
      <c r="J2109" s="100">
        <f t="shared" si="300"/>
        <v>0.99300603400987386</v>
      </c>
      <c r="K2109" s="51">
        <f>VLOOKUP(B:B,'生產達成率(目標)'!A:C,3,0)</f>
        <v>1</v>
      </c>
      <c r="L2109" s="20">
        <f t="shared" si="301"/>
        <v>-7.0000000000000001E-3</v>
      </c>
      <c r="M2109" s="137" t="str">
        <f>工時!R1295</f>
        <v>600</v>
      </c>
      <c r="N2109" s="144"/>
      <c r="O2109" s="144">
        <f t="shared" si="302"/>
        <v>3</v>
      </c>
      <c r="P2109" s="156">
        <v>14479</v>
      </c>
      <c r="Q2109" s="145">
        <f t="shared" si="303"/>
        <v>0.99979284629194864</v>
      </c>
      <c r="R2109" s="144"/>
      <c r="S2109" s="153"/>
      <c r="T2109" s="282"/>
      <c r="U2109" s="158"/>
      <c r="V2109" s="461"/>
      <c r="W2109" s="421"/>
      <c r="X2109" s="461"/>
      <c r="Y2109" s="421"/>
      <c r="Z2109" s="421"/>
      <c r="AA2109" s="421"/>
      <c r="AB2109" s="421"/>
      <c r="AC2109" s="421"/>
      <c r="AD2109" s="421"/>
    </row>
    <row r="2110" spans="1:30" s="146" customFormat="1" x14ac:dyDescent="0.4">
      <c r="A2110" s="212">
        <v>45926</v>
      </c>
      <c r="B2110" s="139" t="s">
        <v>500</v>
      </c>
      <c r="C2110" s="140" t="str">
        <f>VLOOKUP(B2110,'112年全品項生產鍋數'!A:H,2,0)</f>
        <v>蜜餞水果(1*1kg)</v>
      </c>
      <c r="D2110" s="290">
        <v>50</v>
      </c>
      <c r="E2110" s="141">
        <f>VLOOKUP(B2110,'112年全品項生產鍋數'!A:H,3,0)</f>
        <v>1</v>
      </c>
      <c r="F2110" s="142">
        <f>VLOOKUP(B2110,'112年全品項生產鍋數'!A:H,7,0)</f>
        <v>5.7</v>
      </c>
      <c r="G2110" s="143">
        <f t="shared" si="298"/>
        <v>285</v>
      </c>
      <c r="H2110" s="156">
        <v>293</v>
      </c>
      <c r="I2110" s="144">
        <f t="shared" si="299"/>
        <v>293</v>
      </c>
      <c r="J2110" s="100">
        <f t="shared" si="300"/>
        <v>1.0280701754385966</v>
      </c>
      <c r="K2110" s="51">
        <f>VLOOKUP(B:B,'生產達成率(目標)'!A:C,3,0)</f>
        <v>1</v>
      </c>
      <c r="L2110" s="20">
        <f t="shared" si="301"/>
        <v>2.8000000000000001E-2</v>
      </c>
      <c r="M2110" s="40" t="s">
        <v>1002</v>
      </c>
      <c r="N2110" s="144"/>
      <c r="O2110" s="144">
        <f t="shared" si="302"/>
        <v>0</v>
      </c>
      <c r="P2110" s="156">
        <v>293</v>
      </c>
      <c r="Q2110" s="145">
        <f t="shared" si="303"/>
        <v>1</v>
      </c>
      <c r="R2110" s="144"/>
      <c r="S2110" s="153"/>
      <c r="T2110" s="282"/>
      <c r="U2110" s="158"/>
      <c r="V2110" s="461"/>
      <c r="W2110" s="421"/>
      <c r="X2110" s="461"/>
      <c r="Y2110" s="421"/>
      <c r="Z2110" s="421"/>
      <c r="AA2110" s="421"/>
      <c r="AB2110" s="421"/>
      <c r="AC2110" s="421"/>
      <c r="AD2110" s="421"/>
    </row>
    <row r="2111" spans="1:30" x14ac:dyDescent="0.4">
      <c r="A2111" s="212">
        <v>45930</v>
      </c>
      <c r="B2111" s="139" t="s">
        <v>71</v>
      </c>
      <c r="C2111" s="30" t="str">
        <f>VLOOKUP(B2111,'112年全品項生產鍋數'!A:H,2,0)</f>
        <v>＃1草莓(1*3.2kg)</v>
      </c>
      <c r="D2111" s="290">
        <v>72</v>
      </c>
      <c r="E2111" s="48">
        <f>VLOOKUP(B2111,'112年全品項生產鍋數'!A:H,3,0)</f>
        <v>3.2</v>
      </c>
      <c r="F2111" s="142">
        <f>VLOOKUP(B2111,'112年全品項生產鍋數'!A:H,7,0)</f>
        <v>46.8</v>
      </c>
      <c r="G2111" s="143">
        <f t="shared" si="298"/>
        <v>3369.6</v>
      </c>
      <c r="H2111" s="156">
        <v>3383</v>
      </c>
      <c r="I2111" s="23">
        <f t="shared" si="299"/>
        <v>10825.6</v>
      </c>
      <c r="J2111" s="100">
        <f t="shared" si="300"/>
        <v>1.0039767331433997</v>
      </c>
      <c r="K2111" s="51">
        <f>VLOOKUP(B:B,'生產達成率(目標)'!A:C,3,0)</f>
        <v>1</v>
      </c>
      <c r="L2111" s="20">
        <f t="shared" si="301"/>
        <v>4.0000000000000001E-3</v>
      </c>
      <c r="M2111" s="137" t="str">
        <f>工時!R1297</f>
        <v>540</v>
      </c>
      <c r="N2111" s="144"/>
      <c r="O2111" s="144">
        <f t="shared" si="302"/>
        <v>5</v>
      </c>
      <c r="P2111" s="156">
        <v>3378</v>
      </c>
      <c r="Q2111" s="98">
        <f t="shared" si="303"/>
        <v>0.99852202187407624</v>
      </c>
      <c r="R2111" s="23"/>
      <c r="S2111" s="173"/>
      <c r="T2111" s="86"/>
      <c r="U2111" s="1"/>
      <c r="V2111" s="460"/>
      <c r="X2111" s="460"/>
    </row>
    <row r="2112" spans="1:30" x14ac:dyDescent="0.4">
      <c r="A2112" s="212">
        <v>45930</v>
      </c>
      <c r="B2112" s="139" t="s">
        <v>109</v>
      </c>
      <c r="C2112" s="30" t="str">
        <f>VLOOKUP(B2112,'112年全品項生產鍋數'!A:H,2,0)</f>
        <v>蔓越莓醬(1*6KG)</v>
      </c>
      <c r="D2112" s="290">
        <v>12</v>
      </c>
      <c r="E2112" s="48">
        <f>VLOOKUP(B2112,'112年全品項生產鍋數'!A:H,3,0)</f>
        <v>6</v>
      </c>
      <c r="F2112" s="142">
        <f>VLOOKUP(B2112,'112年全品項生產鍋數'!A:H,7,0)</f>
        <v>25.6</v>
      </c>
      <c r="G2112" s="143">
        <f t="shared" si="298"/>
        <v>307.20000000000005</v>
      </c>
      <c r="H2112" s="156">
        <v>317</v>
      </c>
      <c r="I2112" s="23">
        <f t="shared" si="299"/>
        <v>1902</v>
      </c>
      <c r="J2112" s="100">
        <f t="shared" si="300"/>
        <v>1.0319010416666665</v>
      </c>
      <c r="K2112" s="51">
        <f>VLOOKUP(B:B,'生產達成率(目標)'!A:C,3,0)</f>
        <v>1</v>
      </c>
      <c r="L2112" s="20">
        <f t="shared" si="301"/>
        <v>3.2000000000000001E-2</v>
      </c>
      <c r="M2112" s="137" t="str">
        <f>工時!R1298</f>
        <v>185</v>
      </c>
      <c r="N2112" s="144"/>
      <c r="O2112" s="144">
        <f t="shared" si="302"/>
        <v>1</v>
      </c>
      <c r="P2112" s="156">
        <v>316</v>
      </c>
      <c r="Q2112" s="98">
        <f t="shared" si="303"/>
        <v>0.99684542586750791</v>
      </c>
      <c r="R2112" s="23"/>
      <c r="S2112" s="173"/>
      <c r="T2112" s="86"/>
      <c r="U2112" s="1"/>
      <c r="V2112" s="460"/>
      <c r="X2112" s="460"/>
    </row>
    <row r="2113" spans="1:30" x14ac:dyDescent="0.4">
      <c r="A2113" s="212">
        <v>45930</v>
      </c>
      <c r="B2113" s="139" t="s">
        <v>1045</v>
      </c>
      <c r="C2113" s="30" t="str">
        <f>VLOOKUP(B2113,'112年全品項生產鍋數'!A:H,2,0)</f>
        <v>芒果蜜桃醬(含桃丁)</v>
      </c>
      <c r="D2113" s="290">
        <v>12</v>
      </c>
      <c r="E2113" s="48">
        <f>VLOOKUP(B2113,'112年全品項生產鍋數'!A:H,3,0)</f>
        <v>6</v>
      </c>
      <c r="F2113" s="142">
        <f>VLOOKUP(B2113,'112年全品項生產鍋數'!A:H,7,0)</f>
        <v>0</v>
      </c>
      <c r="G2113" s="143">
        <f t="shared" si="298"/>
        <v>0</v>
      </c>
      <c r="H2113" s="156">
        <v>310</v>
      </c>
      <c r="I2113" s="23">
        <f t="shared" si="299"/>
        <v>1860</v>
      </c>
      <c r="J2113" s="100" t="str">
        <f t="shared" si="300"/>
        <v>無法預估數據</v>
      </c>
      <c r="K2113" s="51">
        <f>VLOOKUP(B:B,'生產達成率(目標)'!A:C,3,0)</f>
        <v>1</v>
      </c>
      <c r="L2113" s="20" t="str">
        <f t="shared" si="301"/>
        <v>無法預估數據</v>
      </c>
      <c r="M2113" s="137" t="str">
        <f>工時!R1299</f>
        <v>190</v>
      </c>
      <c r="N2113" s="144"/>
      <c r="O2113" s="144">
        <f t="shared" si="302"/>
        <v>1</v>
      </c>
      <c r="P2113" s="156">
        <v>309</v>
      </c>
      <c r="Q2113" s="98">
        <f t="shared" si="303"/>
        <v>0.99677419354838714</v>
      </c>
      <c r="R2113" s="23"/>
      <c r="S2113" s="173"/>
      <c r="T2113" s="86"/>
      <c r="U2113" s="1"/>
      <c r="V2113" s="460"/>
      <c r="X2113" s="460"/>
    </row>
    <row r="2114" spans="1:30" x14ac:dyDescent="0.4">
      <c r="A2114" s="212">
        <v>45930</v>
      </c>
      <c r="B2114" s="139" t="s">
        <v>63</v>
      </c>
      <c r="C2114" s="30" t="str">
        <f>VLOOKUP(B2114,'112年全品項生產鍋數'!A:H,2,0)</f>
        <v>草莓蒟蒻餡(1*6kg)</v>
      </c>
      <c r="D2114" s="290">
        <v>20</v>
      </c>
      <c r="E2114" s="48">
        <f>VLOOKUP(B2114,'112年全品項生產鍋數'!A:H,3,0)</f>
        <v>6</v>
      </c>
      <c r="F2114" s="142">
        <f>VLOOKUP(B2114,'112年全品項生產鍋數'!A:H,7,0)</f>
        <v>25.7</v>
      </c>
      <c r="G2114" s="143">
        <f t="shared" si="298"/>
        <v>514</v>
      </c>
      <c r="H2114" s="156">
        <f>309+214</f>
        <v>523</v>
      </c>
      <c r="I2114" s="23">
        <f t="shared" si="299"/>
        <v>3138</v>
      </c>
      <c r="J2114" s="100">
        <f t="shared" si="300"/>
        <v>1.0175097276264591</v>
      </c>
      <c r="K2114" s="51">
        <f>VLOOKUP(B:B,'生產達成率(目標)'!A:C,3,0)</f>
        <v>1</v>
      </c>
      <c r="L2114" s="20">
        <f t="shared" si="301"/>
        <v>1.7999999999999999E-2</v>
      </c>
      <c r="M2114" s="137" t="str">
        <f>工時!R1300</f>
        <v>270</v>
      </c>
      <c r="N2114" s="144"/>
      <c r="O2114" s="144">
        <f t="shared" si="302"/>
        <v>2</v>
      </c>
      <c r="P2114" s="156">
        <f>308+213</f>
        <v>521</v>
      </c>
      <c r="Q2114" s="98">
        <f t="shared" si="303"/>
        <v>0.99617590822179736</v>
      </c>
      <c r="R2114" s="23"/>
      <c r="S2114" s="173"/>
      <c r="T2114" s="86"/>
      <c r="U2114" s="1"/>
      <c r="V2114" s="460"/>
      <c r="X2114" s="460"/>
    </row>
    <row r="2115" spans="1:30" s="146" customFormat="1" x14ac:dyDescent="0.4">
      <c r="A2115" s="212">
        <v>45930</v>
      </c>
      <c r="B2115" s="139" t="s">
        <v>58</v>
      </c>
      <c r="C2115" s="140" t="str">
        <f>VLOOKUP(B2115,'112年全品項生產鍋數'!A:H,2,0)</f>
        <v>PET大花生(1*400g)</v>
      </c>
      <c r="D2115" s="290">
        <v>44</v>
      </c>
      <c r="E2115" s="141">
        <f>VLOOKUP(B2115,'112年全品項生產鍋數'!A:H,3,0)</f>
        <v>0.4</v>
      </c>
      <c r="F2115" s="142">
        <f>VLOOKUP(B2115,'112年全品項生產鍋數'!A:H,7,0)</f>
        <v>309.2</v>
      </c>
      <c r="G2115" s="143">
        <f t="shared" si="298"/>
        <v>13604.8</v>
      </c>
      <c r="H2115" s="156">
        <v>13642</v>
      </c>
      <c r="I2115" s="144">
        <f t="shared" si="299"/>
        <v>5456.8</v>
      </c>
      <c r="J2115" s="100">
        <f t="shared" si="300"/>
        <v>1.0027343290603317</v>
      </c>
      <c r="K2115" s="51">
        <f>VLOOKUP(B:B,'生產達成率(目標)'!A:C,3,0)</f>
        <v>1</v>
      </c>
      <c r="L2115" s="20">
        <f t="shared" si="301"/>
        <v>3.0000000000000001E-3</v>
      </c>
      <c r="M2115" s="137" t="str">
        <f>工時!R1301</f>
        <v>560</v>
      </c>
      <c r="N2115" s="144"/>
      <c r="O2115" s="144">
        <f t="shared" si="302"/>
        <v>5</v>
      </c>
      <c r="P2115" s="156">
        <v>13637</v>
      </c>
      <c r="Q2115" s="145">
        <f t="shared" si="303"/>
        <v>0.99963348482627179</v>
      </c>
      <c r="R2115" s="144"/>
      <c r="S2115" s="153"/>
      <c r="T2115" s="282"/>
      <c r="U2115" s="158"/>
      <c r="V2115" s="461"/>
      <c r="W2115" s="421"/>
      <c r="X2115" s="461"/>
      <c r="Y2115" s="421"/>
      <c r="Z2115" s="421"/>
      <c r="AA2115" s="421"/>
      <c r="AB2115" s="421"/>
      <c r="AC2115" s="421"/>
      <c r="AD2115" s="421"/>
    </row>
    <row r="2116" spans="1:30" x14ac:dyDescent="0.4">
      <c r="A2116" s="212">
        <v>45931</v>
      </c>
      <c r="B2116" s="139" t="s">
        <v>61</v>
      </c>
      <c r="C2116" s="30" t="str">
        <f>VLOOKUP(B2116,'112年全品項生產鍋數'!A:H,2,0)</f>
        <v>大圓草莓-新</v>
      </c>
      <c r="D2116" s="290">
        <v>40</v>
      </c>
      <c r="E2116" s="48">
        <f>VLOOKUP(B2116,'112年全品項生產鍋數'!A:H,3,0)</f>
        <v>0.44</v>
      </c>
      <c r="F2116" s="142">
        <f>VLOOKUP(B2116,'112年全品項生產鍋數'!A:H,7,0)</f>
        <v>344</v>
      </c>
      <c r="G2116" s="143">
        <f t="shared" si="298"/>
        <v>13760</v>
      </c>
      <c r="H2116" s="156">
        <v>13778</v>
      </c>
      <c r="I2116" s="23">
        <f t="shared" si="299"/>
        <v>6062.32</v>
      </c>
      <c r="J2116" s="100">
        <f t="shared" si="300"/>
        <v>1.0013081395348837</v>
      </c>
      <c r="K2116" s="51">
        <f>VLOOKUP(B:B,'生產達成率(目標)'!A:C,3,0)</f>
        <v>1</v>
      </c>
      <c r="L2116" s="20">
        <f t="shared" si="301"/>
        <v>1E-3</v>
      </c>
      <c r="M2116" s="137" t="str">
        <f>工時!R1302</f>
        <v>540</v>
      </c>
      <c r="N2116" s="144"/>
      <c r="O2116" s="144">
        <f t="shared" si="302"/>
        <v>8</v>
      </c>
      <c r="P2116" s="156">
        <v>13770</v>
      </c>
      <c r="Q2116" s="98">
        <f t="shared" si="303"/>
        <v>0.99941936420380317</v>
      </c>
      <c r="R2116" s="23"/>
      <c r="S2116" s="173"/>
      <c r="T2116" s="86"/>
      <c r="U2116" s="1"/>
      <c r="V2116" s="460"/>
      <c r="X2116" s="460"/>
    </row>
    <row r="2117" spans="1:30" x14ac:dyDescent="0.4">
      <c r="A2117" s="212">
        <v>45931</v>
      </c>
      <c r="B2117" s="139" t="s">
        <v>88</v>
      </c>
      <c r="C2117" s="30" t="str">
        <f>VLOOKUP(B2117,'112年全品項生產鍋數'!A:H,2,0)</f>
        <v>草莓餡(1*6KG)</v>
      </c>
      <c r="D2117" s="290">
        <v>16</v>
      </c>
      <c r="E2117" s="48">
        <f>VLOOKUP(B2117,'112年全品項生產鍋數'!A:H,3,0)</f>
        <v>6</v>
      </c>
      <c r="F2117" s="142">
        <f>VLOOKUP(B2117,'112年全品項生產鍋數'!A:H,7,0)</f>
        <v>25.5</v>
      </c>
      <c r="G2117" s="143">
        <f t="shared" si="298"/>
        <v>408</v>
      </c>
      <c r="H2117" s="156">
        <v>407</v>
      </c>
      <c r="I2117" s="23">
        <f t="shared" si="299"/>
        <v>2442</v>
      </c>
      <c r="J2117" s="100">
        <f t="shared" si="300"/>
        <v>0.99754901960784315</v>
      </c>
      <c r="K2117" s="51">
        <f>VLOOKUP(B:B,'生產達成率(目標)'!A:C,3,0)</f>
        <v>1</v>
      </c>
      <c r="L2117" s="20">
        <f t="shared" si="301"/>
        <v>-2E-3</v>
      </c>
      <c r="M2117" s="137" t="str">
        <f>工時!R1303</f>
        <v>220</v>
      </c>
      <c r="N2117" s="144"/>
      <c r="O2117" s="144">
        <f t="shared" si="302"/>
        <v>3</v>
      </c>
      <c r="P2117" s="156">
        <v>404</v>
      </c>
      <c r="Q2117" s="98">
        <f t="shared" si="303"/>
        <v>0.99262899262899262</v>
      </c>
      <c r="R2117" s="23"/>
      <c r="S2117" s="173"/>
      <c r="T2117" s="86"/>
      <c r="U2117" s="1"/>
      <c r="V2117" s="460"/>
      <c r="X2117" s="460"/>
    </row>
    <row r="2118" spans="1:30" x14ac:dyDescent="0.4">
      <c r="A2118" s="212">
        <v>45931</v>
      </c>
      <c r="B2118" s="139" t="s">
        <v>63</v>
      </c>
      <c r="C2118" s="30" t="str">
        <f>VLOOKUP(B2118,'112年全品項生產鍋數'!A:H,2,0)</f>
        <v>草莓蒟蒻餡(1*6kg)</v>
      </c>
      <c r="D2118" s="290">
        <v>24</v>
      </c>
      <c r="E2118" s="48">
        <f>VLOOKUP(B2118,'112年全品項生產鍋數'!A:H,3,0)</f>
        <v>6</v>
      </c>
      <c r="F2118" s="142">
        <f>VLOOKUP(B2118,'112年全品項生產鍋數'!A:H,7,0)</f>
        <v>25.7</v>
      </c>
      <c r="G2118" s="143">
        <f t="shared" si="298"/>
        <v>616.79999999999995</v>
      </c>
      <c r="H2118" s="156">
        <f>309+324</f>
        <v>633</v>
      </c>
      <c r="I2118" s="23">
        <f t="shared" si="299"/>
        <v>3798</v>
      </c>
      <c r="J2118" s="100">
        <f t="shared" si="300"/>
        <v>1.0262645914396888</v>
      </c>
      <c r="K2118" s="51">
        <f>VLOOKUP(B:B,'生產達成率(目標)'!A:C,3,0)</f>
        <v>1</v>
      </c>
      <c r="L2118" s="20">
        <f t="shared" si="301"/>
        <v>2.5999999999999999E-2</v>
      </c>
      <c r="M2118" s="137" t="str">
        <f>工時!R1304</f>
        <v>320</v>
      </c>
      <c r="N2118" s="144"/>
      <c r="O2118" s="144">
        <f t="shared" si="302"/>
        <v>1</v>
      </c>
      <c r="P2118" s="156">
        <f>308+324</f>
        <v>632</v>
      </c>
      <c r="Q2118" s="98">
        <f t="shared" si="303"/>
        <v>0.99842022116903628</v>
      </c>
      <c r="R2118" s="23"/>
      <c r="S2118" s="173"/>
      <c r="T2118" s="86"/>
      <c r="U2118" s="1"/>
      <c r="V2118" s="460"/>
      <c r="X2118" s="460"/>
    </row>
    <row r="2119" spans="1:30" x14ac:dyDescent="0.4">
      <c r="A2119" s="212">
        <v>45931</v>
      </c>
      <c r="B2119" s="139" t="s">
        <v>73</v>
      </c>
      <c r="C2119" s="30" t="str">
        <f>VLOOKUP(B2119,'112年全品項生產鍋數'!A:H,2,0)</f>
        <v>顆粒花生醬(1*12KG)</v>
      </c>
      <c r="D2119" s="290">
        <v>21</v>
      </c>
      <c r="E2119" s="48">
        <f>VLOOKUP(B2119,'112年全品項生產鍋數'!A:H,3,0)</f>
        <v>3</v>
      </c>
      <c r="F2119" s="142">
        <f>VLOOKUP(B2119,'112年全品項生產鍋數'!A:H,7,0)</f>
        <v>29.7</v>
      </c>
      <c r="G2119" s="143">
        <f t="shared" si="298"/>
        <v>623.69999999999993</v>
      </c>
      <c r="H2119" s="156">
        <v>628</v>
      </c>
      <c r="I2119" s="23">
        <f t="shared" si="299"/>
        <v>1884</v>
      </c>
      <c r="J2119" s="100">
        <f t="shared" si="300"/>
        <v>1.0068943402276738</v>
      </c>
      <c r="K2119" s="51">
        <f>VLOOKUP(B:B,'生產達成率(目標)'!A:C,3,0)</f>
        <v>1</v>
      </c>
      <c r="L2119" s="20">
        <f t="shared" si="301"/>
        <v>7.0000000000000001E-3</v>
      </c>
      <c r="M2119" s="137" t="str">
        <f>工時!R1305</f>
        <v>540</v>
      </c>
      <c r="N2119" s="144"/>
      <c r="O2119" s="144">
        <f t="shared" si="302"/>
        <v>0</v>
      </c>
      <c r="P2119" s="156">
        <v>628</v>
      </c>
      <c r="Q2119" s="98">
        <f t="shared" si="303"/>
        <v>1</v>
      </c>
      <c r="R2119" s="23"/>
      <c r="S2119" s="173"/>
      <c r="T2119" s="86"/>
      <c r="U2119" s="1"/>
      <c r="V2119" s="460"/>
      <c r="X2119" s="460"/>
    </row>
    <row r="2120" spans="1:30" x14ac:dyDescent="0.4">
      <c r="A2120" s="212">
        <v>45932</v>
      </c>
      <c r="B2120" s="139" t="s">
        <v>71</v>
      </c>
      <c r="C2120" s="30" t="str">
        <f>VLOOKUP(B2120,'112年全品項生產鍋數'!A:H,2,0)</f>
        <v>＃1草莓(1*3.2kg)</v>
      </c>
      <c r="D2120" s="290">
        <v>72</v>
      </c>
      <c r="E2120" s="48">
        <f>VLOOKUP(B2120,'112年全品項生產鍋數'!A:H,3,0)</f>
        <v>3.2</v>
      </c>
      <c r="F2120" s="142">
        <f>VLOOKUP(B2120,'112年全品項生產鍋數'!A:H,7,0)</f>
        <v>46.8</v>
      </c>
      <c r="G2120" s="143">
        <f t="shared" si="298"/>
        <v>3369.6</v>
      </c>
      <c r="H2120" s="156">
        <v>3397</v>
      </c>
      <c r="I2120" s="23">
        <f t="shared" si="299"/>
        <v>10870.400000000001</v>
      </c>
      <c r="J2120" s="100">
        <f t="shared" si="300"/>
        <v>1.0081315289648622</v>
      </c>
      <c r="K2120" s="51">
        <f>VLOOKUP(B:B,'生產達成率(目標)'!A:C,3,0)</f>
        <v>1</v>
      </c>
      <c r="L2120" s="20">
        <f t="shared" si="301"/>
        <v>8.0000000000000002E-3</v>
      </c>
      <c r="M2120" s="137" t="str">
        <f>工時!R1306</f>
        <v>540</v>
      </c>
      <c r="N2120" s="144"/>
      <c r="O2120" s="144">
        <f t="shared" si="302"/>
        <v>3</v>
      </c>
      <c r="P2120" s="156">
        <v>3394</v>
      </c>
      <c r="Q2120" s="98">
        <f t="shared" si="303"/>
        <v>0.99911686782455111</v>
      </c>
      <c r="R2120" s="23"/>
      <c r="S2120" s="173"/>
      <c r="T2120" s="86"/>
      <c r="U2120" s="1"/>
      <c r="V2120" s="460"/>
      <c r="X2120" s="460"/>
    </row>
    <row r="2121" spans="1:30" x14ac:dyDescent="0.4">
      <c r="A2121" s="212">
        <v>45932</v>
      </c>
      <c r="B2121" s="139" t="s">
        <v>64</v>
      </c>
      <c r="C2121" s="30" t="str">
        <f>VLOOKUP(B2121,'112年全品項生產鍋數'!A:H,2,0)</f>
        <v>藍莓餡(1*6KG)</v>
      </c>
      <c r="D2121" s="290">
        <v>20</v>
      </c>
      <c r="E2121" s="48">
        <f>VLOOKUP(B2121,'112年全品項生產鍋數'!A:H,3,0)</f>
        <v>6</v>
      </c>
      <c r="F2121" s="142">
        <f>VLOOKUP(B2121,'112年全品項生產鍋數'!A:H,7,0)</f>
        <v>25.4</v>
      </c>
      <c r="G2121" s="143">
        <f t="shared" si="298"/>
        <v>508</v>
      </c>
      <c r="H2121" s="156">
        <f>306+210</f>
        <v>516</v>
      </c>
      <c r="I2121" s="23">
        <f t="shared" si="299"/>
        <v>3096</v>
      </c>
      <c r="J2121" s="100">
        <f t="shared" si="300"/>
        <v>1.015748031496063</v>
      </c>
      <c r="K2121" s="51">
        <f>VLOOKUP(B:B,'生產達成率(目標)'!A:C,3,0)</f>
        <v>1</v>
      </c>
      <c r="L2121" s="20">
        <f t="shared" si="301"/>
        <v>1.6E-2</v>
      </c>
      <c r="M2121" s="137" t="str">
        <f>工時!R1307</f>
        <v>275</v>
      </c>
      <c r="N2121" s="144"/>
      <c r="O2121" s="144">
        <f t="shared" si="302"/>
        <v>1</v>
      </c>
      <c r="P2121" s="156">
        <f>305+210</f>
        <v>515</v>
      </c>
      <c r="Q2121" s="98">
        <f t="shared" si="303"/>
        <v>0.99806201550387597</v>
      </c>
      <c r="R2121" s="23"/>
      <c r="S2121" s="173"/>
      <c r="T2121" s="86"/>
      <c r="U2121" s="1"/>
      <c r="V2121" s="460"/>
      <c r="X2121" s="460"/>
    </row>
    <row r="2122" spans="1:30" x14ac:dyDescent="0.4">
      <c r="A2122" s="212">
        <v>45932</v>
      </c>
      <c r="B2122" s="139" t="s">
        <v>63</v>
      </c>
      <c r="C2122" s="30" t="str">
        <f>VLOOKUP(B2122,'112年全品項生產鍋數'!A:H,2,0)</f>
        <v>草莓蒟蒻餡(1*6kg)</v>
      </c>
      <c r="D2122" s="290">
        <v>24</v>
      </c>
      <c r="E2122" s="48">
        <f>VLOOKUP(B2122,'112年全品項生產鍋數'!A:H,3,0)</f>
        <v>6</v>
      </c>
      <c r="F2122" s="142">
        <f>VLOOKUP(B2122,'112年全品項生產鍋數'!A:H,7,0)</f>
        <v>25.7</v>
      </c>
      <c r="G2122" s="143">
        <f t="shared" si="298"/>
        <v>616.79999999999995</v>
      </c>
      <c r="H2122" s="156">
        <f>307+322</f>
        <v>629</v>
      </c>
      <c r="I2122" s="23">
        <f t="shared" si="299"/>
        <v>3774</v>
      </c>
      <c r="J2122" s="100">
        <f t="shared" si="300"/>
        <v>1.0197795071335929</v>
      </c>
      <c r="K2122" s="51">
        <f>VLOOKUP(B:B,'生產達成率(目標)'!A:C,3,0)</f>
        <v>1</v>
      </c>
      <c r="L2122" s="20">
        <f t="shared" si="301"/>
        <v>0.02</v>
      </c>
      <c r="M2122" s="137" t="str">
        <f>工時!R1308</f>
        <v>332</v>
      </c>
      <c r="N2122" s="144"/>
      <c r="O2122" s="144">
        <f t="shared" si="302"/>
        <v>1</v>
      </c>
      <c r="P2122" s="156">
        <f>306+322</f>
        <v>628</v>
      </c>
      <c r="Q2122" s="98">
        <f t="shared" si="303"/>
        <v>0.99841017488076311</v>
      </c>
      <c r="R2122" s="23"/>
      <c r="S2122" s="173"/>
      <c r="T2122" s="86"/>
      <c r="U2122" s="1"/>
      <c r="V2122" s="460"/>
      <c r="X2122" s="460"/>
    </row>
    <row r="2123" spans="1:30" x14ac:dyDescent="0.4">
      <c r="A2123" s="212">
        <v>45932</v>
      </c>
      <c r="B2123" s="139" t="s">
        <v>108</v>
      </c>
      <c r="C2123" s="30" t="str">
        <f>VLOOKUP(B2123,'112年全品項生產鍋數'!A:H,2,0)</f>
        <v>顆粒花生醬(1*12KG)</v>
      </c>
      <c r="D2123" s="290">
        <v>21</v>
      </c>
      <c r="E2123" s="48">
        <f>VLOOKUP(B2123,'112年全品項生產鍋數'!A:H,3,0)</f>
        <v>3</v>
      </c>
      <c r="F2123" s="142">
        <f>VLOOKUP(B2123,'112年全品項生產鍋數'!A:H,7,0)</f>
        <v>31.6</v>
      </c>
      <c r="G2123" s="143">
        <f t="shared" si="298"/>
        <v>663.6</v>
      </c>
      <c r="H2123" s="156">
        <v>668</v>
      </c>
      <c r="I2123" s="23">
        <f t="shared" si="299"/>
        <v>2004</v>
      </c>
      <c r="J2123" s="100">
        <f t="shared" si="300"/>
        <v>1.0066305003013862</v>
      </c>
      <c r="K2123" s="51">
        <f>VLOOKUP(B:B,'生產達成率(目標)'!A:C,3,0)</f>
        <v>1</v>
      </c>
      <c r="L2123" s="20">
        <f t="shared" si="301"/>
        <v>7.0000000000000001E-3</v>
      </c>
      <c r="M2123" s="137" t="str">
        <f>工時!R1309</f>
        <v>540</v>
      </c>
      <c r="N2123" s="144"/>
      <c r="O2123" s="144">
        <f t="shared" si="302"/>
        <v>0</v>
      </c>
      <c r="P2123" s="156">
        <v>668</v>
      </c>
      <c r="Q2123" s="98">
        <f t="shared" si="303"/>
        <v>1</v>
      </c>
      <c r="R2123" s="23"/>
      <c r="S2123" s="173"/>
      <c r="T2123" s="86"/>
      <c r="U2123" s="1"/>
      <c r="V2123" s="460"/>
      <c r="X2123" s="460"/>
    </row>
    <row r="2124" spans="1:30" s="146" customFormat="1" x14ac:dyDescent="0.4">
      <c r="A2124" s="212">
        <v>45933</v>
      </c>
      <c r="B2124" s="139" t="s">
        <v>158</v>
      </c>
      <c r="C2124" s="140" t="str">
        <f>VLOOKUP(B2124,'112年全品項生產鍋數'!A:H,2,0)</f>
        <v>小圓草莓(1*170g)</v>
      </c>
      <c r="D2124" s="290">
        <v>4</v>
      </c>
      <c r="E2124" s="141">
        <f>VLOOKUP(B2124,'112年全品項生產鍋數'!A:H,3,0)</f>
        <v>0.17</v>
      </c>
      <c r="F2124" s="142">
        <f>VLOOKUP(B2124,'112年全品項生產鍋數'!A:H,7,0)</f>
        <v>912.6</v>
      </c>
      <c r="G2124" s="143">
        <f t="shared" ref="G2124:G2137" si="304">D2124*F2124</f>
        <v>3650.4</v>
      </c>
      <c r="H2124" s="156">
        <v>3520</v>
      </c>
      <c r="I2124" s="144">
        <f t="shared" ref="I2124:I2137" si="305">H2124*E2124</f>
        <v>598.40000000000009</v>
      </c>
      <c r="J2124" s="100">
        <f t="shared" ref="J2124:J2137" si="306">IF(G2124=0,"無法預估數據",H2124/G2124)</f>
        <v>0.96427788735481046</v>
      </c>
      <c r="K2124" s="51">
        <f>VLOOKUP(B:B,'生產達成率(目標)'!A:C,3,0)</f>
        <v>1</v>
      </c>
      <c r="L2124" s="20">
        <f t="shared" ref="L2124:L2137" si="307">IF(G2124=0,"無法預估數據",ROUND(J2124-K2124,3))</f>
        <v>-3.5999999999999997E-2</v>
      </c>
      <c r="M2124" s="137" t="str">
        <f>工時!R1310</f>
        <v>200</v>
      </c>
      <c r="N2124" s="144"/>
      <c r="O2124" s="144">
        <f t="shared" ref="O2124:O2137" si="308">H2124-N2124-P2124</f>
        <v>3</v>
      </c>
      <c r="P2124" s="156">
        <v>3517</v>
      </c>
      <c r="Q2124" s="145">
        <f t="shared" ref="Q2124:Q2137" si="309">P2124/H2124</f>
        <v>0.99914772727272727</v>
      </c>
      <c r="R2124" s="144"/>
      <c r="S2124" s="153"/>
      <c r="T2124" s="282"/>
      <c r="U2124" s="158"/>
      <c r="V2124" s="461"/>
      <c r="W2124" s="421"/>
      <c r="X2124" s="461"/>
      <c r="Y2124" s="421"/>
      <c r="Z2124" s="421"/>
      <c r="AA2124" s="421"/>
      <c r="AB2124" s="421"/>
      <c r="AC2124" s="421"/>
      <c r="AD2124" s="421"/>
    </row>
    <row r="2125" spans="1:30" s="146" customFormat="1" x14ac:dyDescent="0.4">
      <c r="A2125" s="212">
        <v>45933</v>
      </c>
      <c r="B2125" s="139" t="s">
        <v>887</v>
      </c>
      <c r="C2125" s="140" t="str">
        <f>VLOOKUP(B2125,'112年全品項生產鍋數'!A:H,2,0)</f>
        <v>檸檬藍莓醬1*260G</v>
      </c>
      <c r="D2125" s="290">
        <v>5</v>
      </c>
      <c r="E2125" s="141">
        <f>VLOOKUP(B2125,'112年全品項生產鍋數'!A:H,3,0)</f>
        <v>0.26</v>
      </c>
      <c r="F2125" s="142">
        <f>VLOOKUP(B2125,'112年全品項生產鍋數'!A:H,7,0)</f>
        <v>612</v>
      </c>
      <c r="G2125" s="143">
        <f t="shared" si="304"/>
        <v>3060</v>
      </c>
      <c r="H2125" s="156">
        <v>2873</v>
      </c>
      <c r="I2125" s="144">
        <f t="shared" si="305"/>
        <v>746.98</v>
      </c>
      <c r="J2125" s="100">
        <f t="shared" si="306"/>
        <v>0.93888888888888888</v>
      </c>
      <c r="K2125" s="51">
        <f>VLOOKUP(B:B,'生產達成率(目標)'!A:C,3,0)</f>
        <v>1</v>
      </c>
      <c r="L2125" s="20">
        <f t="shared" si="307"/>
        <v>-6.0999999999999999E-2</v>
      </c>
      <c r="M2125" s="137" t="str">
        <f>工時!R1311</f>
        <v>240</v>
      </c>
      <c r="N2125" s="144"/>
      <c r="O2125" s="144">
        <f t="shared" si="308"/>
        <v>18</v>
      </c>
      <c r="P2125" s="156">
        <v>2855</v>
      </c>
      <c r="Q2125" s="145">
        <f t="shared" si="309"/>
        <v>0.99373477201531502</v>
      </c>
      <c r="R2125" s="144"/>
      <c r="S2125" s="153"/>
      <c r="T2125" s="282"/>
      <c r="U2125" s="158"/>
      <c r="V2125" s="461"/>
      <c r="W2125" s="421"/>
      <c r="X2125" s="461"/>
      <c r="Y2125" s="421"/>
      <c r="Z2125" s="421"/>
      <c r="AA2125" s="421"/>
      <c r="AB2125" s="421"/>
      <c r="AC2125" s="421"/>
      <c r="AD2125" s="421"/>
    </row>
    <row r="2126" spans="1:30" s="146" customFormat="1" x14ac:dyDescent="0.4">
      <c r="A2126" s="212">
        <v>45933</v>
      </c>
      <c r="B2126" s="139" t="s">
        <v>91</v>
      </c>
      <c r="C2126" s="140" t="str">
        <f>VLOOKUP(B2126,'112年全品項生產鍋數'!A:H,2,0)</f>
        <v>梨山草莓果醬(1*430g)</v>
      </c>
      <c r="D2126" s="290">
        <v>12</v>
      </c>
      <c r="E2126" s="141">
        <f>VLOOKUP(B2126,'112年全品項生產鍋數'!A:H,3,0)</f>
        <v>0.43</v>
      </c>
      <c r="F2126" s="142">
        <f>VLOOKUP(B2126,'112年全品項生產鍋數'!A:H,7,0)</f>
        <v>340.4</v>
      </c>
      <c r="G2126" s="143">
        <f t="shared" si="304"/>
        <v>4084.7999999999997</v>
      </c>
      <c r="H2126" s="156">
        <f>1919+2162</f>
        <v>4081</v>
      </c>
      <c r="I2126" s="144">
        <f t="shared" si="305"/>
        <v>1754.83</v>
      </c>
      <c r="J2126" s="100">
        <f t="shared" si="306"/>
        <v>0.99906972189580889</v>
      </c>
      <c r="K2126" s="51">
        <f>VLOOKUP(B:B,'生產達成率(目標)'!A:C,3,0)</f>
        <v>1</v>
      </c>
      <c r="L2126" s="20">
        <f t="shared" si="307"/>
        <v>-1E-3</v>
      </c>
      <c r="M2126" s="137" t="str">
        <f>工時!R1312</f>
        <v>183</v>
      </c>
      <c r="N2126" s="144"/>
      <c r="O2126" s="144">
        <f t="shared" si="308"/>
        <v>12</v>
      </c>
      <c r="P2126" s="156">
        <f>1909+2160</f>
        <v>4069</v>
      </c>
      <c r="Q2126" s="145">
        <f t="shared" si="309"/>
        <v>0.9970595442293555</v>
      </c>
      <c r="R2126" s="144"/>
      <c r="S2126" s="153"/>
      <c r="T2126" s="282" t="s">
        <v>1139</v>
      </c>
      <c r="U2126" s="158"/>
      <c r="V2126" s="461"/>
      <c r="W2126" s="421"/>
      <c r="X2126" s="461"/>
      <c r="Y2126" s="421"/>
      <c r="Z2126" s="421"/>
      <c r="AA2126" s="421"/>
      <c r="AB2126" s="421"/>
      <c r="AC2126" s="421"/>
      <c r="AD2126" s="421"/>
    </row>
    <row r="2127" spans="1:30" s="146" customFormat="1" x14ac:dyDescent="0.4">
      <c r="A2127" s="212">
        <v>45933</v>
      </c>
      <c r="B2127" s="139" t="s">
        <v>54</v>
      </c>
      <c r="C2127" s="140" t="str">
        <f>VLOOKUP(B2127,'112年全品項生產鍋數'!A:H,2,0)</f>
        <v>草莓醬(1*6kg)</v>
      </c>
      <c r="D2127" s="290">
        <v>36</v>
      </c>
      <c r="E2127" s="141">
        <f>VLOOKUP(B2127,'112年全品項生產鍋數'!A:H,3,0)</f>
        <v>6</v>
      </c>
      <c r="F2127" s="142">
        <f>VLOOKUP(B2127,'112年全品項生產鍋數'!A:H,7,0)</f>
        <v>26.6</v>
      </c>
      <c r="G2127" s="143">
        <f t="shared" si="304"/>
        <v>957.6</v>
      </c>
      <c r="H2127" s="156">
        <v>970</v>
      </c>
      <c r="I2127" s="144">
        <f t="shared" si="305"/>
        <v>5820</v>
      </c>
      <c r="J2127" s="100">
        <f t="shared" si="306"/>
        <v>1.0129490392648288</v>
      </c>
      <c r="K2127" s="51">
        <f>VLOOKUP(B:B,'生產達成率(目標)'!A:C,3,0)</f>
        <v>1</v>
      </c>
      <c r="L2127" s="20">
        <f t="shared" si="307"/>
        <v>1.2999999999999999E-2</v>
      </c>
      <c r="M2127" s="137" t="str">
        <f>工時!R1313</f>
        <v>450</v>
      </c>
      <c r="N2127" s="144"/>
      <c r="O2127" s="144">
        <f t="shared" si="308"/>
        <v>1</v>
      </c>
      <c r="P2127" s="156">
        <v>969</v>
      </c>
      <c r="Q2127" s="145">
        <f t="shared" si="309"/>
        <v>0.99896907216494846</v>
      </c>
      <c r="R2127" s="144"/>
      <c r="S2127" s="153"/>
      <c r="T2127" s="282"/>
      <c r="U2127" s="158"/>
      <c r="V2127" s="461"/>
      <c r="W2127" s="421"/>
      <c r="X2127" s="461"/>
      <c r="Y2127" s="421"/>
      <c r="Z2127" s="421"/>
      <c r="AA2127" s="421"/>
      <c r="AB2127" s="421"/>
      <c r="AC2127" s="421"/>
      <c r="AD2127" s="421"/>
    </row>
    <row r="2128" spans="1:30" s="146" customFormat="1" x14ac:dyDescent="0.4">
      <c r="A2128" s="212">
        <v>45933</v>
      </c>
      <c r="B2128" s="139" t="s">
        <v>53</v>
      </c>
      <c r="C2128" s="140" t="str">
        <f>VLOOKUP(B2128,'112年全品項生產鍋數'!A:H,2,0)</f>
        <v>鳳梨芒果百香果醬(1*6KG)</v>
      </c>
      <c r="D2128" s="290">
        <v>6</v>
      </c>
      <c r="E2128" s="141">
        <f>VLOOKUP(B2128,'112年全品項生產鍋數'!A:H,3,0)</f>
        <v>6</v>
      </c>
      <c r="F2128" s="142">
        <f>VLOOKUP(B2128,'112年全品項生產鍋數'!A:H,7,0)</f>
        <v>25.7</v>
      </c>
      <c r="G2128" s="143">
        <f t="shared" si="304"/>
        <v>154.19999999999999</v>
      </c>
      <c r="H2128" s="156">
        <v>151</v>
      </c>
      <c r="I2128" s="144">
        <f t="shared" si="305"/>
        <v>906</v>
      </c>
      <c r="J2128" s="100">
        <f t="shared" si="306"/>
        <v>0.97924773022049294</v>
      </c>
      <c r="K2128" s="51">
        <f>VLOOKUP(B:B,'生產達成率(目標)'!A:C,3,0)</f>
        <v>1</v>
      </c>
      <c r="L2128" s="20">
        <f t="shared" si="307"/>
        <v>-2.1000000000000001E-2</v>
      </c>
      <c r="M2128" s="137" t="str">
        <f>工時!R1314</f>
        <v>112</v>
      </c>
      <c r="N2128" s="144"/>
      <c r="O2128" s="144">
        <f t="shared" si="308"/>
        <v>1</v>
      </c>
      <c r="P2128" s="156">
        <v>150</v>
      </c>
      <c r="Q2128" s="145">
        <f t="shared" si="309"/>
        <v>0.99337748344370858</v>
      </c>
      <c r="R2128" s="144"/>
      <c r="S2128" s="153"/>
      <c r="T2128" s="282"/>
      <c r="U2128" s="158"/>
      <c r="V2128" s="461"/>
      <c r="W2128" s="421"/>
      <c r="X2128" s="461"/>
      <c r="Y2128" s="421"/>
      <c r="Z2128" s="421"/>
      <c r="AA2128" s="421"/>
      <c r="AB2128" s="421"/>
      <c r="AC2128" s="421"/>
      <c r="AD2128" s="421"/>
    </row>
    <row r="2129" spans="1:30" s="146" customFormat="1" x14ac:dyDescent="0.4">
      <c r="A2129" s="212">
        <v>45933</v>
      </c>
      <c r="B2129" s="139" t="s">
        <v>65</v>
      </c>
      <c r="C2129" s="140" t="str">
        <f>VLOOKUP(B2129,'112年全品項生產鍋數'!A:H,2,0)</f>
        <v>＃1花生(1*2.8kg)</v>
      </c>
      <c r="D2129" s="290">
        <v>72</v>
      </c>
      <c r="E2129" s="141">
        <f>VLOOKUP(B2129,'112年全品項生產鍋數'!A:H,3,0)</f>
        <v>2.8</v>
      </c>
      <c r="F2129" s="142">
        <f>VLOOKUP(B2129,'112年全品項生產鍋數'!A:H,7,0)</f>
        <v>44.5</v>
      </c>
      <c r="G2129" s="143">
        <f t="shared" si="304"/>
        <v>3204</v>
      </c>
      <c r="H2129" s="156">
        <f>300+2934</f>
        <v>3234</v>
      </c>
      <c r="I2129" s="144">
        <f t="shared" si="305"/>
        <v>9055.1999999999989</v>
      </c>
      <c r="J2129" s="100">
        <f t="shared" si="306"/>
        <v>1.0093632958801497</v>
      </c>
      <c r="K2129" s="51">
        <f>VLOOKUP(B:B,'生產達成率(目標)'!A:C,3,0)</f>
        <v>1</v>
      </c>
      <c r="L2129" s="20">
        <f t="shared" si="307"/>
        <v>8.9999999999999993E-3</v>
      </c>
      <c r="M2129" s="137" t="str">
        <f>工時!R1315</f>
        <v>545</v>
      </c>
      <c r="N2129" s="144"/>
      <c r="O2129" s="144">
        <f t="shared" si="308"/>
        <v>1</v>
      </c>
      <c r="P2129" s="156">
        <f>2933+300</f>
        <v>3233</v>
      </c>
      <c r="Q2129" s="145">
        <f t="shared" si="309"/>
        <v>0.99969078540507117</v>
      </c>
      <c r="R2129" s="144"/>
      <c r="S2129" s="153"/>
      <c r="T2129" s="282" t="s">
        <v>1138</v>
      </c>
      <c r="U2129" s="158"/>
      <c r="V2129" s="461"/>
      <c r="W2129" s="421"/>
      <c r="X2129" s="461"/>
      <c r="Y2129" s="421"/>
      <c r="Z2129" s="421"/>
      <c r="AA2129" s="421"/>
      <c r="AB2129" s="421"/>
      <c r="AC2129" s="421"/>
      <c r="AD2129" s="421"/>
    </row>
    <row r="2130" spans="1:30" x14ac:dyDescent="0.4">
      <c r="A2130" s="212">
        <v>45937</v>
      </c>
      <c r="B2130" s="139" t="s">
        <v>87</v>
      </c>
      <c r="C2130" s="30" t="str">
        <f>VLOOKUP(B2130,'112年全品項生產鍋數'!A:H,2,0)</f>
        <v>＃1藍莓(1*3.2kg)</v>
      </c>
      <c r="D2130" s="290">
        <v>72</v>
      </c>
      <c r="E2130" s="48">
        <f>VLOOKUP(B2130,'112年全品項生產鍋數'!A:H,3,0)</f>
        <v>3.2</v>
      </c>
      <c r="F2130" s="142">
        <f>VLOOKUP(B2130,'112年全品項生產鍋數'!A:H,7,0)</f>
        <v>47.5</v>
      </c>
      <c r="G2130" s="143">
        <f t="shared" si="304"/>
        <v>3420</v>
      </c>
      <c r="H2130" s="156">
        <v>3448</v>
      </c>
      <c r="I2130" s="23">
        <f t="shared" si="305"/>
        <v>11033.6</v>
      </c>
      <c r="J2130" s="100">
        <f t="shared" si="306"/>
        <v>1.0081871345029241</v>
      </c>
      <c r="K2130" s="51">
        <f>VLOOKUP(B:B,'生產達成率(目標)'!A:C,3,0)</f>
        <v>1</v>
      </c>
      <c r="L2130" s="20">
        <f t="shared" si="307"/>
        <v>8.0000000000000002E-3</v>
      </c>
      <c r="M2130" s="137" t="str">
        <f>工時!R1316</f>
        <v>540</v>
      </c>
      <c r="N2130" s="144"/>
      <c r="O2130" s="144">
        <f t="shared" si="308"/>
        <v>4</v>
      </c>
      <c r="P2130" s="156">
        <v>3444</v>
      </c>
      <c r="Q2130" s="98">
        <f t="shared" si="309"/>
        <v>0.99883990719257543</v>
      </c>
      <c r="R2130" s="23"/>
      <c r="S2130" s="173"/>
      <c r="T2130" s="86"/>
      <c r="U2130" s="1"/>
      <c r="V2130" s="460"/>
      <c r="X2130" s="460"/>
    </row>
    <row r="2131" spans="1:30" x14ac:dyDescent="0.4">
      <c r="A2131" s="212">
        <v>45937</v>
      </c>
      <c r="B2131" s="139" t="s">
        <v>88</v>
      </c>
      <c r="C2131" s="30" t="str">
        <f>VLOOKUP(B2131,'112年全品項生產鍋數'!A:H,2,0)</f>
        <v>草莓餡(1*6KG)</v>
      </c>
      <c r="D2131" s="290">
        <v>32</v>
      </c>
      <c r="E2131" s="48">
        <f>VLOOKUP(B2131,'112年全品項生產鍋數'!A:H,3,0)</f>
        <v>6</v>
      </c>
      <c r="F2131" s="142">
        <f>VLOOKUP(B2131,'112年全品項生產鍋數'!A:H,7,0)</f>
        <v>25.5</v>
      </c>
      <c r="G2131" s="143">
        <f t="shared" si="304"/>
        <v>816</v>
      </c>
      <c r="H2131" s="144">
        <v>824</v>
      </c>
      <c r="I2131" s="23">
        <f t="shared" si="305"/>
        <v>4944</v>
      </c>
      <c r="J2131" s="100">
        <f t="shared" si="306"/>
        <v>1.0098039215686274</v>
      </c>
      <c r="K2131" s="51">
        <f>VLOOKUP(B:B,'生產達成率(目標)'!A:C,3,0)</f>
        <v>1</v>
      </c>
      <c r="L2131" s="20">
        <f t="shared" si="307"/>
        <v>0.01</v>
      </c>
      <c r="M2131" s="137" t="str">
        <f>工時!R1317</f>
        <v>390</v>
      </c>
      <c r="N2131" s="144"/>
      <c r="O2131" s="144">
        <f t="shared" si="308"/>
        <v>3</v>
      </c>
      <c r="P2131" s="156">
        <v>821</v>
      </c>
      <c r="Q2131" s="98">
        <f t="shared" si="309"/>
        <v>0.99635922330097082</v>
      </c>
      <c r="R2131" s="23"/>
      <c r="S2131" s="173"/>
      <c r="T2131" s="86"/>
      <c r="U2131" s="1"/>
      <c r="V2131" s="460"/>
      <c r="X2131" s="460"/>
    </row>
    <row r="2132" spans="1:30" x14ac:dyDescent="0.4">
      <c r="A2132" s="212">
        <v>45937</v>
      </c>
      <c r="B2132" s="139" t="s">
        <v>99</v>
      </c>
      <c r="C2132" s="30" t="str">
        <f>VLOOKUP(B2132,'112年全品項生產鍋數'!A:H,2,0)</f>
        <v>葡萄奇異果醬(1*6kg)</v>
      </c>
      <c r="D2132" s="290">
        <v>6</v>
      </c>
      <c r="E2132" s="48">
        <f>VLOOKUP(B2132,'112年全品項生產鍋數'!A:H,3,0)</f>
        <v>6</v>
      </c>
      <c r="F2132" s="142">
        <f>VLOOKUP(B2132,'112年全品項生產鍋數'!A:H,7,0)</f>
        <v>24.3</v>
      </c>
      <c r="G2132" s="143">
        <f t="shared" si="304"/>
        <v>145.80000000000001</v>
      </c>
      <c r="H2132" s="156">
        <v>151</v>
      </c>
      <c r="I2132" s="23">
        <f t="shared" si="305"/>
        <v>906</v>
      </c>
      <c r="J2132" s="100">
        <f t="shared" si="306"/>
        <v>1.0356652949245542</v>
      </c>
      <c r="K2132" s="51">
        <f>VLOOKUP(B:B,'生產達成率(目標)'!A:C,3,0)</f>
        <v>1</v>
      </c>
      <c r="L2132" s="20">
        <f t="shared" si="307"/>
        <v>3.5999999999999997E-2</v>
      </c>
      <c r="M2132" s="137" t="str">
        <f>工時!R1318</f>
        <v>145</v>
      </c>
      <c r="N2132" s="144"/>
      <c r="O2132" s="144">
        <f t="shared" si="308"/>
        <v>1</v>
      </c>
      <c r="P2132" s="156">
        <v>150</v>
      </c>
      <c r="Q2132" s="98">
        <f t="shared" si="309"/>
        <v>0.99337748344370858</v>
      </c>
      <c r="R2132" s="23"/>
      <c r="S2132" s="173"/>
      <c r="T2132" s="86"/>
      <c r="U2132" s="1"/>
      <c r="V2132" s="460"/>
      <c r="X2132" s="460"/>
    </row>
    <row r="2133" spans="1:30" x14ac:dyDescent="0.4">
      <c r="A2133" s="212">
        <v>45937</v>
      </c>
      <c r="B2133" s="139" t="s">
        <v>65</v>
      </c>
      <c r="C2133" s="30" t="str">
        <f>VLOOKUP(B2133,'112年全品項生產鍋數'!A:H,2,0)</f>
        <v>＃1花生(1*2.8kg)</v>
      </c>
      <c r="D2133" s="290">
        <v>36</v>
      </c>
      <c r="E2133" s="48">
        <f>VLOOKUP(B2133,'112年全品項生產鍋數'!A:H,3,0)</f>
        <v>2.8</v>
      </c>
      <c r="F2133" s="142">
        <f>VLOOKUP(B2133,'112年全品項生產鍋數'!A:H,7,0)</f>
        <v>44.5</v>
      </c>
      <c r="G2133" s="143">
        <f>D2133*F2133-20*18/E2133</f>
        <v>1473.4285714285713</v>
      </c>
      <c r="H2133" s="156">
        <v>1475</v>
      </c>
      <c r="I2133" s="23">
        <f t="shared" si="305"/>
        <v>4130</v>
      </c>
      <c r="J2133" s="100">
        <f t="shared" si="306"/>
        <v>1.0010665115377158</v>
      </c>
      <c r="K2133" s="51">
        <f>VLOOKUP(B:B,'生產達成率(目標)'!A:C,3,0)</f>
        <v>1</v>
      </c>
      <c r="L2133" s="20">
        <f t="shared" si="307"/>
        <v>1E-3</v>
      </c>
      <c r="M2133" s="137" t="str">
        <f>工時!R1319</f>
        <v>290</v>
      </c>
      <c r="N2133" s="144"/>
      <c r="O2133" s="144">
        <f t="shared" si="308"/>
        <v>1</v>
      </c>
      <c r="P2133" s="156">
        <v>1474</v>
      </c>
      <c r="Q2133" s="98">
        <f t="shared" si="309"/>
        <v>0.9993220338983051</v>
      </c>
      <c r="R2133" s="23"/>
      <c r="S2133" s="173"/>
      <c r="T2133" s="86" t="s">
        <v>1140</v>
      </c>
      <c r="U2133" s="1"/>
      <c r="V2133" s="460"/>
      <c r="X2133" s="460"/>
    </row>
    <row r="2134" spans="1:30" s="146" customFormat="1" x14ac:dyDescent="0.4">
      <c r="A2134" s="212">
        <v>45937</v>
      </c>
      <c r="B2134" s="139" t="s">
        <v>96</v>
      </c>
      <c r="C2134" s="140" t="str">
        <f>VLOOKUP(B2134,'112年全品項生產鍋數'!A:H,2,0)</f>
        <v>PET瓶花生(1*340g)</v>
      </c>
      <c r="D2134" s="290">
        <v>20</v>
      </c>
      <c r="E2134" s="141">
        <f>VLOOKUP(B2134,'112年全品項生產鍋數'!A:H,3,0)</f>
        <v>0.34</v>
      </c>
      <c r="F2134" s="142">
        <f>VLOOKUP(B2134,'112年全品項生產鍋數'!A:H,7,0)</f>
        <v>358.3</v>
      </c>
      <c r="G2134" s="143">
        <f t="shared" si="304"/>
        <v>7166</v>
      </c>
      <c r="H2134" s="156">
        <v>7248</v>
      </c>
      <c r="I2134" s="144">
        <f t="shared" si="305"/>
        <v>2464.3200000000002</v>
      </c>
      <c r="J2134" s="100">
        <f t="shared" si="306"/>
        <v>1.0114429249232486</v>
      </c>
      <c r="K2134" s="51">
        <f>VLOOKUP(B:B,'生產達成率(目標)'!A:C,3,0)</f>
        <v>1</v>
      </c>
      <c r="L2134" s="20">
        <f t="shared" si="307"/>
        <v>1.0999999999999999E-2</v>
      </c>
      <c r="M2134" s="137" t="str">
        <f>工時!R1320</f>
        <v>325</v>
      </c>
      <c r="N2134" s="144"/>
      <c r="O2134" s="144">
        <f t="shared" si="308"/>
        <v>5</v>
      </c>
      <c r="P2134" s="156">
        <v>7243</v>
      </c>
      <c r="Q2134" s="145">
        <f t="shared" si="309"/>
        <v>0.9993101545253863</v>
      </c>
      <c r="R2134" s="144"/>
      <c r="S2134" s="153"/>
      <c r="T2134" s="282"/>
      <c r="U2134" s="158"/>
      <c r="V2134" s="461"/>
      <c r="W2134" s="421"/>
      <c r="X2134" s="461"/>
      <c r="Y2134" s="421"/>
      <c r="Z2134" s="421"/>
      <c r="AA2134" s="421"/>
      <c r="AB2134" s="421"/>
      <c r="AC2134" s="421"/>
      <c r="AD2134" s="421"/>
    </row>
    <row r="2135" spans="1:30" s="146" customFormat="1" x14ac:dyDescent="0.4">
      <c r="A2135" s="212">
        <v>45938</v>
      </c>
      <c r="B2135" s="139" t="s">
        <v>539</v>
      </c>
      <c r="C2135" s="140" t="str">
        <f>VLOOKUP(B2135,'112年全品項生產鍋數'!A:H,2,0)</f>
        <v>文旦柚茶(1*420g)</v>
      </c>
      <c r="D2135" s="290">
        <v>6</v>
      </c>
      <c r="E2135" s="141">
        <f>VLOOKUP(B2135,'112年全品項生產鍋數'!A:H,3,0)</f>
        <v>0.42</v>
      </c>
      <c r="F2135" s="142">
        <f>VLOOKUP(B2135,'112年全品項生產鍋數'!A:H,7,0)</f>
        <v>365.1</v>
      </c>
      <c r="G2135" s="143">
        <f t="shared" si="304"/>
        <v>2190.6000000000004</v>
      </c>
      <c r="H2135" s="156">
        <v>2268</v>
      </c>
      <c r="I2135" s="144">
        <f t="shared" si="305"/>
        <v>952.56</v>
      </c>
      <c r="J2135" s="100">
        <f t="shared" si="306"/>
        <v>1.0353327855382086</v>
      </c>
      <c r="K2135" s="51">
        <f>VLOOKUP(B:B,'生產達成率(目標)'!A:C,3,0)</f>
        <v>1</v>
      </c>
      <c r="L2135" s="20">
        <f t="shared" si="307"/>
        <v>3.5000000000000003E-2</v>
      </c>
      <c r="M2135" s="137" t="str">
        <f>工時!R1321</f>
        <v>240</v>
      </c>
      <c r="N2135" s="144"/>
      <c r="O2135" s="144">
        <f t="shared" si="308"/>
        <v>7</v>
      </c>
      <c r="P2135" s="156">
        <v>2261</v>
      </c>
      <c r="Q2135" s="145">
        <f t="shared" si="309"/>
        <v>0.99691358024691357</v>
      </c>
      <c r="R2135" s="144"/>
      <c r="S2135" s="153"/>
      <c r="T2135" s="282"/>
      <c r="U2135" s="158"/>
      <c r="V2135" s="461"/>
      <c r="W2135" s="421"/>
      <c r="X2135" s="461"/>
      <c r="Y2135" s="421"/>
      <c r="Z2135" s="421"/>
      <c r="AA2135" s="421"/>
      <c r="AB2135" s="421"/>
      <c r="AC2135" s="421"/>
      <c r="AD2135" s="421"/>
    </row>
    <row r="2136" spans="1:30" x14ac:dyDescent="0.4">
      <c r="A2136" s="212">
        <v>45938</v>
      </c>
      <c r="B2136" s="139" t="s">
        <v>114</v>
      </c>
      <c r="C2136" s="30" t="str">
        <f>VLOOKUP(B2136,'112年全品項生產鍋數'!A:H,2,0)</f>
        <v>開心草莓果醬(1*430g)</v>
      </c>
      <c r="D2136" s="290">
        <v>15</v>
      </c>
      <c r="E2136" s="48">
        <f>VLOOKUP(B2136,'112年全品項生產鍋數'!A:H,3,0)</f>
        <v>0.43</v>
      </c>
      <c r="F2136" s="142">
        <f>VLOOKUP(B2136,'112年全品項生產鍋數'!A:H,7,0)</f>
        <v>364</v>
      </c>
      <c r="G2136" s="143">
        <f t="shared" si="304"/>
        <v>5460</v>
      </c>
      <c r="H2136" s="156">
        <v>5574</v>
      </c>
      <c r="I2136" s="23">
        <f t="shared" si="305"/>
        <v>2396.8200000000002</v>
      </c>
      <c r="J2136" s="100">
        <f t="shared" si="306"/>
        <v>1.0208791208791208</v>
      </c>
      <c r="K2136" s="51">
        <f>VLOOKUP(B:B,'生產達成率(目標)'!A:C,3,0)</f>
        <v>1</v>
      </c>
      <c r="L2136" s="20">
        <f t="shared" si="307"/>
        <v>2.1000000000000001E-2</v>
      </c>
      <c r="M2136" s="137" t="str">
        <f>工時!R1322</f>
        <v>303</v>
      </c>
      <c r="N2136" s="144"/>
      <c r="O2136" s="144">
        <f t="shared" si="308"/>
        <v>8</v>
      </c>
      <c r="P2136" s="156">
        <v>5566</v>
      </c>
      <c r="Q2136" s="98">
        <f t="shared" si="309"/>
        <v>0.99856476498026547</v>
      </c>
      <c r="R2136" s="23"/>
      <c r="S2136" s="173"/>
      <c r="T2136" s="86"/>
      <c r="U2136" s="1"/>
      <c r="V2136" s="460"/>
      <c r="X2136" s="460"/>
    </row>
    <row r="2137" spans="1:30" x14ac:dyDescent="0.4">
      <c r="A2137" s="212">
        <v>45938</v>
      </c>
      <c r="B2137" s="139" t="s">
        <v>63</v>
      </c>
      <c r="C2137" s="30" t="str">
        <f>VLOOKUP(B2137,'112年全品項生產鍋數'!A:H,2,0)</f>
        <v>草莓蒟蒻餡(1*6kg)</v>
      </c>
      <c r="D2137" s="290">
        <v>24</v>
      </c>
      <c r="E2137" s="48">
        <f>VLOOKUP(B2137,'112年全品項生產鍋數'!A:H,3,0)</f>
        <v>6</v>
      </c>
      <c r="F2137" s="142">
        <f>VLOOKUP(B2137,'112年全品項生產鍋數'!A:H,7,0)</f>
        <v>25.7</v>
      </c>
      <c r="G2137" s="143">
        <f t="shared" si="304"/>
        <v>616.79999999999995</v>
      </c>
      <c r="H2137" s="156">
        <f>316+318</f>
        <v>634</v>
      </c>
      <c r="I2137" s="23">
        <f t="shared" si="305"/>
        <v>3804</v>
      </c>
      <c r="J2137" s="100">
        <f t="shared" si="306"/>
        <v>1.0278858625162128</v>
      </c>
      <c r="K2137" s="51">
        <f>VLOOKUP(B:B,'生產達成率(目標)'!A:C,3,0)</f>
        <v>1</v>
      </c>
      <c r="L2137" s="20">
        <f t="shared" si="307"/>
        <v>2.8000000000000001E-2</v>
      </c>
      <c r="M2137" s="137" t="str">
        <f>工時!R1323</f>
        <v>314</v>
      </c>
      <c r="N2137" s="144"/>
      <c r="O2137" s="144">
        <f t="shared" si="308"/>
        <v>1</v>
      </c>
      <c r="P2137" s="156">
        <f>315+318</f>
        <v>633</v>
      </c>
      <c r="Q2137" s="98">
        <f t="shared" si="309"/>
        <v>0.99842271293375395</v>
      </c>
      <c r="R2137" s="23"/>
      <c r="S2137" s="173"/>
      <c r="T2137" s="86"/>
      <c r="U2137" s="1"/>
      <c r="V2137" s="460"/>
      <c r="X2137" s="460"/>
    </row>
    <row r="2138" spans="1:30" x14ac:dyDescent="0.4">
      <c r="A2138" s="212">
        <v>45938</v>
      </c>
      <c r="B2138" s="139" t="s">
        <v>72</v>
      </c>
      <c r="C2138" s="30" t="str">
        <f>VLOOKUP(B2138,'112年全品項生產鍋數'!A:H,2,0)</f>
        <v>草莓餡45%(1*6Kg)</v>
      </c>
      <c r="D2138" s="290">
        <v>20</v>
      </c>
      <c r="E2138" s="48">
        <f>VLOOKUP(B2138,'112年全品項生產鍋數'!A:H,3,0)</f>
        <v>6</v>
      </c>
      <c r="F2138" s="142">
        <f>VLOOKUP(B2138,'112年全品項生產鍋數'!A:H,7,0)</f>
        <v>26.1</v>
      </c>
      <c r="G2138" s="143">
        <f t="shared" ref="G2138:G2183" si="310">D2138*F2138</f>
        <v>522</v>
      </c>
      <c r="H2138" s="156">
        <v>524</v>
      </c>
      <c r="I2138" s="23">
        <f t="shared" ref="I2138:I2183" si="311">H2138*E2138</f>
        <v>3144</v>
      </c>
      <c r="J2138" s="100">
        <f t="shared" ref="J2138:J2183" si="312">IF(G2138=0,"無法預估數據",H2138/G2138)</f>
        <v>1.0038314176245211</v>
      </c>
      <c r="K2138" s="51">
        <f>VLOOKUP(B:B,'生產達成率(目標)'!A:C,3,0)</f>
        <v>1</v>
      </c>
      <c r="L2138" s="20">
        <f t="shared" ref="L2138:L2183" si="313">IF(G2138=0,"無法預估數據",ROUND(J2138-K2138,3))</f>
        <v>4.0000000000000001E-3</v>
      </c>
      <c r="M2138" s="137" t="str">
        <f>工時!R1324</f>
        <v>270</v>
      </c>
      <c r="N2138" s="144"/>
      <c r="O2138" s="144">
        <f t="shared" ref="O2138:O2183" si="314">H2138-N2138-P2138</f>
        <v>1</v>
      </c>
      <c r="P2138" s="156">
        <v>523</v>
      </c>
      <c r="Q2138" s="98">
        <f t="shared" ref="Q2138:Q2183" si="315">P2138/H2138</f>
        <v>0.99809160305343514</v>
      </c>
      <c r="R2138" s="23"/>
      <c r="S2138" s="173"/>
      <c r="T2138" s="86"/>
      <c r="U2138" s="1"/>
      <c r="V2138" s="460"/>
      <c r="X2138" s="460"/>
    </row>
    <row r="2139" spans="1:30" x14ac:dyDescent="0.4">
      <c r="A2139" s="212">
        <v>45938</v>
      </c>
      <c r="B2139" s="139" t="s">
        <v>104</v>
      </c>
      <c r="C2139" s="30" t="str">
        <f>VLOOKUP(B2139,'112年全品項生產鍋數'!A:H,2,0)</f>
        <v>＃1花生(粒)(1*2.8kg)</v>
      </c>
      <c r="D2139" s="290">
        <v>72</v>
      </c>
      <c r="E2139" s="48">
        <f>VLOOKUP(B2139,'112年全品項生產鍋數'!A:H,3,0)</f>
        <v>2.8</v>
      </c>
      <c r="F2139" s="142">
        <f>VLOOKUP(B2139,'112年全品項生產鍋數'!A:H,7,0)</f>
        <v>44.2</v>
      </c>
      <c r="G2139" s="143">
        <f t="shared" si="310"/>
        <v>3182.4</v>
      </c>
      <c r="H2139" s="156">
        <v>3173</v>
      </c>
      <c r="I2139" s="23">
        <f t="shared" si="311"/>
        <v>8884.4</v>
      </c>
      <c r="J2139" s="100">
        <f t="shared" si="312"/>
        <v>0.99704625439919559</v>
      </c>
      <c r="K2139" s="51">
        <f>VLOOKUP(B:B,'生產達成率(目標)'!A:C,3,0)</f>
        <v>1</v>
      </c>
      <c r="L2139" s="20">
        <f t="shared" si="313"/>
        <v>-3.0000000000000001E-3</v>
      </c>
      <c r="M2139" s="137" t="str">
        <f>工時!R1325</f>
        <v>545</v>
      </c>
      <c r="N2139" s="144"/>
      <c r="O2139" s="144">
        <f t="shared" si="314"/>
        <v>1</v>
      </c>
      <c r="P2139" s="156">
        <v>3172</v>
      </c>
      <c r="Q2139" s="98">
        <f t="shared" si="315"/>
        <v>0.9996848408446265</v>
      </c>
      <c r="R2139" s="23"/>
      <c r="S2139" s="173"/>
      <c r="T2139" s="86"/>
      <c r="U2139" s="1"/>
      <c r="V2139" s="460"/>
      <c r="X2139" s="460"/>
    </row>
    <row r="2140" spans="1:30" x14ac:dyDescent="0.4">
      <c r="A2140" s="212">
        <v>45939</v>
      </c>
      <c r="B2140" s="139" t="s">
        <v>80</v>
      </c>
      <c r="C2140" s="30" t="str">
        <f>VLOOKUP(B2140,'112年全品項生產鍋數'!A:H,2,0)</f>
        <v>＃1桔子(1*3.2kg)</v>
      </c>
      <c r="D2140" s="290">
        <v>36</v>
      </c>
      <c r="E2140" s="48">
        <f>VLOOKUP(B2140,'112年全品項生產鍋數'!A:H,3,0)</f>
        <v>3.2</v>
      </c>
      <c r="F2140" s="142">
        <f>VLOOKUP(B2140,'112年全品項生產鍋數'!A:H,7,0)</f>
        <v>46.4</v>
      </c>
      <c r="G2140" s="143">
        <f t="shared" si="310"/>
        <v>1670.3999999999999</v>
      </c>
      <c r="H2140" s="156">
        <v>1653</v>
      </c>
      <c r="I2140" s="23">
        <f t="shared" si="311"/>
        <v>5289.6</v>
      </c>
      <c r="J2140" s="100">
        <f t="shared" si="312"/>
        <v>0.98958333333333337</v>
      </c>
      <c r="K2140" s="51">
        <f>VLOOKUP(B:B,'生產達成率(目標)'!A:C,3,0)</f>
        <v>1</v>
      </c>
      <c r="L2140" s="20">
        <f t="shared" si="313"/>
        <v>-0.01</v>
      </c>
      <c r="M2140" s="137" t="str">
        <f>工時!R1326</f>
        <v>300</v>
      </c>
      <c r="N2140" s="144"/>
      <c r="O2140" s="144">
        <f t="shared" si="314"/>
        <v>1</v>
      </c>
      <c r="P2140" s="156">
        <v>1652</v>
      </c>
      <c r="Q2140" s="98">
        <f t="shared" si="315"/>
        <v>0.999395039322444</v>
      </c>
      <c r="R2140" s="23"/>
      <c r="S2140" s="173"/>
      <c r="T2140" s="86"/>
      <c r="U2140" s="1"/>
      <c r="V2140" s="460"/>
      <c r="X2140" s="460"/>
    </row>
    <row r="2141" spans="1:30" x14ac:dyDescent="0.4">
      <c r="A2141" s="212">
        <v>45939</v>
      </c>
      <c r="B2141" s="139" t="s">
        <v>86</v>
      </c>
      <c r="C2141" s="30" t="str">
        <f>VLOOKUP(B2141,'112年全品項生產鍋數'!A:H,2,0)</f>
        <v>＃2藍莓(1*900g)</v>
      </c>
      <c r="D2141" s="290">
        <v>20</v>
      </c>
      <c r="E2141" s="48">
        <f>VLOOKUP(B2141,'112年全品項生產鍋數'!A:H,3,0)</f>
        <v>0.9</v>
      </c>
      <c r="F2141" s="142">
        <f>VLOOKUP(B2141,'112年全品項生產鍋數'!A:H,7,0)</f>
        <v>163</v>
      </c>
      <c r="G2141" s="143">
        <f t="shared" si="310"/>
        <v>3260</v>
      </c>
      <c r="H2141" s="156">
        <v>3306</v>
      </c>
      <c r="I2141" s="23">
        <f t="shared" si="311"/>
        <v>2975.4</v>
      </c>
      <c r="J2141" s="100">
        <f t="shared" si="312"/>
        <v>1.0141104294478527</v>
      </c>
      <c r="K2141" s="51">
        <f>VLOOKUP(B:B,'生產達成率(目標)'!A:C,3,0)</f>
        <v>1</v>
      </c>
      <c r="L2141" s="20">
        <f t="shared" si="313"/>
        <v>1.4E-2</v>
      </c>
      <c r="M2141" s="137" t="str">
        <f>工時!R1327</f>
        <v>330</v>
      </c>
      <c r="N2141" s="144"/>
      <c r="O2141" s="144">
        <f t="shared" si="314"/>
        <v>32</v>
      </c>
      <c r="P2141" s="156">
        <v>3274</v>
      </c>
      <c r="Q2141" s="98">
        <f t="shared" si="315"/>
        <v>0.99032062915910468</v>
      </c>
      <c r="R2141" s="23"/>
      <c r="S2141" s="173"/>
      <c r="T2141" s="86"/>
      <c r="U2141" s="1"/>
      <c r="V2141" s="460"/>
      <c r="X2141" s="460"/>
    </row>
    <row r="2142" spans="1:30" x14ac:dyDescent="0.4">
      <c r="A2142" s="212">
        <v>45939</v>
      </c>
      <c r="B2142" s="139" t="s">
        <v>63</v>
      </c>
      <c r="C2142" s="30" t="str">
        <f>VLOOKUP(B2142,'112年全品項生產鍋數'!A:H,2,0)</f>
        <v>草莓蒟蒻餡(1*6kg)</v>
      </c>
      <c r="D2142" s="290">
        <v>24</v>
      </c>
      <c r="E2142" s="48">
        <f>VLOOKUP(B2142,'112年全品項生產鍋數'!A:H,3,0)</f>
        <v>6</v>
      </c>
      <c r="F2142" s="142">
        <f>VLOOKUP(B2142,'112年全品項生產鍋數'!A:H,7,0)</f>
        <v>25.7</v>
      </c>
      <c r="G2142" s="143">
        <f t="shared" si="310"/>
        <v>616.79999999999995</v>
      </c>
      <c r="H2142" s="156">
        <f>302+322</f>
        <v>624</v>
      </c>
      <c r="I2142" s="23">
        <f t="shared" si="311"/>
        <v>3744</v>
      </c>
      <c r="J2142" s="100">
        <f t="shared" si="312"/>
        <v>1.0116731517509729</v>
      </c>
      <c r="K2142" s="51">
        <f>VLOOKUP(B:B,'生產達成率(目標)'!A:C,3,0)</f>
        <v>1</v>
      </c>
      <c r="L2142" s="20">
        <f t="shared" si="313"/>
        <v>1.2E-2</v>
      </c>
      <c r="M2142" s="137" t="str">
        <f>工時!R1328</f>
        <v>307</v>
      </c>
      <c r="N2142" s="144"/>
      <c r="O2142" s="144">
        <f t="shared" si="314"/>
        <v>1</v>
      </c>
      <c r="P2142" s="156">
        <f>301+322</f>
        <v>623</v>
      </c>
      <c r="Q2142" s="98">
        <f t="shared" si="315"/>
        <v>0.9983974358974359</v>
      </c>
      <c r="R2142" s="23"/>
      <c r="S2142" s="173"/>
      <c r="T2142" s="86"/>
      <c r="U2142" s="1"/>
      <c r="V2142" s="460"/>
      <c r="X2142" s="460"/>
    </row>
    <row r="2143" spans="1:30" x14ac:dyDescent="0.4">
      <c r="A2143" s="212">
        <v>45939</v>
      </c>
      <c r="B2143" s="139" t="s">
        <v>75</v>
      </c>
      <c r="C2143" s="30" t="str">
        <f>VLOOKUP(B2143,'112年全品項生產鍋數'!A:H,2,0)</f>
        <v>草莓椰果餡(1*6Kg)</v>
      </c>
      <c r="D2143" s="290">
        <v>20</v>
      </c>
      <c r="E2143" s="48">
        <f>VLOOKUP(B2143,'112年全品項生產鍋數'!A:H,3,0)</f>
        <v>6</v>
      </c>
      <c r="F2143" s="142">
        <f>VLOOKUP(B2143,'112年全品項生產鍋數'!A:H,7,0)</f>
        <v>26.4</v>
      </c>
      <c r="G2143" s="143">
        <f t="shared" si="310"/>
        <v>528</v>
      </c>
      <c r="H2143" s="156">
        <v>526</v>
      </c>
      <c r="I2143" s="23">
        <f t="shared" si="311"/>
        <v>3156</v>
      </c>
      <c r="J2143" s="100">
        <f t="shared" si="312"/>
        <v>0.99621212121212122</v>
      </c>
      <c r="K2143" s="51">
        <f>VLOOKUP(B:B,'生產達成率(目標)'!A:C,3,0)</f>
        <v>1</v>
      </c>
      <c r="L2143" s="20">
        <f t="shared" si="313"/>
        <v>-4.0000000000000001E-3</v>
      </c>
      <c r="M2143" s="137" t="str">
        <f>工時!R1329</f>
        <v>280</v>
      </c>
      <c r="N2143" s="144"/>
      <c r="O2143" s="144">
        <f t="shared" si="314"/>
        <v>2</v>
      </c>
      <c r="P2143" s="156">
        <v>524</v>
      </c>
      <c r="Q2143" s="98">
        <f t="shared" si="315"/>
        <v>0.99619771863117867</v>
      </c>
      <c r="R2143" s="23"/>
      <c r="S2143" s="173"/>
      <c r="T2143" s="86"/>
      <c r="U2143" s="1"/>
      <c r="V2143" s="460"/>
      <c r="X2143" s="460"/>
    </row>
    <row r="2144" spans="1:30" x14ac:dyDescent="0.4">
      <c r="A2144" s="212">
        <v>45939</v>
      </c>
      <c r="B2144" s="139" t="s">
        <v>73</v>
      </c>
      <c r="C2144" s="30" t="str">
        <f>VLOOKUP(B2144,'112年全品項生產鍋數'!A:H,2,0)</f>
        <v>顆粒花生醬(1*12KG)</v>
      </c>
      <c r="D2144" s="290">
        <v>21</v>
      </c>
      <c r="E2144" s="48">
        <f>VLOOKUP(B2144,'112年全品項生產鍋數'!A:H,3,0)</f>
        <v>3</v>
      </c>
      <c r="F2144" s="142">
        <f>VLOOKUP(B2144,'112年全品項生產鍋數'!A:H,7,0)</f>
        <v>29.7</v>
      </c>
      <c r="G2144" s="143">
        <f t="shared" si="310"/>
        <v>623.69999999999993</v>
      </c>
      <c r="H2144" s="156">
        <v>632</v>
      </c>
      <c r="I2144" s="23">
        <f t="shared" si="311"/>
        <v>1896</v>
      </c>
      <c r="J2144" s="100">
        <f t="shared" si="312"/>
        <v>1.0133076799743468</v>
      </c>
      <c r="K2144" s="51">
        <f>VLOOKUP(B:B,'生產達成率(目標)'!A:C,3,0)</f>
        <v>1</v>
      </c>
      <c r="L2144" s="20">
        <f t="shared" si="313"/>
        <v>1.2999999999999999E-2</v>
      </c>
      <c r="M2144" s="137" t="str">
        <f>工時!R1330</f>
        <v>540</v>
      </c>
      <c r="N2144" s="144"/>
      <c r="O2144" s="144">
        <f t="shared" si="314"/>
        <v>0</v>
      </c>
      <c r="P2144" s="156">
        <v>632</v>
      </c>
      <c r="Q2144" s="98">
        <f t="shared" si="315"/>
        <v>1</v>
      </c>
      <c r="R2144" s="23"/>
      <c r="S2144" s="173"/>
      <c r="T2144" s="86"/>
      <c r="U2144" s="1"/>
      <c r="V2144" s="460"/>
      <c r="X2144" s="460"/>
    </row>
    <row r="2145" spans="1:30" ht="15.75" customHeight="1" x14ac:dyDescent="0.4">
      <c r="A2145" s="212">
        <v>45943</v>
      </c>
      <c r="B2145" s="139" t="s">
        <v>51</v>
      </c>
      <c r="C2145" s="30" t="str">
        <f>VLOOKUP(B2145,'112年全品項生產鍋數'!A:H,2,0)</f>
        <v>藍莓醬(1*6kg)</v>
      </c>
      <c r="D2145" s="290">
        <v>20</v>
      </c>
      <c r="E2145" s="48">
        <f>VLOOKUP(B2145,'112年全品項生產鍋數'!A:H,3,0)</f>
        <v>6</v>
      </c>
      <c r="F2145" s="142">
        <f>VLOOKUP(B2145,'112年全品項生產鍋數'!A:H,7,0)</f>
        <v>25.5</v>
      </c>
      <c r="G2145" s="143">
        <f t="shared" si="310"/>
        <v>510</v>
      </c>
      <c r="H2145" s="156">
        <v>514</v>
      </c>
      <c r="I2145" s="23">
        <f t="shared" si="311"/>
        <v>3084</v>
      </c>
      <c r="J2145" s="100">
        <f t="shared" si="312"/>
        <v>1.0078431372549019</v>
      </c>
      <c r="K2145" s="51">
        <f>VLOOKUP(B:B,'生產達成率(目標)'!A:C,3,0)</f>
        <v>1</v>
      </c>
      <c r="L2145" s="20">
        <f t="shared" si="313"/>
        <v>8.0000000000000002E-3</v>
      </c>
      <c r="M2145" s="137" t="str">
        <f>工時!R1331</f>
        <v>280</v>
      </c>
      <c r="N2145" s="144"/>
      <c r="O2145" s="144">
        <f t="shared" si="314"/>
        <v>1</v>
      </c>
      <c r="P2145" s="156">
        <v>513</v>
      </c>
      <c r="Q2145" s="98">
        <f t="shared" si="315"/>
        <v>0.99805447470817121</v>
      </c>
      <c r="R2145" s="23"/>
      <c r="S2145" s="173"/>
      <c r="T2145" s="86"/>
      <c r="U2145" s="1"/>
      <c r="V2145" s="460"/>
      <c r="X2145" s="460"/>
    </row>
    <row r="2146" spans="1:30" x14ac:dyDescent="0.4">
      <c r="A2146" s="212">
        <v>45943</v>
      </c>
      <c r="B2146" s="139" t="s">
        <v>1045</v>
      </c>
      <c r="C2146" s="30" t="str">
        <f>VLOOKUP(B2146,'112年全品項生產鍋數'!A:H,2,0)</f>
        <v>芒果蜜桃醬(含桃丁)</v>
      </c>
      <c r="D2146" s="290">
        <v>18</v>
      </c>
      <c r="E2146" s="48">
        <f>VLOOKUP(B2146,'112年全品項生產鍋數'!A:H,3,0)</f>
        <v>6</v>
      </c>
      <c r="F2146" s="142">
        <f>VLOOKUP(B2146,'112年全品項生產鍋數'!A:H,7,0)</f>
        <v>0</v>
      </c>
      <c r="G2146" s="143">
        <f t="shared" si="310"/>
        <v>0</v>
      </c>
      <c r="H2146" s="156">
        <v>447</v>
      </c>
      <c r="I2146" s="23">
        <f t="shared" si="311"/>
        <v>2682</v>
      </c>
      <c r="J2146" s="100" t="str">
        <f t="shared" si="312"/>
        <v>無法預估數據</v>
      </c>
      <c r="K2146" s="51">
        <f>VLOOKUP(B:B,'生產達成率(目標)'!A:C,3,0)</f>
        <v>1</v>
      </c>
      <c r="L2146" s="20" t="str">
        <f t="shared" si="313"/>
        <v>無法預估數據</v>
      </c>
      <c r="M2146" s="137" t="str">
        <f>工時!R1332</f>
        <v>300</v>
      </c>
      <c r="N2146" s="144"/>
      <c r="O2146" s="144">
        <f t="shared" si="314"/>
        <v>5</v>
      </c>
      <c r="P2146" s="156">
        <v>442</v>
      </c>
      <c r="Q2146" s="98">
        <f t="shared" si="315"/>
        <v>0.98881431767337813</v>
      </c>
      <c r="R2146" s="23"/>
      <c r="S2146" s="173"/>
      <c r="T2146" s="86"/>
      <c r="U2146" s="1"/>
      <c r="V2146" s="460"/>
      <c r="X2146" s="460"/>
    </row>
    <row r="2147" spans="1:30" x14ac:dyDescent="0.4">
      <c r="A2147" s="212">
        <v>45943</v>
      </c>
      <c r="B2147" s="139" t="s">
        <v>117</v>
      </c>
      <c r="C2147" s="30" t="str">
        <f>VLOOKUP(B2147,'112年全品項生產鍋數'!A:H,2,0)</f>
        <v>草莓餡(1*4.5Kg)</v>
      </c>
      <c r="D2147" s="290">
        <v>8</v>
      </c>
      <c r="E2147" s="48">
        <f>VLOOKUP(B2147,'112年全品項生產鍋數'!A:H,3,0)</f>
        <v>4.5</v>
      </c>
      <c r="F2147" s="142">
        <f>VLOOKUP(B2147,'112年全品項生產鍋數'!A:H,7,0)</f>
        <v>35.6</v>
      </c>
      <c r="G2147" s="143">
        <f t="shared" si="310"/>
        <v>284.8</v>
      </c>
      <c r="H2147" s="156">
        <v>283</v>
      </c>
      <c r="I2147" s="23">
        <f t="shared" si="311"/>
        <v>1273.5</v>
      </c>
      <c r="J2147" s="100">
        <f t="shared" si="312"/>
        <v>0.99367977528089879</v>
      </c>
      <c r="K2147" s="51">
        <f>VLOOKUP(B:B,'生產達成率(目標)'!A:C,3,0)</f>
        <v>1</v>
      </c>
      <c r="L2147" s="20">
        <f t="shared" si="313"/>
        <v>-6.0000000000000001E-3</v>
      </c>
      <c r="M2147" s="137" t="str">
        <f>工時!R1333</f>
        <v>170</v>
      </c>
      <c r="N2147" s="144"/>
      <c r="O2147" s="144">
        <f t="shared" si="314"/>
        <v>0</v>
      </c>
      <c r="P2147" s="156">
        <v>283</v>
      </c>
      <c r="Q2147" s="98">
        <f t="shared" si="315"/>
        <v>1</v>
      </c>
      <c r="R2147" s="23"/>
      <c r="S2147" s="173"/>
      <c r="T2147" s="86"/>
      <c r="U2147" s="1"/>
      <c r="V2147" s="460"/>
      <c r="X2147" s="460"/>
    </row>
    <row r="2148" spans="1:30" ht="15.75" customHeight="1" x14ac:dyDescent="0.4">
      <c r="A2148" s="212">
        <v>45943</v>
      </c>
      <c r="B2148" s="139" t="s">
        <v>116</v>
      </c>
      <c r="C2148" s="30" t="str">
        <f>VLOOKUP(B2148,'112年全品項生產鍋數'!A:H,2,0)</f>
        <v>藍莓餡（大）(1*9.08kg)</v>
      </c>
      <c r="D2148" s="290">
        <v>12</v>
      </c>
      <c r="E2148" s="48">
        <f>VLOOKUP(B2148,'112年全品項生產鍋數'!A:H,3,0)</f>
        <v>9.08</v>
      </c>
      <c r="F2148" s="142">
        <f>VLOOKUP(B2148,'112年全品項生產鍋數'!A:H,7,0)</f>
        <v>17.8</v>
      </c>
      <c r="G2148" s="143">
        <f t="shared" si="310"/>
        <v>213.60000000000002</v>
      </c>
      <c r="H2148" s="156">
        <v>214</v>
      </c>
      <c r="I2148" s="23">
        <f t="shared" si="311"/>
        <v>1943.1200000000001</v>
      </c>
      <c r="J2148" s="100">
        <f t="shared" si="312"/>
        <v>1.0018726591760299</v>
      </c>
      <c r="K2148" s="51">
        <f>VLOOKUP(B:B,'生產達成率(目標)'!A:C,3,0)</f>
        <v>1</v>
      </c>
      <c r="L2148" s="20">
        <f t="shared" si="313"/>
        <v>2E-3</v>
      </c>
      <c r="M2148" s="137" t="str">
        <f>工時!R1334</f>
        <v>220</v>
      </c>
      <c r="N2148" s="144"/>
      <c r="O2148" s="144">
        <f t="shared" si="314"/>
        <v>0</v>
      </c>
      <c r="P2148" s="156">
        <v>214</v>
      </c>
      <c r="Q2148" s="98">
        <f t="shared" si="315"/>
        <v>1</v>
      </c>
      <c r="R2148" s="23"/>
      <c r="S2148" s="173"/>
      <c r="T2148" s="86"/>
      <c r="U2148" s="1"/>
      <c r="V2148" s="460"/>
      <c r="X2148" s="460"/>
    </row>
    <row r="2149" spans="1:30" x14ac:dyDescent="0.4">
      <c r="A2149" s="212">
        <v>45943</v>
      </c>
      <c r="B2149" s="139" t="s">
        <v>55</v>
      </c>
      <c r="C2149" s="30" t="str">
        <f>VLOOKUP(B2149,'112年全品項生產鍋數'!A:H,2,0)</f>
        <v>天天開心草莓餡4.5KG</v>
      </c>
      <c r="D2149" s="290">
        <v>20</v>
      </c>
      <c r="E2149" s="48">
        <f>VLOOKUP(B2149,'112年全品項生產鍋數'!A:H,3,0)</f>
        <v>4.5</v>
      </c>
      <c r="F2149" s="142">
        <f>VLOOKUP(B2149,'112年全品項生產鍋數'!A:H,7,0)</f>
        <v>36.299999999999997</v>
      </c>
      <c r="G2149" s="143">
        <f t="shared" si="310"/>
        <v>726</v>
      </c>
      <c r="H2149" s="156">
        <v>727</v>
      </c>
      <c r="I2149" s="23">
        <f t="shared" si="311"/>
        <v>3271.5</v>
      </c>
      <c r="J2149" s="100">
        <f t="shared" si="312"/>
        <v>1.0013774104683195</v>
      </c>
      <c r="K2149" s="51">
        <f>VLOOKUP(B:B,'生產達成率(目標)'!A:C,3,0)</f>
        <v>1</v>
      </c>
      <c r="L2149" s="20">
        <f t="shared" si="313"/>
        <v>1E-3</v>
      </c>
      <c r="M2149" s="137" t="str">
        <f>工時!R1335</f>
        <v>331</v>
      </c>
      <c r="N2149" s="144"/>
      <c r="O2149" s="144">
        <f t="shared" si="314"/>
        <v>0</v>
      </c>
      <c r="P2149" s="156">
        <v>727</v>
      </c>
      <c r="Q2149" s="98">
        <f t="shared" si="315"/>
        <v>1</v>
      </c>
      <c r="R2149" s="23"/>
      <c r="S2149" s="173"/>
      <c r="T2149" s="86" t="s">
        <v>1144</v>
      </c>
      <c r="U2149" s="1"/>
      <c r="V2149" s="460"/>
      <c r="X2149" s="460"/>
    </row>
    <row r="2150" spans="1:30" s="146" customFormat="1" x14ac:dyDescent="0.4">
      <c r="A2150" s="212">
        <v>45943</v>
      </c>
      <c r="B2150" s="139" t="s">
        <v>123</v>
      </c>
      <c r="C2150" s="140" t="str">
        <f>VLOOKUP(B2150,'112年全品項生產鍋數'!A:H,2,0)</f>
        <v>深烤焙花生醬(1*18KG)</v>
      </c>
      <c r="D2150" s="290">
        <v>56</v>
      </c>
      <c r="E2150" s="141">
        <f>VLOOKUP(B2150,'112年全品項生產鍋數'!A:H,3,0)</f>
        <v>18</v>
      </c>
      <c r="F2150" s="142">
        <f>VLOOKUP(B2150,'112年全品項生產鍋數'!A:H,7,0)</f>
        <v>6.9</v>
      </c>
      <c r="G2150" s="143">
        <f t="shared" si="310"/>
        <v>386.40000000000003</v>
      </c>
      <c r="H2150" s="156">
        <v>388</v>
      </c>
      <c r="I2150" s="144">
        <f t="shared" si="311"/>
        <v>6984</v>
      </c>
      <c r="J2150" s="100">
        <f t="shared" si="312"/>
        <v>1.0041407867494823</v>
      </c>
      <c r="K2150" s="51">
        <f>VLOOKUP(B:B,'生產達成率(目標)'!A:C,3,0)</f>
        <v>1</v>
      </c>
      <c r="L2150" s="20">
        <f t="shared" si="313"/>
        <v>4.0000000000000001E-3</v>
      </c>
      <c r="M2150" s="137" t="str">
        <f>工時!R1336</f>
        <v>470</v>
      </c>
      <c r="N2150" s="144"/>
      <c r="O2150" s="144">
        <f t="shared" si="314"/>
        <v>0</v>
      </c>
      <c r="P2150" s="156">
        <v>388</v>
      </c>
      <c r="Q2150" s="145">
        <f t="shared" si="315"/>
        <v>1</v>
      </c>
      <c r="R2150" s="144"/>
      <c r="S2150" s="153"/>
      <c r="T2150" s="282"/>
      <c r="U2150" s="158"/>
      <c r="V2150" s="461"/>
      <c r="W2150" s="421"/>
      <c r="X2150" s="461"/>
      <c r="Y2150" s="421"/>
      <c r="Z2150" s="421"/>
      <c r="AA2150" s="421"/>
      <c r="AB2150" s="421"/>
      <c r="AC2150" s="421"/>
      <c r="AD2150" s="421"/>
    </row>
    <row r="2151" spans="1:30" s="146" customFormat="1" x14ac:dyDescent="0.4">
      <c r="A2151" s="212">
        <v>45943</v>
      </c>
      <c r="B2151" s="139" t="s">
        <v>431</v>
      </c>
      <c r="C2151" s="140" t="str">
        <f>VLOOKUP(B2151,'112年全品項生產鍋數'!A:H,2,0)</f>
        <v>文旦丁</v>
      </c>
      <c r="D2151" s="290">
        <v>1</v>
      </c>
      <c r="E2151" s="141">
        <f>VLOOKUP(B2151,'112年全品項生產鍋數'!A:H,3,0)</f>
        <v>1</v>
      </c>
      <c r="F2151" s="142">
        <f>VLOOKUP(B2151,'112年全品項生產鍋數'!A:H,7,0)</f>
        <v>243</v>
      </c>
      <c r="G2151" s="143">
        <f t="shared" si="310"/>
        <v>243</v>
      </c>
      <c r="H2151" s="156">
        <v>240</v>
      </c>
      <c r="I2151" s="144">
        <f t="shared" si="311"/>
        <v>240</v>
      </c>
      <c r="J2151" s="100">
        <f t="shared" si="312"/>
        <v>0.98765432098765427</v>
      </c>
      <c r="K2151" s="51">
        <f>VLOOKUP(B:B,'生產達成率(目標)'!A:C,3,0)</f>
        <v>1</v>
      </c>
      <c r="L2151" s="20">
        <f t="shared" si="313"/>
        <v>-1.2E-2</v>
      </c>
      <c r="M2151" s="137" t="str">
        <f>工時!R1337</f>
        <v>0</v>
      </c>
      <c r="N2151" s="144"/>
      <c r="O2151" s="144">
        <f t="shared" si="314"/>
        <v>0</v>
      </c>
      <c r="P2151" s="156">
        <v>240</v>
      </c>
      <c r="Q2151" s="145">
        <f t="shared" si="315"/>
        <v>1</v>
      </c>
      <c r="R2151" s="144"/>
      <c r="S2151" s="153"/>
      <c r="T2151" s="282"/>
      <c r="U2151" s="158"/>
      <c r="V2151" s="461"/>
      <c r="W2151" s="421"/>
      <c r="X2151" s="461"/>
      <c r="Y2151" s="421"/>
      <c r="Z2151" s="421"/>
      <c r="AA2151" s="421"/>
      <c r="AB2151" s="421"/>
      <c r="AC2151" s="421"/>
      <c r="AD2151" s="421"/>
    </row>
    <row r="2152" spans="1:30" s="146" customFormat="1" x14ac:dyDescent="0.4">
      <c r="A2152" s="212">
        <v>45943</v>
      </c>
      <c r="B2152" s="139" t="s">
        <v>594</v>
      </c>
      <c r="C2152" s="140" t="str">
        <f>VLOOKUP(B2152,'112年全品項生產鍋數'!A:H,2,0)</f>
        <v>柚皮鮮果乾(100g)</v>
      </c>
      <c r="D2152" s="290">
        <v>1</v>
      </c>
      <c r="E2152" s="141">
        <f>VLOOKUP(B2152,'112年全品項生產鍋數'!A:H,3,0)</f>
        <v>0.1</v>
      </c>
      <c r="F2152" s="142">
        <f>VLOOKUP(B2152,'112年全品項生產鍋數'!A:H,7,0)</f>
        <v>1732</v>
      </c>
      <c r="G2152" s="143">
        <f t="shared" si="310"/>
        <v>1732</v>
      </c>
      <c r="H2152" s="156">
        <v>1800</v>
      </c>
      <c r="I2152" s="144">
        <f t="shared" si="311"/>
        <v>180</v>
      </c>
      <c r="J2152" s="100">
        <f t="shared" si="312"/>
        <v>1.0392609699769053</v>
      </c>
      <c r="K2152" s="51">
        <f>VLOOKUP(B:B,'生產達成率(目標)'!A:C,3,0)</f>
        <v>1</v>
      </c>
      <c r="L2152" s="20">
        <f t="shared" si="313"/>
        <v>3.9E-2</v>
      </c>
      <c r="M2152" s="137" t="str">
        <f>工時!R1338</f>
        <v>0</v>
      </c>
      <c r="N2152" s="144"/>
      <c r="O2152" s="144">
        <f t="shared" si="314"/>
        <v>85</v>
      </c>
      <c r="P2152" s="156">
        <f>840+875</f>
        <v>1715</v>
      </c>
      <c r="Q2152" s="145">
        <f t="shared" si="315"/>
        <v>0.95277777777777772</v>
      </c>
      <c r="R2152" s="144"/>
      <c r="S2152" s="153"/>
      <c r="T2152" s="282"/>
      <c r="U2152" s="158"/>
      <c r="V2152" s="461"/>
      <c r="W2152" s="421"/>
      <c r="X2152" s="461"/>
      <c r="Y2152" s="421"/>
      <c r="Z2152" s="421"/>
      <c r="AA2152" s="421"/>
      <c r="AB2152" s="421"/>
      <c r="AC2152" s="421"/>
      <c r="AD2152" s="421"/>
    </row>
    <row r="2153" spans="1:30" x14ac:dyDescent="0.4">
      <c r="A2153" s="212">
        <v>45944</v>
      </c>
      <c r="B2153" s="139" t="s">
        <v>64</v>
      </c>
      <c r="C2153" s="30" t="str">
        <f>VLOOKUP(B2153,'112年全品項生產鍋數'!A:H,2,0)</f>
        <v>藍莓餡(1*6KG)</v>
      </c>
      <c r="D2153" s="290">
        <v>20</v>
      </c>
      <c r="E2153" s="48">
        <f>VLOOKUP(B2153,'112年全品項生產鍋數'!A:H,3,0)</f>
        <v>6</v>
      </c>
      <c r="F2153" s="142">
        <f>VLOOKUP(B2153,'112年全品項生產鍋數'!A:H,7,0)</f>
        <v>25.4</v>
      </c>
      <c r="G2153" s="143">
        <f t="shared" si="310"/>
        <v>508</v>
      </c>
      <c r="H2153" s="156">
        <f>302+206</f>
        <v>508</v>
      </c>
      <c r="I2153" s="23">
        <f t="shared" si="311"/>
        <v>3048</v>
      </c>
      <c r="J2153" s="100">
        <f t="shared" si="312"/>
        <v>1</v>
      </c>
      <c r="K2153" s="51">
        <f>VLOOKUP(B:B,'生產達成率(目標)'!A:C,3,0)</f>
        <v>1</v>
      </c>
      <c r="L2153" s="20">
        <f t="shared" si="313"/>
        <v>0</v>
      </c>
      <c r="M2153" s="137" t="str">
        <f>工時!R1339</f>
        <v>300</v>
      </c>
      <c r="N2153" s="144"/>
      <c r="O2153" s="144">
        <f t="shared" si="314"/>
        <v>1</v>
      </c>
      <c r="P2153" s="156">
        <f>301+206</f>
        <v>507</v>
      </c>
      <c r="Q2153" s="98">
        <f t="shared" si="315"/>
        <v>0.99803149606299213</v>
      </c>
      <c r="R2153" s="23"/>
      <c r="S2153" s="173"/>
      <c r="T2153" s="86"/>
      <c r="U2153" s="1"/>
      <c r="V2153" s="460"/>
      <c r="X2153" s="460"/>
    </row>
    <row r="2154" spans="1:30" ht="20.149999999999999" customHeight="1" x14ac:dyDescent="0.4">
      <c r="A2154" s="212">
        <v>45944</v>
      </c>
      <c r="B2154" s="139" t="s">
        <v>81</v>
      </c>
      <c r="C2154" s="30" t="str">
        <f>VLOOKUP(B2154,'112年全品項生產鍋數'!A:H,2,0)</f>
        <v>藍莓餡(1*6Kg)</v>
      </c>
      <c r="D2154" s="290">
        <v>16</v>
      </c>
      <c r="E2154" s="48">
        <f>VLOOKUP(B2154,'112年全品項生產鍋數'!A:H,3,0)</f>
        <v>6</v>
      </c>
      <c r="F2154" s="142">
        <f>VLOOKUP(B2154,'112年全品項生產鍋數'!A:H,7,0)</f>
        <v>25.1</v>
      </c>
      <c r="G2154" s="143">
        <f t="shared" si="310"/>
        <v>401.6</v>
      </c>
      <c r="H2154" s="156">
        <v>409</v>
      </c>
      <c r="I2154" s="23">
        <f t="shared" si="311"/>
        <v>2454</v>
      </c>
      <c r="J2154" s="100">
        <f t="shared" si="312"/>
        <v>1.018426294820717</v>
      </c>
      <c r="K2154" s="51">
        <f>VLOOKUP(B:B,'生產達成率(目標)'!A:C,3,0)</f>
        <v>1</v>
      </c>
      <c r="L2154" s="20">
        <f t="shared" si="313"/>
        <v>1.7999999999999999E-2</v>
      </c>
      <c r="M2154" s="137" t="str">
        <f>工時!R1340</f>
        <v>160</v>
      </c>
      <c r="N2154" s="144"/>
      <c r="O2154" s="144">
        <f t="shared" si="314"/>
        <v>2</v>
      </c>
      <c r="P2154" s="156">
        <v>407</v>
      </c>
      <c r="Q2154" s="98">
        <f t="shared" si="315"/>
        <v>0.99511002444987773</v>
      </c>
      <c r="R2154" s="23"/>
      <c r="S2154" s="173"/>
      <c r="T2154" s="86"/>
      <c r="U2154" s="1"/>
      <c r="V2154" s="460"/>
      <c r="X2154" s="460"/>
    </row>
    <row r="2155" spans="1:30" x14ac:dyDescent="0.4">
      <c r="A2155" s="212">
        <v>45944</v>
      </c>
      <c r="B2155" s="139" t="s">
        <v>77</v>
      </c>
      <c r="C2155" s="30" t="str">
        <f>VLOOKUP(B2155,'112年全品項生產鍋數'!A:H,2,0)</f>
        <v>草莓餡50°(1*6Kg)</v>
      </c>
      <c r="D2155" s="290">
        <v>8</v>
      </c>
      <c r="E2155" s="48">
        <f>VLOOKUP(B2155,'112年全品項生產鍋數'!A:H,3,0)</f>
        <v>6</v>
      </c>
      <c r="F2155" s="142">
        <f>VLOOKUP(B2155,'112年全品項生產鍋數'!A:H,7,0)</f>
        <v>25</v>
      </c>
      <c r="G2155" s="143">
        <f t="shared" si="310"/>
        <v>200</v>
      </c>
      <c r="H2155" s="156">
        <v>201</v>
      </c>
      <c r="I2155" s="23">
        <f t="shared" si="311"/>
        <v>1206</v>
      </c>
      <c r="J2155" s="100">
        <f t="shared" si="312"/>
        <v>1.0049999999999999</v>
      </c>
      <c r="K2155" s="51">
        <f>VLOOKUP(B:B,'生產達成率(目標)'!A:C,3,0)</f>
        <v>1</v>
      </c>
      <c r="L2155" s="20">
        <f t="shared" si="313"/>
        <v>5.0000000000000001E-3</v>
      </c>
      <c r="M2155" s="137" t="str">
        <f>工時!R1341</f>
        <v>150</v>
      </c>
      <c r="N2155" s="144"/>
      <c r="O2155" s="144">
        <f t="shared" si="314"/>
        <v>2</v>
      </c>
      <c r="P2155" s="156">
        <v>199</v>
      </c>
      <c r="Q2155" s="98">
        <f t="shared" si="315"/>
        <v>0.99004975124378114</v>
      </c>
      <c r="R2155" s="23"/>
      <c r="S2155" s="173"/>
      <c r="T2155" s="86"/>
      <c r="U2155" s="1"/>
      <c r="V2155" s="460"/>
      <c r="X2155" s="460"/>
    </row>
    <row r="2156" spans="1:30" s="146" customFormat="1" x14ac:dyDescent="0.4">
      <c r="A2156" s="212">
        <v>45944</v>
      </c>
      <c r="B2156" s="139" t="s">
        <v>110</v>
      </c>
      <c r="C2156" s="140" t="str">
        <f>VLOOKUP(B2156,'112年全品項生產鍋數'!A:H,2,0)</f>
        <v>顆粒花生醬(1*12KG)</v>
      </c>
      <c r="D2156" s="290">
        <v>21</v>
      </c>
      <c r="E2156" s="141">
        <f>VLOOKUP(B2156,'112年全品項生產鍋數'!A:H,3,0)</f>
        <v>3</v>
      </c>
      <c r="F2156" s="142">
        <f>VLOOKUP(B2156,'112年全品項生產鍋數'!A:H,7,0)</f>
        <v>30.8</v>
      </c>
      <c r="G2156" s="143">
        <f t="shared" si="310"/>
        <v>646.80000000000007</v>
      </c>
      <c r="H2156" s="156">
        <v>648</v>
      </c>
      <c r="I2156" s="144">
        <f t="shared" si="311"/>
        <v>1944</v>
      </c>
      <c r="J2156" s="100">
        <f t="shared" si="312"/>
        <v>1.0018552875695732</v>
      </c>
      <c r="K2156" s="51">
        <f>VLOOKUP(B:B,'生產達成率(目標)'!A:C,3,0)</f>
        <v>1</v>
      </c>
      <c r="L2156" s="20">
        <f t="shared" si="313"/>
        <v>2E-3</v>
      </c>
      <c r="M2156" s="137" t="str">
        <f>工時!R1342</f>
        <v>540</v>
      </c>
      <c r="N2156" s="144"/>
      <c r="O2156" s="144">
        <f t="shared" si="314"/>
        <v>0</v>
      </c>
      <c r="P2156" s="156">
        <v>648</v>
      </c>
      <c r="Q2156" s="145">
        <f t="shared" si="315"/>
        <v>1</v>
      </c>
      <c r="R2156" s="144"/>
      <c r="S2156" s="153"/>
      <c r="T2156" s="282"/>
      <c r="U2156" s="158"/>
      <c r="V2156" s="461"/>
      <c r="W2156" s="421"/>
      <c r="X2156" s="461"/>
      <c r="Y2156" s="421"/>
      <c r="Z2156" s="421"/>
      <c r="AA2156" s="421"/>
      <c r="AB2156" s="421"/>
      <c r="AC2156" s="421"/>
      <c r="AD2156" s="421"/>
    </row>
    <row r="2157" spans="1:30" x14ac:dyDescent="0.4">
      <c r="A2157" s="212">
        <v>45944</v>
      </c>
      <c r="B2157" s="139" t="s">
        <v>65</v>
      </c>
      <c r="C2157" s="30" t="str">
        <f>VLOOKUP(B2157,'112年全品項生產鍋數'!A:H,2,0)</f>
        <v>＃1花生(1*2.8kg)</v>
      </c>
      <c r="D2157" s="290">
        <v>72</v>
      </c>
      <c r="E2157" s="48">
        <f>VLOOKUP(B2157,'112年全品項生產鍋數'!A:H,3,0)</f>
        <v>2.8</v>
      </c>
      <c r="F2157" s="142">
        <f>VLOOKUP(B2157,'112年全品項生產鍋數'!A:H,7,0)</f>
        <v>44.5</v>
      </c>
      <c r="G2157" s="143">
        <f t="shared" si="310"/>
        <v>3204</v>
      </c>
      <c r="H2157" s="156">
        <f>2909+300</f>
        <v>3209</v>
      </c>
      <c r="I2157" s="23">
        <f t="shared" si="311"/>
        <v>8985.1999999999989</v>
      </c>
      <c r="J2157" s="100">
        <f t="shared" si="312"/>
        <v>1.0015605493133584</v>
      </c>
      <c r="K2157" s="51">
        <f>VLOOKUP(B:B,'生產達成率(目標)'!A:C,3,0)</f>
        <v>1</v>
      </c>
      <c r="L2157" s="20">
        <f t="shared" si="313"/>
        <v>2E-3</v>
      </c>
      <c r="M2157" s="137" t="str">
        <f>工時!R1343</f>
        <v>530</v>
      </c>
      <c r="N2157" s="144"/>
      <c r="O2157" s="144">
        <f t="shared" si="314"/>
        <v>11</v>
      </c>
      <c r="P2157" s="156">
        <f>2898+300</f>
        <v>3198</v>
      </c>
      <c r="Q2157" s="98">
        <f t="shared" si="315"/>
        <v>0.9965721408538486</v>
      </c>
      <c r="R2157" s="23"/>
      <c r="S2157" s="173"/>
      <c r="T2157" s="86" t="s">
        <v>1143</v>
      </c>
      <c r="U2157" s="1"/>
      <c r="V2157" s="460"/>
      <c r="X2157" s="460"/>
    </row>
    <row r="2158" spans="1:30" s="146" customFormat="1" x14ac:dyDescent="0.4">
      <c r="A2158" s="212">
        <v>45944</v>
      </c>
      <c r="B2158" s="139" t="s">
        <v>434</v>
      </c>
      <c r="C2158" s="140" t="str">
        <f>VLOOKUP(B2158,'112年全品項生產鍋數'!A:H,2,0)</f>
        <v>蜜桔皮</v>
      </c>
      <c r="D2158" s="290">
        <v>50</v>
      </c>
      <c r="E2158" s="141">
        <f>VLOOKUP(B2158,'112年全品項生產鍋數'!A:H,3,0)</f>
        <v>1</v>
      </c>
      <c r="F2158" s="142">
        <f>VLOOKUP(B2158,'112年全品項生產鍋數'!A:H,7,0)</f>
        <v>6</v>
      </c>
      <c r="G2158" s="143">
        <f>D2158*F2158</f>
        <v>300</v>
      </c>
      <c r="H2158" s="156">
        <v>301</v>
      </c>
      <c r="I2158" s="144">
        <f>H2158*E2158</f>
        <v>301</v>
      </c>
      <c r="J2158" s="100">
        <f>IF(G2158=0,"無法預估數據",H2158/G2158)</f>
        <v>1.0033333333333334</v>
      </c>
      <c r="K2158" s="51">
        <f>VLOOKUP(B:B,'生產達成率(目標)'!A:C,3,0)</f>
        <v>1</v>
      </c>
      <c r="L2158" s="20">
        <f>IF(G2158=0,"無法預估數據",ROUND(J2158-K2158,3))</f>
        <v>3.0000000000000001E-3</v>
      </c>
      <c r="M2158" s="137" t="str">
        <f>工時!R1344</f>
        <v>0</v>
      </c>
      <c r="N2158" s="144"/>
      <c r="O2158" s="144">
        <f>H2158-N2158-P2158</f>
        <v>0</v>
      </c>
      <c r="P2158" s="156">
        <v>301</v>
      </c>
      <c r="Q2158" s="145">
        <f>P2158/H2158</f>
        <v>1</v>
      </c>
      <c r="R2158" s="144"/>
      <c r="S2158" s="153"/>
      <c r="T2158" s="282"/>
      <c r="U2158" s="158"/>
      <c r="V2158" s="461"/>
      <c r="W2158" s="421"/>
      <c r="X2158" s="461"/>
      <c r="Y2158" s="421"/>
      <c r="Z2158" s="421"/>
      <c r="AA2158" s="421"/>
      <c r="AB2158" s="421"/>
      <c r="AC2158" s="421"/>
      <c r="AD2158" s="421"/>
    </row>
    <row r="2159" spans="1:30" x14ac:dyDescent="0.4">
      <c r="A2159" s="212">
        <v>45945</v>
      </c>
      <c r="B2159" s="139" t="s">
        <v>71</v>
      </c>
      <c r="C2159" s="30" t="str">
        <f>VLOOKUP(B2159,'112年全品項生產鍋數'!A:H,2,0)</f>
        <v>＃1草莓(1*3.2kg)</v>
      </c>
      <c r="D2159" s="290">
        <v>72</v>
      </c>
      <c r="E2159" s="48">
        <f>VLOOKUP(B2159,'112年全品項生產鍋數'!A:H,3,0)</f>
        <v>3.2</v>
      </c>
      <c r="F2159" s="142">
        <f>VLOOKUP(B2159,'112年全品項生產鍋數'!A:H,7,0)</f>
        <v>46.8</v>
      </c>
      <c r="G2159" s="143">
        <f t="shared" si="310"/>
        <v>3369.6</v>
      </c>
      <c r="H2159" s="156">
        <v>3394</v>
      </c>
      <c r="I2159" s="23">
        <f t="shared" si="311"/>
        <v>10860.800000000001</v>
      </c>
      <c r="J2159" s="100">
        <f t="shared" si="312"/>
        <v>1.0072412155745489</v>
      </c>
      <c r="K2159" s="51">
        <f>VLOOKUP(B:B,'生產達成率(目標)'!A:C,3,0)</f>
        <v>1</v>
      </c>
      <c r="L2159" s="20">
        <f t="shared" si="313"/>
        <v>7.0000000000000001E-3</v>
      </c>
      <c r="M2159" s="137" t="str">
        <f>工時!R1345</f>
        <v>540</v>
      </c>
      <c r="N2159" s="144"/>
      <c r="O2159" s="144">
        <f t="shared" si="314"/>
        <v>2</v>
      </c>
      <c r="P2159" s="156">
        <v>3392</v>
      </c>
      <c r="Q2159" s="98">
        <f t="shared" si="315"/>
        <v>0.99941072480848558</v>
      </c>
      <c r="R2159" s="23"/>
      <c r="S2159" s="173"/>
      <c r="T2159" s="86"/>
      <c r="U2159" s="1"/>
      <c r="V2159" s="460"/>
      <c r="X2159" s="460"/>
    </row>
    <row r="2160" spans="1:30" x14ac:dyDescent="0.4">
      <c r="A2160" s="212">
        <v>45945</v>
      </c>
      <c r="B2160" s="139" t="s">
        <v>54</v>
      </c>
      <c r="C2160" s="30" t="str">
        <f>VLOOKUP(B2160,'112年全品項生產鍋數'!A:H,2,0)</f>
        <v>草莓醬(1*6kg)</v>
      </c>
      <c r="D2160" s="290">
        <v>24</v>
      </c>
      <c r="E2160" s="48">
        <f>VLOOKUP(B2160,'112年全品項生產鍋數'!A:H,3,0)</f>
        <v>6</v>
      </c>
      <c r="F2160" s="142">
        <f>VLOOKUP(B2160,'112年全品項生產鍋數'!A:H,7,0)</f>
        <v>26.6</v>
      </c>
      <c r="G2160" s="143">
        <f t="shared" si="310"/>
        <v>638.40000000000009</v>
      </c>
      <c r="H2160" s="156">
        <v>638</v>
      </c>
      <c r="I2160" s="23">
        <f t="shared" si="311"/>
        <v>3828</v>
      </c>
      <c r="J2160" s="100">
        <f t="shared" si="312"/>
        <v>0.9993734335839598</v>
      </c>
      <c r="K2160" s="51">
        <f>VLOOKUP(B:B,'生產達成率(目標)'!A:C,3,0)</f>
        <v>1</v>
      </c>
      <c r="L2160" s="20">
        <f t="shared" si="313"/>
        <v>-1E-3</v>
      </c>
      <c r="M2160" s="137" t="str">
        <f>工時!R1346</f>
        <v>335</v>
      </c>
      <c r="N2160" s="144"/>
      <c r="O2160" s="144">
        <f t="shared" si="314"/>
        <v>1</v>
      </c>
      <c r="P2160" s="156">
        <v>637</v>
      </c>
      <c r="Q2160" s="98">
        <f t="shared" si="315"/>
        <v>0.99843260188087779</v>
      </c>
      <c r="R2160" s="23"/>
      <c r="S2160" s="173"/>
      <c r="T2160" s="86"/>
      <c r="U2160" s="1"/>
      <c r="V2160" s="460"/>
      <c r="X2160" s="460"/>
    </row>
    <row r="2161" spans="1:30" s="281" customFormat="1" x14ac:dyDescent="0.4">
      <c r="A2161" s="265">
        <v>45945</v>
      </c>
      <c r="B2161" s="266" t="s">
        <v>63</v>
      </c>
      <c r="C2161" s="267" t="str">
        <f>VLOOKUP(B2161,'112年全品項生產鍋數'!A:H,2,0)</f>
        <v>草莓蒟蒻餡(1*6kg)</v>
      </c>
      <c r="D2161" s="295">
        <v>24</v>
      </c>
      <c r="E2161" s="268">
        <f>VLOOKUP(B2161,'112年全品項生產鍋數'!A:H,3,0)</f>
        <v>6</v>
      </c>
      <c r="F2161" s="142">
        <f>VLOOKUP(B2161,'112年全品項生產鍋數'!A:H,7,0)</f>
        <v>25.7</v>
      </c>
      <c r="G2161" s="270">
        <f t="shared" si="310"/>
        <v>616.79999999999995</v>
      </c>
      <c r="H2161" s="277">
        <f>354+369</f>
        <v>723</v>
      </c>
      <c r="I2161" s="23">
        <f t="shared" si="311"/>
        <v>4338</v>
      </c>
      <c r="J2161" s="273">
        <f t="shared" si="312"/>
        <v>1.1721789883268483</v>
      </c>
      <c r="K2161" s="51">
        <f>VLOOKUP(B:B,'生產達成率(目標)'!A:C,3,0)</f>
        <v>1</v>
      </c>
      <c r="L2161" s="275">
        <f t="shared" si="313"/>
        <v>0.17199999999999999</v>
      </c>
      <c r="M2161" s="276" t="str">
        <f>工時!R1347</f>
        <v>270</v>
      </c>
      <c r="N2161" s="272"/>
      <c r="O2161" s="272">
        <f t="shared" si="314"/>
        <v>723</v>
      </c>
      <c r="P2161" s="277">
        <v>0</v>
      </c>
      <c r="Q2161" s="278">
        <f t="shared" si="315"/>
        <v>0</v>
      </c>
      <c r="R2161" s="272" t="s">
        <v>1181</v>
      </c>
      <c r="S2161" s="279"/>
      <c r="T2161" s="300"/>
      <c r="U2161" s="280"/>
      <c r="V2161" s="462"/>
      <c r="W2161" s="421"/>
      <c r="X2161" s="462"/>
      <c r="Y2161" s="421"/>
      <c r="Z2161" s="421"/>
      <c r="AA2161" s="421"/>
      <c r="AB2161" s="421"/>
      <c r="AC2161" s="421"/>
      <c r="AD2161" s="421"/>
    </row>
    <row r="2162" spans="1:30" x14ac:dyDescent="0.4">
      <c r="A2162" s="212">
        <v>45945</v>
      </c>
      <c r="B2162" s="139" t="s">
        <v>642</v>
      </c>
      <c r="C2162" s="30" t="str">
        <f>VLOOKUP(B2162,'112年全品項生產鍋數'!A:H,2,0)</f>
        <v>＃2花生（粒）(1*800g)</v>
      </c>
      <c r="D2162" s="290">
        <v>24</v>
      </c>
      <c r="E2162" s="48">
        <f>VLOOKUP(B2162,'112年全品項生產鍋數'!A:H,3,0)</f>
        <v>0.8</v>
      </c>
      <c r="F2162" s="142">
        <f>VLOOKUP(B2162,'112年全品項生產鍋數'!A:H,7,0)</f>
        <v>155.5</v>
      </c>
      <c r="G2162" s="143">
        <f t="shared" si="310"/>
        <v>3732</v>
      </c>
      <c r="H2162" s="156">
        <v>3688</v>
      </c>
      <c r="I2162" s="23">
        <f t="shared" si="311"/>
        <v>2950.4</v>
      </c>
      <c r="J2162" s="100">
        <f t="shared" si="312"/>
        <v>0.98821007502679525</v>
      </c>
      <c r="K2162" s="51">
        <f>VLOOKUP(B:B,'生產達成率(目標)'!A:C,3,0)</f>
        <v>1</v>
      </c>
      <c r="L2162" s="20">
        <f t="shared" si="313"/>
        <v>-1.2E-2</v>
      </c>
      <c r="M2162" s="137" t="str">
        <f>工時!R1348</f>
        <v>335</v>
      </c>
      <c r="N2162" s="144"/>
      <c r="O2162" s="144">
        <f t="shared" si="314"/>
        <v>2</v>
      </c>
      <c r="P2162" s="156">
        <v>3686</v>
      </c>
      <c r="Q2162" s="98">
        <f t="shared" si="315"/>
        <v>0.99945770065075923</v>
      </c>
      <c r="R2162" s="23"/>
      <c r="S2162" s="173"/>
      <c r="T2162" s="86"/>
      <c r="U2162" s="1"/>
      <c r="V2162" s="460"/>
      <c r="X2162" s="460"/>
    </row>
    <row r="2163" spans="1:30" s="146" customFormat="1" x14ac:dyDescent="0.4">
      <c r="A2163" s="212">
        <v>45945</v>
      </c>
      <c r="B2163" s="139" t="s">
        <v>83</v>
      </c>
      <c r="C2163" s="140" t="str">
        <f>VLOOKUP(B2163,'112年全品項生產鍋數'!A:H,2,0)</f>
        <v>PET瓶花生(粒)(1*340g)</v>
      </c>
      <c r="D2163" s="290">
        <v>12</v>
      </c>
      <c r="E2163" s="141">
        <f>VLOOKUP(B2163,'112年全品項生產鍋數'!A:H,3,0)</f>
        <v>0.34</v>
      </c>
      <c r="F2163" s="142">
        <f>VLOOKUP(B2163,'112年全品項生產鍋數'!A:H,7,0)</f>
        <v>366</v>
      </c>
      <c r="G2163" s="143">
        <f t="shared" si="310"/>
        <v>4392</v>
      </c>
      <c r="H2163" s="156">
        <v>4396</v>
      </c>
      <c r="I2163" s="144">
        <f t="shared" si="311"/>
        <v>1494.64</v>
      </c>
      <c r="J2163" s="100">
        <f t="shared" si="312"/>
        <v>1.0009107468123861</v>
      </c>
      <c r="K2163" s="51">
        <f>VLOOKUP(B:B,'生產達成率(目標)'!A:C,3,0)</f>
        <v>1</v>
      </c>
      <c r="L2163" s="20">
        <f t="shared" si="313"/>
        <v>1E-3</v>
      </c>
      <c r="M2163" s="137" t="str">
        <f>工時!R1349</f>
        <v>345</v>
      </c>
      <c r="N2163" s="144"/>
      <c r="O2163" s="144">
        <f t="shared" si="314"/>
        <v>3</v>
      </c>
      <c r="P2163" s="156">
        <v>4393</v>
      </c>
      <c r="Q2163" s="145">
        <f t="shared" si="315"/>
        <v>0.99931756141947226</v>
      </c>
      <c r="R2163" s="144"/>
      <c r="S2163" s="153"/>
      <c r="T2163" s="282"/>
      <c r="U2163" s="158"/>
      <c r="V2163" s="461"/>
      <c r="W2163" s="421"/>
      <c r="X2163" s="461"/>
      <c r="Y2163" s="421"/>
      <c r="Z2163" s="421"/>
      <c r="AA2163" s="421"/>
      <c r="AB2163" s="421"/>
      <c r="AC2163" s="421"/>
      <c r="AD2163" s="421"/>
    </row>
    <row r="2164" spans="1:30" s="146" customFormat="1" x14ac:dyDescent="0.4">
      <c r="A2164" s="212">
        <v>45946</v>
      </c>
      <c r="B2164" s="139" t="s">
        <v>106</v>
      </c>
      <c r="C2164" s="140" t="str">
        <f>VLOOKUP(B2164,'112年全品項生產鍋數'!A:H,2,0)</f>
        <v>小藍莓1*260G</v>
      </c>
      <c r="D2164" s="290">
        <v>16</v>
      </c>
      <c r="E2164" s="141">
        <f>VLOOKUP(B2164,'112年全品項生產鍋數'!A:H,3,0)</f>
        <v>0.26</v>
      </c>
      <c r="F2164" s="142">
        <f>VLOOKUP(B2164,'112年全品項生產鍋數'!A:H,7,0)</f>
        <v>584.29999999999995</v>
      </c>
      <c r="G2164" s="143">
        <f t="shared" si="310"/>
        <v>9348.7999999999993</v>
      </c>
      <c r="H2164" s="156">
        <v>9500</v>
      </c>
      <c r="I2164" s="144">
        <f t="shared" si="311"/>
        <v>2470</v>
      </c>
      <c r="J2164" s="100">
        <f t="shared" si="312"/>
        <v>1.0161731986992983</v>
      </c>
      <c r="K2164" s="51">
        <f>VLOOKUP(B:B,'生產達成率(目標)'!A:C,3,0)</f>
        <v>1</v>
      </c>
      <c r="L2164" s="20">
        <f t="shared" si="313"/>
        <v>1.6E-2</v>
      </c>
      <c r="M2164" s="137" t="str">
        <f>工時!R1350</f>
        <v>300</v>
      </c>
      <c r="N2164" s="144"/>
      <c r="O2164" s="144">
        <f t="shared" si="314"/>
        <v>27</v>
      </c>
      <c r="P2164" s="156">
        <v>9473</v>
      </c>
      <c r="Q2164" s="145">
        <f t="shared" si="315"/>
        <v>0.99715789473684213</v>
      </c>
      <c r="R2164" s="144"/>
      <c r="S2164" s="153"/>
      <c r="T2164" s="282" t="s">
        <v>1141</v>
      </c>
      <c r="U2164" s="158"/>
      <c r="V2164" s="461"/>
      <c r="W2164" s="421"/>
      <c r="X2164" s="461"/>
      <c r="Y2164" s="421"/>
      <c r="Z2164" s="421"/>
      <c r="AA2164" s="421"/>
      <c r="AB2164" s="421"/>
      <c r="AC2164" s="421"/>
      <c r="AD2164" s="421"/>
    </row>
    <row r="2165" spans="1:30" x14ac:dyDescent="0.4">
      <c r="A2165" s="212">
        <v>45946</v>
      </c>
      <c r="B2165" s="139" t="s">
        <v>68</v>
      </c>
      <c r="C2165" s="30" t="str">
        <f>VLOOKUP(B2165,'112年全品項生產鍋數'!A:H,2,0)</f>
        <v>#2草莓果醬(1*900g)</v>
      </c>
      <c r="D2165" s="290">
        <v>20</v>
      </c>
      <c r="E2165" s="48">
        <f>VLOOKUP(B2165,'112年全品項生產鍋數'!A:H,3,0)</f>
        <v>0.9</v>
      </c>
      <c r="F2165" s="142">
        <f>VLOOKUP(B2165,'112年全品項生產鍋數'!A:H,7,0)</f>
        <v>160.5</v>
      </c>
      <c r="G2165" s="143">
        <f t="shared" si="310"/>
        <v>3210</v>
      </c>
      <c r="H2165" s="156">
        <f>2682+600</f>
        <v>3282</v>
      </c>
      <c r="I2165" s="23">
        <f t="shared" si="311"/>
        <v>2953.8</v>
      </c>
      <c r="J2165" s="100">
        <f t="shared" si="312"/>
        <v>1.0224299065420561</v>
      </c>
      <c r="K2165" s="51">
        <f>VLOOKUP(B:B,'生產達成率(目標)'!A:C,3,0)</f>
        <v>1</v>
      </c>
      <c r="L2165" s="20">
        <f t="shared" si="313"/>
        <v>2.1999999999999999E-2</v>
      </c>
      <c r="M2165" s="137" t="str">
        <f>工時!R1351</f>
        <v>300</v>
      </c>
      <c r="N2165" s="144"/>
      <c r="O2165" s="144">
        <f t="shared" si="314"/>
        <v>2</v>
      </c>
      <c r="P2165" s="156">
        <f>2680+600</f>
        <v>3280</v>
      </c>
      <c r="Q2165" s="98">
        <f t="shared" si="315"/>
        <v>0.99939061547836683</v>
      </c>
      <c r="R2165" s="23" t="s">
        <v>1240</v>
      </c>
      <c r="S2165" s="173">
        <v>96</v>
      </c>
      <c r="T2165" s="86" t="s">
        <v>1142</v>
      </c>
      <c r="U2165" s="1"/>
      <c r="V2165" s="460"/>
      <c r="X2165" s="460"/>
    </row>
    <row r="2166" spans="1:30" x14ac:dyDescent="0.4">
      <c r="A2166" s="212">
        <v>45946</v>
      </c>
      <c r="B2166" s="139" t="s">
        <v>1046</v>
      </c>
      <c r="C2166" s="30" t="str">
        <f>VLOOKUP(B2166,'112年全品項生產鍋數'!A:H,2,0)</f>
        <v>藍莓顆粒果醬(1*6kg)</v>
      </c>
      <c r="D2166" s="290">
        <v>18</v>
      </c>
      <c r="E2166" s="48">
        <f>VLOOKUP(B2166,'112年全品項生產鍋數'!A:H,3,0)</f>
        <v>6</v>
      </c>
      <c r="F2166" s="142">
        <f>VLOOKUP(B2166,'112年全品項生產鍋數'!A:H,7,0)</f>
        <v>0</v>
      </c>
      <c r="G2166" s="143">
        <f t="shared" si="310"/>
        <v>0</v>
      </c>
      <c r="H2166" s="156">
        <v>478</v>
      </c>
      <c r="I2166" s="23">
        <f t="shared" si="311"/>
        <v>2868</v>
      </c>
      <c r="J2166" s="100" t="str">
        <f t="shared" si="312"/>
        <v>無法預估數據</v>
      </c>
      <c r="K2166" s="51">
        <f>VLOOKUP(B:B,'生產達成率(目標)'!A:C,3,0)</f>
        <v>1</v>
      </c>
      <c r="L2166" s="20" t="str">
        <f t="shared" si="313"/>
        <v>無法預估數據</v>
      </c>
      <c r="M2166" s="137" t="str">
        <f>工時!R1352</f>
        <v>300</v>
      </c>
      <c r="N2166" s="144"/>
      <c r="O2166" s="144">
        <f t="shared" si="314"/>
        <v>3</v>
      </c>
      <c r="P2166" s="156">
        <v>475</v>
      </c>
      <c r="Q2166" s="98">
        <f t="shared" si="315"/>
        <v>0.99372384937238489</v>
      </c>
      <c r="R2166" s="23"/>
      <c r="S2166" s="173"/>
      <c r="T2166" s="86"/>
      <c r="U2166" s="1"/>
      <c r="V2166" s="460"/>
      <c r="X2166" s="460"/>
    </row>
    <row r="2167" spans="1:30" x14ac:dyDescent="0.4">
      <c r="A2167" s="212">
        <v>45946</v>
      </c>
      <c r="B2167" s="139" t="s">
        <v>76</v>
      </c>
      <c r="C2167" s="30" t="str">
        <f>VLOOKUP(B2167,'112年全品項生產鍋數'!A:H,2,0)</f>
        <v>草莓餡(1*6Kg)</v>
      </c>
      <c r="D2167" s="290">
        <v>20</v>
      </c>
      <c r="E2167" s="48">
        <f>VLOOKUP(B2167,'112年全品項生產鍋數'!A:H,3,0)</f>
        <v>6</v>
      </c>
      <c r="F2167" s="142">
        <f>VLOOKUP(B2167,'112年全品項生產鍋數'!A:H,7,0)</f>
        <v>25.5</v>
      </c>
      <c r="G2167" s="143">
        <f t="shared" si="310"/>
        <v>510</v>
      </c>
      <c r="H2167" s="156">
        <v>511</v>
      </c>
      <c r="I2167" s="23">
        <f t="shared" si="311"/>
        <v>3066</v>
      </c>
      <c r="J2167" s="100">
        <f t="shared" si="312"/>
        <v>1.0019607843137255</v>
      </c>
      <c r="K2167" s="51">
        <f>VLOOKUP(B:B,'生產達成率(目標)'!A:C,3,0)</f>
        <v>1</v>
      </c>
      <c r="L2167" s="20">
        <f t="shared" si="313"/>
        <v>2E-3</v>
      </c>
      <c r="M2167" s="137" t="str">
        <f>工時!R1353</f>
        <v>287</v>
      </c>
      <c r="N2167" s="144"/>
      <c r="O2167" s="144">
        <f t="shared" si="314"/>
        <v>1</v>
      </c>
      <c r="P2167" s="156">
        <v>510</v>
      </c>
      <c r="Q2167" s="98">
        <f t="shared" si="315"/>
        <v>0.99804305283757333</v>
      </c>
      <c r="R2167" s="23"/>
      <c r="S2167" s="173"/>
      <c r="T2167" s="86"/>
      <c r="U2167" s="1"/>
      <c r="V2167" s="460"/>
      <c r="X2167" s="460"/>
    </row>
    <row r="2168" spans="1:30" s="146" customFormat="1" x14ac:dyDescent="0.4">
      <c r="A2168" s="212">
        <v>45946</v>
      </c>
      <c r="B2168" s="139" t="s">
        <v>128</v>
      </c>
      <c r="C2168" s="140" t="str">
        <f>VLOOKUP(B2168,'112年全品項生產鍋數'!A:H,2,0)</f>
        <v>草莓椰果漿(1*6KG)</v>
      </c>
      <c r="D2168" s="290">
        <v>4</v>
      </c>
      <c r="E2168" s="141">
        <f>VLOOKUP(B2168,'112年全品項生產鍋數'!A:H,3,0)</f>
        <v>6</v>
      </c>
      <c r="F2168" s="142">
        <f>VLOOKUP(B2168,'112年全品項生產鍋數'!A:H,7,0)</f>
        <v>25.7</v>
      </c>
      <c r="G2168" s="143">
        <f t="shared" si="310"/>
        <v>102.8</v>
      </c>
      <c r="H2168" s="156">
        <v>99</v>
      </c>
      <c r="I2168" s="144">
        <f t="shared" si="311"/>
        <v>594</v>
      </c>
      <c r="J2168" s="100">
        <f t="shared" si="312"/>
        <v>0.96303501945525294</v>
      </c>
      <c r="K2168" s="51">
        <f>VLOOKUP(B:B,'生產達成率(目標)'!A:C,3,0)</f>
        <v>1</v>
      </c>
      <c r="L2168" s="20">
        <f t="shared" si="313"/>
        <v>-3.6999999999999998E-2</v>
      </c>
      <c r="M2168" s="137" t="str">
        <f>工時!R1354</f>
        <v>130</v>
      </c>
      <c r="N2168" s="144"/>
      <c r="O2168" s="144">
        <f t="shared" si="314"/>
        <v>1</v>
      </c>
      <c r="P2168" s="156">
        <v>98</v>
      </c>
      <c r="Q2168" s="145">
        <f t="shared" si="315"/>
        <v>0.98989898989898994</v>
      </c>
      <c r="R2168" s="144"/>
      <c r="S2168" s="153"/>
      <c r="T2168" s="282"/>
      <c r="U2168" s="158"/>
      <c r="V2168" s="461"/>
      <c r="W2168" s="421"/>
      <c r="X2168" s="461"/>
      <c r="Y2168" s="421"/>
      <c r="Z2168" s="421"/>
      <c r="AA2168" s="421"/>
      <c r="AB2168" s="421"/>
      <c r="AC2168" s="421"/>
      <c r="AD2168" s="421"/>
    </row>
    <row r="2169" spans="1:30" s="146" customFormat="1" x14ac:dyDescent="0.4">
      <c r="A2169" s="212">
        <v>45946</v>
      </c>
      <c r="B2169" s="139" t="s">
        <v>65</v>
      </c>
      <c r="C2169" s="140" t="str">
        <f>VLOOKUP(B2169,'112年全品項生產鍋數'!A:H,2,0)</f>
        <v>＃1花生(1*2.8kg)</v>
      </c>
      <c r="D2169" s="290">
        <v>72</v>
      </c>
      <c r="E2169" s="141">
        <f>VLOOKUP(B2169,'112年全品項生產鍋數'!A:H,3,0)</f>
        <v>2.8</v>
      </c>
      <c r="F2169" s="142">
        <f>VLOOKUP(B2169,'112年全品項生產鍋數'!A:H,7,0)</f>
        <v>44.5</v>
      </c>
      <c r="G2169" s="143">
        <f t="shared" si="310"/>
        <v>3204</v>
      </c>
      <c r="H2169" s="156">
        <v>3214</v>
      </c>
      <c r="I2169" s="144">
        <f t="shared" si="311"/>
        <v>8999.1999999999989</v>
      </c>
      <c r="J2169" s="100">
        <f t="shared" si="312"/>
        <v>1.0031210986267165</v>
      </c>
      <c r="K2169" s="51">
        <f>VLOOKUP(B:B,'生產達成率(目標)'!A:C,3,0)</f>
        <v>1</v>
      </c>
      <c r="L2169" s="20">
        <f t="shared" si="313"/>
        <v>3.0000000000000001E-3</v>
      </c>
      <c r="M2169" s="137" t="str">
        <f>工時!R1355</f>
        <v>585</v>
      </c>
      <c r="N2169" s="144"/>
      <c r="O2169" s="144">
        <f t="shared" si="314"/>
        <v>1</v>
      </c>
      <c r="P2169" s="156">
        <v>3213</v>
      </c>
      <c r="Q2169" s="145">
        <f t="shared" si="315"/>
        <v>0.99968886123210954</v>
      </c>
      <c r="R2169" s="144"/>
      <c r="S2169" s="153"/>
      <c r="T2169" s="282"/>
      <c r="U2169" s="158"/>
      <c r="V2169" s="461"/>
      <c r="W2169" s="421"/>
      <c r="X2169" s="461"/>
      <c r="Y2169" s="421"/>
      <c r="Z2169" s="421"/>
      <c r="AA2169" s="421"/>
      <c r="AB2169" s="421"/>
      <c r="AC2169" s="421"/>
      <c r="AD2169" s="421"/>
    </row>
    <row r="2170" spans="1:30" s="146" customFormat="1" x14ac:dyDescent="0.4">
      <c r="A2170" s="212">
        <v>45947</v>
      </c>
      <c r="B2170" s="139" t="s">
        <v>71</v>
      </c>
      <c r="C2170" s="140" t="str">
        <f>VLOOKUP(B2170,'112年全品項生產鍋數'!A:H,2,0)</f>
        <v>＃1草莓(1*3.2kg)</v>
      </c>
      <c r="D2170" s="290">
        <v>72</v>
      </c>
      <c r="E2170" s="141">
        <f>VLOOKUP(B2170,'112年全品項生產鍋數'!A:H,3,0)</f>
        <v>3.2</v>
      </c>
      <c r="F2170" s="142">
        <f>VLOOKUP(B2170,'112年全品項生產鍋數'!A:H,7,0)</f>
        <v>46.8</v>
      </c>
      <c r="G2170" s="143">
        <f t="shared" si="310"/>
        <v>3369.6</v>
      </c>
      <c r="H2170" s="156">
        <v>3482</v>
      </c>
      <c r="I2170" s="144">
        <f t="shared" si="311"/>
        <v>11142.400000000001</v>
      </c>
      <c r="J2170" s="100">
        <f t="shared" si="312"/>
        <v>1.0333570750237417</v>
      </c>
      <c r="K2170" s="51">
        <f>VLOOKUP(B:B,'生產達成率(目標)'!A:C,3,0)</f>
        <v>1</v>
      </c>
      <c r="L2170" s="20">
        <f t="shared" si="313"/>
        <v>3.3000000000000002E-2</v>
      </c>
      <c r="M2170" s="137" t="str">
        <f>工時!R1356</f>
        <v>540</v>
      </c>
      <c r="N2170" s="144"/>
      <c r="O2170" s="144">
        <f t="shared" si="314"/>
        <v>3</v>
      </c>
      <c r="P2170" s="156">
        <v>3479</v>
      </c>
      <c r="Q2170" s="145">
        <f t="shared" si="315"/>
        <v>0.99913842619184379</v>
      </c>
      <c r="R2170" s="23" t="s">
        <v>1240</v>
      </c>
      <c r="S2170" s="153">
        <v>346</v>
      </c>
      <c r="T2170" s="282"/>
      <c r="U2170" s="158"/>
      <c r="V2170" s="461"/>
      <c r="W2170" s="421"/>
      <c r="X2170" s="461"/>
      <c r="Y2170" s="421"/>
      <c r="Z2170" s="421"/>
      <c r="AA2170" s="421"/>
      <c r="AB2170" s="421"/>
      <c r="AC2170" s="421"/>
      <c r="AD2170" s="421"/>
    </row>
    <row r="2171" spans="1:30" s="146" customFormat="1" x14ac:dyDescent="0.4">
      <c r="A2171" s="212">
        <v>45947</v>
      </c>
      <c r="B2171" s="139" t="s">
        <v>72</v>
      </c>
      <c r="C2171" s="140" t="str">
        <f>VLOOKUP(B2171,'112年全品項生產鍋數'!A:H,2,0)</f>
        <v>草莓餡45%(1*6Kg)</v>
      </c>
      <c r="D2171" s="290">
        <v>20</v>
      </c>
      <c r="E2171" s="141">
        <f>VLOOKUP(B2171,'112年全品項生產鍋數'!A:H,3,0)</f>
        <v>6</v>
      </c>
      <c r="F2171" s="142">
        <f>VLOOKUP(B2171,'112年全品項生產鍋數'!A:H,7,0)</f>
        <v>26.1</v>
      </c>
      <c r="G2171" s="143">
        <f t="shared" si="310"/>
        <v>522</v>
      </c>
      <c r="H2171" s="156">
        <v>516</v>
      </c>
      <c r="I2171" s="144">
        <f t="shared" si="311"/>
        <v>3096</v>
      </c>
      <c r="J2171" s="100">
        <f t="shared" si="312"/>
        <v>0.9885057471264368</v>
      </c>
      <c r="K2171" s="51">
        <f>VLOOKUP(B:B,'生產達成率(目標)'!A:C,3,0)</f>
        <v>1</v>
      </c>
      <c r="L2171" s="20">
        <f t="shared" si="313"/>
        <v>-1.0999999999999999E-2</v>
      </c>
      <c r="M2171" s="137" t="str">
        <f>工時!R1357</f>
        <v>520</v>
      </c>
      <c r="N2171" s="144"/>
      <c r="O2171" s="144">
        <f t="shared" si="314"/>
        <v>1</v>
      </c>
      <c r="P2171" s="156">
        <v>515</v>
      </c>
      <c r="Q2171" s="145">
        <f t="shared" si="315"/>
        <v>0.99806201550387597</v>
      </c>
      <c r="R2171" s="144"/>
      <c r="S2171" s="153"/>
      <c r="T2171" s="282"/>
      <c r="U2171" s="158"/>
      <c r="V2171" s="461"/>
      <c r="W2171" s="421"/>
      <c r="X2171" s="461"/>
      <c r="Y2171" s="421"/>
      <c r="Z2171" s="421"/>
      <c r="AA2171" s="421"/>
      <c r="AB2171" s="421"/>
      <c r="AC2171" s="421"/>
      <c r="AD2171" s="421"/>
    </row>
    <row r="2172" spans="1:30" s="146" customFormat="1" x14ac:dyDescent="0.4">
      <c r="A2172" s="212">
        <v>45947</v>
      </c>
      <c r="B2172" s="139" t="s">
        <v>63</v>
      </c>
      <c r="C2172" s="140" t="str">
        <f>VLOOKUP(B2172,'112年全品項生產鍋數'!A:H,2,0)</f>
        <v>草莓蒟蒻餡(1*6kg)</v>
      </c>
      <c r="D2172" s="290">
        <v>28</v>
      </c>
      <c r="E2172" s="141">
        <f>VLOOKUP(B2172,'112年全品項生產鍋數'!A:H,3,0)</f>
        <v>6</v>
      </c>
      <c r="F2172" s="142">
        <f>VLOOKUP(B2172,'112年全品項生產鍋數'!A:H,7,0)</f>
        <v>25.7</v>
      </c>
      <c r="G2172" s="143">
        <f t="shared" si="310"/>
        <v>719.6</v>
      </c>
      <c r="H2172" s="156">
        <f>421+315</f>
        <v>736</v>
      </c>
      <c r="I2172" s="144">
        <f t="shared" si="311"/>
        <v>4416</v>
      </c>
      <c r="J2172" s="100">
        <f t="shared" si="312"/>
        <v>1.0227904391328515</v>
      </c>
      <c r="K2172" s="51">
        <f>VLOOKUP(B:B,'生產達成率(目標)'!A:C,3,0)</f>
        <v>1</v>
      </c>
      <c r="L2172" s="20">
        <f t="shared" si="313"/>
        <v>2.3E-2</v>
      </c>
      <c r="M2172" s="137" t="str">
        <f>工時!R1358</f>
        <v>570</v>
      </c>
      <c r="N2172" s="144"/>
      <c r="O2172" s="144">
        <f t="shared" si="314"/>
        <v>2</v>
      </c>
      <c r="P2172" s="156">
        <f>419+315</f>
        <v>734</v>
      </c>
      <c r="Q2172" s="145">
        <f t="shared" si="315"/>
        <v>0.99728260869565222</v>
      </c>
      <c r="R2172" s="144"/>
      <c r="S2172" s="153"/>
      <c r="T2172" s="282"/>
      <c r="U2172" s="158"/>
      <c r="V2172" s="461"/>
      <c r="W2172" s="421"/>
      <c r="X2172" s="461"/>
      <c r="Y2172" s="421"/>
      <c r="Z2172" s="421"/>
      <c r="AA2172" s="421"/>
      <c r="AB2172" s="421"/>
      <c r="AC2172" s="421"/>
      <c r="AD2172" s="421"/>
    </row>
    <row r="2173" spans="1:30" s="146" customFormat="1" x14ac:dyDescent="0.4">
      <c r="A2173" s="212">
        <v>45947</v>
      </c>
      <c r="B2173" s="139" t="s">
        <v>104</v>
      </c>
      <c r="C2173" s="140" t="str">
        <f>VLOOKUP(B2173,'112年全品項生產鍋數'!A:H,2,0)</f>
        <v>＃1花生(粒)(1*2.8kg)</v>
      </c>
      <c r="D2173" s="290">
        <v>72</v>
      </c>
      <c r="E2173" s="141">
        <f>VLOOKUP(B2173,'112年全品項生產鍋數'!A:H,3,0)</f>
        <v>2.8</v>
      </c>
      <c r="F2173" s="142">
        <f>VLOOKUP(B2173,'112年全品項生產鍋數'!A:H,7,0)</f>
        <v>44.2</v>
      </c>
      <c r="G2173" s="143">
        <f t="shared" si="310"/>
        <v>3182.4</v>
      </c>
      <c r="H2173" s="156">
        <v>3164</v>
      </c>
      <c r="I2173" s="144">
        <f t="shared" si="311"/>
        <v>8859.1999999999989</v>
      </c>
      <c r="J2173" s="100">
        <f t="shared" si="312"/>
        <v>0.99421820010055306</v>
      </c>
      <c r="K2173" s="51">
        <f>VLOOKUP(B:B,'生產達成率(目標)'!A:C,3,0)</f>
        <v>1</v>
      </c>
      <c r="L2173" s="20">
        <f t="shared" si="313"/>
        <v>-6.0000000000000001E-3</v>
      </c>
      <c r="M2173" s="137" t="str">
        <f>工時!R1359</f>
        <v>540</v>
      </c>
      <c r="N2173" s="144"/>
      <c r="O2173" s="144">
        <f t="shared" si="314"/>
        <v>1</v>
      </c>
      <c r="P2173" s="156">
        <v>3163</v>
      </c>
      <c r="Q2173" s="145">
        <f t="shared" si="315"/>
        <v>0.99968394437420982</v>
      </c>
      <c r="R2173" s="144"/>
      <c r="S2173" s="153"/>
      <c r="T2173" s="282"/>
      <c r="U2173" s="158"/>
      <c r="V2173" s="461"/>
      <c r="W2173" s="421"/>
      <c r="X2173" s="461"/>
      <c r="Y2173" s="421"/>
      <c r="Z2173" s="421"/>
      <c r="AA2173" s="421"/>
      <c r="AB2173" s="421"/>
      <c r="AC2173" s="421"/>
      <c r="AD2173" s="421"/>
    </row>
    <row r="2174" spans="1:30" x14ac:dyDescent="0.4">
      <c r="A2174" s="212">
        <v>45950</v>
      </c>
      <c r="B2174" s="139" t="s">
        <v>71</v>
      </c>
      <c r="C2174" s="30" t="str">
        <f>VLOOKUP(B2174,'112年全品項生產鍋數'!A:H,2,0)</f>
        <v>＃1草莓(1*3.2kg)</v>
      </c>
      <c r="D2174" s="290">
        <v>72</v>
      </c>
      <c r="E2174" s="48">
        <f>VLOOKUP(B2174,'112年全品項生產鍋數'!A:H,3,0)</f>
        <v>3.2</v>
      </c>
      <c r="F2174" s="142">
        <f>VLOOKUP(B2174,'112年全品項生產鍋數'!A:H,7,0)</f>
        <v>46.8</v>
      </c>
      <c r="G2174" s="143">
        <f t="shared" si="310"/>
        <v>3369.6</v>
      </c>
      <c r="H2174" s="156">
        <v>3472</v>
      </c>
      <c r="I2174" s="23">
        <f t="shared" si="311"/>
        <v>11110.400000000001</v>
      </c>
      <c r="J2174" s="100">
        <f t="shared" si="312"/>
        <v>1.0303893637226971</v>
      </c>
      <c r="K2174" s="51">
        <f>VLOOKUP(B:B,'生產達成率(目標)'!A:C,3,0)</f>
        <v>1</v>
      </c>
      <c r="L2174" s="20">
        <f t="shared" si="313"/>
        <v>0.03</v>
      </c>
      <c r="M2174" s="137" t="str">
        <f>工時!R1360</f>
        <v>540</v>
      </c>
      <c r="N2174" s="144"/>
      <c r="O2174" s="144">
        <f t="shared" si="314"/>
        <v>3</v>
      </c>
      <c r="P2174" s="156">
        <v>3469</v>
      </c>
      <c r="Q2174" s="98">
        <f t="shared" si="315"/>
        <v>0.99913594470046085</v>
      </c>
      <c r="R2174" s="23" t="s">
        <v>1240</v>
      </c>
      <c r="S2174" s="173">
        <v>346</v>
      </c>
      <c r="T2174" s="86"/>
      <c r="U2174" s="1"/>
      <c r="V2174" s="460"/>
      <c r="X2174" s="460"/>
    </row>
    <row r="2175" spans="1:30" x14ac:dyDescent="0.4">
      <c r="A2175" s="212">
        <v>45950</v>
      </c>
      <c r="B2175" s="139" t="s">
        <v>64</v>
      </c>
      <c r="C2175" s="30" t="str">
        <f>VLOOKUP(B2175,'112年全品項生產鍋數'!A:H,2,0)</f>
        <v>藍莓餡(1*6KG)</v>
      </c>
      <c r="D2175" s="290">
        <v>16</v>
      </c>
      <c r="E2175" s="48">
        <f>VLOOKUP(B2175,'112年全品項生產鍋數'!A:H,3,0)</f>
        <v>6</v>
      </c>
      <c r="F2175" s="142">
        <f>VLOOKUP(B2175,'112年全品項生產鍋數'!A:H,7,0)</f>
        <v>25.4</v>
      </c>
      <c r="G2175" s="143">
        <f t="shared" si="310"/>
        <v>406.4</v>
      </c>
      <c r="H2175" s="156">
        <f>198+212</f>
        <v>410</v>
      </c>
      <c r="I2175" s="23">
        <f t="shared" si="311"/>
        <v>2460</v>
      </c>
      <c r="J2175" s="100">
        <f t="shared" si="312"/>
        <v>1.0088582677165354</v>
      </c>
      <c r="K2175" s="51">
        <f>VLOOKUP(B:B,'生產達成率(目標)'!A:C,3,0)</f>
        <v>1</v>
      </c>
      <c r="L2175" s="20">
        <f t="shared" si="313"/>
        <v>8.9999999999999993E-3</v>
      </c>
      <c r="M2175" s="137" t="str">
        <f>工時!R1361</f>
        <v>270</v>
      </c>
      <c r="N2175" s="144"/>
      <c r="O2175" s="144">
        <f t="shared" si="314"/>
        <v>1</v>
      </c>
      <c r="P2175" s="156">
        <f>197+212</f>
        <v>409</v>
      </c>
      <c r="Q2175" s="98">
        <f t="shared" si="315"/>
        <v>0.9975609756097561</v>
      </c>
      <c r="R2175" s="23"/>
      <c r="S2175" s="173"/>
      <c r="T2175" s="86"/>
      <c r="U2175" s="1"/>
      <c r="V2175" s="460"/>
      <c r="X2175" s="460"/>
    </row>
    <row r="2176" spans="1:30" x14ac:dyDescent="0.4">
      <c r="A2176" s="212">
        <v>45950</v>
      </c>
      <c r="B2176" s="139" t="s">
        <v>63</v>
      </c>
      <c r="C2176" s="30" t="str">
        <f>VLOOKUP(B2176,'112年全品項生產鍋數'!A:H,2,0)</f>
        <v>草莓蒟蒻餡(1*6kg)</v>
      </c>
      <c r="D2176" s="290">
        <v>20</v>
      </c>
      <c r="E2176" s="48">
        <f>VLOOKUP(B2176,'112年全品項生產鍋數'!A:H,3,0)</f>
        <v>6</v>
      </c>
      <c r="F2176" s="142">
        <f>VLOOKUP(B2176,'112年全品項生產鍋數'!A:H,7,0)</f>
        <v>25.7</v>
      </c>
      <c r="G2176" s="143">
        <f t="shared" si="310"/>
        <v>514</v>
      </c>
      <c r="H2176" s="156">
        <f>303+218</f>
        <v>521</v>
      </c>
      <c r="I2176" s="23">
        <f t="shared" si="311"/>
        <v>3126</v>
      </c>
      <c r="J2176" s="100">
        <f t="shared" si="312"/>
        <v>1.0136186770428015</v>
      </c>
      <c r="K2176" s="51">
        <f>VLOOKUP(B:B,'生產達成率(目標)'!A:C,3,0)</f>
        <v>1</v>
      </c>
      <c r="L2176" s="20">
        <f t="shared" si="313"/>
        <v>1.4E-2</v>
      </c>
      <c r="M2176" s="137" t="str">
        <f>工時!R1362</f>
        <v>271</v>
      </c>
      <c r="N2176" s="144"/>
      <c r="O2176" s="144">
        <f t="shared" si="314"/>
        <v>1</v>
      </c>
      <c r="P2176" s="156">
        <f>302+218</f>
        <v>520</v>
      </c>
      <c r="Q2176" s="98">
        <f t="shared" si="315"/>
        <v>0.99808061420345484</v>
      </c>
      <c r="R2176" s="23"/>
      <c r="S2176" s="173"/>
      <c r="T2176" s="86"/>
      <c r="U2176" s="1"/>
      <c r="V2176" s="460"/>
      <c r="X2176" s="460"/>
    </row>
    <row r="2177" spans="1:30" x14ac:dyDescent="0.4">
      <c r="A2177" s="212">
        <v>45950</v>
      </c>
      <c r="B2177" s="139" t="s">
        <v>65</v>
      </c>
      <c r="C2177" s="30" t="str">
        <f>VLOOKUP(B2177,'112年全品項生產鍋數'!A:H,2,0)</f>
        <v>＃1花生(1*2.8kg)</v>
      </c>
      <c r="D2177" s="290">
        <v>60</v>
      </c>
      <c r="E2177" s="48">
        <f>VLOOKUP(B2177,'112年全品項生產鍋數'!A:H,3,0)</f>
        <v>2.8</v>
      </c>
      <c r="F2177" s="142">
        <f>VLOOKUP(B2177,'112年全品項生產鍋數'!A:H,7,0)</f>
        <v>44.5</v>
      </c>
      <c r="G2177" s="143">
        <f>D2177*F2177-60*18/2.8</f>
        <v>2284.2857142857142</v>
      </c>
      <c r="H2177" s="156">
        <v>2282</v>
      </c>
      <c r="I2177" s="23">
        <f t="shared" si="311"/>
        <v>6389.5999999999995</v>
      </c>
      <c r="J2177" s="100">
        <f t="shared" si="312"/>
        <v>0.99899937460913069</v>
      </c>
      <c r="K2177" s="51">
        <f>VLOOKUP(B:B,'生產達成率(目標)'!A:C,3,0)</f>
        <v>1</v>
      </c>
      <c r="L2177" s="20">
        <f t="shared" si="313"/>
        <v>-1E-3</v>
      </c>
      <c r="M2177" s="137" t="str">
        <f>工時!R1363</f>
        <v>470</v>
      </c>
      <c r="N2177" s="144"/>
      <c r="O2177" s="144">
        <f t="shared" si="314"/>
        <v>1</v>
      </c>
      <c r="P2177" s="156">
        <f>2281</f>
        <v>2281</v>
      </c>
      <c r="Q2177" s="98">
        <f t="shared" si="315"/>
        <v>0.99956178790534622</v>
      </c>
      <c r="R2177" s="23"/>
      <c r="S2177" s="173"/>
      <c r="T2177" s="86"/>
      <c r="U2177" s="1"/>
      <c r="V2177" s="460"/>
      <c r="X2177" s="460"/>
    </row>
    <row r="2178" spans="1:30" x14ac:dyDescent="0.4">
      <c r="A2178" s="212">
        <v>45951</v>
      </c>
      <c r="B2178" s="139" t="s">
        <v>106</v>
      </c>
      <c r="C2178" s="30" t="str">
        <f>VLOOKUP(B2178,'112年全品項生產鍋數'!A:H,2,0)</f>
        <v>小藍莓1*260G</v>
      </c>
      <c r="D2178" s="290">
        <v>16</v>
      </c>
      <c r="E2178" s="48">
        <f>VLOOKUP(B2178,'112年全品項生產鍋數'!A:H,3,0)</f>
        <v>0.26</v>
      </c>
      <c r="F2178" s="142">
        <f>VLOOKUP(B2178,'112年全品項生產鍋數'!A:H,7,0)</f>
        <v>584.29999999999995</v>
      </c>
      <c r="G2178" s="143">
        <f t="shared" si="310"/>
        <v>9348.7999999999993</v>
      </c>
      <c r="H2178" s="156">
        <v>9410</v>
      </c>
      <c r="I2178" s="23">
        <f t="shared" si="311"/>
        <v>2446.6</v>
      </c>
      <c r="J2178" s="100">
        <f t="shared" si="312"/>
        <v>1.0065462947116208</v>
      </c>
      <c r="K2178" s="51">
        <f>VLOOKUP(B:B,'生產達成率(目標)'!A:C,3,0)</f>
        <v>1</v>
      </c>
      <c r="L2178" s="20">
        <f t="shared" si="313"/>
        <v>7.0000000000000001E-3</v>
      </c>
      <c r="M2178" s="137" t="str">
        <f>工時!R1364</f>
        <v>300</v>
      </c>
      <c r="N2178" s="144"/>
      <c r="O2178" s="144">
        <f t="shared" si="314"/>
        <v>21</v>
      </c>
      <c r="P2178" s="156">
        <v>9389</v>
      </c>
      <c r="Q2178" s="98">
        <f t="shared" si="315"/>
        <v>0.99776833156216793</v>
      </c>
      <c r="R2178" s="23"/>
      <c r="S2178" s="173"/>
      <c r="T2178" s="86"/>
      <c r="U2178" s="1"/>
      <c r="V2178" s="460"/>
      <c r="X2178" s="460"/>
    </row>
    <row r="2179" spans="1:30" s="146" customFormat="1" x14ac:dyDescent="0.4">
      <c r="A2179" s="212">
        <v>45951</v>
      </c>
      <c r="B2179" s="139" t="s">
        <v>61</v>
      </c>
      <c r="C2179" s="140" t="str">
        <f>VLOOKUP(B2179,'112年全品項生產鍋數'!A:H,2,0)</f>
        <v>大圓草莓-新</v>
      </c>
      <c r="D2179" s="290">
        <v>20</v>
      </c>
      <c r="E2179" s="141">
        <f>VLOOKUP(B2179,'112年全品項生產鍋數'!A:H,3,0)</f>
        <v>0.44</v>
      </c>
      <c r="F2179" s="142">
        <f>VLOOKUP(B2179,'112年全品項生產鍋數'!A:H,7,0)</f>
        <v>344</v>
      </c>
      <c r="G2179" s="143">
        <f t="shared" si="310"/>
        <v>6880</v>
      </c>
      <c r="H2179" s="156">
        <v>6820</v>
      </c>
      <c r="I2179" s="144">
        <f t="shared" si="311"/>
        <v>3000.8</v>
      </c>
      <c r="J2179" s="100">
        <f t="shared" si="312"/>
        <v>0.99127906976744184</v>
      </c>
      <c r="K2179" s="51">
        <f>VLOOKUP(B:B,'生產達成率(目標)'!A:C,3,0)</f>
        <v>1</v>
      </c>
      <c r="L2179" s="20">
        <f t="shared" si="313"/>
        <v>-8.9999999999999993E-3</v>
      </c>
      <c r="M2179" s="137" t="str">
        <f>工時!R1365</f>
        <v>300</v>
      </c>
      <c r="N2179" s="144"/>
      <c r="O2179" s="144">
        <f t="shared" si="314"/>
        <v>4</v>
      </c>
      <c r="P2179" s="156">
        <v>6816</v>
      </c>
      <c r="Q2179" s="145">
        <f t="shared" si="315"/>
        <v>0.99941348973607036</v>
      </c>
      <c r="R2179" s="144"/>
      <c r="S2179" s="153"/>
      <c r="T2179" s="282"/>
      <c r="U2179" s="158"/>
      <c r="V2179" s="461"/>
      <c r="W2179" s="421"/>
      <c r="X2179" s="461"/>
      <c r="Y2179" s="421"/>
      <c r="Z2179" s="421"/>
      <c r="AA2179" s="421"/>
      <c r="AB2179" s="421"/>
      <c r="AC2179" s="421"/>
      <c r="AD2179" s="421"/>
    </row>
    <row r="2180" spans="1:30" x14ac:dyDescent="0.4">
      <c r="A2180" s="212">
        <v>45951</v>
      </c>
      <c r="B2180" s="139" t="s">
        <v>965</v>
      </c>
      <c r="C2180" s="30" t="str">
        <f>VLOOKUP(B2180,'112年全品項生產鍋數'!A:H,2,0)</f>
        <v>草莓餡°(1*6KG)</v>
      </c>
      <c r="D2180" s="290">
        <v>16</v>
      </c>
      <c r="E2180" s="48">
        <f>VLOOKUP(B2180,'112年全品項生產鍋數'!A:H,3,0)</f>
        <v>6</v>
      </c>
      <c r="F2180" s="142">
        <f>VLOOKUP(B2180,'112年全品項生產鍋數'!A:H,7,0)</f>
        <v>0</v>
      </c>
      <c r="G2180" s="143">
        <f t="shared" si="310"/>
        <v>0</v>
      </c>
      <c r="H2180" s="156">
        <v>405</v>
      </c>
      <c r="I2180" s="23">
        <f t="shared" si="311"/>
        <v>2430</v>
      </c>
      <c r="J2180" s="100" t="str">
        <f t="shared" si="312"/>
        <v>無法預估數據</v>
      </c>
      <c r="K2180" s="51">
        <f>VLOOKUP(B:B,'生產達成率(目標)'!A:C,3,0)</f>
        <v>1</v>
      </c>
      <c r="L2180" s="20" t="str">
        <f t="shared" si="313"/>
        <v>無法預估數據</v>
      </c>
      <c r="M2180" s="137" t="str">
        <f>工時!R1366</f>
        <v>215</v>
      </c>
      <c r="N2180" s="144"/>
      <c r="O2180" s="144">
        <f t="shared" si="314"/>
        <v>2</v>
      </c>
      <c r="P2180" s="156">
        <v>403</v>
      </c>
      <c r="Q2180" s="98">
        <f t="shared" si="315"/>
        <v>0.99506172839506168</v>
      </c>
      <c r="R2180" s="23"/>
      <c r="S2180" s="173"/>
      <c r="T2180" s="86"/>
      <c r="U2180" s="1"/>
      <c r="V2180" s="460"/>
      <c r="X2180" s="460"/>
    </row>
    <row r="2181" spans="1:30" s="281" customFormat="1" x14ac:dyDescent="0.4">
      <c r="A2181" s="265">
        <v>45951</v>
      </c>
      <c r="B2181" s="266" t="s">
        <v>63</v>
      </c>
      <c r="C2181" s="267" t="str">
        <f>VLOOKUP(B2181,'112年全品項生產鍋數'!A:H,2,0)</f>
        <v>草莓蒟蒻餡(1*6kg)</v>
      </c>
      <c r="D2181" s="295">
        <v>24</v>
      </c>
      <c r="E2181" s="268">
        <f>VLOOKUP(B2181,'112年全品項生產鍋數'!A:H,3,0)</f>
        <v>6</v>
      </c>
      <c r="F2181" s="269">
        <f>VLOOKUP(B2181,'112年全品項生產鍋數'!A:H,7,0)</f>
        <v>25.7</v>
      </c>
      <c r="G2181" s="270">
        <f t="shared" si="310"/>
        <v>616.79999999999995</v>
      </c>
      <c r="H2181" s="277">
        <f>348+348</f>
        <v>696</v>
      </c>
      <c r="I2181" s="272">
        <f t="shared" si="311"/>
        <v>4176</v>
      </c>
      <c r="J2181" s="273">
        <f t="shared" si="312"/>
        <v>1.1284046692607004</v>
      </c>
      <c r="K2181" s="274">
        <f>VLOOKUP(B:B,'生產達成率(目標)'!A:C,3,0)</f>
        <v>1</v>
      </c>
      <c r="L2181" s="275">
        <f t="shared" si="313"/>
        <v>0.128</v>
      </c>
      <c r="M2181" s="276" t="str">
        <f>工時!R1367</f>
        <v>332</v>
      </c>
      <c r="N2181" s="272"/>
      <c r="O2181" s="272">
        <f t="shared" si="314"/>
        <v>696</v>
      </c>
      <c r="P2181" s="277">
        <v>0</v>
      </c>
      <c r="Q2181" s="278">
        <f t="shared" si="315"/>
        <v>0</v>
      </c>
      <c r="R2181" s="272" t="s">
        <v>1181</v>
      </c>
      <c r="S2181" s="279"/>
      <c r="T2181" s="300"/>
      <c r="U2181" s="280"/>
      <c r="V2181" s="462"/>
      <c r="W2181" s="421"/>
      <c r="X2181" s="462"/>
      <c r="Y2181" s="421"/>
      <c r="Z2181" s="421"/>
      <c r="AA2181" s="421"/>
      <c r="AB2181" s="421"/>
      <c r="AC2181" s="421"/>
      <c r="AD2181" s="421"/>
    </row>
    <row r="2182" spans="1:30" x14ac:dyDescent="0.4">
      <c r="A2182" s="212">
        <v>45951</v>
      </c>
      <c r="B2182" s="139" t="s">
        <v>65</v>
      </c>
      <c r="C2182" s="30" t="str">
        <f>VLOOKUP(B2182,'112年全品項生產鍋數'!A:H,2,0)</f>
        <v>＃1花生(1*2.8kg)</v>
      </c>
      <c r="D2182" s="290">
        <v>60</v>
      </c>
      <c r="E2182" s="48">
        <f>VLOOKUP(B2182,'112年全品項生產鍋數'!A:H,3,0)</f>
        <v>2.8</v>
      </c>
      <c r="F2182" s="142">
        <f>VLOOKUP(B2182,'112年全品項生產鍋數'!A:H,7,0)</f>
        <v>44.5</v>
      </c>
      <c r="G2182" s="143">
        <f t="shared" si="310"/>
        <v>2670</v>
      </c>
      <c r="H2182" s="156">
        <f>2676</f>
        <v>2676</v>
      </c>
      <c r="I2182" s="23">
        <f t="shared" si="311"/>
        <v>7492.7999999999993</v>
      </c>
      <c r="J2182" s="100">
        <f t="shared" si="312"/>
        <v>1.002247191011236</v>
      </c>
      <c r="K2182" s="51">
        <f>VLOOKUP(B:B,'生產達成率(目標)'!A:C,3,0)</f>
        <v>1</v>
      </c>
      <c r="L2182" s="20">
        <f t="shared" si="313"/>
        <v>2E-3</v>
      </c>
      <c r="M2182" s="137" t="str">
        <f>工時!R1368</f>
        <v>465</v>
      </c>
      <c r="N2182" s="144"/>
      <c r="O2182" s="144">
        <f t="shared" si="314"/>
        <v>1</v>
      </c>
      <c r="P2182" s="156">
        <v>2675</v>
      </c>
      <c r="Q2182" s="98">
        <f t="shared" si="315"/>
        <v>0.99962630792227203</v>
      </c>
      <c r="R2182" s="23"/>
      <c r="S2182" s="173"/>
      <c r="T2182" s="86"/>
      <c r="U2182" s="1"/>
      <c r="V2182" s="460"/>
      <c r="X2182" s="460"/>
    </row>
    <row r="2183" spans="1:30" x14ac:dyDescent="0.4">
      <c r="A2183" s="212">
        <v>45952</v>
      </c>
      <c r="B2183" s="139" t="s">
        <v>87</v>
      </c>
      <c r="C2183" s="30" t="str">
        <f>VLOOKUP(B2183,'112年全品項生產鍋數'!A:H,2,0)</f>
        <v>＃1藍莓(1*3.2kg)</v>
      </c>
      <c r="D2183" s="290">
        <v>72</v>
      </c>
      <c r="E2183" s="48">
        <f>VLOOKUP(B2183,'112年全品項生產鍋數'!A:H,3,0)</f>
        <v>3.2</v>
      </c>
      <c r="F2183" s="142">
        <f>VLOOKUP(B2183,'112年全品項生產鍋數'!A:H,7,0)</f>
        <v>47.5</v>
      </c>
      <c r="G2183" s="143">
        <f t="shared" si="310"/>
        <v>3420</v>
      </c>
      <c r="H2183" s="156">
        <v>3437</v>
      </c>
      <c r="I2183" s="23">
        <f t="shared" si="311"/>
        <v>10998.400000000001</v>
      </c>
      <c r="J2183" s="100">
        <f t="shared" si="312"/>
        <v>1.0049707602339182</v>
      </c>
      <c r="K2183" s="51">
        <f>VLOOKUP(B:B,'生產達成率(目標)'!A:C,3,0)</f>
        <v>1</v>
      </c>
      <c r="L2183" s="20">
        <f t="shared" si="313"/>
        <v>5.0000000000000001E-3</v>
      </c>
      <c r="M2183" s="137" t="str">
        <f>工時!R1369</f>
        <v>540</v>
      </c>
      <c r="N2183" s="144"/>
      <c r="O2183" s="144">
        <f t="shared" si="314"/>
        <v>2</v>
      </c>
      <c r="P2183" s="156">
        <v>3435</v>
      </c>
      <c r="Q2183" s="98">
        <f t="shared" si="315"/>
        <v>0.9994180971777713</v>
      </c>
      <c r="R2183" s="23"/>
      <c r="S2183" s="173"/>
      <c r="T2183" s="86"/>
      <c r="U2183" s="1"/>
      <c r="V2183" s="460"/>
      <c r="X2183" s="460"/>
    </row>
    <row r="2184" spans="1:30" x14ac:dyDescent="0.4">
      <c r="A2184" s="212">
        <v>45952</v>
      </c>
      <c r="B2184" s="139" t="s">
        <v>81</v>
      </c>
      <c r="C2184" s="30" t="str">
        <f>VLOOKUP(B2184,'112年全品項生產鍋數'!A:H,2,0)</f>
        <v>藍莓餡(1*6Kg)</v>
      </c>
      <c r="D2184" s="290">
        <v>12</v>
      </c>
      <c r="E2184" s="48">
        <f>VLOOKUP(B2184,'112年全品項生產鍋數'!A:H,3,0)</f>
        <v>6</v>
      </c>
      <c r="F2184" s="142">
        <f>VLOOKUP(B2184,'112年全品項生產鍋數'!A:H,7,0)</f>
        <v>25.1</v>
      </c>
      <c r="G2184" s="143">
        <f t="shared" ref="G2184:G2229" si="316">D2184*F2184</f>
        <v>301.20000000000005</v>
      </c>
      <c r="H2184" s="156">
        <v>307</v>
      </c>
      <c r="I2184" s="23">
        <f t="shared" ref="I2184:I2229" si="317">H2184*E2184</f>
        <v>1842</v>
      </c>
      <c r="J2184" s="100">
        <f t="shared" ref="J2184:J2229" si="318">IF(G2184=0,"無法預估數據",H2184/G2184)</f>
        <v>1.0192563081009294</v>
      </c>
      <c r="K2184" s="51">
        <f>VLOOKUP(B:B,'生產達成率(目標)'!A:C,3,0)</f>
        <v>1</v>
      </c>
      <c r="L2184" s="20">
        <f t="shared" ref="L2184:L2229" si="319">IF(G2184=0,"無法預估數據",ROUND(J2184-K2184,3))</f>
        <v>1.9E-2</v>
      </c>
      <c r="M2184" s="137" t="str">
        <f>工時!R1370</f>
        <v>200</v>
      </c>
      <c r="N2184" s="144"/>
      <c r="O2184" s="144">
        <f t="shared" ref="O2184:O2229" si="320">H2184-N2184-P2184</f>
        <v>1</v>
      </c>
      <c r="P2184" s="156">
        <v>306</v>
      </c>
      <c r="Q2184" s="98">
        <f t="shared" ref="Q2184:Q2229" si="321">P2184/H2184</f>
        <v>0.99674267100977199</v>
      </c>
      <c r="R2184" s="23"/>
      <c r="S2184" s="173"/>
      <c r="T2184" s="86"/>
      <c r="U2184" s="1"/>
      <c r="V2184" s="460"/>
      <c r="X2184" s="460"/>
    </row>
    <row r="2185" spans="1:30" x14ac:dyDescent="0.4">
      <c r="A2185" s="212">
        <v>45952</v>
      </c>
      <c r="B2185" s="139" t="s">
        <v>63</v>
      </c>
      <c r="C2185" s="30" t="str">
        <f>VLOOKUP(B2185,'112年全品項生產鍋數'!A:H,2,0)</f>
        <v>草莓蒟蒻餡(1*6kg)</v>
      </c>
      <c r="D2185" s="290">
        <v>24</v>
      </c>
      <c r="E2185" s="48">
        <f>VLOOKUP(B2185,'112年全品項生產鍋數'!A:H,3,0)</f>
        <v>6</v>
      </c>
      <c r="F2185" s="142">
        <f>VLOOKUP(B2185,'112年全品項生產鍋數'!A:H,7,0)</f>
        <v>25.7</v>
      </c>
      <c r="G2185" s="143">
        <f t="shared" si="316"/>
        <v>616.79999999999995</v>
      </c>
      <c r="H2185" s="156">
        <f>311+310</f>
        <v>621</v>
      </c>
      <c r="I2185" s="23">
        <f t="shared" si="317"/>
        <v>3726</v>
      </c>
      <c r="J2185" s="100">
        <f t="shared" si="318"/>
        <v>1.0068093385214008</v>
      </c>
      <c r="K2185" s="51">
        <f>VLOOKUP(B:B,'生產達成率(目標)'!A:C,3,0)</f>
        <v>1</v>
      </c>
      <c r="L2185" s="20">
        <f t="shared" si="319"/>
        <v>7.0000000000000001E-3</v>
      </c>
      <c r="M2185" s="137" t="str">
        <f>工時!R1371</f>
        <v>355</v>
      </c>
      <c r="N2185" s="144"/>
      <c r="O2185" s="144">
        <f t="shared" si="320"/>
        <v>1</v>
      </c>
      <c r="P2185" s="156">
        <f>310+310</f>
        <v>620</v>
      </c>
      <c r="Q2185" s="98">
        <f t="shared" si="321"/>
        <v>0.99838969404186795</v>
      </c>
      <c r="R2185" s="23"/>
      <c r="S2185" s="173"/>
      <c r="T2185" s="86"/>
      <c r="U2185" s="1"/>
      <c r="V2185" s="460"/>
      <c r="X2185" s="460"/>
    </row>
    <row r="2186" spans="1:30" x14ac:dyDescent="0.4">
      <c r="A2186" s="212">
        <v>45952</v>
      </c>
      <c r="B2186" s="139" t="s">
        <v>104</v>
      </c>
      <c r="C2186" s="30" t="str">
        <f>VLOOKUP(B2186,'112年全品項生產鍋數'!A:H,2,0)</f>
        <v>＃1花生(粒)(1*2.8kg)</v>
      </c>
      <c r="D2186" s="290">
        <v>60</v>
      </c>
      <c r="E2186" s="48">
        <f>VLOOKUP(B2186,'112年全品項生產鍋數'!A:H,3,0)</f>
        <v>2.8</v>
      </c>
      <c r="F2186" s="142">
        <f>VLOOKUP(B2186,'112年全品項生產鍋數'!A:H,7,0)</f>
        <v>44.2</v>
      </c>
      <c r="G2186" s="143">
        <f t="shared" si="316"/>
        <v>2652</v>
      </c>
      <c r="H2186" s="156">
        <v>2568</v>
      </c>
      <c r="I2186" s="23">
        <f t="shared" si="317"/>
        <v>7190.4</v>
      </c>
      <c r="J2186" s="100">
        <f t="shared" si="318"/>
        <v>0.96832579185520362</v>
      </c>
      <c r="K2186" s="51">
        <f>VLOOKUP(B:B,'生產達成率(目標)'!A:C,3,0)</f>
        <v>1</v>
      </c>
      <c r="L2186" s="20">
        <f t="shared" si="319"/>
        <v>-3.2000000000000001E-2</v>
      </c>
      <c r="M2186" s="137" t="str">
        <f>工時!R1372</f>
        <v>480</v>
      </c>
      <c r="N2186" s="144"/>
      <c r="O2186" s="144">
        <f t="shared" si="320"/>
        <v>1</v>
      </c>
      <c r="P2186" s="156">
        <v>2567</v>
      </c>
      <c r="Q2186" s="98">
        <f t="shared" si="321"/>
        <v>0.99961059190031154</v>
      </c>
      <c r="R2186" s="23"/>
      <c r="S2186" s="173"/>
      <c r="T2186" s="86"/>
      <c r="U2186" s="1"/>
      <c r="V2186" s="460"/>
      <c r="X2186" s="460"/>
    </row>
    <row r="2187" spans="1:30" x14ac:dyDescent="0.4">
      <c r="A2187" s="212">
        <v>45952</v>
      </c>
      <c r="B2187" s="139">
        <v>155121</v>
      </c>
      <c r="C2187" s="30" t="str">
        <f>VLOOKUP(B2187,'112年全品項生產鍋數'!A:H,2,0)</f>
        <v>糖蜜柚泥</v>
      </c>
      <c r="D2187" s="290">
        <v>600</v>
      </c>
      <c r="E2187" s="48">
        <f>VLOOKUP(B2187,'112年全品項生產鍋數'!A:H,3,0)</f>
        <v>15</v>
      </c>
      <c r="F2187" s="142">
        <f>VLOOKUP(B2187,'112年全品項生產鍋數'!A:H,7,0)</f>
        <v>0</v>
      </c>
      <c r="G2187" s="143">
        <f t="shared" si="316"/>
        <v>0</v>
      </c>
      <c r="H2187" s="156">
        <v>600</v>
      </c>
      <c r="I2187" s="23">
        <f t="shared" si="317"/>
        <v>9000</v>
      </c>
      <c r="J2187" s="100" t="str">
        <f t="shared" si="318"/>
        <v>無法預估數據</v>
      </c>
      <c r="K2187" s="51">
        <f>VLOOKUP(B:B,'生產達成率(目標)'!A:C,3,0)</f>
        <v>1</v>
      </c>
      <c r="L2187" s="20" t="str">
        <f t="shared" si="319"/>
        <v>無法預估數據</v>
      </c>
      <c r="M2187" s="137" t="str">
        <f>工時!R1373</f>
        <v>0</v>
      </c>
      <c r="N2187" s="144"/>
      <c r="O2187" s="144">
        <f t="shared" si="320"/>
        <v>0</v>
      </c>
      <c r="P2187" s="156">
        <v>600</v>
      </c>
      <c r="Q2187" s="98">
        <f t="shared" si="321"/>
        <v>1</v>
      </c>
      <c r="R2187" s="23"/>
      <c r="S2187" s="173"/>
      <c r="T2187" s="86"/>
      <c r="U2187" s="1"/>
      <c r="V2187" s="460"/>
      <c r="X2187" s="460"/>
    </row>
    <row r="2188" spans="1:30" x14ac:dyDescent="0.4">
      <c r="A2188" s="212">
        <v>45953</v>
      </c>
      <c r="B2188" s="139" t="s">
        <v>54</v>
      </c>
      <c r="C2188" s="30" t="str">
        <f>VLOOKUP(B2188,'112年全品項生產鍋數'!A:H,2,0)</f>
        <v>草莓醬(1*6kg)</v>
      </c>
      <c r="D2188" s="290">
        <v>30</v>
      </c>
      <c r="E2188" s="48">
        <f>VLOOKUP(B2188,'112年全品項生產鍋數'!A:H,3,0)</f>
        <v>6</v>
      </c>
      <c r="F2188" s="142">
        <f>VLOOKUP(B2188,'112年全品項生產鍋數'!A:H,7,0)</f>
        <v>26.6</v>
      </c>
      <c r="G2188" s="143">
        <f t="shared" si="316"/>
        <v>798</v>
      </c>
      <c r="H2188" s="156">
        <v>782</v>
      </c>
      <c r="I2188" s="23">
        <f t="shared" si="317"/>
        <v>4692</v>
      </c>
      <c r="J2188" s="100">
        <f t="shared" si="318"/>
        <v>0.97994987468671679</v>
      </c>
      <c r="K2188" s="51">
        <f>VLOOKUP(B:B,'生產達成率(目標)'!A:C,3,0)</f>
        <v>1</v>
      </c>
      <c r="L2188" s="20">
        <f t="shared" si="319"/>
        <v>-0.02</v>
      </c>
      <c r="M2188" s="137" t="str">
        <f>工時!R1374</f>
        <v>490</v>
      </c>
      <c r="N2188" s="144"/>
      <c r="O2188" s="144">
        <f t="shared" si="320"/>
        <v>1</v>
      </c>
      <c r="P2188" s="156">
        <v>781</v>
      </c>
      <c r="Q2188" s="98">
        <f t="shared" si="321"/>
        <v>0.99872122762148341</v>
      </c>
      <c r="R2188" s="23"/>
      <c r="S2188" s="173"/>
      <c r="T2188" s="86"/>
      <c r="U2188" s="1"/>
      <c r="V2188" s="460"/>
      <c r="X2188" s="460"/>
    </row>
    <row r="2189" spans="1:30" x14ac:dyDescent="0.4">
      <c r="A2189" s="212">
        <v>45953</v>
      </c>
      <c r="B2189" s="139" t="s">
        <v>53</v>
      </c>
      <c r="C2189" s="30" t="str">
        <f>VLOOKUP(B2189,'112年全品項生產鍋數'!A:H,2,0)</f>
        <v>鳳梨芒果百香果醬(1*6KG)</v>
      </c>
      <c r="D2189" s="290">
        <v>6</v>
      </c>
      <c r="E2189" s="48">
        <f>VLOOKUP(B2189,'112年全品項生產鍋數'!A:H,3,0)</f>
        <v>6</v>
      </c>
      <c r="F2189" s="142">
        <f>VLOOKUP(B2189,'112年全品項生產鍋數'!A:H,7,0)</f>
        <v>25.7</v>
      </c>
      <c r="G2189" s="143">
        <f t="shared" si="316"/>
        <v>154.19999999999999</v>
      </c>
      <c r="H2189" s="156">
        <v>153</v>
      </c>
      <c r="I2189" s="23">
        <f t="shared" si="317"/>
        <v>918</v>
      </c>
      <c r="J2189" s="100">
        <f t="shared" si="318"/>
        <v>0.99221789883268485</v>
      </c>
      <c r="K2189" s="51">
        <f>VLOOKUP(B:B,'生產達成率(目標)'!A:C,3,0)</f>
        <v>1</v>
      </c>
      <c r="L2189" s="20">
        <f t="shared" si="319"/>
        <v>-8.0000000000000002E-3</v>
      </c>
      <c r="M2189" s="137" t="str">
        <f>工時!R1375</f>
        <v>160</v>
      </c>
      <c r="N2189" s="144"/>
      <c r="O2189" s="144">
        <f t="shared" si="320"/>
        <v>1</v>
      </c>
      <c r="P2189" s="156">
        <v>152</v>
      </c>
      <c r="Q2189" s="98">
        <f t="shared" si="321"/>
        <v>0.99346405228758172</v>
      </c>
      <c r="R2189" s="23"/>
      <c r="S2189" s="173"/>
      <c r="T2189" s="86"/>
      <c r="U2189" s="1"/>
      <c r="V2189" s="460"/>
      <c r="X2189" s="460"/>
    </row>
    <row r="2190" spans="1:30" x14ac:dyDescent="0.4">
      <c r="A2190" s="212">
        <v>45953</v>
      </c>
      <c r="B2190" s="139" t="s">
        <v>115</v>
      </c>
      <c r="C2190" s="30" t="str">
        <f>VLOOKUP(B2190,'112年全品項生產鍋數'!A:H,2,0)</f>
        <v>天天開心藍莓餡4.5KG</v>
      </c>
      <c r="D2190" s="290">
        <v>12</v>
      </c>
      <c r="E2190" s="48">
        <f>VLOOKUP(B2190,'112年全品項生產鍋數'!A:H,3,0)</f>
        <v>4.5</v>
      </c>
      <c r="F2190" s="142">
        <f>VLOOKUP(B2190,'112年全品項生產鍋數'!A:H,7,0)</f>
        <v>36.799999999999997</v>
      </c>
      <c r="G2190" s="143">
        <f t="shared" si="316"/>
        <v>441.59999999999997</v>
      </c>
      <c r="H2190" s="156">
        <v>466</v>
      </c>
      <c r="I2190" s="23">
        <f t="shared" si="317"/>
        <v>2097</v>
      </c>
      <c r="J2190" s="100">
        <f t="shared" si="318"/>
        <v>1.055253623188406</v>
      </c>
      <c r="K2190" s="51">
        <f>VLOOKUP(B:B,'生產達成率(目標)'!A:C,3,0)</f>
        <v>1</v>
      </c>
      <c r="L2190" s="20">
        <f t="shared" si="319"/>
        <v>5.5E-2</v>
      </c>
      <c r="M2190" s="137" t="str">
        <f>工時!R1376</f>
        <v>232</v>
      </c>
      <c r="N2190" s="144"/>
      <c r="O2190" s="144">
        <f t="shared" si="320"/>
        <v>0</v>
      </c>
      <c r="P2190" s="156">
        <v>466</v>
      </c>
      <c r="Q2190" s="98">
        <f t="shared" si="321"/>
        <v>1</v>
      </c>
      <c r="R2190" s="23"/>
      <c r="S2190" s="173"/>
      <c r="T2190" s="86"/>
      <c r="U2190" s="1"/>
      <c r="V2190" s="460"/>
      <c r="X2190" s="460"/>
    </row>
    <row r="2191" spans="1:30" x14ac:dyDescent="0.4">
      <c r="A2191" s="212">
        <v>45953</v>
      </c>
      <c r="B2191" s="139" t="s">
        <v>130</v>
      </c>
      <c r="C2191" s="30" t="str">
        <f>VLOOKUP(B2191,'112年全品項生產鍋數'!A:H,2,0)</f>
        <v>天天開心柳橙餡4.5KG</v>
      </c>
      <c r="D2191" s="290">
        <v>12</v>
      </c>
      <c r="E2191" s="48">
        <f>VLOOKUP(B2191,'112年全品項生產鍋數'!A:H,3,0)</f>
        <v>4.5</v>
      </c>
      <c r="F2191" s="142">
        <f>VLOOKUP(B2191,'112年全品項生產鍋數'!A:H,7,0)</f>
        <v>34.9</v>
      </c>
      <c r="G2191" s="143">
        <f t="shared" si="316"/>
        <v>418.79999999999995</v>
      </c>
      <c r="H2191" s="156">
        <v>427</v>
      </c>
      <c r="I2191" s="23">
        <f t="shared" si="317"/>
        <v>1921.5</v>
      </c>
      <c r="J2191" s="100">
        <f t="shared" si="318"/>
        <v>1.0195797516714424</v>
      </c>
      <c r="K2191" s="51">
        <f>VLOOKUP(B:B,'生產達成率(目標)'!A:C,3,0)</f>
        <v>1</v>
      </c>
      <c r="L2191" s="20">
        <f t="shared" si="319"/>
        <v>0.02</v>
      </c>
      <c r="M2191" s="137" t="str">
        <f>工時!R1377</f>
        <v>188</v>
      </c>
      <c r="N2191" s="144"/>
      <c r="O2191" s="144">
        <f t="shared" si="320"/>
        <v>0</v>
      </c>
      <c r="P2191" s="156">
        <v>427</v>
      </c>
      <c r="Q2191" s="98">
        <f t="shared" si="321"/>
        <v>1</v>
      </c>
      <c r="R2191" s="23"/>
      <c r="S2191" s="173"/>
      <c r="T2191" s="86"/>
      <c r="U2191" s="1"/>
      <c r="V2191" s="460"/>
      <c r="X2191" s="460"/>
    </row>
    <row r="2192" spans="1:30" ht="15.75" customHeight="1" x14ac:dyDescent="0.4">
      <c r="A2192" s="212">
        <v>45953</v>
      </c>
      <c r="B2192" s="139" t="s">
        <v>55</v>
      </c>
      <c r="C2192" s="30" t="str">
        <f>VLOOKUP(B2192,'112年全品項生產鍋數'!A:H,2,0)</f>
        <v>天天開心草莓餡4.5KG</v>
      </c>
      <c r="D2192" s="290">
        <v>12</v>
      </c>
      <c r="E2192" s="48">
        <f>VLOOKUP(B2192,'112年全品項生產鍋數'!A:H,3,0)</f>
        <v>4.5</v>
      </c>
      <c r="F2192" s="142">
        <f>VLOOKUP(B2192,'112年全品項生產鍋數'!A:H,7,0)</f>
        <v>36.299999999999997</v>
      </c>
      <c r="G2192" s="143">
        <f t="shared" si="316"/>
        <v>435.59999999999997</v>
      </c>
      <c r="H2192" s="156">
        <v>437</v>
      </c>
      <c r="I2192" s="23">
        <f t="shared" si="317"/>
        <v>1966.5</v>
      </c>
      <c r="J2192" s="100">
        <f t="shared" si="318"/>
        <v>1.0032139577594124</v>
      </c>
      <c r="K2192" s="51">
        <f>VLOOKUP(B:B,'生產達成率(目標)'!A:C,3,0)</f>
        <v>1</v>
      </c>
      <c r="L2192" s="20">
        <f t="shared" si="319"/>
        <v>3.0000000000000001E-3</v>
      </c>
      <c r="M2192" s="137" t="str">
        <f>工時!R1378</f>
        <v>210</v>
      </c>
      <c r="N2192" s="144"/>
      <c r="O2192" s="144">
        <f t="shared" si="320"/>
        <v>0</v>
      </c>
      <c r="P2192" s="156">
        <v>437</v>
      </c>
      <c r="Q2192" s="98">
        <f t="shared" si="321"/>
        <v>1</v>
      </c>
      <c r="R2192" s="23"/>
      <c r="S2192" s="173"/>
      <c r="T2192" s="86"/>
      <c r="U2192" s="1"/>
      <c r="V2192" s="460"/>
      <c r="X2192" s="460"/>
    </row>
    <row r="2193" spans="1:30" x14ac:dyDescent="0.4">
      <c r="A2193" s="212">
        <v>45953</v>
      </c>
      <c r="B2193" s="139" t="s">
        <v>984</v>
      </c>
      <c r="C2193" s="30" t="str">
        <f>VLOOKUP(B2193,'112年全品項生產鍋數'!A:H,2,0)</f>
        <v>蘋果餡(1*6Kg)</v>
      </c>
      <c r="D2193" s="290">
        <v>4</v>
      </c>
      <c r="E2193" s="48">
        <f>VLOOKUP(B2193,'112年全品項生產鍋數'!A:H,3,0)</f>
        <v>6</v>
      </c>
      <c r="F2193" s="142">
        <f>VLOOKUP(B2193,'112年全品項生產鍋數'!A:H,7,0)</f>
        <v>25.6</v>
      </c>
      <c r="G2193" s="143">
        <f t="shared" si="316"/>
        <v>102.4</v>
      </c>
      <c r="H2193" s="156">
        <v>100</v>
      </c>
      <c r="I2193" s="23">
        <f t="shared" si="317"/>
        <v>600</v>
      </c>
      <c r="J2193" s="100">
        <f t="shared" si="318"/>
        <v>0.9765625</v>
      </c>
      <c r="K2193" s="51" t="e">
        <f>VLOOKUP(B:B,'生產達成率(目標)'!A:C,3,0)</f>
        <v>#N/A</v>
      </c>
      <c r="L2193" s="20" t="e">
        <f t="shared" si="319"/>
        <v>#N/A</v>
      </c>
      <c r="M2193" s="137" t="str">
        <f>工時!R1379</f>
        <v>130</v>
      </c>
      <c r="N2193" s="144"/>
      <c r="O2193" s="144">
        <f t="shared" si="320"/>
        <v>1</v>
      </c>
      <c r="P2193" s="156">
        <v>99</v>
      </c>
      <c r="Q2193" s="98">
        <f t="shared" si="321"/>
        <v>0.99</v>
      </c>
      <c r="R2193" s="23"/>
      <c r="S2193" s="173"/>
      <c r="T2193" s="86"/>
      <c r="U2193" s="1"/>
      <c r="V2193" s="460"/>
      <c r="X2193" s="460"/>
    </row>
    <row r="2194" spans="1:30" s="146" customFormat="1" x14ac:dyDescent="0.4">
      <c r="A2194" s="212">
        <v>45953</v>
      </c>
      <c r="B2194" s="139" t="s">
        <v>73</v>
      </c>
      <c r="C2194" s="140" t="str">
        <f>VLOOKUP(B2194,'112年全品項生產鍋數'!A:H,2,0)</f>
        <v>顆粒花生醬(1*12KG)</v>
      </c>
      <c r="D2194" s="290">
        <v>21</v>
      </c>
      <c r="E2194" s="141">
        <f>VLOOKUP(B2194,'112年全品項生產鍋數'!A:H,3,0)</f>
        <v>3</v>
      </c>
      <c r="F2194" s="142">
        <f>VLOOKUP(B2194,'112年全品項生產鍋數'!A:H,7,0)</f>
        <v>29.7</v>
      </c>
      <c r="G2194" s="143">
        <f t="shared" si="316"/>
        <v>623.69999999999993</v>
      </c>
      <c r="H2194" s="156">
        <f>157*4</f>
        <v>628</v>
      </c>
      <c r="I2194" s="144">
        <f t="shared" si="317"/>
        <v>1884</v>
      </c>
      <c r="J2194" s="100">
        <f t="shared" si="318"/>
        <v>1.0068943402276738</v>
      </c>
      <c r="K2194" s="51">
        <f>VLOOKUP(B:B,'生產達成率(目標)'!A:C,3,0)</f>
        <v>1</v>
      </c>
      <c r="L2194" s="20">
        <f t="shared" si="319"/>
        <v>7.0000000000000001E-3</v>
      </c>
      <c r="M2194" s="137" t="str">
        <f>工時!R1380</f>
        <v>540</v>
      </c>
      <c r="N2194" s="144"/>
      <c r="O2194" s="144">
        <f t="shared" si="320"/>
        <v>0</v>
      </c>
      <c r="P2194" s="156">
        <v>628</v>
      </c>
      <c r="Q2194" s="145">
        <f t="shared" si="321"/>
        <v>1</v>
      </c>
      <c r="R2194" s="144"/>
      <c r="S2194" s="153"/>
      <c r="T2194" s="282"/>
      <c r="U2194" s="158"/>
      <c r="V2194" s="461"/>
      <c r="W2194" s="421"/>
      <c r="X2194" s="461"/>
      <c r="Y2194" s="421"/>
      <c r="Z2194" s="421"/>
      <c r="AA2194" s="421"/>
      <c r="AB2194" s="421"/>
      <c r="AC2194" s="421"/>
      <c r="AD2194" s="421"/>
    </row>
    <row r="2195" spans="1:30" x14ac:dyDescent="0.4">
      <c r="A2195" s="212">
        <v>45953</v>
      </c>
      <c r="B2195" s="139">
        <v>111010</v>
      </c>
      <c r="C2195" s="30" t="str">
        <f>VLOOKUP(B2195,'112年全品項生產鍋數'!A:H,2,0)</f>
        <v>糖漬桔皮絲</v>
      </c>
      <c r="D2195" s="290">
        <v>1</v>
      </c>
      <c r="E2195" s="48">
        <f>VLOOKUP(B2195,'112年全品項生產鍋數'!A:H,3,0)</f>
        <v>1</v>
      </c>
      <c r="F2195" s="142">
        <f>VLOOKUP(B2195,'112年全品項生產鍋數'!A:H,7,0)</f>
        <v>942</v>
      </c>
      <c r="G2195" s="143">
        <f t="shared" si="316"/>
        <v>942</v>
      </c>
      <c r="H2195" s="156">
        <v>795</v>
      </c>
      <c r="I2195" s="23">
        <f t="shared" si="317"/>
        <v>795</v>
      </c>
      <c r="J2195" s="100">
        <f t="shared" si="318"/>
        <v>0.8439490445859873</v>
      </c>
      <c r="K2195" s="51">
        <f>VLOOKUP(B:B,'生產達成率(目標)'!A:C,3,0)</f>
        <v>1</v>
      </c>
      <c r="L2195" s="20">
        <f t="shared" si="319"/>
        <v>-0.156</v>
      </c>
      <c r="M2195" s="137" t="str">
        <f>工時!R1381</f>
        <v>0</v>
      </c>
      <c r="N2195" s="144"/>
      <c r="O2195" s="144">
        <f t="shared" si="320"/>
        <v>0</v>
      </c>
      <c r="P2195" s="156">
        <v>795</v>
      </c>
      <c r="Q2195" s="98">
        <f t="shared" si="321"/>
        <v>1</v>
      </c>
      <c r="R2195" s="23"/>
      <c r="S2195" s="173"/>
      <c r="T2195" s="86"/>
      <c r="U2195" s="1"/>
      <c r="V2195" s="460"/>
      <c r="X2195" s="460"/>
    </row>
    <row r="2196" spans="1:30" x14ac:dyDescent="0.4">
      <c r="A2196" s="212">
        <v>45957</v>
      </c>
      <c r="B2196" s="139" t="s">
        <v>114</v>
      </c>
      <c r="C2196" s="30" t="str">
        <f>VLOOKUP(B2196,'112年全品項生產鍋數'!A:H,2,0)</f>
        <v>開心草莓果醬(1*430g)</v>
      </c>
      <c r="D2196" s="290">
        <v>15</v>
      </c>
      <c r="E2196" s="48">
        <f>VLOOKUP(B2196,'112年全品項生產鍋數'!A:H,3,0)</f>
        <v>0.43</v>
      </c>
      <c r="F2196" s="142">
        <f>VLOOKUP(B2196,'112年全品項生產鍋數'!A:H,7,0)</f>
        <v>364</v>
      </c>
      <c r="G2196" s="143">
        <f t="shared" si="316"/>
        <v>5460</v>
      </c>
      <c r="H2196" s="156">
        <v>5544</v>
      </c>
      <c r="I2196" s="23">
        <f t="shared" si="317"/>
        <v>2383.92</v>
      </c>
      <c r="J2196" s="100">
        <f t="shared" si="318"/>
        <v>1.0153846153846153</v>
      </c>
      <c r="K2196" s="51">
        <f>VLOOKUP(B:B,'生產達成率(目標)'!A:C,3,0)</f>
        <v>1</v>
      </c>
      <c r="L2196" s="20">
        <f t="shared" si="319"/>
        <v>1.4999999999999999E-2</v>
      </c>
      <c r="M2196" s="137" t="str">
        <f>工時!R1382</f>
        <v>300</v>
      </c>
      <c r="N2196" s="144"/>
      <c r="O2196" s="144">
        <f t="shared" si="320"/>
        <v>7</v>
      </c>
      <c r="P2196" s="156">
        <v>5537</v>
      </c>
      <c r="Q2196" s="98">
        <f t="shared" si="321"/>
        <v>0.9987373737373737</v>
      </c>
      <c r="R2196" s="23"/>
      <c r="S2196" s="173"/>
      <c r="T2196" s="86"/>
      <c r="U2196" s="1"/>
      <c r="V2196" s="460"/>
      <c r="X2196" s="460"/>
    </row>
    <row r="2197" spans="1:30" x14ac:dyDescent="0.4">
      <c r="A2197" s="212">
        <v>45957</v>
      </c>
      <c r="B2197" s="139" t="s">
        <v>91</v>
      </c>
      <c r="C2197" s="30" t="str">
        <f>VLOOKUP(B2197,'112年全品項生產鍋數'!A:H,2,0)</f>
        <v>梨山草莓果醬(1*430g)</v>
      </c>
      <c r="D2197" s="290">
        <v>8</v>
      </c>
      <c r="E2197" s="48">
        <f>VLOOKUP(B2197,'112年全品項生產鍋數'!A:H,3,0)</f>
        <v>0.43</v>
      </c>
      <c r="F2197" s="142">
        <f>VLOOKUP(B2197,'112年全品項生產鍋數'!A:H,7,0)</f>
        <v>340.4</v>
      </c>
      <c r="G2197" s="143">
        <f t="shared" si="316"/>
        <v>2723.2</v>
      </c>
      <c r="H2197" s="156">
        <f>2162+494</f>
        <v>2656</v>
      </c>
      <c r="I2197" s="23">
        <f t="shared" si="317"/>
        <v>1142.08</v>
      </c>
      <c r="J2197" s="100">
        <f t="shared" si="318"/>
        <v>0.97532314923619279</v>
      </c>
      <c r="K2197" s="51">
        <f>VLOOKUP(B:B,'生產達成率(目標)'!A:C,3,0)</f>
        <v>1</v>
      </c>
      <c r="L2197" s="20">
        <f t="shared" si="319"/>
        <v>-2.5000000000000001E-2</v>
      </c>
      <c r="M2197" s="137" t="str">
        <f>工時!R1383</f>
        <v>240</v>
      </c>
      <c r="N2197" s="144"/>
      <c r="O2197" s="144">
        <f t="shared" si="320"/>
        <v>6</v>
      </c>
      <c r="P2197" s="156">
        <f>2160+490</f>
        <v>2650</v>
      </c>
      <c r="Q2197" s="98">
        <f t="shared" si="321"/>
        <v>0.99774096385542166</v>
      </c>
      <c r="R2197" s="23"/>
      <c r="S2197" s="173"/>
      <c r="T2197" s="86" t="s">
        <v>1149</v>
      </c>
      <c r="U2197" s="1"/>
      <c r="V2197" s="460"/>
      <c r="X2197" s="460"/>
    </row>
    <row r="2198" spans="1:30" x14ac:dyDescent="0.4">
      <c r="A2198" s="212">
        <v>45957</v>
      </c>
      <c r="B2198" s="139" t="s">
        <v>107</v>
      </c>
      <c r="C2198" s="30" t="str">
        <f>VLOOKUP(B2198,'112年全品項生產鍋數'!A:H,2,0)</f>
        <v>藍莓餡(1*6kg)</v>
      </c>
      <c r="D2198" s="290">
        <v>16</v>
      </c>
      <c r="E2198" s="48">
        <f>VLOOKUP(B2198,'112年全品項生產鍋數'!A:H,3,0)</f>
        <v>6</v>
      </c>
      <c r="F2198" s="142">
        <f>VLOOKUP(B2198,'112年全品項生產鍋數'!A:H,7,0)</f>
        <v>26.4</v>
      </c>
      <c r="G2198" s="143">
        <f t="shared" si="316"/>
        <v>422.4</v>
      </c>
      <c r="H2198" s="156">
        <v>423</v>
      </c>
      <c r="I2198" s="23">
        <f t="shared" si="317"/>
        <v>2538</v>
      </c>
      <c r="J2198" s="100">
        <f t="shared" si="318"/>
        <v>1.0014204545454546</v>
      </c>
      <c r="K2198" s="51">
        <f>VLOOKUP(B:B,'生產達成率(目標)'!A:C,3,0)</f>
        <v>1</v>
      </c>
      <c r="L2198" s="20">
        <f t="shared" si="319"/>
        <v>1E-3</v>
      </c>
      <c r="M2198" s="137" t="str">
        <f>工時!R1384</f>
        <v>275</v>
      </c>
      <c r="N2198" s="144"/>
      <c r="O2198" s="144">
        <f t="shared" si="320"/>
        <v>1</v>
      </c>
      <c r="P2198" s="156">
        <v>422</v>
      </c>
      <c r="Q2198" s="98">
        <f t="shared" si="321"/>
        <v>0.99763593380614657</v>
      </c>
      <c r="R2198" s="23"/>
      <c r="S2198" s="173"/>
      <c r="T2198" s="86"/>
      <c r="U2198" s="1"/>
      <c r="V2198" s="460"/>
      <c r="X2198" s="460"/>
    </row>
    <row r="2199" spans="1:30" x14ac:dyDescent="0.4">
      <c r="A2199" s="212">
        <v>45957</v>
      </c>
      <c r="B2199" s="139" t="s">
        <v>63</v>
      </c>
      <c r="C2199" s="30" t="str">
        <f>VLOOKUP(B2199,'112年全品項生產鍋數'!A:H,2,0)</f>
        <v>草莓蒟蒻餡(1*6kg)</v>
      </c>
      <c r="D2199" s="290">
        <v>24</v>
      </c>
      <c r="E2199" s="48">
        <f>VLOOKUP(B2199,'112年全品項生產鍋數'!A:H,3,0)</f>
        <v>6</v>
      </c>
      <c r="F2199" s="142">
        <f>VLOOKUP(B2199,'112年全品項生產鍋數'!A:H,7,0)</f>
        <v>25.7</v>
      </c>
      <c r="G2199" s="143">
        <f t="shared" si="316"/>
        <v>616.79999999999995</v>
      </c>
      <c r="H2199" s="156">
        <f>302+315</f>
        <v>617</v>
      </c>
      <c r="I2199" s="23">
        <f t="shared" si="317"/>
        <v>3702</v>
      </c>
      <c r="J2199" s="100">
        <f t="shared" si="318"/>
        <v>1.0003242542153048</v>
      </c>
      <c r="K2199" s="51">
        <f>VLOOKUP(B:B,'生產達成率(目標)'!A:C,3,0)</f>
        <v>1</v>
      </c>
      <c r="L2199" s="20">
        <f t="shared" si="319"/>
        <v>0</v>
      </c>
      <c r="M2199" s="137" t="str">
        <f>工時!R1385</f>
        <v>356</v>
      </c>
      <c r="N2199" s="144"/>
      <c r="O2199" s="144">
        <f t="shared" si="320"/>
        <v>1</v>
      </c>
      <c r="P2199" s="156">
        <f>301+315</f>
        <v>616</v>
      </c>
      <c r="Q2199" s="98">
        <f t="shared" si="321"/>
        <v>0.99837925445705022</v>
      </c>
      <c r="R2199" s="23"/>
      <c r="S2199" s="173"/>
      <c r="T2199" s="86"/>
      <c r="U2199" s="1"/>
      <c r="V2199" s="460"/>
      <c r="X2199" s="460"/>
    </row>
    <row r="2200" spans="1:30" x14ac:dyDescent="0.4">
      <c r="A2200" s="212">
        <v>45957</v>
      </c>
      <c r="B2200" s="139" t="s">
        <v>65</v>
      </c>
      <c r="C2200" s="30" t="str">
        <f>VLOOKUP(B2200,'112年全品項生產鍋數'!A:H,2,0)</f>
        <v>＃1花生(1*2.8kg)</v>
      </c>
      <c r="D2200" s="290">
        <v>60</v>
      </c>
      <c r="E2200" s="48">
        <f>VLOOKUP(B2200,'112年全品項生產鍋數'!A:H,3,0)</f>
        <v>2.8</v>
      </c>
      <c r="F2200" s="142">
        <f>VLOOKUP(B2200,'112年全品項生產鍋數'!A:H,7,0)</f>
        <v>44.5</v>
      </c>
      <c r="G2200" s="143">
        <f>D2200*F2200-18*75/E2200</f>
        <v>2187.8571428571427</v>
      </c>
      <c r="H2200" s="144">
        <v>2192</v>
      </c>
      <c r="I2200" s="23">
        <f t="shared" si="317"/>
        <v>6137.5999999999995</v>
      </c>
      <c r="J2200" s="100">
        <f t="shared" si="318"/>
        <v>1.0018935683969965</v>
      </c>
      <c r="K2200" s="51">
        <f>VLOOKUP(B:B,'生產達成率(目標)'!A:C,3,0)</f>
        <v>1</v>
      </c>
      <c r="L2200" s="20">
        <f t="shared" si="319"/>
        <v>2E-3</v>
      </c>
      <c r="M2200" s="137" t="str">
        <f>工時!R1386</f>
        <v>470</v>
      </c>
      <c r="N2200" s="144"/>
      <c r="O2200" s="144">
        <f t="shared" si="320"/>
        <v>1</v>
      </c>
      <c r="P2200" s="156">
        <v>2191</v>
      </c>
      <c r="Q2200" s="98">
        <f t="shared" si="321"/>
        <v>0.99954379562043794</v>
      </c>
      <c r="R2200" s="23"/>
      <c r="S2200" s="173"/>
      <c r="T2200" s="86" t="s">
        <v>1148</v>
      </c>
      <c r="U2200" s="1"/>
      <c r="V2200" s="460"/>
      <c r="X2200" s="460"/>
    </row>
    <row r="2201" spans="1:30" x14ac:dyDescent="0.4">
      <c r="A2201" s="212">
        <v>45958</v>
      </c>
      <c r="B2201" s="139" t="s">
        <v>86</v>
      </c>
      <c r="C2201" s="30" t="str">
        <f>VLOOKUP(B2201,'112年全品項生產鍋數'!A:H,2,0)</f>
        <v>＃2藍莓(1*900g)</v>
      </c>
      <c r="D2201" s="290">
        <v>40</v>
      </c>
      <c r="E2201" s="48">
        <f>VLOOKUP(B2201,'112年全品項生產鍋數'!A:H,3,0)</f>
        <v>0.9</v>
      </c>
      <c r="F2201" s="142">
        <f>VLOOKUP(B2201,'112年全品項生產鍋數'!A:H,7,0)</f>
        <v>163</v>
      </c>
      <c r="G2201" s="143">
        <f t="shared" si="316"/>
        <v>6520</v>
      </c>
      <c r="H2201" s="156">
        <f>6645</f>
        <v>6645</v>
      </c>
      <c r="I2201" s="23">
        <f t="shared" si="317"/>
        <v>5980.5</v>
      </c>
      <c r="J2201" s="100">
        <f t="shared" si="318"/>
        <v>1.0191717791411044</v>
      </c>
      <c r="K2201" s="51">
        <f>VLOOKUP(B:B,'生產達成率(目標)'!A:C,3,0)</f>
        <v>1</v>
      </c>
      <c r="L2201" s="20">
        <f t="shared" si="319"/>
        <v>1.9E-2</v>
      </c>
      <c r="M2201" s="137" t="str">
        <f>工時!R1387</f>
        <v>540</v>
      </c>
      <c r="N2201" s="144"/>
      <c r="O2201" s="144">
        <f t="shared" si="320"/>
        <v>2</v>
      </c>
      <c r="P2201" s="156">
        <v>6643</v>
      </c>
      <c r="Q2201" s="98">
        <f t="shared" si="321"/>
        <v>0.99969902182091797</v>
      </c>
      <c r="R2201" s="23"/>
      <c r="S2201" s="173"/>
      <c r="T2201" s="86"/>
      <c r="U2201" s="1"/>
      <c r="V2201" s="460"/>
      <c r="X2201" s="460"/>
    </row>
    <row r="2202" spans="1:30" x14ac:dyDescent="0.4">
      <c r="A2202" s="212">
        <v>45958</v>
      </c>
      <c r="B2202" s="139" t="s">
        <v>63</v>
      </c>
      <c r="C2202" s="30" t="str">
        <f>VLOOKUP(B2202,'112年全品項生產鍋數'!A:H,2,0)</f>
        <v>草莓蒟蒻餡(1*6kg)</v>
      </c>
      <c r="D2202" s="290">
        <v>20</v>
      </c>
      <c r="E2202" s="48">
        <f>VLOOKUP(B2202,'112年全品項生產鍋數'!A:H,3,0)</f>
        <v>6</v>
      </c>
      <c r="F2202" s="142">
        <f>VLOOKUP(B2202,'112年全品項生產鍋數'!A:H,7,0)</f>
        <v>25.7</v>
      </c>
      <c r="G2202" s="143">
        <f t="shared" si="316"/>
        <v>514</v>
      </c>
      <c r="H2202" s="156">
        <f>303+211</f>
        <v>514</v>
      </c>
      <c r="I2202" s="23">
        <f t="shared" si="317"/>
        <v>3084</v>
      </c>
      <c r="J2202" s="100">
        <f t="shared" si="318"/>
        <v>1</v>
      </c>
      <c r="K2202" s="51">
        <f>VLOOKUP(B:B,'生產達成率(目標)'!A:C,3,0)</f>
        <v>1</v>
      </c>
      <c r="L2202" s="20">
        <f t="shared" si="319"/>
        <v>0</v>
      </c>
      <c r="M2202" s="137" t="str">
        <f>工時!R1388</f>
        <v>270</v>
      </c>
      <c r="N2202" s="144"/>
      <c r="O2202" s="144">
        <f t="shared" si="320"/>
        <v>1</v>
      </c>
      <c r="P2202" s="156">
        <f>302+211</f>
        <v>513</v>
      </c>
      <c r="Q2202" s="98">
        <f t="shared" si="321"/>
        <v>0.99805447470817121</v>
      </c>
      <c r="R2202" s="23"/>
      <c r="S2202" s="173"/>
      <c r="T2202" s="86"/>
      <c r="U2202" s="1"/>
      <c r="V2202" s="460"/>
      <c r="X2202" s="460"/>
    </row>
    <row r="2203" spans="1:30" s="281" customFormat="1" x14ac:dyDescent="0.4">
      <c r="A2203" s="265">
        <v>45958</v>
      </c>
      <c r="B2203" s="266" t="s">
        <v>536</v>
      </c>
      <c r="C2203" s="267" t="str">
        <f>VLOOKUP(B2203,'112年全品項生產鍋數'!A:H,2,0)</f>
        <v>花生醬(1*3.5KG)</v>
      </c>
      <c r="D2203" s="295">
        <v>6</v>
      </c>
      <c r="E2203" s="268">
        <f>VLOOKUP(B2203,'112年全品項生產鍋數'!A:H,3,0)</f>
        <v>3.5</v>
      </c>
      <c r="F2203" s="269">
        <f>VLOOKUP(B2203,'112年全品項生產鍋數'!A:H,7,0)</f>
        <v>25.4</v>
      </c>
      <c r="G2203" s="270">
        <f t="shared" si="316"/>
        <v>152.39999999999998</v>
      </c>
      <c r="H2203" s="271">
        <f>499/3.5</f>
        <v>142.57142857142858</v>
      </c>
      <c r="I2203" s="272">
        <f t="shared" si="317"/>
        <v>499.00000000000006</v>
      </c>
      <c r="J2203" s="273">
        <f t="shared" si="318"/>
        <v>0.93550806149231369</v>
      </c>
      <c r="K2203" s="274">
        <f>VLOOKUP(B:B,'生產達成率(目標)'!A:C,3,0)</f>
        <v>1</v>
      </c>
      <c r="L2203" s="275">
        <f t="shared" si="319"/>
        <v>-6.4000000000000001E-2</v>
      </c>
      <c r="M2203" s="276" t="str">
        <f>工時!R1389</f>
        <v>450</v>
      </c>
      <c r="N2203" s="272"/>
      <c r="O2203" s="272">
        <f t="shared" si="320"/>
        <v>142.57142857142858</v>
      </c>
      <c r="P2203" s="277">
        <v>0</v>
      </c>
      <c r="Q2203" s="278">
        <f t="shared" si="321"/>
        <v>0</v>
      </c>
      <c r="R2203" s="272" t="s">
        <v>1152</v>
      </c>
      <c r="S2203" s="279"/>
      <c r="T2203" s="300" t="s">
        <v>1157</v>
      </c>
      <c r="U2203" s="280"/>
      <c r="V2203" s="462"/>
      <c r="W2203" s="421"/>
      <c r="X2203" s="462"/>
      <c r="Y2203" s="421"/>
      <c r="Z2203" s="421"/>
      <c r="AA2203" s="421"/>
      <c r="AB2203" s="421"/>
      <c r="AC2203" s="421"/>
      <c r="AD2203" s="421"/>
    </row>
    <row r="2204" spans="1:30" x14ac:dyDescent="0.4">
      <c r="A2204" s="212">
        <v>45958</v>
      </c>
      <c r="B2204" s="139" t="s">
        <v>65</v>
      </c>
      <c r="C2204" s="30" t="str">
        <f>VLOOKUP(B2204,'112年全品項生產鍋數'!A:H,2,0)</f>
        <v>＃1花生(1*2.8kg)</v>
      </c>
      <c r="D2204" s="290">
        <v>60</v>
      </c>
      <c r="E2204" s="48">
        <f>VLOOKUP(B2204,'112年全品項生產鍋數'!A:H,3,0)</f>
        <v>2.8</v>
      </c>
      <c r="F2204" s="142">
        <f>VLOOKUP(B2204,'112年全品項生產鍋數'!A:H,7,0)</f>
        <v>44.5</v>
      </c>
      <c r="G2204" s="143">
        <f t="shared" si="316"/>
        <v>2670</v>
      </c>
      <c r="H2204" s="156">
        <v>2674</v>
      </c>
      <c r="I2204" s="23">
        <f t="shared" si="317"/>
        <v>7487.2</v>
      </c>
      <c r="J2204" s="100">
        <f t="shared" si="318"/>
        <v>1.0014981273408239</v>
      </c>
      <c r="K2204" s="51">
        <f>VLOOKUP(B:B,'生產達成率(目標)'!A:C,3,0)</f>
        <v>1</v>
      </c>
      <c r="L2204" s="20">
        <f t="shared" si="319"/>
        <v>1E-3</v>
      </c>
      <c r="M2204" s="137" t="str">
        <f>工時!R1390</f>
        <v>455</v>
      </c>
      <c r="N2204" s="144"/>
      <c r="O2204" s="144">
        <f t="shared" si="320"/>
        <v>1</v>
      </c>
      <c r="P2204" s="156">
        <v>2673</v>
      </c>
      <c r="Q2204" s="98">
        <f t="shared" si="321"/>
        <v>0.9996260284218399</v>
      </c>
      <c r="R2204" s="23"/>
      <c r="S2204" s="173"/>
      <c r="T2204" s="86"/>
      <c r="U2204" s="1"/>
      <c r="V2204" s="460"/>
      <c r="X2204" s="460"/>
    </row>
    <row r="2205" spans="1:30" x14ac:dyDescent="0.4">
      <c r="A2205" s="212">
        <v>45959</v>
      </c>
      <c r="B2205" s="139" t="s">
        <v>80</v>
      </c>
      <c r="C2205" s="30" t="str">
        <f>VLOOKUP(B2205,'112年全品項生產鍋數'!A:H,2,0)</f>
        <v>＃1桔子(1*3.2kg)</v>
      </c>
      <c r="D2205" s="290">
        <v>72</v>
      </c>
      <c r="E2205" s="48">
        <f>VLOOKUP(B2205,'112年全品項生產鍋數'!A:H,3,0)</f>
        <v>3.2</v>
      </c>
      <c r="F2205" s="142">
        <f>VLOOKUP(B2205,'112年全品項生產鍋數'!A:H,7,0)</f>
        <v>46.4</v>
      </c>
      <c r="G2205" s="143">
        <f t="shared" si="316"/>
        <v>3340.7999999999997</v>
      </c>
      <c r="H2205" s="156">
        <v>3322</v>
      </c>
      <c r="I2205" s="23">
        <f t="shared" si="317"/>
        <v>10630.400000000001</v>
      </c>
      <c r="J2205" s="100">
        <f t="shared" si="318"/>
        <v>0.99437260536398475</v>
      </c>
      <c r="K2205" s="51">
        <f>VLOOKUP(B:B,'生產達成率(目標)'!A:C,3,0)</f>
        <v>1</v>
      </c>
      <c r="L2205" s="20">
        <f t="shared" si="319"/>
        <v>-6.0000000000000001E-3</v>
      </c>
      <c r="M2205" s="137" t="str">
        <f>工時!R1391</f>
        <v>540</v>
      </c>
      <c r="N2205" s="144"/>
      <c r="O2205" s="144">
        <f t="shared" si="320"/>
        <v>3</v>
      </c>
      <c r="P2205" s="156">
        <v>3319</v>
      </c>
      <c r="Q2205" s="98">
        <f t="shared" si="321"/>
        <v>0.99909692956050566</v>
      </c>
      <c r="R2205" s="23"/>
      <c r="S2205" s="173"/>
      <c r="T2205" s="86"/>
      <c r="U2205" s="1"/>
      <c r="V2205" s="460"/>
      <c r="X2205" s="460"/>
    </row>
    <row r="2206" spans="1:30" x14ac:dyDescent="0.4">
      <c r="A2206" s="212">
        <v>45959</v>
      </c>
      <c r="B2206" s="139" t="s">
        <v>63</v>
      </c>
      <c r="C2206" s="30" t="str">
        <f>VLOOKUP(B2206,'112年全品項生產鍋數'!A:H,2,0)</f>
        <v>草莓蒟蒻餡(1*6kg)</v>
      </c>
      <c r="D2206" s="290">
        <v>24</v>
      </c>
      <c r="E2206" s="48">
        <f>VLOOKUP(B2206,'112年全品項生產鍋數'!A:H,3,0)</f>
        <v>6</v>
      </c>
      <c r="F2206" s="142">
        <f>VLOOKUP(B2206,'112年全品項生產鍋數'!A:H,7,0)</f>
        <v>25.7</v>
      </c>
      <c r="G2206" s="143">
        <f t="shared" si="316"/>
        <v>616.79999999999995</v>
      </c>
      <c r="H2206" s="156">
        <f>308+320</f>
        <v>628</v>
      </c>
      <c r="I2206" s="23">
        <f t="shared" si="317"/>
        <v>3768</v>
      </c>
      <c r="J2206" s="100">
        <f t="shared" si="318"/>
        <v>1.0181582360570689</v>
      </c>
      <c r="K2206" s="51">
        <f>VLOOKUP(B:B,'生產達成率(目標)'!A:C,3,0)</f>
        <v>1</v>
      </c>
      <c r="L2206" s="20">
        <f t="shared" si="319"/>
        <v>1.7999999999999999E-2</v>
      </c>
      <c r="M2206" s="137" t="str">
        <f>工時!R1392</f>
        <v>302</v>
      </c>
      <c r="N2206" s="144"/>
      <c r="O2206" s="144">
        <f t="shared" si="320"/>
        <v>3</v>
      </c>
      <c r="P2206" s="156">
        <f>307+318</f>
        <v>625</v>
      </c>
      <c r="Q2206" s="98">
        <f t="shared" si="321"/>
        <v>0.99522292993630568</v>
      </c>
      <c r="R2206" s="23"/>
      <c r="S2206" s="173"/>
      <c r="T2206" s="86"/>
      <c r="U2206" s="1"/>
      <c r="V2206" s="460"/>
      <c r="X2206" s="460"/>
    </row>
    <row r="2207" spans="1:30" x14ac:dyDescent="0.4">
      <c r="A2207" s="212">
        <v>45959</v>
      </c>
      <c r="B2207" s="139" t="s">
        <v>984</v>
      </c>
      <c r="C2207" s="30" t="str">
        <f>VLOOKUP(B2207,'112年全品項生產鍋數'!A:H,2,0)</f>
        <v>蘋果餡(1*6Kg)</v>
      </c>
      <c r="D2207" s="290">
        <v>8</v>
      </c>
      <c r="E2207" s="48">
        <f>VLOOKUP(B2207,'112年全品項生產鍋數'!A:H,3,0)</f>
        <v>6</v>
      </c>
      <c r="F2207" s="142">
        <f>VLOOKUP(B2207,'112年全品項生產鍋數'!A:H,7,0)</f>
        <v>25.6</v>
      </c>
      <c r="G2207" s="143">
        <f t="shared" si="316"/>
        <v>204.8</v>
      </c>
      <c r="H2207" s="156">
        <v>208</v>
      </c>
      <c r="I2207" s="23">
        <f t="shared" si="317"/>
        <v>1248</v>
      </c>
      <c r="J2207" s="100">
        <f t="shared" si="318"/>
        <v>1.015625</v>
      </c>
      <c r="K2207" s="51" t="e">
        <f>VLOOKUP(B:B,'生產達成率(目標)'!A:C,3,0)</f>
        <v>#N/A</v>
      </c>
      <c r="L2207" s="20" t="e">
        <f t="shared" si="319"/>
        <v>#N/A</v>
      </c>
      <c r="M2207" s="137" t="str">
        <f>工時!R1393</f>
        <v>165</v>
      </c>
      <c r="N2207" s="144"/>
      <c r="O2207" s="144">
        <f t="shared" si="320"/>
        <v>1</v>
      </c>
      <c r="P2207" s="156">
        <v>207</v>
      </c>
      <c r="Q2207" s="98">
        <f t="shared" si="321"/>
        <v>0.99519230769230771</v>
      </c>
      <c r="R2207" s="23"/>
      <c r="S2207" s="173"/>
      <c r="T2207" s="86"/>
      <c r="U2207" s="1"/>
      <c r="V2207" s="460"/>
      <c r="X2207" s="460"/>
    </row>
    <row r="2208" spans="1:30" x14ac:dyDescent="0.4">
      <c r="A2208" s="212">
        <v>45959</v>
      </c>
      <c r="B2208" s="139" t="s">
        <v>451</v>
      </c>
      <c r="C2208" s="30" t="str">
        <f>VLOOKUP(B2208,'112年全品項生產鍋數'!A:H,2,0)</f>
        <v>水蜜桃醬(1*6kg)</v>
      </c>
      <c r="D2208" s="290">
        <v>6</v>
      </c>
      <c r="E2208" s="48">
        <f>VLOOKUP(B2208,'112年全品項生產鍋數'!A:H,3,0)</f>
        <v>6</v>
      </c>
      <c r="F2208" s="142">
        <f>VLOOKUP(B2208,'112年全品項生產鍋數'!A:H,7,0)</f>
        <v>24.5</v>
      </c>
      <c r="G2208" s="143">
        <f t="shared" si="316"/>
        <v>147</v>
      </c>
      <c r="H2208" s="156">
        <v>149</v>
      </c>
      <c r="I2208" s="23">
        <f t="shared" si="317"/>
        <v>894</v>
      </c>
      <c r="J2208" s="100">
        <f t="shared" si="318"/>
        <v>1.0136054421768708</v>
      </c>
      <c r="K2208" s="51">
        <f>VLOOKUP(B:B,'生產達成率(目標)'!A:C,3,0)</f>
        <v>1</v>
      </c>
      <c r="L2208" s="20">
        <f t="shared" si="319"/>
        <v>1.4E-2</v>
      </c>
      <c r="M2208" s="137" t="str">
        <f>工時!R1394</f>
        <v>125</v>
      </c>
      <c r="N2208" s="144"/>
      <c r="O2208" s="144">
        <f t="shared" si="320"/>
        <v>1</v>
      </c>
      <c r="P2208" s="156">
        <v>148</v>
      </c>
      <c r="Q2208" s="98">
        <f t="shared" si="321"/>
        <v>0.99328859060402686</v>
      </c>
      <c r="R2208" s="23"/>
      <c r="S2208" s="173"/>
      <c r="T2208" s="86"/>
      <c r="U2208" s="1"/>
      <c r="V2208" s="460"/>
      <c r="X2208" s="460"/>
    </row>
    <row r="2209" spans="1:30" s="146" customFormat="1" x14ac:dyDescent="0.4">
      <c r="A2209" s="212">
        <v>45959</v>
      </c>
      <c r="B2209" s="139" t="s">
        <v>82</v>
      </c>
      <c r="C2209" s="140" t="str">
        <f>VLOOKUP(B2209,'112年全品項生產鍋數'!A:H,2,0)</f>
        <v>顆粒花生醬(全)</v>
      </c>
      <c r="D2209" s="290">
        <v>36</v>
      </c>
      <c r="E2209" s="141">
        <f>VLOOKUP(B2209,'112年全品項生產鍋數'!A:H,3,0)</f>
        <v>0.34</v>
      </c>
      <c r="F2209" s="142">
        <f>VLOOKUP(B2209,'112年全品項生產鍋數'!A:H,7,0)</f>
        <v>364.6</v>
      </c>
      <c r="G2209" s="143">
        <f t="shared" si="316"/>
        <v>13125.6</v>
      </c>
      <c r="H2209" s="156">
        <v>13070</v>
      </c>
      <c r="I2209" s="144">
        <f t="shared" si="317"/>
        <v>4443.8</v>
      </c>
      <c r="J2209" s="100">
        <f t="shared" si="318"/>
        <v>0.99576400316937885</v>
      </c>
      <c r="K2209" s="51">
        <f>VLOOKUP(B:B,'生產達成率(目標)'!A:C,3,0)</f>
        <v>1</v>
      </c>
      <c r="L2209" s="20">
        <f t="shared" si="319"/>
        <v>-4.0000000000000001E-3</v>
      </c>
      <c r="M2209" s="137" t="str">
        <f>工時!R1395</f>
        <v>540</v>
      </c>
      <c r="N2209" s="144"/>
      <c r="O2209" s="144">
        <f t="shared" si="320"/>
        <v>3</v>
      </c>
      <c r="P2209" s="156">
        <v>13067</v>
      </c>
      <c r="Q2209" s="145">
        <f t="shared" si="321"/>
        <v>0.99977046671767411</v>
      </c>
      <c r="R2209" s="144"/>
      <c r="S2209" s="153"/>
      <c r="T2209" s="282"/>
      <c r="U2209" s="158"/>
      <c r="V2209" s="461"/>
      <c r="W2209" s="421"/>
      <c r="X2209" s="461"/>
      <c r="Y2209" s="421"/>
      <c r="Z2209" s="421"/>
      <c r="AA2209" s="421"/>
      <c r="AB2209" s="421"/>
      <c r="AC2209" s="421"/>
      <c r="AD2209" s="421"/>
    </row>
    <row r="2210" spans="1:30" s="146" customFormat="1" x14ac:dyDescent="0.4">
      <c r="A2210" s="212">
        <v>45960</v>
      </c>
      <c r="B2210" s="139" t="s">
        <v>68</v>
      </c>
      <c r="C2210" s="140" t="str">
        <f>VLOOKUP(B2210,'112年全品項生產鍋數'!A:H,2,0)</f>
        <v>#2草莓果醬(1*900g)</v>
      </c>
      <c r="D2210" s="290">
        <v>40</v>
      </c>
      <c r="E2210" s="141">
        <f>VLOOKUP(B2210,'112年全品項生產鍋數'!A:H,3,0)</f>
        <v>0.9</v>
      </c>
      <c r="F2210" s="142">
        <f>VLOOKUP(B2210,'112年全品項生產鍋數'!A:H,7,0)</f>
        <v>160.5</v>
      </c>
      <c r="G2210" s="143">
        <f t="shared" si="316"/>
        <v>6420</v>
      </c>
      <c r="H2210" s="156">
        <v>6647</v>
      </c>
      <c r="I2210" s="144">
        <f t="shared" si="317"/>
        <v>5982.3</v>
      </c>
      <c r="J2210" s="100">
        <f t="shared" si="318"/>
        <v>1.0353582554517133</v>
      </c>
      <c r="K2210" s="51">
        <f>VLOOKUP(B:B,'生產達成率(目標)'!A:C,3,0)</f>
        <v>1</v>
      </c>
      <c r="L2210" s="20">
        <f t="shared" si="319"/>
        <v>3.5000000000000003E-2</v>
      </c>
      <c r="M2210" s="137" t="str">
        <f>工時!R1396</f>
        <v>540</v>
      </c>
      <c r="N2210" s="144"/>
      <c r="O2210" s="144">
        <f t="shared" si="320"/>
        <v>2</v>
      </c>
      <c r="P2210" s="156">
        <v>6645</v>
      </c>
      <c r="Q2210" s="145">
        <f t="shared" si="321"/>
        <v>0.99969911238152553</v>
      </c>
      <c r="R2210" s="23" t="s">
        <v>1240</v>
      </c>
      <c r="S2210" s="153">
        <v>121</v>
      </c>
      <c r="T2210" s="282"/>
      <c r="U2210" s="158"/>
      <c r="V2210" s="461"/>
      <c r="W2210" s="421"/>
      <c r="X2210" s="461"/>
      <c r="Y2210" s="421"/>
      <c r="Z2210" s="421"/>
      <c r="AA2210" s="421"/>
      <c r="AB2210" s="421"/>
      <c r="AC2210" s="421"/>
      <c r="AD2210" s="421"/>
    </row>
    <row r="2211" spans="1:30" s="146" customFormat="1" x14ac:dyDescent="0.4">
      <c r="A2211" s="212">
        <v>45960</v>
      </c>
      <c r="B2211" s="139" t="s">
        <v>55</v>
      </c>
      <c r="C2211" s="140" t="str">
        <f>VLOOKUP(B2211,'112年全品項生產鍋數'!A:H,2,0)</f>
        <v>天天開心草莓餡4.5KG</v>
      </c>
      <c r="D2211" s="290">
        <v>16</v>
      </c>
      <c r="E2211" s="141">
        <f>VLOOKUP(B2211,'112年全品項生產鍋數'!A:H,3,0)</f>
        <v>4.5</v>
      </c>
      <c r="F2211" s="142">
        <f>VLOOKUP(B2211,'112年全品項生產鍋數'!A:H,7,0)</f>
        <v>36.299999999999997</v>
      </c>
      <c r="G2211" s="143">
        <f t="shared" si="316"/>
        <v>580.79999999999995</v>
      </c>
      <c r="H2211" s="156">
        <v>577</v>
      </c>
      <c r="I2211" s="144">
        <f t="shared" si="317"/>
        <v>2596.5</v>
      </c>
      <c r="J2211" s="100">
        <f t="shared" si="318"/>
        <v>0.99345730027548218</v>
      </c>
      <c r="K2211" s="51">
        <f>VLOOKUP(B:B,'生產達成率(目標)'!A:C,3,0)</f>
        <v>1</v>
      </c>
      <c r="L2211" s="20">
        <f t="shared" si="319"/>
        <v>-7.0000000000000001E-3</v>
      </c>
      <c r="M2211" s="137" t="str">
        <f>工時!R1397</f>
        <v>264</v>
      </c>
      <c r="N2211" s="144"/>
      <c r="O2211" s="144">
        <f t="shared" si="320"/>
        <v>0</v>
      </c>
      <c r="P2211" s="156">
        <v>577</v>
      </c>
      <c r="Q2211" s="145">
        <f t="shared" si="321"/>
        <v>1</v>
      </c>
      <c r="R2211" s="144"/>
      <c r="S2211" s="153"/>
      <c r="T2211" s="282"/>
      <c r="U2211" s="158"/>
      <c r="V2211" s="461"/>
      <c r="W2211" s="421"/>
      <c r="X2211" s="461"/>
      <c r="Y2211" s="421"/>
      <c r="Z2211" s="421"/>
      <c r="AA2211" s="421"/>
      <c r="AB2211" s="421"/>
      <c r="AC2211" s="421"/>
      <c r="AD2211" s="421"/>
    </row>
    <row r="2212" spans="1:30" s="146" customFormat="1" x14ac:dyDescent="0.4">
      <c r="A2212" s="212">
        <v>45960</v>
      </c>
      <c r="B2212" s="139" t="s">
        <v>548</v>
      </c>
      <c r="C2212" s="140" t="str">
        <f>VLOOKUP(B2212,'112年全品項生產鍋數'!A:H,2,0)</f>
        <v>天天開心芒果餡4.5KG</v>
      </c>
      <c r="D2212" s="290">
        <v>8</v>
      </c>
      <c r="E2212" s="141">
        <f>VLOOKUP(B2212,'112年全品項生產鍋數'!A:H,3,0)</f>
        <v>4.5</v>
      </c>
      <c r="F2212" s="142">
        <f>VLOOKUP(B2212,'112年全品項生產鍋數'!A:H,7,0)</f>
        <v>33.200000000000003</v>
      </c>
      <c r="G2212" s="143">
        <f t="shared" si="316"/>
        <v>265.60000000000002</v>
      </c>
      <c r="H2212" s="156">
        <v>280</v>
      </c>
      <c r="I2212" s="144">
        <f t="shared" si="317"/>
        <v>1260</v>
      </c>
      <c r="J2212" s="100">
        <f t="shared" si="318"/>
        <v>1.0542168674698795</v>
      </c>
      <c r="K2212" s="51">
        <f>VLOOKUP(B:B,'生產達成率(目標)'!A:C,3,0)</f>
        <v>1</v>
      </c>
      <c r="L2212" s="20">
        <f t="shared" si="319"/>
        <v>5.3999999999999999E-2</v>
      </c>
      <c r="M2212" s="137" t="str">
        <f>工時!R1398</f>
        <v>170</v>
      </c>
      <c r="N2212" s="144"/>
      <c r="O2212" s="144">
        <f t="shared" si="320"/>
        <v>0</v>
      </c>
      <c r="P2212" s="156">
        <v>280</v>
      </c>
      <c r="Q2212" s="145">
        <f t="shared" si="321"/>
        <v>1</v>
      </c>
      <c r="R2212" s="144"/>
      <c r="S2212" s="153"/>
      <c r="T2212" s="282"/>
      <c r="U2212" s="158"/>
      <c r="V2212" s="461"/>
      <c r="W2212" s="421"/>
      <c r="X2212" s="461"/>
      <c r="Y2212" s="421"/>
      <c r="Z2212" s="421"/>
      <c r="AA2212" s="421"/>
      <c r="AB2212" s="421"/>
      <c r="AC2212" s="421"/>
      <c r="AD2212" s="421"/>
    </row>
    <row r="2213" spans="1:30" s="146" customFormat="1" x14ac:dyDescent="0.4">
      <c r="A2213" s="212">
        <v>45960</v>
      </c>
      <c r="B2213" s="139" t="s">
        <v>532</v>
      </c>
      <c r="C2213" s="140" t="str">
        <f>VLOOKUP(B2213,'112年全品項生產鍋數'!A:H,2,0)</f>
        <v>特殊藍莓餡(1*9.08kg)</v>
      </c>
      <c r="D2213" s="290">
        <v>12</v>
      </c>
      <c r="E2213" s="141">
        <f>VLOOKUP(B2213,'112年全品項生產鍋數'!A:H,3,0)</f>
        <v>9.08</v>
      </c>
      <c r="F2213" s="142">
        <f>VLOOKUP(B2213,'112年全品項生產鍋數'!A:H,7,0)</f>
        <v>17.5</v>
      </c>
      <c r="G2213" s="143">
        <f t="shared" si="316"/>
        <v>210</v>
      </c>
      <c r="H2213" s="156">
        <v>217</v>
      </c>
      <c r="I2213" s="144">
        <f t="shared" si="317"/>
        <v>1970.3600000000001</v>
      </c>
      <c r="J2213" s="100">
        <f t="shared" si="318"/>
        <v>1.0333333333333334</v>
      </c>
      <c r="K2213" s="51">
        <f>VLOOKUP(B:B,'生產達成率(目標)'!A:C,3,0)</f>
        <v>1</v>
      </c>
      <c r="L2213" s="20">
        <f t="shared" si="319"/>
        <v>3.3000000000000002E-2</v>
      </c>
      <c r="M2213" s="137" t="str">
        <f>工時!R1399</f>
        <v>205</v>
      </c>
      <c r="N2213" s="144"/>
      <c r="O2213" s="144">
        <f t="shared" si="320"/>
        <v>0</v>
      </c>
      <c r="P2213" s="156">
        <v>217</v>
      </c>
      <c r="Q2213" s="145">
        <f t="shared" si="321"/>
        <v>1</v>
      </c>
      <c r="R2213" s="144"/>
      <c r="S2213" s="153"/>
      <c r="T2213" s="282"/>
      <c r="U2213" s="158"/>
      <c r="V2213" s="461"/>
      <c r="W2213" s="421"/>
      <c r="X2213" s="461"/>
      <c r="Y2213" s="421"/>
      <c r="Z2213" s="421"/>
      <c r="AA2213" s="421"/>
      <c r="AB2213" s="421"/>
      <c r="AC2213" s="421"/>
      <c r="AD2213" s="421"/>
    </row>
    <row r="2214" spans="1:30" s="146" customFormat="1" x14ac:dyDescent="0.4">
      <c r="A2214" s="212">
        <v>45960</v>
      </c>
      <c r="B2214" s="139" t="s">
        <v>471</v>
      </c>
      <c r="C2214" s="140" t="str">
        <f>VLOOKUP(B2214,'112年全品項生產鍋數'!A:H,2,0)</f>
        <v>花生醬(1*290g)</v>
      </c>
      <c r="D2214" s="290">
        <v>8</v>
      </c>
      <c r="E2214" s="141">
        <f>VLOOKUP(B2214,'112年全品項生產鍋數'!A:H,3,0)</f>
        <v>0.28999999999999998</v>
      </c>
      <c r="F2214" s="142">
        <f>VLOOKUP(B2214,'112年全品項生產鍋數'!A:H,7,0)</f>
        <v>412.6</v>
      </c>
      <c r="G2214" s="143">
        <f t="shared" si="316"/>
        <v>3300.8</v>
      </c>
      <c r="H2214" s="156">
        <v>3455</v>
      </c>
      <c r="I2214" s="144">
        <f t="shared" si="317"/>
        <v>1001.9499999999999</v>
      </c>
      <c r="J2214" s="100">
        <f t="shared" si="318"/>
        <v>1.0467159476490546</v>
      </c>
      <c r="K2214" s="51">
        <f>VLOOKUP(B:B,'生產達成率(目標)'!A:C,3,0)</f>
        <v>1</v>
      </c>
      <c r="L2214" s="20">
        <f t="shared" si="319"/>
        <v>4.7E-2</v>
      </c>
      <c r="M2214" s="137" t="str">
        <f>工時!R1400</f>
        <v>300</v>
      </c>
      <c r="N2214" s="144"/>
      <c r="O2214" s="144">
        <f t="shared" si="320"/>
        <v>3</v>
      </c>
      <c r="P2214" s="156">
        <v>3452</v>
      </c>
      <c r="Q2214" s="145">
        <f t="shared" si="321"/>
        <v>0.99913169319826334</v>
      </c>
      <c r="R2214" s="144"/>
      <c r="S2214" s="153"/>
      <c r="T2214" s="282" t="s">
        <v>1150</v>
      </c>
      <c r="U2214" s="158"/>
      <c r="V2214" s="461"/>
      <c r="W2214" s="421"/>
      <c r="X2214" s="461"/>
      <c r="Y2214" s="421"/>
      <c r="Z2214" s="421"/>
      <c r="AA2214" s="421"/>
      <c r="AB2214" s="421"/>
      <c r="AC2214" s="421"/>
      <c r="AD2214" s="421"/>
    </row>
    <row r="2215" spans="1:30" x14ac:dyDescent="0.4">
      <c r="A2215" s="212">
        <v>45960</v>
      </c>
      <c r="B2215" s="139" t="s">
        <v>66</v>
      </c>
      <c r="C2215" s="30" t="str">
        <f>VLOOKUP(B2215,'112年全品項生產鍋數'!A:H,2,0)</f>
        <v>＃2花生(1*800g)</v>
      </c>
      <c r="D2215" s="290">
        <v>20</v>
      </c>
      <c r="E2215" s="48">
        <f>VLOOKUP(B2215,'112年全品項生產鍋數'!A:H,3,0)</f>
        <v>0.8</v>
      </c>
      <c r="F2215" s="142">
        <f>VLOOKUP(B2215,'112年全品項生產鍋數'!A:H,7,0)</f>
        <v>157.69999999999999</v>
      </c>
      <c r="G2215" s="143">
        <f t="shared" si="316"/>
        <v>3154</v>
      </c>
      <c r="H2215" s="156">
        <v>3099</v>
      </c>
      <c r="I2215" s="23">
        <f t="shared" si="317"/>
        <v>2479.2000000000003</v>
      </c>
      <c r="J2215" s="100">
        <f t="shared" si="318"/>
        <v>0.98256182625237798</v>
      </c>
      <c r="K2215" s="51">
        <f>VLOOKUP(B:B,'生產達成率(目標)'!A:C,3,0)</f>
        <v>1</v>
      </c>
      <c r="L2215" s="20">
        <f t="shared" si="319"/>
        <v>-1.7000000000000001E-2</v>
      </c>
      <c r="M2215" s="137" t="str">
        <f>工時!R1401</f>
        <v>390</v>
      </c>
      <c r="N2215" s="144"/>
      <c r="O2215" s="144">
        <f t="shared" si="320"/>
        <v>2</v>
      </c>
      <c r="P2215" s="156">
        <v>3097</v>
      </c>
      <c r="Q2215" s="98">
        <f t="shared" si="321"/>
        <v>0.99935463052597617</v>
      </c>
      <c r="R2215" s="23"/>
      <c r="S2215" s="173"/>
      <c r="T2215" s="86"/>
      <c r="U2215" s="1"/>
      <c r="V2215" s="460"/>
      <c r="X2215" s="460"/>
    </row>
    <row r="2216" spans="1:30" x14ac:dyDescent="0.4">
      <c r="A2216" s="212">
        <v>45961</v>
      </c>
      <c r="B2216" s="139" t="s">
        <v>71</v>
      </c>
      <c r="C2216" s="30" t="str">
        <f>VLOOKUP(B2216,'112年全品項生產鍋數'!A:H,2,0)</f>
        <v>＃1草莓(1*3.2kg)</v>
      </c>
      <c r="D2216" s="290">
        <v>72</v>
      </c>
      <c r="E2216" s="48">
        <f>VLOOKUP(B2216,'112年全品項生產鍋數'!A:H,3,0)</f>
        <v>3.2</v>
      </c>
      <c r="F2216" s="142">
        <f>VLOOKUP(B2216,'112年全品項生產鍋數'!A:H,7,0)</f>
        <v>46.8</v>
      </c>
      <c r="G2216" s="143">
        <f t="shared" si="316"/>
        <v>3369.6</v>
      </c>
      <c r="H2216" s="156">
        <v>3488</v>
      </c>
      <c r="I2216" s="23">
        <f t="shared" si="317"/>
        <v>11161.6</v>
      </c>
      <c r="J2216" s="100">
        <f t="shared" si="318"/>
        <v>1.0351377018043686</v>
      </c>
      <c r="K2216" s="51">
        <f>VLOOKUP(B:B,'生產達成率(目標)'!A:C,3,0)</f>
        <v>1</v>
      </c>
      <c r="L2216" s="20">
        <f t="shared" si="319"/>
        <v>3.5000000000000003E-2</v>
      </c>
      <c r="M2216" s="137" t="str">
        <f>工時!R1402</f>
        <v>540</v>
      </c>
      <c r="N2216" s="144"/>
      <c r="O2216" s="144">
        <f t="shared" si="320"/>
        <v>2</v>
      </c>
      <c r="P2216" s="156">
        <v>3486</v>
      </c>
      <c r="Q2216" s="98">
        <f t="shared" si="321"/>
        <v>0.99942660550458717</v>
      </c>
      <c r="R2216" s="23" t="s">
        <v>1240</v>
      </c>
      <c r="S2216" s="173">
        <v>346</v>
      </c>
      <c r="T2216" s="86"/>
      <c r="U2216" s="1"/>
      <c r="V2216" s="460"/>
      <c r="X2216" s="460"/>
    </row>
    <row r="2217" spans="1:30" x14ac:dyDescent="0.4">
      <c r="A2217" s="212">
        <v>45961</v>
      </c>
      <c r="B2217" s="139" t="s">
        <v>63</v>
      </c>
      <c r="C2217" s="30" t="str">
        <f>VLOOKUP(B2217,'112年全品項生產鍋數'!A:H,2,0)</f>
        <v>草莓蒟蒻餡(1*6kg)</v>
      </c>
      <c r="D2217" s="290">
        <v>24</v>
      </c>
      <c r="E2217" s="48">
        <f>VLOOKUP(B2217,'112年全品項生產鍋數'!A:H,3,0)</f>
        <v>6</v>
      </c>
      <c r="F2217" s="142">
        <f>VLOOKUP(B2217,'112年全品項生產鍋數'!A:H,7,0)</f>
        <v>25.7</v>
      </c>
      <c r="G2217" s="143">
        <f t="shared" si="316"/>
        <v>616.79999999999995</v>
      </c>
      <c r="H2217" s="156">
        <f>304+317</f>
        <v>621</v>
      </c>
      <c r="I2217" s="23">
        <f t="shared" si="317"/>
        <v>3726</v>
      </c>
      <c r="J2217" s="100">
        <f t="shared" si="318"/>
        <v>1.0068093385214008</v>
      </c>
      <c r="K2217" s="51">
        <f>VLOOKUP(B:B,'生產達成率(目標)'!A:C,3,0)</f>
        <v>1</v>
      </c>
      <c r="L2217" s="20">
        <f t="shared" si="319"/>
        <v>7.0000000000000001E-3</v>
      </c>
      <c r="M2217" s="137" t="str">
        <f>工時!R1403</f>
        <v>328</v>
      </c>
      <c r="N2217" s="144"/>
      <c r="O2217" s="144">
        <f t="shared" si="320"/>
        <v>1</v>
      </c>
      <c r="P2217" s="156">
        <f>303+317</f>
        <v>620</v>
      </c>
      <c r="Q2217" s="98">
        <f t="shared" si="321"/>
        <v>0.99838969404186795</v>
      </c>
      <c r="R2217" s="23"/>
      <c r="S2217" s="173"/>
      <c r="T2217" s="86"/>
      <c r="U2217" s="1"/>
      <c r="V2217" s="460"/>
      <c r="X2217" s="460"/>
    </row>
    <row r="2218" spans="1:30" x14ac:dyDescent="0.4">
      <c r="A2218" s="212">
        <v>45961</v>
      </c>
      <c r="B2218" s="139" t="s">
        <v>984</v>
      </c>
      <c r="C2218" s="30" t="str">
        <f>VLOOKUP(B2218,'112年全品項生產鍋數'!A:H,2,0)</f>
        <v>蘋果餡(1*6Kg)</v>
      </c>
      <c r="D2218" s="290">
        <v>16</v>
      </c>
      <c r="E2218" s="48">
        <f>VLOOKUP(B2218,'112年全品項生產鍋數'!A:H,3,0)</f>
        <v>6</v>
      </c>
      <c r="F2218" s="142">
        <f>VLOOKUP(B2218,'112年全品項生產鍋數'!A:H,7,0)</f>
        <v>25.6</v>
      </c>
      <c r="G2218" s="143">
        <f t="shared" si="316"/>
        <v>409.6</v>
      </c>
      <c r="H2218" s="156">
        <v>426</v>
      </c>
      <c r="I2218" s="23">
        <f t="shared" si="317"/>
        <v>2556</v>
      </c>
      <c r="J2218" s="100">
        <f t="shared" si="318"/>
        <v>1.0400390625</v>
      </c>
      <c r="K2218" s="51" t="e">
        <f>VLOOKUP(B:B,'生產達成率(目標)'!A:C,3,0)</f>
        <v>#N/A</v>
      </c>
      <c r="L2218" s="20" t="e">
        <f t="shared" si="319"/>
        <v>#N/A</v>
      </c>
      <c r="M2218" s="137" t="str">
        <f>工時!R1404</f>
        <v>220</v>
      </c>
      <c r="N2218" s="144"/>
      <c r="O2218" s="144">
        <f t="shared" si="320"/>
        <v>4</v>
      </c>
      <c r="P2218" s="156">
        <v>422</v>
      </c>
      <c r="Q2218" s="98">
        <f t="shared" si="321"/>
        <v>0.99061032863849763</v>
      </c>
      <c r="R2218" s="23"/>
      <c r="S2218" s="173"/>
      <c r="T2218" s="86"/>
      <c r="U2218" s="1"/>
      <c r="V2218" s="460"/>
      <c r="X2218" s="460"/>
    </row>
    <row r="2219" spans="1:30" x14ac:dyDescent="0.4">
      <c r="A2219" s="212">
        <v>45961</v>
      </c>
      <c r="B2219" s="139" t="s">
        <v>65</v>
      </c>
      <c r="C2219" s="30" t="str">
        <f>VLOOKUP(B2219,'112年全品項生產鍋數'!A:H,2,0)</f>
        <v>＃1花生(1*2.8kg)</v>
      </c>
      <c r="D2219" s="290">
        <v>32</v>
      </c>
      <c r="E2219" s="48">
        <f>VLOOKUP(B2219,'112年全品項生產鍋數'!A:H,3,0)</f>
        <v>2.8</v>
      </c>
      <c r="F2219" s="142">
        <f>VLOOKUP(B2219,'112年全品項生產鍋數'!A:H,7,0)</f>
        <v>44.5</v>
      </c>
      <c r="G2219" s="143">
        <f t="shared" si="316"/>
        <v>1424</v>
      </c>
      <c r="H2219" s="156">
        <f>1132+300</f>
        <v>1432</v>
      </c>
      <c r="I2219" s="23">
        <f t="shared" si="317"/>
        <v>4009.6</v>
      </c>
      <c r="J2219" s="100">
        <f t="shared" si="318"/>
        <v>1.0056179775280898</v>
      </c>
      <c r="K2219" s="51">
        <f>VLOOKUP(B:B,'生產達成率(目標)'!A:C,3,0)</f>
        <v>1</v>
      </c>
      <c r="L2219" s="20">
        <f t="shared" si="319"/>
        <v>6.0000000000000001E-3</v>
      </c>
      <c r="M2219" s="137" t="str">
        <f>工時!R1405</f>
        <v>285</v>
      </c>
      <c r="N2219" s="144"/>
      <c r="O2219" s="144">
        <f t="shared" si="320"/>
        <v>1</v>
      </c>
      <c r="P2219" s="156">
        <f>1131+300</f>
        <v>1431</v>
      </c>
      <c r="Q2219" s="98">
        <f t="shared" si="321"/>
        <v>0.99930167597765363</v>
      </c>
      <c r="R2219" s="23"/>
      <c r="S2219" s="173"/>
      <c r="T2219" s="86" t="s">
        <v>1151</v>
      </c>
      <c r="U2219" s="1"/>
      <c r="V2219" s="460"/>
      <c r="X2219" s="460"/>
    </row>
    <row r="2220" spans="1:30" x14ac:dyDescent="0.4">
      <c r="A2220" s="212">
        <v>45961</v>
      </c>
      <c r="B2220" s="139" t="s">
        <v>536</v>
      </c>
      <c r="C2220" s="30" t="str">
        <f>VLOOKUP(B2220,'112年全品項生產鍋數'!A:H,2,0)</f>
        <v>花生醬(1*3.5KG)</v>
      </c>
      <c r="D2220" s="290">
        <v>6</v>
      </c>
      <c r="E2220" s="48">
        <f>VLOOKUP(B2220,'112年全品項生產鍋數'!A:H,3,0)</f>
        <v>3.5</v>
      </c>
      <c r="F2220" s="142">
        <f>VLOOKUP(B2220,'112年全品項生產鍋數'!A:H,7,0)</f>
        <v>25.4</v>
      </c>
      <c r="G2220" s="143">
        <f t="shared" si="316"/>
        <v>152.39999999999998</v>
      </c>
      <c r="H2220" s="156">
        <v>146</v>
      </c>
      <c r="I2220" s="23">
        <f t="shared" si="317"/>
        <v>511</v>
      </c>
      <c r="J2220" s="100">
        <f t="shared" si="318"/>
        <v>0.95800524934383213</v>
      </c>
      <c r="K2220" s="51">
        <f>VLOOKUP(B:B,'生產達成率(目標)'!A:C,3,0)</f>
        <v>1</v>
      </c>
      <c r="L2220" s="20">
        <f t="shared" si="319"/>
        <v>-4.2000000000000003E-2</v>
      </c>
      <c r="M2220" s="137" t="str">
        <f>工時!R1406</f>
        <v>330</v>
      </c>
      <c r="N2220" s="144"/>
      <c r="O2220" s="144">
        <f t="shared" si="320"/>
        <v>0</v>
      </c>
      <c r="P2220" s="156">
        <v>146</v>
      </c>
      <c r="Q2220" s="98">
        <f t="shared" si="321"/>
        <v>1</v>
      </c>
      <c r="R2220" s="23"/>
      <c r="S2220" s="173"/>
      <c r="T2220" s="86"/>
      <c r="U2220" s="1"/>
      <c r="V2220" s="460"/>
      <c r="X2220" s="460"/>
    </row>
    <row r="2221" spans="1:30" x14ac:dyDescent="0.4">
      <c r="A2221" s="212">
        <v>45964</v>
      </c>
      <c r="B2221" s="139" t="s">
        <v>75</v>
      </c>
      <c r="C2221" s="30" t="str">
        <f>VLOOKUP(B2221,'112年全品項生產鍋數'!A:H,2,0)</f>
        <v>草莓椰果餡(1*6Kg)</v>
      </c>
      <c r="D2221" s="290">
        <v>16</v>
      </c>
      <c r="E2221" s="48">
        <f>VLOOKUP(B2221,'112年全品項生產鍋數'!A:H,3,0)</f>
        <v>6</v>
      </c>
      <c r="F2221" s="142">
        <f>VLOOKUP(B2221,'112年全品項生產鍋數'!A:H,7,0)</f>
        <v>26.4</v>
      </c>
      <c r="G2221" s="143">
        <f t="shared" si="316"/>
        <v>422.4</v>
      </c>
      <c r="H2221" s="156">
        <v>423</v>
      </c>
      <c r="I2221" s="23">
        <f t="shared" si="317"/>
        <v>2538</v>
      </c>
      <c r="J2221" s="100">
        <f t="shared" si="318"/>
        <v>1.0014204545454546</v>
      </c>
      <c r="K2221" s="51">
        <f>VLOOKUP(B:B,'生產達成率(目標)'!A:C,3,0)</f>
        <v>1</v>
      </c>
      <c r="L2221" s="20">
        <f t="shared" si="319"/>
        <v>1E-3</v>
      </c>
      <c r="M2221" s="137" t="str">
        <f>工時!R1407</f>
        <v>225</v>
      </c>
      <c r="N2221" s="144"/>
      <c r="O2221" s="144">
        <f t="shared" si="320"/>
        <v>3</v>
      </c>
      <c r="P2221" s="156">
        <v>420</v>
      </c>
      <c r="Q2221" s="98">
        <f t="shared" si="321"/>
        <v>0.99290780141843971</v>
      </c>
      <c r="R2221" s="23"/>
      <c r="S2221" s="173"/>
      <c r="T2221" s="86"/>
      <c r="U2221" s="1"/>
      <c r="V2221" s="460"/>
      <c r="X2221" s="460"/>
    </row>
    <row r="2222" spans="1:30" x14ac:dyDescent="0.4">
      <c r="A2222" s="212">
        <v>45964</v>
      </c>
      <c r="B2222" s="139" t="s">
        <v>63</v>
      </c>
      <c r="C2222" s="30" t="str">
        <f>VLOOKUP(B2222,'112年全品項生產鍋數'!A:H,2,0)</f>
        <v>草莓蒟蒻餡(1*6kg)</v>
      </c>
      <c r="D2222" s="290">
        <v>20</v>
      </c>
      <c r="E2222" s="48">
        <f>VLOOKUP(B2222,'112年全品項生產鍋數'!A:H,3,0)</f>
        <v>6</v>
      </c>
      <c r="F2222" s="142">
        <f>VLOOKUP(B2222,'112年全品項生產鍋數'!A:H,7,0)</f>
        <v>25.7</v>
      </c>
      <c r="G2222" s="143">
        <f t="shared" si="316"/>
        <v>514</v>
      </c>
      <c r="H2222" s="156">
        <f>309+212</f>
        <v>521</v>
      </c>
      <c r="I2222" s="23">
        <f t="shared" si="317"/>
        <v>3126</v>
      </c>
      <c r="J2222" s="100">
        <f t="shared" si="318"/>
        <v>1.0136186770428015</v>
      </c>
      <c r="K2222" s="51">
        <f>VLOOKUP(B:B,'生產達成率(目標)'!A:C,3,0)</f>
        <v>1</v>
      </c>
      <c r="L2222" s="20">
        <f t="shared" si="319"/>
        <v>1.4E-2</v>
      </c>
      <c r="M2222" s="137" t="str">
        <f>工時!R1408</f>
        <v>315</v>
      </c>
      <c r="N2222" s="144"/>
      <c r="O2222" s="144">
        <f t="shared" si="320"/>
        <v>2</v>
      </c>
      <c r="P2222" s="156">
        <f>307+212</f>
        <v>519</v>
      </c>
      <c r="Q2222" s="98">
        <f t="shared" si="321"/>
        <v>0.99616122840690979</v>
      </c>
      <c r="R2222" s="23"/>
      <c r="S2222" s="173"/>
      <c r="T2222" s="86"/>
      <c r="U2222" s="1"/>
      <c r="V2222" s="460"/>
      <c r="X2222" s="460"/>
    </row>
    <row r="2223" spans="1:30" x14ac:dyDescent="0.4">
      <c r="A2223" s="212">
        <v>45964</v>
      </c>
      <c r="B2223" s="139" t="s">
        <v>108</v>
      </c>
      <c r="C2223" s="30" t="str">
        <f>VLOOKUP(B2223,'112年全品項生產鍋數'!A:H,2,0)</f>
        <v>顆粒花生醬(1*12KG)</v>
      </c>
      <c r="D2223" s="290">
        <v>21</v>
      </c>
      <c r="E2223" s="48">
        <f>VLOOKUP(B2223,'112年全品項生產鍋數'!A:H,3,0)</f>
        <v>3</v>
      </c>
      <c r="F2223" s="142">
        <f>VLOOKUP(B2223,'112年全品項生產鍋數'!A:H,7,0)</f>
        <v>31.6</v>
      </c>
      <c r="G2223" s="143">
        <f t="shared" si="316"/>
        <v>663.6</v>
      </c>
      <c r="H2223" s="156">
        <v>564</v>
      </c>
      <c r="I2223" s="23">
        <f t="shared" si="317"/>
        <v>1692</v>
      </c>
      <c r="J2223" s="100">
        <f t="shared" si="318"/>
        <v>0.84990958408679929</v>
      </c>
      <c r="K2223" s="51">
        <f>VLOOKUP(B:B,'生產達成率(目標)'!A:C,3,0)</f>
        <v>1</v>
      </c>
      <c r="L2223" s="20">
        <f t="shared" si="319"/>
        <v>-0.15</v>
      </c>
      <c r="M2223" s="137" t="str">
        <f>工時!R1409</f>
        <v>540</v>
      </c>
      <c r="N2223" s="144"/>
      <c r="O2223" s="144">
        <f t="shared" si="320"/>
        <v>0</v>
      </c>
      <c r="P2223" s="156">
        <v>564</v>
      </c>
      <c r="Q2223" s="98">
        <f t="shared" si="321"/>
        <v>1</v>
      </c>
      <c r="R2223" s="23" t="s">
        <v>1176</v>
      </c>
      <c r="S2223" s="173"/>
      <c r="T2223" s="86" t="s">
        <v>1177</v>
      </c>
      <c r="U2223" s="1"/>
      <c r="V2223" s="460"/>
      <c r="X2223" s="460"/>
    </row>
    <row r="2224" spans="1:30" x14ac:dyDescent="0.4">
      <c r="A2224" s="212">
        <v>45964</v>
      </c>
      <c r="B2224" s="139" t="s">
        <v>65</v>
      </c>
      <c r="C2224" s="30" t="str">
        <f>VLOOKUP(B2224,'112年全品項生產鍋數'!A:H,2,0)</f>
        <v>＃1花生(1*2.8kg)</v>
      </c>
      <c r="D2224" s="290">
        <v>60</v>
      </c>
      <c r="E2224" s="48">
        <f>VLOOKUP(B2224,'112年全品項生產鍋數'!A:H,3,0)</f>
        <v>2.8</v>
      </c>
      <c r="F2224" s="142">
        <f>VLOOKUP(B2224,'112年全品項生產鍋數'!A:H,7,0)</f>
        <v>44.5</v>
      </c>
      <c r="G2224" s="143">
        <f t="shared" si="316"/>
        <v>2670</v>
      </c>
      <c r="H2224" s="156">
        <v>2690</v>
      </c>
      <c r="I2224" s="23">
        <f t="shared" si="317"/>
        <v>7531.9999999999991</v>
      </c>
      <c r="J2224" s="100">
        <f t="shared" si="318"/>
        <v>1.0074906367041199</v>
      </c>
      <c r="K2224" s="51">
        <f>VLOOKUP(B:B,'生產達成率(目標)'!A:C,3,0)</f>
        <v>1</v>
      </c>
      <c r="L2224" s="20">
        <f t="shared" si="319"/>
        <v>7.0000000000000001E-3</v>
      </c>
      <c r="M2224" s="137" t="str">
        <f>工時!R1410</f>
        <v>480</v>
      </c>
      <c r="N2224" s="144"/>
      <c r="O2224" s="144">
        <f t="shared" si="320"/>
        <v>1</v>
      </c>
      <c r="P2224" s="156">
        <v>2689</v>
      </c>
      <c r="Q2224" s="98">
        <f t="shared" si="321"/>
        <v>0.99962825278810408</v>
      </c>
      <c r="R2224" s="23"/>
      <c r="S2224" s="173"/>
      <c r="T2224" s="86"/>
      <c r="U2224" s="1"/>
      <c r="V2224" s="460"/>
      <c r="X2224" s="460"/>
    </row>
    <row r="2225" spans="1:30" x14ac:dyDescent="0.4">
      <c r="A2225" s="212">
        <v>45964</v>
      </c>
      <c r="B2225" s="139" t="s">
        <v>431</v>
      </c>
      <c r="C2225" s="30" t="str">
        <f>VLOOKUP(B2225,'112年全品項生產鍋數'!A:H,2,0)</f>
        <v>文旦丁</v>
      </c>
      <c r="D2225" s="290">
        <v>1</v>
      </c>
      <c r="E2225" s="48">
        <f>VLOOKUP(B2225,'112年全品項生產鍋數'!A:H,3,0)</f>
        <v>1</v>
      </c>
      <c r="F2225" s="142">
        <f>VLOOKUP(B2225,'112年全品項生產鍋數'!A:H,7,0)</f>
        <v>243</v>
      </c>
      <c r="G2225" s="143">
        <f t="shared" si="316"/>
        <v>243</v>
      </c>
      <c r="H2225" s="156">
        <v>256</v>
      </c>
      <c r="I2225" s="23">
        <f t="shared" si="317"/>
        <v>256</v>
      </c>
      <c r="J2225" s="100">
        <f t="shared" si="318"/>
        <v>1.0534979423868314</v>
      </c>
      <c r="K2225" s="51">
        <f>VLOOKUP(B:B,'生產達成率(目標)'!A:C,3,0)</f>
        <v>1</v>
      </c>
      <c r="L2225" s="20">
        <f t="shared" si="319"/>
        <v>5.2999999999999999E-2</v>
      </c>
      <c r="M2225" s="137" t="str">
        <f>工時!R1411</f>
        <v>0</v>
      </c>
      <c r="N2225" s="144"/>
      <c r="O2225" s="144">
        <f t="shared" si="320"/>
        <v>-2</v>
      </c>
      <c r="P2225" s="156">
        <v>258</v>
      </c>
      <c r="Q2225" s="98">
        <f t="shared" si="321"/>
        <v>1.0078125</v>
      </c>
      <c r="R2225" s="23"/>
      <c r="S2225" s="173"/>
      <c r="T2225" s="86"/>
      <c r="U2225" s="1"/>
      <c r="V2225" s="460"/>
      <c r="X2225" s="460"/>
    </row>
    <row r="2226" spans="1:30" x14ac:dyDescent="0.4">
      <c r="A2226" s="212">
        <v>45964</v>
      </c>
      <c r="B2226" s="139">
        <v>153010</v>
      </c>
      <c r="C2226" s="30" t="str">
        <f>VLOOKUP(B2226,'112年全品項生產鍋數'!A:H,2,0)</f>
        <v>蜜桔皮6m/m</v>
      </c>
      <c r="D2226" s="290">
        <v>1</v>
      </c>
      <c r="E2226" s="48">
        <f>VLOOKUP(B2226,'112年全品項生產鍋數'!A:H,3,0)</f>
        <v>1</v>
      </c>
      <c r="F2226" s="142">
        <f>VLOOKUP(B2226,'112年全品項生產鍋數'!A:H,7,0)</f>
        <v>591</v>
      </c>
      <c r="G2226" s="143">
        <f t="shared" si="316"/>
        <v>591</v>
      </c>
      <c r="H2226" s="156">
        <v>472</v>
      </c>
      <c r="I2226" s="23">
        <f t="shared" si="317"/>
        <v>472</v>
      </c>
      <c r="J2226" s="100">
        <f t="shared" si="318"/>
        <v>0.79864636209813877</v>
      </c>
      <c r="K2226" s="51">
        <f>VLOOKUP(B:B,'生產達成率(目標)'!A:C,3,0)</f>
        <v>1</v>
      </c>
      <c r="L2226" s="20">
        <f t="shared" si="319"/>
        <v>-0.20100000000000001</v>
      </c>
      <c r="M2226" s="137" t="str">
        <f>工時!R1412</f>
        <v>0</v>
      </c>
      <c r="N2226" s="144"/>
      <c r="O2226" s="144">
        <f t="shared" si="320"/>
        <v>0</v>
      </c>
      <c r="P2226" s="156">
        <v>472</v>
      </c>
      <c r="Q2226" s="98">
        <f t="shared" si="321"/>
        <v>1</v>
      </c>
      <c r="R2226" s="23"/>
      <c r="S2226" s="173"/>
      <c r="T2226" s="86"/>
      <c r="U2226" s="1"/>
      <c r="V2226" s="460"/>
      <c r="X2226" s="460"/>
    </row>
    <row r="2227" spans="1:30" x14ac:dyDescent="0.4">
      <c r="A2227" s="212">
        <v>45965</v>
      </c>
      <c r="B2227" s="139" t="s">
        <v>158</v>
      </c>
      <c r="C2227" s="30" t="str">
        <f>VLOOKUP(B2227,'112年全品項生產鍋數'!A:H,2,0)</f>
        <v>小圓草莓(1*170g)</v>
      </c>
      <c r="D2227" s="290">
        <v>4</v>
      </c>
      <c r="E2227" s="48">
        <f>VLOOKUP(B2227,'112年全品項生產鍋數'!A:H,3,0)</f>
        <v>0.17</v>
      </c>
      <c r="F2227" s="142">
        <f>VLOOKUP(B2227,'112年全品項生產鍋數'!A:H,7,0)</f>
        <v>912.6</v>
      </c>
      <c r="G2227" s="143">
        <f t="shared" si="316"/>
        <v>3650.4</v>
      </c>
      <c r="H2227" s="156">
        <v>3590</v>
      </c>
      <c r="I2227" s="23">
        <f t="shared" si="317"/>
        <v>610.30000000000007</v>
      </c>
      <c r="J2227" s="100">
        <f t="shared" si="318"/>
        <v>0.98345386806925261</v>
      </c>
      <c r="K2227" s="51">
        <f>VLOOKUP(B:B,'生產達成率(目標)'!A:C,3,0)</f>
        <v>1</v>
      </c>
      <c r="L2227" s="20">
        <f t="shared" si="319"/>
        <v>-1.7000000000000001E-2</v>
      </c>
      <c r="M2227" s="137" t="str">
        <f>工時!R1413</f>
        <v>220</v>
      </c>
      <c r="N2227" s="144"/>
      <c r="O2227" s="144">
        <f t="shared" si="320"/>
        <v>7</v>
      </c>
      <c r="P2227" s="156">
        <v>3583</v>
      </c>
      <c r="Q2227" s="98">
        <f t="shared" si="321"/>
        <v>0.99805013927576602</v>
      </c>
      <c r="R2227" s="23"/>
      <c r="S2227" s="173"/>
      <c r="T2227" s="86"/>
      <c r="U2227" s="1"/>
      <c r="V2227" s="460"/>
      <c r="X2227" s="460"/>
    </row>
    <row r="2228" spans="1:30" s="146" customFormat="1" x14ac:dyDescent="0.4">
      <c r="A2228" s="212">
        <v>45965</v>
      </c>
      <c r="B2228" s="139" t="s">
        <v>540</v>
      </c>
      <c r="C2228" s="140" t="str">
        <f>VLOOKUP(B2228,'112年全品項生產鍋數'!A:H,2,0)</f>
        <v>奇異果茶(1*420g)</v>
      </c>
      <c r="D2228" s="290">
        <v>3</v>
      </c>
      <c r="E2228" s="141">
        <f>VLOOKUP(B2228,'112年全品項生產鍋數'!A:H,3,0)</f>
        <v>0.42</v>
      </c>
      <c r="F2228" s="142">
        <f>VLOOKUP(B2228,'112年全品項生產鍋數'!A:H,7,0)</f>
        <v>370.5</v>
      </c>
      <c r="G2228" s="143">
        <f t="shared" si="316"/>
        <v>1111.5</v>
      </c>
      <c r="H2228" s="156">
        <v>1124</v>
      </c>
      <c r="I2228" s="144">
        <f t="shared" si="317"/>
        <v>472.08</v>
      </c>
      <c r="J2228" s="100">
        <f t="shared" si="318"/>
        <v>1.0112460638776428</v>
      </c>
      <c r="K2228" s="51">
        <f>VLOOKUP(B:B,'生產達成率(目標)'!A:C,3,0)</f>
        <v>1</v>
      </c>
      <c r="L2228" s="20">
        <f t="shared" si="319"/>
        <v>1.0999999999999999E-2</v>
      </c>
      <c r="M2228" s="137" t="str">
        <f>工時!R1414</f>
        <v>172</v>
      </c>
      <c r="N2228" s="144"/>
      <c r="O2228" s="144">
        <f t="shared" si="320"/>
        <v>7</v>
      </c>
      <c r="P2228" s="156">
        <v>1117</v>
      </c>
      <c r="Q2228" s="145">
        <f t="shared" si="321"/>
        <v>0.99377224199288261</v>
      </c>
      <c r="R2228" s="144"/>
      <c r="S2228" s="153"/>
      <c r="T2228" s="282"/>
      <c r="U2228" s="158"/>
      <c r="V2228" s="461"/>
      <c r="W2228" s="421"/>
      <c r="X2228" s="461"/>
      <c r="Y2228" s="421"/>
      <c r="Z2228" s="421"/>
      <c r="AA2228" s="421"/>
      <c r="AB2228" s="421"/>
      <c r="AC2228" s="421"/>
      <c r="AD2228" s="421"/>
    </row>
    <row r="2229" spans="1:30" s="146" customFormat="1" x14ac:dyDescent="0.4">
      <c r="A2229" s="212">
        <v>45965</v>
      </c>
      <c r="B2229" s="139" t="s">
        <v>473</v>
      </c>
      <c r="C2229" s="140" t="str">
        <f>VLOOKUP(B2229,'112年全品項生產鍋數'!A:H,2,0)</f>
        <v>桑椹果粒茶(1*400G)</v>
      </c>
      <c r="D2229" s="290">
        <v>6</v>
      </c>
      <c r="E2229" s="141">
        <f>VLOOKUP(B2229,'112年全品項生產鍋數'!A:H,3,0)</f>
        <v>0.4</v>
      </c>
      <c r="F2229" s="142">
        <f>VLOOKUP(B2229,'112年全品項生產鍋數'!A:H,7,0)</f>
        <v>366.4</v>
      </c>
      <c r="G2229" s="143">
        <f t="shared" si="316"/>
        <v>2198.3999999999996</v>
      </c>
      <c r="H2229" s="156">
        <v>2247</v>
      </c>
      <c r="I2229" s="144">
        <f t="shared" si="317"/>
        <v>898.80000000000007</v>
      </c>
      <c r="J2229" s="100">
        <f t="shared" si="318"/>
        <v>1.0221069868995636</v>
      </c>
      <c r="K2229" s="51">
        <f>VLOOKUP(B:B,'生產達成率(目標)'!A:C,3,0)</f>
        <v>1</v>
      </c>
      <c r="L2229" s="20">
        <f t="shared" si="319"/>
        <v>2.1999999999999999E-2</v>
      </c>
      <c r="M2229" s="137" t="str">
        <f>工時!R1415</f>
        <v>240</v>
      </c>
      <c r="N2229" s="144"/>
      <c r="O2229" s="144">
        <f t="shared" si="320"/>
        <v>4</v>
      </c>
      <c r="P2229" s="156">
        <v>2243</v>
      </c>
      <c r="Q2229" s="145">
        <f t="shared" si="321"/>
        <v>0.99821984868713842</v>
      </c>
      <c r="R2229" s="144"/>
      <c r="S2229" s="153"/>
      <c r="T2229" s="282"/>
      <c r="U2229" s="158"/>
      <c r="V2229" s="461"/>
      <c r="W2229" s="421"/>
      <c r="X2229" s="461"/>
      <c r="Y2229" s="421"/>
      <c r="Z2229" s="421"/>
      <c r="AA2229" s="421"/>
      <c r="AB2229" s="421"/>
      <c r="AC2229" s="421"/>
      <c r="AD2229" s="421"/>
    </row>
    <row r="2230" spans="1:30" x14ac:dyDescent="0.4">
      <c r="A2230" s="212">
        <v>45965</v>
      </c>
      <c r="B2230" s="139" t="s">
        <v>72</v>
      </c>
      <c r="C2230" s="30" t="str">
        <f>VLOOKUP(B2230,'112年全品項生產鍋數'!A:H,2,0)</f>
        <v>草莓餡45%(1*6Kg)</v>
      </c>
      <c r="D2230" s="290">
        <v>20</v>
      </c>
      <c r="E2230" s="48">
        <f>VLOOKUP(B2230,'112年全品項生產鍋數'!A:H,3,0)</f>
        <v>6</v>
      </c>
      <c r="F2230" s="142">
        <f>VLOOKUP(B2230,'112年全品項生產鍋數'!A:H,7,0)</f>
        <v>26.1</v>
      </c>
      <c r="G2230" s="143">
        <f t="shared" ref="G2230:G2279" si="322">D2230*F2230</f>
        <v>522</v>
      </c>
      <c r="H2230" s="156">
        <v>515</v>
      </c>
      <c r="I2230" s="23">
        <f t="shared" ref="I2230:I2279" si="323">H2230*E2230</f>
        <v>3090</v>
      </c>
      <c r="J2230" s="100">
        <f t="shared" ref="J2230:J2279" si="324">IF(G2230=0,"無法預估數據",H2230/G2230)</f>
        <v>0.98659003831417624</v>
      </c>
      <c r="K2230" s="51">
        <f>VLOOKUP(B:B,'生產達成率(目標)'!A:C,3,0)</f>
        <v>1</v>
      </c>
      <c r="L2230" s="20">
        <f t="shared" ref="L2230:L2279" si="325">IF(G2230=0,"無法預估數據",ROUND(J2230-K2230,3))</f>
        <v>-1.2999999999999999E-2</v>
      </c>
      <c r="M2230" s="137" t="str">
        <f>工時!R1416</f>
        <v>280</v>
      </c>
      <c r="N2230" s="144"/>
      <c r="O2230" s="144">
        <f t="shared" ref="O2230:O2279" si="326">H2230-N2230-P2230</f>
        <v>1</v>
      </c>
      <c r="P2230" s="156">
        <v>514</v>
      </c>
      <c r="Q2230" s="98">
        <f t="shared" ref="Q2230:Q2279" si="327">P2230/H2230</f>
        <v>0.99805825242718449</v>
      </c>
      <c r="R2230" s="23"/>
      <c r="S2230" s="173"/>
      <c r="T2230" s="86"/>
      <c r="U2230" s="1"/>
      <c r="V2230" s="460"/>
      <c r="X2230" s="460"/>
    </row>
    <row r="2231" spans="1:30" x14ac:dyDescent="0.4">
      <c r="A2231" s="212">
        <v>45965</v>
      </c>
      <c r="B2231" s="139" t="s">
        <v>63</v>
      </c>
      <c r="C2231" s="30" t="str">
        <f>VLOOKUP(B2231,'112年全品項生產鍋數'!A:H,2,0)</f>
        <v>草莓蒟蒻餡(1*6kg)</v>
      </c>
      <c r="D2231" s="290">
        <v>16</v>
      </c>
      <c r="E2231" s="48">
        <f>VLOOKUP(B2231,'112年全品項生產鍋數'!A:H,3,0)</f>
        <v>6</v>
      </c>
      <c r="F2231" s="142">
        <f>VLOOKUP(B2231,'112年全品項生產鍋數'!A:H,7,0)</f>
        <v>25.7</v>
      </c>
      <c r="G2231" s="143">
        <f t="shared" si="322"/>
        <v>411.2</v>
      </c>
      <c r="H2231" s="156">
        <f>203+211</f>
        <v>414</v>
      </c>
      <c r="I2231" s="23">
        <f t="shared" si="323"/>
        <v>2484</v>
      </c>
      <c r="J2231" s="100">
        <f t="shared" si="324"/>
        <v>1.0068093385214008</v>
      </c>
      <c r="K2231" s="51">
        <f>VLOOKUP(B:B,'生產達成率(目標)'!A:C,3,0)</f>
        <v>1</v>
      </c>
      <c r="L2231" s="20">
        <f t="shared" si="325"/>
        <v>7.0000000000000001E-3</v>
      </c>
      <c r="M2231" s="137" t="str">
        <f>工時!R1417</f>
        <v>271</v>
      </c>
      <c r="N2231" s="144"/>
      <c r="O2231" s="144">
        <f t="shared" si="326"/>
        <v>2</v>
      </c>
      <c r="P2231" s="156">
        <f>202+210</f>
        <v>412</v>
      </c>
      <c r="Q2231" s="98">
        <f t="shared" si="327"/>
        <v>0.99516908212560384</v>
      </c>
      <c r="R2231" s="23"/>
      <c r="S2231" s="173"/>
      <c r="T2231" s="86"/>
      <c r="U2231" s="1"/>
      <c r="V2231" s="460"/>
      <c r="X2231" s="460"/>
    </row>
    <row r="2232" spans="1:30" x14ac:dyDescent="0.4">
      <c r="A2232" s="212">
        <v>45965</v>
      </c>
      <c r="B2232" s="139" t="s">
        <v>65</v>
      </c>
      <c r="C2232" s="30" t="str">
        <f>VLOOKUP(B2232,'112年全品項生產鍋數'!A:H,2,0)</f>
        <v>＃1花生(1*2.8kg)</v>
      </c>
      <c r="D2232" s="290">
        <v>60</v>
      </c>
      <c r="E2232" s="48">
        <f>VLOOKUP(B2232,'112年全品項生產鍋數'!A:H,3,0)</f>
        <v>2.8</v>
      </c>
      <c r="F2232" s="142">
        <f>VLOOKUP(B2232,'112年全品項生產鍋數'!A:H,7,0)</f>
        <v>44.5</v>
      </c>
      <c r="G2232" s="143">
        <f t="shared" si="322"/>
        <v>2670</v>
      </c>
      <c r="H2232" s="156">
        <v>2714</v>
      </c>
      <c r="I2232" s="23">
        <f t="shared" si="323"/>
        <v>7599.2</v>
      </c>
      <c r="J2232" s="100">
        <f t="shared" si="324"/>
        <v>1.0164794007490636</v>
      </c>
      <c r="K2232" s="51">
        <f>VLOOKUP(B:B,'生產達成率(目標)'!A:C,3,0)</f>
        <v>1</v>
      </c>
      <c r="L2232" s="20">
        <f t="shared" si="325"/>
        <v>1.6E-2</v>
      </c>
      <c r="M2232" s="137" t="str">
        <f>工時!R1418</f>
        <v>475</v>
      </c>
      <c r="N2232" s="144"/>
      <c r="O2232" s="144">
        <f t="shared" si="326"/>
        <v>1</v>
      </c>
      <c r="P2232" s="156">
        <v>2713</v>
      </c>
      <c r="Q2232" s="98">
        <f t="shared" si="327"/>
        <v>0.9996315401621223</v>
      </c>
      <c r="R2232" s="23"/>
      <c r="S2232" s="173"/>
      <c r="T2232" s="86"/>
      <c r="U2232" s="1"/>
      <c r="V2232" s="460"/>
      <c r="X2232" s="460"/>
    </row>
    <row r="2233" spans="1:30" x14ac:dyDescent="0.4">
      <c r="A2233" s="212">
        <v>45966</v>
      </c>
      <c r="B2233" s="139" t="s">
        <v>71</v>
      </c>
      <c r="C2233" s="30" t="str">
        <f>VLOOKUP(B2233,'112年全品項生產鍋數'!A:H,2,0)</f>
        <v>＃1草莓(1*3.2kg)</v>
      </c>
      <c r="D2233" s="290">
        <v>72</v>
      </c>
      <c r="E2233" s="48">
        <f>VLOOKUP(B2233,'112年全品項生產鍋數'!A:H,3,0)</f>
        <v>3.2</v>
      </c>
      <c r="F2233" s="142">
        <f>VLOOKUP(B2233,'112年全品項生產鍋數'!A:H,7,0)</f>
        <v>46.8</v>
      </c>
      <c r="G2233" s="143">
        <f t="shared" si="322"/>
        <v>3369.6</v>
      </c>
      <c r="H2233" s="156">
        <v>3484</v>
      </c>
      <c r="I2233" s="23">
        <f t="shared" si="323"/>
        <v>11148.800000000001</v>
      </c>
      <c r="J2233" s="100">
        <f t="shared" si="324"/>
        <v>1.0339506172839505</v>
      </c>
      <c r="K2233" s="51">
        <f>VLOOKUP(B:B,'生產達成率(目標)'!A:C,3,0)</f>
        <v>1</v>
      </c>
      <c r="L2233" s="20">
        <f t="shared" si="325"/>
        <v>3.4000000000000002E-2</v>
      </c>
      <c r="M2233" s="137" t="str">
        <f>工時!R1419</f>
        <v>540</v>
      </c>
      <c r="N2233" s="144"/>
      <c r="O2233" s="144">
        <f t="shared" si="326"/>
        <v>206</v>
      </c>
      <c r="P2233" s="156">
        <v>3278</v>
      </c>
      <c r="Q2233" s="98">
        <f t="shared" si="327"/>
        <v>0.94087256027554533</v>
      </c>
      <c r="R2233" s="23" t="s">
        <v>1241</v>
      </c>
      <c r="S2233" s="173">
        <v>257</v>
      </c>
      <c r="T2233" s="86" t="s">
        <v>1178</v>
      </c>
      <c r="U2233" s="1"/>
      <c r="V2233" s="460"/>
      <c r="X2233" s="460"/>
    </row>
    <row r="2234" spans="1:30" x14ac:dyDescent="0.4">
      <c r="A2234" s="212">
        <v>45966</v>
      </c>
      <c r="B2234" s="139" t="s">
        <v>63</v>
      </c>
      <c r="C2234" s="30" t="str">
        <f>VLOOKUP(B2234,'112年全品項生產鍋數'!A:H,2,0)</f>
        <v>草莓蒟蒻餡(1*6kg)</v>
      </c>
      <c r="D2234" s="290">
        <v>20</v>
      </c>
      <c r="E2234" s="48">
        <f>VLOOKUP(B2234,'112年全品項生產鍋數'!A:H,3,0)</f>
        <v>6</v>
      </c>
      <c r="F2234" s="142">
        <f>VLOOKUP(B2234,'112年全品項生產鍋數'!A:H,7,0)</f>
        <v>25.7</v>
      </c>
      <c r="G2234" s="143">
        <f t="shared" si="322"/>
        <v>514</v>
      </c>
      <c r="H2234" s="156">
        <f>304+218</f>
        <v>522</v>
      </c>
      <c r="I2234" s="23">
        <f t="shared" si="323"/>
        <v>3132</v>
      </c>
      <c r="J2234" s="100">
        <f t="shared" si="324"/>
        <v>1.0155642023346303</v>
      </c>
      <c r="K2234" s="51">
        <f>VLOOKUP(B:B,'生產達成率(目標)'!A:C,3,0)</f>
        <v>1</v>
      </c>
      <c r="L2234" s="20">
        <f t="shared" si="325"/>
        <v>1.6E-2</v>
      </c>
      <c r="M2234" s="137" t="str">
        <f>工時!R1420</f>
        <v>298</v>
      </c>
      <c r="N2234" s="144"/>
      <c r="O2234" s="144">
        <f t="shared" si="326"/>
        <v>3</v>
      </c>
      <c r="P2234" s="156">
        <f>302+217</f>
        <v>519</v>
      </c>
      <c r="Q2234" s="98">
        <f t="shared" si="327"/>
        <v>0.99425287356321834</v>
      </c>
      <c r="R2234" s="23"/>
      <c r="S2234" s="173"/>
      <c r="T2234" s="86"/>
      <c r="U2234" s="1"/>
      <c r="V2234" s="460"/>
      <c r="X2234" s="460"/>
    </row>
    <row r="2235" spans="1:30" x14ac:dyDescent="0.4">
      <c r="A2235" s="212">
        <v>45966</v>
      </c>
      <c r="B2235" s="139" t="s">
        <v>64</v>
      </c>
      <c r="C2235" s="30" t="str">
        <f>VLOOKUP(B2235,'112年全品項生產鍋數'!A:H,2,0)</f>
        <v>藍莓餡(1*6KG)</v>
      </c>
      <c r="D2235" s="290">
        <v>16</v>
      </c>
      <c r="E2235" s="48">
        <f>VLOOKUP(B2235,'112年全品項生產鍋數'!A:H,3,0)</f>
        <v>6</v>
      </c>
      <c r="F2235" s="142">
        <f>VLOOKUP(B2235,'112年全品項生產鍋數'!A:H,7,0)</f>
        <v>25.4</v>
      </c>
      <c r="G2235" s="143">
        <f t="shared" si="322"/>
        <v>406.4</v>
      </c>
      <c r="H2235" s="156">
        <f>205+218</f>
        <v>423</v>
      </c>
      <c r="I2235" s="23">
        <f t="shared" si="323"/>
        <v>2538</v>
      </c>
      <c r="J2235" s="100">
        <f t="shared" si="324"/>
        <v>1.0408464566929134</v>
      </c>
      <c r="K2235" s="51">
        <f>VLOOKUP(B:B,'生產達成率(目標)'!A:C,3,0)</f>
        <v>1</v>
      </c>
      <c r="L2235" s="20">
        <f t="shared" si="325"/>
        <v>4.1000000000000002E-2</v>
      </c>
      <c r="M2235" s="137" t="str">
        <f>工時!R1421</f>
        <v>265</v>
      </c>
      <c r="N2235" s="144"/>
      <c r="O2235" s="144">
        <f t="shared" si="326"/>
        <v>8</v>
      </c>
      <c r="P2235" s="156">
        <f>204+211</f>
        <v>415</v>
      </c>
      <c r="Q2235" s="98">
        <f t="shared" si="327"/>
        <v>0.98108747044917255</v>
      </c>
      <c r="R2235" s="23"/>
      <c r="S2235" s="173"/>
      <c r="T2235" s="86"/>
      <c r="U2235" s="1"/>
      <c r="V2235" s="460"/>
      <c r="X2235" s="460"/>
    </row>
    <row r="2236" spans="1:30" x14ac:dyDescent="0.4">
      <c r="A2236" s="212">
        <v>45966</v>
      </c>
      <c r="B2236" s="139" t="s">
        <v>110</v>
      </c>
      <c r="C2236" s="30" t="str">
        <f>VLOOKUP(B2236,'112年全品項生產鍋數'!A:H,2,0)</f>
        <v>顆粒花生醬(1*12KG)</v>
      </c>
      <c r="D2236" s="290">
        <v>21</v>
      </c>
      <c r="E2236" s="48">
        <f>VLOOKUP(B2236,'112年全品項生產鍋數'!A:H,3,0)</f>
        <v>3</v>
      </c>
      <c r="F2236" s="142">
        <f>VLOOKUP(B2236,'112年全品項生產鍋數'!A:H,7,0)</f>
        <v>30.8</v>
      </c>
      <c r="G2236" s="143">
        <f t="shared" si="322"/>
        <v>646.80000000000007</v>
      </c>
      <c r="H2236" s="156">
        <v>648</v>
      </c>
      <c r="I2236" s="23">
        <f t="shared" si="323"/>
        <v>1944</v>
      </c>
      <c r="J2236" s="100">
        <f t="shared" si="324"/>
        <v>1.0018552875695732</v>
      </c>
      <c r="K2236" s="51">
        <f>VLOOKUP(B:B,'生產達成率(目標)'!A:C,3,0)</f>
        <v>1</v>
      </c>
      <c r="L2236" s="20">
        <f t="shared" si="325"/>
        <v>2E-3</v>
      </c>
      <c r="M2236" s="137" t="str">
        <f>工時!R1422</f>
        <v>570</v>
      </c>
      <c r="N2236" s="144"/>
      <c r="O2236" s="144">
        <f t="shared" si="326"/>
        <v>0</v>
      </c>
      <c r="P2236" s="156">
        <v>648</v>
      </c>
      <c r="Q2236" s="98">
        <f t="shared" si="327"/>
        <v>1</v>
      </c>
      <c r="R2236" s="23"/>
      <c r="S2236" s="173"/>
      <c r="T2236" s="86"/>
      <c r="U2236" s="1"/>
      <c r="V2236" s="460"/>
      <c r="X2236" s="460"/>
    </row>
    <row r="2237" spans="1:30" x14ac:dyDescent="0.4">
      <c r="A2237" s="212">
        <v>45967</v>
      </c>
      <c r="B2237" s="139" t="s">
        <v>118</v>
      </c>
      <c r="C2237" s="30" t="str">
        <f>VLOOKUP(B2237,'112年全品項生產鍋數'!A:H,2,0)</f>
        <v>草莓餡(1*4.5kg)</v>
      </c>
      <c r="D2237" s="290">
        <v>4</v>
      </c>
      <c r="E2237" s="48">
        <f>VLOOKUP(B2237,'112年全品項生產鍋數'!A:H,3,0)</f>
        <v>4.5</v>
      </c>
      <c r="F2237" s="142">
        <f>VLOOKUP(B2237,'112年全品項生產鍋數'!A:H,7,0)</f>
        <v>34.5</v>
      </c>
      <c r="G2237" s="143">
        <f t="shared" si="322"/>
        <v>138</v>
      </c>
      <c r="H2237" s="156">
        <v>139</v>
      </c>
      <c r="I2237" s="23">
        <f t="shared" si="323"/>
        <v>625.5</v>
      </c>
      <c r="J2237" s="100">
        <f t="shared" si="324"/>
        <v>1.0072463768115942</v>
      </c>
      <c r="K2237" s="51">
        <f>VLOOKUP(B:B,'生產達成率(目標)'!A:C,3,0)</f>
        <v>1</v>
      </c>
      <c r="L2237" s="20">
        <f t="shared" si="325"/>
        <v>7.0000000000000001E-3</v>
      </c>
      <c r="M2237" s="137" t="str">
        <f>工時!R1423</f>
        <v>120</v>
      </c>
      <c r="N2237" s="144"/>
      <c r="O2237" s="144">
        <f t="shared" si="326"/>
        <v>0</v>
      </c>
      <c r="P2237" s="156">
        <v>139</v>
      </c>
      <c r="Q2237" s="98">
        <f t="shared" si="327"/>
        <v>1</v>
      </c>
      <c r="R2237" s="23"/>
      <c r="S2237" s="173"/>
      <c r="T2237" s="86"/>
      <c r="U2237" s="1"/>
      <c r="V2237" s="460"/>
      <c r="X2237" s="460"/>
    </row>
    <row r="2238" spans="1:30" x14ac:dyDescent="0.4">
      <c r="A2238" s="212">
        <v>45967</v>
      </c>
      <c r="B2238" s="139" t="s">
        <v>547</v>
      </c>
      <c r="C2238" s="30" t="str">
        <f>VLOOKUP(B2238,'112年全品項生產鍋數'!A:H,2,0)</f>
        <v>草莓果醬(桶)(1*9.5KG)</v>
      </c>
      <c r="D2238" s="290">
        <v>16</v>
      </c>
      <c r="E2238" s="48">
        <f>VLOOKUP(B2238,'112年全品項生產鍋數'!A:H,3,0)</f>
        <v>9.5</v>
      </c>
      <c r="F2238" s="142">
        <f>VLOOKUP(B2238,'112年全品項生產鍋數'!A:H,7,0)</f>
        <v>16.600000000000001</v>
      </c>
      <c r="G2238" s="143">
        <f t="shared" si="322"/>
        <v>265.60000000000002</v>
      </c>
      <c r="H2238" s="156">
        <v>263</v>
      </c>
      <c r="I2238" s="23">
        <f t="shared" si="323"/>
        <v>2498.5</v>
      </c>
      <c r="J2238" s="100">
        <f t="shared" si="324"/>
        <v>0.99021084337349385</v>
      </c>
      <c r="K2238" s="51">
        <f>VLOOKUP(B:B,'生產達成率(目標)'!A:C,3,0)</f>
        <v>1</v>
      </c>
      <c r="L2238" s="20">
        <f t="shared" si="325"/>
        <v>-0.01</v>
      </c>
      <c r="M2238" s="137" t="str">
        <f>工時!R1424</f>
        <v>270</v>
      </c>
      <c r="N2238" s="144"/>
      <c r="O2238" s="144">
        <f t="shared" si="326"/>
        <v>1</v>
      </c>
      <c r="P2238" s="156">
        <v>262</v>
      </c>
      <c r="Q2238" s="98">
        <f t="shared" si="327"/>
        <v>0.99619771863117867</v>
      </c>
      <c r="R2238" s="23"/>
      <c r="S2238" s="173"/>
      <c r="T2238" s="86"/>
      <c r="U2238" s="1"/>
      <c r="V2238" s="460"/>
      <c r="X2238" s="460"/>
    </row>
    <row r="2239" spans="1:30" x14ac:dyDescent="0.4">
      <c r="A2239" s="212">
        <v>45967</v>
      </c>
      <c r="B2239" s="139" t="s">
        <v>109</v>
      </c>
      <c r="C2239" s="30" t="str">
        <f>VLOOKUP(B2239,'112年全品項生產鍋數'!A:H,2,0)</f>
        <v>蔓越莓醬(1*6KG)</v>
      </c>
      <c r="D2239" s="290">
        <v>12</v>
      </c>
      <c r="E2239" s="48">
        <f>VLOOKUP(B2239,'112年全品項生產鍋數'!A:H,3,0)</f>
        <v>6</v>
      </c>
      <c r="F2239" s="142">
        <f>VLOOKUP(B2239,'112年全品項生產鍋數'!A:H,7,0)</f>
        <v>25.6</v>
      </c>
      <c r="G2239" s="143">
        <f t="shared" si="322"/>
        <v>307.20000000000005</v>
      </c>
      <c r="H2239" s="156">
        <v>313</v>
      </c>
      <c r="I2239" s="23">
        <f t="shared" si="323"/>
        <v>1878</v>
      </c>
      <c r="J2239" s="100">
        <f t="shared" si="324"/>
        <v>1.0188802083333333</v>
      </c>
      <c r="K2239" s="51">
        <f>VLOOKUP(B:B,'生產達成率(目標)'!A:C,3,0)</f>
        <v>1</v>
      </c>
      <c r="L2239" s="20">
        <f t="shared" si="325"/>
        <v>1.9E-2</v>
      </c>
      <c r="M2239" s="137" t="str">
        <f>工時!R1425</f>
        <v>180</v>
      </c>
      <c r="N2239" s="144"/>
      <c r="O2239" s="144">
        <f t="shared" si="326"/>
        <v>2</v>
      </c>
      <c r="P2239" s="156">
        <v>311</v>
      </c>
      <c r="Q2239" s="98">
        <f t="shared" si="327"/>
        <v>0.99361022364217255</v>
      </c>
      <c r="R2239" s="23"/>
      <c r="S2239" s="173"/>
      <c r="T2239" s="86"/>
      <c r="U2239" s="1"/>
      <c r="V2239" s="460"/>
      <c r="X2239" s="460"/>
    </row>
    <row r="2240" spans="1:30" x14ac:dyDescent="0.4">
      <c r="A2240" s="212">
        <v>45967</v>
      </c>
      <c r="B2240" s="139" t="s">
        <v>73</v>
      </c>
      <c r="C2240" s="30" t="str">
        <f>VLOOKUP(B2240,'112年全品項生產鍋數'!A:H,2,0)</f>
        <v>顆粒花生醬(1*12KG)</v>
      </c>
      <c r="D2240" s="290">
        <v>21</v>
      </c>
      <c r="E2240" s="48">
        <f>VLOOKUP(B2240,'112年全品項生產鍋數'!A:H,3,0)</f>
        <v>3</v>
      </c>
      <c r="F2240" s="142">
        <f>VLOOKUP(B2240,'112年全品項生產鍋數'!A:H,7,0)</f>
        <v>29.7</v>
      </c>
      <c r="G2240" s="143">
        <f t="shared" si="322"/>
        <v>623.69999999999993</v>
      </c>
      <c r="H2240" s="156">
        <v>628</v>
      </c>
      <c r="I2240" s="23">
        <f t="shared" si="323"/>
        <v>1884</v>
      </c>
      <c r="J2240" s="100">
        <f t="shared" si="324"/>
        <v>1.0068943402276738</v>
      </c>
      <c r="K2240" s="51">
        <f>VLOOKUP(B:B,'生產達成率(目標)'!A:C,3,0)</f>
        <v>1</v>
      </c>
      <c r="L2240" s="20">
        <f t="shared" si="325"/>
        <v>7.0000000000000001E-3</v>
      </c>
      <c r="M2240" s="137" t="str">
        <f>工時!R1426</f>
        <v>510</v>
      </c>
      <c r="N2240" s="144"/>
      <c r="O2240" s="144">
        <f t="shared" si="326"/>
        <v>0</v>
      </c>
      <c r="P2240" s="156">
        <v>628</v>
      </c>
      <c r="Q2240" s="98">
        <f t="shared" si="327"/>
        <v>1</v>
      </c>
      <c r="R2240" s="23"/>
      <c r="S2240" s="173"/>
      <c r="T2240" s="86"/>
      <c r="U2240" s="1"/>
      <c r="V2240" s="460"/>
      <c r="X2240" s="460"/>
    </row>
    <row r="2241" spans="1:30" x14ac:dyDescent="0.4">
      <c r="A2241" s="212">
        <v>45967</v>
      </c>
      <c r="B2241" s="139" t="s">
        <v>96</v>
      </c>
      <c r="C2241" s="30" t="str">
        <f>VLOOKUP(B2241,'112年全品項生產鍋數'!A:H,2,0)</f>
        <v>PET瓶花生(1*340g)</v>
      </c>
      <c r="D2241" s="290">
        <v>16</v>
      </c>
      <c r="E2241" s="48">
        <f>VLOOKUP(B2241,'112年全品項生產鍋數'!A:H,3,0)</f>
        <v>0.34</v>
      </c>
      <c r="F2241" s="142">
        <f>VLOOKUP(B2241,'112年全品項生產鍋數'!A:H,7,0)</f>
        <v>358.3</v>
      </c>
      <c r="G2241" s="143">
        <f t="shared" si="322"/>
        <v>5732.8</v>
      </c>
      <c r="H2241" s="156">
        <v>5371</v>
      </c>
      <c r="I2241" s="23">
        <f t="shared" si="323"/>
        <v>1826.14</v>
      </c>
      <c r="J2241" s="100">
        <f t="shared" si="324"/>
        <v>0.93688947809098522</v>
      </c>
      <c r="K2241" s="51">
        <f>VLOOKUP(B:B,'生產達成率(目標)'!A:C,3,0)</f>
        <v>1</v>
      </c>
      <c r="L2241" s="20">
        <f t="shared" si="325"/>
        <v>-6.3E-2</v>
      </c>
      <c r="M2241" s="137" t="str">
        <f>工時!R1427</f>
        <v>280</v>
      </c>
      <c r="N2241" s="144"/>
      <c r="O2241" s="144">
        <f t="shared" si="326"/>
        <v>3</v>
      </c>
      <c r="P2241" s="156">
        <v>5368</v>
      </c>
      <c r="Q2241" s="98">
        <f t="shared" si="327"/>
        <v>0.9994414447961274</v>
      </c>
      <c r="R2241" s="23"/>
      <c r="S2241" s="173"/>
      <c r="T2241" s="86"/>
      <c r="U2241" s="1"/>
      <c r="V2241" s="460"/>
      <c r="X2241" s="460"/>
    </row>
    <row r="2242" spans="1:30" x14ac:dyDescent="0.4">
      <c r="A2242" s="212">
        <v>45967</v>
      </c>
      <c r="B2242" s="139" t="s">
        <v>58</v>
      </c>
      <c r="C2242" s="30" t="str">
        <f>VLOOKUP(B2242,'112年全品項生產鍋數'!A:H,2,0)</f>
        <v>PET大花生(1*400g)</v>
      </c>
      <c r="D2242" s="290">
        <v>20</v>
      </c>
      <c r="E2242" s="48">
        <f>VLOOKUP(B2242,'112年全品項生產鍋數'!A:H,3,0)</f>
        <v>0.4</v>
      </c>
      <c r="F2242" s="142">
        <f>VLOOKUP(B2242,'112年全品項生產鍋數'!A:H,7,0)</f>
        <v>309.2</v>
      </c>
      <c r="G2242" s="143">
        <f t="shared" si="322"/>
        <v>6184</v>
      </c>
      <c r="H2242" s="156">
        <v>6533</v>
      </c>
      <c r="I2242" s="23">
        <f t="shared" si="323"/>
        <v>2613.2000000000003</v>
      </c>
      <c r="J2242" s="100">
        <f t="shared" si="324"/>
        <v>1.0564359637774903</v>
      </c>
      <c r="K2242" s="51">
        <f>VLOOKUP(B:B,'生產達成率(目標)'!A:C,3,0)</f>
        <v>1</v>
      </c>
      <c r="L2242" s="20">
        <f t="shared" si="325"/>
        <v>5.6000000000000001E-2</v>
      </c>
      <c r="M2242" s="137" t="str">
        <f>工時!R1428</f>
        <v>360</v>
      </c>
      <c r="N2242" s="144"/>
      <c r="O2242" s="144">
        <f t="shared" si="326"/>
        <v>3</v>
      </c>
      <c r="P2242" s="156">
        <v>6530</v>
      </c>
      <c r="Q2242" s="98">
        <f t="shared" si="327"/>
        <v>0.99954079289759679</v>
      </c>
      <c r="R2242" s="23"/>
      <c r="S2242" s="173"/>
      <c r="T2242" s="86"/>
      <c r="U2242" s="1"/>
      <c r="V2242" s="460"/>
      <c r="X2242" s="460"/>
    </row>
    <row r="2243" spans="1:30" s="146" customFormat="1" x14ac:dyDescent="0.4">
      <c r="A2243" s="212">
        <v>45968</v>
      </c>
      <c r="B2243" s="139" t="s">
        <v>472</v>
      </c>
      <c r="C2243" s="140" t="str">
        <f>VLOOKUP(B2243,'112年全品項生產鍋數'!A:H,2,0)</f>
        <v>藍莓果醬(1*210G)</v>
      </c>
      <c r="D2243" s="290">
        <v>6</v>
      </c>
      <c r="E2243" s="141">
        <f>VLOOKUP(B2243,'112年全品項生產鍋數'!A:H,3,0)</f>
        <v>0.21</v>
      </c>
      <c r="F2243" s="142">
        <f>VLOOKUP(B2243,'112年全品項生產鍋數'!A:H,7,0)</f>
        <v>698.4</v>
      </c>
      <c r="G2243" s="143">
        <f t="shared" si="322"/>
        <v>4190.3999999999996</v>
      </c>
      <c r="H2243" s="156">
        <f>4175+18</f>
        <v>4193</v>
      </c>
      <c r="I2243" s="144">
        <f t="shared" si="323"/>
        <v>880.53</v>
      </c>
      <c r="J2243" s="100">
        <f t="shared" si="324"/>
        <v>1.0006204658266515</v>
      </c>
      <c r="K2243" s="51">
        <f>VLOOKUP(B:B,'生產達成率(目標)'!A:C,3,0)</f>
        <v>1</v>
      </c>
      <c r="L2243" s="20">
        <f t="shared" si="325"/>
        <v>1E-3</v>
      </c>
      <c r="M2243" s="137" t="str">
        <f>工時!R1429</f>
        <v>240</v>
      </c>
      <c r="N2243" s="144"/>
      <c r="O2243" s="144">
        <f t="shared" si="326"/>
        <v>9</v>
      </c>
      <c r="P2243" s="156">
        <v>4184</v>
      </c>
      <c r="Q2243" s="145">
        <f t="shared" si="327"/>
        <v>0.99785356546625326</v>
      </c>
      <c r="R2243" s="144"/>
      <c r="S2243" s="153"/>
      <c r="T2243" s="282"/>
      <c r="U2243" s="158"/>
      <c r="V2243" s="461"/>
      <c r="W2243" s="421"/>
      <c r="X2243" s="461"/>
      <c r="Y2243" s="421"/>
      <c r="Z2243" s="421"/>
      <c r="AA2243" s="421"/>
      <c r="AB2243" s="421"/>
      <c r="AC2243" s="421"/>
      <c r="AD2243" s="421"/>
    </row>
    <row r="2244" spans="1:30" x14ac:dyDescent="0.4">
      <c r="A2244" s="212">
        <v>45968</v>
      </c>
      <c r="B2244" s="139" t="s">
        <v>61</v>
      </c>
      <c r="C2244" s="30" t="str">
        <f>VLOOKUP(B2244,'112年全品項生產鍋數'!A:H,2,0)</f>
        <v>大圓草莓-新</v>
      </c>
      <c r="D2244" s="290">
        <v>24</v>
      </c>
      <c r="E2244" s="48">
        <f>VLOOKUP(B2244,'112年全品項生產鍋數'!A:H,3,0)</f>
        <v>0.44</v>
      </c>
      <c r="F2244" s="142">
        <f>VLOOKUP(B2244,'112年全品項生產鍋數'!A:H,7,0)</f>
        <v>344</v>
      </c>
      <c r="G2244" s="143">
        <f t="shared" si="322"/>
        <v>8256</v>
      </c>
      <c r="H2244" s="156">
        <v>8166</v>
      </c>
      <c r="I2244" s="23">
        <f t="shared" si="323"/>
        <v>3593.04</v>
      </c>
      <c r="J2244" s="100">
        <f t="shared" si="324"/>
        <v>0.98909883720930236</v>
      </c>
      <c r="K2244" s="51">
        <f>VLOOKUP(B:B,'生產達成率(目標)'!A:C,3,0)</f>
        <v>1</v>
      </c>
      <c r="L2244" s="20">
        <f t="shared" si="325"/>
        <v>-1.0999999999999999E-2</v>
      </c>
      <c r="M2244" s="137" t="str">
        <f>工時!R1430</f>
        <v>330</v>
      </c>
      <c r="N2244" s="144"/>
      <c r="O2244" s="144">
        <f t="shared" si="326"/>
        <v>4</v>
      </c>
      <c r="P2244" s="156">
        <v>8162</v>
      </c>
      <c r="Q2244" s="98">
        <f t="shared" si="327"/>
        <v>0.99951016409502813</v>
      </c>
      <c r="R2244" s="23"/>
      <c r="S2244" s="173"/>
      <c r="T2244" s="86"/>
      <c r="U2244" s="1"/>
      <c r="V2244" s="460"/>
      <c r="X2244" s="460"/>
    </row>
    <row r="2245" spans="1:30" x14ac:dyDescent="0.4">
      <c r="A2245" s="212">
        <v>45968</v>
      </c>
      <c r="B2245" s="139" t="s">
        <v>63</v>
      </c>
      <c r="C2245" s="30" t="str">
        <f>VLOOKUP(B2245,'112年全品項生產鍋數'!A:H,2,0)</f>
        <v>草莓蒟蒻餡(1*6kg)</v>
      </c>
      <c r="D2245" s="290">
        <v>24</v>
      </c>
      <c r="E2245" s="48">
        <f>VLOOKUP(B2245,'112年全品項生產鍋數'!A:H,3,0)</f>
        <v>6</v>
      </c>
      <c r="F2245" s="142">
        <f>VLOOKUP(B2245,'112年全品項生產鍋數'!A:H,7,0)</f>
        <v>25.7</v>
      </c>
      <c r="G2245" s="143">
        <f t="shared" si="322"/>
        <v>616.79999999999995</v>
      </c>
      <c r="H2245" s="156">
        <f>305+318</f>
        <v>623</v>
      </c>
      <c r="I2245" s="23">
        <f t="shared" si="323"/>
        <v>3738</v>
      </c>
      <c r="J2245" s="100">
        <f t="shared" si="324"/>
        <v>1.0100518806744487</v>
      </c>
      <c r="K2245" s="51">
        <f>VLOOKUP(B:B,'生產達成率(目標)'!A:C,3,0)</f>
        <v>1</v>
      </c>
      <c r="L2245" s="20">
        <f t="shared" si="325"/>
        <v>0.01</v>
      </c>
      <c r="M2245" s="137" t="str">
        <f>工時!R1431</f>
        <v>366</v>
      </c>
      <c r="N2245" s="144"/>
      <c r="O2245" s="144">
        <f t="shared" si="326"/>
        <v>1</v>
      </c>
      <c r="P2245" s="156">
        <f>304+318</f>
        <v>622</v>
      </c>
      <c r="Q2245" s="98">
        <f t="shared" si="327"/>
        <v>0.9983948635634029</v>
      </c>
      <c r="R2245" s="23"/>
      <c r="S2245" s="173"/>
      <c r="T2245" s="86"/>
      <c r="U2245" s="1"/>
      <c r="V2245" s="460"/>
      <c r="X2245" s="460"/>
    </row>
    <row r="2246" spans="1:30" x14ac:dyDescent="0.4">
      <c r="A2246" s="212">
        <v>45968</v>
      </c>
      <c r="B2246" s="139" t="s">
        <v>51</v>
      </c>
      <c r="C2246" s="30" t="str">
        <f>VLOOKUP(B2246,'112年全品項生產鍋數'!A:H,2,0)</f>
        <v>藍莓醬(1*6kg)</v>
      </c>
      <c r="D2246" s="290">
        <v>12</v>
      </c>
      <c r="E2246" s="48">
        <f>VLOOKUP(B2246,'112年全品項生產鍋數'!A:H,3,0)</f>
        <v>6</v>
      </c>
      <c r="F2246" s="142">
        <f>VLOOKUP(B2246,'112年全品項生產鍋數'!A:H,7,0)</f>
        <v>25.5</v>
      </c>
      <c r="G2246" s="143">
        <f t="shared" si="322"/>
        <v>306</v>
      </c>
      <c r="H2246" s="156">
        <v>308</v>
      </c>
      <c r="I2246" s="23">
        <f t="shared" si="323"/>
        <v>1848</v>
      </c>
      <c r="J2246" s="100">
        <f t="shared" si="324"/>
        <v>1.0065359477124183</v>
      </c>
      <c r="K2246" s="51">
        <f>VLOOKUP(B:B,'生產達成率(目標)'!A:C,3,0)</f>
        <v>1</v>
      </c>
      <c r="L2246" s="20">
        <f t="shared" si="325"/>
        <v>7.0000000000000001E-3</v>
      </c>
      <c r="M2246" s="137" t="str">
        <f>工時!R1432</f>
        <v>180</v>
      </c>
      <c r="N2246" s="144"/>
      <c r="O2246" s="144">
        <f t="shared" si="326"/>
        <v>1</v>
      </c>
      <c r="P2246" s="156">
        <v>307</v>
      </c>
      <c r="Q2246" s="98">
        <f t="shared" si="327"/>
        <v>0.99675324675324672</v>
      </c>
      <c r="R2246" s="23"/>
      <c r="S2246" s="173"/>
      <c r="T2246" s="86"/>
      <c r="U2246" s="1"/>
      <c r="V2246" s="460"/>
      <c r="X2246" s="460"/>
    </row>
    <row r="2247" spans="1:30" x14ac:dyDescent="0.4">
      <c r="A2247" s="212">
        <v>45968</v>
      </c>
      <c r="B2247" s="139" t="s">
        <v>434</v>
      </c>
      <c r="C2247" s="30" t="str">
        <f>VLOOKUP(B2247,'112年全品項生產鍋數'!A:H,2,0)</f>
        <v>蜜桔皮</v>
      </c>
      <c r="D2247" s="290">
        <v>30</v>
      </c>
      <c r="E2247" s="48">
        <f>VLOOKUP(B2247,'112年全品項生產鍋數'!A:H,3,0)</f>
        <v>1</v>
      </c>
      <c r="F2247" s="142">
        <f>VLOOKUP(B2247,'112年全品項生產鍋數'!A:H,7,0)</f>
        <v>6</v>
      </c>
      <c r="G2247" s="143">
        <f t="shared" si="322"/>
        <v>180</v>
      </c>
      <c r="H2247" s="156">
        <v>197</v>
      </c>
      <c r="I2247" s="23">
        <f t="shared" si="323"/>
        <v>197</v>
      </c>
      <c r="J2247" s="100">
        <f t="shared" si="324"/>
        <v>1.0944444444444446</v>
      </c>
      <c r="K2247" s="51">
        <f>VLOOKUP(B:B,'生產達成率(目標)'!A:C,3,0)</f>
        <v>1</v>
      </c>
      <c r="L2247" s="20">
        <f t="shared" si="325"/>
        <v>9.4E-2</v>
      </c>
      <c r="M2247" s="137" t="str">
        <f>工時!R1433</f>
        <v>0</v>
      </c>
      <c r="N2247" s="144"/>
      <c r="O2247" s="144">
        <f t="shared" si="326"/>
        <v>0</v>
      </c>
      <c r="P2247" s="156">
        <v>197</v>
      </c>
      <c r="Q2247" s="98">
        <f t="shared" si="327"/>
        <v>1</v>
      </c>
      <c r="R2247" s="23"/>
      <c r="S2247" s="173"/>
      <c r="T2247" s="86"/>
      <c r="U2247" s="1"/>
      <c r="V2247" s="460"/>
      <c r="X2247" s="460"/>
    </row>
    <row r="2248" spans="1:30" x14ac:dyDescent="0.4">
      <c r="A2248" s="212">
        <v>45968</v>
      </c>
      <c r="B2248" s="139" t="s">
        <v>500</v>
      </c>
      <c r="C2248" s="30" t="str">
        <f>VLOOKUP(B2248,'112年全品項生產鍋數'!A:H,2,0)</f>
        <v>蜜餞水果(1*1kg)</v>
      </c>
      <c r="D2248" s="290">
        <v>25</v>
      </c>
      <c r="E2248" s="48">
        <f>VLOOKUP(B2248,'112年全品項生產鍋數'!A:H,3,0)</f>
        <v>1</v>
      </c>
      <c r="F2248" s="142">
        <f>VLOOKUP(B2248,'112年全品項生產鍋數'!A:H,7,0)</f>
        <v>5.7</v>
      </c>
      <c r="G2248" s="143">
        <f t="shared" si="322"/>
        <v>142.5</v>
      </c>
      <c r="H2248" s="156">
        <v>146</v>
      </c>
      <c r="I2248" s="23">
        <f t="shared" si="323"/>
        <v>146</v>
      </c>
      <c r="J2248" s="100">
        <f t="shared" si="324"/>
        <v>1.024561403508772</v>
      </c>
      <c r="K2248" s="51">
        <f>VLOOKUP(B:B,'生產達成率(目標)'!A:C,3,0)</f>
        <v>1</v>
      </c>
      <c r="L2248" s="20">
        <f t="shared" si="325"/>
        <v>2.5000000000000001E-2</v>
      </c>
      <c r="M2248" s="137" t="str">
        <f>工時!R1434</f>
        <v>0</v>
      </c>
      <c r="N2248" s="144"/>
      <c r="O2248" s="144">
        <f t="shared" si="326"/>
        <v>0</v>
      </c>
      <c r="P2248" s="156">
        <v>146</v>
      </c>
      <c r="Q2248" s="98">
        <f t="shared" si="327"/>
        <v>1</v>
      </c>
      <c r="R2248" s="23"/>
      <c r="S2248" s="173"/>
      <c r="T2248" s="86"/>
      <c r="U2248" s="1"/>
      <c r="V2248" s="460"/>
      <c r="X2248" s="460"/>
    </row>
    <row r="2249" spans="1:30" ht="15.75" customHeight="1" x14ac:dyDescent="0.4">
      <c r="A2249" s="212">
        <v>45971</v>
      </c>
      <c r="B2249" s="139" t="s">
        <v>431</v>
      </c>
      <c r="C2249" s="30" t="str">
        <f>VLOOKUP(B2249,'112年全品項生產鍋數'!A:H,2,0)</f>
        <v>文旦丁</v>
      </c>
      <c r="D2249" s="290">
        <v>2</v>
      </c>
      <c r="E2249" s="48">
        <f>VLOOKUP(B2249,'112年全品項生產鍋數'!A:H,3,0)</f>
        <v>1</v>
      </c>
      <c r="F2249" s="142">
        <f>VLOOKUP(B2249,'112年全品項生產鍋數'!A:H,7,0)</f>
        <v>243</v>
      </c>
      <c r="G2249" s="143">
        <f t="shared" si="322"/>
        <v>486</v>
      </c>
      <c r="H2249" s="156">
        <v>472</v>
      </c>
      <c r="I2249" s="23">
        <f t="shared" si="323"/>
        <v>472</v>
      </c>
      <c r="J2249" s="100">
        <f t="shared" si="324"/>
        <v>0.9711934156378601</v>
      </c>
      <c r="K2249" s="51">
        <f>VLOOKUP(B:B,'生產達成率(目標)'!A:C,3,0)</f>
        <v>1</v>
      </c>
      <c r="L2249" s="20">
        <f t="shared" si="325"/>
        <v>-2.9000000000000001E-2</v>
      </c>
      <c r="M2249" s="137" t="str">
        <f>工時!R1435</f>
        <v>0</v>
      </c>
      <c r="N2249" s="144"/>
      <c r="O2249" s="144">
        <f t="shared" si="326"/>
        <v>0</v>
      </c>
      <c r="P2249" s="156">
        <v>472</v>
      </c>
      <c r="Q2249" s="98">
        <f t="shared" si="327"/>
        <v>1</v>
      </c>
      <c r="R2249" s="23"/>
      <c r="S2249" s="173"/>
      <c r="T2249" s="86"/>
      <c r="U2249" s="1"/>
      <c r="V2249" s="460"/>
      <c r="X2249" s="460"/>
    </row>
    <row r="2250" spans="1:30" s="146" customFormat="1" x14ac:dyDescent="0.4">
      <c r="A2250" s="212">
        <v>45973</v>
      </c>
      <c r="B2250" s="139" t="s">
        <v>106</v>
      </c>
      <c r="C2250" s="140" t="str">
        <f>VLOOKUP(B2250,'112年全品項生產鍋數'!A:H,2,0)</f>
        <v>小藍莓1*260G</v>
      </c>
      <c r="D2250" s="290">
        <v>12</v>
      </c>
      <c r="E2250" s="141">
        <f>VLOOKUP(B2250,'112年全品項生產鍋數'!A:H,3,0)</f>
        <v>0.26</v>
      </c>
      <c r="F2250" s="142">
        <f>VLOOKUP(B2250,'112年全品項生產鍋數'!A:H,7,0)</f>
        <v>584.29999999999995</v>
      </c>
      <c r="G2250" s="143">
        <f t="shared" si="322"/>
        <v>7011.5999999999995</v>
      </c>
      <c r="H2250" s="156">
        <v>6908</v>
      </c>
      <c r="I2250" s="144">
        <f t="shared" si="323"/>
        <v>1796.0800000000002</v>
      </c>
      <c r="J2250" s="100">
        <f t="shared" si="324"/>
        <v>0.9852244851389127</v>
      </c>
      <c r="K2250" s="51">
        <f>VLOOKUP(B:B,'生產達成率(目標)'!A:C,3,0)</f>
        <v>1</v>
      </c>
      <c r="L2250" s="20">
        <f t="shared" si="325"/>
        <v>-1.4999999999999999E-2</v>
      </c>
      <c r="M2250" s="137" t="str">
        <f>工時!R1436</f>
        <v>300</v>
      </c>
      <c r="N2250" s="144"/>
      <c r="O2250" s="144">
        <f t="shared" si="326"/>
        <v>16</v>
      </c>
      <c r="P2250" s="156">
        <v>6892</v>
      </c>
      <c r="Q2250" s="145">
        <f t="shared" si="327"/>
        <v>0.99768384481760275</v>
      </c>
      <c r="R2250" s="144"/>
      <c r="S2250" s="153"/>
      <c r="T2250" s="282"/>
      <c r="U2250" s="158"/>
      <c r="V2250" s="461"/>
      <c r="W2250" s="421"/>
      <c r="X2250" s="461"/>
      <c r="Y2250" s="421"/>
      <c r="Z2250" s="421"/>
      <c r="AA2250" s="421"/>
      <c r="AB2250" s="421"/>
      <c r="AC2250" s="421"/>
      <c r="AD2250" s="421"/>
    </row>
    <row r="2251" spans="1:30" x14ac:dyDescent="0.4">
      <c r="A2251" s="212">
        <v>45973</v>
      </c>
      <c r="B2251" s="139" t="s">
        <v>61</v>
      </c>
      <c r="C2251" s="30" t="str">
        <f>VLOOKUP(B2251,'112年全品項生產鍋數'!A:H,2,0)</f>
        <v>大圓草莓-新</v>
      </c>
      <c r="D2251" s="290">
        <v>20</v>
      </c>
      <c r="E2251" s="48">
        <f>VLOOKUP(B2251,'112年全品項生產鍋數'!A:H,3,0)</f>
        <v>0.44</v>
      </c>
      <c r="F2251" s="142">
        <f>VLOOKUP(B2251,'112年全品項生產鍋數'!A:H,7,0)</f>
        <v>344</v>
      </c>
      <c r="G2251" s="143">
        <f t="shared" si="322"/>
        <v>6880</v>
      </c>
      <c r="H2251" s="156">
        <v>6772</v>
      </c>
      <c r="I2251" s="23">
        <f t="shared" si="323"/>
        <v>2979.68</v>
      </c>
      <c r="J2251" s="100">
        <f t="shared" si="324"/>
        <v>0.9843023255813953</v>
      </c>
      <c r="K2251" s="51">
        <f>VLOOKUP(B:B,'生產達成率(目標)'!A:C,3,0)</f>
        <v>1</v>
      </c>
      <c r="L2251" s="20">
        <f t="shared" si="325"/>
        <v>-1.6E-2</v>
      </c>
      <c r="M2251" s="137" t="str">
        <f>工時!R1437</f>
        <v>240</v>
      </c>
      <c r="N2251" s="144"/>
      <c r="O2251" s="144">
        <f t="shared" si="326"/>
        <v>4</v>
      </c>
      <c r="P2251" s="156">
        <v>6768</v>
      </c>
      <c r="Q2251" s="98">
        <f t="shared" si="327"/>
        <v>0.99940933254577669</v>
      </c>
      <c r="R2251" s="23"/>
      <c r="S2251" s="173"/>
      <c r="T2251" s="86"/>
      <c r="U2251" s="1"/>
      <c r="V2251" s="460"/>
      <c r="X2251" s="460"/>
    </row>
    <row r="2252" spans="1:30" x14ac:dyDescent="0.4">
      <c r="A2252" s="212">
        <v>45973</v>
      </c>
      <c r="B2252" s="139" t="s">
        <v>63</v>
      </c>
      <c r="C2252" s="30" t="str">
        <f>VLOOKUP(B2252,'112年全品項生產鍋數'!A:H,2,0)</f>
        <v>草莓蒟蒻餡(1*6kg)</v>
      </c>
      <c r="D2252" s="290">
        <v>16</v>
      </c>
      <c r="E2252" s="48">
        <f>VLOOKUP(B2252,'112年全品項生產鍋數'!A:H,3,0)</f>
        <v>6</v>
      </c>
      <c r="F2252" s="142">
        <f>VLOOKUP(B2252,'112年全品項生產鍋數'!A:H,7,0)</f>
        <v>25.7</v>
      </c>
      <c r="G2252" s="143">
        <f t="shared" si="322"/>
        <v>411.2</v>
      </c>
      <c r="H2252" s="156">
        <f>205+214</f>
        <v>419</v>
      </c>
      <c r="I2252" s="23">
        <f t="shared" si="323"/>
        <v>2514</v>
      </c>
      <c r="J2252" s="100">
        <f t="shared" si="324"/>
        <v>1.0189688715953307</v>
      </c>
      <c r="K2252" s="51">
        <f>VLOOKUP(B:B,'生產達成率(目標)'!A:C,3,0)</f>
        <v>1</v>
      </c>
      <c r="L2252" s="20">
        <f t="shared" si="325"/>
        <v>1.9E-2</v>
      </c>
      <c r="M2252" s="137" t="str">
        <f>工時!R1438</f>
        <v>210</v>
      </c>
      <c r="N2252" s="144"/>
      <c r="O2252" s="144">
        <f t="shared" si="326"/>
        <v>1</v>
      </c>
      <c r="P2252" s="156">
        <f>204+214</f>
        <v>418</v>
      </c>
      <c r="Q2252" s="98">
        <f t="shared" si="327"/>
        <v>0.99761336515513122</v>
      </c>
      <c r="R2252" s="23"/>
      <c r="S2252" s="173"/>
      <c r="T2252" s="86"/>
      <c r="U2252" s="1"/>
      <c r="V2252" s="460"/>
      <c r="X2252" s="460"/>
    </row>
    <row r="2253" spans="1:30" x14ac:dyDescent="0.4">
      <c r="A2253" s="212">
        <v>45973</v>
      </c>
      <c r="B2253" s="139" t="s">
        <v>984</v>
      </c>
      <c r="C2253" s="30" t="str">
        <f>VLOOKUP(B2253,'112年全品項生產鍋數'!A:H,2,0)</f>
        <v>蘋果餡(1*6Kg)</v>
      </c>
      <c r="D2253" s="290">
        <v>8</v>
      </c>
      <c r="E2253" s="48">
        <f>VLOOKUP(B2253,'112年全品項生產鍋數'!A:H,3,0)</f>
        <v>6</v>
      </c>
      <c r="F2253" s="142">
        <f>VLOOKUP(B2253,'112年全品項生產鍋數'!A:H,7,0)</f>
        <v>25.6</v>
      </c>
      <c r="G2253" s="143">
        <f t="shared" si="322"/>
        <v>204.8</v>
      </c>
      <c r="H2253" s="156">
        <v>206</v>
      </c>
      <c r="I2253" s="23">
        <f t="shared" si="323"/>
        <v>1236</v>
      </c>
      <c r="J2253" s="100">
        <f t="shared" si="324"/>
        <v>1.005859375</v>
      </c>
      <c r="K2253" s="51" t="e">
        <f>VLOOKUP(B:B,'生產達成率(目標)'!A:C,3,0)</f>
        <v>#N/A</v>
      </c>
      <c r="L2253" s="20" t="e">
        <f t="shared" si="325"/>
        <v>#N/A</v>
      </c>
      <c r="M2253" s="137" t="str">
        <f>工時!R1439</f>
        <v>195</v>
      </c>
      <c r="N2253" s="144"/>
      <c r="O2253" s="144">
        <f t="shared" si="326"/>
        <v>1</v>
      </c>
      <c r="P2253" s="156">
        <v>205</v>
      </c>
      <c r="Q2253" s="98">
        <f t="shared" si="327"/>
        <v>0.99514563106796117</v>
      </c>
      <c r="R2253" s="23"/>
      <c r="S2253" s="173"/>
      <c r="T2253" s="86" t="s">
        <v>1153</v>
      </c>
      <c r="U2253" s="1"/>
      <c r="V2253" s="460"/>
      <c r="X2253" s="460"/>
    </row>
    <row r="2254" spans="1:30" x14ac:dyDescent="0.4">
      <c r="A2254" s="212">
        <v>45973</v>
      </c>
      <c r="B2254" s="139" t="s">
        <v>76</v>
      </c>
      <c r="C2254" s="30" t="str">
        <f>VLOOKUP(B2254,'112年全品項生產鍋數'!A:H,2,0)</f>
        <v>草莓餡(1*6Kg)</v>
      </c>
      <c r="D2254" s="290">
        <v>12</v>
      </c>
      <c r="E2254" s="48">
        <f>VLOOKUP(B2254,'112年全品項生產鍋數'!A:H,3,0)</f>
        <v>6</v>
      </c>
      <c r="F2254" s="142">
        <f>VLOOKUP(B2254,'112年全品項生產鍋數'!A:H,7,0)</f>
        <v>25.5</v>
      </c>
      <c r="G2254" s="143">
        <f t="shared" si="322"/>
        <v>306</v>
      </c>
      <c r="H2254" s="156">
        <v>306</v>
      </c>
      <c r="I2254" s="23">
        <f t="shared" si="323"/>
        <v>1836</v>
      </c>
      <c r="J2254" s="100">
        <f t="shared" si="324"/>
        <v>1</v>
      </c>
      <c r="K2254" s="51">
        <f>VLOOKUP(B:B,'生產達成率(目標)'!A:C,3,0)</f>
        <v>1</v>
      </c>
      <c r="L2254" s="20">
        <f t="shared" si="325"/>
        <v>0</v>
      </c>
      <c r="M2254" s="137" t="str">
        <f>工時!R1440</f>
        <v>195</v>
      </c>
      <c r="N2254" s="144"/>
      <c r="O2254" s="144">
        <f t="shared" si="326"/>
        <v>1</v>
      </c>
      <c r="P2254" s="156">
        <v>305</v>
      </c>
      <c r="Q2254" s="98">
        <f t="shared" si="327"/>
        <v>0.99673202614379086</v>
      </c>
      <c r="R2254" s="23"/>
      <c r="S2254" s="173"/>
      <c r="T2254" s="86" t="s">
        <v>1153</v>
      </c>
      <c r="U2254" s="1"/>
      <c r="V2254" s="460"/>
      <c r="X2254" s="460"/>
    </row>
    <row r="2255" spans="1:30" x14ac:dyDescent="0.4">
      <c r="A2255" s="212">
        <v>45973</v>
      </c>
      <c r="B2255" s="139" t="s">
        <v>73</v>
      </c>
      <c r="C2255" s="30" t="str">
        <f>VLOOKUP(B2255,'112年全品項生產鍋數'!A:H,2,0)</f>
        <v>顆粒花生醬(1*12KG)</v>
      </c>
      <c r="D2255" s="290">
        <v>15</v>
      </c>
      <c r="E2255" s="48">
        <f>VLOOKUP(B2255,'112年全品項生產鍋數'!A:H,3,0)</f>
        <v>3</v>
      </c>
      <c r="F2255" s="142">
        <f>VLOOKUP(B2255,'112年全品項生產鍋數'!A:H,7,0)</f>
        <v>29.7</v>
      </c>
      <c r="G2255" s="143">
        <f t="shared" si="322"/>
        <v>445.5</v>
      </c>
      <c r="H2255" s="156">
        <v>452</v>
      </c>
      <c r="I2255" s="23">
        <f t="shared" si="323"/>
        <v>1356</v>
      </c>
      <c r="J2255" s="100">
        <f t="shared" si="324"/>
        <v>1.0145903479236813</v>
      </c>
      <c r="K2255" s="51">
        <f>VLOOKUP(B:B,'生產達成率(目標)'!A:C,3,0)</f>
        <v>1</v>
      </c>
      <c r="L2255" s="20">
        <f t="shared" si="325"/>
        <v>1.4999999999999999E-2</v>
      </c>
      <c r="M2255" s="137" t="str">
        <f>工時!R1441</f>
        <v>540</v>
      </c>
      <c r="N2255" s="144"/>
      <c r="O2255" s="144">
        <f t="shared" si="326"/>
        <v>0</v>
      </c>
      <c r="P2255" s="156">
        <v>452</v>
      </c>
      <c r="Q2255" s="98">
        <f t="shared" si="327"/>
        <v>1</v>
      </c>
      <c r="R2255" s="23"/>
      <c r="S2255" s="173"/>
      <c r="T2255" s="86"/>
      <c r="U2255" s="1"/>
      <c r="V2255" s="460"/>
      <c r="X2255" s="460"/>
    </row>
    <row r="2256" spans="1:30" x14ac:dyDescent="0.4">
      <c r="A2256" s="212">
        <v>45974</v>
      </c>
      <c r="B2256" s="139" t="s">
        <v>99</v>
      </c>
      <c r="C2256" s="30" t="str">
        <f>VLOOKUP(B2256,'112年全品項生產鍋數'!A:H,2,0)</f>
        <v>葡萄奇異果醬(1*6kg)</v>
      </c>
      <c r="D2256" s="290">
        <v>6</v>
      </c>
      <c r="E2256" s="48">
        <f>VLOOKUP(B2256,'112年全品項生產鍋數'!A:H,3,0)</f>
        <v>6</v>
      </c>
      <c r="F2256" s="142">
        <f>VLOOKUP(B2256,'112年全品項生產鍋數'!A:H,7,0)</f>
        <v>24.3</v>
      </c>
      <c r="G2256" s="143">
        <f t="shared" si="322"/>
        <v>145.80000000000001</v>
      </c>
      <c r="H2256" s="156">
        <v>152</v>
      </c>
      <c r="I2256" s="23">
        <f t="shared" si="323"/>
        <v>912</v>
      </c>
      <c r="J2256" s="100">
        <f t="shared" si="324"/>
        <v>1.0425240054869684</v>
      </c>
      <c r="K2256" s="51">
        <f>VLOOKUP(B:B,'生產達成率(目標)'!A:C,3,0)</f>
        <v>1</v>
      </c>
      <c r="L2256" s="20">
        <f t="shared" si="325"/>
        <v>4.2999999999999997E-2</v>
      </c>
      <c r="M2256" s="137" t="str">
        <f>工時!R1442</f>
        <v>174</v>
      </c>
      <c r="N2256" s="144"/>
      <c r="O2256" s="144">
        <f t="shared" si="326"/>
        <v>2</v>
      </c>
      <c r="P2256" s="156">
        <v>150</v>
      </c>
      <c r="Q2256" s="98">
        <f t="shared" si="327"/>
        <v>0.98684210526315785</v>
      </c>
      <c r="R2256" s="23"/>
      <c r="S2256" s="173"/>
      <c r="T2256" s="86" t="s">
        <v>1153</v>
      </c>
      <c r="U2256" s="1"/>
      <c r="V2256" s="460"/>
      <c r="X2256" s="460"/>
    </row>
    <row r="2257" spans="1:30" x14ac:dyDescent="0.4">
      <c r="A2257" s="212">
        <v>45974</v>
      </c>
      <c r="B2257" s="139" t="s">
        <v>53</v>
      </c>
      <c r="C2257" s="30" t="str">
        <f>VLOOKUP(B2257,'112年全品項生產鍋數'!A:H,2,0)</f>
        <v>鳳梨芒果百香果醬(1*6KG)</v>
      </c>
      <c r="D2257" s="290">
        <v>6</v>
      </c>
      <c r="E2257" s="48">
        <f>VLOOKUP(B2257,'112年全品項生產鍋數'!A:H,3,0)</f>
        <v>6</v>
      </c>
      <c r="F2257" s="142">
        <f>VLOOKUP(B2257,'112年全品項生產鍋數'!A:H,7,0)</f>
        <v>25.7</v>
      </c>
      <c r="G2257" s="143">
        <f t="shared" si="322"/>
        <v>154.19999999999999</v>
      </c>
      <c r="H2257" s="156">
        <v>156</v>
      </c>
      <c r="I2257" s="23">
        <f t="shared" si="323"/>
        <v>936</v>
      </c>
      <c r="J2257" s="100">
        <f t="shared" si="324"/>
        <v>1.0116731517509729</v>
      </c>
      <c r="K2257" s="51">
        <f>VLOOKUP(B:B,'生產達成率(目標)'!A:C,3,0)</f>
        <v>1</v>
      </c>
      <c r="L2257" s="20">
        <f t="shared" si="325"/>
        <v>1.2E-2</v>
      </c>
      <c r="M2257" s="137" t="str">
        <f>工時!R1443</f>
        <v>130</v>
      </c>
      <c r="N2257" s="144"/>
      <c r="O2257" s="144">
        <f t="shared" si="326"/>
        <v>1</v>
      </c>
      <c r="P2257" s="156">
        <v>155</v>
      </c>
      <c r="Q2257" s="98">
        <f t="shared" si="327"/>
        <v>0.99358974358974361</v>
      </c>
      <c r="R2257" s="23"/>
      <c r="S2257" s="173"/>
      <c r="T2257" s="86"/>
      <c r="U2257" s="1"/>
      <c r="V2257" s="460"/>
      <c r="X2257" s="460"/>
    </row>
    <row r="2258" spans="1:30" x14ac:dyDescent="0.4">
      <c r="A2258" s="212">
        <v>45974</v>
      </c>
      <c r="B2258" s="139" t="s">
        <v>72</v>
      </c>
      <c r="C2258" s="30" t="str">
        <f>VLOOKUP(B2258,'112年全品項生產鍋數'!A:H,2,0)</f>
        <v>草莓餡45%(1*6Kg)</v>
      </c>
      <c r="D2258" s="290">
        <v>20</v>
      </c>
      <c r="E2258" s="48">
        <f>VLOOKUP(B2258,'112年全品項生產鍋數'!A:H,3,0)</f>
        <v>6</v>
      </c>
      <c r="F2258" s="142">
        <f>VLOOKUP(B2258,'112年全品項生產鍋數'!A:H,7,0)</f>
        <v>26.1</v>
      </c>
      <c r="G2258" s="143">
        <f t="shared" si="322"/>
        <v>522</v>
      </c>
      <c r="H2258" s="156">
        <v>543</v>
      </c>
      <c r="I2258" s="23">
        <f t="shared" si="323"/>
        <v>3258</v>
      </c>
      <c r="J2258" s="100">
        <f t="shared" si="324"/>
        <v>1.0402298850574712</v>
      </c>
      <c r="K2258" s="51">
        <f>VLOOKUP(B:B,'生產達成率(目標)'!A:C,3,0)</f>
        <v>1</v>
      </c>
      <c r="L2258" s="20">
        <f t="shared" si="325"/>
        <v>0.04</v>
      </c>
      <c r="M2258" s="137" t="str">
        <f>工時!R1444</f>
        <v>300</v>
      </c>
      <c r="N2258" s="144"/>
      <c r="O2258" s="144">
        <f t="shared" si="326"/>
        <v>3</v>
      </c>
      <c r="P2258" s="156">
        <v>540</v>
      </c>
      <c r="Q2258" s="98">
        <f t="shared" si="327"/>
        <v>0.99447513812154698</v>
      </c>
      <c r="R2258" s="23"/>
      <c r="S2258" s="173"/>
      <c r="T2258" s="86" t="s">
        <v>1153</v>
      </c>
      <c r="U2258" s="1"/>
      <c r="V2258" s="460"/>
      <c r="X2258" s="460"/>
    </row>
    <row r="2259" spans="1:30" x14ac:dyDescent="0.4">
      <c r="A2259" s="212">
        <v>45974</v>
      </c>
      <c r="B2259" s="139" t="s">
        <v>108</v>
      </c>
      <c r="C2259" s="30" t="str">
        <f>VLOOKUP(B2259,'112年全品項生產鍋數'!A:H,2,0)</f>
        <v>顆粒花生醬(1*12KG)</v>
      </c>
      <c r="D2259" s="290">
        <v>21</v>
      </c>
      <c r="E2259" s="48">
        <f>VLOOKUP(B2259,'112年全品項生產鍋數'!A:H,3,0)</f>
        <v>3</v>
      </c>
      <c r="F2259" s="142">
        <f>VLOOKUP(B2259,'112年全品項生產鍋數'!A:H,7,0)</f>
        <v>31.6</v>
      </c>
      <c r="G2259" s="143">
        <f t="shared" si="322"/>
        <v>663.6</v>
      </c>
      <c r="H2259" s="156">
        <v>672</v>
      </c>
      <c r="I2259" s="23">
        <f t="shared" si="323"/>
        <v>2016</v>
      </c>
      <c r="J2259" s="100">
        <f t="shared" si="324"/>
        <v>1.0126582278481013</v>
      </c>
      <c r="K2259" s="51">
        <f>VLOOKUP(B:B,'生產達成率(目標)'!A:C,3,0)</f>
        <v>1</v>
      </c>
      <c r="L2259" s="20">
        <f t="shared" si="325"/>
        <v>1.2999999999999999E-2</v>
      </c>
      <c r="M2259" s="137" t="str">
        <f>工時!R1445</f>
        <v>540</v>
      </c>
      <c r="N2259" s="144"/>
      <c r="O2259" s="144">
        <f t="shared" si="326"/>
        <v>0</v>
      </c>
      <c r="P2259" s="156">
        <v>672</v>
      </c>
      <c r="Q2259" s="98">
        <f t="shared" si="327"/>
        <v>1</v>
      </c>
      <c r="R2259" s="23"/>
      <c r="S2259" s="173"/>
      <c r="T2259" s="86"/>
      <c r="U2259" s="1"/>
      <c r="V2259" s="460"/>
      <c r="X2259" s="460"/>
    </row>
    <row r="2260" spans="1:30" x14ac:dyDescent="0.4">
      <c r="A2260" s="212">
        <v>45974</v>
      </c>
      <c r="B2260" s="139" t="s">
        <v>104</v>
      </c>
      <c r="C2260" s="30" t="str">
        <f>VLOOKUP(B2260,'112年全品項生產鍋數'!A:H,2,0)</f>
        <v>＃1花生(粒)(1*2.8kg)</v>
      </c>
      <c r="D2260" s="290">
        <v>60</v>
      </c>
      <c r="E2260" s="48">
        <f>VLOOKUP(B2260,'112年全品項生產鍋數'!A:H,3,0)</f>
        <v>2.8</v>
      </c>
      <c r="F2260" s="142">
        <f>VLOOKUP(B2260,'112年全品項生產鍋數'!A:H,7,0)</f>
        <v>44.2</v>
      </c>
      <c r="G2260" s="143">
        <f>D2260*F2260-100*18/2.8</f>
        <v>2009.1428571428571</v>
      </c>
      <c r="H2260" s="156">
        <v>2000</v>
      </c>
      <c r="I2260" s="23">
        <f t="shared" si="323"/>
        <v>5600</v>
      </c>
      <c r="J2260" s="100">
        <f t="shared" si="324"/>
        <v>0.99544937428896474</v>
      </c>
      <c r="K2260" s="51">
        <f>VLOOKUP(B:B,'生產達成率(目標)'!A:C,3,0)</f>
        <v>1</v>
      </c>
      <c r="L2260" s="20">
        <f t="shared" si="325"/>
        <v>-5.0000000000000001E-3</v>
      </c>
      <c r="M2260" s="137" t="str">
        <f>工時!R1446</f>
        <v>520</v>
      </c>
      <c r="N2260" s="144"/>
      <c r="O2260" s="144">
        <f t="shared" si="326"/>
        <v>1</v>
      </c>
      <c r="P2260" s="156">
        <v>1999</v>
      </c>
      <c r="Q2260" s="98">
        <f t="shared" si="327"/>
        <v>0.99950000000000006</v>
      </c>
      <c r="R2260" s="23"/>
      <c r="S2260" s="173"/>
      <c r="T2260" s="86" t="s">
        <v>1156</v>
      </c>
      <c r="U2260" s="1"/>
      <c r="V2260" s="460"/>
      <c r="X2260" s="460"/>
    </row>
    <row r="2261" spans="1:30" x14ac:dyDescent="0.4">
      <c r="A2261" s="212">
        <v>45975</v>
      </c>
      <c r="B2261" s="139" t="s">
        <v>71</v>
      </c>
      <c r="C2261" s="30" t="str">
        <f>VLOOKUP(B2261,'112年全品項生產鍋數'!A:H,2,0)</f>
        <v>＃1草莓(1*3.2kg)</v>
      </c>
      <c r="D2261" s="290">
        <v>32</v>
      </c>
      <c r="E2261" s="48">
        <f>VLOOKUP(B2261,'112年全品項生產鍋數'!A:H,3,0)</f>
        <v>3.2</v>
      </c>
      <c r="F2261" s="142">
        <f>VLOOKUP(B2261,'112年全品項生產鍋數'!A:H,7,0)</f>
        <v>46.8</v>
      </c>
      <c r="G2261" s="143">
        <f t="shared" si="322"/>
        <v>1497.6</v>
      </c>
      <c r="H2261" s="156">
        <v>1526</v>
      </c>
      <c r="I2261" s="23">
        <f t="shared" si="323"/>
        <v>4883.2</v>
      </c>
      <c r="J2261" s="100">
        <f t="shared" si="324"/>
        <v>1.0189636752136753</v>
      </c>
      <c r="K2261" s="51">
        <f>VLOOKUP(B:B,'生產達成率(目標)'!A:C,3,0)</f>
        <v>1</v>
      </c>
      <c r="L2261" s="20">
        <f t="shared" si="325"/>
        <v>1.9E-2</v>
      </c>
      <c r="M2261" s="137" t="str">
        <f>工時!R1447</f>
        <v>300</v>
      </c>
      <c r="N2261" s="144"/>
      <c r="O2261" s="144">
        <f t="shared" si="326"/>
        <v>1</v>
      </c>
      <c r="P2261" s="156">
        <v>1525</v>
      </c>
      <c r="Q2261" s="98">
        <f t="shared" si="327"/>
        <v>0.99934469200524245</v>
      </c>
      <c r="R2261" s="23" t="s">
        <v>1240</v>
      </c>
      <c r="S2261" s="173">
        <v>93</v>
      </c>
      <c r="T2261" s="86" t="s">
        <v>1153</v>
      </c>
      <c r="U2261" s="1"/>
      <c r="V2261" s="460"/>
      <c r="X2261" s="460"/>
    </row>
    <row r="2262" spans="1:30" x14ac:dyDescent="0.4">
      <c r="A2262" s="212">
        <v>45975</v>
      </c>
      <c r="B2262" s="139" t="s">
        <v>87</v>
      </c>
      <c r="C2262" s="30" t="str">
        <f>VLOOKUP(B2262,'112年全品項生產鍋數'!A:H,2,0)</f>
        <v>＃1藍莓(1*3.2kg)</v>
      </c>
      <c r="D2262" s="290">
        <v>32</v>
      </c>
      <c r="E2262" s="48">
        <f>VLOOKUP(B2262,'112年全品項生產鍋數'!A:H,3,0)</f>
        <v>3.2</v>
      </c>
      <c r="F2262" s="142">
        <f>VLOOKUP(B2262,'112年全品項生產鍋數'!A:H,7,0)</f>
        <v>47.5</v>
      </c>
      <c r="G2262" s="143">
        <f t="shared" si="322"/>
        <v>1520</v>
      </c>
      <c r="H2262" s="156">
        <v>1493</v>
      </c>
      <c r="I2262" s="23">
        <f t="shared" si="323"/>
        <v>4777.6000000000004</v>
      </c>
      <c r="J2262" s="100">
        <f t="shared" si="324"/>
        <v>0.98223684210526319</v>
      </c>
      <c r="K2262" s="51">
        <f>VLOOKUP(B:B,'生產達成率(目標)'!A:C,3,0)</f>
        <v>1</v>
      </c>
      <c r="L2262" s="20">
        <f t="shared" si="325"/>
        <v>-1.7999999999999999E-2</v>
      </c>
      <c r="M2262" s="137" t="str">
        <f>工時!R1448</f>
        <v>240</v>
      </c>
      <c r="N2262" s="144"/>
      <c r="O2262" s="144">
        <f t="shared" si="326"/>
        <v>2</v>
      </c>
      <c r="P2262" s="156">
        <v>1491</v>
      </c>
      <c r="Q2262" s="98">
        <f t="shared" si="327"/>
        <v>0.99866041527126592</v>
      </c>
      <c r="R2262" s="23"/>
      <c r="S2262" s="173"/>
      <c r="T2262" s="86" t="s">
        <v>1153</v>
      </c>
      <c r="U2262" s="1"/>
      <c r="V2262" s="460"/>
      <c r="X2262" s="460"/>
    </row>
    <row r="2263" spans="1:30" x14ac:dyDescent="0.4">
      <c r="A2263" s="212">
        <v>45975</v>
      </c>
      <c r="B2263" s="139" t="s">
        <v>661</v>
      </c>
      <c r="C2263" s="30" t="str">
        <f>VLOOKUP(B2263,'112年全品項生產鍋數'!A:H,2,0)</f>
        <v>上好佳藍莓餡(大)4.5KG</v>
      </c>
      <c r="D2263" s="290">
        <v>8</v>
      </c>
      <c r="E2263" s="48">
        <f>VLOOKUP(B2263,'112年全品項生產鍋數'!A:H,3,0)</f>
        <v>4.5</v>
      </c>
      <c r="F2263" s="142">
        <f>VLOOKUP(B2263,'112年全品項生產鍋數'!A:H,7,0)</f>
        <v>37</v>
      </c>
      <c r="G2263" s="143">
        <f t="shared" si="322"/>
        <v>296</v>
      </c>
      <c r="H2263" s="156">
        <v>297</v>
      </c>
      <c r="I2263" s="23">
        <f t="shared" si="323"/>
        <v>1336.5</v>
      </c>
      <c r="J2263" s="100">
        <f t="shared" si="324"/>
        <v>1.0033783783783783</v>
      </c>
      <c r="K2263" s="51">
        <f>VLOOKUP(B:B,'生產達成率(目標)'!A:C,3,0)</f>
        <v>1</v>
      </c>
      <c r="L2263" s="20">
        <f t="shared" si="325"/>
        <v>3.0000000000000001E-3</v>
      </c>
      <c r="M2263" s="137" t="str">
        <f>工時!R1449</f>
        <v>215</v>
      </c>
      <c r="N2263" s="144"/>
      <c r="O2263" s="144">
        <f t="shared" si="326"/>
        <v>0</v>
      </c>
      <c r="P2263" s="156">
        <v>297</v>
      </c>
      <c r="Q2263" s="98">
        <f t="shared" si="327"/>
        <v>1</v>
      </c>
      <c r="R2263" s="23"/>
      <c r="S2263" s="173"/>
      <c r="T2263" s="86" t="s">
        <v>1153</v>
      </c>
      <c r="U2263" s="1"/>
      <c r="V2263" s="460"/>
      <c r="X2263" s="460"/>
    </row>
    <row r="2264" spans="1:30" x14ac:dyDescent="0.4">
      <c r="A2264" s="212">
        <v>45975</v>
      </c>
      <c r="B2264" s="139" t="s">
        <v>63</v>
      </c>
      <c r="C2264" s="30" t="str">
        <f>VLOOKUP(B2264,'112年全品項生產鍋數'!A:H,2,0)</f>
        <v>草莓蒟蒻餡(1*6kg)</v>
      </c>
      <c r="D2264" s="290">
        <v>24</v>
      </c>
      <c r="E2264" s="48">
        <f>VLOOKUP(B2264,'112年全品項生產鍋數'!A:H,3,0)</f>
        <v>6</v>
      </c>
      <c r="F2264" s="142">
        <f>VLOOKUP(B2264,'112年全品項生產鍋數'!A:H,7,0)</f>
        <v>25.7</v>
      </c>
      <c r="G2264" s="143">
        <f t="shared" si="322"/>
        <v>616.79999999999995</v>
      </c>
      <c r="H2264" s="156">
        <f>297+324</f>
        <v>621</v>
      </c>
      <c r="I2264" s="23">
        <f t="shared" si="323"/>
        <v>3726</v>
      </c>
      <c r="J2264" s="100">
        <f t="shared" si="324"/>
        <v>1.0068093385214008</v>
      </c>
      <c r="K2264" s="51">
        <f>VLOOKUP(B:B,'生產達成率(目標)'!A:C,3,0)</f>
        <v>1</v>
      </c>
      <c r="L2264" s="20">
        <f t="shared" si="325"/>
        <v>7.0000000000000001E-3</v>
      </c>
      <c r="M2264" s="137" t="str">
        <f>工時!R1450</f>
        <v>357</v>
      </c>
      <c r="N2264" s="144"/>
      <c r="O2264" s="144">
        <f t="shared" si="326"/>
        <v>1</v>
      </c>
      <c r="P2264" s="156">
        <f>296+324</f>
        <v>620</v>
      </c>
      <c r="Q2264" s="98">
        <f t="shared" si="327"/>
        <v>0.99838969404186795</v>
      </c>
      <c r="R2264" s="23"/>
      <c r="S2264" s="173"/>
      <c r="T2264" s="86"/>
      <c r="U2264" s="1"/>
      <c r="V2264" s="460"/>
      <c r="X2264" s="460"/>
    </row>
    <row r="2265" spans="1:30" s="146" customFormat="1" x14ac:dyDescent="0.4">
      <c r="A2265" s="212">
        <v>45975</v>
      </c>
      <c r="B2265" s="139" t="s">
        <v>83</v>
      </c>
      <c r="C2265" s="140" t="str">
        <f>VLOOKUP(B2265,'112年全品項生產鍋數'!A:H,2,0)</f>
        <v>PET瓶花生(粒)(1*340g)</v>
      </c>
      <c r="D2265" s="290">
        <v>8</v>
      </c>
      <c r="E2265" s="141">
        <f>VLOOKUP(B2265,'112年全品項生產鍋數'!A:H,3,0)</f>
        <v>0.34</v>
      </c>
      <c r="F2265" s="142">
        <f>VLOOKUP(B2265,'112年全品項生產鍋數'!A:H,7,0)</f>
        <v>366</v>
      </c>
      <c r="G2265" s="143">
        <f t="shared" si="322"/>
        <v>2928</v>
      </c>
      <c r="H2265" s="156">
        <v>2749</v>
      </c>
      <c r="I2265" s="144">
        <f t="shared" si="323"/>
        <v>934.66000000000008</v>
      </c>
      <c r="J2265" s="100">
        <f t="shared" si="324"/>
        <v>0.93886612021857918</v>
      </c>
      <c r="K2265" s="51">
        <f>VLOOKUP(B:B,'生產達成率(目標)'!A:C,3,0)</f>
        <v>1</v>
      </c>
      <c r="L2265" s="20">
        <f t="shared" si="325"/>
        <v>-6.0999999999999999E-2</v>
      </c>
      <c r="M2265" s="137" t="str">
        <f>工時!R1451</f>
        <v>320</v>
      </c>
      <c r="N2265" s="144"/>
      <c r="O2265" s="144">
        <f t="shared" si="326"/>
        <v>769</v>
      </c>
      <c r="P2265" s="156">
        <v>1980</v>
      </c>
      <c r="Q2265" s="145">
        <f t="shared" si="327"/>
        <v>0.72026191342306289</v>
      </c>
      <c r="R2265" s="144" t="s">
        <v>1166</v>
      </c>
      <c r="S2265" s="153"/>
      <c r="T2265" s="282" t="s">
        <v>1167</v>
      </c>
      <c r="U2265" s="158"/>
      <c r="V2265" s="461"/>
      <c r="W2265" s="421"/>
      <c r="X2265" s="461"/>
      <c r="Y2265" s="421"/>
      <c r="Z2265" s="421"/>
      <c r="AA2265" s="421"/>
      <c r="AB2265" s="421"/>
      <c r="AC2265" s="421"/>
      <c r="AD2265" s="421"/>
    </row>
    <row r="2266" spans="1:30" s="146" customFormat="1" x14ac:dyDescent="0.4">
      <c r="A2266" s="212">
        <v>45975</v>
      </c>
      <c r="B2266" s="139" t="s">
        <v>1158</v>
      </c>
      <c r="C2266" s="140" t="str">
        <f>VLOOKUP(B2266,'112年全品項生產鍋數'!A:H,2,0)</f>
        <v>花生醬(粒)(1*290g)</v>
      </c>
      <c r="D2266" s="290">
        <v>4</v>
      </c>
      <c r="E2266" s="141">
        <f>VLOOKUP(B2266,'112年全品項生產鍋數'!A:H,3,0)</f>
        <v>0.28999999999999998</v>
      </c>
      <c r="F2266" s="142">
        <f>VLOOKUP(B2266,'112年全品項生產鍋數'!A:H,7,0)</f>
        <v>0</v>
      </c>
      <c r="G2266" s="143">
        <f t="shared" ref="G2266" si="328">D2266*F2266</f>
        <v>0</v>
      </c>
      <c r="H2266" s="156">
        <v>1805</v>
      </c>
      <c r="I2266" s="144">
        <f t="shared" ref="I2266" si="329">H2266*E2266</f>
        <v>523.44999999999993</v>
      </c>
      <c r="J2266" s="100" t="str">
        <f t="shared" ref="J2266" si="330">IF(G2266=0,"無法預估數據",H2266/G2266)</f>
        <v>無法預估數據</v>
      </c>
      <c r="K2266" s="51">
        <f>VLOOKUP(B:B,'生產達成率(目標)'!A:C,3,0)</f>
        <v>1</v>
      </c>
      <c r="L2266" s="20" t="str">
        <f t="shared" ref="L2266" si="331">IF(G2266=0,"無法預估數據",ROUND(J2266-K2266,3))</f>
        <v>無法預估數據</v>
      </c>
      <c r="M2266" s="137" t="str">
        <f>工時!R1452</f>
        <v>265</v>
      </c>
      <c r="N2266" s="144"/>
      <c r="O2266" s="144">
        <f t="shared" ref="O2266" si="332">H2266-N2266-P2266</f>
        <v>2</v>
      </c>
      <c r="P2266" s="156">
        <v>1803</v>
      </c>
      <c r="Q2266" s="145">
        <f t="shared" ref="Q2266" si="333">P2266/H2266</f>
        <v>0.99889196675900283</v>
      </c>
      <c r="R2266" s="144"/>
      <c r="S2266" s="153"/>
      <c r="T2266" s="282" t="s">
        <v>1155</v>
      </c>
      <c r="U2266" s="158"/>
      <c r="V2266" s="461"/>
      <c r="W2266" s="421"/>
      <c r="X2266" s="461"/>
      <c r="Y2266" s="421"/>
      <c r="Z2266" s="421"/>
      <c r="AA2266" s="421"/>
      <c r="AB2266" s="421"/>
      <c r="AC2266" s="421"/>
      <c r="AD2266" s="421"/>
    </row>
    <row r="2267" spans="1:30" s="146" customFormat="1" x14ac:dyDescent="0.4">
      <c r="A2267" s="212">
        <v>45975</v>
      </c>
      <c r="B2267" s="139" t="s">
        <v>65</v>
      </c>
      <c r="C2267" s="140" t="str">
        <f>VLOOKUP(B2267,'112年全品項生產鍋數'!A:H,2,0)</f>
        <v>＃1花生(1*2.8kg)</v>
      </c>
      <c r="D2267" s="290">
        <v>32</v>
      </c>
      <c r="E2267" s="141">
        <f>VLOOKUP(B2267,'112年全品項生產鍋數'!A:H,3,0)</f>
        <v>2.8</v>
      </c>
      <c r="F2267" s="142">
        <f>VLOOKUP(B2267,'112年全品項生產鍋數'!A:H,7,0)</f>
        <v>44.5</v>
      </c>
      <c r="G2267" s="143">
        <f>D2267*F2267-135*18/2.8</f>
        <v>556.14285714285711</v>
      </c>
      <c r="H2267" s="156">
        <v>580</v>
      </c>
      <c r="I2267" s="144">
        <f t="shared" si="323"/>
        <v>1624</v>
      </c>
      <c r="J2267" s="100">
        <f t="shared" si="324"/>
        <v>1.0428975083483176</v>
      </c>
      <c r="K2267" s="51">
        <f>VLOOKUP(B:B,'生產達成率(目標)'!A:C,3,0)</f>
        <v>1</v>
      </c>
      <c r="L2267" s="20">
        <f t="shared" si="325"/>
        <v>4.2999999999999997E-2</v>
      </c>
      <c r="M2267" s="137" t="str">
        <f>工時!R1453</f>
        <v>255</v>
      </c>
      <c r="N2267" s="144"/>
      <c r="O2267" s="144">
        <f t="shared" si="326"/>
        <v>1</v>
      </c>
      <c r="P2267" s="156">
        <v>579</v>
      </c>
      <c r="Q2267" s="145">
        <f t="shared" si="327"/>
        <v>0.99827586206896557</v>
      </c>
      <c r="R2267" s="144"/>
      <c r="S2267" s="153"/>
      <c r="T2267" s="282" t="s">
        <v>1154</v>
      </c>
      <c r="U2267" s="158"/>
      <c r="V2267" s="461"/>
      <c r="W2267" s="421"/>
      <c r="X2267" s="461"/>
      <c r="Y2267" s="421"/>
      <c r="Z2267" s="421"/>
      <c r="AA2267" s="421"/>
      <c r="AB2267" s="421"/>
      <c r="AC2267" s="421"/>
      <c r="AD2267" s="421"/>
    </row>
    <row r="2268" spans="1:30" x14ac:dyDescent="0.4">
      <c r="A2268" s="212">
        <v>45978</v>
      </c>
      <c r="B2268" s="139" t="s">
        <v>61</v>
      </c>
      <c r="C2268" s="30" t="str">
        <f>VLOOKUP(B2268,'112年全品項生產鍋數'!A:H,2,0)</f>
        <v>大圓草莓-新</v>
      </c>
      <c r="D2268" s="290">
        <v>40</v>
      </c>
      <c r="E2268" s="48">
        <f>VLOOKUP(B2268,'112年全品項生產鍋數'!A:H,3,0)</f>
        <v>0.44</v>
      </c>
      <c r="F2268" s="142">
        <f>VLOOKUP(B2268,'112年全品項生產鍋數'!A:H,7,0)</f>
        <v>344</v>
      </c>
      <c r="G2268" s="143">
        <f t="shared" si="322"/>
        <v>13760</v>
      </c>
      <c r="H2268" s="156">
        <v>13704</v>
      </c>
      <c r="I2268" s="23">
        <f t="shared" si="323"/>
        <v>6029.76</v>
      </c>
      <c r="J2268" s="100">
        <f t="shared" si="324"/>
        <v>0.99593023255813951</v>
      </c>
      <c r="K2268" s="51">
        <f>VLOOKUP(B:B,'生產達成率(目標)'!A:C,3,0)</f>
        <v>1</v>
      </c>
      <c r="L2268" s="20">
        <f t="shared" si="325"/>
        <v>-4.0000000000000001E-3</v>
      </c>
      <c r="M2268" s="137" t="str">
        <f>工時!R1454</f>
        <v>540</v>
      </c>
      <c r="N2268" s="144"/>
      <c r="O2268" s="144">
        <f t="shared" si="326"/>
        <v>14</v>
      </c>
      <c r="P2268" s="156">
        <v>13690</v>
      </c>
      <c r="Q2268" s="98">
        <f t="shared" si="327"/>
        <v>0.99897840046701691</v>
      </c>
      <c r="R2268" s="23"/>
      <c r="S2268" s="173"/>
      <c r="T2268" s="86"/>
      <c r="U2268" s="1"/>
      <c r="V2268" s="460"/>
      <c r="X2268" s="460"/>
    </row>
    <row r="2269" spans="1:30" x14ac:dyDescent="0.4">
      <c r="A2269" s="212">
        <v>45978</v>
      </c>
      <c r="B2269" s="139" t="s">
        <v>1046</v>
      </c>
      <c r="C2269" s="30" t="str">
        <f>VLOOKUP(B2269,'112年全品項生產鍋數'!A:H,2,0)</f>
        <v>藍莓顆粒果醬(1*6kg)</v>
      </c>
      <c r="D2269" s="290">
        <v>8</v>
      </c>
      <c r="E2269" s="48">
        <f>VLOOKUP(B2269,'112年全品項生產鍋數'!A:H,3,0)</f>
        <v>6</v>
      </c>
      <c r="F2269" s="142">
        <f>VLOOKUP(B2269,'112年全品項生產鍋數'!A:H,7,0)</f>
        <v>0</v>
      </c>
      <c r="G2269" s="143">
        <f t="shared" si="322"/>
        <v>0</v>
      </c>
      <c r="H2269" s="156">
        <v>214</v>
      </c>
      <c r="I2269" s="23">
        <f t="shared" si="323"/>
        <v>1284</v>
      </c>
      <c r="J2269" s="100" t="str">
        <f t="shared" si="324"/>
        <v>無法預估數據</v>
      </c>
      <c r="K2269" s="51">
        <f>VLOOKUP(B:B,'生產達成率(目標)'!A:C,3,0)</f>
        <v>1</v>
      </c>
      <c r="L2269" s="20" t="str">
        <f t="shared" si="325"/>
        <v>無法預估數據</v>
      </c>
      <c r="M2269" s="137" t="str">
        <f>工時!R1455</f>
        <v>212</v>
      </c>
      <c r="N2269" s="144"/>
      <c r="O2269" s="144">
        <f t="shared" si="326"/>
        <v>2</v>
      </c>
      <c r="P2269" s="156">
        <v>212</v>
      </c>
      <c r="Q2269" s="98">
        <f t="shared" si="327"/>
        <v>0.99065420560747663</v>
      </c>
      <c r="R2269" s="23"/>
      <c r="S2269" s="173"/>
      <c r="T2269" s="86" t="s">
        <v>1153</v>
      </c>
      <c r="U2269" s="1"/>
      <c r="V2269" s="460"/>
      <c r="X2269" s="460"/>
    </row>
    <row r="2270" spans="1:30" x14ac:dyDescent="0.4">
      <c r="A2270" s="212">
        <v>45978</v>
      </c>
      <c r="B2270" s="139" t="s">
        <v>88</v>
      </c>
      <c r="C2270" s="30" t="str">
        <f>VLOOKUP(B2270,'112年全品項生產鍋數'!A:H,2,0)</f>
        <v>草莓餡(1*6KG)</v>
      </c>
      <c r="D2270" s="290">
        <v>32</v>
      </c>
      <c r="E2270" s="48">
        <f>VLOOKUP(B2270,'112年全品項生產鍋數'!A:H,3,0)</f>
        <v>6</v>
      </c>
      <c r="F2270" s="142">
        <f>VLOOKUP(B2270,'112年全品項生產鍋數'!A:H,7,0)</f>
        <v>25.5</v>
      </c>
      <c r="G2270" s="143">
        <f t="shared" si="322"/>
        <v>816</v>
      </c>
      <c r="H2270" s="156">
        <v>824</v>
      </c>
      <c r="I2270" s="23">
        <f t="shared" si="323"/>
        <v>4944</v>
      </c>
      <c r="J2270" s="100">
        <f t="shared" si="324"/>
        <v>1.0098039215686274</v>
      </c>
      <c r="K2270" s="51">
        <f>VLOOKUP(B:B,'生產達成率(目標)'!A:C,3,0)</f>
        <v>1</v>
      </c>
      <c r="L2270" s="20">
        <f t="shared" si="325"/>
        <v>0.01</v>
      </c>
      <c r="M2270" s="137" t="str">
        <f>工時!R1456</f>
        <v>400</v>
      </c>
      <c r="N2270" s="144"/>
      <c r="O2270" s="144">
        <f t="shared" si="326"/>
        <v>1</v>
      </c>
      <c r="P2270" s="156">
        <v>823</v>
      </c>
      <c r="Q2270" s="98">
        <f t="shared" si="327"/>
        <v>0.99878640776699024</v>
      </c>
      <c r="R2270" s="23"/>
      <c r="S2270" s="173"/>
      <c r="T2270" s="86"/>
      <c r="U2270" s="1"/>
      <c r="V2270" s="460"/>
      <c r="X2270" s="460"/>
    </row>
    <row r="2271" spans="1:30" x14ac:dyDescent="0.4">
      <c r="A2271" s="212">
        <v>45978</v>
      </c>
      <c r="B2271" s="139" t="s">
        <v>65</v>
      </c>
      <c r="C2271" s="30" t="str">
        <f>VLOOKUP(B2271,'112年全品項生產鍋數'!A:H,2,0)</f>
        <v>＃1花生(1*2.8kg)</v>
      </c>
      <c r="D2271" s="290">
        <v>60</v>
      </c>
      <c r="E2271" s="48">
        <f>VLOOKUP(B2271,'112年全品項生產鍋數'!A:H,3,0)</f>
        <v>2.8</v>
      </c>
      <c r="F2271" s="142">
        <f>VLOOKUP(B2271,'112年全品項生產鍋數'!A:H,7,0)</f>
        <v>44.5</v>
      </c>
      <c r="G2271" s="143">
        <f>D2271*F2271-50*6</f>
        <v>2370</v>
      </c>
      <c r="H2271" s="156">
        <v>2418</v>
      </c>
      <c r="I2271" s="23">
        <f t="shared" si="323"/>
        <v>6770.4</v>
      </c>
      <c r="J2271" s="100">
        <f t="shared" si="324"/>
        <v>1.0202531645569621</v>
      </c>
      <c r="K2271" s="51">
        <f>VLOOKUP(B:B,'生產達成率(目標)'!A:C,3,0)</f>
        <v>1</v>
      </c>
      <c r="L2271" s="20">
        <f t="shared" si="325"/>
        <v>0.02</v>
      </c>
      <c r="M2271" s="137" t="str">
        <f>工時!R1457</f>
        <v>470</v>
      </c>
      <c r="N2271" s="144"/>
      <c r="O2271" s="144">
        <f t="shared" si="326"/>
        <v>1</v>
      </c>
      <c r="P2271" s="156">
        <v>2417</v>
      </c>
      <c r="Q2271" s="98">
        <f t="shared" si="327"/>
        <v>0.99958643507030609</v>
      </c>
      <c r="R2271" s="144" t="s">
        <v>1242</v>
      </c>
      <c r="S2271" s="173">
        <v>28</v>
      </c>
      <c r="T2271" s="86" t="s">
        <v>1164</v>
      </c>
      <c r="U2271" s="1"/>
      <c r="V2271" s="460"/>
      <c r="X2271" s="460"/>
    </row>
    <row r="2272" spans="1:30" s="146" customFormat="1" x14ac:dyDescent="0.4">
      <c r="A2272" s="212">
        <v>45978</v>
      </c>
      <c r="B2272" s="139" t="s">
        <v>488</v>
      </c>
      <c r="C2272" s="140" t="str">
        <f>VLOOKUP(B2272,'112年全品項生產鍋數'!A:H,2,0)</f>
        <v>文旦絲(1*1KG/包)</v>
      </c>
      <c r="D2272" s="290">
        <v>1</v>
      </c>
      <c r="E2272" s="141">
        <f>VLOOKUP(B2272,'112年全品項生產鍋數'!A:H,3,0)</f>
        <v>1</v>
      </c>
      <c r="F2272" s="142">
        <f>VLOOKUP(B2272,'112年全品項生產鍋數'!A:H,7,0)</f>
        <v>670</v>
      </c>
      <c r="G2272" s="143">
        <f t="shared" si="322"/>
        <v>670</v>
      </c>
      <c r="H2272" s="156">
        <v>403</v>
      </c>
      <c r="I2272" s="144">
        <f t="shared" si="323"/>
        <v>403</v>
      </c>
      <c r="J2272" s="100">
        <f t="shared" si="324"/>
        <v>0.60149253731343288</v>
      </c>
      <c r="K2272" s="51">
        <f>VLOOKUP(B:B,'生產達成率(目標)'!A:C,3,0)</f>
        <v>1</v>
      </c>
      <c r="L2272" s="20">
        <f t="shared" si="325"/>
        <v>-0.39900000000000002</v>
      </c>
      <c r="M2272" s="137" t="str">
        <f>工時!R1458</f>
        <v>0</v>
      </c>
      <c r="N2272" s="144"/>
      <c r="O2272" s="144">
        <f t="shared" si="326"/>
        <v>0</v>
      </c>
      <c r="P2272" s="156">
        <v>403</v>
      </c>
      <c r="Q2272" s="145">
        <f t="shared" si="327"/>
        <v>1</v>
      </c>
      <c r="R2272" s="144"/>
      <c r="S2272" s="153"/>
      <c r="T2272" s="282"/>
      <c r="U2272" s="158"/>
      <c r="V2272" s="461"/>
      <c r="W2272" s="421"/>
      <c r="X2272" s="461"/>
      <c r="Y2272" s="421"/>
      <c r="Z2272" s="421"/>
      <c r="AA2272" s="421"/>
      <c r="AB2272" s="421"/>
      <c r="AC2272" s="421"/>
      <c r="AD2272" s="421"/>
    </row>
    <row r="2273" spans="1:30" s="146" customFormat="1" x14ac:dyDescent="0.4">
      <c r="A2273" s="212">
        <v>45978</v>
      </c>
      <c r="B2273" s="139" t="s">
        <v>943</v>
      </c>
      <c r="C2273" s="140" t="str">
        <f>VLOOKUP(B2273,'112年全品項生產鍋數'!A:H,2,0)</f>
        <v>蜜桔皮(10kg/桶)</v>
      </c>
      <c r="D2273" s="290">
        <v>1</v>
      </c>
      <c r="E2273" s="141">
        <f>VLOOKUP(B2273,'112年全品項生產鍋數'!A:H,3,0)</f>
        <v>1</v>
      </c>
      <c r="F2273" s="142">
        <f>VLOOKUP(B2273,'112年全品項生產鍋數'!A:H,7,0)</f>
        <v>0</v>
      </c>
      <c r="G2273" s="143">
        <f t="shared" si="322"/>
        <v>0</v>
      </c>
      <c r="H2273" s="156">
        <v>430</v>
      </c>
      <c r="I2273" s="144">
        <f t="shared" si="323"/>
        <v>430</v>
      </c>
      <c r="J2273" s="100" t="str">
        <f t="shared" si="324"/>
        <v>無法預估數據</v>
      </c>
      <c r="K2273" s="51">
        <f>VLOOKUP(B:B,'生產達成率(目標)'!A:C,3,0)</f>
        <v>1</v>
      </c>
      <c r="L2273" s="20" t="str">
        <f t="shared" si="325"/>
        <v>無法預估數據</v>
      </c>
      <c r="M2273" s="137" t="str">
        <f>工時!R1459</f>
        <v>0</v>
      </c>
      <c r="N2273" s="144"/>
      <c r="O2273" s="144">
        <f t="shared" si="326"/>
        <v>0</v>
      </c>
      <c r="P2273" s="156">
        <v>430</v>
      </c>
      <c r="Q2273" s="145">
        <f t="shared" si="327"/>
        <v>1</v>
      </c>
      <c r="R2273" s="144"/>
      <c r="S2273" s="153"/>
      <c r="T2273" s="282"/>
      <c r="U2273" s="158"/>
      <c r="V2273" s="461"/>
      <c r="W2273" s="421"/>
      <c r="X2273" s="461"/>
      <c r="Y2273" s="421"/>
      <c r="Z2273" s="421"/>
      <c r="AA2273" s="421"/>
      <c r="AB2273" s="421"/>
      <c r="AC2273" s="421"/>
      <c r="AD2273" s="421"/>
    </row>
    <row r="2274" spans="1:30" x14ac:dyDescent="0.4">
      <c r="A2274" s="212">
        <v>45979</v>
      </c>
      <c r="B2274" s="139" t="s">
        <v>71</v>
      </c>
      <c r="C2274" s="30" t="str">
        <f>VLOOKUP(B2274,'112年全品項生產鍋數'!A:H,2,0)</f>
        <v>＃1草莓(1*3.2kg)</v>
      </c>
      <c r="D2274" s="290">
        <v>32</v>
      </c>
      <c r="E2274" s="48">
        <f>VLOOKUP(B2274,'112年全品項生產鍋數'!A:H,3,0)</f>
        <v>3.2</v>
      </c>
      <c r="F2274" s="142">
        <f>VLOOKUP(B2274,'112年全品項生產鍋數'!A:H,7,0)</f>
        <v>46.8</v>
      </c>
      <c r="G2274" s="143">
        <f t="shared" si="322"/>
        <v>1497.6</v>
      </c>
      <c r="H2274" s="156">
        <v>1507</v>
      </c>
      <c r="I2274" s="23">
        <f t="shared" si="323"/>
        <v>4822.4000000000005</v>
      </c>
      <c r="J2274" s="100">
        <f t="shared" si="324"/>
        <v>1.0062767094017095</v>
      </c>
      <c r="K2274" s="51">
        <f>VLOOKUP(B:B,'生產達成率(目標)'!A:C,3,0)</f>
        <v>1</v>
      </c>
      <c r="L2274" s="20">
        <f t="shared" si="325"/>
        <v>6.0000000000000001E-3</v>
      </c>
      <c r="M2274" s="137" t="str">
        <f>工時!R1460</f>
        <v>300</v>
      </c>
      <c r="N2274" s="144"/>
      <c r="O2274" s="144">
        <f t="shared" si="326"/>
        <v>1</v>
      </c>
      <c r="P2274" s="156">
        <v>1506</v>
      </c>
      <c r="Q2274" s="98">
        <f t="shared" si="327"/>
        <v>0.99933642999336425</v>
      </c>
      <c r="R2274" s="23" t="s">
        <v>1241</v>
      </c>
      <c r="S2274" s="173">
        <v>133</v>
      </c>
      <c r="T2274" s="86" t="s">
        <v>1153</v>
      </c>
      <c r="U2274" s="1"/>
      <c r="V2274" s="460"/>
      <c r="X2274" s="460"/>
    </row>
    <row r="2275" spans="1:30" s="146" customFormat="1" x14ac:dyDescent="0.4">
      <c r="A2275" s="212">
        <v>45979</v>
      </c>
      <c r="B2275" s="139" t="s">
        <v>456</v>
      </c>
      <c r="C2275" s="140" t="str">
        <f>VLOOKUP(B2275,'112年全品項生產鍋數'!A:H,2,0)</f>
        <v>桑椹果醬(1*190g)</v>
      </c>
      <c r="D2275" s="290">
        <v>3</v>
      </c>
      <c r="E2275" s="141">
        <f>VLOOKUP(B2275,'112年全品項生產鍋數'!A:H,3,0)</f>
        <v>0.19</v>
      </c>
      <c r="F2275" s="142">
        <f>VLOOKUP(B2275,'112年全品項生產鍋數'!A:H,7,0)</f>
        <v>759.3</v>
      </c>
      <c r="G2275" s="143">
        <f t="shared" si="322"/>
        <v>2277.8999999999996</v>
      </c>
      <c r="H2275" s="156">
        <v>2283</v>
      </c>
      <c r="I2275" s="144">
        <f t="shared" si="323"/>
        <v>433.77</v>
      </c>
      <c r="J2275" s="100">
        <f t="shared" si="324"/>
        <v>1.0022389042539182</v>
      </c>
      <c r="K2275" s="51">
        <f>VLOOKUP(B:B,'生產達成率(目標)'!A:C,3,0)</f>
        <v>1</v>
      </c>
      <c r="L2275" s="20">
        <f t="shared" si="325"/>
        <v>2E-3</v>
      </c>
      <c r="M2275" s="137" t="str">
        <f>工時!R1461</f>
        <v>240</v>
      </c>
      <c r="N2275" s="144"/>
      <c r="O2275" s="144">
        <f t="shared" si="326"/>
        <v>6</v>
      </c>
      <c r="P2275" s="156">
        <v>2277</v>
      </c>
      <c r="Q2275" s="145">
        <f t="shared" si="327"/>
        <v>0.99737187910643887</v>
      </c>
      <c r="R2275" s="144"/>
      <c r="S2275" s="153"/>
      <c r="T2275" s="282" t="s">
        <v>1153</v>
      </c>
      <c r="U2275" s="158"/>
      <c r="V2275" s="461"/>
      <c r="W2275" s="421"/>
      <c r="X2275" s="461"/>
      <c r="Y2275" s="421"/>
      <c r="Z2275" s="421"/>
      <c r="AA2275" s="421"/>
      <c r="AB2275" s="421"/>
      <c r="AC2275" s="421"/>
      <c r="AD2275" s="421"/>
    </row>
    <row r="2276" spans="1:30" x14ac:dyDescent="0.4">
      <c r="A2276" s="212">
        <v>45979</v>
      </c>
      <c r="B2276" s="139" t="s">
        <v>64</v>
      </c>
      <c r="C2276" s="30" t="str">
        <f>VLOOKUP(B2276,'112年全品項生產鍋數'!A:H,2,0)</f>
        <v>藍莓餡(1*6KG)</v>
      </c>
      <c r="D2276" s="290">
        <v>20</v>
      </c>
      <c r="E2276" s="48">
        <f>VLOOKUP(B2276,'112年全品項生產鍋數'!A:H,3,0)</f>
        <v>6</v>
      </c>
      <c r="F2276" s="142">
        <f>VLOOKUP(B2276,'112年全品項生產鍋數'!A:H,7,0)</f>
        <v>25.4</v>
      </c>
      <c r="G2276" s="143">
        <f t="shared" si="322"/>
        <v>508</v>
      </c>
      <c r="H2276" s="156">
        <f>306+213</f>
        <v>519</v>
      </c>
      <c r="I2276" s="23">
        <f t="shared" si="323"/>
        <v>3114</v>
      </c>
      <c r="J2276" s="100">
        <f t="shared" si="324"/>
        <v>1.0216535433070866</v>
      </c>
      <c r="K2276" s="51">
        <f>VLOOKUP(B:B,'生產達成率(目標)'!A:C,3,0)</f>
        <v>1</v>
      </c>
      <c r="L2276" s="20">
        <f t="shared" si="325"/>
        <v>2.1999999999999999E-2</v>
      </c>
      <c r="M2276" s="137" t="str">
        <f>工時!R1462</f>
        <v>275</v>
      </c>
      <c r="N2276" s="144"/>
      <c r="O2276" s="144">
        <f t="shared" si="326"/>
        <v>1</v>
      </c>
      <c r="P2276" s="156">
        <f>305+213</f>
        <v>518</v>
      </c>
      <c r="Q2276" s="98">
        <f t="shared" si="327"/>
        <v>0.9980732177263969</v>
      </c>
      <c r="R2276" s="23"/>
      <c r="S2276" s="173"/>
      <c r="T2276" s="86"/>
      <c r="U2276" s="1"/>
      <c r="V2276" s="460"/>
      <c r="X2276" s="460"/>
    </row>
    <row r="2277" spans="1:30" x14ac:dyDescent="0.4">
      <c r="A2277" s="212">
        <v>45979</v>
      </c>
      <c r="B2277" s="139" t="s">
        <v>1162</v>
      </c>
      <c r="C2277" s="30" t="str">
        <f>VLOOKUP(B2277,'112年全品項生產鍋數'!A:H,2,0)</f>
        <v>藍莓餡(1*6KG)</v>
      </c>
      <c r="D2277" s="290">
        <v>1</v>
      </c>
      <c r="E2277" s="48">
        <f>VLOOKUP(B2277,'112年全品項生產鍋數'!A:H,3,0)</f>
        <v>6</v>
      </c>
      <c r="F2277" s="142">
        <f>VLOOKUP(B2277,'112年全品項生產鍋數'!A:H,7,0)</f>
        <v>25.4</v>
      </c>
      <c r="G2277" s="143">
        <f t="shared" si="322"/>
        <v>25.4</v>
      </c>
      <c r="H2277" s="156">
        <v>25</v>
      </c>
      <c r="I2277" s="23">
        <f t="shared" si="323"/>
        <v>150</v>
      </c>
      <c r="J2277" s="100">
        <f t="shared" si="324"/>
        <v>0.98425196850393704</v>
      </c>
      <c r="K2277" s="51" t="e">
        <f>VLOOKUP(B:B,'生產達成率(目標)'!A:C,3,0)</f>
        <v>#N/A</v>
      </c>
      <c r="L2277" s="20" t="e">
        <f t="shared" si="325"/>
        <v>#N/A</v>
      </c>
      <c r="M2277" s="137" t="str">
        <f>工時!R1463</f>
        <v>103</v>
      </c>
      <c r="N2277" s="144"/>
      <c r="O2277" s="144">
        <f t="shared" si="326"/>
        <v>1</v>
      </c>
      <c r="P2277" s="156">
        <v>24</v>
      </c>
      <c r="Q2277" s="98">
        <f t="shared" si="327"/>
        <v>0.96</v>
      </c>
      <c r="R2277" s="23"/>
      <c r="S2277" s="173"/>
      <c r="T2277" s="86" t="s">
        <v>1163</v>
      </c>
      <c r="U2277" s="1"/>
      <c r="V2277" s="460"/>
      <c r="X2277" s="460"/>
    </row>
    <row r="2278" spans="1:30" x14ac:dyDescent="0.4">
      <c r="A2278" s="212">
        <v>45979</v>
      </c>
      <c r="B2278" s="139" t="s">
        <v>63</v>
      </c>
      <c r="C2278" s="30" t="str">
        <f>VLOOKUP(B2278,'112年全品項生產鍋數'!A:H,2,0)</f>
        <v>草莓蒟蒻餡(1*6kg)</v>
      </c>
      <c r="D2278" s="290">
        <v>20</v>
      </c>
      <c r="E2278" s="48">
        <f>VLOOKUP(B2278,'112年全品項生產鍋數'!A:H,3,0)</f>
        <v>6</v>
      </c>
      <c r="F2278" s="142">
        <f>VLOOKUP(B2278,'112年全品項生產鍋數'!A:H,7,0)</f>
        <v>25.7</v>
      </c>
      <c r="G2278" s="143">
        <f t="shared" si="322"/>
        <v>514</v>
      </c>
      <c r="H2278" s="156">
        <f>308+209</f>
        <v>517</v>
      </c>
      <c r="I2278" s="23">
        <f t="shared" si="323"/>
        <v>3102</v>
      </c>
      <c r="J2278" s="100">
        <f t="shared" si="324"/>
        <v>1.0058365758754864</v>
      </c>
      <c r="K2278" s="51">
        <f>VLOOKUP(B:B,'生產達成率(目標)'!A:C,3,0)</f>
        <v>1</v>
      </c>
      <c r="L2278" s="20">
        <f t="shared" si="325"/>
        <v>6.0000000000000001E-3</v>
      </c>
      <c r="M2278" s="137" t="str">
        <f>工時!R1464</f>
        <v>270</v>
      </c>
      <c r="N2278" s="144"/>
      <c r="O2278" s="144">
        <f t="shared" si="326"/>
        <v>1</v>
      </c>
      <c r="P2278" s="156">
        <f>307+209</f>
        <v>516</v>
      </c>
      <c r="Q2278" s="98">
        <f t="shared" si="327"/>
        <v>0.99806576402321079</v>
      </c>
      <c r="R2278" s="23"/>
      <c r="S2278" s="173"/>
      <c r="T2278" s="86"/>
      <c r="U2278" s="1"/>
      <c r="V2278" s="460"/>
      <c r="X2278" s="460"/>
    </row>
    <row r="2279" spans="1:30" s="146" customFormat="1" x14ac:dyDescent="0.4">
      <c r="A2279" s="212">
        <v>45979</v>
      </c>
      <c r="B2279" s="139" t="s">
        <v>58</v>
      </c>
      <c r="C2279" s="140" t="str">
        <f>VLOOKUP(B2279,'112年全品項生產鍋數'!A:H,2,0)</f>
        <v>PET大花生(1*400g)</v>
      </c>
      <c r="D2279" s="290">
        <v>32</v>
      </c>
      <c r="E2279" s="141">
        <f>VLOOKUP(B2279,'112年全品項生產鍋數'!A:H,3,0)</f>
        <v>0.4</v>
      </c>
      <c r="F2279" s="142">
        <f>VLOOKUP(B2279,'112年全品項生產鍋數'!A:H,7,0)</f>
        <v>309.2</v>
      </c>
      <c r="G2279" s="143">
        <f t="shared" si="322"/>
        <v>9894.4</v>
      </c>
      <c r="H2279" s="156">
        <v>9786</v>
      </c>
      <c r="I2279" s="144">
        <f t="shared" si="323"/>
        <v>3914.4</v>
      </c>
      <c r="J2279" s="100">
        <f t="shared" si="324"/>
        <v>0.98904430789133246</v>
      </c>
      <c r="K2279" s="51">
        <f>VLOOKUP(B:B,'生產達成率(目標)'!A:C,3,0)</f>
        <v>1</v>
      </c>
      <c r="L2279" s="20">
        <f t="shared" si="325"/>
        <v>-1.0999999999999999E-2</v>
      </c>
      <c r="M2279" s="137" t="str">
        <f>工時!R1465</f>
        <v>500</v>
      </c>
      <c r="N2279" s="144"/>
      <c r="O2279" s="144">
        <f t="shared" si="326"/>
        <v>3</v>
      </c>
      <c r="P2279" s="156">
        <v>9783</v>
      </c>
      <c r="Q2279" s="145">
        <f t="shared" si="327"/>
        <v>0.99969343960760271</v>
      </c>
      <c r="R2279" s="144"/>
      <c r="S2279" s="153"/>
      <c r="T2279" s="282" t="s">
        <v>1153</v>
      </c>
      <c r="U2279" s="158"/>
      <c r="V2279" s="461"/>
      <c r="W2279" s="421"/>
      <c r="X2279" s="461"/>
      <c r="Y2279" s="421"/>
      <c r="Z2279" s="421"/>
      <c r="AA2279" s="421"/>
      <c r="AB2279" s="421"/>
      <c r="AC2279" s="421"/>
      <c r="AD2279" s="421"/>
    </row>
    <row r="2280" spans="1:30" x14ac:dyDescent="0.4">
      <c r="A2280" s="212">
        <v>45980</v>
      </c>
      <c r="B2280" s="139" t="s">
        <v>75</v>
      </c>
      <c r="C2280" s="30" t="str">
        <f>VLOOKUP(B2280,'112年全品項生產鍋數'!A:H,2,0)</f>
        <v>草莓椰果餡(1*6Kg)</v>
      </c>
      <c r="D2280" s="290">
        <v>16</v>
      </c>
      <c r="E2280" s="48">
        <f>VLOOKUP(B2280,'112年全品項生產鍋數'!A:H,3,0)</f>
        <v>6</v>
      </c>
      <c r="F2280" s="142">
        <f>VLOOKUP(B2280,'112年全品項生產鍋數'!A:H,7,0)</f>
        <v>26.4</v>
      </c>
      <c r="G2280" s="143">
        <f t="shared" ref="G2280:G2291" si="334">D2280*F2280</f>
        <v>422.4</v>
      </c>
      <c r="H2280" s="156">
        <v>430</v>
      </c>
      <c r="I2280" s="23">
        <f t="shared" ref="I2280:I2291" si="335">H2280*E2280</f>
        <v>2580</v>
      </c>
      <c r="J2280" s="100">
        <f t="shared" ref="J2280:J2291" si="336">IF(G2280=0,"無法預估數據",H2280/G2280)</f>
        <v>1.0179924242424243</v>
      </c>
      <c r="K2280" s="51">
        <f>VLOOKUP(B:B,'生產達成率(目標)'!A:C,3,0)</f>
        <v>1</v>
      </c>
      <c r="L2280" s="20">
        <f t="shared" ref="L2280:L2291" si="337">IF(G2280=0,"無法預估數據",ROUND(J2280-K2280,3))</f>
        <v>1.7999999999999999E-2</v>
      </c>
      <c r="M2280" s="137" t="str">
        <f>工時!R1466</f>
        <v>230</v>
      </c>
      <c r="N2280" s="144"/>
      <c r="O2280" s="144">
        <f t="shared" ref="O2280:O2291" si="338">H2280-N2280-P2280</f>
        <v>4</v>
      </c>
      <c r="P2280" s="156">
        <v>426</v>
      </c>
      <c r="Q2280" s="98">
        <f t="shared" ref="Q2280:Q2291" si="339">P2280/H2280</f>
        <v>0.99069767441860468</v>
      </c>
      <c r="R2280" s="23"/>
      <c r="S2280" s="173"/>
      <c r="T2280" s="86" t="s">
        <v>1153</v>
      </c>
      <c r="U2280" s="1"/>
      <c r="V2280" s="460"/>
      <c r="X2280" s="460"/>
    </row>
    <row r="2281" spans="1:30" x14ac:dyDescent="0.4">
      <c r="A2281" s="212">
        <v>45980</v>
      </c>
      <c r="B2281" s="139" t="s">
        <v>63</v>
      </c>
      <c r="C2281" s="30" t="str">
        <f>VLOOKUP(B2281,'112年全品項生產鍋數'!A:H,2,0)</f>
        <v>草莓蒟蒻餡(1*6kg)</v>
      </c>
      <c r="D2281" s="290">
        <v>24</v>
      </c>
      <c r="E2281" s="48">
        <f>VLOOKUP(B2281,'112年全品項生產鍋數'!A:H,3,0)</f>
        <v>6</v>
      </c>
      <c r="F2281" s="142">
        <f>VLOOKUP(B2281,'112年全品項生產鍋數'!A:H,7,0)</f>
        <v>25.7</v>
      </c>
      <c r="G2281" s="143">
        <f t="shared" si="334"/>
        <v>616.79999999999995</v>
      </c>
      <c r="H2281" s="156">
        <f>303+318</f>
        <v>621</v>
      </c>
      <c r="I2281" s="23">
        <f t="shared" si="335"/>
        <v>3726</v>
      </c>
      <c r="J2281" s="100">
        <f t="shared" si="336"/>
        <v>1.0068093385214008</v>
      </c>
      <c r="K2281" s="51">
        <f>VLOOKUP(B:B,'生產達成率(目標)'!A:C,3,0)</f>
        <v>1</v>
      </c>
      <c r="L2281" s="20">
        <f t="shared" si="337"/>
        <v>7.0000000000000001E-3</v>
      </c>
      <c r="M2281" s="137" t="str">
        <f>工時!R1467</f>
        <v>340</v>
      </c>
      <c r="N2281" s="144"/>
      <c r="O2281" s="144">
        <f t="shared" si="338"/>
        <v>3</v>
      </c>
      <c r="P2281" s="156">
        <f>302+316</f>
        <v>618</v>
      </c>
      <c r="Q2281" s="98">
        <f t="shared" si="339"/>
        <v>0.99516908212560384</v>
      </c>
      <c r="R2281" s="23"/>
      <c r="S2281" s="173"/>
      <c r="T2281" s="86"/>
      <c r="U2281" s="1"/>
      <c r="V2281" s="460"/>
      <c r="X2281" s="460"/>
    </row>
    <row r="2282" spans="1:30" s="146" customFormat="1" x14ac:dyDescent="0.4">
      <c r="A2282" s="212">
        <v>45980</v>
      </c>
      <c r="B2282" s="139" t="s">
        <v>110</v>
      </c>
      <c r="C2282" s="140" t="str">
        <f>VLOOKUP(B2282,'112年全品項生產鍋數'!A:H,2,0)</f>
        <v>顆粒花生醬(1*12KG)</v>
      </c>
      <c r="D2282" s="290">
        <v>21</v>
      </c>
      <c r="E2282" s="141">
        <f>VLOOKUP(B2282,'112年全品項生產鍋數'!A:H,3,0)</f>
        <v>3</v>
      </c>
      <c r="F2282" s="142">
        <f>VLOOKUP(B2282,'112年全品項生產鍋數'!A:H,7,0)</f>
        <v>30.8</v>
      </c>
      <c r="G2282" s="143">
        <f t="shared" si="334"/>
        <v>646.80000000000007</v>
      </c>
      <c r="H2282" s="156">
        <v>648</v>
      </c>
      <c r="I2282" s="144">
        <f t="shared" si="335"/>
        <v>1944</v>
      </c>
      <c r="J2282" s="100">
        <f t="shared" si="336"/>
        <v>1.0018552875695732</v>
      </c>
      <c r="K2282" s="51">
        <f>VLOOKUP(B:B,'生產達成率(目標)'!A:C,3,0)</f>
        <v>1</v>
      </c>
      <c r="L2282" s="20">
        <f t="shared" si="337"/>
        <v>2E-3</v>
      </c>
      <c r="M2282" s="137" t="str">
        <f>工時!R1468</f>
        <v>540</v>
      </c>
      <c r="N2282" s="144"/>
      <c r="O2282" s="144">
        <f t="shared" si="338"/>
        <v>0</v>
      </c>
      <c r="P2282" s="156">
        <v>648</v>
      </c>
      <c r="Q2282" s="145">
        <f t="shared" si="339"/>
        <v>1</v>
      </c>
      <c r="R2282" s="144"/>
      <c r="S2282" s="153"/>
      <c r="T2282" s="282" t="s">
        <v>1153</v>
      </c>
      <c r="U2282" s="158"/>
      <c r="V2282" s="461"/>
      <c r="W2282" s="421"/>
      <c r="X2282" s="461"/>
      <c r="Y2282" s="421"/>
      <c r="Z2282" s="421"/>
      <c r="AA2282" s="421"/>
      <c r="AB2282" s="421"/>
      <c r="AC2282" s="421"/>
      <c r="AD2282" s="421"/>
    </row>
    <row r="2283" spans="1:30" s="146" customFormat="1" x14ac:dyDescent="0.4">
      <c r="A2283" s="212">
        <v>45980</v>
      </c>
      <c r="B2283" s="139" t="s">
        <v>65</v>
      </c>
      <c r="C2283" s="140" t="str">
        <f>VLOOKUP(B2283,'112年全品項生產鍋數'!A:H,2,0)</f>
        <v>＃1花生(1*2.8kg)</v>
      </c>
      <c r="D2283" s="290">
        <v>32</v>
      </c>
      <c r="E2283" s="141">
        <f>VLOOKUP(B2283,'112年全品項生產鍋數'!A:H,3,0)</f>
        <v>2.8</v>
      </c>
      <c r="F2283" s="142">
        <f>VLOOKUP(B2283,'112年全品項生產鍋數'!A:H,7,0)</f>
        <v>44.5</v>
      </c>
      <c r="G2283" s="143">
        <f t="shared" si="334"/>
        <v>1424</v>
      </c>
      <c r="H2283" s="156">
        <v>1485</v>
      </c>
      <c r="I2283" s="144">
        <f t="shared" si="335"/>
        <v>4158</v>
      </c>
      <c r="J2283" s="100">
        <f t="shared" si="336"/>
        <v>1.0428370786516854</v>
      </c>
      <c r="K2283" s="51">
        <f>VLOOKUP(B:B,'生產達成率(目標)'!A:C,3,0)</f>
        <v>1</v>
      </c>
      <c r="L2283" s="20">
        <f t="shared" si="337"/>
        <v>4.2999999999999997E-2</v>
      </c>
      <c r="M2283" s="137" t="str">
        <f>工時!R1469</f>
        <v>415</v>
      </c>
      <c r="N2283" s="144"/>
      <c r="O2283" s="144">
        <f t="shared" si="338"/>
        <v>2</v>
      </c>
      <c r="P2283" s="156">
        <v>1483</v>
      </c>
      <c r="Q2283" s="145">
        <f t="shared" si="339"/>
        <v>0.99865319865319868</v>
      </c>
      <c r="R2283" s="144" t="s">
        <v>1242</v>
      </c>
      <c r="S2283" s="153">
        <v>56</v>
      </c>
      <c r="T2283" s="282" t="s">
        <v>1153</v>
      </c>
      <c r="U2283" s="158"/>
      <c r="V2283" s="461"/>
      <c r="W2283" s="421"/>
      <c r="X2283" s="461"/>
      <c r="Y2283" s="421"/>
      <c r="Z2283" s="421"/>
      <c r="AA2283" s="421"/>
      <c r="AB2283" s="421"/>
      <c r="AC2283" s="421"/>
      <c r="AD2283" s="421"/>
    </row>
    <row r="2284" spans="1:30" s="146" customFormat="1" x14ac:dyDescent="0.4">
      <c r="A2284" s="212">
        <v>45980</v>
      </c>
      <c r="B2284" s="139" t="s">
        <v>597</v>
      </c>
      <c r="C2284" s="140" t="str">
        <f>VLOOKUP(B2284,'112年全品項生產鍋數'!A:H,2,0)</f>
        <v>無加糖花生醬(1*290g)</v>
      </c>
      <c r="D2284" s="290">
        <v>8</v>
      </c>
      <c r="E2284" s="141">
        <f>VLOOKUP(B2284,'112年全品項生產鍋數'!A:H,3,0)</f>
        <v>0.28999999999999998</v>
      </c>
      <c r="F2284" s="142">
        <f>VLOOKUP(B2284,'112年全品項生產鍋數'!A:H,7,0)</f>
        <v>388</v>
      </c>
      <c r="G2284" s="143">
        <f t="shared" si="334"/>
        <v>3104</v>
      </c>
      <c r="H2284" s="156">
        <v>3346</v>
      </c>
      <c r="I2284" s="144">
        <f t="shared" si="335"/>
        <v>970.33999999999992</v>
      </c>
      <c r="J2284" s="100">
        <f t="shared" si="336"/>
        <v>1.0779639175257731</v>
      </c>
      <c r="K2284" s="51">
        <f>VLOOKUP(B:B,'生產達成率(目標)'!A:C,3,0)</f>
        <v>1</v>
      </c>
      <c r="L2284" s="20">
        <f t="shared" si="337"/>
        <v>7.8E-2</v>
      </c>
      <c r="M2284" s="137" t="str">
        <f>工時!R1470</f>
        <v>250</v>
      </c>
      <c r="N2284" s="144"/>
      <c r="O2284" s="144">
        <f t="shared" si="338"/>
        <v>5</v>
      </c>
      <c r="P2284" s="156">
        <v>3341</v>
      </c>
      <c r="Q2284" s="145">
        <f t="shared" si="339"/>
        <v>0.99850567842199645</v>
      </c>
      <c r="R2284" s="144"/>
      <c r="S2284" s="153"/>
      <c r="T2284" s="282"/>
      <c r="U2284" s="158"/>
      <c r="V2284" s="461"/>
      <c r="W2284" s="421"/>
      <c r="X2284" s="461"/>
      <c r="Y2284" s="421"/>
      <c r="Z2284" s="421"/>
      <c r="AA2284" s="421"/>
      <c r="AB2284" s="421"/>
      <c r="AC2284" s="421"/>
      <c r="AD2284" s="421"/>
    </row>
    <row r="2285" spans="1:30" s="146" customFormat="1" x14ac:dyDescent="0.4">
      <c r="A2285" s="212">
        <v>45980</v>
      </c>
      <c r="B2285" s="139">
        <v>151010</v>
      </c>
      <c r="C2285" s="140" t="str">
        <f>VLOOKUP(B2285,'112年全品項生產鍋數'!A:H,2,0)</f>
        <v>蜜紅果6m/m</v>
      </c>
      <c r="D2285" s="290">
        <v>1</v>
      </c>
      <c r="E2285" s="141">
        <f>VLOOKUP(B2285,'112年全品項生產鍋數'!A:H,3,0)</f>
        <v>1</v>
      </c>
      <c r="F2285" s="142">
        <f>VLOOKUP(B2285,'112年全品項生產鍋數'!A:H,7,0)</f>
        <v>142</v>
      </c>
      <c r="G2285" s="143">
        <f t="shared" si="334"/>
        <v>142</v>
      </c>
      <c r="H2285" s="156">
        <v>152</v>
      </c>
      <c r="I2285" s="144">
        <f t="shared" si="335"/>
        <v>152</v>
      </c>
      <c r="J2285" s="100">
        <f t="shared" si="336"/>
        <v>1.0704225352112675</v>
      </c>
      <c r="K2285" s="51">
        <f>VLOOKUP(B:B,'生產達成率(目標)'!A:C,3,0)</f>
        <v>1</v>
      </c>
      <c r="L2285" s="20">
        <f t="shared" si="337"/>
        <v>7.0000000000000007E-2</v>
      </c>
      <c r="M2285" s="137" t="str">
        <f>工時!R1471</f>
        <v>0</v>
      </c>
      <c r="N2285" s="144"/>
      <c r="O2285" s="144">
        <f t="shared" si="338"/>
        <v>0</v>
      </c>
      <c r="P2285" s="156">
        <v>152</v>
      </c>
      <c r="Q2285" s="145">
        <f t="shared" si="339"/>
        <v>1</v>
      </c>
      <c r="R2285" s="144"/>
      <c r="S2285" s="153"/>
      <c r="T2285" s="282" t="s">
        <v>1153</v>
      </c>
      <c r="U2285" s="158"/>
      <c r="V2285" s="461"/>
      <c r="W2285" s="421"/>
      <c r="X2285" s="461"/>
      <c r="Y2285" s="421"/>
      <c r="Z2285" s="421"/>
      <c r="AA2285" s="421"/>
      <c r="AB2285" s="421"/>
      <c r="AC2285" s="421"/>
      <c r="AD2285" s="421"/>
    </row>
    <row r="2286" spans="1:30" s="146" customFormat="1" x14ac:dyDescent="0.4">
      <c r="A2286" s="212">
        <v>45981</v>
      </c>
      <c r="B2286" s="139" t="s">
        <v>114</v>
      </c>
      <c r="C2286" s="140" t="str">
        <f>VLOOKUP(B2286,'112年全品項生產鍋數'!A:H,2,0)</f>
        <v>開心草莓果醬(1*430g)</v>
      </c>
      <c r="D2286" s="290">
        <v>15</v>
      </c>
      <c r="E2286" s="141">
        <f>VLOOKUP(B2286,'112年全品項生產鍋數'!A:H,3,0)</f>
        <v>0.43</v>
      </c>
      <c r="F2286" s="142">
        <f>VLOOKUP(B2286,'112年全品項生產鍋數'!A:H,7,0)</f>
        <v>364</v>
      </c>
      <c r="G2286" s="143">
        <f t="shared" si="334"/>
        <v>5460</v>
      </c>
      <c r="H2286" s="156">
        <v>5563</v>
      </c>
      <c r="I2286" s="144">
        <f t="shared" si="335"/>
        <v>2392.09</v>
      </c>
      <c r="J2286" s="100">
        <f t="shared" si="336"/>
        <v>1.0188644688644688</v>
      </c>
      <c r="K2286" s="51">
        <f>VLOOKUP(B:B,'生產達成率(目標)'!A:C,3,0)</f>
        <v>1</v>
      </c>
      <c r="L2286" s="20">
        <f t="shared" si="337"/>
        <v>1.9E-2</v>
      </c>
      <c r="M2286" s="137" t="str">
        <f>工時!R1472</f>
        <v>300</v>
      </c>
      <c r="N2286" s="144"/>
      <c r="O2286" s="144">
        <f t="shared" si="338"/>
        <v>4</v>
      </c>
      <c r="P2286" s="156">
        <v>5559</v>
      </c>
      <c r="Q2286" s="145">
        <f t="shared" si="339"/>
        <v>0.99928096350889806</v>
      </c>
      <c r="R2286" s="144"/>
      <c r="S2286" s="153"/>
      <c r="T2286" s="282"/>
      <c r="U2286" s="158"/>
      <c r="V2286" s="461"/>
      <c r="W2286" s="421"/>
      <c r="X2286" s="461"/>
      <c r="Y2286" s="421"/>
      <c r="Z2286" s="421"/>
      <c r="AA2286" s="421"/>
      <c r="AB2286" s="421"/>
      <c r="AC2286" s="421"/>
      <c r="AD2286" s="421"/>
    </row>
    <row r="2287" spans="1:30" x14ac:dyDescent="0.4">
      <c r="A2287" s="212">
        <v>45981</v>
      </c>
      <c r="B2287" s="139" t="s">
        <v>106</v>
      </c>
      <c r="C2287" s="30" t="str">
        <f>VLOOKUP(B2287,'112年全品項生產鍋數'!A:H,2,0)</f>
        <v>小藍莓1*260G</v>
      </c>
      <c r="D2287" s="290">
        <v>16</v>
      </c>
      <c r="E2287" s="48">
        <f>VLOOKUP(B2287,'112年全品項生產鍋數'!A:H,3,0)</f>
        <v>0.26</v>
      </c>
      <c r="F2287" s="142">
        <f>VLOOKUP(B2287,'112年全品項生產鍋數'!A:H,7,0)</f>
        <v>584.29999999999995</v>
      </c>
      <c r="G2287" s="143">
        <f t="shared" si="334"/>
        <v>9348.7999999999993</v>
      </c>
      <c r="H2287" s="156">
        <v>9453</v>
      </c>
      <c r="I2287" s="23">
        <f t="shared" si="335"/>
        <v>2457.7800000000002</v>
      </c>
      <c r="J2287" s="100">
        <f t="shared" si="336"/>
        <v>1.0111458155057333</v>
      </c>
      <c r="K2287" s="51">
        <f>VLOOKUP(B:B,'生產達成率(目標)'!A:C,3,0)</f>
        <v>1</v>
      </c>
      <c r="L2287" s="20">
        <f t="shared" si="337"/>
        <v>1.0999999999999999E-2</v>
      </c>
      <c r="M2287" s="137" t="str">
        <f>工時!R1473</f>
        <v>270</v>
      </c>
      <c r="N2287" s="144"/>
      <c r="O2287" s="144">
        <f t="shared" si="338"/>
        <v>25</v>
      </c>
      <c r="P2287" s="156">
        <v>9428</v>
      </c>
      <c r="Q2287" s="98">
        <f t="shared" si="339"/>
        <v>0.99735533693007505</v>
      </c>
      <c r="R2287" s="23"/>
      <c r="S2287" s="173"/>
      <c r="T2287" s="86"/>
      <c r="U2287" s="1"/>
      <c r="V2287" s="460"/>
      <c r="X2287" s="460"/>
    </row>
    <row r="2288" spans="1:30" x14ac:dyDescent="0.4">
      <c r="A2288" s="212">
        <v>45981</v>
      </c>
      <c r="B2288" s="139" t="s">
        <v>965</v>
      </c>
      <c r="C2288" s="30" t="str">
        <f>VLOOKUP(B2288,'112年全品項生產鍋數'!A:H,2,0)</f>
        <v>草莓餡°(1*6KG)</v>
      </c>
      <c r="D2288" s="290">
        <v>16</v>
      </c>
      <c r="E2288" s="48">
        <f>VLOOKUP(B2288,'112年全品項生產鍋數'!A:H,3,0)</f>
        <v>6</v>
      </c>
      <c r="F2288" s="142">
        <f>VLOOKUP(B2288,'112年全品項生產鍋數'!A:H,7,0)</f>
        <v>0</v>
      </c>
      <c r="G2288" s="143">
        <f t="shared" si="334"/>
        <v>0</v>
      </c>
      <c r="H2288" s="156">
        <v>401</v>
      </c>
      <c r="I2288" s="23">
        <f t="shared" si="335"/>
        <v>2406</v>
      </c>
      <c r="J2288" s="100" t="str">
        <f t="shared" si="336"/>
        <v>無法預估數據</v>
      </c>
      <c r="K2288" s="51">
        <f>VLOOKUP(B:B,'生產達成率(目標)'!A:C,3,0)</f>
        <v>1</v>
      </c>
      <c r="L2288" s="20" t="str">
        <f t="shared" si="337"/>
        <v>無法預估數據</v>
      </c>
      <c r="M2288" s="137" t="str">
        <f>工時!R1474</f>
        <v>217</v>
      </c>
      <c r="N2288" s="144"/>
      <c r="O2288" s="144">
        <f t="shared" si="338"/>
        <v>2</v>
      </c>
      <c r="P2288" s="156">
        <v>399</v>
      </c>
      <c r="Q2288" s="98">
        <f t="shared" si="339"/>
        <v>0.99501246882793015</v>
      </c>
      <c r="R2288" s="23"/>
      <c r="S2288" s="173"/>
      <c r="T2288" s="86" t="s">
        <v>1153</v>
      </c>
      <c r="U2288" s="1"/>
      <c r="V2288" s="460"/>
      <c r="X2288" s="460"/>
    </row>
    <row r="2289" spans="1:30" x14ac:dyDescent="0.4">
      <c r="A2289" s="212">
        <v>45981</v>
      </c>
      <c r="B2289" s="139" t="s">
        <v>63</v>
      </c>
      <c r="C2289" s="30" t="str">
        <f>VLOOKUP(B2289,'112年全品項生產鍋數'!A:H,2,0)</f>
        <v>草莓蒟蒻餡(1*6kg)</v>
      </c>
      <c r="D2289" s="290">
        <v>16</v>
      </c>
      <c r="E2289" s="48">
        <f>VLOOKUP(B2289,'112年全品項生產鍋數'!A:H,3,0)</f>
        <v>6</v>
      </c>
      <c r="F2289" s="142">
        <f>VLOOKUP(B2289,'112年全品項生產鍋數'!A:H,7,0)</f>
        <v>25.7</v>
      </c>
      <c r="G2289" s="143">
        <f t="shared" si="334"/>
        <v>411.2</v>
      </c>
      <c r="H2289" s="156">
        <f>199+212</f>
        <v>411</v>
      </c>
      <c r="I2289" s="23">
        <f t="shared" si="335"/>
        <v>2466</v>
      </c>
      <c r="J2289" s="100">
        <f t="shared" si="336"/>
        <v>0.9995136186770428</v>
      </c>
      <c r="K2289" s="51">
        <f>VLOOKUP(B:B,'生產達成率(目標)'!A:C,3,0)</f>
        <v>1</v>
      </c>
      <c r="L2289" s="20">
        <f t="shared" si="337"/>
        <v>0</v>
      </c>
      <c r="M2289" s="137" t="str">
        <f>工時!R1475</f>
        <v>210</v>
      </c>
      <c r="N2289" s="144"/>
      <c r="O2289" s="144">
        <f t="shared" si="338"/>
        <v>1</v>
      </c>
      <c r="P2289" s="156">
        <f>198+212</f>
        <v>410</v>
      </c>
      <c r="Q2289" s="98">
        <f t="shared" si="339"/>
        <v>0.9975669099756691</v>
      </c>
      <c r="R2289" s="23"/>
      <c r="S2289" s="173"/>
      <c r="T2289" s="86"/>
      <c r="U2289" s="1"/>
      <c r="V2289" s="460"/>
      <c r="X2289" s="460"/>
    </row>
    <row r="2290" spans="1:30" x14ac:dyDescent="0.4">
      <c r="A2290" s="212">
        <v>45981</v>
      </c>
      <c r="B2290" s="139" t="s">
        <v>133</v>
      </c>
      <c r="C2290" s="30" t="str">
        <f>VLOOKUP(B2290,'112年全品項生產鍋數'!A:H,2,0)</f>
        <v>藍莓餡(1*6KG)</v>
      </c>
      <c r="D2290" s="290">
        <v>6</v>
      </c>
      <c r="E2290" s="48">
        <f>VLOOKUP(B2290,'112年全品項生產鍋數'!A:H,3,0)</f>
        <v>6</v>
      </c>
      <c r="F2290" s="142">
        <f>VLOOKUP(B2290,'112年全品項生產鍋數'!A:H,7,0)</f>
        <v>25.5</v>
      </c>
      <c r="G2290" s="143">
        <f t="shared" si="334"/>
        <v>153</v>
      </c>
      <c r="H2290" s="156">
        <v>154</v>
      </c>
      <c r="I2290" s="23">
        <f t="shared" si="335"/>
        <v>924</v>
      </c>
      <c r="J2290" s="100">
        <f t="shared" si="336"/>
        <v>1.0065359477124183</v>
      </c>
      <c r="K2290" s="51">
        <f>VLOOKUP(B:B,'生產達成率(目標)'!A:C,3,0)</f>
        <v>1</v>
      </c>
      <c r="L2290" s="20">
        <f t="shared" si="337"/>
        <v>7.0000000000000001E-3</v>
      </c>
      <c r="M2290" s="137" t="str">
        <f>工時!R1476</f>
        <v>160</v>
      </c>
      <c r="N2290" s="144"/>
      <c r="O2290" s="144">
        <f t="shared" si="338"/>
        <v>1</v>
      </c>
      <c r="P2290" s="156">
        <v>153</v>
      </c>
      <c r="Q2290" s="98">
        <f t="shared" si="339"/>
        <v>0.99350649350649356</v>
      </c>
      <c r="R2290" s="23"/>
      <c r="S2290" s="173"/>
      <c r="T2290" s="86" t="s">
        <v>1153</v>
      </c>
      <c r="U2290" s="1"/>
      <c r="V2290" s="460"/>
      <c r="X2290" s="460"/>
    </row>
    <row r="2291" spans="1:30" s="146" customFormat="1" x14ac:dyDescent="0.4">
      <c r="A2291" s="212">
        <v>45981</v>
      </c>
      <c r="B2291" s="139" t="s">
        <v>104</v>
      </c>
      <c r="C2291" s="140" t="str">
        <f>VLOOKUP(B2291,'112年全品項生產鍋數'!A:H,2,0)</f>
        <v>＃1花生(粒)(1*2.8kg)</v>
      </c>
      <c r="D2291" s="290">
        <v>60</v>
      </c>
      <c r="E2291" s="141">
        <f>VLOOKUP(B2291,'112年全品項生產鍋數'!A:H,3,0)</f>
        <v>2.8</v>
      </c>
      <c r="F2291" s="142">
        <f>VLOOKUP(B2291,'112年全品項生產鍋數'!A:H,7,0)</f>
        <v>44.2</v>
      </c>
      <c r="G2291" s="143">
        <f t="shared" si="334"/>
        <v>2652</v>
      </c>
      <c r="H2291" s="156">
        <v>2639</v>
      </c>
      <c r="I2291" s="144">
        <f t="shared" si="335"/>
        <v>7389.2</v>
      </c>
      <c r="J2291" s="100">
        <f t="shared" si="336"/>
        <v>0.99509803921568629</v>
      </c>
      <c r="K2291" s="51">
        <f>VLOOKUP(B:B,'生產達成率(目標)'!A:C,3,0)</f>
        <v>1</v>
      </c>
      <c r="L2291" s="20">
        <f t="shared" si="337"/>
        <v>-5.0000000000000001E-3</v>
      </c>
      <c r="M2291" s="137" t="str">
        <f>工時!R1477</f>
        <v>475</v>
      </c>
      <c r="N2291" s="144"/>
      <c r="O2291" s="144">
        <f t="shared" si="338"/>
        <v>5</v>
      </c>
      <c r="P2291" s="156">
        <v>2634</v>
      </c>
      <c r="Q2291" s="145">
        <f t="shared" si="339"/>
        <v>0.99810534293292918</v>
      </c>
      <c r="R2291" s="144"/>
      <c r="S2291" s="153"/>
      <c r="T2291" s="282" t="s">
        <v>1153</v>
      </c>
      <c r="U2291" s="158"/>
      <c r="V2291" s="461"/>
      <c r="W2291" s="421"/>
      <c r="X2291" s="461"/>
      <c r="Y2291" s="421"/>
      <c r="Z2291" s="421"/>
      <c r="AA2291" s="421"/>
      <c r="AB2291" s="421"/>
      <c r="AC2291" s="421"/>
      <c r="AD2291" s="421"/>
    </row>
    <row r="2292" spans="1:30" x14ac:dyDescent="0.4">
      <c r="A2292" s="212">
        <v>45982</v>
      </c>
      <c r="B2292" s="139" t="s">
        <v>54</v>
      </c>
      <c r="C2292" s="30" t="str">
        <f>VLOOKUP(B2292,'112年全品項生產鍋數'!A:H,2,0)</f>
        <v>草莓醬(1*6kg)</v>
      </c>
      <c r="D2292" s="296">
        <v>30</v>
      </c>
      <c r="E2292" s="48">
        <f>VLOOKUP(B2292,'112年全品項生產鍋數'!A:H,3,0)</f>
        <v>6</v>
      </c>
      <c r="F2292" s="142">
        <f>VLOOKUP(B2292,'112年全品項生產鍋數'!A:H,7,0)</f>
        <v>26.6</v>
      </c>
      <c r="G2292" s="143">
        <f t="shared" ref="G2292:G2297" si="340">D2292*F2292</f>
        <v>798</v>
      </c>
      <c r="H2292" s="156">
        <v>792</v>
      </c>
      <c r="I2292" s="23">
        <f t="shared" ref="I2292:I2297" si="341">H2292*E2292</f>
        <v>4752</v>
      </c>
      <c r="J2292" s="100">
        <f t="shared" ref="J2292:J2297" si="342">IF(G2292=0,"無法預估數據",H2292/G2292)</f>
        <v>0.99248120300751874</v>
      </c>
      <c r="K2292" s="51">
        <f>VLOOKUP(B:B,'生產達成率(目標)'!A:C,3,0)</f>
        <v>1</v>
      </c>
      <c r="L2292" s="20">
        <f t="shared" ref="L2292:L2297" si="343">IF(G2292=0,"無法預估數據",ROUND(J2292-K2292,3))</f>
        <v>-8.0000000000000002E-3</v>
      </c>
      <c r="M2292" s="137" t="str">
        <f>工時!R1478</f>
        <v>442</v>
      </c>
      <c r="N2292" s="144"/>
      <c r="O2292" s="144">
        <f t="shared" ref="O2292:O2297" si="344">H2292-N2292-P2292</f>
        <v>2</v>
      </c>
      <c r="P2292" s="156">
        <v>790</v>
      </c>
      <c r="Q2292" s="98">
        <f t="shared" ref="Q2292:Q2297" si="345">P2292/H2292</f>
        <v>0.99747474747474751</v>
      </c>
      <c r="R2292" s="23"/>
      <c r="S2292" s="173"/>
      <c r="T2292" s="30" t="s">
        <v>1153</v>
      </c>
      <c r="U2292" s="264"/>
      <c r="V2292" s="463"/>
      <c r="X2292" s="463"/>
    </row>
    <row r="2293" spans="1:30" x14ac:dyDescent="0.4">
      <c r="A2293" s="212">
        <v>45982</v>
      </c>
      <c r="B2293" s="139" t="s">
        <v>1045</v>
      </c>
      <c r="C2293" s="30" t="str">
        <f>VLOOKUP(B2293,'112年全品項生產鍋數'!A:H,2,0)</f>
        <v>芒果蜜桃醬(含桃丁)</v>
      </c>
      <c r="D2293" s="296">
        <v>6</v>
      </c>
      <c r="E2293" s="48">
        <f>VLOOKUP(B2293,'112年全品項生產鍋數'!A:H,3,0)</f>
        <v>6</v>
      </c>
      <c r="F2293" s="142">
        <f>VLOOKUP(B2293,'112年全品項生產鍋數'!A:H,7,0)</f>
        <v>0</v>
      </c>
      <c r="G2293" s="143">
        <f t="shared" si="340"/>
        <v>0</v>
      </c>
      <c r="H2293" s="156">
        <v>149</v>
      </c>
      <c r="I2293" s="23">
        <f t="shared" si="341"/>
        <v>894</v>
      </c>
      <c r="J2293" s="100" t="str">
        <f t="shared" si="342"/>
        <v>無法預估數據</v>
      </c>
      <c r="K2293" s="51">
        <f>VLOOKUP(B:B,'生產達成率(目標)'!A:C,3,0)</f>
        <v>1</v>
      </c>
      <c r="L2293" s="20" t="str">
        <f t="shared" si="343"/>
        <v>無法預估數據</v>
      </c>
      <c r="M2293" s="137" t="str">
        <f>工時!R1479</f>
        <v>170</v>
      </c>
      <c r="N2293" s="144"/>
      <c r="O2293" s="144">
        <f t="shared" si="344"/>
        <v>1</v>
      </c>
      <c r="P2293" s="156">
        <v>148</v>
      </c>
      <c r="Q2293" s="98">
        <f t="shared" si="345"/>
        <v>0.99328859060402686</v>
      </c>
      <c r="R2293" s="23"/>
      <c r="S2293" s="173"/>
      <c r="T2293" s="30" t="s">
        <v>1153</v>
      </c>
      <c r="U2293" s="264"/>
      <c r="V2293" s="463"/>
      <c r="X2293" s="463"/>
    </row>
    <row r="2294" spans="1:30" s="146" customFormat="1" x14ac:dyDescent="0.4">
      <c r="A2294" s="212">
        <v>45982</v>
      </c>
      <c r="B2294" s="139" t="s">
        <v>55</v>
      </c>
      <c r="C2294" s="140" t="str">
        <f>VLOOKUP(B2294,'112年全品項生產鍋數'!A:H,2,0)</f>
        <v>天天開心草莓餡4.5KG</v>
      </c>
      <c r="D2294" s="292">
        <v>20</v>
      </c>
      <c r="E2294" s="141">
        <f>VLOOKUP(B2294,'112年全品項生產鍋數'!A:H,3,0)</f>
        <v>4.5</v>
      </c>
      <c r="F2294" s="142">
        <f>VLOOKUP(B2294,'112年全品項生產鍋數'!A:H,7,0)</f>
        <v>36.299999999999997</v>
      </c>
      <c r="G2294" s="143">
        <f t="shared" si="340"/>
        <v>726</v>
      </c>
      <c r="H2294" s="156">
        <v>727</v>
      </c>
      <c r="I2294" s="144">
        <f t="shared" si="341"/>
        <v>3271.5</v>
      </c>
      <c r="J2294" s="100">
        <f t="shared" si="342"/>
        <v>1.0013774104683195</v>
      </c>
      <c r="K2294" s="51">
        <f>VLOOKUP(B:B,'生產達成率(目標)'!A:C,3,0)</f>
        <v>1</v>
      </c>
      <c r="L2294" s="20">
        <f t="shared" si="343"/>
        <v>1E-3</v>
      </c>
      <c r="M2294" s="137" t="str">
        <f>工時!R1480</f>
        <v>315</v>
      </c>
      <c r="N2294" s="144"/>
      <c r="O2294" s="144">
        <f t="shared" si="344"/>
        <v>0</v>
      </c>
      <c r="P2294" s="156">
        <v>727</v>
      </c>
      <c r="Q2294" s="145">
        <f t="shared" si="345"/>
        <v>1</v>
      </c>
      <c r="R2294" s="144"/>
      <c r="S2294" s="153"/>
      <c r="T2294" s="140"/>
      <c r="U2294" s="151"/>
      <c r="V2294" s="464"/>
      <c r="W2294" s="421"/>
      <c r="X2294" s="464"/>
      <c r="Y2294" s="421"/>
      <c r="Z2294" s="421"/>
      <c r="AA2294" s="421"/>
      <c r="AB2294" s="421"/>
      <c r="AC2294" s="421"/>
      <c r="AD2294" s="421"/>
    </row>
    <row r="2295" spans="1:30" s="146" customFormat="1" x14ac:dyDescent="0.4">
      <c r="A2295" s="212">
        <v>45982</v>
      </c>
      <c r="B2295" s="139" t="s">
        <v>117</v>
      </c>
      <c r="C2295" s="140" t="str">
        <f>VLOOKUP(B2295,'112年全品項生產鍋數'!A:H,2,0)</f>
        <v>草莓餡(1*4.5Kg)</v>
      </c>
      <c r="D2295" s="292">
        <v>12</v>
      </c>
      <c r="E2295" s="141">
        <f>VLOOKUP(B2295,'112年全品項生產鍋數'!A:H,3,0)</f>
        <v>4.5</v>
      </c>
      <c r="F2295" s="142">
        <f>VLOOKUP(B2295,'112年全品項生產鍋數'!A:H,7,0)</f>
        <v>35.6</v>
      </c>
      <c r="G2295" s="143">
        <f t="shared" si="340"/>
        <v>427.20000000000005</v>
      </c>
      <c r="H2295" s="156">
        <v>425</v>
      </c>
      <c r="I2295" s="144">
        <f t="shared" si="341"/>
        <v>1912.5</v>
      </c>
      <c r="J2295" s="100">
        <f t="shared" si="342"/>
        <v>0.99485018726591745</v>
      </c>
      <c r="K2295" s="51">
        <f>VLOOKUP(B:B,'生產達成率(目標)'!A:C,3,0)</f>
        <v>1</v>
      </c>
      <c r="L2295" s="20">
        <f t="shared" si="343"/>
        <v>-5.0000000000000001E-3</v>
      </c>
      <c r="M2295" s="137" t="str">
        <f>工時!R1481</f>
        <v>195</v>
      </c>
      <c r="N2295" s="144"/>
      <c r="O2295" s="144">
        <f t="shared" si="344"/>
        <v>0</v>
      </c>
      <c r="P2295" s="156">
        <v>425</v>
      </c>
      <c r="Q2295" s="145">
        <f t="shared" si="345"/>
        <v>1</v>
      </c>
      <c r="R2295" s="144"/>
      <c r="S2295" s="153"/>
      <c r="T2295" s="140" t="s">
        <v>1153</v>
      </c>
      <c r="U2295" s="151"/>
      <c r="V2295" s="464"/>
      <c r="W2295" s="421"/>
      <c r="X2295" s="464"/>
      <c r="Y2295" s="421"/>
      <c r="Z2295" s="421"/>
      <c r="AA2295" s="421"/>
      <c r="AB2295" s="421"/>
      <c r="AC2295" s="421"/>
      <c r="AD2295" s="421"/>
    </row>
    <row r="2296" spans="1:30" s="146" customFormat="1" x14ac:dyDescent="0.4">
      <c r="A2296" s="212">
        <v>45982</v>
      </c>
      <c r="B2296" s="139" t="s">
        <v>661</v>
      </c>
      <c r="C2296" s="140" t="str">
        <f>VLOOKUP(B2296,'112年全品項生產鍋數'!A:H,2,0)</f>
        <v>上好佳藍莓餡(大)4.5KG</v>
      </c>
      <c r="D2296" s="292">
        <v>6</v>
      </c>
      <c r="E2296" s="141">
        <f>VLOOKUP(B2296,'112年全品項生產鍋數'!A:H,3,0)</f>
        <v>4.5</v>
      </c>
      <c r="F2296" s="142">
        <f>VLOOKUP(B2296,'112年全品項生產鍋數'!A:H,7,0)</f>
        <v>37</v>
      </c>
      <c r="G2296" s="143">
        <f t="shared" si="340"/>
        <v>222</v>
      </c>
      <c r="H2296" s="156">
        <v>223</v>
      </c>
      <c r="I2296" s="144">
        <f t="shared" si="341"/>
        <v>1003.5</v>
      </c>
      <c r="J2296" s="100">
        <f t="shared" si="342"/>
        <v>1.0045045045045045</v>
      </c>
      <c r="K2296" s="51">
        <f>VLOOKUP(B:B,'生產達成率(目標)'!A:C,3,0)</f>
        <v>1</v>
      </c>
      <c r="L2296" s="20">
        <f t="shared" si="343"/>
        <v>5.0000000000000001E-3</v>
      </c>
      <c r="M2296" s="137" t="str">
        <f>工時!R1482</f>
        <v>120</v>
      </c>
      <c r="N2296" s="144"/>
      <c r="O2296" s="144">
        <f t="shared" si="344"/>
        <v>0</v>
      </c>
      <c r="P2296" s="156">
        <v>223</v>
      </c>
      <c r="Q2296" s="145">
        <f t="shared" si="345"/>
        <v>1</v>
      </c>
      <c r="R2296" s="144"/>
      <c r="S2296" s="153"/>
      <c r="T2296" s="140" t="s">
        <v>1153</v>
      </c>
      <c r="U2296" s="151"/>
      <c r="V2296" s="464"/>
      <c r="W2296" s="421"/>
      <c r="X2296" s="464"/>
      <c r="Y2296" s="421"/>
      <c r="Z2296" s="421"/>
      <c r="AA2296" s="421"/>
      <c r="AB2296" s="421"/>
      <c r="AC2296" s="421"/>
      <c r="AD2296" s="421"/>
    </row>
    <row r="2297" spans="1:30" s="146" customFormat="1" x14ac:dyDescent="0.4">
      <c r="A2297" s="212">
        <v>45982</v>
      </c>
      <c r="B2297" s="139" t="s">
        <v>82</v>
      </c>
      <c r="C2297" s="140" t="str">
        <f>VLOOKUP(B2297,'112年全品項生產鍋數'!A:H,2,0)</f>
        <v>顆粒花生醬(全)</v>
      </c>
      <c r="D2297" s="292">
        <v>36</v>
      </c>
      <c r="E2297" s="141">
        <f>VLOOKUP(B2297,'112年全品項生產鍋數'!A:H,3,0)</f>
        <v>0.34</v>
      </c>
      <c r="F2297" s="142">
        <f>VLOOKUP(B2297,'112年全品項生產鍋數'!A:H,7,0)</f>
        <v>364.6</v>
      </c>
      <c r="G2297" s="143">
        <f t="shared" si="340"/>
        <v>13125.6</v>
      </c>
      <c r="H2297" s="156">
        <f>10541+2402</f>
        <v>12943</v>
      </c>
      <c r="I2297" s="144">
        <f t="shared" si="341"/>
        <v>4400.62</v>
      </c>
      <c r="J2297" s="100">
        <f t="shared" si="342"/>
        <v>0.98608825501310415</v>
      </c>
      <c r="K2297" s="51">
        <f>VLOOKUP(B:B,'生產達成率(目標)'!A:C,3,0)</f>
        <v>1</v>
      </c>
      <c r="L2297" s="20">
        <f t="shared" si="343"/>
        <v>-1.4E-2</v>
      </c>
      <c r="M2297" s="137" t="str">
        <f>工時!R1483</f>
        <v>550</v>
      </c>
      <c r="N2297" s="144"/>
      <c r="O2297" s="144">
        <f t="shared" si="344"/>
        <v>5</v>
      </c>
      <c r="P2297" s="156">
        <v>12938</v>
      </c>
      <c r="Q2297" s="145">
        <f t="shared" si="345"/>
        <v>0.9996136907981148</v>
      </c>
      <c r="R2297" s="144"/>
      <c r="S2297" s="153"/>
      <c r="T2297" s="140"/>
      <c r="U2297" s="151"/>
      <c r="V2297" s="464"/>
      <c r="W2297" s="421"/>
      <c r="X2297" s="464"/>
      <c r="Y2297" s="421"/>
      <c r="Z2297" s="421"/>
      <c r="AA2297" s="421"/>
      <c r="AB2297" s="421"/>
      <c r="AC2297" s="421"/>
      <c r="AD2297" s="421"/>
    </row>
    <row r="2298" spans="1:30" x14ac:dyDescent="0.4">
      <c r="A2298" s="212">
        <v>45985</v>
      </c>
      <c r="B2298" s="139" t="s">
        <v>91</v>
      </c>
      <c r="C2298" s="30" t="str">
        <f>VLOOKUP(B2298,'112年全品項生產鍋數'!A:H,2,0)</f>
        <v>梨山草莓果醬(1*430g)</v>
      </c>
      <c r="D2298" s="296">
        <v>20</v>
      </c>
      <c r="E2298" s="48">
        <f>VLOOKUP(B2298,'112年全品項生產鍋數'!A:H,3,0)</f>
        <v>0.43</v>
      </c>
      <c r="F2298" s="142">
        <f>VLOOKUP(B2298,'112年全品項生產鍋數'!A:H,7,0)</f>
        <v>340.4</v>
      </c>
      <c r="G2298" s="143">
        <f t="shared" ref="G2298:G2306" si="346">D2298*F2298</f>
        <v>6808</v>
      </c>
      <c r="H2298" s="156">
        <f>4754+2162</f>
        <v>6916</v>
      </c>
      <c r="I2298" s="23">
        <f t="shared" ref="I2298:I2306" si="347">H2298*E2298</f>
        <v>2973.88</v>
      </c>
      <c r="J2298" s="100">
        <f t="shared" ref="J2298:J2306" si="348">IF(G2298=0,"無法預估數據",H2298/G2298)</f>
        <v>1.0158636897767332</v>
      </c>
      <c r="K2298" s="51">
        <f>VLOOKUP(B:B,'生產達成率(目標)'!A:C,3,0)</f>
        <v>1</v>
      </c>
      <c r="L2298" s="20">
        <f t="shared" ref="L2298:L2306" si="349">IF(G2298=0,"無法預估數據",ROUND(J2298-K2298,3))</f>
        <v>1.6E-2</v>
      </c>
      <c r="M2298" s="137" t="str">
        <f>工時!R1484</f>
        <v>393</v>
      </c>
      <c r="N2298" s="144"/>
      <c r="O2298" s="144">
        <f t="shared" ref="O2298:O2306" si="350">H2298-N2298-P2298</f>
        <v>16</v>
      </c>
      <c r="P2298" s="156">
        <f>4740+2160</f>
        <v>6900</v>
      </c>
      <c r="Q2298" s="98">
        <f t="shared" ref="Q2298:Q2306" si="351">P2298/H2298</f>
        <v>0.9976865240023135</v>
      </c>
      <c r="R2298" s="23"/>
      <c r="S2298" s="173"/>
      <c r="T2298" s="30" t="s">
        <v>1170</v>
      </c>
      <c r="U2298" s="264"/>
      <c r="V2298" s="463"/>
      <c r="X2298" s="463"/>
    </row>
    <row r="2299" spans="1:30" x14ac:dyDescent="0.4">
      <c r="A2299" s="212">
        <v>45985</v>
      </c>
      <c r="B2299" s="139" t="s">
        <v>158</v>
      </c>
      <c r="C2299" s="30" t="str">
        <f>VLOOKUP(B2299,'112年全品項生產鍋數'!A:H,2,0)</f>
        <v>小圓草莓(1*170g)</v>
      </c>
      <c r="D2299" s="296">
        <v>4</v>
      </c>
      <c r="E2299" s="48">
        <f>VLOOKUP(B2299,'112年全品項生產鍋數'!A:H,3,0)</f>
        <v>0.17</v>
      </c>
      <c r="F2299" s="142">
        <f>VLOOKUP(B2299,'112年全品項生產鍋數'!A:H,7,0)</f>
        <v>912.6</v>
      </c>
      <c r="G2299" s="143">
        <f t="shared" si="346"/>
        <v>3650.4</v>
      </c>
      <c r="H2299" s="156">
        <v>3454</v>
      </c>
      <c r="I2299" s="23">
        <f t="shared" si="347"/>
        <v>587.18000000000006</v>
      </c>
      <c r="J2299" s="100">
        <f t="shared" si="348"/>
        <v>0.94619767696690771</v>
      </c>
      <c r="K2299" s="51">
        <f>VLOOKUP(B:B,'生產達成率(目標)'!A:C,3,0)</f>
        <v>1</v>
      </c>
      <c r="L2299" s="20">
        <f t="shared" si="349"/>
        <v>-5.3999999999999999E-2</v>
      </c>
      <c r="M2299" s="137" t="str">
        <f>工時!R1485</f>
        <v>210</v>
      </c>
      <c r="N2299" s="144"/>
      <c r="O2299" s="144">
        <f t="shared" si="350"/>
        <v>4</v>
      </c>
      <c r="P2299" s="156">
        <v>3450</v>
      </c>
      <c r="Q2299" s="98">
        <f t="shared" si="351"/>
        <v>0.99884192240880143</v>
      </c>
      <c r="R2299" s="23"/>
      <c r="S2299" s="173"/>
      <c r="T2299" s="30"/>
      <c r="U2299" s="264"/>
      <c r="V2299" s="463"/>
      <c r="X2299" s="463"/>
    </row>
    <row r="2300" spans="1:30" x14ac:dyDescent="0.4">
      <c r="A2300" s="212">
        <v>45985</v>
      </c>
      <c r="B2300" s="139" t="s">
        <v>63</v>
      </c>
      <c r="C2300" s="30" t="str">
        <f>VLOOKUP(B2300,'112年全品項生產鍋數'!A:H,2,0)</f>
        <v>草莓蒟蒻餡(1*6kg)</v>
      </c>
      <c r="D2300" s="296">
        <v>24</v>
      </c>
      <c r="E2300" s="48">
        <f>VLOOKUP(B2300,'112年全品項生產鍋數'!A:H,3,0)</f>
        <v>6</v>
      </c>
      <c r="F2300" s="142">
        <f>VLOOKUP(B2300,'112年全品項生產鍋數'!A:H,7,0)</f>
        <v>25.7</v>
      </c>
      <c r="G2300" s="143">
        <f t="shared" si="346"/>
        <v>616.79999999999995</v>
      </c>
      <c r="H2300" s="156">
        <f>308+317</f>
        <v>625</v>
      </c>
      <c r="I2300" s="23">
        <f t="shared" si="347"/>
        <v>3750</v>
      </c>
      <c r="J2300" s="100">
        <f t="shared" si="348"/>
        <v>1.0132944228274969</v>
      </c>
      <c r="K2300" s="51">
        <f>VLOOKUP(B:B,'生產達成率(目標)'!A:C,3,0)</f>
        <v>1</v>
      </c>
      <c r="L2300" s="20">
        <f t="shared" si="349"/>
        <v>1.2999999999999999E-2</v>
      </c>
      <c r="M2300" s="137" t="str">
        <f>工時!R1486</f>
        <v>268</v>
      </c>
      <c r="N2300" s="144"/>
      <c r="O2300" s="144">
        <f t="shared" si="350"/>
        <v>2</v>
      </c>
      <c r="P2300" s="156">
        <f>307+316</f>
        <v>623</v>
      </c>
      <c r="Q2300" s="98">
        <f t="shared" si="351"/>
        <v>0.99680000000000002</v>
      </c>
      <c r="R2300" s="23"/>
      <c r="S2300" s="173"/>
      <c r="T2300" s="30"/>
      <c r="U2300" s="264"/>
      <c r="V2300" s="463"/>
      <c r="X2300" s="463"/>
    </row>
    <row r="2301" spans="1:30" x14ac:dyDescent="0.4">
      <c r="A2301" s="212">
        <v>45985</v>
      </c>
      <c r="B2301" s="139" t="s">
        <v>128</v>
      </c>
      <c r="C2301" s="30" t="str">
        <f>VLOOKUP(B2301,'112年全品項生產鍋數'!A:H,2,0)</f>
        <v>草莓椰果漿(1*6KG)</v>
      </c>
      <c r="D2301" s="296">
        <v>8</v>
      </c>
      <c r="E2301" s="48">
        <f>VLOOKUP(B2301,'112年全品項生產鍋數'!A:H,3,0)</f>
        <v>6</v>
      </c>
      <c r="F2301" s="142">
        <f>VLOOKUP(B2301,'112年全品項生產鍋數'!A:H,7,0)</f>
        <v>25.7</v>
      </c>
      <c r="G2301" s="143">
        <f t="shared" si="346"/>
        <v>205.6</v>
      </c>
      <c r="H2301" s="156">
        <v>208</v>
      </c>
      <c r="I2301" s="23">
        <f t="shared" si="347"/>
        <v>1248</v>
      </c>
      <c r="J2301" s="100">
        <f t="shared" si="348"/>
        <v>1.0116731517509727</v>
      </c>
      <c r="K2301" s="51">
        <f>VLOOKUP(B:B,'生產達成率(目標)'!A:C,3,0)</f>
        <v>1</v>
      </c>
      <c r="L2301" s="20">
        <f t="shared" si="349"/>
        <v>1.2E-2</v>
      </c>
      <c r="M2301" s="137" t="str">
        <f>工時!R1487</f>
        <v>129</v>
      </c>
      <c r="N2301" s="144"/>
      <c r="O2301" s="144">
        <f t="shared" si="350"/>
        <v>2</v>
      </c>
      <c r="P2301" s="156">
        <v>206</v>
      </c>
      <c r="Q2301" s="98">
        <f t="shared" si="351"/>
        <v>0.99038461538461542</v>
      </c>
      <c r="R2301" s="23"/>
      <c r="S2301" s="173"/>
      <c r="T2301" s="30" t="s">
        <v>1153</v>
      </c>
      <c r="U2301" s="264"/>
      <c r="V2301" s="463"/>
      <c r="X2301" s="463"/>
    </row>
    <row r="2302" spans="1:30" x14ac:dyDescent="0.4">
      <c r="A2302" s="212">
        <v>45985</v>
      </c>
      <c r="B2302" s="139" t="s">
        <v>984</v>
      </c>
      <c r="C2302" s="30" t="str">
        <f>VLOOKUP(B2302,'112年全品項生產鍋數'!A:H,2,0)</f>
        <v>蘋果餡(1*6Kg)</v>
      </c>
      <c r="D2302" s="296">
        <v>6</v>
      </c>
      <c r="E2302" s="48">
        <f>VLOOKUP(B2302,'112年全品項生產鍋數'!A:H,3,0)</f>
        <v>6</v>
      </c>
      <c r="F2302" s="142">
        <f>VLOOKUP(B2302,'112年全品項生產鍋數'!A:H,7,0)</f>
        <v>25.6</v>
      </c>
      <c r="G2302" s="143">
        <f t="shared" si="346"/>
        <v>153.60000000000002</v>
      </c>
      <c r="H2302" s="156">
        <v>154</v>
      </c>
      <c r="I2302" s="23">
        <f t="shared" si="347"/>
        <v>924</v>
      </c>
      <c r="J2302" s="100">
        <f t="shared" si="348"/>
        <v>1.0026041666666665</v>
      </c>
      <c r="K2302" s="51" t="e">
        <f>VLOOKUP(B:B,'生產達成率(目標)'!A:C,3,0)</f>
        <v>#N/A</v>
      </c>
      <c r="L2302" s="20" t="e">
        <f t="shared" si="349"/>
        <v>#N/A</v>
      </c>
      <c r="M2302" s="137" t="str">
        <f>工時!R1488</f>
        <v>150</v>
      </c>
      <c r="N2302" s="144"/>
      <c r="O2302" s="144">
        <f t="shared" si="350"/>
        <v>1</v>
      </c>
      <c r="P2302" s="156">
        <v>153</v>
      </c>
      <c r="Q2302" s="98">
        <f t="shared" si="351"/>
        <v>0.99350649350649356</v>
      </c>
      <c r="R2302" s="23"/>
      <c r="S2302" s="173"/>
      <c r="T2302" s="30" t="s">
        <v>1153</v>
      </c>
      <c r="U2302" s="264"/>
      <c r="V2302" s="463"/>
      <c r="X2302" s="463"/>
    </row>
    <row r="2303" spans="1:30" s="146" customFormat="1" x14ac:dyDescent="0.4">
      <c r="A2303" s="212">
        <v>45985</v>
      </c>
      <c r="B2303" s="139" t="s">
        <v>76</v>
      </c>
      <c r="C2303" s="140" t="str">
        <f>VLOOKUP(B2303,'112年全品項生產鍋數'!A:H,2,0)</f>
        <v>草莓餡(1*6Kg)</v>
      </c>
      <c r="D2303" s="292">
        <v>0.5</v>
      </c>
      <c r="E2303" s="141">
        <f>VLOOKUP(B2303,'112年全品項生產鍋數'!A:H,3,0)</f>
        <v>6</v>
      </c>
      <c r="F2303" s="142">
        <f>VLOOKUP(B2303,'112年全品項生產鍋數'!A:H,7,0)</f>
        <v>25.5</v>
      </c>
      <c r="G2303" s="143">
        <f t="shared" si="346"/>
        <v>12.75</v>
      </c>
      <c r="H2303" s="156">
        <v>9</v>
      </c>
      <c r="I2303" s="144">
        <f t="shared" si="347"/>
        <v>54</v>
      </c>
      <c r="J2303" s="100">
        <f t="shared" si="348"/>
        <v>0.70588235294117652</v>
      </c>
      <c r="K2303" s="51">
        <f>VLOOKUP(B:B,'生產達成率(目標)'!A:C,3,0)</f>
        <v>1</v>
      </c>
      <c r="L2303" s="20">
        <f t="shared" si="349"/>
        <v>-0.29399999999999998</v>
      </c>
      <c r="M2303" s="137" t="str">
        <f>工時!R1489</f>
        <v>61</v>
      </c>
      <c r="N2303" s="144"/>
      <c r="O2303" s="144">
        <f t="shared" si="350"/>
        <v>0</v>
      </c>
      <c r="P2303" s="156">
        <v>9</v>
      </c>
      <c r="Q2303" s="145">
        <f t="shared" si="351"/>
        <v>1</v>
      </c>
      <c r="R2303" s="144"/>
      <c r="S2303" s="153"/>
      <c r="T2303" s="140" t="s">
        <v>1168</v>
      </c>
      <c r="U2303" s="151"/>
      <c r="V2303" s="464"/>
      <c r="W2303" s="421"/>
      <c r="X2303" s="464"/>
      <c r="Y2303" s="421"/>
      <c r="Z2303" s="421"/>
      <c r="AA2303" s="421"/>
      <c r="AB2303" s="421"/>
      <c r="AC2303" s="421"/>
      <c r="AD2303" s="421"/>
    </row>
    <row r="2304" spans="1:30" ht="34" x14ac:dyDescent="0.4">
      <c r="A2304" s="212">
        <v>45985</v>
      </c>
      <c r="B2304" s="139" t="s">
        <v>65</v>
      </c>
      <c r="C2304" s="30" t="str">
        <f>VLOOKUP(B2304,'112年全品項生產鍋數'!A:H,2,0)</f>
        <v>＃1花生(1*2.8kg)</v>
      </c>
      <c r="D2304" s="296">
        <v>64</v>
      </c>
      <c r="E2304" s="48">
        <f>VLOOKUP(B2304,'112年全品項生產鍋數'!A:H,3,0)</f>
        <v>2.8</v>
      </c>
      <c r="F2304" s="142">
        <f>VLOOKUP(B2304,'112年全品項生產鍋數'!A:H,7,0)</f>
        <v>44.5</v>
      </c>
      <c r="G2304" s="143">
        <f>D2304*F2304-55*18/E2304</f>
        <v>2494.4285714285716</v>
      </c>
      <c r="H2304" s="156">
        <f>1942+600</f>
        <v>2542</v>
      </c>
      <c r="I2304" s="23">
        <f t="shared" si="347"/>
        <v>7117.5999999999995</v>
      </c>
      <c r="J2304" s="100">
        <f t="shared" si="348"/>
        <v>1.01907107267625</v>
      </c>
      <c r="K2304" s="51">
        <f>VLOOKUP(B:B,'生產達成率(目標)'!A:C,3,0)</f>
        <v>1</v>
      </c>
      <c r="L2304" s="20">
        <f t="shared" si="349"/>
        <v>1.9E-2</v>
      </c>
      <c r="M2304" s="137" t="str">
        <f>工時!R1490</f>
        <v>500</v>
      </c>
      <c r="N2304" s="144"/>
      <c r="O2304" s="144">
        <f t="shared" si="350"/>
        <v>6</v>
      </c>
      <c r="P2304" s="156">
        <f>1936+600</f>
        <v>2536</v>
      </c>
      <c r="Q2304" s="98">
        <f t="shared" si="351"/>
        <v>0.99763965381589303</v>
      </c>
      <c r="R2304" s="144" t="s">
        <v>1242</v>
      </c>
      <c r="S2304" s="173">
        <v>112</v>
      </c>
      <c r="T2304" s="44" t="s">
        <v>1171</v>
      </c>
      <c r="U2304" s="264"/>
      <c r="V2304" s="463"/>
      <c r="X2304" s="463"/>
    </row>
    <row r="2305" spans="1:30" s="146" customFormat="1" x14ac:dyDescent="0.4">
      <c r="A2305" s="212">
        <v>45985</v>
      </c>
      <c r="B2305" s="139">
        <v>153010</v>
      </c>
      <c r="C2305" s="140" t="str">
        <f>VLOOKUP(B2305,'112年全品項生產鍋數'!A:H,2,0)</f>
        <v>蜜桔皮6m/m</v>
      </c>
      <c r="D2305" s="292">
        <v>1</v>
      </c>
      <c r="E2305" s="141">
        <f>VLOOKUP(B2305,'112年全品項生產鍋數'!A:H,3,0)</f>
        <v>1</v>
      </c>
      <c r="F2305" s="142">
        <f>VLOOKUP(B2305,'112年全品項生產鍋數'!A:H,7,0)</f>
        <v>591</v>
      </c>
      <c r="G2305" s="143">
        <f t="shared" si="346"/>
        <v>591</v>
      </c>
      <c r="H2305" s="156">
        <v>488</v>
      </c>
      <c r="I2305" s="144">
        <f t="shared" si="347"/>
        <v>488</v>
      </c>
      <c r="J2305" s="100">
        <f t="shared" si="348"/>
        <v>0.82571912013536375</v>
      </c>
      <c r="K2305" s="51">
        <f>VLOOKUP(B:B,'生產達成率(目標)'!A:C,3,0)</f>
        <v>1</v>
      </c>
      <c r="L2305" s="20">
        <f t="shared" si="349"/>
        <v>-0.17399999999999999</v>
      </c>
      <c r="M2305" s="137" t="str">
        <f>工時!R1491</f>
        <v>0</v>
      </c>
      <c r="N2305" s="144"/>
      <c r="O2305" s="144">
        <f t="shared" si="350"/>
        <v>0</v>
      </c>
      <c r="P2305" s="156">
        <v>488</v>
      </c>
      <c r="Q2305" s="145">
        <f t="shared" si="351"/>
        <v>1</v>
      </c>
      <c r="R2305" s="144"/>
      <c r="S2305" s="153"/>
      <c r="T2305" s="140" t="s">
        <v>1169</v>
      </c>
      <c r="U2305" s="151"/>
      <c r="V2305" s="464"/>
      <c r="W2305" s="421"/>
      <c r="X2305" s="464"/>
      <c r="Y2305" s="421"/>
      <c r="Z2305" s="421"/>
      <c r="AA2305" s="421"/>
      <c r="AB2305" s="421"/>
      <c r="AC2305" s="421"/>
      <c r="AD2305" s="421"/>
    </row>
    <row r="2306" spans="1:30" x14ac:dyDescent="0.4">
      <c r="A2306" s="212">
        <v>45986</v>
      </c>
      <c r="B2306" s="139" t="s">
        <v>71</v>
      </c>
      <c r="C2306" s="30" t="str">
        <f>VLOOKUP(B2306,'112年全品項生產鍋數'!A:H,2,0)</f>
        <v>＃1草莓(1*3.2kg)</v>
      </c>
      <c r="D2306" s="296">
        <v>68</v>
      </c>
      <c r="E2306" s="48">
        <f>VLOOKUP(B2306,'112年全品項生產鍋數'!A:H,3,0)</f>
        <v>3.2</v>
      </c>
      <c r="F2306" s="142">
        <f>VLOOKUP(B2306,'112年全品項生產鍋數'!A:H,7,0)</f>
        <v>46.8</v>
      </c>
      <c r="G2306" s="143">
        <f t="shared" si="346"/>
        <v>3182.3999999999996</v>
      </c>
      <c r="H2306" s="156">
        <v>3245</v>
      </c>
      <c r="I2306" s="23">
        <f t="shared" si="347"/>
        <v>10384</v>
      </c>
      <c r="J2306" s="100">
        <f t="shared" si="348"/>
        <v>1.019670688788336</v>
      </c>
      <c r="K2306" s="51">
        <f>VLOOKUP(B:B,'生產達成率(目標)'!A:C,3,0)</f>
        <v>1</v>
      </c>
      <c r="L2306" s="20">
        <f t="shared" si="349"/>
        <v>0.02</v>
      </c>
      <c r="M2306" s="137" t="str">
        <f>工時!R1492</f>
        <v>570</v>
      </c>
      <c r="N2306" s="144"/>
      <c r="O2306" s="144">
        <f t="shared" si="350"/>
        <v>5</v>
      </c>
      <c r="P2306" s="156">
        <v>3240</v>
      </c>
      <c r="Q2306" s="98">
        <f t="shared" si="351"/>
        <v>0.99845916795069334</v>
      </c>
      <c r="R2306" s="23" t="s">
        <v>1240</v>
      </c>
      <c r="S2306" s="173">
        <v>306</v>
      </c>
      <c r="T2306" s="30"/>
      <c r="U2306" s="264"/>
      <c r="V2306" s="463"/>
      <c r="X2306" s="463"/>
    </row>
    <row r="2307" spans="1:30" x14ac:dyDescent="0.4">
      <c r="A2307" s="212">
        <v>45986</v>
      </c>
      <c r="B2307" s="139" t="s">
        <v>64</v>
      </c>
      <c r="C2307" s="30" t="str">
        <f>VLOOKUP(B2307,'112年全品項生產鍋數'!A:H,2,0)</f>
        <v>藍莓餡(1*6KG)</v>
      </c>
      <c r="D2307" s="296">
        <v>24</v>
      </c>
      <c r="E2307" s="48">
        <f>VLOOKUP(B2307,'112年全品項生產鍋數'!A:H,3,0)</f>
        <v>6</v>
      </c>
      <c r="F2307" s="142">
        <f>VLOOKUP(B2307,'112年全品項生產鍋數'!A:H,7,0)</f>
        <v>25.4</v>
      </c>
      <c r="G2307" s="143">
        <f t="shared" ref="G2307:G2355" si="352">D2307*F2307</f>
        <v>609.59999999999991</v>
      </c>
      <c r="H2307" s="156">
        <f>302+312</f>
        <v>614</v>
      </c>
      <c r="I2307" s="23">
        <f t="shared" ref="I2307:I2355" si="353">H2307*E2307</f>
        <v>3684</v>
      </c>
      <c r="J2307" s="100">
        <f t="shared" ref="J2307:J2355" si="354">IF(G2307=0,"無法預估數據",H2307/G2307)</f>
        <v>1.007217847769029</v>
      </c>
      <c r="K2307" s="51">
        <f>VLOOKUP(B:B,'生產達成率(目標)'!A:C,3,0)</f>
        <v>1</v>
      </c>
      <c r="L2307" s="20">
        <f t="shared" ref="L2307:L2355" si="355">IF(G2307=0,"無法預估數據",ROUND(J2307-K2307,3))</f>
        <v>7.0000000000000001E-3</v>
      </c>
      <c r="M2307" s="137" t="str">
        <f>工時!R1493</f>
        <v>330</v>
      </c>
      <c r="N2307" s="144"/>
      <c r="O2307" s="144">
        <f t="shared" ref="O2307:O2355" si="356">H2307-N2307-P2307</f>
        <v>2</v>
      </c>
      <c r="P2307" s="156">
        <f>300+312</f>
        <v>612</v>
      </c>
      <c r="Q2307" s="98">
        <f t="shared" ref="Q2307:Q2355" si="357">P2307/H2307</f>
        <v>0.99674267100977199</v>
      </c>
      <c r="R2307" s="23"/>
      <c r="S2307" s="173"/>
      <c r="T2307" s="30"/>
      <c r="U2307" s="264"/>
      <c r="V2307" s="463"/>
      <c r="X2307" s="463"/>
    </row>
    <row r="2308" spans="1:30" x14ac:dyDescent="0.4">
      <c r="A2308" s="212">
        <v>45986</v>
      </c>
      <c r="B2308" s="139" t="s">
        <v>107</v>
      </c>
      <c r="C2308" s="30" t="str">
        <f>VLOOKUP(B2308,'112年全品項生產鍋數'!A:H,2,0)</f>
        <v>藍莓餡(1*6kg)</v>
      </c>
      <c r="D2308" s="296">
        <v>16</v>
      </c>
      <c r="E2308" s="48">
        <f>VLOOKUP(B2308,'112年全品項生產鍋數'!A:H,3,0)</f>
        <v>6</v>
      </c>
      <c r="F2308" s="142">
        <f>VLOOKUP(B2308,'112年全品項生產鍋數'!A:H,7,0)</f>
        <v>26.4</v>
      </c>
      <c r="G2308" s="143">
        <f t="shared" si="352"/>
        <v>422.4</v>
      </c>
      <c r="H2308" s="156">
        <v>425</v>
      </c>
      <c r="I2308" s="23">
        <f t="shared" si="353"/>
        <v>2550</v>
      </c>
      <c r="J2308" s="100">
        <f t="shared" si="354"/>
        <v>1.006155303030303</v>
      </c>
      <c r="K2308" s="51">
        <f>VLOOKUP(B:B,'生產達成率(目標)'!A:C,3,0)</f>
        <v>1</v>
      </c>
      <c r="L2308" s="20">
        <f t="shared" si="355"/>
        <v>6.0000000000000001E-3</v>
      </c>
      <c r="M2308" s="137" t="str">
        <f>工時!R1494</f>
        <v>210</v>
      </c>
      <c r="N2308" s="144"/>
      <c r="O2308" s="144">
        <f t="shared" si="356"/>
        <v>2</v>
      </c>
      <c r="P2308" s="156">
        <v>423</v>
      </c>
      <c r="Q2308" s="98">
        <f t="shared" si="357"/>
        <v>0.99529411764705877</v>
      </c>
      <c r="R2308" s="23"/>
      <c r="S2308" s="173"/>
      <c r="T2308" s="30"/>
      <c r="U2308" s="264"/>
      <c r="V2308" s="463"/>
      <c r="X2308" s="463"/>
    </row>
    <row r="2309" spans="1:30" x14ac:dyDescent="0.4">
      <c r="A2309" s="212">
        <v>45986</v>
      </c>
      <c r="B2309" s="139" t="s">
        <v>96</v>
      </c>
      <c r="C2309" s="30" t="str">
        <f>VLOOKUP(B2309,'112年全品項生產鍋數'!A:H,2,0)</f>
        <v>PET瓶花生(1*340g)</v>
      </c>
      <c r="D2309" s="296">
        <f>16-0.56</f>
        <v>15.44</v>
      </c>
      <c r="E2309" s="48">
        <f>VLOOKUP(B2309,'112年全品項生產鍋數'!A:H,3,0)</f>
        <v>0.34</v>
      </c>
      <c r="F2309" s="142">
        <f>VLOOKUP(B2309,'112年全品項生產鍋數'!A:H,7,0)</f>
        <v>358.3</v>
      </c>
      <c r="G2309" s="143">
        <f t="shared" si="352"/>
        <v>5532.152</v>
      </c>
      <c r="H2309" s="156">
        <f>2400+3025</f>
        <v>5425</v>
      </c>
      <c r="I2309" s="23">
        <f t="shared" si="353"/>
        <v>1844.5000000000002</v>
      </c>
      <c r="J2309" s="100">
        <f t="shared" si="354"/>
        <v>0.98063104556780079</v>
      </c>
      <c r="K2309" s="51">
        <f>VLOOKUP(B:B,'生產達成率(目標)'!A:C,3,0)</f>
        <v>1</v>
      </c>
      <c r="L2309" s="20">
        <f t="shared" si="355"/>
        <v>-1.9E-2</v>
      </c>
      <c r="M2309" s="137" t="str">
        <f>工時!R1495</f>
        <v>220</v>
      </c>
      <c r="N2309" s="144"/>
      <c r="O2309" s="144">
        <f t="shared" si="356"/>
        <v>3</v>
      </c>
      <c r="P2309" s="156">
        <f>2400+3022</f>
        <v>5422</v>
      </c>
      <c r="Q2309" s="98">
        <f t="shared" si="357"/>
        <v>0.99944700460829494</v>
      </c>
      <c r="R2309" s="23"/>
      <c r="S2309" s="173"/>
      <c r="T2309" s="30" t="s">
        <v>1172</v>
      </c>
      <c r="U2309" s="264"/>
      <c r="V2309" s="463"/>
      <c r="X2309" s="463"/>
    </row>
    <row r="2310" spans="1:30" x14ac:dyDescent="0.4">
      <c r="A2310" s="212">
        <v>45986</v>
      </c>
      <c r="B2310" s="139" t="s">
        <v>1174</v>
      </c>
      <c r="C2310" s="30" t="str">
        <f>VLOOKUP(B2310,'112年全品項生產鍋數'!A:H,2,0)</f>
        <v>花生醬(1*290g)</v>
      </c>
      <c r="D2310" s="296">
        <v>0.56000000000000005</v>
      </c>
      <c r="E2310" s="48">
        <f>VLOOKUP(B2310,'112年全品項生產鍋數'!A:H,3,0)</f>
        <v>0.28999999999999998</v>
      </c>
      <c r="F2310" s="142">
        <f>VLOOKUP(B2310,'112年全品項生產鍋數'!A:H,7,0)</f>
        <v>0</v>
      </c>
      <c r="G2310" s="143">
        <f t="shared" ref="G2310" si="358">D2310*F2310</f>
        <v>0</v>
      </c>
      <c r="H2310" s="156">
        <v>244</v>
      </c>
      <c r="I2310" s="23">
        <f t="shared" ref="I2310" si="359">H2310*E2310</f>
        <v>70.759999999999991</v>
      </c>
      <c r="J2310" s="100" t="str">
        <f t="shared" ref="J2310" si="360">IF(G2310=0,"無法預估數據",H2310/G2310)</f>
        <v>無法預估數據</v>
      </c>
      <c r="K2310" s="51">
        <f>VLOOKUP(B:B,'生產達成率(目標)'!A:C,3,0)</f>
        <v>1</v>
      </c>
      <c r="L2310" s="20" t="str">
        <f t="shared" ref="L2310" si="361">IF(G2310=0,"無法預估數據",ROUND(J2310-K2310,3))</f>
        <v>無法預估數據</v>
      </c>
      <c r="M2310" s="137" t="str">
        <f>工時!R1496</f>
        <v>110</v>
      </c>
      <c r="N2310" s="144"/>
      <c r="O2310" s="144">
        <f t="shared" ref="O2310" si="362">H2310-N2310-P2310</f>
        <v>3</v>
      </c>
      <c r="P2310" s="156">
        <v>241</v>
      </c>
      <c r="Q2310" s="98">
        <f t="shared" ref="Q2310" si="363">P2310/H2310</f>
        <v>0.98770491803278693</v>
      </c>
      <c r="R2310" s="23"/>
      <c r="S2310" s="173"/>
      <c r="T2310" s="30" t="s">
        <v>1172</v>
      </c>
      <c r="U2310" s="264"/>
      <c r="V2310" s="463"/>
      <c r="X2310" s="463"/>
    </row>
    <row r="2311" spans="1:30" x14ac:dyDescent="0.4">
      <c r="A2311" s="212">
        <v>45986</v>
      </c>
      <c r="B2311" s="139" t="s">
        <v>66</v>
      </c>
      <c r="C2311" s="30" t="str">
        <f>VLOOKUP(B2311,'112年全品項生產鍋數'!A:H,2,0)</f>
        <v>＃2花生(1*800g)</v>
      </c>
      <c r="D2311" s="296">
        <v>20</v>
      </c>
      <c r="E2311" s="48">
        <f>VLOOKUP(B2311,'112年全品項生產鍋數'!A:H,3,0)</f>
        <v>0.8</v>
      </c>
      <c r="F2311" s="142">
        <f>VLOOKUP(B2311,'112年全品項生產鍋數'!A:H,7,0)</f>
        <v>157.69999999999999</v>
      </c>
      <c r="G2311" s="143">
        <f t="shared" si="352"/>
        <v>3154</v>
      </c>
      <c r="H2311" s="156">
        <v>3271</v>
      </c>
      <c r="I2311" s="23">
        <f t="shared" si="353"/>
        <v>2616.8000000000002</v>
      </c>
      <c r="J2311" s="100">
        <f t="shared" si="354"/>
        <v>1.0370957514267596</v>
      </c>
      <c r="K2311" s="51">
        <f>VLOOKUP(B:B,'生產達成率(目標)'!A:C,3,0)</f>
        <v>1</v>
      </c>
      <c r="L2311" s="20">
        <f t="shared" si="355"/>
        <v>3.6999999999999998E-2</v>
      </c>
      <c r="M2311" s="137" t="str">
        <f>工時!R1497</f>
        <v>380</v>
      </c>
      <c r="N2311" s="144"/>
      <c r="O2311" s="144">
        <f t="shared" si="356"/>
        <v>2</v>
      </c>
      <c r="P2311" s="156">
        <v>3269</v>
      </c>
      <c r="Q2311" s="98">
        <f t="shared" si="357"/>
        <v>0.99938856618771021</v>
      </c>
      <c r="R2311" s="144" t="s">
        <v>1242</v>
      </c>
      <c r="S2311" s="173">
        <v>35</v>
      </c>
      <c r="T2311" s="30"/>
      <c r="U2311" s="264"/>
      <c r="V2311" s="463"/>
      <c r="X2311" s="463"/>
    </row>
    <row r="2312" spans="1:30" x14ac:dyDescent="0.4">
      <c r="A2312" s="212">
        <v>45987</v>
      </c>
      <c r="B2312" s="139" t="s">
        <v>68</v>
      </c>
      <c r="C2312" s="30" t="str">
        <f>VLOOKUP(B2312,'112年全品項生產鍋數'!A:H,2,0)</f>
        <v>#2草莓果醬(1*900g)</v>
      </c>
      <c r="D2312" s="296">
        <v>20</v>
      </c>
      <c r="E2312" s="48">
        <f>VLOOKUP(B2312,'112年全品項生產鍋數'!A:H,3,0)</f>
        <v>0.9</v>
      </c>
      <c r="F2312" s="142">
        <f>VLOOKUP(B2312,'112年全品項生產鍋數'!A:H,7,0)</f>
        <v>160.5</v>
      </c>
      <c r="G2312" s="143">
        <f t="shared" si="352"/>
        <v>3210</v>
      </c>
      <c r="H2312" s="156">
        <v>3309</v>
      </c>
      <c r="I2312" s="23">
        <f t="shared" si="353"/>
        <v>2978.1</v>
      </c>
      <c r="J2312" s="100">
        <f t="shared" si="354"/>
        <v>1.030841121495327</v>
      </c>
      <c r="K2312" s="51">
        <f>VLOOKUP(B:B,'生產達成率(目標)'!A:C,3,0)</f>
        <v>1</v>
      </c>
      <c r="L2312" s="20">
        <f t="shared" si="355"/>
        <v>3.1E-2</v>
      </c>
      <c r="M2312" s="137" t="str">
        <f>工時!R1498</f>
        <v>300</v>
      </c>
      <c r="N2312" s="144"/>
      <c r="O2312" s="144">
        <f t="shared" si="356"/>
        <v>3</v>
      </c>
      <c r="P2312" s="156">
        <v>3306</v>
      </c>
      <c r="Q2312" s="98">
        <f t="shared" si="357"/>
        <v>0.99909338168631001</v>
      </c>
      <c r="R2312" s="23" t="s">
        <v>1240</v>
      </c>
      <c r="S2312" s="173">
        <v>90</v>
      </c>
      <c r="T2312" s="30"/>
      <c r="U2312" s="264"/>
      <c r="V2312" s="463"/>
      <c r="X2312" s="463"/>
    </row>
    <row r="2313" spans="1:30" x14ac:dyDescent="0.4">
      <c r="A2313" s="212">
        <v>45987</v>
      </c>
      <c r="B2313" s="139" t="s">
        <v>51</v>
      </c>
      <c r="C2313" s="30" t="str">
        <f>VLOOKUP(B2313,'112年全品項生產鍋數'!A:H,2,0)</f>
        <v>藍莓醬(1*6kg)</v>
      </c>
      <c r="D2313" s="296">
        <v>12</v>
      </c>
      <c r="E2313" s="48">
        <f>VLOOKUP(B2313,'112年全品項生產鍋數'!A:H,3,0)</f>
        <v>6</v>
      </c>
      <c r="F2313" s="142">
        <f>VLOOKUP(B2313,'112年全品項生產鍋數'!A:H,7,0)</f>
        <v>25.5</v>
      </c>
      <c r="G2313" s="143">
        <f t="shared" si="352"/>
        <v>306</v>
      </c>
      <c r="H2313" s="156">
        <v>298</v>
      </c>
      <c r="I2313" s="23">
        <f t="shared" si="353"/>
        <v>1788</v>
      </c>
      <c r="J2313" s="100">
        <f t="shared" si="354"/>
        <v>0.97385620915032678</v>
      </c>
      <c r="K2313" s="51">
        <f>VLOOKUP(B:B,'生產達成率(目標)'!A:C,3,0)</f>
        <v>1</v>
      </c>
      <c r="L2313" s="20">
        <f t="shared" si="355"/>
        <v>-2.5999999999999999E-2</v>
      </c>
      <c r="M2313" s="137" t="str">
        <f>工時!R1499</f>
        <v>200</v>
      </c>
      <c r="N2313" s="144"/>
      <c r="O2313" s="144">
        <f t="shared" si="356"/>
        <v>1</v>
      </c>
      <c r="P2313" s="156">
        <v>297</v>
      </c>
      <c r="Q2313" s="98">
        <f t="shared" si="357"/>
        <v>0.99664429530201337</v>
      </c>
      <c r="R2313" s="23"/>
      <c r="S2313" s="173"/>
      <c r="T2313" s="30" t="s">
        <v>1153</v>
      </c>
      <c r="U2313" s="264"/>
      <c r="V2313" s="463"/>
      <c r="X2313" s="463"/>
    </row>
    <row r="2314" spans="1:30" x14ac:dyDescent="0.4">
      <c r="A2314" s="212">
        <v>45987</v>
      </c>
      <c r="B2314" s="139" t="s">
        <v>99</v>
      </c>
      <c r="C2314" s="30" t="str">
        <f>VLOOKUP(B2314,'112年全品項生產鍋數'!A:H,2,0)</f>
        <v>葡萄奇異果醬(1*6kg)</v>
      </c>
      <c r="D2314" s="296">
        <v>6</v>
      </c>
      <c r="E2314" s="48">
        <f>VLOOKUP(B2314,'112年全品項生產鍋數'!A:H,3,0)</f>
        <v>6</v>
      </c>
      <c r="F2314" s="142">
        <f>VLOOKUP(B2314,'112年全品項生產鍋數'!A:H,7,0)</f>
        <v>24.3</v>
      </c>
      <c r="G2314" s="143">
        <f t="shared" si="352"/>
        <v>145.80000000000001</v>
      </c>
      <c r="H2314" s="156">
        <v>149</v>
      </c>
      <c r="I2314" s="23">
        <f t="shared" si="353"/>
        <v>894</v>
      </c>
      <c r="J2314" s="100">
        <f t="shared" si="354"/>
        <v>1.0219478737997256</v>
      </c>
      <c r="K2314" s="51">
        <f>VLOOKUP(B:B,'生產達成率(目標)'!A:C,3,0)</f>
        <v>1</v>
      </c>
      <c r="L2314" s="20">
        <f t="shared" si="355"/>
        <v>2.1999999999999999E-2</v>
      </c>
      <c r="M2314" s="137" t="str">
        <f>工時!R1500</f>
        <v>120</v>
      </c>
      <c r="N2314" s="144">
        <v>2</v>
      </c>
      <c r="O2314" s="144">
        <f t="shared" si="356"/>
        <v>147</v>
      </c>
      <c r="P2314" s="156">
        <v>0</v>
      </c>
      <c r="Q2314" s="98">
        <f t="shared" si="357"/>
        <v>0</v>
      </c>
      <c r="R2314" s="23" t="s">
        <v>1179</v>
      </c>
      <c r="S2314" s="173"/>
      <c r="T2314" s="30" t="s">
        <v>1180</v>
      </c>
      <c r="U2314" s="264"/>
      <c r="V2314" s="463"/>
      <c r="X2314" s="463"/>
    </row>
    <row r="2315" spans="1:30" x14ac:dyDescent="0.4">
      <c r="A2315" s="212">
        <v>45987</v>
      </c>
      <c r="B2315" s="139" t="s">
        <v>55</v>
      </c>
      <c r="C2315" s="30" t="str">
        <f>VLOOKUP(B2315,'112年全品項生產鍋數'!A:H,2,0)</f>
        <v>天天開心草莓餡4.5KG</v>
      </c>
      <c r="D2315" s="296">
        <v>12</v>
      </c>
      <c r="E2315" s="48">
        <f>VLOOKUP(B2315,'112年全品項生產鍋數'!A:H,3,0)</f>
        <v>4.5</v>
      </c>
      <c r="F2315" s="142">
        <f>VLOOKUP(B2315,'112年全品項生產鍋數'!A:H,7,0)</f>
        <v>36.299999999999997</v>
      </c>
      <c r="G2315" s="143">
        <f t="shared" si="352"/>
        <v>435.59999999999997</v>
      </c>
      <c r="H2315" s="156">
        <v>439</v>
      </c>
      <c r="I2315" s="23">
        <f t="shared" si="353"/>
        <v>1975.5</v>
      </c>
      <c r="J2315" s="100">
        <f t="shared" si="354"/>
        <v>1.0078053259871442</v>
      </c>
      <c r="K2315" s="51">
        <f>VLOOKUP(B:B,'生產達成率(目標)'!A:C,3,0)</f>
        <v>1</v>
      </c>
      <c r="L2315" s="20">
        <f t="shared" si="355"/>
        <v>8.0000000000000002E-3</v>
      </c>
      <c r="M2315" s="137" t="str">
        <f>工時!R1501</f>
        <v>225</v>
      </c>
      <c r="N2315" s="144"/>
      <c r="O2315" s="144">
        <f t="shared" si="356"/>
        <v>0</v>
      </c>
      <c r="P2315" s="156">
        <v>439</v>
      </c>
      <c r="Q2315" s="98">
        <f t="shared" si="357"/>
        <v>1</v>
      </c>
      <c r="R2315" s="23"/>
      <c r="S2315" s="173"/>
      <c r="T2315" s="30"/>
      <c r="U2315" s="264"/>
      <c r="V2315" s="463"/>
      <c r="X2315" s="463"/>
    </row>
    <row r="2316" spans="1:30" x14ac:dyDescent="0.4">
      <c r="A2316" s="212">
        <v>45987</v>
      </c>
      <c r="B2316" s="139" t="s">
        <v>115</v>
      </c>
      <c r="C2316" s="30" t="str">
        <f>VLOOKUP(B2316,'112年全品項生產鍋數'!A:H,2,0)</f>
        <v>天天開心藍莓餡4.5KG</v>
      </c>
      <c r="D2316" s="296">
        <v>12</v>
      </c>
      <c r="E2316" s="48">
        <f>VLOOKUP(B2316,'112年全品項生產鍋數'!A:H,3,0)</f>
        <v>4.5</v>
      </c>
      <c r="F2316" s="142">
        <f>VLOOKUP(B2316,'112年全品項生產鍋數'!A:H,7,0)</f>
        <v>36.799999999999997</v>
      </c>
      <c r="G2316" s="143">
        <f t="shared" si="352"/>
        <v>441.59999999999997</v>
      </c>
      <c r="H2316" s="156">
        <v>450</v>
      </c>
      <c r="I2316" s="23">
        <f t="shared" si="353"/>
        <v>2025</v>
      </c>
      <c r="J2316" s="100">
        <f t="shared" si="354"/>
        <v>1.0190217391304348</v>
      </c>
      <c r="K2316" s="51">
        <f>VLOOKUP(B:B,'生產達成率(目標)'!A:C,3,0)</f>
        <v>1</v>
      </c>
      <c r="L2316" s="20">
        <f t="shared" si="355"/>
        <v>1.9E-2</v>
      </c>
      <c r="M2316" s="137" t="str">
        <f>工時!R1502</f>
        <v>240</v>
      </c>
      <c r="N2316" s="144"/>
      <c r="O2316" s="144">
        <f t="shared" si="356"/>
        <v>0</v>
      </c>
      <c r="P2316" s="156">
        <v>450</v>
      </c>
      <c r="Q2316" s="98">
        <f t="shared" si="357"/>
        <v>1</v>
      </c>
      <c r="R2316" s="23"/>
      <c r="S2316" s="173"/>
      <c r="T2316" s="30" t="s">
        <v>1153</v>
      </c>
      <c r="U2316" s="264"/>
      <c r="V2316" s="463"/>
      <c r="X2316" s="463"/>
    </row>
    <row r="2317" spans="1:30" x14ac:dyDescent="0.4">
      <c r="A2317" s="212">
        <v>45987</v>
      </c>
      <c r="B2317" s="139" t="s">
        <v>130</v>
      </c>
      <c r="C2317" s="30" t="str">
        <f>VLOOKUP(B2317,'112年全品項生產鍋數'!A:H,2,0)</f>
        <v>天天開心柳橙餡4.5KG</v>
      </c>
      <c r="D2317" s="296">
        <v>12</v>
      </c>
      <c r="E2317" s="48">
        <f>VLOOKUP(B2317,'112年全品項生產鍋數'!A:H,3,0)</f>
        <v>4.5</v>
      </c>
      <c r="F2317" s="142">
        <f>VLOOKUP(B2317,'112年全品項生產鍋數'!A:H,7,0)</f>
        <v>34.9</v>
      </c>
      <c r="G2317" s="143">
        <f t="shared" si="352"/>
        <v>418.79999999999995</v>
      </c>
      <c r="H2317" s="156">
        <v>425</v>
      </c>
      <c r="I2317" s="23">
        <f t="shared" si="353"/>
        <v>1912.5</v>
      </c>
      <c r="J2317" s="100">
        <f t="shared" si="354"/>
        <v>1.0148042024832857</v>
      </c>
      <c r="K2317" s="51">
        <f>VLOOKUP(B:B,'生產達成率(目標)'!A:C,3,0)</f>
        <v>1</v>
      </c>
      <c r="L2317" s="20">
        <f t="shared" si="355"/>
        <v>1.4999999999999999E-2</v>
      </c>
      <c r="M2317" s="137" t="str">
        <f>工時!R1503</f>
        <v>220</v>
      </c>
      <c r="N2317" s="144"/>
      <c r="O2317" s="144">
        <f t="shared" si="356"/>
        <v>0</v>
      </c>
      <c r="P2317" s="156">
        <v>425</v>
      </c>
      <c r="Q2317" s="98">
        <f t="shared" si="357"/>
        <v>1</v>
      </c>
      <c r="R2317" s="23"/>
      <c r="S2317" s="173"/>
      <c r="T2317" s="30" t="s">
        <v>1153</v>
      </c>
      <c r="U2317" s="264"/>
      <c r="V2317" s="463"/>
      <c r="X2317" s="463"/>
    </row>
    <row r="2318" spans="1:30" s="146" customFormat="1" x14ac:dyDescent="0.4">
      <c r="A2318" s="212">
        <v>45987</v>
      </c>
      <c r="B2318" s="139" t="s">
        <v>83</v>
      </c>
      <c r="C2318" s="140" t="str">
        <f>VLOOKUP(B2318,'112年全品項生產鍋數'!A:H,2,0)</f>
        <v>PET瓶花生(粒)(1*340g)</v>
      </c>
      <c r="D2318" s="292">
        <v>8</v>
      </c>
      <c r="E2318" s="141">
        <f>VLOOKUP(B2318,'112年全品項生產鍋數'!A:H,3,0)</f>
        <v>0.34</v>
      </c>
      <c r="F2318" s="142">
        <f>VLOOKUP(B2318,'112年全品項生產鍋數'!A:H,7,0)</f>
        <v>366</v>
      </c>
      <c r="G2318" s="143">
        <f t="shared" si="352"/>
        <v>2928</v>
      </c>
      <c r="H2318" s="156">
        <f>2400+417</f>
        <v>2817</v>
      </c>
      <c r="I2318" s="144">
        <f t="shared" si="353"/>
        <v>957.78000000000009</v>
      </c>
      <c r="J2318" s="100">
        <f t="shared" si="354"/>
        <v>0.96209016393442626</v>
      </c>
      <c r="K2318" s="51">
        <f>VLOOKUP(B:B,'生產達成率(目標)'!A:C,3,0)</f>
        <v>1</v>
      </c>
      <c r="L2318" s="20">
        <f t="shared" si="355"/>
        <v>-3.7999999999999999E-2</v>
      </c>
      <c r="M2318" s="137" t="str">
        <f>工時!R1504</f>
        <v>190</v>
      </c>
      <c r="N2318" s="144"/>
      <c r="O2318" s="144">
        <f t="shared" si="356"/>
        <v>4</v>
      </c>
      <c r="P2318" s="156">
        <f>2400+413</f>
        <v>2813</v>
      </c>
      <c r="Q2318" s="145">
        <f t="shared" si="357"/>
        <v>0.99858004969826053</v>
      </c>
      <c r="R2318" s="144"/>
      <c r="S2318" s="153"/>
      <c r="T2318" s="140" t="s">
        <v>1173</v>
      </c>
      <c r="U2318" s="151"/>
      <c r="V2318" s="464"/>
      <c r="W2318" s="421"/>
      <c r="X2318" s="464"/>
      <c r="Y2318" s="421"/>
      <c r="Z2318" s="421"/>
      <c r="AA2318" s="421"/>
      <c r="AB2318" s="421"/>
      <c r="AC2318" s="421"/>
      <c r="AD2318" s="421"/>
    </row>
    <row r="2319" spans="1:30" x14ac:dyDescent="0.4">
      <c r="A2319" s="212">
        <v>45987</v>
      </c>
      <c r="B2319" s="139" t="s">
        <v>104</v>
      </c>
      <c r="C2319" s="30" t="str">
        <f>VLOOKUP(B2319,'112年全品項生產鍋數'!A:H,2,0)</f>
        <v>＃1花生(粒)(1*2.8kg)</v>
      </c>
      <c r="D2319" s="296">
        <v>48</v>
      </c>
      <c r="E2319" s="48">
        <f>VLOOKUP(B2319,'112年全品項生產鍋數'!A:H,3,0)</f>
        <v>2.8</v>
      </c>
      <c r="F2319" s="142">
        <f>VLOOKUP(B2319,'112年全品項生產鍋數'!A:H,7,0)</f>
        <v>44.2</v>
      </c>
      <c r="G2319" s="143">
        <f t="shared" si="352"/>
        <v>2121.6000000000004</v>
      </c>
      <c r="H2319" s="156">
        <v>2112</v>
      </c>
      <c r="I2319" s="23">
        <f t="shared" si="353"/>
        <v>5913.5999999999995</v>
      </c>
      <c r="J2319" s="100">
        <f t="shared" si="354"/>
        <v>0.99547511312217174</v>
      </c>
      <c r="K2319" s="51">
        <f>VLOOKUP(B:B,'生產達成率(目標)'!A:C,3,0)</f>
        <v>1</v>
      </c>
      <c r="L2319" s="20">
        <f t="shared" si="355"/>
        <v>-5.0000000000000001E-3</v>
      </c>
      <c r="M2319" s="137" t="str">
        <f>工時!R1505</f>
        <v>470</v>
      </c>
      <c r="N2319" s="144"/>
      <c r="O2319" s="144">
        <f t="shared" si="356"/>
        <v>1</v>
      </c>
      <c r="P2319" s="156">
        <v>2111</v>
      </c>
      <c r="Q2319" s="98">
        <f t="shared" si="357"/>
        <v>0.99952651515151514</v>
      </c>
      <c r="R2319" s="23"/>
      <c r="S2319" s="173"/>
      <c r="T2319" s="30" t="s">
        <v>1153</v>
      </c>
      <c r="U2319" s="264"/>
      <c r="V2319" s="463"/>
      <c r="X2319" s="463"/>
    </row>
    <row r="2320" spans="1:30" x14ac:dyDescent="0.4">
      <c r="A2320" s="212">
        <v>45988</v>
      </c>
      <c r="B2320" s="139" t="s">
        <v>71</v>
      </c>
      <c r="C2320" s="30" t="str">
        <f>VLOOKUP(B2320,'112年全品項生產鍋數'!A:H,2,0)</f>
        <v>＃1草莓(1*3.2kg)</v>
      </c>
      <c r="D2320" s="296">
        <v>68</v>
      </c>
      <c r="E2320" s="48">
        <f>VLOOKUP(B2320,'112年全品項生產鍋數'!A:H,3,0)</f>
        <v>3.2</v>
      </c>
      <c r="F2320" s="142">
        <f>VLOOKUP(B2320,'112年全品項生產鍋數'!A:H,7,0)</f>
        <v>46.8</v>
      </c>
      <c r="G2320" s="143">
        <f t="shared" si="352"/>
        <v>3182.3999999999996</v>
      </c>
      <c r="H2320" s="156">
        <v>3286</v>
      </c>
      <c r="I2320" s="23">
        <f t="shared" si="353"/>
        <v>10515.2</v>
      </c>
      <c r="J2320" s="100">
        <f t="shared" si="354"/>
        <v>1.0325540472599297</v>
      </c>
      <c r="K2320" s="51">
        <f>VLOOKUP(B:B,'生產達成率(目標)'!A:C,3,0)</f>
        <v>1</v>
      </c>
      <c r="L2320" s="20">
        <f t="shared" si="355"/>
        <v>3.3000000000000002E-2</v>
      </c>
      <c r="M2320" s="137" t="str">
        <f>工時!R1506</f>
        <v>540</v>
      </c>
      <c r="N2320" s="144"/>
      <c r="O2320" s="144">
        <f t="shared" si="356"/>
        <v>3</v>
      </c>
      <c r="P2320" s="156">
        <v>3283</v>
      </c>
      <c r="Q2320" s="98">
        <f t="shared" si="357"/>
        <v>0.99908703590992087</v>
      </c>
      <c r="R2320" s="23" t="s">
        <v>1240</v>
      </c>
      <c r="S2320" s="173">
        <v>306</v>
      </c>
      <c r="T2320" s="30"/>
      <c r="U2320" s="264"/>
      <c r="V2320" s="463"/>
      <c r="X2320" s="463"/>
    </row>
    <row r="2321" spans="1:30" x14ac:dyDescent="0.4">
      <c r="A2321" s="212">
        <v>45988</v>
      </c>
      <c r="B2321" s="139" t="s">
        <v>63</v>
      </c>
      <c r="C2321" s="30" t="str">
        <f>VLOOKUP(B2321,'112年全品項生產鍋數'!A:H,2,0)</f>
        <v>草莓蒟蒻餡(1*6kg)</v>
      </c>
      <c r="D2321" s="296">
        <v>24</v>
      </c>
      <c r="E2321" s="48">
        <f>VLOOKUP(B2321,'112年全品項生產鍋數'!A:H,3,0)</f>
        <v>6</v>
      </c>
      <c r="F2321" s="142">
        <f>VLOOKUP(B2321,'112年全品項生產鍋數'!A:H,7,0)</f>
        <v>25.7</v>
      </c>
      <c r="G2321" s="143">
        <f t="shared" si="352"/>
        <v>616.79999999999995</v>
      </c>
      <c r="H2321" s="156">
        <f>309+317</f>
        <v>626</v>
      </c>
      <c r="I2321" s="23">
        <f t="shared" si="353"/>
        <v>3756</v>
      </c>
      <c r="J2321" s="100">
        <f t="shared" si="354"/>
        <v>1.0149156939040209</v>
      </c>
      <c r="K2321" s="51">
        <f>VLOOKUP(B:B,'生產達成率(目標)'!A:C,3,0)</f>
        <v>1</v>
      </c>
      <c r="L2321" s="20">
        <f t="shared" si="355"/>
        <v>1.4999999999999999E-2</v>
      </c>
      <c r="M2321" s="137" t="str">
        <f>工時!R1507</f>
        <v>291</v>
      </c>
      <c r="N2321" s="144"/>
      <c r="O2321" s="144">
        <f t="shared" si="356"/>
        <v>1</v>
      </c>
      <c r="P2321" s="156">
        <f>308+317</f>
        <v>625</v>
      </c>
      <c r="Q2321" s="98">
        <f t="shared" si="357"/>
        <v>0.99840255591054317</v>
      </c>
      <c r="R2321" s="23"/>
      <c r="S2321" s="173"/>
      <c r="T2321" s="30"/>
      <c r="U2321" s="264"/>
      <c r="V2321" s="463"/>
      <c r="X2321" s="463"/>
    </row>
    <row r="2322" spans="1:30" x14ac:dyDescent="0.4">
      <c r="A2322" s="212">
        <v>45988</v>
      </c>
      <c r="B2322" s="139" t="s">
        <v>116</v>
      </c>
      <c r="C2322" s="30" t="str">
        <f>VLOOKUP(B2322,'112年全品項生產鍋數'!A:H,2,0)</f>
        <v>藍莓餡（大）(1*9.08kg)</v>
      </c>
      <c r="D2322" s="296">
        <v>8</v>
      </c>
      <c r="E2322" s="48">
        <f>VLOOKUP(B2322,'112年全品項生產鍋數'!A:H,3,0)</f>
        <v>9.08</v>
      </c>
      <c r="F2322" s="142">
        <f>VLOOKUP(B2322,'112年全品項生產鍋數'!A:H,7,0)</f>
        <v>17.8</v>
      </c>
      <c r="G2322" s="143">
        <f t="shared" si="352"/>
        <v>142.4</v>
      </c>
      <c r="H2322" s="156">
        <v>142</v>
      </c>
      <c r="I2322" s="23">
        <f t="shared" si="353"/>
        <v>1289.3599999999999</v>
      </c>
      <c r="J2322" s="100">
        <f t="shared" si="354"/>
        <v>0.99719101123595499</v>
      </c>
      <c r="K2322" s="51">
        <f>VLOOKUP(B:B,'生產達成率(目標)'!A:C,3,0)</f>
        <v>1</v>
      </c>
      <c r="L2322" s="20">
        <f t="shared" si="355"/>
        <v>-3.0000000000000001E-3</v>
      </c>
      <c r="M2322" s="137" t="str">
        <f>工時!R1508</f>
        <v>170</v>
      </c>
      <c r="N2322" s="144"/>
      <c r="O2322" s="144">
        <f t="shared" si="356"/>
        <v>0</v>
      </c>
      <c r="P2322" s="156">
        <v>142</v>
      </c>
      <c r="Q2322" s="98">
        <f t="shared" si="357"/>
        <v>1</v>
      </c>
      <c r="R2322" s="23"/>
      <c r="S2322" s="173"/>
      <c r="T2322" s="30" t="s">
        <v>1153</v>
      </c>
      <c r="U2322" s="264"/>
      <c r="V2322" s="463"/>
      <c r="X2322" s="463"/>
    </row>
    <row r="2323" spans="1:30" x14ac:dyDescent="0.4">
      <c r="A2323" s="212">
        <v>45988</v>
      </c>
      <c r="B2323" s="139" t="s">
        <v>77</v>
      </c>
      <c r="C2323" s="30" t="str">
        <f>VLOOKUP(B2323,'112年全品項生產鍋數'!A:H,2,0)</f>
        <v>草莓餡50°(1*6Kg)</v>
      </c>
      <c r="D2323" s="296">
        <v>8</v>
      </c>
      <c r="E2323" s="48">
        <f>VLOOKUP(B2323,'112年全品項生產鍋數'!A:H,3,0)</f>
        <v>6</v>
      </c>
      <c r="F2323" s="142">
        <f>VLOOKUP(B2323,'112年全品項生產鍋數'!A:H,7,0)</f>
        <v>25</v>
      </c>
      <c r="G2323" s="143">
        <f t="shared" si="352"/>
        <v>200</v>
      </c>
      <c r="H2323" s="156">
        <v>201</v>
      </c>
      <c r="I2323" s="23">
        <f t="shared" si="353"/>
        <v>1206</v>
      </c>
      <c r="J2323" s="100">
        <f t="shared" si="354"/>
        <v>1.0049999999999999</v>
      </c>
      <c r="K2323" s="51">
        <f>VLOOKUP(B:B,'生產達成率(目標)'!A:C,3,0)</f>
        <v>1</v>
      </c>
      <c r="L2323" s="20">
        <f t="shared" si="355"/>
        <v>5.0000000000000001E-3</v>
      </c>
      <c r="M2323" s="137" t="str">
        <f>工時!R1509</f>
        <v>135</v>
      </c>
      <c r="N2323" s="144"/>
      <c r="O2323" s="144">
        <f t="shared" si="356"/>
        <v>1</v>
      </c>
      <c r="P2323" s="156">
        <v>200</v>
      </c>
      <c r="Q2323" s="98">
        <f t="shared" si="357"/>
        <v>0.99502487562189057</v>
      </c>
      <c r="R2323" s="23"/>
      <c r="S2323" s="173"/>
      <c r="T2323" s="30" t="s">
        <v>1153</v>
      </c>
      <c r="U2323" s="264"/>
      <c r="V2323" s="463"/>
      <c r="X2323" s="463"/>
    </row>
    <row r="2324" spans="1:30" x14ac:dyDescent="0.4">
      <c r="A2324" s="212">
        <v>45988</v>
      </c>
      <c r="B2324" s="139" t="s">
        <v>73</v>
      </c>
      <c r="C2324" s="30" t="str">
        <f>VLOOKUP(B2324,'112年全品項生產鍋數'!A:H,2,0)</f>
        <v>顆粒花生醬(1*12KG)</v>
      </c>
      <c r="D2324" s="296">
        <v>21</v>
      </c>
      <c r="E2324" s="48">
        <f>VLOOKUP(B2324,'112年全品項生產鍋數'!A:H,3,0)</f>
        <v>3</v>
      </c>
      <c r="F2324" s="142">
        <f>VLOOKUP(B2324,'112年全品項生產鍋數'!A:H,7,0)</f>
        <v>29.7</v>
      </c>
      <c r="G2324" s="143">
        <f t="shared" si="352"/>
        <v>623.69999999999993</v>
      </c>
      <c r="H2324" s="156">
        <v>632</v>
      </c>
      <c r="I2324" s="23">
        <f t="shared" si="353"/>
        <v>1896</v>
      </c>
      <c r="J2324" s="100">
        <f t="shared" si="354"/>
        <v>1.0133076799743468</v>
      </c>
      <c r="K2324" s="51">
        <f>VLOOKUP(B:B,'生產達成率(目標)'!A:C,3,0)</f>
        <v>1</v>
      </c>
      <c r="L2324" s="20">
        <f t="shared" si="355"/>
        <v>1.2999999999999999E-2</v>
      </c>
      <c r="M2324" s="137" t="str">
        <f>工時!R1510</f>
        <v>540</v>
      </c>
      <c r="N2324" s="144"/>
      <c r="O2324" s="144">
        <f t="shared" si="356"/>
        <v>0</v>
      </c>
      <c r="P2324" s="156">
        <v>632</v>
      </c>
      <c r="Q2324" s="98">
        <f t="shared" si="357"/>
        <v>1</v>
      </c>
      <c r="R2324" s="23"/>
      <c r="S2324" s="173"/>
      <c r="T2324" s="30"/>
      <c r="U2324" s="264"/>
      <c r="V2324" s="463"/>
      <c r="X2324" s="463"/>
    </row>
    <row r="2325" spans="1:30" x14ac:dyDescent="0.4">
      <c r="A2325" s="212">
        <v>45988</v>
      </c>
      <c r="B2325" s="139" t="s">
        <v>434</v>
      </c>
      <c r="C2325" s="30" t="str">
        <f>VLOOKUP(B2325,'112年全品項生產鍋數'!A:H,2,0)</f>
        <v>蜜桔皮</v>
      </c>
      <c r="D2325" s="296">
        <v>50</v>
      </c>
      <c r="E2325" s="48">
        <f>VLOOKUP(B2325,'112年全品項生產鍋數'!A:H,3,0)</f>
        <v>1</v>
      </c>
      <c r="F2325" s="142">
        <f>VLOOKUP(B2325,'112年全品項生產鍋數'!A:H,7,0)</f>
        <v>6</v>
      </c>
      <c r="G2325" s="143">
        <f>D2325*F2325</f>
        <v>300</v>
      </c>
      <c r="H2325" s="156">
        <v>305</v>
      </c>
      <c r="I2325" s="23">
        <f>H2325*E2325</f>
        <v>305</v>
      </c>
      <c r="J2325" s="100">
        <f>IF(G2325=0,"無法預估數據",H2325/G2325)</f>
        <v>1.0166666666666666</v>
      </c>
      <c r="K2325" s="51">
        <f>VLOOKUP(B:B,'生產達成率(目標)'!A:C,3,0)</f>
        <v>1</v>
      </c>
      <c r="L2325" s="20">
        <f>IF(G2325=0,"無法預估數據",ROUND(J2325-K2325,3))</f>
        <v>1.7000000000000001E-2</v>
      </c>
      <c r="M2325" s="137" t="str">
        <f>工時!R1511</f>
        <v>0</v>
      </c>
      <c r="N2325" s="144"/>
      <c r="O2325" s="144">
        <f>H2325-N2325-P2325</f>
        <v>0</v>
      </c>
      <c r="P2325" s="156">
        <v>305</v>
      </c>
      <c r="Q2325" s="98">
        <f>P2325/H2325</f>
        <v>1</v>
      </c>
      <c r="R2325" s="23"/>
      <c r="S2325" s="173"/>
      <c r="T2325" s="30"/>
      <c r="U2325" s="264"/>
      <c r="V2325" s="463"/>
      <c r="X2325" s="463"/>
    </row>
    <row r="2326" spans="1:30" s="146" customFormat="1" x14ac:dyDescent="0.4">
      <c r="A2326" s="212">
        <v>45989</v>
      </c>
      <c r="B2326" s="139" t="s">
        <v>106</v>
      </c>
      <c r="C2326" s="140" t="str">
        <f>VLOOKUP(B2326,'112年全品項生產鍋數'!A:H,2,0)</f>
        <v>小藍莓1*260G</v>
      </c>
      <c r="D2326" s="292">
        <v>16</v>
      </c>
      <c r="E2326" s="141">
        <f>VLOOKUP(B2326,'112年全品項生產鍋數'!A:H,3,0)</f>
        <v>0.26</v>
      </c>
      <c r="F2326" s="142">
        <f>VLOOKUP(B2326,'112年全品項生產鍋數'!A:H,7,0)</f>
        <v>584.29999999999995</v>
      </c>
      <c r="G2326" s="143">
        <f t="shared" si="352"/>
        <v>9348.7999999999993</v>
      </c>
      <c r="H2326" s="156">
        <v>9408</v>
      </c>
      <c r="I2326" s="144">
        <f t="shared" si="353"/>
        <v>2446.08</v>
      </c>
      <c r="J2326" s="100">
        <f t="shared" si="354"/>
        <v>1.0063323635118946</v>
      </c>
      <c r="K2326" s="51">
        <f>VLOOKUP(B:B,'生產達成率(目標)'!A:C,3,0)</f>
        <v>1</v>
      </c>
      <c r="L2326" s="20">
        <f t="shared" si="355"/>
        <v>6.0000000000000001E-3</v>
      </c>
      <c r="M2326" s="137" t="str">
        <f>工時!R1512</f>
        <v>300</v>
      </c>
      <c r="N2326" s="144"/>
      <c r="O2326" s="144">
        <f t="shared" si="356"/>
        <v>28</v>
      </c>
      <c r="P2326" s="156">
        <v>9380</v>
      </c>
      <c r="Q2326" s="145">
        <f t="shared" si="357"/>
        <v>0.99702380952380953</v>
      </c>
      <c r="R2326" s="144"/>
      <c r="S2326" s="153"/>
      <c r="T2326" s="140"/>
      <c r="U2326" s="151"/>
      <c r="V2326" s="464"/>
      <c r="W2326" s="421"/>
      <c r="X2326" s="464"/>
      <c r="Y2326" s="421"/>
      <c r="Z2326" s="421"/>
      <c r="AA2326" s="421"/>
      <c r="AB2326" s="421"/>
      <c r="AC2326" s="421"/>
      <c r="AD2326" s="421"/>
    </row>
    <row r="2327" spans="1:30" s="146" customFormat="1" x14ac:dyDescent="0.4">
      <c r="A2327" s="212">
        <v>45989</v>
      </c>
      <c r="B2327" s="139" t="s">
        <v>61</v>
      </c>
      <c r="C2327" s="140" t="str">
        <f>VLOOKUP(B2327,'112年全品項生產鍋數'!A:H,2,0)</f>
        <v>大圓草莓-新</v>
      </c>
      <c r="D2327" s="292">
        <v>20</v>
      </c>
      <c r="E2327" s="141">
        <f>VLOOKUP(B2327,'112年全品項生產鍋數'!A:H,3,0)</f>
        <v>0.44</v>
      </c>
      <c r="F2327" s="142">
        <f>VLOOKUP(B2327,'112年全品項生產鍋數'!A:H,7,0)</f>
        <v>344</v>
      </c>
      <c r="G2327" s="143">
        <f t="shared" si="352"/>
        <v>6880</v>
      </c>
      <c r="H2327" s="156">
        <v>6796</v>
      </c>
      <c r="I2327" s="144">
        <f t="shared" si="353"/>
        <v>2990.2400000000002</v>
      </c>
      <c r="J2327" s="100">
        <f t="shared" si="354"/>
        <v>0.98779069767441863</v>
      </c>
      <c r="K2327" s="51">
        <f>VLOOKUP(B:B,'生產達成率(目標)'!A:C,3,0)</f>
        <v>1</v>
      </c>
      <c r="L2327" s="20">
        <f t="shared" si="355"/>
        <v>-1.2E-2</v>
      </c>
      <c r="M2327" s="137" t="str">
        <f>工時!R1513</f>
        <v>300</v>
      </c>
      <c r="N2327" s="144"/>
      <c r="O2327" s="144">
        <f t="shared" si="356"/>
        <v>6</v>
      </c>
      <c r="P2327" s="156">
        <v>6790</v>
      </c>
      <c r="Q2327" s="145">
        <f t="shared" si="357"/>
        <v>0.99911712772218952</v>
      </c>
      <c r="R2327" s="144"/>
      <c r="S2327" s="153"/>
      <c r="T2327" s="140"/>
      <c r="U2327" s="151"/>
      <c r="V2327" s="464"/>
      <c r="W2327" s="421"/>
      <c r="X2327" s="464"/>
      <c r="Y2327" s="421"/>
      <c r="Z2327" s="421"/>
      <c r="AA2327" s="421"/>
      <c r="AB2327" s="421"/>
      <c r="AC2327" s="421"/>
      <c r="AD2327" s="421"/>
    </row>
    <row r="2328" spans="1:30" s="146" customFormat="1" x14ac:dyDescent="0.4">
      <c r="A2328" s="212">
        <v>45989</v>
      </c>
      <c r="B2328" s="139" t="s">
        <v>63</v>
      </c>
      <c r="C2328" s="140" t="str">
        <f>VLOOKUP(B2328,'112年全品項生產鍋數'!A:H,2,0)</f>
        <v>草莓蒟蒻餡(1*6kg)</v>
      </c>
      <c r="D2328" s="292">
        <v>24</v>
      </c>
      <c r="E2328" s="141">
        <f>VLOOKUP(B2328,'112年全品項生產鍋數'!A:H,3,0)</f>
        <v>6</v>
      </c>
      <c r="F2328" s="142">
        <f>VLOOKUP(B2328,'112年全品項生產鍋數'!A:H,7,0)</f>
        <v>25.7</v>
      </c>
      <c r="G2328" s="143">
        <f t="shared" si="352"/>
        <v>616.79999999999995</v>
      </c>
      <c r="H2328" s="156">
        <f>310+315</f>
        <v>625</v>
      </c>
      <c r="I2328" s="144">
        <f t="shared" si="353"/>
        <v>3750</v>
      </c>
      <c r="J2328" s="100">
        <f t="shared" si="354"/>
        <v>1.0132944228274969</v>
      </c>
      <c r="K2328" s="51">
        <f>VLOOKUP(B:B,'生產達成率(目標)'!A:C,3,0)</f>
        <v>1</v>
      </c>
      <c r="L2328" s="20">
        <f t="shared" si="355"/>
        <v>1.2999999999999999E-2</v>
      </c>
      <c r="M2328" s="137" t="str">
        <f>工時!R1514</f>
        <v>324</v>
      </c>
      <c r="N2328" s="144"/>
      <c r="O2328" s="144">
        <f t="shared" si="356"/>
        <v>1</v>
      </c>
      <c r="P2328" s="156">
        <f>309+315</f>
        <v>624</v>
      </c>
      <c r="Q2328" s="145">
        <f t="shared" si="357"/>
        <v>0.99839999999999995</v>
      </c>
      <c r="R2328" s="144"/>
      <c r="S2328" s="153"/>
      <c r="T2328" s="140"/>
      <c r="U2328" s="151"/>
      <c r="V2328" s="464"/>
      <c r="W2328" s="421"/>
      <c r="X2328" s="464"/>
      <c r="Y2328" s="421"/>
      <c r="Z2328" s="421"/>
      <c r="AA2328" s="421"/>
      <c r="AB2328" s="421"/>
      <c r="AC2328" s="421"/>
      <c r="AD2328" s="421"/>
    </row>
    <row r="2329" spans="1:30" s="146" customFormat="1" x14ac:dyDescent="0.4">
      <c r="A2329" s="212">
        <v>45989</v>
      </c>
      <c r="B2329" s="139" t="s">
        <v>72</v>
      </c>
      <c r="C2329" s="140" t="str">
        <f>VLOOKUP(B2329,'112年全品項生產鍋數'!A:H,2,0)</f>
        <v>草莓餡45%(1*6Kg)</v>
      </c>
      <c r="D2329" s="292">
        <v>16</v>
      </c>
      <c r="E2329" s="141">
        <f>VLOOKUP(B2329,'112年全品項生產鍋數'!A:H,3,0)</f>
        <v>6</v>
      </c>
      <c r="F2329" s="142">
        <f>VLOOKUP(B2329,'112年全品項生產鍋數'!A:H,7,0)</f>
        <v>26.1</v>
      </c>
      <c r="G2329" s="143">
        <f t="shared" si="352"/>
        <v>417.6</v>
      </c>
      <c r="H2329" s="156">
        <v>423</v>
      </c>
      <c r="I2329" s="144">
        <f t="shared" si="353"/>
        <v>2538</v>
      </c>
      <c r="J2329" s="100">
        <f t="shared" si="354"/>
        <v>1.0129310344827587</v>
      </c>
      <c r="K2329" s="51">
        <f>VLOOKUP(B:B,'生產達成率(目標)'!A:C,3,0)</f>
        <v>1</v>
      </c>
      <c r="L2329" s="20">
        <f t="shared" si="355"/>
        <v>1.2999999999999999E-2</v>
      </c>
      <c r="M2329" s="137" t="str">
        <f>工時!R1515</f>
        <v>215</v>
      </c>
      <c r="N2329" s="144"/>
      <c r="O2329" s="144">
        <f t="shared" si="356"/>
        <v>4</v>
      </c>
      <c r="P2329" s="156">
        <v>419</v>
      </c>
      <c r="Q2329" s="145">
        <f t="shared" si="357"/>
        <v>0.99054373522458627</v>
      </c>
      <c r="R2329" s="144"/>
      <c r="S2329" s="153"/>
      <c r="T2329" s="140" t="s">
        <v>1153</v>
      </c>
      <c r="U2329" s="151"/>
      <c r="V2329" s="464"/>
      <c r="W2329" s="421"/>
      <c r="X2329" s="464"/>
      <c r="Y2329" s="421"/>
      <c r="Z2329" s="421"/>
      <c r="AA2329" s="421"/>
      <c r="AB2329" s="421"/>
      <c r="AC2329" s="421"/>
      <c r="AD2329" s="421"/>
    </row>
    <row r="2330" spans="1:30" s="146" customFormat="1" x14ac:dyDescent="0.4">
      <c r="A2330" s="212">
        <v>45989</v>
      </c>
      <c r="B2330" s="139" t="s">
        <v>65</v>
      </c>
      <c r="C2330" s="140" t="str">
        <f>VLOOKUP(B2330,'112年全品項生產鍋數'!A:H,2,0)</f>
        <v>＃1花生(1*2.8kg)</v>
      </c>
      <c r="D2330" s="292">
        <v>60</v>
      </c>
      <c r="E2330" s="141">
        <f>VLOOKUP(B2330,'112年全品項生產鍋數'!A:H,3,0)</f>
        <v>2.8</v>
      </c>
      <c r="F2330" s="142">
        <f>VLOOKUP(B2330,'112年全品項生產鍋數'!A:H,7,0)</f>
        <v>44.5</v>
      </c>
      <c r="G2330" s="143">
        <f t="shared" si="352"/>
        <v>2670</v>
      </c>
      <c r="H2330" s="156">
        <v>2718</v>
      </c>
      <c r="I2330" s="144">
        <f t="shared" si="353"/>
        <v>7610.4</v>
      </c>
      <c r="J2330" s="100">
        <f t="shared" si="354"/>
        <v>1.0179775280898877</v>
      </c>
      <c r="K2330" s="51">
        <f>VLOOKUP(B:B,'生產達成率(目標)'!A:C,3,0)</f>
        <v>1</v>
      </c>
      <c r="L2330" s="20">
        <f t="shared" si="355"/>
        <v>1.7999999999999999E-2</v>
      </c>
      <c r="M2330" s="137" t="str">
        <f>工時!R1516</f>
        <v>480</v>
      </c>
      <c r="N2330" s="144"/>
      <c r="O2330" s="144">
        <f t="shared" si="356"/>
        <v>1</v>
      </c>
      <c r="P2330" s="156">
        <v>2717</v>
      </c>
      <c r="Q2330" s="145">
        <f t="shared" si="357"/>
        <v>0.9996320824135394</v>
      </c>
      <c r="R2330" s="144" t="s">
        <v>1242</v>
      </c>
      <c r="S2330" s="153">
        <v>49</v>
      </c>
      <c r="T2330" s="140"/>
      <c r="U2330" s="151"/>
      <c r="V2330" s="464"/>
      <c r="W2330" s="421"/>
      <c r="X2330" s="464"/>
      <c r="Y2330" s="421"/>
      <c r="Z2330" s="421"/>
      <c r="AA2330" s="421"/>
      <c r="AB2330" s="421"/>
      <c r="AC2330" s="421"/>
      <c r="AD2330" s="421"/>
    </row>
    <row r="2331" spans="1:30" x14ac:dyDescent="0.4">
      <c r="A2331" s="212">
        <v>45992</v>
      </c>
      <c r="B2331" s="139" t="s">
        <v>984</v>
      </c>
      <c r="C2331" s="30" t="str">
        <f>VLOOKUP(B2331,'112年全品項生產鍋數'!A:H,2,0)</f>
        <v>蘋果餡(1*6Kg)</v>
      </c>
      <c r="D2331" s="296">
        <v>8</v>
      </c>
      <c r="E2331" s="48">
        <f>VLOOKUP(B2331,'112年全品項生產鍋數'!A:H,3,0)</f>
        <v>6</v>
      </c>
      <c r="F2331" s="142">
        <f>VLOOKUP(B2331,'112年全品項生產鍋數'!A:H,7,0)</f>
        <v>25.6</v>
      </c>
      <c r="G2331" s="143">
        <f t="shared" si="352"/>
        <v>204.8</v>
      </c>
      <c r="H2331" s="156">
        <v>206</v>
      </c>
      <c r="I2331" s="23">
        <f t="shared" si="353"/>
        <v>1236</v>
      </c>
      <c r="J2331" s="100">
        <f t="shared" si="354"/>
        <v>1.005859375</v>
      </c>
      <c r="K2331" s="51" t="e">
        <f>VLOOKUP(B:B,'生產達成率(目標)'!A:C,3,0)</f>
        <v>#N/A</v>
      </c>
      <c r="L2331" s="20" t="e">
        <f t="shared" si="355"/>
        <v>#N/A</v>
      </c>
      <c r="M2331" s="137" t="str">
        <f>工時!R1517</f>
        <v>180</v>
      </c>
      <c r="N2331" s="144"/>
      <c r="O2331" s="144">
        <f t="shared" si="356"/>
        <v>1</v>
      </c>
      <c r="P2331" s="156">
        <v>205</v>
      </c>
      <c r="Q2331" s="98">
        <f t="shared" si="357"/>
        <v>0.99514563106796117</v>
      </c>
      <c r="R2331" s="23"/>
      <c r="S2331" s="173"/>
      <c r="T2331" s="30"/>
      <c r="U2331" s="264"/>
      <c r="V2331" s="463"/>
      <c r="X2331" s="463"/>
    </row>
    <row r="2332" spans="1:30" x14ac:dyDescent="0.4">
      <c r="A2332" s="212">
        <v>45992</v>
      </c>
      <c r="B2332" s="139" t="s">
        <v>63</v>
      </c>
      <c r="C2332" s="30" t="str">
        <f>VLOOKUP(B2332,'112年全品項生產鍋數'!A:H,2,0)</f>
        <v>草莓蒟蒻餡(1*6kg)</v>
      </c>
      <c r="D2332" s="296">
        <v>16</v>
      </c>
      <c r="E2332" s="48">
        <f>VLOOKUP(B2332,'112年全品項生產鍋數'!A:H,3,0)</f>
        <v>6</v>
      </c>
      <c r="F2332" s="142">
        <f>VLOOKUP(B2332,'112年全品項生產鍋數'!A:H,7,0)</f>
        <v>25.7</v>
      </c>
      <c r="G2332" s="143">
        <f t="shared" si="352"/>
        <v>411.2</v>
      </c>
      <c r="H2332" s="156">
        <f>203+209</f>
        <v>412</v>
      </c>
      <c r="I2332" s="23">
        <f t="shared" si="353"/>
        <v>2472</v>
      </c>
      <c r="J2332" s="100">
        <f t="shared" si="354"/>
        <v>1.0019455252918288</v>
      </c>
      <c r="K2332" s="51">
        <f>VLOOKUP(B:B,'生產達成率(目標)'!A:C,3,0)</f>
        <v>1</v>
      </c>
      <c r="L2332" s="20">
        <f t="shared" si="355"/>
        <v>2E-3</v>
      </c>
      <c r="M2332" s="137" t="str">
        <f>工時!R1518</f>
        <v>270</v>
      </c>
      <c r="N2332" s="144"/>
      <c r="O2332" s="144">
        <f t="shared" si="356"/>
        <v>1</v>
      </c>
      <c r="P2332" s="156">
        <f>202+209</f>
        <v>411</v>
      </c>
      <c r="Q2332" s="98">
        <f t="shared" si="357"/>
        <v>0.99757281553398058</v>
      </c>
      <c r="R2332" s="23"/>
      <c r="S2332" s="173"/>
      <c r="T2332" s="30"/>
      <c r="U2332" s="264"/>
      <c r="V2332" s="463"/>
      <c r="X2332" s="463"/>
    </row>
    <row r="2333" spans="1:30" x14ac:dyDescent="0.4">
      <c r="A2333" s="212">
        <v>45992</v>
      </c>
      <c r="B2333" s="139" t="s">
        <v>1046</v>
      </c>
      <c r="C2333" s="30" t="str">
        <f>VLOOKUP(B2333,'112年全品項生產鍋數'!A:H,2,0)</f>
        <v>藍莓顆粒果醬(1*6kg)</v>
      </c>
      <c r="D2333" s="296">
        <v>18</v>
      </c>
      <c r="E2333" s="48">
        <f>VLOOKUP(B2333,'112年全品項生產鍋數'!A:H,3,0)</f>
        <v>6</v>
      </c>
      <c r="F2333" s="142">
        <f>VLOOKUP(B2333,'112年全品項生產鍋數'!A:H,7,0)</f>
        <v>0</v>
      </c>
      <c r="G2333" s="143">
        <f t="shared" si="352"/>
        <v>0</v>
      </c>
      <c r="H2333" s="156">
        <v>474</v>
      </c>
      <c r="I2333" s="23">
        <f t="shared" si="353"/>
        <v>2844</v>
      </c>
      <c r="J2333" s="100" t="str">
        <f t="shared" si="354"/>
        <v>無法預估數據</v>
      </c>
      <c r="K2333" s="51">
        <f>VLOOKUP(B:B,'生產達成率(目標)'!A:C,3,0)</f>
        <v>1</v>
      </c>
      <c r="L2333" s="20" t="str">
        <f t="shared" si="355"/>
        <v>無法預估數據</v>
      </c>
      <c r="M2333" s="137" t="str">
        <f>工時!R1519</f>
        <v>265</v>
      </c>
      <c r="N2333" s="144"/>
      <c r="O2333" s="144">
        <f t="shared" si="356"/>
        <v>4</v>
      </c>
      <c r="P2333" s="156">
        <v>470</v>
      </c>
      <c r="Q2333" s="98">
        <f t="shared" si="357"/>
        <v>0.99156118143459915</v>
      </c>
      <c r="R2333" s="23"/>
      <c r="S2333" s="173"/>
      <c r="T2333" s="30" t="s">
        <v>1153</v>
      </c>
      <c r="U2333" s="264"/>
      <c r="V2333" s="463"/>
      <c r="X2333" s="463"/>
    </row>
    <row r="2334" spans="1:30" x14ac:dyDescent="0.4">
      <c r="A2334" s="212">
        <v>45992</v>
      </c>
      <c r="B2334" s="139" t="s">
        <v>108</v>
      </c>
      <c r="C2334" s="30" t="str">
        <f>VLOOKUP(B2334,'112年全品項生產鍋數'!A:H,2,0)</f>
        <v>顆粒花生醬(1*12KG)</v>
      </c>
      <c r="D2334" s="296">
        <v>21</v>
      </c>
      <c r="E2334" s="48">
        <f>VLOOKUP(B2334,'112年全品項生產鍋數'!A:H,3,0)</f>
        <v>3</v>
      </c>
      <c r="F2334" s="142">
        <f>VLOOKUP(B2334,'112年全品項生產鍋數'!A:H,7,0)</f>
        <v>31.6</v>
      </c>
      <c r="G2334" s="143">
        <f t="shared" si="352"/>
        <v>663.6</v>
      </c>
      <c r="H2334" s="156">
        <v>668</v>
      </c>
      <c r="I2334" s="23">
        <f t="shared" si="353"/>
        <v>2004</v>
      </c>
      <c r="J2334" s="100">
        <f t="shared" si="354"/>
        <v>1.0066305003013862</v>
      </c>
      <c r="K2334" s="51">
        <f>VLOOKUP(B:B,'生產達成率(目標)'!A:C,3,0)</f>
        <v>1</v>
      </c>
      <c r="L2334" s="20">
        <f t="shared" si="355"/>
        <v>7.0000000000000001E-3</v>
      </c>
      <c r="M2334" s="137" t="str">
        <f>工時!R1520</f>
        <v>540</v>
      </c>
      <c r="N2334" s="144"/>
      <c r="O2334" s="144">
        <f t="shared" si="356"/>
        <v>0</v>
      </c>
      <c r="P2334" s="156">
        <v>668</v>
      </c>
      <c r="Q2334" s="98">
        <f t="shared" si="357"/>
        <v>1</v>
      </c>
      <c r="R2334" s="23"/>
      <c r="S2334" s="173"/>
      <c r="T2334" s="30" t="s">
        <v>1153</v>
      </c>
      <c r="U2334" s="264"/>
      <c r="V2334" s="463"/>
      <c r="X2334" s="463"/>
    </row>
    <row r="2335" spans="1:30" x14ac:dyDescent="0.4">
      <c r="A2335" s="212">
        <v>45992</v>
      </c>
      <c r="B2335" s="139" t="s">
        <v>131</v>
      </c>
      <c r="C2335" s="30" t="str">
        <f>VLOOKUP(B2335,'112年全品項生產鍋數'!A:H,2,0)</f>
        <v>花生醬(1*18KG)</v>
      </c>
      <c r="D2335" s="296">
        <v>40</v>
      </c>
      <c r="E2335" s="48">
        <f>VLOOKUP(B2335,'112年全品項生產鍋數'!A:H,3,0)</f>
        <v>18</v>
      </c>
      <c r="F2335" s="142">
        <f>VLOOKUP(B2335,'112年全品項生產鍋數'!A:H,7,0)</f>
        <v>6.9</v>
      </c>
      <c r="G2335" s="143">
        <f t="shared" si="352"/>
        <v>276</v>
      </c>
      <c r="H2335" s="156">
        <v>277</v>
      </c>
      <c r="I2335" s="23">
        <f t="shared" si="353"/>
        <v>4986</v>
      </c>
      <c r="J2335" s="100">
        <f t="shared" si="354"/>
        <v>1.0036231884057971</v>
      </c>
      <c r="K2335" s="51">
        <f>VLOOKUP(B:B,'生產達成率(目標)'!A:C,3,0)</f>
        <v>1</v>
      </c>
      <c r="L2335" s="20">
        <f t="shared" si="355"/>
        <v>4.0000000000000001E-3</v>
      </c>
      <c r="M2335" s="137" t="str">
        <f>工時!R1521</f>
        <v>350</v>
      </c>
      <c r="N2335" s="144"/>
      <c r="O2335" s="144">
        <f t="shared" si="356"/>
        <v>0</v>
      </c>
      <c r="P2335" s="156">
        <v>277</v>
      </c>
      <c r="Q2335" s="98">
        <f t="shared" si="357"/>
        <v>1</v>
      </c>
      <c r="R2335" s="23"/>
      <c r="S2335" s="173"/>
      <c r="T2335" s="30" t="s">
        <v>1153</v>
      </c>
      <c r="U2335" s="264"/>
      <c r="V2335" s="463"/>
      <c r="X2335" s="463"/>
    </row>
    <row r="2336" spans="1:30" s="146" customFormat="1" x14ac:dyDescent="0.4">
      <c r="A2336" s="212">
        <v>45992</v>
      </c>
      <c r="B2336" s="139">
        <v>153010</v>
      </c>
      <c r="C2336" s="140" t="str">
        <f>VLOOKUP(B2336,'112年全品項生產鍋數'!A:H,2,0)</f>
        <v>蜜桔皮6m/m</v>
      </c>
      <c r="D2336" s="292">
        <v>1</v>
      </c>
      <c r="E2336" s="141">
        <f>VLOOKUP(B2336,'112年全品項生產鍋數'!A:H,3,0)</f>
        <v>1</v>
      </c>
      <c r="F2336" s="142">
        <f>VLOOKUP(B2336,'112年全品項生產鍋數'!A:H,7,0)</f>
        <v>591</v>
      </c>
      <c r="G2336" s="143">
        <f t="shared" si="352"/>
        <v>591</v>
      </c>
      <c r="H2336" s="156">
        <v>496</v>
      </c>
      <c r="I2336" s="144">
        <f t="shared" si="353"/>
        <v>496</v>
      </c>
      <c r="J2336" s="100">
        <f t="shared" si="354"/>
        <v>0.83925549915397635</v>
      </c>
      <c r="K2336" s="51">
        <f>VLOOKUP(B:B,'生產達成率(目標)'!A:C,3,0)</f>
        <v>1</v>
      </c>
      <c r="L2336" s="20">
        <f t="shared" si="355"/>
        <v>-0.161</v>
      </c>
      <c r="M2336" s="137" t="str">
        <f>工時!R1522</f>
        <v>0</v>
      </c>
      <c r="N2336" s="144"/>
      <c r="O2336" s="144">
        <f t="shared" si="356"/>
        <v>0</v>
      </c>
      <c r="P2336" s="156">
        <v>496</v>
      </c>
      <c r="Q2336" s="145">
        <f t="shared" si="357"/>
        <v>1</v>
      </c>
      <c r="R2336" s="144"/>
      <c r="S2336" s="153"/>
      <c r="T2336" s="140" t="s">
        <v>1063</v>
      </c>
      <c r="U2336" s="151"/>
      <c r="V2336" s="464"/>
      <c r="W2336" s="421"/>
      <c r="X2336" s="464"/>
      <c r="Y2336" s="421"/>
      <c r="Z2336" s="421"/>
      <c r="AA2336" s="421"/>
      <c r="AB2336" s="421"/>
      <c r="AC2336" s="421"/>
      <c r="AD2336" s="421"/>
    </row>
    <row r="2337" spans="1:30" x14ac:dyDescent="0.4">
      <c r="A2337" s="212">
        <v>45993</v>
      </c>
      <c r="B2337" s="139" t="s">
        <v>61</v>
      </c>
      <c r="C2337" s="30" t="str">
        <f>VLOOKUP(B2337,'112年全品項生產鍋數'!A:H,2,0)</f>
        <v>大圓草莓-新</v>
      </c>
      <c r="D2337" s="296">
        <v>40</v>
      </c>
      <c r="E2337" s="48">
        <f>VLOOKUP(B2337,'112年全品項生產鍋數'!A:H,3,0)</f>
        <v>0.44</v>
      </c>
      <c r="F2337" s="142">
        <f>VLOOKUP(B2337,'112年全品項生產鍋數'!A:H,7,0)</f>
        <v>344</v>
      </c>
      <c r="G2337" s="143">
        <f t="shared" si="352"/>
        <v>13760</v>
      </c>
      <c r="H2337" s="156">
        <v>13701</v>
      </c>
      <c r="I2337" s="23">
        <f t="shared" si="353"/>
        <v>6028.44</v>
      </c>
      <c r="J2337" s="100">
        <f t="shared" si="354"/>
        <v>0.99571220930232562</v>
      </c>
      <c r="K2337" s="51">
        <f>VLOOKUP(B:B,'生產達成率(目標)'!A:C,3,0)</f>
        <v>1</v>
      </c>
      <c r="L2337" s="20">
        <f t="shared" si="355"/>
        <v>-4.0000000000000001E-3</v>
      </c>
      <c r="M2337" s="137" t="str">
        <f>工時!R1523</f>
        <v>540</v>
      </c>
      <c r="N2337" s="144"/>
      <c r="O2337" s="144">
        <f t="shared" si="356"/>
        <v>4</v>
      </c>
      <c r="P2337" s="156">
        <v>13697</v>
      </c>
      <c r="Q2337" s="98">
        <f t="shared" si="357"/>
        <v>0.99970805050726219</v>
      </c>
      <c r="R2337" s="23"/>
      <c r="S2337" s="173"/>
      <c r="T2337" s="30"/>
      <c r="U2337" s="264"/>
      <c r="V2337" s="463"/>
      <c r="X2337" s="463"/>
    </row>
    <row r="2338" spans="1:30" x14ac:dyDescent="0.4">
      <c r="A2338" s="212">
        <v>45993</v>
      </c>
      <c r="B2338" s="139" t="s">
        <v>63</v>
      </c>
      <c r="C2338" s="30" t="str">
        <f>VLOOKUP(B2338,'112年全品項生產鍋數'!A:H,2,0)</f>
        <v>草莓蒟蒻餡(1*6kg)</v>
      </c>
      <c r="D2338" s="296">
        <v>24</v>
      </c>
      <c r="E2338" s="48">
        <f>VLOOKUP(B2338,'112年全品項生產鍋數'!A:H,3,0)</f>
        <v>6</v>
      </c>
      <c r="F2338" s="142">
        <f>VLOOKUP(B2338,'112年全品項生產鍋數'!A:H,7,0)</f>
        <v>25.7</v>
      </c>
      <c r="G2338" s="143">
        <f t="shared" si="352"/>
        <v>616.79999999999995</v>
      </c>
      <c r="H2338" s="156">
        <f>298+317</f>
        <v>615</v>
      </c>
      <c r="I2338" s="23">
        <f t="shared" si="353"/>
        <v>3690</v>
      </c>
      <c r="J2338" s="100">
        <f t="shared" si="354"/>
        <v>0.99708171206225693</v>
      </c>
      <c r="K2338" s="51">
        <f>VLOOKUP(B:B,'生產達成率(目標)'!A:C,3,0)</f>
        <v>1</v>
      </c>
      <c r="L2338" s="20">
        <f t="shared" si="355"/>
        <v>-3.0000000000000001E-3</v>
      </c>
      <c r="M2338" s="137" t="str">
        <f>工時!R1524</f>
        <v>320</v>
      </c>
      <c r="N2338" s="144"/>
      <c r="O2338" s="144">
        <f t="shared" si="356"/>
        <v>1</v>
      </c>
      <c r="P2338" s="156">
        <f>297+317</f>
        <v>614</v>
      </c>
      <c r="Q2338" s="98">
        <f t="shared" si="357"/>
        <v>0.99837398373983743</v>
      </c>
      <c r="R2338" s="23"/>
      <c r="S2338" s="173"/>
      <c r="T2338" s="30"/>
      <c r="U2338" s="264"/>
      <c r="V2338" s="463"/>
      <c r="X2338" s="463"/>
    </row>
    <row r="2339" spans="1:30" x14ac:dyDescent="0.4">
      <c r="A2339" s="212">
        <v>45993</v>
      </c>
      <c r="B2339" s="139" t="s">
        <v>64</v>
      </c>
      <c r="C2339" s="30" t="str">
        <f>VLOOKUP(B2339,'112年全品項生產鍋數'!A:H,2,0)</f>
        <v>藍莓餡(1*6KG)</v>
      </c>
      <c r="D2339" s="296">
        <v>16</v>
      </c>
      <c r="E2339" s="48">
        <f>VLOOKUP(B2339,'112年全品項生產鍋數'!A:H,3,0)</f>
        <v>6</v>
      </c>
      <c r="F2339" s="142">
        <f>VLOOKUP(B2339,'112年全品項生產鍋數'!A:H,7,0)</f>
        <v>25.4</v>
      </c>
      <c r="G2339" s="143">
        <f t="shared" si="352"/>
        <v>406.4</v>
      </c>
      <c r="H2339" s="156">
        <f>197+210</f>
        <v>407</v>
      </c>
      <c r="I2339" s="23">
        <f t="shared" si="353"/>
        <v>2442</v>
      </c>
      <c r="J2339" s="100">
        <f t="shared" si="354"/>
        <v>1.001476377952756</v>
      </c>
      <c r="K2339" s="51">
        <f>VLOOKUP(B:B,'生產達成率(目標)'!A:C,3,0)</f>
        <v>1</v>
      </c>
      <c r="L2339" s="20">
        <f t="shared" si="355"/>
        <v>1E-3</v>
      </c>
      <c r="M2339" s="137" t="str">
        <f>工時!R1525</f>
        <v>260</v>
      </c>
      <c r="N2339" s="144"/>
      <c r="O2339" s="144">
        <f t="shared" si="356"/>
        <v>1</v>
      </c>
      <c r="P2339" s="156">
        <f>196+210</f>
        <v>406</v>
      </c>
      <c r="Q2339" s="98">
        <f t="shared" si="357"/>
        <v>0.99754299754299758</v>
      </c>
      <c r="R2339" s="23"/>
      <c r="S2339" s="173"/>
      <c r="T2339" s="30"/>
      <c r="U2339" s="264"/>
      <c r="V2339" s="463"/>
      <c r="X2339" s="463"/>
    </row>
    <row r="2340" spans="1:30" x14ac:dyDescent="0.4">
      <c r="A2340" s="212">
        <v>45993</v>
      </c>
      <c r="B2340" s="139" t="s">
        <v>65</v>
      </c>
      <c r="C2340" s="30" t="str">
        <f>VLOOKUP(B2340,'112年全品項生產鍋數'!A:H,2,0)</f>
        <v>＃1花生(1*2.8kg)</v>
      </c>
      <c r="D2340" s="296">
        <v>64</v>
      </c>
      <c r="E2340" s="48">
        <f>VLOOKUP(B2340,'112年全品項生產鍋數'!A:H,3,0)</f>
        <v>2.8</v>
      </c>
      <c r="F2340" s="142">
        <f>VLOOKUP(B2340,'112年全品項生產鍋數'!A:H,7,0)</f>
        <v>44.5</v>
      </c>
      <c r="G2340" s="143">
        <f>D2340*F2340-25*18/E2340</f>
        <v>2687.2857142857142</v>
      </c>
      <c r="H2340" s="156">
        <v>2748</v>
      </c>
      <c r="I2340" s="23">
        <f t="shared" si="353"/>
        <v>7694.4</v>
      </c>
      <c r="J2340" s="100">
        <f t="shared" si="354"/>
        <v>1.0225931635745042</v>
      </c>
      <c r="K2340" s="51">
        <f>VLOOKUP(B:B,'生產達成率(目標)'!A:C,3,0)</f>
        <v>1</v>
      </c>
      <c r="L2340" s="20">
        <f t="shared" si="355"/>
        <v>2.3E-2</v>
      </c>
      <c r="M2340" s="137" t="str">
        <f>工時!R1526</f>
        <v>500</v>
      </c>
      <c r="N2340" s="144"/>
      <c r="O2340" s="144">
        <f t="shared" si="356"/>
        <v>1</v>
      </c>
      <c r="P2340" s="156">
        <v>2747</v>
      </c>
      <c r="Q2340" s="98">
        <f t="shared" si="357"/>
        <v>0.99963609898107719</v>
      </c>
      <c r="R2340" s="23"/>
      <c r="S2340" s="173"/>
      <c r="T2340" s="30" t="s">
        <v>1175</v>
      </c>
      <c r="U2340" s="264"/>
      <c r="V2340" s="463"/>
      <c r="X2340" s="463"/>
    </row>
    <row r="2341" spans="1:30" x14ac:dyDescent="0.4">
      <c r="A2341" s="212">
        <v>45993</v>
      </c>
      <c r="B2341" s="139">
        <v>152010</v>
      </c>
      <c r="C2341" s="30" t="str">
        <f>VLOOKUP(B2341,'112年全品項生產鍋數'!A:H,2,0)</f>
        <v>蜜綠果6m/m</v>
      </c>
      <c r="D2341" s="296">
        <v>1</v>
      </c>
      <c r="E2341" s="48">
        <f>VLOOKUP(B2341,'112年全品項生產鍋數'!A:H,3,0)</f>
        <v>1</v>
      </c>
      <c r="F2341" s="142">
        <f>VLOOKUP(B2341,'112年全品項生產鍋數'!A:H,7,0)</f>
        <v>139</v>
      </c>
      <c r="G2341" s="143">
        <f t="shared" si="352"/>
        <v>139</v>
      </c>
      <c r="H2341" s="156">
        <v>150</v>
      </c>
      <c r="I2341" s="23">
        <f t="shared" si="353"/>
        <v>150</v>
      </c>
      <c r="J2341" s="100">
        <f t="shared" si="354"/>
        <v>1.079136690647482</v>
      </c>
      <c r="K2341" s="51">
        <f>VLOOKUP(B:B,'生產達成率(目標)'!A:C,3,0)</f>
        <v>1</v>
      </c>
      <c r="L2341" s="20">
        <f t="shared" si="355"/>
        <v>7.9000000000000001E-2</v>
      </c>
      <c r="M2341" s="137" t="str">
        <f>工時!R1527</f>
        <v>0</v>
      </c>
      <c r="N2341" s="144"/>
      <c r="O2341" s="144">
        <f t="shared" si="356"/>
        <v>0</v>
      </c>
      <c r="P2341" s="156">
        <v>150</v>
      </c>
      <c r="Q2341" s="98">
        <f t="shared" si="357"/>
        <v>1</v>
      </c>
      <c r="R2341" s="23"/>
      <c r="S2341" s="173"/>
      <c r="T2341" s="30" t="s">
        <v>1153</v>
      </c>
      <c r="U2341" s="264"/>
      <c r="V2341" s="463"/>
      <c r="X2341" s="463"/>
    </row>
    <row r="2342" spans="1:30" x14ac:dyDescent="0.4">
      <c r="A2342" s="212">
        <v>45994</v>
      </c>
      <c r="B2342" s="139" t="s">
        <v>76</v>
      </c>
      <c r="C2342" s="30" t="str">
        <f>VLOOKUP(B2342,'112年全品項生產鍋數'!A:H,2,0)</f>
        <v>草莓餡(1*6Kg)</v>
      </c>
      <c r="D2342" s="296">
        <v>12</v>
      </c>
      <c r="E2342" s="48">
        <f>VLOOKUP(B2342,'112年全品項生產鍋數'!A:H,3,0)</f>
        <v>6</v>
      </c>
      <c r="F2342" s="142">
        <f>VLOOKUP(B2342,'112年全品項生產鍋數'!A:H,7,0)</f>
        <v>25.5</v>
      </c>
      <c r="G2342" s="143">
        <f t="shared" si="352"/>
        <v>306</v>
      </c>
      <c r="H2342" s="156">
        <v>306</v>
      </c>
      <c r="I2342" s="23">
        <f t="shared" si="353"/>
        <v>1836</v>
      </c>
      <c r="J2342" s="100">
        <f t="shared" si="354"/>
        <v>1</v>
      </c>
      <c r="K2342" s="51">
        <f>VLOOKUP(B:B,'生產達成率(目標)'!A:C,3,0)</f>
        <v>1</v>
      </c>
      <c r="L2342" s="20">
        <f t="shared" si="355"/>
        <v>0</v>
      </c>
      <c r="M2342" s="137" t="str">
        <f>工時!R1528</f>
        <v>162</v>
      </c>
      <c r="N2342" s="144"/>
      <c r="O2342" s="144">
        <f t="shared" si="356"/>
        <v>2</v>
      </c>
      <c r="P2342" s="156">
        <v>304</v>
      </c>
      <c r="Q2342" s="98">
        <f t="shared" si="357"/>
        <v>0.99346405228758172</v>
      </c>
      <c r="R2342" s="23"/>
      <c r="S2342" s="173"/>
      <c r="T2342" s="30" t="s">
        <v>1153</v>
      </c>
      <c r="U2342" s="264"/>
      <c r="V2342" s="463"/>
      <c r="X2342" s="463"/>
    </row>
    <row r="2343" spans="1:30" x14ac:dyDescent="0.4">
      <c r="A2343" s="212">
        <v>45994</v>
      </c>
      <c r="B2343" s="139" t="s">
        <v>63</v>
      </c>
      <c r="C2343" s="30" t="str">
        <f>VLOOKUP(B2343,'112年全品項生產鍋數'!A:H,2,0)</f>
        <v>草莓蒟蒻餡(1*6kg)</v>
      </c>
      <c r="D2343" s="296">
        <v>20</v>
      </c>
      <c r="E2343" s="48">
        <f>VLOOKUP(B2343,'112年全品項生產鍋數'!A:H,3,0)</f>
        <v>6</v>
      </c>
      <c r="F2343" s="142">
        <f>VLOOKUP(B2343,'112年全品項生產鍋數'!A:H,7,0)</f>
        <v>25.7</v>
      </c>
      <c r="G2343" s="143">
        <f t="shared" si="352"/>
        <v>514</v>
      </c>
      <c r="H2343" s="156">
        <f>313+210</f>
        <v>523</v>
      </c>
      <c r="I2343" s="23">
        <f t="shared" si="353"/>
        <v>3138</v>
      </c>
      <c r="J2343" s="100">
        <f t="shared" si="354"/>
        <v>1.0175097276264591</v>
      </c>
      <c r="K2343" s="51">
        <f>VLOOKUP(B:B,'生產達成率(目標)'!A:C,3,0)</f>
        <v>1</v>
      </c>
      <c r="L2343" s="20">
        <f t="shared" si="355"/>
        <v>1.7999999999999999E-2</v>
      </c>
      <c r="M2343" s="137" t="str">
        <f>工時!R1529</f>
        <v>284</v>
      </c>
      <c r="N2343" s="144"/>
      <c r="O2343" s="144">
        <f t="shared" si="356"/>
        <v>1</v>
      </c>
      <c r="P2343" s="156">
        <f>312+210</f>
        <v>522</v>
      </c>
      <c r="Q2343" s="98">
        <f t="shared" si="357"/>
        <v>0.99808795411089868</v>
      </c>
      <c r="R2343" s="23"/>
      <c r="S2343" s="173"/>
      <c r="T2343" s="30"/>
      <c r="U2343" s="264"/>
      <c r="V2343" s="463"/>
      <c r="X2343" s="463"/>
    </row>
    <row r="2344" spans="1:30" x14ac:dyDescent="0.4">
      <c r="A2344" s="212">
        <v>45994</v>
      </c>
      <c r="B2344" s="139" t="s">
        <v>75</v>
      </c>
      <c r="C2344" s="30" t="str">
        <f>VLOOKUP(B2344,'112年全品項生產鍋數'!A:H,2,0)</f>
        <v>草莓椰果餡(1*6Kg)</v>
      </c>
      <c r="D2344" s="296">
        <v>8</v>
      </c>
      <c r="E2344" s="48">
        <f>VLOOKUP(B2344,'112年全品項生產鍋數'!A:H,3,0)</f>
        <v>6</v>
      </c>
      <c r="F2344" s="142">
        <f>VLOOKUP(B2344,'112年全品項生產鍋數'!A:H,7,0)</f>
        <v>26.4</v>
      </c>
      <c r="G2344" s="143">
        <f t="shared" si="352"/>
        <v>211.2</v>
      </c>
      <c r="H2344" s="156">
        <v>216</v>
      </c>
      <c r="I2344" s="23">
        <f t="shared" si="353"/>
        <v>1296</v>
      </c>
      <c r="J2344" s="100">
        <f t="shared" si="354"/>
        <v>1.0227272727272727</v>
      </c>
      <c r="K2344" s="51">
        <f>VLOOKUP(B:B,'生產達成率(目標)'!A:C,3,0)</f>
        <v>1</v>
      </c>
      <c r="L2344" s="20">
        <f t="shared" si="355"/>
        <v>2.3E-2</v>
      </c>
      <c r="M2344" s="137" t="str">
        <f>工時!R1530</f>
        <v>180</v>
      </c>
      <c r="N2344" s="144"/>
      <c r="O2344" s="144">
        <f t="shared" si="356"/>
        <v>5</v>
      </c>
      <c r="P2344" s="156">
        <v>211</v>
      </c>
      <c r="Q2344" s="98">
        <f t="shared" si="357"/>
        <v>0.97685185185185186</v>
      </c>
      <c r="R2344" s="23"/>
      <c r="S2344" s="173"/>
      <c r="T2344" s="30"/>
      <c r="U2344" s="264"/>
      <c r="V2344" s="463"/>
      <c r="X2344" s="463"/>
    </row>
    <row r="2345" spans="1:30" x14ac:dyDescent="0.4">
      <c r="A2345" s="212">
        <v>45994</v>
      </c>
      <c r="B2345" s="139" t="s">
        <v>73</v>
      </c>
      <c r="C2345" s="30" t="str">
        <f>VLOOKUP(B2345,'112年全品項生產鍋數'!A:H,2,0)</f>
        <v>顆粒花生醬(1*12KG)</v>
      </c>
      <c r="D2345" s="296">
        <v>21</v>
      </c>
      <c r="E2345" s="48">
        <f>VLOOKUP(B2345,'112年全品項生產鍋數'!A:H,3,0)</f>
        <v>3</v>
      </c>
      <c r="F2345" s="142">
        <f>VLOOKUP(B2345,'112年全品項生產鍋數'!A:H,7,0)</f>
        <v>29.7</v>
      </c>
      <c r="G2345" s="143">
        <f t="shared" si="352"/>
        <v>623.69999999999993</v>
      </c>
      <c r="H2345" s="156">
        <v>628</v>
      </c>
      <c r="I2345" s="23">
        <f t="shared" si="353"/>
        <v>1884</v>
      </c>
      <c r="J2345" s="100">
        <f t="shared" si="354"/>
        <v>1.0068943402276738</v>
      </c>
      <c r="K2345" s="51">
        <f>VLOOKUP(B:B,'生產達成率(目標)'!A:C,3,0)</f>
        <v>1</v>
      </c>
      <c r="L2345" s="20">
        <f t="shared" si="355"/>
        <v>7.0000000000000001E-3</v>
      </c>
      <c r="M2345" s="137" t="str">
        <f>工時!R1531</f>
        <v>510</v>
      </c>
      <c r="N2345" s="144"/>
      <c r="O2345" s="144">
        <f t="shared" si="356"/>
        <v>0</v>
      </c>
      <c r="P2345" s="156">
        <v>628</v>
      </c>
      <c r="Q2345" s="98">
        <f t="shared" si="357"/>
        <v>1</v>
      </c>
      <c r="R2345" s="23"/>
      <c r="S2345" s="173"/>
      <c r="T2345" s="30" t="s">
        <v>1153</v>
      </c>
      <c r="U2345" s="264"/>
      <c r="V2345" s="463"/>
      <c r="X2345" s="463"/>
    </row>
    <row r="2346" spans="1:30" x14ac:dyDescent="0.4">
      <c r="A2346" s="212">
        <v>45994</v>
      </c>
      <c r="B2346" s="139" t="s">
        <v>123</v>
      </c>
      <c r="C2346" s="30" t="str">
        <f>VLOOKUP(B2346,'112年全品項生產鍋數'!A:H,2,0)</f>
        <v>深烤焙花生醬(1*18KG)</v>
      </c>
      <c r="D2346" s="296">
        <v>56</v>
      </c>
      <c r="E2346" s="48">
        <f>VLOOKUP(B2346,'112年全品項生產鍋數'!A:H,3,0)</f>
        <v>18</v>
      </c>
      <c r="F2346" s="142">
        <f>VLOOKUP(B2346,'112年全品項生產鍋數'!A:H,7,0)</f>
        <v>6.9</v>
      </c>
      <c r="G2346" s="143">
        <f t="shared" si="352"/>
        <v>386.40000000000003</v>
      </c>
      <c r="H2346" s="156">
        <v>389</v>
      </c>
      <c r="I2346" s="23">
        <f t="shared" si="353"/>
        <v>7002</v>
      </c>
      <c r="J2346" s="100">
        <f t="shared" si="354"/>
        <v>1.0067287784679089</v>
      </c>
      <c r="K2346" s="51">
        <f>VLOOKUP(B:B,'生產達成率(目標)'!A:C,3,0)</f>
        <v>1</v>
      </c>
      <c r="L2346" s="20">
        <f t="shared" si="355"/>
        <v>7.0000000000000001E-3</v>
      </c>
      <c r="M2346" s="137" t="str">
        <f>工時!R1532</f>
        <v>455</v>
      </c>
      <c r="N2346" s="144"/>
      <c r="O2346" s="144">
        <f t="shared" si="356"/>
        <v>0</v>
      </c>
      <c r="P2346" s="156">
        <v>389</v>
      </c>
      <c r="Q2346" s="98">
        <f t="shared" si="357"/>
        <v>1</v>
      </c>
      <c r="R2346" s="23"/>
      <c r="S2346" s="173"/>
      <c r="T2346" s="30" t="s">
        <v>1153</v>
      </c>
      <c r="U2346" s="264"/>
      <c r="V2346" s="463"/>
      <c r="X2346" s="463"/>
    </row>
    <row r="2347" spans="1:30" x14ac:dyDescent="0.4">
      <c r="A2347" s="212">
        <v>45994</v>
      </c>
      <c r="B2347" s="139" t="s">
        <v>500</v>
      </c>
      <c r="C2347" s="30" t="str">
        <f>VLOOKUP(B2347,'112年全品項生產鍋數'!A:H,2,0)</f>
        <v>蜜餞水果(1*1kg)</v>
      </c>
      <c r="D2347" s="296">
        <v>50</v>
      </c>
      <c r="E2347" s="48">
        <f>VLOOKUP(B2347,'112年全品項生產鍋數'!A:H,3,0)</f>
        <v>1</v>
      </c>
      <c r="F2347" s="142">
        <f>VLOOKUP(B2347,'112年全品項生產鍋數'!A:H,7,0)</f>
        <v>5.7</v>
      </c>
      <c r="G2347" s="143">
        <f>D2347*F2347</f>
        <v>285</v>
      </c>
      <c r="H2347" s="156">
        <v>295</v>
      </c>
      <c r="I2347" s="23">
        <f>H2347*E2347</f>
        <v>295</v>
      </c>
      <c r="J2347" s="100">
        <f>IF(G2347=0,"無法預估數據",H2347/G2347)</f>
        <v>1.0350877192982457</v>
      </c>
      <c r="K2347" s="51">
        <f>VLOOKUP(B:B,'生產達成率(目標)'!A:C,3,0)</f>
        <v>1</v>
      </c>
      <c r="L2347" s="20">
        <f>IF(G2347=0,"無法預估數據",ROUND(J2347-K2347,3))</f>
        <v>3.5000000000000003E-2</v>
      </c>
      <c r="M2347" s="137" t="str">
        <f>工時!R1533</f>
        <v>0</v>
      </c>
      <c r="N2347" s="144"/>
      <c r="O2347" s="144">
        <f>H2347-N2347-P2347</f>
        <v>0</v>
      </c>
      <c r="P2347" s="156">
        <v>295</v>
      </c>
      <c r="Q2347" s="98">
        <f>P2347/H2347</f>
        <v>1</v>
      </c>
      <c r="R2347" s="23"/>
      <c r="S2347" s="173"/>
      <c r="T2347" s="30"/>
      <c r="U2347" s="264"/>
      <c r="V2347" s="463"/>
      <c r="X2347" s="463"/>
    </row>
    <row r="2348" spans="1:30" s="146" customFormat="1" x14ac:dyDescent="0.4">
      <c r="A2348" s="212">
        <v>45995</v>
      </c>
      <c r="B2348" s="139" t="s">
        <v>630</v>
      </c>
      <c r="C2348" s="140" t="str">
        <f>VLOOKUP(B2348,'112年全品項生產鍋數'!A:H,2,0)</f>
        <v>藍莓寡糖果醬(1*200G)</v>
      </c>
      <c r="D2348" s="292">
        <v>4</v>
      </c>
      <c r="E2348" s="141">
        <f>VLOOKUP(B2348,'112年全品項生產鍋數'!A:H,3,0)</f>
        <v>0.2</v>
      </c>
      <c r="F2348" s="142">
        <f>VLOOKUP(B2348,'112年全品項生產鍋數'!A:H,7,0)</f>
        <v>763</v>
      </c>
      <c r="G2348" s="143">
        <f t="shared" si="352"/>
        <v>3052</v>
      </c>
      <c r="H2348" s="156">
        <v>2976</v>
      </c>
      <c r="I2348" s="144">
        <f t="shared" si="353"/>
        <v>595.20000000000005</v>
      </c>
      <c r="J2348" s="100">
        <f t="shared" si="354"/>
        <v>0.97509829619921362</v>
      </c>
      <c r="K2348" s="51">
        <f>VLOOKUP(B:B,'生產達成率(目標)'!A:C,3,0)</f>
        <v>1</v>
      </c>
      <c r="L2348" s="20">
        <f t="shared" si="355"/>
        <v>-2.5000000000000001E-2</v>
      </c>
      <c r="M2348" s="137" t="str">
        <f>工時!R1534</f>
        <v>270</v>
      </c>
      <c r="N2348" s="144"/>
      <c r="O2348" s="144">
        <f t="shared" si="356"/>
        <v>12</v>
      </c>
      <c r="P2348" s="156">
        <v>2964</v>
      </c>
      <c r="Q2348" s="145">
        <f t="shared" si="357"/>
        <v>0.99596774193548387</v>
      </c>
      <c r="R2348" s="144"/>
      <c r="S2348" s="153"/>
      <c r="T2348" s="140" t="s">
        <v>1153</v>
      </c>
      <c r="U2348" s="151"/>
      <c r="V2348" s="464"/>
      <c r="W2348" s="421"/>
      <c r="X2348" s="464"/>
      <c r="Y2348" s="421"/>
      <c r="Z2348" s="421"/>
      <c r="AA2348" s="421"/>
      <c r="AB2348" s="421"/>
      <c r="AC2348" s="421"/>
      <c r="AD2348" s="421"/>
    </row>
    <row r="2349" spans="1:30" s="146" customFormat="1" x14ac:dyDescent="0.4">
      <c r="A2349" s="212">
        <v>45995</v>
      </c>
      <c r="B2349" s="139" t="s">
        <v>114</v>
      </c>
      <c r="C2349" s="140" t="str">
        <f>VLOOKUP(B2349,'112年全品項生產鍋數'!A:H,2,0)</f>
        <v>開心草莓果醬(1*430g)</v>
      </c>
      <c r="D2349" s="292">
        <v>15</v>
      </c>
      <c r="E2349" s="141">
        <f>VLOOKUP(B2349,'112年全品項生產鍋數'!A:H,3,0)</f>
        <v>0.43</v>
      </c>
      <c r="F2349" s="142">
        <f>VLOOKUP(B2349,'112年全品項生產鍋數'!A:H,7,0)</f>
        <v>364</v>
      </c>
      <c r="G2349" s="143">
        <f t="shared" si="352"/>
        <v>5460</v>
      </c>
      <c r="H2349" s="156">
        <v>5511</v>
      </c>
      <c r="I2349" s="144">
        <f t="shared" si="353"/>
        <v>2369.73</v>
      </c>
      <c r="J2349" s="100">
        <f t="shared" si="354"/>
        <v>1.0093406593406593</v>
      </c>
      <c r="K2349" s="51">
        <f>VLOOKUP(B:B,'生產達成率(目標)'!A:C,3,0)</f>
        <v>1</v>
      </c>
      <c r="L2349" s="20">
        <f t="shared" si="355"/>
        <v>8.9999999999999993E-3</v>
      </c>
      <c r="M2349" s="137" t="str">
        <f>工時!R1535</f>
        <v>360</v>
      </c>
      <c r="N2349" s="144"/>
      <c r="O2349" s="144">
        <f t="shared" si="356"/>
        <v>9</v>
      </c>
      <c r="P2349" s="156">
        <v>5502</v>
      </c>
      <c r="Q2349" s="145">
        <f t="shared" si="357"/>
        <v>0.99836690255851934</v>
      </c>
      <c r="R2349" s="144"/>
      <c r="S2349" s="153"/>
      <c r="T2349" s="140"/>
      <c r="U2349" s="151"/>
      <c r="V2349" s="464"/>
      <c r="W2349" s="421"/>
      <c r="X2349" s="464"/>
      <c r="Y2349" s="421"/>
      <c r="Z2349" s="421"/>
      <c r="AA2349" s="421"/>
      <c r="AB2349" s="421"/>
      <c r="AC2349" s="421"/>
      <c r="AD2349" s="421"/>
    </row>
    <row r="2350" spans="1:30" x14ac:dyDescent="0.4">
      <c r="A2350" s="212">
        <v>45995</v>
      </c>
      <c r="B2350" s="139" t="s">
        <v>63</v>
      </c>
      <c r="C2350" s="30" t="str">
        <f>VLOOKUP(B2350,'112年全品項生產鍋數'!A:H,2,0)</f>
        <v>草莓蒟蒻餡(1*6kg)</v>
      </c>
      <c r="D2350" s="296">
        <v>8</v>
      </c>
      <c r="E2350" s="48">
        <f>VLOOKUP(B2350,'112年全品項生產鍋數'!A:H,3,0)</f>
        <v>6</v>
      </c>
      <c r="F2350" s="142">
        <f>VLOOKUP(B2350,'112年全品項生產鍋數'!A:H,7,0)</f>
        <v>25.7</v>
      </c>
      <c r="G2350" s="143">
        <f t="shared" si="352"/>
        <v>205.6</v>
      </c>
      <c r="H2350" s="156">
        <v>203</v>
      </c>
      <c r="I2350" s="23">
        <f t="shared" si="353"/>
        <v>1218</v>
      </c>
      <c r="J2350" s="100">
        <f t="shared" si="354"/>
        <v>0.98735408560311289</v>
      </c>
      <c r="K2350" s="51">
        <f>VLOOKUP(B:B,'生產達成率(目標)'!A:C,3,0)</f>
        <v>1</v>
      </c>
      <c r="L2350" s="20">
        <f t="shared" si="355"/>
        <v>-1.2999999999999999E-2</v>
      </c>
      <c r="M2350" s="137" t="str">
        <f>工時!R1536</f>
        <v>120</v>
      </c>
      <c r="N2350" s="144"/>
      <c r="O2350" s="144">
        <f t="shared" si="356"/>
        <v>1</v>
      </c>
      <c r="P2350" s="156">
        <v>202</v>
      </c>
      <c r="Q2350" s="98">
        <f t="shared" si="357"/>
        <v>0.99507389162561577</v>
      </c>
      <c r="R2350" s="23"/>
      <c r="S2350" s="173"/>
      <c r="T2350" s="30"/>
      <c r="U2350" s="264"/>
      <c r="V2350" s="463"/>
      <c r="X2350" s="463"/>
    </row>
    <row r="2351" spans="1:30" x14ac:dyDescent="0.4">
      <c r="A2351" s="212">
        <v>45995</v>
      </c>
      <c r="B2351" s="139" t="s">
        <v>1162</v>
      </c>
      <c r="C2351" s="30" t="str">
        <f>VLOOKUP(B2351,'112年全品項生產鍋數'!A:H,2,0)</f>
        <v>藍莓餡(1*6KG)</v>
      </c>
      <c r="D2351" s="296">
        <v>30</v>
      </c>
      <c r="E2351" s="48">
        <f>VLOOKUP(B2351,'112年全品項生產鍋數'!A:H,3,0)</f>
        <v>6</v>
      </c>
      <c r="F2351" s="142">
        <f>VLOOKUP(B2351,'112年全品項生產鍋數'!A:H,7,0)</f>
        <v>25.4</v>
      </c>
      <c r="G2351" s="143">
        <f t="shared" si="352"/>
        <v>762</v>
      </c>
      <c r="H2351" s="156">
        <f>414+382</f>
        <v>796</v>
      </c>
      <c r="I2351" s="23">
        <f t="shared" si="353"/>
        <v>4776</v>
      </c>
      <c r="J2351" s="100">
        <f t="shared" si="354"/>
        <v>1.0446194225721785</v>
      </c>
      <c r="K2351" s="51" t="e">
        <f>VLOOKUP(B:B,'生產達成率(目標)'!A:C,3,0)</f>
        <v>#N/A</v>
      </c>
      <c r="L2351" s="20" t="e">
        <f t="shared" si="355"/>
        <v>#N/A</v>
      </c>
      <c r="M2351" s="137" t="str">
        <f>工時!R1537</f>
        <v>420</v>
      </c>
      <c r="N2351" s="144"/>
      <c r="O2351" s="144">
        <f t="shared" si="356"/>
        <v>3</v>
      </c>
      <c r="P2351" s="156">
        <f>412+381</f>
        <v>793</v>
      </c>
      <c r="Q2351" s="98">
        <f t="shared" si="357"/>
        <v>0.99623115577889443</v>
      </c>
      <c r="R2351" s="23"/>
      <c r="S2351" s="173"/>
      <c r="T2351" s="30" t="s">
        <v>1153</v>
      </c>
      <c r="U2351" s="264"/>
      <c r="V2351" s="463"/>
      <c r="X2351" s="463"/>
    </row>
    <row r="2352" spans="1:30" x14ac:dyDescent="0.4">
      <c r="A2352" s="212">
        <v>45995</v>
      </c>
      <c r="B2352" s="139" t="s">
        <v>65</v>
      </c>
      <c r="C2352" s="30" t="str">
        <f>VLOOKUP(B2352,'112年全品項生產鍋數'!A:H,2,0)</f>
        <v>＃1花生(1*2.8kg)</v>
      </c>
      <c r="D2352" s="296">
        <v>64</v>
      </c>
      <c r="E2352" s="48">
        <f>VLOOKUP(B2352,'112年全品項生產鍋數'!A:H,3,0)</f>
        <v>2.8</v>
      </c>
      <c r="F2352" s="142">
        <f>VLOOKUP(B2352,'112年全品項生產鍋數'!A:H,7,0)</f>
        <v>44.5</v>
      </c>
      <c r="G2352" s="143">
        <f t="shared" si="352"/>
        <v>2848</v>
      </c>
      <c r="H2352" s="156">
        <v>2925</v>
      </c>
      <c r="I2352" s="23">
        <f t="shared" si="353"/>
        <v>8189.9999999999991</v>
      </c>
      <c r="J2352" s="100">
        <f t="shared" si="354"/>
        <v>1.0270365168539326</v>
      </c>
      <c r="K2352" s="51">
        <f>VLOOKUP(B:B,'生產達成率(目標)'!A:C,3,0)</f>
        <v>1</v>
      </c>
      <c r="L2352" s="20">
        <f t="shared" si="355"/>
        <v>2.7E-2</v>
      </c>
      <c r="M2352" s="137" t="str">
        <f>工時!R1538</f>
        <v>500</v>
      </c>
      <c r="N2352" s="144"/>
      <c r="O2352" s="144">
        <f t="shared" si="356"/>
        <v>1</v>
      </c>
      <c r="P2352" s="156">
        <v>2924</v>
      </c>
      <c r="Q2352" s="98">
        <f t="shared" si="357"/>
        <v>0.99965811965811968</v>
      </c>
      <c r="R2352" s="23"/>
      <c r="S2352" s="173"/>
      <c r="T2352" s="30"/>
      <c r="U2352" s="264"/>
      <c r="V2352" s="463"/>
      <c r="X2352" s="463"/>
    </row>
    <row r="2353" spans="1:30" s="146" customFormat="1" x14ac:dyDescent="0.4">
      <c r="A2353" s="212">
        <v>45996</v>
      </c>
      <c r="B2353" s="139" t="s">
        <v>71</v>
      </c>
      <c r="C2353" s="140" t="str">
        <f>VLOOKUP(B2353,'112年全品項生產鍋數'!A:H,2,0)</f>
        <v>＃1草莓(1*3.2kg)</v>
      </c>
      <c r="D2353" s="292">
        <v>72</v>
      </c>
      <c r="E2353" s="141">
        <f>VLOOKUP(B2353,'112年全品項生產鍋數'!A:H,3,0)</f>
        <v>3.2</v>
      </c>
      <c r="F2353" s="142">
        <f>VLOOKUP(B2353,'112年全品項生產鍋數'!A:H,7,0)</f>
        <v>46.8</v>
      </c>
      <c r="G2353" s="143">
        <f t="shared" si="352"/>
        <v>3369.6</v>
      </c>
      <c r="H2353" s="156">
        <v>3499</v>
      </c>
      <c r="I2353" s="144">
        <f t="shared" si="353"/>
        <v>11196.800000000001</v>
      </c>
      <c r="J2353" s="100">
        <f t="shared" si="354"/>
        <v>1.0384021842355176</v>
      </c>
      <c r="K2353" s="51">
        <f>VLOOKUP(B:B,'生產達成率(目標)'!A:C,3,0)</f>
        <v>1</v>
      </c>
      <c r="L2353" s="20">
        <f t="shared" si="355"/>
        <v>3.7999999999999999E-2</v>
      </c>
      <c r="M2353" s="137" t="str">
        <f>工時!R1539</f>
        <v>570</v>
      </c>
      <c r="N2353" s="144"/>
      <c r="O2353" s="144">
        <f t="shared" si="356"/>
        <v>3</v>
      </c>
      <c r="P2353" s="156">
        <v>3496</v>
      </c>
      <c r="Q2353" s="145">
        <f t="shared" si="357"/>
        <v>0.99914261217490707</v>
      </c>
      <c r="R2353" s="144"/>
      <c r="S2353" s="153"/>
      <c r="T2353" s="140" t="s">
        <v>1153</v>
      </c>
      <c r="U2353" s="151"/>
      <c r="V2353" s="464"/>
      <c r="W2353" s="421"/>
      <c r="X2353" s="464"/>
      <c r="Y2353" s="421"/>
      <c r="Z2353" s="421"/>
      <c r="AA2353" s="421"/>
      <c r="AB2353" s="421"/>
      <c r="AC2353" s="421"/>
      <c r="AD2353" s="421"/>
    </row>
    <row r="2354" spans="1:30" x14ac:dyDescent="0.4">
      <c r="A2354" s="212">
        <v>45996</v>
      </c>
      <c r="B2354" s="139" t="s">
        <v>81</v>
      </c>
      <c r="C2354" s="30" t="str">
        <f>VLOOKUP(B2354,'112年全品項生產鍋數'!A:H,2,0)</f>
        <v>藍莓餡(1*6Kg)</v>
      </c>
      <c r="D2354" s="296">
        <v>16</v>
      </c>
      <c r="E2354" s="48">
        <f>VLOOKUP(B2354,'112年全品項生產鍋數'!A:H,3,0)</f>
        <v>6</v>
      </c>
      <c r="F2354" s="142">
        <f>VLOOKUP(B2354,'112年全品項生產鍋數'!A:H,7,0)</f>
        <v>25.1</v>
      </c>
      <c r="G2354" s="143">
        <f t="shared" si="352"/>
        <v>401.6</v>
      </c>
      <c r="H2354" s="156">
        <v>410</v>
      </c>
      <c r="I2354" s="23">
        <f t="shared" si="353"/>
        <v>2460</v>
      </c>
      <c r="J2354" s="100">
        <f t="shared" si="354"/>
        <v>1.0209163346613546</v>
      </c>
      <c r="K2354" s="51">
        <f>VLOOKUP(B:B,'生產達成率(目標)'!A:C,3,0)</f>
        <v>1</v>
      </c>
      <c r="L2354" s="20">
        <f t="shared" si="355"/>
        <v>2.1000000000000001E-2</v>
      </c>
      <c r="M2354" s="137" t="str">
        <f>工時!R1540</f>
        <v>180</v>
      </c>
      <c r="N2354" s="144"/>
      <c r="O2354" s="144">
        <f t="shared" si="356"/>
        <v>5</v>
      </c>
      <c r="P2354" s="156">
        <v>405</v>
      </c>
      <c r="Q2354" s="98">
        <f t="shared" si="357"/>
        <v>0.98780487804878048</v>
      </c>
      <c r="R2354" s="23"/>
      <c r="S2354" s="173"/>
      <c r="T2354" s="30" t="s">
        <v>1153</v>
      </c>
      <c r="U2354" s="264"/>
      <c r="V2354" s="463"/>
      <c r="X2354" s="463"/>
    </row>
    <row r="2355" spans="1:30" x14ac:dyDescent="0.4">
      <c r="A2355" s="212">
        <v>45996</v>
      </c>
      <c r="B2355" s="139" t="s">
        <v>72</v>
      </c>
      <c r="C2355" s="30" t="str">
        <f>VLOOKUP(B2355,'112年全品項生產鍋數'!A:H,2,0)</f>
        <v>草莓餡45%(1*6Kg)</v>
      </c>
      <c r="D2355" s="296">
        <v>24</v>
      </c>
      <c r="E2355" s="48">
        <f>VLOOKUP(B2355,'112年全品項生產鍋數'!A:H,3,0)</f>
        <v>6</v>
      </c>
      <c r="F2355" s="142">
        <f>VLOOKUP(B2355,'112年全品項生產鍋數'!A:H,7,0)</f>
        <v>26.1</v>
      </c>
      <c r="G2355" s="143">
        <f t="shared" si="352"/>
        <v>626.40000000000009</v>
      </c>
      <c r="H2355" s="156">
        <v>641</v>
      </c>
      <c r="I2355" s="23">
        <f t="shared" si="353"/>
        <v>3846</v>
      </c>
      <c r="J2355" s="100">
        <f t="shared" si="354"/>
        <v>1.0233077905491696</v>
      </c>
      <c r="K2355" s="51">
        <f>VLOOKUP(B:B,'生產達成率(目標)'!A:C,3,0)</f>
        <v>1</v>
      </c>
      <c r="L2355" s="20">
        <f t="shared" si="355"/>
        <v>2.3E-2</v>
      </c>
      <c r="M2355" s="137" t="str">
        <f>工時!R1541</f>
        <v>330</v>
      </c>
      <c r="N2355" s="144"/>
      <c r="O2355" s="144">
        <f t="shared" si="356"/>
        <v>2</v>
      </c>
      <c r="P2355" s="156">
        <v>639</v>
      </c>
      <c r="Q2355" s="98">
        <f t="shared" si="357"/>
        <v>0.99687987519500776</v>
      </c>
      <c r="R2355" s="23"/>
      <c r="S2355" s="173"/>
      <c r="T2355" s="30" t="s">
        <v>1153</v>
      </c>
      <c r="U2355" s="264"/>
      <c r="V2355" s="463"/>
      <c r="X2355" s="463"/>
    </row>
    <row r="2356" spans="1:30" x14ac:dyDescent="0.4">
      <c r="A2356" s="212">
        <v>45996</v>
      </c>
      <c r="B2356" s="139" t="s">
        <v>1089</v>
      </c>
      <c r="C2356" s="30" t="str">
        <f>VLOOKUP(B2356,'112年全品項生產鍋數'!A:H,2,0)</f>
        <v>顆粒花生醬(1*12KG)</v>
      </c>
      <c r="D2356" s="296">
        <v>10</v>
      </c>
      <c r="E2356" s="48">
        <f>VLOOKUP(B2356,'112年全品項生產鍋數'!A:H,3,0)</f>
        <v>3</v>
      </c>
      <c r="F2356" s="142">
        <f>VLOOKUP(B2356,'112年全品項生產鍋數'!A:H,7,0)</f>
        <v>0</v>
      </c>
      <c r="G2356" s="143">
        <f t="shared" ref="G2356:G2401" si="364">D2356*F2356</f>
        <v>0</v>
      </c>
      <c r="H2356" s="156">
        <v>404</v>
      </c>
      <c r="I2356" s="23">
        <f t="shared" ref="I2356:I2401" si="365">H2356*E2356</f>
        <v>1212</v>
      </c>
      <c r="J2356" s="100" t="str">
        <f t="shared" ref="J2356:J2401" si="366">IF(G2356=0,"無法預估數據",H2356/G2356)</f>
        <v>無法預估數據</v>
      </c>
      <c r="K2356" s="51">
        <f>VLOOKUP(B:B,'生產達成率(目標)'!A:C,3,0)</f>
        <v>1</v>
      </c>
      <c r="L2356" s="20" t="str">
        <f t="shared" ref="L2356:L2401" si="367">IF(G2356=0,"無法預估數據",ROUND(J2356-K2356,3))</f>
        <v>無法預估數據</v>
      </c>
      <c r="M2356" s="137" t="str">
        <f>工時!R1542</f>
        <v>540</v>
      </c>
      <c r="N2356" s="144"/>
      <c r="O2356" s="144">
        <f t="shared" ref="O2356:O2401" si="368">H2356-N2356-P2356</f>
        <v>0</v>
      </c>
      <c r="P2356" s="156">
        <v>404</v>
      </c>
      <c r="Q2356" s="98">
        <f t="shared" ref="Q2356:Q2401" si="369">P2356/H2356</f>
        <v>1</v>
      </c>
      <c r="R2356" s="23"/>
      <c r="S2356" s="173"/>
      <c r="T2356" s="30" t="s">
        <v>1153</v>
      </c>
      <c r="U2356" s="264"/>
      <c r="V2356" s="463"/>
      <c r="X2356" s="463"/>
    </row>
    <row r="2357" spans="1:30" s="146" customFormat="1" ht="15.75" customHeight="1" x14ac:dyDescent="0.4">
      <c r="A2357" s="212">
        <v>45996</v>
      </c>
      <c r="B2357" s="139" t="s">
        <v>104</v>
      </c>
      <c r="C2357" s="140" t="str">
        <f>VLOOKUP(B2357,'112年全品項生產鍋數'!A:H,2,0)</f>
        <v>＃1花生(粒)(1*2.8kg)</v>
      </c>
      <c r="D2357" s="292">
        <v>20</v>
      </c>
      <c r="E2357" s="141">
        <f>VLOOKUP(B2357,'112年全品項生產鍋數'!A:H,3,0)</f>
        <v>2.8</v>
      </c>
      <c r="F2357" s="142">
        <f>VLOOKUP(B2357,'112年全品項生產鍋數'!A:H,7,0)</f>
        <v>44.2</v>
      </c>
      <c r="G2357" s="143">
        <f t="shared" si="364"/>
        <v>884</v>
      </c>
      <c r="H2357" s="156">
        <v>882</v>
      </c>
      <c r="I2357" s="144">
        <f t="shared" si="365"/>
        <v>2469.6</v>
      </c>
      <c r="J2357" s="100">
        <f t="shared" si="366"/>
        <v>0.99773755656108598</v>
      </c>
      <c r="K2357" s="51">
        <f>VLOOKUP(B:B,'生產達成率(目標)'!A:C,3,0)</f>
        <v>1</v>
      </c>
      <c r="L2357" s="20">
        <f t="shared" si="367"/>
        <v>-2E-3</v>
      </c>
      <c r="M2357" s="137" t="str">
        <f>工時!R1543</f>
        <v>290</v>
      </c>
      <c r="N2357" s="144"/>
      <c r="O2357" s="144">
        <f t="shared" si="368"/>
        <v>1</v>
      </c>
      <c r="P2357" s="156">
        <v>881</v>
      </c>
      <c r="Q2357" s="145">
        <f t="shared" si="369"/>
        <v>0.99886621315192747</v>
      </c>
      <c r="R2357" s="144"/>
      <c r="S2357" s="153"/>
      <c r="T2357" s="140" t="s">
        <v>1153</v>
      </c>
      <c r="U2357" s="151"/>
      <c r="V2357" s="464"/>
      <c r="W2357" s="421"/>
      <c r="X2357" s="464"/>
      <c r="Y2357" s="421"/>
      <c r="Z2357" s="421"/>
      <c r="AA2357" s="421"/>
      <c r="AB2357" s="421"/>
      <c r="AC2357" s="421"/>
      <c r="AD2357" s="421"/>
    </row>
    <row r="2358" spans="1:30" x14ac:dyDescent="0.4">
      <c r="A2358" s="212">
        <v>45999</v>
      </c>
      <c r="B2358" s="139" t="s">
        <v>64</v>
      </c>
      <c r="C2358" s="30" t="str">
        <f>VLOOKUP(B2358,'112年全品項生產鍋數'!A:H,2,0)</f>
        <v>藍莓餡(1*6KG)</v>
      </c>
      <c r="D2358" s="296">
        <v>24</v>
      </c>
      <c r="E2358" s="48">
        <f>VLOOKUP(B2358,'112年全品項生產鍋數'!A:H,3,0)</f>
        <v>6</v>
      </c>
      <c r="F2358" s="142">
        <f>VLOOKUP(B2358,'112年全品項生產鍋數'!A:H,7,0)</f>
        <v>25.4</v>
      </c>
      <c r="G2358" s="143">
        <f t="shared" si="364"/>
        <v>609.59999999999991</v>
      </c>
      <c r="H2358" s="156">
        <f>303+309</f>
        <v>612</v>
      </c>
      <c r="I2358" s="23">
        <f t="shared" si="365"/>
        <v>3672</v>
      </c>
      <c r="J2358" s="100">
        <f t="shared" si="366"/>
        <v>1.003937007874016</v>
      </c>
      <c r="K2358" s="51">
        <f>VLOOKUP(B:B,'生產達成率(目標)'!A:C,3,0)</f>
        <v>1</v>
      </c>
      <c r="L2358" s="20">
        <f t="shared" si="367"/>
        <v>4.0000000000000001E-3</v>
      </c>
      <c r="M2358" s="137" t="str">
        <f>工時!R1544</f>
        <v>420</v>
      </c>
      <c r="N2358" s="144"/>
      <c r="O2358" s="144">
        <f t="shared" si="368"/>
        <v>2</v>
      </c>
      <c r="P2358" s="156">
        <f>301+309</f>
        <v>610</v>
      </c>
      <c r="Q2358" s="98">
        <f t="shared" si="369"/>
        <v>0.99673202614379086</v>
      </c>
      <c r="R2358" s="23"/>
      <c r="S2358" s="173"/>
      <c r="T2358" s="30"/>
      <c r="U2358" s="264"/>
      <c r="V2358" s="463"/>
      <c r="X2358" s="463"/>
    </row>
    <row r="2359" spans="1:30" x14ac:dyDescent="0.4">
      <c r="A2359" s="212">
        <v>45999</v>
      </c>
      <c r="B2359" s="139" t="s">
        <v>63</v>
      </c>
      <c r="C2359" s="30" t="str">
        <f>VLOOKUP(B2359,'112年全品項生產鍋數'!A:H,2,0)</f>
        <v>草莓蒟蒻餡(1*6kg)</v>
      </c>
      <c r="D2359" s="296">
        <v>16</v>
      </c>
      <c r="E2359" s="48">
        <f>VLOOKUP(B2359,'112年全品項生產鍋數'!A:H,3,0)</f>
        <v>6</v>
      </c>
      <c r="F2359" s="142">
        <f>VLOOKUP(B2359,'112年全品項生產鍋數'!A:H,7,0)</f>
        <v>25.7</v>
      </c>
      <c r="G2359" s="143">
        <f t="shared" si="364"/>
        <v>411.2</v>
      </c>
      <c r="H2359" s="156">
        <f>201+213</f>
        <v>414</v>
      </c>
      <c r="I2359" s="23">
        <f t="shared" si="365"/>
        <v>2484</v>
      </c>
      <c r="J2359" s="100">
        <f t="shared" si="366"/>
        <v>1.0068093385214008</v>
      </c>
      <c r="K2359" s="51">
        <f>VLOOKUP(B:B,'生產達成率(目標)'!A:C,3,0)</f>
        <v>1</v>
      </c>
      <c r="L2359" s="20">
        <f t="shared" si="367"/>
        <v>7.0000000000000001E-3</v>
      </c>
      <c r="M2359" s="137" t="str">
        <f>工時!R1545</f>
        <v>260</v>
      </c>
      <c r="N2359" s="144"/>
      <c r="O2359" s="144">
        <f t="shared" si="368"/>
        <v>1</v>
      </c>
      <c r="P2359" s="156">
        <f>200+213</f>
        <v>413</v>
      </c>
      <c r="Q2359" s="98">
        <f t="shared" si="369"/>
        <v>0.99758454106280192</v>
      </c>
      <c r="R2359" s="23"/>
      <c r="S2359" s="173"/>
      <c r="T2359" s="30"/>
      <c r="U2359" s="264"/>
      <c r="V2359" s="463"/>
      <c r="X2359" s="463"/>
    </row>
    <row r="2360" spans="1:30" x14ac:dyDescent="0.4">
      <c r="A2360" s="212">
        <v>45999</v>
      </c>
      <c r="B2360" s="139" t="s">
        <v>110</v>
      </c>
      <c r="C2360" s="30" t="str">
        <f>VLOOKUP(B2360,'112年全品項生產鍋數'!A:H,2,0)</f>
        <v>顆粒花生醬(1*12KG)</v>
      </c>
      <c r="D2360" s="296">
        <v>21</v>
      </c>
      <c r="E2360" s="48">
        <f>VLOOKUP(B2360,'112年全品項生產鍋數'!A:H,3,0)</f>
        <v>3</v>
      </c>
      <c r="F2360" s="142">
        <f>VLOOKUP(B2360,'112年全品項生產鍋數'!A:H,7,0)</f>
        <v>30.8</v>
      </c>
      <c r="G2360" s="143">
        <f t="shared" si="364"/>
        <v>646.80000000000007</v>
      </c>
      <c r="H2360" s="156">
        <v>648</v>
      </c>
      <c r="I2360" s="23">
        <f t="shared" si="365"/>
        <v>1944</v>
      </c>
      <c r="J2360" s="100">
        <f t="shared" si="366"/>
        <v>1.0018552875695732</v>
      </c>
      <c r="K2360" s="51">
        <f>VLOOKUP(B:B,'生產達成率(目標)'!A:C,3,0)</f>
        <v>1</v>
      </c>
      <c r="L2360" s="20">
        <f t="shared" si="367"/>
        <v>2E-3</v>
      </c>
      <c r="M2360" s="137" t="str">
        <f>工時!R1546</f>
        <v>540</v>
      </c>
      <c r="N2360" s="144"/>
      <c r="O2360" s="144">
        <f t="shared" si="368"/>
        <v>0</v>
      </c>
      <c r="P2360" s="156">
        <v>648</v>
      </c>
      <c r="Q2360" s="98">
        <f t="shared" si="369"/>
        <v>1</v>
      </c>
      <c r="R2360" s="23"/>
      <c r="S2360" s="173"/>
      <c r="T2360" s="30"/>
      <c r="U2360" s="264"/>
      <c r="V2360" s="463"/>
      <c r="X2360" s="463"/>
    </row>
    <row r="2361" spans="1:30" x14ac:dyDescent="0.4">
      <c r="A2361" s="212">
        <v>45999</v>
      </c>
      <c r="B2361" s="139" t="s">
        <v>58</v>
      </c>
      <c r="C2361" s="30" t="str">
        <f>VLOOKUP(B2361,'112年全品項生產鍋數'!A:H,2,0)</f>
        <v>PET大花生(1*400g)</v>
      </c>
      <c r="D2361" s="296">
        <v>28</v>
      </c>
      <c r="E2361" s="48">
        <f>VLOOKUP(B2361,'112年全品項生產鍋數'!A:H,3,0)</f>
        <v>0.4</v>
      </c>
      <c r="F2361" s="142">
        <f>VLOOKUP(B2361,'112年全品項生產鍋數'!A:H,7,0)</f>
        <v>309.2</v>
      </c>
      <c r="G2361" s="143">
        <f t="shared" si="364"/>
        <v>8657.6</v>
      </c>
      <c r="H2361" s="156">
        <v>8763</v>
      </c>
      <c r="I2361" s="23">
        <f t="shared" si="365"/>
        <v>3505.2000000000003</v>
      </c>
      <c r="J2361" s="100">
        <f t="shared" si="366"/>
        <v>1.0121742746257623</v>
      </c>
      <c r="K2361" s="51">
        <f>VLOOKUP(B:B,'生產達成率(目標)'!A:C,3,0)</f>
        <v>1</v>
      </c>
      <c r="L2361" s="20">
        <f t="shared" si="367"/>
        <v>1.2E-2</v>
      </c>
      <c r="M2361" s="137" t="str">
        <f>工時!R1547</f>
        <v>665</v>
      </c>
      <c r="N2361" s="144"/>
      <c r="O2361" s="144">
        <f t="shared" si="368"/>
        <v>3</v>
      </c>
      <c r="P2361" s="156">
        <v>8760</v>
      </c>
      <c r="Q2361" s="98">
        <f t="shared" si="369"/>
        <v>0.99965765148921604</v>
      </c>
      <c r="R2361" s="23"/>
      <c r="S2361" s="173"/>
      <c r="T2361" s="30"/>
      <c r="U2361" s="264"/>
      <c r="V2361" s="463"/>
      <c r="X2361" s="463"/>
    </row>
    <row r="2362" spans="1:30" x14ac:dyDescent="0.4">
      <c r="A2362" s="212">
        <v>46000</v>
      </c>
      <c r="B2362" s="139" t="s">
        <v>71</v>
      </c>
      <c r="C2362" s="30" t="str">
        <f>VLOOKUP(B2362,'112年全品項生產鍋數'!A:H,2,0)</f>
        <v>＃1草莓(1*3.2kg)</v>
      </c>
      <c r="D2362" s="296">
        <v>72</v>
      </c>
      <c r="E2362" s="48">
        <f>VLOOKUP(B2362,'112年全品項生產鍋數'!A:H,3,0)</f>
        <v>3.2</v>
      </c>
      <c r="F2362" s="142">
        <f>VLOOKUP(B2362,'112年全品項生產鍋數'!A:H,7,0)</f>
        <v>46.8</v>
      </c>
      <c r="G2362" s="143">
        <f t="shared" si="364"/>
        <v>3369.6</v>
      </c>
      <c r="H2362" s="156">
        <v>3442</v>
      </c>
      <c r="I2362" s="23">
        <f t="shared" si="365"/>
        <v>11014.400000000001</v>
      </c>
      <c r="J2362" s="100">
        <f t="shared" si="366"/>
        <v>1.0214862298195633</v>
      </c>
      <c r="K2362" s="51">
        <f>VLOOKUP(B:B,'生產達成率(目標)'!A:C,3,0)</f>
        <v>1</v>
      </c>
      <c r="L2362" s="20">
        <f t="shared" si="367"/>
        <v>2.1000000000000001E-2</v>
      </c>
      <c r="M2362" s="137" t="str">
        <f>工時!R1548</f>
        <v>540</v>
      </c>
      <c r="N2362" s="144"/>
      <c r="O2362" s="144">
        <f t="shared" si="368"/>
        <v>3</v>
      </c>
      <c r="P2362" s="156">
        <f>3439</f>
        <v>3439</v>
      </c>
      <c r="Q2362" s="98">
        <f t="shared" si="369"/>
        <v>0.99912841371295757</v>
      </c>
      <c r="R2362" s="23"/>
      <c r="S2362" s="173"/>
      <c r="T2362" s="30"/>
      <c r="U2362" s="264"/>
      <c r="V2362" s="463"/>
      <c r="X2362" s="463"/>
    </row>
    <row r="2363" spans="1:30" x14ac:dyDescent="0.4">
      <c r="A2363" s="212">
        <v>46000</v>
      </c>
      <c r="B2363" s="139" t="s">
        <v>76</v>
      </c>
      <c r="C2363" s="30" t="str">
        <f>VLOOKUP(B2363,'112年全品項生產鍋數'!A:H,2,0)</f>
        <v>草莓餡(1*6Kg)</v>
      </c>
      <c r="D2363" s="296">
        <v>0.5</v>
      </c>
      <c r="E2363" s="48">
        <f>VLOOKUP(B2363,'112年全品項生產鍋數'!A:H,3,0)</f>
        <v>6</v>
      </c>
      <c r="F2363" s="142">
        <f>VLOOKUP(B2363,'112年全品項生產鍋數'!A:H,7,0)</f>
        <v>25.5</v>
      </c>
      <c r="G2363" s="143">
        <f t="shared" si="364"/>
        <v>12.75</v>
      </c>
      <c r="H2363" s="156">
        <v>12</v>
      </c>
      <c r="I2363" s="23">
        <f t="shared" si="365"/>
        <v>72</v>
      </c>
      <c r="J2363" s="100">
        <f t="shared" si="366"/>
        <v>0.94117647058823528</v>
      </c>
      <c r="K2363" s="51">
        <f>VLOOKUP(B:B,'生產達成率(目標)'!A:C,3,0)</f>
        <v>1</v>
      </c>
      <c r="L2363" s="20">
        <f t="shared" si="367"/>
        <v>-5.8999999999999997E-2</v>
      </c>
      <c r="M2363" s="137" t="str">
        <f>工時!R1549</f>
        <v>105</v>
      </c>
      <c r="N2363" s="144"/>
      <c r="O2363" s="144">
        <f t="shared" si="368"/>
        <v>1</v>
      </c>
      <c r="P2363" s="156">
        <v>11</v>
      </c>
      <c r="Q2363" s="98">
        <f t="shared" si="369"/>
        <v>0.91666666666666663</v>
      </c>
      <c r="R2363" s="23"/>
      <c r="S2363" s="173"/>
      <c r="T2363" s="30" t="s">
        <v>1168</v>
      </c>
      <c r="U2363" s="264"/>
      <c r="V2363" s="463"/>
      <c r="X2363" s="463"/>
    </row>
    <row r="2364" spans="1:30" x14ac:dyDescent="0.4">
      <c r="A2364" s="212">
        <v>46000</v>
      </c>
      <c r="B2364" s="139" t="s">
        <v>63</v>
      </c>
      <c r="C2364" s="30" t="str">
        <f>VLOOKUP(B2364,'112年全品項生產鍋數'!A:H,2,0)</f>
        <v>草莓蒟蒻餡(1*6kg)</v>
      </c>
      <c r="D2364" s="296">
        <v>24</v>
      </c>
      <c r="E2364" s="48">
        <f>VLOOKUP(B2364,'112年全品項生產鍋數'!A:H,3,0)</f>
        <v>6</v>
      </c>
      <c r="F2364" s="142">
        <f>VLOOKUP(B2364,'112年全品項生產鍋數'!A:H,7,0)</f>
        <v>25.7</v>
      </c>
      <c r="G2364" s="143">
        <f t="shared" si="364"/>
        <v>616.79999999999995</v>
      </c>
      <c r="H2364" s="156">
        <f>303+317</f>
        <v>620</v>
      </c>
      <c r="I2364" s="23">
        <f t="shared" si="365"/>
        <v>3720</v>
      </c>
      <c r="J2364" s="100">
        <f t="shared" si="366"/>
        <v>1.0051880674448768</v>
      </c>
      <c r="K2364" s="51">
        <f>VLOOKUP(B:B,'生產達成率(目標)'!A:C,3,0)</f>
        <v>1</v>
      </c>
      <c r="L2364" s="20">
        <f t="shared" si="367"/>
        <v>5.0000000000000001E-3</v>
      </c>
      <c r="M2364" s="137" t="str">
        <f>工時!R1550</f>
        <v>300</v>
      </c>
      <c r="N2364" s="144"/>
      <c r="O2364" s="144">
        <f t="shared" si="368"/>
        <v>1</v>
      </c>
      <c r="P2364" s="156">
        <f>302+317</f>
        <v>619</v>
      </c>
      <c r="Q2364" s="98">
        <f t="shared" si="369"/>
        <v>0.99838709677419357</v>
      </c>
      <c r="R2364" s="23"/>
      <c r="S2364" s="173"/>
      <c r="T2364" s="30"/>
      <c r="U2364" s="264"/>
      <c r="V2364" s="463"/>
      <c r="X2364" s="463"/>
    </row>
    <row r="2365" spans="1:30" x14ac:dyDescent="0.4">
      <c r="A2365" s="212">
        <v>46000</v>
      </c>
      <c r="B2365" s="139" t="s">
        <v>72</v>
      </c>
      <c r="C2365" s="30" t="str">
        <f>VLOOKUP(B2365,'112年全品項生產鍋數'!A:H,2,0)</f>
        <v>草莓餡45%(1*6Kg)</v>
      </c>
      <c r="D2365" s="296">
        <v>20</v>
      </c>
      <c r="E2365" s="48">
        <f>VLOOKUP(B2365,'112年全品項生產鍋數'!A:H,3,0)</f>
        <v>6</v>
      </c>
      <c r="F2365" s="142">
        <f>VLOOKUP(B2365,'112年全品項生產鍋數'!A:H,7,0)</f>
        <v>26.1</v>
      </c>
      <c r="G2365" s="143">
        <f t="shared" si="364"/>
        <v>522</v>
      </c>
      <c r="H2365" s="156">
        <v>527</v>
      </c>
      <c r="I2365" s="23">
        <f t="shared" si="365"/>
        <v>3162</v>
      </c>
      <c r="J2365" s="100">
        <f t="shared" si="366"/>
        <v>1.0095785440613028</v>
      </c>
      <c r="K2365" s="51">
        <f>VLOOKUP(B:B,'生產達成率(目標)'!A:C,3,0)</f>
        <v>1</v>
      </c>
      <c r="L2365" s="20">
        <f t="shared" si="367"/>
        <v>0.01</v>
      </c>
      <c r="M2365" s="137" t="str">
        <f>工時!R1551</f>
        <v>270</v>
      </c>
      <c r="N2365" s="144"/>
      <c r="O2365" s="144">
        <f t="shared" si="368"/>
        <v>1</v>
      </c>
      <c r="P2365" s="156">
        <v>526</v>
      </c>
      <c r="Q2365" s="98">
        <f t="shared" si="369"/>
        <v>0.99810246679316883</v>
      </c>
      <c r="R2365" s="23"/>
      <c r="S2365" s="173"/>
      <c r="T2365" s="30" t="s">
        <v>1153</v>
      </c>
      <c r="U2365" s="264"/>
      <c r="V2365" s="463"/>
      <c r="X2365" s="463"/>
    </row>
    <row r="2366" spans="1:30" x14ac:dyDescent="0.4">
      <c r="A2366" s="212">
        <v>46000</v>
      </c>
      <c r="B2366" s="139" t="s">
        <v>65</v>
      </c>
      <c r="C2366" s="30" t="str">
        <f>VLOOKUP(B2366,'112年全品項生產鍋數'!A:H,2,0)</f>
        <v>＃1花生(1*2.8kg)</v>
      </c>
      <c r="D2366" s="296">
        <v>68</v>
      </c>
      <c r="E2366" s="48">
        <f>VLOOKUP(B2366,'112年全品項生產鍋數'!A:H,3,0)</f>
        <v>2.8</v>
      </c>
      <c r="F2366" s="142">
        <f>VLOOKUP(B2366,'112年全品項生產鍋數'!A:H,7,0)</f>
        <v>44.5</v>
      </c>
      <c r="G2366" s="143">
        <f t="shared" si="364"/>
        <v>3026</v>
      </c>
      <c r="H2366" s="156">
        <v>3069</v>
      </c>
      <c r="I2366" s="23">
        <f t="shared" si="365"/>
        <v>8593.1999999999989</v>
      </c>
      <c r="J2366" s="100">
        <f t="shared" si="366"/>
        <v>1.0142101784534039</v>
      </c>
      <c r="K2366" s="51">
        <f>VLOOKUP(B:B,'生產達成率(目標)'!A:C,3,0)</f>
        <v>1</v>
      </c>
      <c r="L2366" s="20">
        <f t="shared" si="367"/>
        <v>1.4E-2</v>
      </c>
      <c r="M2366" s="137" t="str">
        <f>工時!R1552</f>
        <v>530</v>
      </c>
      <c r="N2366" s="144"/>
      <c r="O2366" s="144">
        <f t="shared" si="368"/>
        <v>1</v>
      </c>
      <c r="P2366" s="156">
        <v>3068</v>
      </c>
      <c r="Q2366" s="98">
        <f t="shared" si="369"/>
        <v>0.99967416096448358</v>
      </c>
      <c r="R2366" s="23"/>
      <c r="S2366" s="173"/>
      <c r="T2366" s="30"/>
      <c r="U2366" s="264"/>
      <c r="V2366" s="463"/>
      <c r="X2366" s="463"/>
    </row>
    <row r="2367" spans="1:30" x14ac:dyDescent="0.4">
      <c r="A2367" s="212">
        <v>46001</v>
      </c>
      <c r="B2367" s="139" t="s">
        <v>68</v>
      </c>
      <c r="C2367" s="30" t="str">
        <f>VLOOKUP(B2367,'112年全品項生產鍋數'!A:H,2,0)</f>
        <v>#2草莓果醬(1*900g)</v>
      </c>
      <c r="D2367" s="296">
        <v>20</v>
      </c>
      <c r="E2367" s="48">
        <f>VLOOKUP(B2367,'112年全品項生產鍋數'!A:H,3,0)</f>
        <v>0.9</v>
      </c>
      <c r="F2367" s="142">
        <f>VLOOKUP(B2367,'112年全品項生產鍋數'!A:H,7,0)</f>
        <v>160.5</v>
      </c>
      <c r="G2367" s="143">
        <f t="shared" si="364"/>
        <v>3210</v>
      </c>
      <c r="H2367" s="156">
        <v>3283</v>
      </c>
      <c r="I2367" s="23">
        <f t="shared" si="365"/>
        <v>2954.7000000000003</v>
      </c>
      <c r="J2367" s="100">
        <f t="shared" si="366"/>
        <v>1.0227414330218068</v>
      </c>
      <c r="K2367" s="51">
        <f>VLOOKUP(B:B,'生產達成率(目標)'!A:C,3,0)</f>
        <v>1</v>
      </c>
      <c r="L2367" s="20">
        <f t="shared" si="367"/>
        <v>2.3E-2</v>
      </c>
      <c r="M2367" s="137" t="str">
        <f>工時!R1553</f>
        <v>319</v>
      </c>
      <c r="N2367" s="144"/>
      <c r="O2367" s="144">
        <f t="shared" si="368"/>
        <v>3</v>
      </c>
      <c r="P2367" s="156">
        <v>3280</v>
      </c>
      <c r="Q2367" s="98">
        <f t="shared" si="369"/>
        <v>0.99908620164483708</v>
      </c>
      <c r="R2367" s="23"/>
      <c r="S2367" s="173"/>
      <c r="T2367" s="30"/>
      <c r="U2367" s="264"/>
      <c r="V2367" s="463"/>
      <c r="X2367" s="463"/>
    </row>
    <row r="2368" spans="1:30" x14ac:dyDescent="0.4">
      <c r="A2368" s="212">
        <v>46001</v>
      </c>
      <c r="B2368" s="139" t="s">
        <v>109</v>
      </c>
      <c r="C2368" s="30" t="str">
        <f>VLOOKUP(B2368,'112年全品項生產鍋數'!A:H,2,0)</f>
        <v>蔓越莓醬(1*6KG)</v>
      </c>
      <c r="D2368" s="296">
        <v>12</v>
      </c>
      <c r="E2368" s="48">
        <f>VLOOKUP(B2368,'112年全品項生產鍋數'!A:H,3,0)</f>
        <v>6</v>
      </c>
      <c r="F2368" s="142">
        <f>VLOOKUP(B2368,'112年全品項生產鍋數'!A:H,7,0)</f>
        <v>25.6</v>
      </c>
      <c r="G2368" s="143">
        <f t="shared" si="364"/>
        <v>307.20000000000005</v>
      </c>
      <c r="H2368" s="156">
        <v>310</v>
      </c>
      <c r="I2368" s="23">
        <f t="shared" si="365"/>
        <v>1860</v>
      </c>
      <c r="J2368" s="100">
        <f t="shared" si="366"/>
        <v>1.0091145833333333</v>
      </c>
      <c r="K2368" s="51">
        <f>VLOOKUP(B:B,'生產達成率(目標)'!A:C,3,0)</f>
        <v>1</v>
      </c>
      <c r="L2368" s="20">
        <f t="shared" si="367"/>
        <v>8.9999999999999993E-3</v>
      </c>
      <c r="M2368" s="137" t="str">
        <f>工時!R1554</f>
        <v>158</v>
      </c>
      <c r="N2368" s="144"/>
      <c r="O2368" s="144">
        <f t="shared" si="368"/>
        <v>2</v>
      </c>
      <c r="P2368" s="156">
        <v>308</v>
      </c>
      <c r="Q2368" s="98">
        <f t="shared" si="369"/>
        <v>0.99354838709677418</v>
      </c>
      <c r="R2368" s="23"/>
      <c r="S2368" s="173"/>
      <c r="T2368" s="30" t="s">
        <v>1153</v>
      </c>
      <c r="U2368" s="264"/>
      <c r="V2368" s="463"/>
      <c r="X2368" s="463"/>
    </row>
    <row r="2369" spans="1:30" x14ac:dyDescent="0.4">
      <c r="A2369" s="212">
        <v>46001</v>
      </c>
      <c r="B2369" s="139" t="s">
        <v>1045</v>
      </c>
      <c r="C2369" s="30" t="str">
        <f>VLOOKUP(B2369,'112年全品項生產鍋數'!A:H,2,0)</f>
        <v>芒果蜜桃醬(含桃丁)</v>
      </c>
      <c r="D2369" s="296">
        <v>6</v>
      </c>
      <c r="E2369" s="48">
        <f>VLOOKUP(B2369,'112年全品項生產鍋數'!A:H,3,0)</f>
        <v>6</v>
      </c>
      <c r="F2369" s="142">
        <f>VLOOKUP(B2369,'112年全品項生產鍋數'!A:H,7,0)</f>
        <v>0</v>
      </c>
      <c r="G2369" s="143">
        <f t="shared" si="364"/>
        <v>0</v>
      </c>
      <c r="H2369" s="156">
        <v>146</v>
      </c>
      <c r="I2369" s="23">
        <f t="shared" si="365"/>
        <v>876</v>
      </c>
      <c r="J2369" s="100" t="str">
        <f t="shared" si="366"/>
        <v>無法預估數據</v>
      </c>
      <c r="K2369" s="51">
        <f>VLOOKUP(B:B,'生產達成率(目標)'!A:C,3,0)</f>
        <v>1</v>
      </c>
      <c r="L2369" s="20" t="str">
        <f t="shared" si="367"/>
        <v>無法預估數據</v>
      </c>
      <c r="M2369" s="137" t="str">
        <f>工時!R1555</f>
        <v>160</v>
      </c>
      <c r="N2369" s="144"/>
      <c r="O2369" s="144">
        <f t="shared" si="368"/>
        <v>1</v>
      </c>
      <c r="P2369" s="156">
        <v>145</v>
      </c>
      <c r="Q2369" s="98">
        <f t="shared" si="369"/>
        <v>0.99315068493150682</v>
      </c>
      <c r="R2369" s="23"/>
      <c r="S2369" s="173"/>
      <c r="T2369" s="30" t="s">
        <v>1153</v>
      </c>
      <c r="U2369" s="264"/>
      <c r="V2369" s="463"/>
      <c r="X2369" s="463"/>
    </row>
    <row r="2370" spans="1:30" x14ac:dyDescent="0.4">
      <c r="A2370" s="212">
        <v>46001</v>
      </c>
      <c r="B2370" s="139" t="s">
        <v>63</v>
      </c>
      <c r="C2370" s="30" t="str">
        <f>VLOOKUP(B2370,'112年全品項生產鍋數'!A:H,2,0)</f>
        <v>草莓蒟蒻餡(1*6kg)</v>
      </c>
      <c r="D2370" s="296">
        <v>20</v>
      </c>
      <c r="E2370" s="48">
        <f>VLOOKUP(B2370,'112年全品項生產鍋數'!A:H,3,0)</f>
        <v>6</v>
      </c>
      <c r="F2370" s="142">
        <f>VLOOKUP(B2370,'112年全品項生產鍋數'!A:H,7,0)</f>
        <v>25.7</v>
      </c>
      <c r="G2370" s="143">
        <f t="shared" si="364"/>
        <v>514</v>
      </c>
      <c r="H2370" s="156">
        <f>303+213</f>
        <v>516</v>
      </c>
      <c r="I2370" s="23">
        <f t="shared" si="365"/>
        <v>3096</v>
      </c>
      <c r="J2370" s="100">
        <f t="shared" si="366"/>
        <v>1.0038910505836576</v>
      </c>
      <c r="K2370" s="51">
        <f>VLOOKUP(B:B,'生產達成率(目標)'!A:C,3,0)</f>
        <v>1</v>
      </c>
      <c r="L2370" s="20">
        <f t="shared" si="367"/>
        <v>4.0000000000000001E-3</v>
      </c>
      <c r="M2370" s="137" t="str">
        <f>工時!R1556</f>
        <v>240</v>
      </c>
      <c r="N2370" s="144"/>
      <c r="O2370" s="144">
        <f t="shared" si="368"/>
        <v>1</v>
      </c>
      <c r="P2370" s="156">
        <f>302+213</f>
        <v>515</v>
      </c>
      <c r="Q2370" s="98">
        <f t="shared" si="369"/>
        <v>0.99806201550387597</v>
      </c>
      <c r="R2370" s="23"/>
      <c r="S2370" s="173"/>
      <c r="T2370" s="30"/>
      <c r="U2370" s="264"/>
      <c r="V2370" s="463"/>
      <c r="X2370" s="463"/>
    </row>
    <row r="2371" spans="1:30" s="146" customFormat="1" x14ac:dyDescent="0.4">
      <c r="A2371" s="212">
        <v>46001</v>
      </c>
      <c r="B2371" s="139" t="s">
        <v>66</v>
      </c>
      <c r="C2371" s="140" t="str">
        <f>VLOOKUP(B2371,'112年全品項生產鍋數'!A:H,2,0)</f>
        <v>＃2花生(1*800g)</v>
      </c>
      <c r="D2371" s="292">
        <v>20</v>
      </c>
      <c r="E2371" s="141">
        <f>VLOOKUP(B2371,'112年全品項生產鍋數'!A:H,3,0)</f>
        <v>0.8</v>
      </c>
      <c r="F2371" s="142">
        <f>VLOOKUP(B2371,'112年全品項生產鍋數'!A:H,7,0)</f>
        <v>157.69999999999999</v>
      </c>
      <c r="G2371" s="143">
        <f t="shared" si="364"/>
        <v>3154</v>
      </c>
      <c r="H2371" s="156">
        <v>3135</v>
      </c>
      <c r="I2371" s="144">
        <f t="shared" si="365"/>
        <v>2508</v>
      </c>
      <c r="J2371" s="100">
        <f t="shared" si="366"/>
        <v>0.99397590361445787</v>
      </c>
      <c r="K2371" s="51">
        <f>VLOOKUP(B:B,'生產達成率(目標)'!A:C,3,0)</f>
        <v>1</v>
      </c>
      <c r="L2371" s="20">
        <f t="shared" si="367"/>
        <v>-6.0000000000000001E-3</v>
      </c>
      <c r="M2371" s="137" t="str">
        <f>工時!R1557</f>
        <v>310</v>
      </c>
      <c r="N2371" s="144"/>
      <c r="O2371" s="144">
        <f t="shared" si="368"/>
        <v>2</v>
      </c>
      <c r="P2371" s="156">
        <v>3133</v>
      </c>
      <c r="Q2371" s="145">
        <f t="shared" si="369"/>
        <v>0.99936204146730467</v>
      </c>
      <c r="R2371" s="144"/>
      <c r="S2371" s="153"/>
      <c r="T2371" s="140" t="s">
        <v>1153</v>
      </c>
      <c r="U2371" s="151"/>
      <c r="V2371" s="464"/>
      <c r="W2371" s="421"/>
      <c r="X2371" s="464"/>
      <c r="Y2371" s="421"/>
      <c r="Z2371" s="421"/>
      <c r="AA2371" s="421"/>
      <c r="AB2371" s="421"/>
      <c r="AC2371" s="421"/>
      <c r="AD2371" s="421"/>
    </row>
    <row r="2372" spans="1:30" s="146" customFormat="1" x14ac:dyDescent="0.4">
      <c r="A2372" s="212">
        <v>46001</v>
      </c>
      <c r="B2372" s="139" t="s">
        <v>96</v>
      </c>
      <c r="C2372" s="140" t="str">
        <f>VLOOKUP(B2372,'112年全品項生產鍋數'!A:H,2,0)</f>
        <v>PET瓶花生(1*340g)</v>
      </c>
      <c r="D2372" s="292">
        <v>16</v>
      </c>
      <c r="E2372" s="141">
        <f>VLOOKUP(B2372,'112年全品項生產鍋數'!A:H,3,0)</f>
        <v>0.34</v>
      </c>
      <c r="F2372" s="142">
        <f>VLOOKUP(B2372,'112年全品項生產鍋數'!A:H,7,0)</f>
        <v>358.3</v>
      </c>
      <c r="G2372" s="143">
        <f t="shared" si="364"/>
        <v>5732.8</v>
      </c>
      <c r="H2372" s="156">
        <v>5769</v>
      </c>
      <c r="I2372" s="144">
        <f t="shared" si="365"/>
        <v>1961.46</v>
      </c>
      <c r="J2372" s="100">
        <f t="shared" si="366"/>
        <v>1.0063145408875245</v>
      </c>
      <c r="K2372" s="51">
        <f>VLOOKUP(B:B,'生產達成率(目標)'!A:C,3,0)</f>
        <v>1</v>
      </c>
      <c r="L2372" s="20">
        <f t="shared" si="367"/>
        <v>6.0000000000000001E-3</v>
      </c>
      <c r="M2372" s="137" t="str">
        <f>工時!R1558</f>
        <v>345</v>
      </c>
      <c r="N2372" s="144"/>
      <c r="O2372" s="144">
        <f t="shared" si="368"/>
        <v>3</v>
      </c>
      <c r="P2372" s="156">
        <v>5766</v>
      </c>
      <c r="Q2372" s="145">
        <f t="shared" si="369"/>
        <v>0.99947997919916798</v>
      </c>
      <c r="R2372" s="144"/>
      <c r="S2372" s="153"/>
      <c r="T2372" s="140"/>
      <c r="U2372" s="151"/>
      <c r="V2372" s="464"/>
      <c r="W2372" s="421"/>
      <c r="X2372" s="464"/>
      <c r="Y2372" s="421"/>
      <c r="Z2372" s="421"/>
      <c r="AA2372" s="421"/>
      <c r="AB2372" s="421"/>
      <c r="AC2372" s="421"/>
      <c r="AD2372" s="421"/>
    </row>
    <row r="2373" spans="1:30" x14ac:dyDescent="0.4">
      <c r="A2373" s="212">
        <v>46001</v>
      </c>
      <c r="B2373" s="139" t="s">
        <v>434</v>
      </c>
      <c r="C2373" s="30" t="str">
        <f>VLOOKUP(B2373,'112年全品項生產鍋數'!A:H,2,0)</f>
        <v>蜜桔皮</v>
      </c>
      <c r="D2373" s="296">
        <v>70</v>
      </c>
      <c r="E2373" s="48">
        <f>VLOOKUP(B2373,'112年全品項生產鍋數'!A:H,3,0)</f>
        <v>1</v>
      </c>
      <c r="F2373" s="142">
        <f>VLOOKUP(B2373,'112年全品項生產鍋數'!A:H,7,0)</f>
        <v>6</v>
      </c>
      <c r="G2373" s="143">
        <f>D2373*F2373</f>
        <v>420</v>
      </c>
      <c r="H2373" s="156">
        <v>418</v>
      </c>
      <c r="I2373" s="23">
        <f>H2373*E2373</f>
        <v>418</v>
      </c>
      <c r="J2373" s="100">
        <f>IF(G2373=0,"無法預估數據",H2373/G2373)</f>
        <v>0.99523809523809526</v>
      </c>
      <c r="K2373" s="51">
        <f>VLOOKUP(B:B,'生產達成率(目標)'!A:C,3,0)</f>
        <v>1</v>
      </c>
      <c r="L2373" s="20">
        <f>IF(G2373=0,"無法預估數據",ROUND(J2373-K2373,3))</f>
        <v>-5.0000000000000001E-3</v>
      </c>
      <c r="M2373" s="137" t="str">
        <f>工時!R1559</f>
        <v>0</v>
      </c>
      <c r="N2373" s="144"/>
      <c r="O2373" s="144">
        <f>H2373-N2373-P2373</f>
        <v>0</v>
      </c>
      <c r="P2373" s="156">
        <v>418</v>
      </c>
      <c r="Q2373" s="98">
        <f>P2373/H2373</f>
        <v>1</v>
      </c>
      <c r="R2373" s="23"/>
      <c r="S2373" s="173"/>
      <c r="T2373" s="30"/>
      <c r="U2373" s="264"/>
      <c r="V2373" s="463"/>
      <c r="X2373" s="463"/>
    </row>
    <row r="2374" spans="1:30" x14ac:dyDescent="0.4">
      <c r="A2374" s="212">
        <v>46001</v>
      </c>
      <c r="B2374" s="139" t="s">
        <v>500</v>
      </c>
      <c r="C2374" s="30" t="str">
        <f>VLOOKUP(B2374,'112年全品項生產鍋數'!A:H,2,0)</f>
        <v>蜜餞水果(1*1kg)</v>
      </c>
      <c r="D2374" s="296">
        <v>30</v>
      </c>
      <c r="E2374" s="48">
        <f>VLOOKUP(B2374,'112年全品項生產鍋數'!A:H,3,0)</f>
        <v>1</v>
      </c>
      <c r="F2374" s="142">
        <f>VLOOKUP(B2374,'112年全品項生產鍋數'!A:H,7,0)</f>
        <v>5.7</v>
      </c>
      <c r="G2374" s="143">
        <f>D2374*F2374</f>
        <v>171</v>
      </c>
      <c r="H2374" s="156">
        <v>145</v>
      </c>
      <c r="I2374" s="23">
        <f>H2374*E2374</f>
        <v>145</v>
      </c>
      <c r="J2374" s="100">
        <f>IF(G2374=0,"無法預估數據",H2374/G2374)</f>
        <v>0.84795321637426901</v>
      </c>
      <c r="K2374" s="51">
        <f>VLOOKUP(B:B,'生產達成率(目標)'!A:C,3,0)</f>
        <v>1</v>
      </c>
      <c r="L2374" s="20">
        <f>IF(G2374=0,"無法預估數據",ROUND(J2374-K2374,3))</f>
        <v>-0.152</v>
      </c>
      <c r="M2374" s="137" t="str">
        <f>工時!R1560</f>
        <v>0</v>
      </c>
      <c r="N2374" s="144"/>
      <c r="O2374" s="144">
        <f>H2374-N2374-P2374</f>
        <v>0</v>
      </c>
      <c r="P2374" s="156">
        <v>145</v>
      </c>
      <c r="Q2374" s="98">
        <f>P2374/H2374</f>
        <v>1</v>
      </c>
      <c r="R2374" s="23"/>
      <c r="S2374" s="173"/>
      <c r="T2374" s="30"/>
      <c r="U2374" s="264"/>
      <c r="V2374" s="463"/>
      <c r="X2374" s="463"/>
    </row>
    <row r="2375" spans="1:30" x14ac:dyDescent="0.4">
      <c r="A2375" s="212">
        <v>46002</v>
      </c>
      <c r="B2375" s="139" t="s">
        <v>71</v>
      </c>
      <c r="C2375" s="30" t="str">
        <f>VLOOKUP(B2375,'112年全品項生產鍋數'!A:H,2,0)</f>
        <v>＃1草莓(1*3.2kg)</v>
      </c>
      <c r="D2375" s="296">
        <v>36</v>
      </c>
      <c r="E2375" s="48">
        <f>VLOOKUP(B2375,'112年全品項生產鍋數'!A:H,3,0)</f>
        <v>3.2</v>
      </c>
      <c r="F2375" s="142">
        <f>VLOOKUP(B2375,'112年全品項生產鍋數'!A:H,7,0)</f>
        <v>46.8</v>
      </c>
      <c r="G2375" s="143">
        <f t="shared" si="364"/>
        <v>1684.8</v>
      </c>
      <c r="H2375" s="156">
        <v>1716</v>
      </c>
      <c r="I2375" s="23">
        <f t="shared" si="365"/>
        <v>5491.2000000000007</v>
      </c>
      <c r="J2375" s="100">
        <f t="shared" si="366"/>
        <v>1.0185185185185186</v>
      </c>
      <c r="K2375" s="51">
        <f>VLOOKUP(B:B,'生產達成率(目標)'!A:C,3,0)</f>
        <v>1</v>
      </c>
      <c r="L2375" s="20">
        <f t="shared" si="367"/>
        <v>1.9E-2</v>
      </c>
      <c r="M2375" s="137" t="str">
        <f>工時!R1561</f>
        <v>340</v>
      </c>
      <c r="N2375" s="144"/>
      <c r="O2375" s="144">
        <f t="shared" si="368"/>
        <v>4</v>
      </c>
      <c r="P2375" s="156">
        <v>1712</v>
      </c>
      <c r="Q2375" s="98">
        <f t="shared" si="369"/>
        <v>0.99766899766899764</v>
      </c>
      <c r="R2375" s="23" t="s">
        <v>1240</v>
      </c>
      <c r="S2375" s="173">
        <v>68</v>
      </c>
      <c r="T2375" s="30"/>
      <c r="U2375" s="264"/>
      <c r="V2375" s="463"/>
      <c r="X2375" s="463"/>
    </row>
    <row r="2376" spans="1:30" x14ac:dyDescent="0.4">
      <c r="A2376" s="212">
        <v>46002</v>
      </c>
      <c r="B2376" s="139" t="s">
        <v>87</v>
      </c>
      <c r="C2376" s="30" t="str">
        <f>VLOOKUP(B2376,'112年全品項生產鍋數'!A:H,2,0)</f>
        <v>＃1藍莓(1*3.2kg)</v>
      </c>
      <c r="D2376" s="296">
        <v>36</v>
      </c>
      <c r="E2376" s="48">
        <f>VLOOKUP(B2376,'112年全品項生產鍋數'!A:H,3,0)</f>
        <v>3.2</v>
      </c>
      <c r="F2376" s="142">
        <f>VLOOKUP(B2376,'112年全品項生產鍋數'!A:H,7,0)</f>
        <v>47.5</v>
      </c>
      <c r="G2376" s="143">
        <f t="shared" si="364"/>
        <v>1710</v>
      </c>
      <c r="H2376" s="156">
        <v>1683</v>
      </c>
      <c r="I2376" s="23">
        <f t="shared" si="365"/>
        <v>5385.6</v>
      </c>
      <c r="J2376" s="100">
        <f t="shared" si="366"/>
        <v>0.98421052631578942</v>
      </c>
      <c r="K2376" s="51">
        <f>VLOOKUP(B:B,'生產達成率(目標)'!A:C,3,0)</f>
        <v>1</v>
      </c>
      <c r="L2376" s="20">
        <f t="shared" si="367"/>
        <v>-1.6E-2</v>
      </c>
      <c r="M2376" s="137" t="str">
        <f>工時!R1562</f>
        <v>240</v>
      </c>
      <c r="N2376" s="144"/>
      <c r="O2376" s="144">
        <f t="shared" si="368"/>
        <v>1</v>
      </c>
      <c r="P2376" s="156">
        <v>1682</v>
      </c>
      <c r="Q2376" s="98">
        <f t="shared" si="369"/>
        <v>0.99940582293523472</v>
      </c>
      <c r="R2376" s="23"/>
      <c r="S2376" s="173"/>
      <c r="T2376" s="30" t="s">
        <v>1153</v>
      </c>
      <c r="U2376" s="264"/>
      <c r="V2376" s="463"/>
      <c r="X2376" s="463"/>
    </row>
    <row r="2377" spans="1:30" x14ac:dyDescent="0.4">
      <c r="A2377" s="212">
        <v>46002</v>
      </c>
      <c r="B2377" s="139" t="s">
        <v>88</v>
      </c>
      <c r="C2377" s="30" t="str">
        <f>VLOOKUP(B2377,'112年全品項生產鍋數'!A:H,2,0)</f>
        <v>草莓餡(1*6KG)</v>
      </c>
      <c r="D2377" s="296">
        <v>32</v>
      </c>
      <c r="E2377" s="48">
        <f>VLOOKUP(B2377,'112年全品項生產鍋數'!A:H,3,0)</f>
        <v>6</v>
      </c>
      <c r="F2377" s="142">
        <f>VLOOKUP(B2377,'112年全品項生產鍋數'!A:H,7,0)</f>
        <v>25.5</v>
      </c>
      <c r="G2377" s="143">
        <f t="shared" si="364"/>
        <v>816</v>
      </c>
      <c r="H2377" s="156">
        <v>822</v>
      </c>
      <c r="I2377" s="23">
        <f t="shared" si="365"/>
        <v>4932</v>
      </c>
      <c r="J2377" s="100">
        <f t="shared" si="366"/>
        <v>1.0073529411764706</v>
      </c>
      <c r="K2377" s="51">
        <f>VLOOKUP(B:B,'生產達成率(目標)'!A:C,3,0)</f>
        <v>1</v>
      </c>
      <c r="L2377" s="20">
        <f t="shared" si="367"/>
        <v>7.0000000000000001E-3</v>
      </c>
      <c r="M2377" s="137" t="str">
        <f>工時!R1563</f>
        <v>390</v>
      </c>
      <c r="N2377" s="144"/>
      <c r="O2377" s="144">
        <f t="shared" si="368"/>
        <v>2</v>
      </c>
      <c r="P2377" s="156">
        <v>820</v>
      </c>
      <c r="Q2377" s="98">
        <f t="shared" si="369"/>
        <v>0.9975669099756691</v>
      </c>
      <c r="R2377" s="23"/>
      <c r="S2377" s="173"/>
      <c r="T2377" s="30"/>
      <c r="U2377" s="264"/>
      <c r="V2377" s="463"/>
      <c r="X2377" s="463"/>
    </row>
    <row r="2378" spans="1:30" x14ac:dyDescent="0.4">
      <c r="A2378" s="212">
        <v>46002</v>
      </c>
      <c r="B2378" s="139" t="s">
        <v>75</v>
      </c>
      <c r="C2378" s="30" t="str">
        <f>VLOOKUP(B2378,'112年全品項生產鍋數'!A:H,2,0)</f>
        <v>草莓椰果餡(1*6Kg)</v>
      </c>
      <c r="D2378" s="296">
        <v>8</v>
      </c>
      <c r="E2378" s="48">
        <f>VLOOKUP(B2378,'112年全品項生產鍋數'!A:H,3,0)</f>
        <v>6</v>
      </c>
      <c r="F2378" s="142">
        <f>VLOOKUP(B2378,'112年全品項生產鍋數'!A:H,7,0)</f>
        <v>26.4</v>
      </c>
      <c r="G2378" s="143">
        <f t="shared" si="364"/>
        <v>211.2</v>
      </c>
      <c r="H2378" s="156">
        <v>214</v>
      </c>
      <c r="I2378" s="23">
        <f t="shared" si="365"/>
        <v>1284</v>
      </c>
      <c r="J2378" s="100">
        <f t="shared" si="366"/>
        <v>1.0132575757575759</v>
      </c>
      <c r="K2378" s="51">
        <f>VLOOKUP(B:B,'生產達成率(目標)'!A:C,3,0)</f>
        <v>1</v>
      </c>
      <c r="L2378" s="20">
        <f t="shared" si="367"/>
        <v>1.2999999999999999E-2</v>
      </c>
      <c r="M2378" s="137" t="str">
        <f>工時!R1564</f>
        <v>159</v>
      </c>
      <c r="N2378" s="144"/>
      <c r="O2378" s="144">
        <f t="shared" si="368"/>
        <v>3</v>
      </c>
      <c r="P2378" s="156">
        <v>211</v>
      </c>
      <c r="Q2378" s="98">
        <f t="shared" si="369"/>
        <v>0.98598130841121501</v>
      </c>
      <c r="R2378" s="23"/>
      <c r="S2378" s="173"/>
      <c r="T2378" s="30" t="s">
        <v>1153</v>
      </c>
      <c r="U2378" s="264"/>
      <c r="V2378" s="463"/>
      <c r="X2378" s="463"/>
    </row>
    <row r="2379" spans="1:30" s="146" customFormat="1" x14ac:dyDescent="0.4">
      <c r="A2379" s="212">
        <v>46002</v>
      </c>
      <c r="B2379" s="139" t="s">
        <v>65</v>
      </c>
      <c r="C2379" s="140" t="str">
        <f>VLOOKUP(B2379,'112年全品項生產鍋數'!A:H,2,0)</f>
        <v>＃1花生(1*2.8kg)</v>
      </c>
      <c r="D2379" s="292">
        <v>32</v>
      </c>
      <c r="E2379" s="141">
        <f>VLOOKUP(B2379,'112年全品項生產鍋數'!A:H,3,0)</f>
        <v>2.8</v>
      </c>
      <c r="F2379" s="142">
        <f>VLOOKUP(B2379,'112年全品項生產鍋數'!A:H,7,0)</f>
        <v>44.5</v>
      </c>
      <c r="G2379" s="143">
        <f t="shared" si="364"/>
        <v>1424</v>
      </c>
      <c r="H2379" s="156">
        <v>1481</v>
      </c>
      <c r="I2379" s="144">
        <f t="shared" si="365"/>
        <v>4146.8</v>
      </c>
      <c r="J2379" s="100">
        <f t="shared" si="366"/>
        <v>1.0400280898876404</v>
      </c>
      <c r="K2379" s="51">
        <f>VLOOKUP(B:B,'生產達成率(目標)'!A:C,3,0)</f>
        <v>1</v>
      </c>
      <c r="L2379" s="20">
        <f t="shared" si="367"/>
        <v>0.04</v>
      </c>
      <c r="M2379" s="137" t="str">
        <f>工時!R1565</f>
        <v>320</v>
      </c>
      <c r="N2379" s="144"/>
      <c r="O2379" s="144">
        <f t="shared" si="368"/>
        <v>1</v>
      </c>
      <c r="P2379" s="156">
        <v>1480</v>
      </c>
      <c r="Q2379" s="145">
        <f t="shared" si="369"/>
        <v>0.9993247805536799</v>
      </c>
      <c r="R2379" s="144"/>
      <c r="S2379" s="153"/>
      <c r="T2379" s="140"/>
      <c r="U2379" s="151"/>
      <c r="V2379" s="464"/>
      <c r="W2379" s="421"/>
      <c r="X2379" s="464"/>
      <c r="Y2379" s="421"/>
      <c r="Z2379" s="421"/>
      <c r="AA2379" s="421"/>
      <c r="AB2379" s="421"/>
      <c r="AC2379" s="421"/>
      <c r="AD2379" s="421"/>
    </row>
    <row r="2380" spans="1:30" x14ac:dyDescent="0.4">
      <c r="A2380" s="212">
        <v>46002</v>
      </c>
      <c r="B2380" s="139" t="s">
        <v>536</v>
      </c>
      <c r="C2380" s="30" t="str">
        <f>VLOOKUP(B2380,'112年全品項生產鍋數'!A:H,2,0)</f>
        <v>花生醬(1*3.5KG)</v>
      </c>
      <c r="D2380" s="296">
        <v>6</v>
      </c>
      <c r="E2380" s="48">
        <f>VLOOKUP(B2380,'112年全品項生產鍋數'!A:H,3,0)</f>
        <v>3.5</v>
      </c>
      <c r="F2380" s="142">
        <f>VLOOKUP(B2380,'112年全品項生產鍋數'!A:H,7,0)</f>
        <v>25.4</v>
      </c>
      <c r="G2380" s="143">
        <f t="shared" si="364"/>
        <v>152.39999999999998</v>
      </c>
      <c r="H2380" s="156">
        <v>148</v>
      </c>
      <c r="I2380" s="23">
        <f t="shared" si="365"/>
        <v>518</v>
      </c>
      <c r="J2380" s="100">
        <f t="shared" si="366"/>
        <v>0.97112860892388464</v>
      </c>
      <c r="K2380" s="51">
        <f>VLOOKUP(B:B,'生產達成率(目標)'!A:C,3,0)</f>
        <v>1</v>
      </c>
      <c r="L2380" s="20">
        <f t="shared" si="367"/>
        <v>-2.9000000000000001E-2</v>
      </c>
      <c r="M2380" s="137" t="str">
        <f>工時!R1566</f>
        <v>360</v>
      </c>
      <c r="N2380" s="144"/>
      <c r="O2380" s="144">
        <f t="shared" si="368"/>
        <v>0</v>
      </c>
      <c r="P2380" s="156">
        <v>148</v>
      </c>
      <c r="Q2380" s="98">
        <f t="shared" si="369"/>
        <v>1</v>
      </c>
      <c r="R2380" s="23"/>
      <c r="S2380" s="173"/>
      <c r="T2380" s="30" t="s">
        <v>1153</v>
      </c>
      <c r="U2380" s="264"/>
      <c r="V2380" s="463"/>
      <c r="X2380" s="463"/>
    </row>
    <row r="2381" spans="1:30" s="146" customFormat="1" ht="15.75" customHeight="1" x14ac:dyDescent="0.4">
      <c r="A2381" s="212">
        <v>46003</v>
      </c>
      <c r="B2381" s="139" t="s">
        <v>54</v>
      </c>
      <c r="C2381" s="140" t="str">
        <f>VLOOKUP(B2381,'112年全品項生產鍋數'!A:H,2,0)</f>
        <v>草莓醬(1*6kg)</v>
      </c>
      <c r="D2381" s="292">
        <v>30</v>
      </c>
      <c r="E2381" s="141">
        <f>VLOOKUP(B2381,'112年全品項生產鍋數'!A:H,3,0)</f>
        <v>6</v>
      </c>
      <c r="F2381" s="142">
        <f>VLOOKUP(B2381,'112年全品項生產鍋數'!A:H,7,0)</f>
        <v>26.6</v>
      </c>
      <c r="G2381" s="143">
        <f t="shared" si="364"/>
        <v>798</v>
      </c>
      <c r="H2381" s="156">
        <v>790</v>
      </c>
      <c r="I2381" s="144">
        <f t="shared" si="365"/>
        <v>4740</v>
      </c>
      <c r="J2381" s="100">
        <f t="shared" si="366"/>
        <v>0.9899749373433584</v>
      </c>
      <c r="K2381" s="51">
        <f>VLOOKUP(B:B,'生產達成率(目標)'!A:C,3,0)</f>
        <v>1</v>
      </c>
      <c r="L2381" s="20">
        <f t="shared" si="367"/>
        <v>-0.01</v>
      </c>
      <c r="M2381" s="137" t="str">
        <f>工時!R1567</f>
        <v>400</v>
      </c>
      <c r="N2381" s="144"/>
      <c r="O2381" s="144">
        <f t="shared" si="368"/>
        <v>1</v>
      </c>
      <c r="P2381" s="156">
        <v>789</v>
      </c>
      <c r="Q2381" s="145">
        <f t="shared" si="369"/>
        <v>0.99873417721518987</v>
      </c>
      <c r="R2381" s="144"/>
      <c r="S2381" s="153"/>
      <c r="T2381" s="140" t="s">
        <v>1153</v>
      </c>
      <c r="U2381" s="151"/>
      <c r="V2381" s="464"/>
      <c r="W2381" s="421"/>
      <c r="X2381" s="464"/>
      <c r="Y2381" s="421"/>
      <c r="Z2381" s="421"/>
      <c r="AA2381" s="421"/>
      <c r="AB2381" s="421"/>
      <c r="AC2381" s="421"/>
      <c r="AD2381" s="421"/>
    </row>
    <row r="2382" spans="1:30" s="146" customFormat="1" x14ac:dyDescent="0.4">
      <c r="A2382" s="212">
        <v>46003</v>
      </c>
      <c r="B2382" s="139" t="s">
        <v>51</v>
      </c>
      <c r="C2382" s="140" t="str">
        <f>VLOOKUP(B2382,'112年全品項生產鍋數'!A:H,2,0)</f>
        <v>藍莓醬(1*6kg)</v>
      </c>
      <c r="D2382" s="292">
        <v>12</v>
      </c>
      <c r="E2382" s="141">
        <f>VLOOKUP(B2382,'112年全品項生產鍋數'!A:H,3,0)</f>
        <v>6</v>
      </c>
      <c r="F2382" s="142">
        <f>VLOOKUP(B2382,'112年全品項生產鍋數'!A:H,7,0)</f>
        <v>25.5</v>
      </c>
      <c r="G2382" s="143">
        <f t="shared" si="364"/>
        <v>306</v>
      </c>
      <c r="H2382" s="156">
        <v>303</v>
      </c>
      <c r="I2382" s="144">
        <f t="shared" si="365"/>
        <v>1818</v>
      </c>
      <c r="J2382" s="100">
        <f t="shared" si="366"/>
        <v>0.99019607843137258</v>
      </c>
      <c r="K2382" s="51">
        <f>VLOOKUP(B:B,'生產達成率(目標)'!A:C,3,0)</f>
        <v>1</v>
      </c>
      <c r="L2382" s="20">
        <f t="shared" si="367"/>
        <v>-0.01</v>
      </c>
      <c r="M2382" s="137" t="str">
        <f>工時!R1568</f>
        <v>202</v>
      </c>
      <c r="N2382" s="144"/>
      <c r="O2382" s="144">
        <f t="shared" si="368"/>
        <v>1</v>
      </c>
      <c r="P2382" s="156">
        <v>302</v>
      </c>
      <c r="Q2382" s="145">
        <f t="shared" si="369"/>
        <v>0.99669966996699666</v>
      </c>
      <c r="R2382" s="144"/>
      <c r="S2382" s="153"/>
      <c r="T2382" s="140" t="s">
        <v>1153</v>
      </c>
      <c r="U2382" s="151"/>
      <c r="V2382" s="464"/>
      <c r="W2382" s="421"/>
      <c r="X2382" s="464"/>
      <c r="Y2382" s="421"/>
      <c r="Z2382" s="421"/>
      <c r="AA2382" s="421"/>
      <c r="AB2382" s="421"/>
      <c r="AC2382" s="421"/>
      <c r="AD2382" s="421"/>
    </row>
    <row r="2383" spans="1:30" s="146" customFormat="1" x14ac:dyDescent="0.4">
      <c r="A2383" s="212">
        <v>46003</v>
      </c>
      <c r="B2383" s="139" t="s">
        <v>56</v>
      </c>
      <c r="C2383" s="140" t="str">
        <f>VLOOKUP(B2383,'112年全品項生產鍋數'!A:H,2,0)</f>
        <v>天天熱帶水果餡 4.5KG</v>
      </c>
      <c r="D2383" s="292">
        <v>8</v>
      </c>
      <c r="E2383" s="141">
        <f>VLOOKUP(B2383,'112年全品項生產鍋數'!A:H,3,0)</f>
        <v>4.5</v>
      </c>
      <c r="F2383" s="142">
        <f>VLOOKUP(B2383,'112年全品項生產鍋數'!A:H,7,0)</f>
        <v>34.5</v>
      </c>
      <c r="G2383" s="143">
        <f t="shared" si="364"/>
        <v>276</v>
      </c>
      <c r="H2383" s="156">
        <v>284</v>
      </c>
      <c r="I2383" s="144">
        <f t="shared" si="365"/>
        <v>1278</v>
      </c>
      <c r="J2383" s="100">
        <f t="shared" si="366"/>
        <v>1.0289855072463767</v>
      </c>
      <c r="K2383" s="51">
        <f>VLOOKUP(B:B,'生產達成率(目標)'!A:C,3,0)</f>
        <v>1</v>
      </c>
      <c r="L2383" s="20">
        <f t="shared" si="367"/>
        <v>2.9000000000000001E-2</v>
      </c>
      <c r="M2383" s="137" t="str">
        <f>工時!R1569</f>
        <v>180</v>
      </c>
      <c r="N2383" s="144"/>
      <c r="O2383" s="144">
        <f t="shared" si="368"/>
        <v>0</v>
      </c>
      <c r="P2383" s="156">
        <v>284</v>
      </c>
      <c r="Q2383" s="145">
        <f t="shared" si="369"/>
        <v>1</v>
      </c>
      <c r="R2383" s="144"/>
      <c r="S2383" s="153"/>
      <c r="T2383" s="140" t="s">
        <v>1153</v>
      </c>
      <c r="U2383" s="151"/>
      <c r="V2383" s="464"/>
      <c r="W2383" s="421"/>
      <c r="X2383" s="464"/>
      <c r="Y2383" s="421"/>
      <c r="Z2383" s="421"/>
      <c r="AA2383" s="421"/>
      <c r="AB2383" s="421"/>
      <c r="AC2383" s="421"/>
      <c r="AD2383" s="421"/>
    </row>
    <row r="2384" spans="1:30" s="146" customFormat="1" x14ac:dyDescent="0.4">
      <c r="A2384" s="212">
        <v>46003</v>
      </c>
      <c r="B2384" s="139" t="s">
        <v>101</v>
      </c>
      <c r="C2384" s="140" t="str">
        <f>VLOOKUP(B2384,'112年全品項生產鍋數'!A:H,2,0)</f>
        <v>上好佳綜合莓餡4.5KG</v>
      </c>
      <c r="D2384" s="292">
        <v>3</v>
      </c>
      <c r="E2384" s="141">
        <f>VLOOKUP(B2384,'112年全品項生產鍋數'!A:H,3,0)</f>
        <v>4.5</v>
      </c>
      <c r="F2384" s="142">
        <f>VLOOKUP(B2384,'112年全品項生產鍋數'!A:H,7,0)</f>
        <v>32.799999999999997</v>
      </c>
      <c r="G2384" s="143">
        <f t="shared" si="364"/>
        <v>98.399999999999991</v>
      </c>
      <c r="H2384" s="156">
        <v>101</v>
      </c>
      <c r="I2384" s="144">
        <f t="shared" si="365"/>
        <v>454.5</v>
      </c>
      <c r="J2384" s="100">
        <f t="shared" si="366"/>
        <v>1.0264227642276424</v>
      </c>
      <c r="K2384" s="51">
        <f>VLOOKUP(B:B,'生產達成率(目標)'!A:C,3,0)</f>
        <v>1</v>
      </c>
      <c r="L2384" s="20">
        <f t="shared" si="367"/>
        <v>2.5999999999999999E-2</v>
      </c>
      <c r="M2384" s="137" t="str">
        <f>工時!R1570</f>
        <v>130</v>
      </c>
      <c r="N2384" s="144"/>
      <c r="O2384" s="144">
        <f t="shared" si="368"/>
        <v>0</v>
      </c>
      <c r="P2384" s="156">
        <v>101</v>
      </c>
      <c r="Q2384" s="145">
        <f t="shared" si="369"/>
        <v>1</v>
      </c>
      <c r="R2384" s="144"/>
      <c r="S2384" s="153"/>
      <c r="T2384" s="140" t="s">
        <v>1153</v>
      </c>
      <c r="U2384" s="151"/>
      <c r="V2384" s="464"/>
      <c r="W2384" s="421"/>
      <c r="X2384" s="464"/>
      <c r="Y2384" s="421"/>
      <c r="Z2384" s="421"/>
      <c r="AA2384" s="421"/>
      <c r="AB2384" s="421"/>
      <c r="AC2384" s="421"/>
      <c r="AD2384" s="421"/>
    </row>
    <row r="2385" spans="1:30" s="146" customFormat="1" x14ac:dyDescent="0.4">
      <c r="A2385" s="212">
        <v>46003</v>
      </c>
      <c r="B2385" s="139" t="s">
        <v>55</v>
      </c>
      <c r="C2385" s="140" t="str">
        <f>VLOOKUP(B2385,'112年全品項生產鍋數'!A:H,2,0)</f>
        <v>天天開心草莓餡4.5KG</v>
      </c>
      <c r="D2385" s="292">
        <v>24</v>
      </c>
      <c r="E2385" s="141">
        <f>VLOOKUP(B2385,'112年全品項生產鍋數'!A:H,3,0)</f>
        <v>4.5</v>
      </c>
      <c r="F2385" s="142">
        <f>VLOOKUP(B2385,'112年全品項生產鍋數'!A:H,7,0)</f>
        <v>36.299999999999997</v>
      </c>
      <c r="G2385" s="143">
        <f t="shared" si="364"/>
        <v>871.19999999999993</v>
      </c>
      <c r="H2385" s="156">
        <v>874</v>
      </c>
      <c r="I2385" s="144">
        <f t="shared" si="365"/>
        <v>3933</v>
      </c>
      <c r="J2385" s="100">
        <f t="shared" si="366"/>
        <v>1.0032139577594124</v>
      </c>
      <c r="K2385" s="51">
        <f>VLOOKUP(B:B,'生產達成率(目標)'!A:C,3,0)</f>
        <v>1</v>
      </c>
      <c r="L2385" s="20">
        <f t="shared" si="367"/>
        <v>3.0000000000000001E-3</v>
      </c>
      <c r="M2385" s="137" t="str">
        <f>工時!R1571</f>
        <v>328</v>
      </c>
      <c r="N2385" s="144"/>
      <c r="O2385" s="144">
        <f t="shared" si="368"/>
        <v>0</v>
      </c>
      <c r="P2385" s="156">
        <v>874</v>
      </c>
      <c r="Q2385" s="145">
        <f t="shared" si="369"/>
        <v>1</v>
      </c>
      <c r="R2385" s="144"/>
      <c r="S2385" s="153"/>
      <c r="T2385" s="140"/>
      <c r="U2385" s="151"/>
      <c r="V2385" s="464"/>
      <c r="W2385" s="421"/>
      <c r="X2385" s="464"/>
      <c r="Y2385" s="421"/>
      <c r="Z2385" s="421"/>
      <c r="AA2385" s="421"/>
      <c r="AB2385" s="421"/>
      <c r="AC2385" s="421"/>
      <c r="AD2385" s="421"/>
    </row>
    <row r="2386" spans="1:30" s="146" customFormat="1" x14ac:dyDescent="0.4">
      <c r="A2386" s="212">
        <v>46003</v>
      </c>
      <c r="B2386" s="139" t="s">
        <v>82</v>
      </c>
      <c r="C2386" s="140" t="str">
        <f>VLOOKUP(B2386,'112年全品項生產鍋數'!A:H,2,0)</f>
        <v>顆粒花生醬(全)</v>
      </c>
      <c r="D2386" s="292">
        <v>24</v>
      </c>
      <c r="E2386" s="141">
        <f>VLOOKUP(B2386,'112年全品項生產鍋數'!A:H,3,0)</f>
        <v>0.34</v>
      </c>
      <c r="F2386" s="142">
        <f>VLOOKUP(B2386,'112年全品項生產鍋數'!A:H,7,0)</f>
        <v>364.6</v>
      </c>
      <c r="G2386" s="143">
        <f t="shared" si="364"/>
        <v>8750.4000000000015</v>
      </c>
      <c r="H2386" s="156">
        <f>4612+3602</f>
        <v>8214</v>
      </c>
      <c r="I2386" s="144">
        <f t="shared" si="365"/>
        <v>2792.76</v>
      </c>
      <c r="J2386" s="100">
        <f t="shared" si="366"/>
        <v>0.93869994514536459</v>
      </c>
      <c r="K2386" s="51">
        <f>VLOOKUP(B:B,'生產達成率(目標)'!A:C,3,0)</f>
        <v>1</v>
      </c>
      <c r="L2386" s="20">
        <f t="shared" si="367"/>
        <v>-6.0999999999999999E-2</v>
      </c>
      <c r="M2386" s="137" t="str">
        <f>工時!R1572</f>
        <v>465</v>
      </c>
      <c r="N2386" s="144"/>
      <c r="O2386" s="144">
        <f t="shared" si="368"/>
        <v>33</v>
      </c>
      <c r="P2386" s="156">
        <f>4581+3600</f>
        <v>8181</v>
      </c>
      <c r="Q2386" s="145">
        <f t="shared" si="369"/>
        <v>0.99598246895544196</v>
      </c>
      <c r="R2386" s="144"/>
      <c r="S2386" s="153"/>
      <c r="T2386" s="140"/>
      <c r="U2386" s="151"/>
      <c r="V2386" s="464"/>
      <c r="W2386" s="421"/>
      <c r="X2386" s="464"/>
      <c r="Y2386" s="421"/>
      <c r="Z2386" s="421"/>
      <c r="AA2386" s="421"/>
      <c r="AB2386" s="421"/>
      <c r="AC2386" s="421"/>
      <c r="AD2386" s="421"/>
    </row>
    <row r="2387" spans="1:30" s="146" customFormat="1" x14ac:dyDescent="0.4">
      <c r="A2387" s="212">
        <v>46003</v>
      </c>
      <c r="B2387" s="139" t="s">
        <v>83</v>
      </c>
      <c r="C2387" s="140" t="str">
        <f>VLOOKUP(B2387,'112年全品項生產鍋數'!A:H,2,0)</f>
        <v>PET瓶花生(粒)(1*340g)</v>
      </c>
      <c r="D2387" s="292">
        <v>12</v>
      </c>
      <c r="E2387" s="141">
        <f>VLOOKUP(B2387,'112年全品項生產鍋數'!A:H,3,0)</f>
        <v>0.34</v>
      </c>
      <c r="F2387" s="142">
        <f>VLOOKUP(B2387,'112年全品項生產鍋數'!A:H,7,0)</f>
        <v>366</v>
      </c>
      <c r="G2387" s="143">
        <f t="shared" si="364"/>
        <v>4392</v>
      </c>
      <c r="H2387" s="156">
        <v>4693</v>
      </c>
      <c r="I2387" s="144">
        <f t="shared" si="365"/>
        <v>1595.6200000000001</v>
      </c>
      <c r="J2387" s="100">
        <f t="shared" si="366"/>
        <v>1.0685336976320583</v>
      </c>
      <c r="K2387" s="51">
        <f>VLOOKUP(B:B,'生產達成率(目標)'!A:C,3,0)</f>
        <v>1</v>
      </c>
      <c r="L2387" s="20">
        <f t="shared" si="367"/>
        <v>6.9000000000000006E-2</v>
      </c>
      <c r="M2387" s="137" t="str">
        <f>工時!R1573</f>
        <v>360</v>
      </c>
      <c r="N2387" s="144"/>
      <c r="O2387" s="144">
        <f t="shared" si="368"/>
        <v>3</v>
      </c>
      <c r="P2387" s="156">
        <f>4318+372</f>
        <v>4690</v>
      </c>
      <c r="Q2387" s="145">
        <f t="shared" si="369"/>
        <v>0.99936075005327085</v>
      </c>
      <c r="R2387" s="144"/>
      <c r="S2387" s="153"/>
      <c r="T2387" s="140"/>
      <c r="U2387" s="151"/>
      <c r="V2387" s="464"/>
      <c r="W2387" s="421"/>
      <c r="X2387" s="464"/>
      <c r="Y2387" s="421"/>
      <c r="Z2387" s="421"/>
      <c r="AA2387" s="421"/>
      <c r="AB2387" s="421"/>
      <c r="AC2387" s="421"/>
      <c r="AD2387" s="421"/>
    </row>
    <row r="2388" spans="1:30" x14ac:dyDescent="0.4">
      <c r="A2388" s="212">
        <v>46006</v>
      </c>
      <c r="B2388" s="139" t="s">
        <v>80</v>
      </c>
      <c r="C2388" s="30" t="str">
        <f>VLOOKUP(B2388,'112年全品項生產鍋數'!A:H,2,0)</f>
        <v>＃1桔子(1*3.2kg)</v>
      </c>
      <c r="D2388" s="296">
        <v>32</v>
      </c>
      <c r="E2388" s="48">
        <f>VLOOKUP(B2388,'112年全品項生產鍋數'!A:H,3,0)</f>
        <v>3.2</v>
      </c>
      <c r="F2388" s="142">
        <f>VLOOKUP(B2388,'112年全品項生產鍋數'!A:H,7,0)</f>
        <v>46.4</v>
      </c>
      <c r="G2388" s="143">
        <f t="shared" si="364"/>
        <v>1484.8</v>
      </c>
      <c r="H2388" s="156">
        <v>1435</v>
      </c>
      <c r="I2388" s="23">
        <f t="shared" si="365"/>
        <v>4592</v>
      </c>
      <c r="J2388" s="100">
        <f t="shared" si="366"/>
        <v>0.96646012931034486</v>
      </c>
      <c r="K2388" s="51">
        <f>VLOOKUP(B:B,'生產達成率(目標)'!A:C,3,0)</f>
        <v>1</v>
      </c>
      <c r="L2388" s="20">
        <f t="shared" si="367"/>
        <v>-3.4000000000000002E-2</v>
      </c>
      <c r="M2388" s="137" t="str">
        <f>工時!R1574</f>
        <v>360</v>
      </c>
      <c r="N2388" s="144"/>
      <c r="O2388" s="144">
        <f t="shared" si="368"/>
        <v>1</v>
      </c>
      <c r="P2388" s="156">
        <v>1434</v>
      </c>
      <c r="Q2388" s="98">
        <f t="shared" si="369"/>
        <v>0.99930313588850173</v>
      </c>
      <c r="R2388" s="23"/>
      <c r="S2388" s="173"/>
      <c r="T2388" s="30" t="s">
        <v>1153</v>
      </c>
      <c r="U2388" s="264"/>
      <c r="V2388" s="463"/>
      <c r="X2388" s="463"/>
    </row>
    <row r="2389" spans="1:30" x14ac:dyDescent="0.4">
      <c r="A2389" s="212">
        <v>46006</v>
      </c>
      <c r="B2389" s="139" t="s">
        <v>99</v>
      </c>
      <c r="C2389" s="30" t="str">
        <f>VLOOKUP(B2389,'112年全品項生產鍋數'!A:H,2,0)</f>
        <v>葡萄奇異果醬(1*6kg)</v>
      </c>
      <c r="D2389" s="296">
        <v>8</v>
      </c>
      <c r="E2389" s="48">
        <f>VLOOKUP(B2389,'112年全品項生產鍋數'!A:H,3,0)</f>
        <v>6</v>
      </c>
      <c r="F2389" s="142">
        <f>VLOOKUP(B2389,'112年全品項生產鍋數'!A:H,7,0)</f>
        <v>24.3</v>
      </c>
      <c r="G2389" s="143">
        <f t="shared" si="364"/>
        <v>194.4</v>
      </c>
      <c r="H2389" s="156">
        <v>229</v>
      </c>
      <c r="I2389" s="23">
        <f t="shared" si="365"/>
        <v>1374</v>
      </c>
      <c r="J2389" s="100">
        <f t="shared" si="366"/>
        <v>1.1779835390946503</v>
      </c>
      <c r="K2389" s="51">
        <f>VLOOKUP(B:B,'生產達成率(目標)'!A:C,3,0)</f>
        <v>1</v>
      </c>
      <c r="L2389" s="20">
        <f t="shared" si="367"/>
        <v>0.17799999999999999</v>
      </c>
      <c r="M2389" s="137" t="str">
        <f>工時!R1575</f>
        <v>139</v>
      </c>
      <c r="N2389" s="144"/>
      <c r="O2389" s="144">
        <f t="shared" si="368"/>
        <v>2</v>
      </c>
      <c r="P2389" s="156">
        <v>227</v>
      </c>
      <c r="Q2389" s="98">
        <f t="shared" si="369"/>
        <v>0.99126637554585151</v>
      </c>
      <c r="R2389" s="371" t="s">
        <v>1179</v>
      </c>
      <c r="S2389" s="173">
        <f>32*6</f>
        <v>192</v>
      </c>
      <c r="T2389" s="30" t="s">
        <v>1153</v>
      </c>
      <c r="U2389" s="264"/>
      <c r="V2389" s="463"/>
      <c r="X2389" s="463"/>
    </row>
    <row r="2390" spans="1:30" ht="15.75" customHeight="1" x14ac:dyDescent="0.4">
      <c r="A2390" s="212">
        <v>46006</v>
      </c>
      <c r="B2390" s="139" t="s">
        <v>1046</v>
      </c>
      <c r="C2390" s="30" t="str">
        <f>VLOOKUP(B2390,'112年全品項生產鍋數'!A:H,2,0)</f>
        <v>藍莓顆粒果醬(1*6kg)</v>
      </c>
      <c r="D2390" s="296">
        <v>12</v>
      </c>
      <c r="E2390" s="48">
        <f>VLOOKUP(B2390,'112年全品項生產鍋數'!A:H,3,0)</f>
        <v>6</v>
      </c>
      <c r="F2390" s="142">
        <f>VLOOKUP(B2390,'112年全品項生產鍋數'!A:H,7,0)</f>
        <v>0</v>
      </c>
      <c r="G2390" s="143">
        <f t="shared" si="364"/>
        <v>0</v>
      </c>
      <c r="H2390" s="156">
        <v>313</v>
      </c>
      <c r="I2390" s="23">
        <f t="shared" si="365"/>
        <v>1878</v>
      </c>
      <c r="J2390" s="100" t="str">
        <f t="shared" si="366"/>
        <v>無法預估數據</v>
      </c>
      <c r="K2390" s="51">
        <f>VLOOKUP(B:B,'生產達成率(目標)'!A:C,3,0)</f>
        <v>1</v>
      </c>
      <c r="L2390" s="20" t="str">
        <f t="shared" si="367"/>
        <v>無法預估數據</v>
      </c>
      <c r="M2390" s="137" t="str">
        <f>工時!R1576</f>
        <v>205</v>
      </c>
      <c r="N2390" s="144"/>
      <c r="O2390" s="144">
        <f t="shared" si="368"/>
        <v>2</v>
      </c>
      <c r="P2390" s="156">
        <v>311</v>
      </c>
      <c r="Q2390" s="98">
        <f t="shared" si="369"/>
        <v>0.99361022364217255</v>
      </c>
      <c r="R2390" s="23"/>
      <c r="S2390" s="173"/>
      <c r="T2390" s="30" t="s">
        <v>1153</v>
      </c>
      <c r="U2390" s="264"/>
      <c r="V2390" s="463"/>
      <c r="X2390" s="463"/>
    </row>
    <row r="2391" spans="1:30" x14ac:dyDescent="0.4">
      <c r="A2391" s="212">
        <v>46006</v>
      </c>
      <c r="B2391" s="139" t="s">
        <v>115</v>
      </c>
      <c r="C2391" s="30" t="str">
        <f>VLOOKUP(B2391,'112年全品項生產鍋數'!A:H,2,0)</f>
        <v>天天開心藍莓餡4.5KG</v>
      </c>
      <c r="D2391" s="296">
        <v>8</v>
      </c>
      <c r="E2391" s="48">
        <f>VLOOKUP(B2391,'112年全品項生產鍋數'!A:H,3,0)</f>
        <v>4.5</v>
      </c>
      <c r="F2391" s="142">
        <f>VLOOKUP(B2391,'112年全品項生產鍋數'!A:H,7,0)</f>
        <v>36.799999999999997</v>
      </c>
      <c r="G2391" s="143">
        <f t="shared" si="364"/>
        <v>294.39999999999998</v>
      </c>
      <c r="H2391" s="156">
        <v>294</v>
      </c>
      <c r="I2391" s="23">
        <f t="shared" si="365"/>
        <v>1323</v>
      </c>
      <c r="J2391" s="100">
        <f t="shared" si="366"/>
        <v>0.99864130434782616</v>
      </c>
      <c r="K2391" s="51">
        <f>VLOOKUP(B:B,'生產達成率(目標)'!A:C,3,0)</f>
        <v>1</v>
      </c>
      <c r="L2391" s="20">
        <f t="shared" si="367"/>
        <v>-1E-3</v>
      </c>
      <c r="M2391" s="137" t="str">
        <f>工時!R1577</f>
        <v>135</v>
      </c>
      <c r="N2391" s="144"/>
      <c r="O2391" s="144">
        <f t="shared" si="368"/>
        <v>0</v>
      </c>
      <c r="P2391" s="156">
        <v>294</v>
      </c>
      <c r="Q2391" s="98">
        <f t="shared" si="369"/>
        <v>1</v>
      </c>
      <c r="R2391" s="23"/>
      <c r="S2391" s="173"/>
      <c r="T2391" s="30" t="s">
        <v>1153</v>
      </c>
      <c r="U2391" s="264"/>
      <c r="V2391" s="463"/>
      <c r="X2391" s="463"/>
    </row>
    <row r="2392" spans="1:30" x14ac:dyDescent="0.4">
      <c r="A2392" s="212">
        <v>46006</v>
      </c>
      <c r="B2392" s="139" t="s">
        <v>661</v>
      </c>
      <c r="C2392" s="30" t="str">
        <f>VLOOKUP(B2392,'112年全品項生產鍋數'!A:H,2,0)</f>
        <v>上好佳藍莓餡(大)4.5KG</v>
      </c>
      <c r="D2392" s="296">
        <v>20</v>
      </c>
      <c r="E2392" s="48">
        <f>VLOOKUP(B2392,'112年全品項生產鍋數'!A:H,3,0)</f>
        <v>4.5</v>
      </c>
      <c r="F2392" s="142">
        <f>VLOOKUP(B2392,'112年全品項生產鍋數'!A:H,7,0)</f>
        <v>37</v>
      </c>
      <c r="G2392" s="143">
        <f t="shared" si="364"/>
        <v>740</v>
      </c>
      <c r="H2392" s="156">
        <v>766</v>
      </c>
      <c r="I2392" s="23">
        <f t="shared" si="365"/>
        <v>3447</v>
      </c>
      <c r="J2392" s="100">
        <f t="shared" si="366"/>
        <v>1.0351351351351352</v>
      </c>
      <c r="K2392" s="51">
        <f>VLOOKUP(B:B,'生產達成率(目標)'!A:C,3,0)</f>
        <v>1</v>
      </c>
      <c r="L2392" s="20">
        <f t="shared" si="367"/>
        <v>3.5000000000000003E-2</v>
      </c>
      <c r="M2392" s="137" t="str">
        <f>工時!R1578</f>
        <v>368</v>
      </c>
      <c r="N2392" s="144"/>
      <c r="O2392" s="144">
        <f t="shared" si="368"/>
        <v>0</v>
      </c>
      <c r="P2392" s="156">
        <v>766</v>
      </c>
      <c r="Q2392" s="98">
        <f t="shared" si="369"/>
        <v>1</v>
      </c>
      <c r="R2392" s="23"/>
      <c r="S2392" s="173"/>
      <c r="T2392" s="30" t="s">
        <v>1153</v>
      </c>
      <c r="U2392" s="264"/>
      <c r="V2392" s="463"/>
      <c r="X2392" s="463"/>
    </row>
    <row r="2393" spans="1:30" x14ac:dyDescent="0.4">
      <c r="A2393" s="212">
        <v>46006</v>
      </c>
      <c r="B2393" s="139" t="s">
        <v>118</v>
      </c>
      <c r="C2393" s="30" t="str">
        <f>VLOOKUP(B2393,'112年全品項生產鍋數'!A:H,2,0)</f>
        <v>草莓餡(1*4.5kg)</v>
      </c>
      <c r="D2393" s="296">
        <v>4</v>
      </c>
      <c r="E2393" s="48">
        <f>VLOOKUP(B2393,'112年全品項生產鍋數'!A:H,3,0)</f>
        <v>4.5</v>
      </c>
      <c r="F2393" s="142">
        <f>VLOOKUP(B2393,'112年全品項生產鍋數'!A:H,7,0)</f>
        <v>34.5</v>
      </c>
      <c r="G2393" s="143">
        <f t="shared" si="364"/>
        <v>138</v>
      </c>
      <c r="H2393" s="156">
        <v>137</v>
      </c>
      <c r="I2393" s="23">
        <f t="shared" si="365"/>
        <v>616.5</v>
      </c>
      <c r="J2393" s="100">
        <f t="shared" si="366"/>
        <v>0.99275362318840576</v>
      </c>
      <c r="K2393" s="51">
        <f>VLOOKUP(B:B,'生產達成率(目標)'!A:C,3,0)</f>
        <v>1</v>
      </c>
      <c r="L2393" s="20">
        <f t="shared" si="367"/>
        <v>-7.0000000000000001E-3</v>
      </c>
      <c r="M2393" s="137" t="str">
        <f>工時!R1579</f>
        <v>145</v>
      </c>
      <c r="N2393" s="144"/>
      <c r="O2393" s="144">
        <f t="shared" si="368"/>
        <v>0</v>
      </c>
      <c r="P2393" s="156">
        <v>137</v>
      </c>
      <c r="Q2393" s="98">
        <f t="shared" si="369"/>
        <v>1</v>
      </c>
      <c r="R2393" s="23"/>
      <c r="S2393" s="173"/>
      <c r="T2393" s="30" t="s">
        <v>1153</v>
      </c>
      <c r="U2393" s="264"/>
      <c r="V2393" s="463"/>
      <c r="X2393" s="463"/>
    </row>
    <row r="2394" spans="1:30" x14ac:dyDescent="0.4">
      <c r="A2394" s="212">
        <v>46006</v>
      </c>
      <c r="B2394" s="139" t="s">
        <v>97</v>
      </c>
      <c r="C2394" s="30" t="str">
        <f>VLOOKUP(B2394,'112年全品項生產鍋數'!A:H,2,0)</f>
        <v>花生醬(1*18KG)</v>
      </c>
      <c r="D2394" s="296">
        <v>11</v>
      </c>
      <c r="E2394" s="48">
        <f>VLOOKUP(B2394,'112年全品項生產鍋數'!A:H,3,0)</f>
        <v>18</v>
      </c>
      <c r="F2394" s="142">
        <f>VLOOKUP(B2394,'112年全品項生產鍋數'!A:H,7,0)</f>
        <v>6.6</v>
      </c>
      <c r="G2394" s="143">
        <f t="shared" si="364"/>
        <v>72.599999999999994</v>
      </c>
      <c r="H2394" s="156">
        <v>72</v>
      </c>
      <c r="I2394" s="23">
        <f t="shared" si="365"/>
        <v>1296</v>
      </c>
      <c r="J2394" s="100">
        <f t="shared" si="366"/>
        <v>0.99173553719008267</v>
      </c>
      <c r="K2394" s="51">
        <f>VLOOKUP(B:B,'生產達成率(目標)'!A:C,3,0)</f>
        <v>1</v>
      </c>
      <c r="L2394" s="20">
        <f t="shared" si="367"/>
        <v>-8.0000000000000002E-3</v>
      </c>
      <c r="M2394" s="137" t="str">
        <f>工時!R1580</f>
        <v>165</v>
      </c>
      <c r="N2394" s="144"/>
      <c r="O2394" s="144">
        <f t="shared" si="368"/>
        <v>0</v>
      </c>
      <c r="P2394" s="156">
        <v>72</v>
      </c>
      <c r="Q2394" s="98">
        <f t="shared" si="369"/>
        <v>1</v>
      </c>
      <c r="R2394" s="23"/>
      <c r="S2394" s="173"/>
      <c r="T2394" s="30" t="s">
        <v>1153</v>
      </c>
      <c r="U2394" s="264"/>
      <c r="V2394" s="463"/>
      <c r="X2394" s="463"/>
    </row>
    <row r="2395" spans="1:30" x14ac:dyDescent="0.4">
      <c r="A2395" s="212">
        <v>46006</v>
      </c>
      <c r="B2395" s="139" t="s">
        <v>65</v>
      </c>
      <c r="C2395" s="30" t="str">
        <f>VLOOKUP(B2395,'112年全品項生產鍋數'!A:H,2,0)</f>
        <v>＃1花生(1*2.8kg)</v>
      </c>
      <c r="D2395" s="296">
        <v>40</v>
      </c>
      <c r="E2395" s="48">
        <f>VLOOKUP(B2395,'112年全品項生產鍋數'!A:H,3,0)</f>
        <v>2.8</v>
      </c>
      <c r="F2395" s="142">
        <f>VLOOKUP(B2395,'112年全品項生產鍋數'!A:H,7,0)</f>
        <v>44.5</v>
      </c>
      <c r="G2395" s="143">
        <f>D2395*F2395-18*25/E2395</f>
        <v>1619.2857142857142</v>
      </c>
      <c r="H2395" s="156">
        <v>1671</v>
      </c>
      <c r="I2395" s="23">
        <f t="shared" si="365"/>
        <v>4678.7999999999993</v>
      </c>
      <c r="J2395" s="100">
        <f t="shared" si="366"/>
        <v>1.0319364799294222</v>
      </c>
      <c r="K2395" s="51">
        <f>VLOOKUP(B:B,'生產達成率(目標)'!A:C,3,0)</f>
        <v>1</v>
      </c>
      <c r="L2395" s="20">
        <f t="shared" si="367"/>
        <v>3.2000000000000001E-2</v>
      </c>
      <c r="M2395" s="137" t="str">
        <f>工時!R1581</f>
        <v>375</v>
      </c>
      <c r="N2395" s="144"/>
      <c r="O2395" s="144">
        <f t="shared" si="368"/>
        <v>1</v>
      </c>
      <c r="P2395" s="156">
        <v>1670</v>
      </c>
      <c r="Q2395" s="98">
        <f t="shared" si="369"/>
        <v>0.99940155595451829</v>
      </c>
      <c r="R2395" s="23"/>
      <c r="S2395" s="173"/>
      <c r="T2395" s="30" t="s">
        <v>1183</v>
      </c>
      <c r="U2395" s="264"/>
      <c r="V2395" s="463"/>
      <c r="X2395" s="463"/>
    </row>
    <row r="2396" spans="1:30" s="146" customFormat="1" x14ac:dyDescent="0.4">
      <c r="A2396" s="212">
        <v>46006</v>
      </c>
      <c r="B2396" s="139">
        <v>153010</v>
      </c>
      <c r="C2396" s="140" t="str">
        <f>VLOOKUP(B2396,'112年全品項生產鍋數'!A:H,2,0)</f>
        <v>蜜桔皮6m/m</v>
      </c>
      <c r="D2396" s="292">
        <v>1</v>
      </c>
      <c r="E2396" s="141">
        <f>VLOOKUP(B2396,'112年全品項生產鍋數'!A:H,3,0)</f>
        <v>1</v>
      </c>
      <c r="F2396" s="142">
        <f>VLOOKUP(B2396,'112年全品項生產鍋數'!A:H,7,0)</f>
        <v>591</v>
      </c>
      <c r="G2396" s="143">
        <f t="shared" si="364"/>
        <v>591</v>
      </c>
      <c r="H2396" s="156">
        <v>480</v>
      </c>
      <c r="I2396" s="144">
        <f t="shared" si="365"/>
        <v>480</v>
      </c>
      <c r="J2396" s="100">
        <f t="shared" si="366"/>
        <v>0.81218274111675126</v>
      </c>
      <c r="K2396" s="51">
        <f>VLOOKUP(B:B,'生產達成率(目標)'!A:C,3,0)</f>
        <v>1</v>
      </c>
      <c r="L2396" s="20">
        <f t="shared" si="367"/>
        <v>-0.188</v>
      </c>
      <c r="M2396" s="137" t="str">
        <f>工時!R1582</f>
        <v>0</v>
      </c>
      <c r="N2396" s="144"/>
      <c r="O2396" s="144">
        <f t="shared" si="368"/>
        <v>0</v>
      </c>
      <c r="P2396" s="156">
        <v>480</v>
      </c>
      <c r="Q2396" s="145">
        <f t="shared" si="369"/>
        <v>1</v>
      </c>
      <c r="R2396" s="144"/>
      <c r="S2396" s="153"/>
      <c r="T2396" s="140"/>
      <c r="U2396" s="151"/>
      <c r="V2396" s="464"/>
      <c r="W2396" s="421"/>
      <c r="X2396" s="464"/>
      <c r="Y2396" s="421"/>
      <c r="Z2396" s="421"/>
      <c r="AA2396" s="421"/>
      <c r="AB2396" s="421"/>
      <c r="AC2396" s="421"/>
      <c r="AD2396" s="421"/>
    </row>
    <row r="2397" spans="1:30" x14ac:dyDescent="0.4">
      <c r="A2397" s="212">
        <v>46007</v>
      </c>
      <c r="B2397" s="139" t="s">
        <v>63</v>
      </c>
      <c r="C2397" s="30" t="str">
        <f>VLOOKUP(B2397,'112年全品項生產鍋數'!A:H,2,0)</f>
        <v>草莓蒟蒻餡(1*6kg)</v>
      </c>
      <c r="D2397" s="296">
        <v>24</v>
      </c>
      <c r="E2397" s="48">
        <f>VLOOKUP(B2397,'112年全品項生產鍋數'!A:H,3,0)</f>
        <v>6</v>
      </c>
      <c r="F2397" s="142">
        <f>VLOOKUP(B2397,'112年全品項生產鍋數'!A:H,7,0)</f>
        <v>25.7</v>
      </c>
      <c r="G2397" s="143">
        <f t="shared" si="364"/>
        <v>616.79999999999995</v>
      </c>
      <c r="H2397" s="156">
        <f>330+342</f>
        <v>672</v>
      </c>
      <c r="I2397" s="23">
        <f t="shared" si="365"/>
        <v>4032</v>
      </c>
      <c r="J2397" s="100">
        <f t="shared" si="366"/>
        <v>1.0894941634241246</v>
      </c>
      <c r="K2397" s="51">
        <f>VLOOKUP(B:B,'生產達成率(目標)'!A:C,3,0)</f>
        <v>1</v>
      </c>
      <c r="L2397" s="20">
        <f t="shared" si="367"/>
        <v>8.8999999999999996E-2</v>
      </c>
      <c r="M2397" s="137" t="str">
        <f>工時!R1583</f>
        <v>342</v>
      </c>
      <c r="N2397" s="144"/>
      <c r="O2397" s="144">
        <f t="shared" si="368"/>
        <v>2</v>
      </c>
      <c r="P2397" s="156">
        <f>329+341</f>
        <v>670</v>
      </c>
      <c r="Q2397" s="98">
        <f t="shared" si="369"/>
        <v>0.99702380952380953</v>
      </c>
      <c r="R2397" s="23"/>
      <c r="S2397" s="173"/>
      <c r="T2397" s="30"/>
      <c r="U2397" s="264"/>
      <c r="V2397" s="463"/>
      <c r="X2397" s="463"/>
    </row>
    <row r="2398" spans="1:30" x14ac:dyDescent="0.4">
      <c r="A2398" s="212">
        <v>46007</v>
      </c>
      <c r="B2398" s="139" t="s">
        <v>965</v>
      </c>
      <c r="C2398" s="30" t="str">
        <f>VLOOKUP(B2398,'112年全品項生產鍋數'!A:H,2,0)</f>
        <v>草莓餡°(1*6KG)</v>
      </c>
      <c r="D2398" s="296">
        <v>20</v>
      </c>
      <c r="E2398" s="48">
        <f>VLOOKUP(B2398,'112年全品項生產鍋數'!A:H,3,0)</f>
        <v>6</v>
      </c>
      <c r="F2398" s="142">
        <f>VLOOKUP(B2398,'112年全品項生產鍋數'!A:H,7,0)</f>
        <v>0</v>
      </c>
      <c r="G2398" s="143">
        <f t="shared" si="364"/>
        <v>0</v>
      </c>
      <c r="H2398" s="156">
        <v>507</v>
      </c>
      <c r="I2398" s="23">
        <f t="shared" si="365"/>
        <v>3042</v>
      </c>
      <c r="J2398" s="100" t="str">
        <f t="shared" si="366"/>
        <v>無法預估數據</v>
      </c>
      <c r="K2398" s="51">
        <f>VLOOKUP(B:B,'生產達成率(目標)'!A:C,3,0)</f>
        <v>1</v>
      </c>
      <c r="L2398" s="20" t="str">
        <f t="shared" si="367"/>
        <v>無法預估數據</v>
      </c>
      <c r="M2398" s="137" t="str">
        <f>工時!R1584</f>
        <v>260</v>
      </c>
      <c r="N2398" s="144"/>
      <c r="O2398" s="144">
        <f t="shared" si="368"/>
        <v>1</v>
      </c>
      <c r="P2398" s="156">
        <v>506</v>
      </c>
      <c r="Q2398" s="98">
        <f t="shared" si="369"/>
        <v>0.99802761341222879</v>
      </c>
      <c r="R2398" s="23"/>
      <c r="S2398" s="173"/>
      <c r="T2398" s="30" t="s">
        <v>1153</v>
      </c>
      <c r="U2398" s="264"/>
      <c r="V2398" s="463"/>
      <c r="X2398" s="463"/>
    </row>
    <row r="2399" spans="1:30" x14ac:dyDescent="0.4">
      <c r="A2399" s="212">
        <v>46007</v>
      </c>
      <c r="B2399" s="139" t="s">
        <v>73</v>
      </c>
      <c r="C2399" s="30" t="str">
        <f>VLOOKUP(B2399,'112年全品項生產鍋數'!A:H,2,0)</f>
        <v>顆粒花生醬(1*12KG)</v>
      </c>
      <c r="D2399" s="296">
        <v>21</v>
      </c>
      <c r="E2399" s="48">
        <f>VLOOKUP(B2399,'112年全品項生產鍋數'!A:H,3,0)</f>
        <v>3</v>
      </c>
      <c r="F2399" s="142">
        <f>VLOOKUP(B2399,'112年全品項生產鍋數'!A:H,7,0)</f>
        <v>29.7</v>
      </c>
      <c r="G2399" s="143">
        <f t="shared" si="364"/>
        <v>623.69999999999993</v>
      </c>
      <c r="H2399" s="156">
        <v>624</v>
      </c>
      <c r="I2399" s="23">
        <f t="shared" si="365"/>
        <v>1872</v>
      </c>
      <c r="J2399" s="100">
        <f t="shared" si="366"/>
        <v>1.0004810004810005</v>
      </c>
      <c r="K2399" s="51">
        <f>VLOOKUP(B:B,'生產達成率(目標)'!A:C,3,0)</f>
        <v>1</v>
      </c>
      <c r="L2399" s="20">
        <f t="shared" si="367"/>
        <v>0</v>
      </c>
      <c r="M2399" s="137" t="str">
        <f>工時!R1585</f>
        <v>540</v>
      </c>
      <c r="N2399" s="144"/>
      <c r="O2399" s="144">
        <f t="shared" si="368"/>
        <v>0</v>
      </c>
      <c r="P2399" s="156">
        <v>624</v>
      </c>
      <c r="Q2399" s="98">
        <f t="shared" si="369"/>
        <v>1</v>
      </c>
      <c r="R2399" s="23"/>
      <c r="S2399" s="173"/>
      <c r="T2399" s="30" t="s">
        <v>1153</v>
      </c>
      <c r="U2399" s="264"/>
      <c r="V2399" s="463"/>
      <c r="X2399" s="463"/>
    </row>
    <row r="2400" spans="1:30" x14ac:dyDescent="0.4">
      <c r="A2400" s="212">
        <v>46007</v>
      </c>
      <c r="B2400" s="139" t="s">
        <v>597</v>
      </c>
      <c r="C2400" s="30" t="str">
        <f>VLOOKUP(B2400,'112年全品項生產鍋數'!A:H,2,0)</f>
        <v>無加糖花生醬(1*290g)</v>
      </c>
      <c r="D2400" s="296">
        <v>8</v>
      </c>
      <c r="E2400" s="48">
        <f>VLOOKUP(B2400,'112年全品項生產鍋數'!A:H,3,0)</f>
        <v>0.28999999999999998</v>
      </c>
      <c r="F2400" s="142">
        <f>VLOOKUP(B2400,'112年全品項生產鍋數'!A:H,7,0)</f>
        <v>388</v>
      </c>
      <c r="G2400" s="143">
        <f t="shared" si="364"/>
        <v>3104</v>
      </c>
      <c r="H2400" s="156">
        <v>3266</v>
      </c>
      <c r="I2400" s="23">
        <f t="shared" si="365"/>
        <v>947.14</v>
      </c>
      <c r="J2400" s="100">
        <f t="shared" si="366"/>
        <v>1.0521907216494846</v>
      </c>
      <c r="K2400" s="51">
        <f>VLOOKUP(B:B,'生產達成率(目標)'!A:C,3,0)</f>
        <v>1</v>
      </c>
      <c r="L2400" s="20">
        <f t="shared" si="367"/>
        <v>5.1999999999999998E-2</v>
      </c>
      <c r="M2400" s="137" t="str">
        <f>工時!R1586</f>
        <v>250</v>
      </c>
      <c r="N2400" s="144"/>
      <c r="O2400" s="144">
        <f t="shared" si="368"/>
        <v>8</v>
      </c>
      <c r="P2400" s="156">
        <v>3258</v>
      </c>
      <c r="Q2400" s="98">
        <f t="shared" si="369"/>
        <v>0.99755052051439064</v>
      </c>
      <c r="R2400" s="23"/>
      <c r="S2400" s="173"/>
      <c r="T2400" s="30"/>
      <c r="U2400" s="264"/>
      <c r="V2400" s="463"/>
      <c r="X2400" s="463"/>
    </row>
    <row r="2401" spans="1:30" x14ac:dyDescent="0.4">
      <c r="A2401" s="212">
        <v>46007</v>
      </c>
      <c r="B2401" s="139" t="s">
        <v>65</v>
      </c>
      <c r="C2401" s="30" t="str">
        <f>VLOOKUP(B2401,'112年全品項生產鍋數'!A:H,2,0)</f>
        <v>＃1花生(1*2.8kg)</v>
      </c>
      <c r="D2401" s="296">
        <v>28</v>
      </c>
      <c r="E2401" s="48">
        <f>VLOOKUP(B2401,'112年全品項生產鍋數'!A:H,3,0)</f>
        <v>2.8</v>
      </c>
      <c r="F2401" s="142">
        <f>VLOOKUP(B2401,'112年全品項生產鍋數'!A:H,7,0)</f>
        <v>44.5</v>
      </c>
      <c r="G2401" s="143">
        <f t="shared" si="364"/>
        <v>1246</v>
      </c>
      <c r="H2401" s="156">
        <v>1295</v>
      </c>
      <c r="I2401" s="23">
        <f t="shared" si="365"/>
        <v>3625.9999999999995</v>
      </c>
      <c r="J2401" s="100">
        <f t="shared" si="366"/>
        <v>1.0393258426966292</v>
      </c>
      <c r="K2401" s="51">
        <f>VLOOKUP(B:B,'生產達成率(目標)'!A:C,3,0)</f>
        <v>1</v>
      </c>
      <c r="L2401" s="20">
        <f t="shared" si="367"/>
        <v>3.9E-2</v>
      </c>
      <c r="M2401" s="137" t="str">
        <f>工時!R1587</f>
        <v>400</v>
      </c>
      <c r="N2401" s="144"/>
      <c r="O2401" s="144">
        <f t="shared" si="368"/>
        <v>1</v>
      </c>
      <c r="P2401" s="156">
        <v>1294</v>
      </c>
      <c r="Q2401" s="98">
        <f t="shared" si="369"/>
        <v>0.99922779922779925</v>
      </c>
      <c r="R2401" s="23"/>
      <c r="S2401" s="173"/>
      <c r="T2401" s="30"/>
      <c r="U2401" s="264"/>
      <c r="V2401" s="463"/>
      <c r="X2401" s="463"/>
    </row>
    <row r="2402" spans="1:30" x14ac:dyDescent="0.4">
      <c r="A2402" s="212">
        <v>46008</v>
      </c>
      <c r="B2402" s="139" t="s">
        <v>61</v>
      </c>
      <c r="C2402" s="30" t="str">
        <f>VLOOKUP(B2402,'112年全品項生產鍋數'!A:H,2,0)</f>
        <v>大圓草莓-新</v>
      </c>
      <c r="D2402" s="296">
        <v>28</v>
      </c>
      <c r="E2402" s="48">
        <f>VLOOKUP(B2402,'112年全品項生產鍋數'!A:H,3,0)</f>
        <v>0.44</v>
      </c>
      <c r="F2402" s="142">
        <f>VLOOKUP(B2402,'112年全品項生產鍋數'!A:H,7,0)</f>
        <v>344</v>
      </c>
      <c r="G2402" s="143">
        <f t="shared" ref="G2402:G2451" si="370">D2402*F2402</f>
        <v>9632</v>
      </c>
      <c r="H2402" s="156">
        <v>9568</v>
      </c>
      <c r="I2402" s="23">
        <f t="shared" ref="I2402:I2457" si="371">H2402*E2402</f>
        <v>4209.92</v>
      </c>
      <c r="J2402" s="100">
        <f t="shared" ref="J2402:J2457" si="372">IF(G2402=0,"無法預估數據",H2402/G2402)</f>
        <v>0.99335548172757471</v>
      </c>
      <c r="K2402" s="51">
        <f>VLOOKUP(B:B,'生產達成率(目標)'!A:C,3,0)</f>
        <v>1</v>
      </c>
      <c r="L2402" s="20">
        <f t="shared" ref="L2402:L2457" si="373">IF(G2402=0,"無法預估數據",ROUND(J2402-K2402,3))</f>
        <v>-7.0000000000000001E-3</v>
      </c>
      <c r="M2402" s="137" t="str">
        <f>工時!R1588</f>
        <v>420</v>
      </c>
      <c r="N2402" s="144"/>
      <c r="O2402" s="144">
        <f t="shared" ref="O2402:O2457" si="374">H2402-N2402-P2402</f>
        <v>7</v>
      </c>
      <c r="P2402" s="156">
        <v>9561</v>
      </c>
      <c r="Q2402" s="98">
        <f t="shared" ref="Q2402:Q2457" si="375">P2402/H2402</f>
        <v>0.99926839464882944</v>
      </c>
      <c r="R2402" s="23"/>
      <c r="S2402" s="173"/>
      <c r="T2402" s="30"/>
      <c r="U2402" s="264"/>
      <c r="V2402" s="463"/>
      <c r="X2402" s="463"/>
    </row>
    <row r="2403" spans="1:30" s="146" customFormat="1" x14ac:dyDescent="0.4">
      <c r="A2403" s="212">
        <v>46008</v>
      </c>
      <c r="B2403" s="139" t="s">
        <v>472</v>
      </c>
      <c r="C2403" s="140" t="str">
        <f>VLOOKUP(B2403,'112年全品項生產鍋數'!A:H,2,0)</f>
        <v>藍莓果醬(1*210G)</v>
      </c>
      <c r="D2403" s="292">
        <v>4</v>
      </c>
      <c r="E2403" s="141">
        <f>VLOOKUP(B2403,'112年全品項生產鍋數'!A:H,3,0)</f>
        <v>0.21</v>
      </c>
      <c r="F2403" s="142">
        <f>VLOOKUP(B2403,'112年全品項生產鍋數'!A:H,7,0)</f>
        <v>698.4</v>
      </c>
      <c r="G2403" s="143">
        <f t="shared" si="370"/>
        <v>2793.6</v>
      </c>
      <c r="H2403" s="156">
        <v>2808</v>
      </c>
      <c r="I2403" s="144">
        <f t="shared" si="371"/>
        <v>589.67999999999995</v>
      </c>
      <c r="J2403" s="100">
        <f t="shared" si="372"/>
        <v>1.0051546391752577</v>
      </c>
      <c r="K2403" s="51">
        <f>VLOOKUP(B:B,'生產達成率(目標)'!A:C,3,0)</f>
        <v>1</v>
      </c>
      <c r="L2403" s="20">
        <f t="shared" si="373"/>
        <v>5.0000000000000001E-3</v>
      </c>
      <c r="M2403" s="137" t="str">
        <f>工時!R1589</f>
        <v>240</v>
      </c>
      <c r="N2403" s="144"/>
      <c r="O2403" s="144">
        <f t="shared" si="374"/>
        <v>4</v>
      </c>
      <c r="P2403" s="156">
        <v>2804</v>
      </c>
      <c r="Q2403" s="145">
        <f t="shared" si="375"/>
        <v>0.99857549857549854</v>
      </c>
      <c r="R2403" s="144"/>
      <c r="S2403" s="153"/>
      <c r="T2403" s="140" t="s">
        <v>1153</v>
      </c>
      <c r="U2403" s="151"/>
      <c r="V2403" s="464"/>
      <c r="W2403" s="421"/>
      <c r="X2403" s="464"/>
      <c r="Y2403" s="421"/>
      <c r="Z2403" s="421"/>
      <c r="AA2403" s="421"/>
      <c r="AB2403" s="421"/>
      <c r="AC2403" s="421"/>
      <c r="AD2403" s="421"/>
    </row>
    <row r="2404" spans="1:30" x14ac:dyDescent="0.4">
      <c r="A2404" s="212">
        <v>46008</v>
      </c>
      <c r="B2404" s="139" t="s">
        <v>63</v>
      </c>
      <c r="C2404" s="30" t="str">
        <f>VLOOKUP(B2404,'112年全品項生產鍋數'!A:H,2,0)</f>
        <v>草莓蒟蒻餡(1*6kg)</v>
      </c>
      <c r="D2404" s="296">
        <v>16</v>
      </c>
      <c r="E2404" s="48">
        <f>VLOOKUP(B2404,'112年全品項生產鍋數'!A:H,3,0)</f>
        <v>6</v>
      </c>
      <c r="F2404" s="142">
        <f>VLOOKUP(B2404,'112年全品項生產鍋數'!A:H,7,0)</f>
        <v>25.7</v>
      </c>
      <c r="G2404" s="143">
        <f t="shared" si="370"/>
        <v>411.2</v>
      </c>
      <c r="H2404" s="156">
        <f>198+209</f>
        <v>407</v>
      </c>
      <c r="I2404" s="23">
        <f t="shared" si="371"/>
        <v>2442</v>
      </c>
      <c r="J2404" s="100">
        <f t="shared" si="372"/>
        <v>0.98978599221789887</v>
      </c>
      <c r="K2404" s="51">
        <f>VLOOKUP(B:B,'生產達成率(目標)'!A:C,3,0)</f>
        <v>1</v>
      </c>
      <c r="L2404" s="20">
        <f t="shared" si="373"/>
        <v>-0.01</v>
      </c>
      <c r="M2404" s="137" t="str">
        <f>工時!R1590</f>
        <v>229</v>
      </c>
      <c r="N2404" s="144"/>
      <c r="O2404" s="144">
        <f t="shared" si="374"/>
        <v>1</v>
      </c>
      <c r="P2404" s="156">
        <f>197+209</f>
        <v>406</v>
      </c>
      <c r="Q2404" s="98">
        <f t="shared" si="375"/>
        <v>0.99754299754299758</v>
      </c>
      <c r="R2404" s="23"/>
      <c r="S2404" s="173"/>
      <c r="T2404" s="30"/>
      <c r="U2404" s="264"/>
      <c r="V2404" s="463"/>
      <c r="X2404" s="463"/>
    </row>
    <row r="2405" spans="1:30" x14ac:dyDescent="0.4">
      <c r="A2405" s="212">
        <v>46008</v>
      </c>
      <c r="B2405" s="139" t="s">
        <v>81</v>
      </c>
      <c r="C2405" s="30" t="str">
        <f>VLOOKUP(B2405,'112年全品項生產鍋數'!A:H,2,0)</f>
        <v>藍莓餡(1*6Kg)</v>
      </c>
      <c r="D2405" s="296">
        <v>16</v>
      </c>
      <c r="E2405" s="48">
        <f>VLOOKUP(B2405,'112年全品項生產鍋數'!A:H,3,0)</f>
        <v>6</v>
      </c>
      <c r="F2405" s="142">
        <f>VLOOKUP(B2405,'112年全品項生產鍋數'!A:H,7,0)</f>
        <v>25.1</v>
      </c>
      <c r="G2405" s="143">
        <f t="shared" si="370"/>
        <v>401.6</v>
      </c>
      <c r="H2405" s="156">
        <v>408</v>
      </c>
      <c r="I2405" s="23">
        <f t="shared" si="371"/>
        <v>2448</v>
      </c>
      <c r="J2405" s="100">
        <f t="shared" si="372"/>
        <v>1.0159362549800797</v>
      </c>
      <c r="K2405" s="51">
        <f>VLOOKUP(B:B,'生產達成率(目標)'!A:C,3,0)</f>
        <v>1</v>
      </c>
      <c r="L2405" s="20">
        <f t="shared" si="373"/>
        <v>1.6E-2</v>
      </c>
      <c r="M2405" s="137" t="str">
        <f>工時!R1591</f>
        <v>214</v>
      </c>
      <c r="N2405" s="144"/>
      <c r="O2405" s="144">
        <f t="shared" si="374"/>
        <v>1</v>
      </c>
      <c r="P2405" s="156">
        <v>407</v>
      </c>
      <c r="Q2405" s="98">
        <f t="shared" si="375"/>
        <v>0.99754901960784315</v>
      </c>
      <c r="R2405" s="23"/>
      <c r="S2405" s="173"/>
      <c r="T2405" s="30" t="s">
        <v>1153</v>
      </c>
      <c r="U2405" s="264"/>
      <c r="V2405" s="463"/>
      <c r="X2405" s="463"/>
    </row>
    <row r="2406" spans="1:30" x14ac:dyDescent="0.4">
      <c r="A2406" s="212">
        <v>46008</v>
      </c>
      <c r="B2406" s="139" t="s">
        <v>984</v>
      </c>
      <c r="C2406" s="30" t="str">
        <f>VLOOKUP(B2406,'112年全品項生產鍋數'!A:H,2,0)</f>
        <v>蘋果餡(1*6Kg)</v>
      </c>
      <c r="D2406" s="296">
        <v>8</v>
      </c>
      <c r="E2406" s="48">
        <f>VLOOKUP(B2406,'112年全品項生產鍋數'!A:H,3,0)</f>
        <v>6</v>
      </c>
      <c r="F2406" s="142">
        <f>VLOOKUP(B2406,'112年全品項生產鍋數'!A:H,7,0)</f>
        <v>25.6</v>
      </c>
      <c r="G2406" s="143">
        <f t="shared" si="370"/>
        <v>204.8</v>
      </c>
      <c r="H2406" s="156">
        <v>208</v>
      </c>
      <c r="I2406" s="23">
        <f t="shared" si="371"/>
        <v>1248</v>
      </c>
      <c r="J2406" s="100">
        <f t="shared" si="372"/>
        <v>1.015625</v>
      </c>
      <c r="K2406" s="51" t="e">
        <f>VLOOKUP(B:B,'生產達成率(目標)'!A:C,3,0)</f>
        <v>#N/A</v>
      </c>
      <c r="L2406" s="20" t="e">
        <f t="shared" si="373"/>
        <v>#N/A</v>
      </c>
      <c r="M2406" s="137" t="str">
        <f>工時!R1592</f>
        <v>160</v>
      </c>
      <c r="N2406" s="144"/>
      <c r="O2406" s="144">
        <f t="shared" si="374"/>
        <v>1</v>
      </c>
      <c r="P2406" s="156">
        <v>207</v>
      </c>
      <c r="Q2406" s="98">
        <f t="shared" si="375"/>
        <v>0.99519230769230771</v>
      </c>
      <c r="R2406" s="23"/>
      <c r="S2406" s="173"/>
      <c r="T2406" s="30" t="s">
        <v>1153</v>
      </c>
      <c r="U2406" s="264"/>
      <c r="V2406" s="463"/>
      <c r="X2406" s="463"/>
    </row>
    <row r="2407" spans="1:30" x14ac:dyDescent="0.4">
      <c r="A2407" s="212">
        <v>46008</v>
      </c>
      <c r="B2407" s="139" t="s">
        <v>65</v>
      </c>
      <c r="C2407" s="30" t="str">
        <f>VLOOKUP(B2407,'112年全品項生產鍋數'!A:H,2,0)</f>
        <v>＃1花生(1*2.8kg)</v>
      </c>
      <c r="D2407" s="296">
        <v>64</v>
      </c>
      <c r="E2407" s="48">
        <f>VLOOKUP(B2407,'112年全品項生產鍋數'!A:H,3,0)</f>
        <v>2.8</v>
      </c>
      <c r="F2407" s="142">
        <f>VLOOKUP(B2407,'112年全品項生產鍋數'!A:H,7,0)</f>
        <v>44.5</v>
      </c>
      <c r="G2407" s="143">
        <f>D2407*F2407-100*18/E2407</f>
        <v>2205.1428571428569</v>
      </c>
      <c r="H2407" s="156">
        <v>2266</v>
      </c>
      <c r="I2407" s="23">
        <f t="shared" si="371"/>
        <v>6344.7999999999993</v>
      </c>
      <c r="J2407" s="100">
        <f t="shared" si="372"/>
        <v>1.0275978232702774</v>
      </c>
      <c r="K2407" s="51">
        <f>VLOOKUP(B:B,'生產達成率(目標)'!A:C,3,0)</f>
        <v>1</v>
      </c>
      <c r="L2407" s="20">
        <f t="shared" si="373"/>
        <v>2.8000000000000001E-2</v>
      </c>
      <c r="M2407" s="137" t="str">
        <f>工時!R1593</f>
        <v>550</v>
      </c>
      <c r="N2407" s="144"/>
      <c r="O2407" s="144">
        <f t="shared" si="374"/>
        <v>1</v>
      </c>
      <c r="P2407" s="156">
        <v>2265</v>
      </c>
      <c r="Q2407" s="98">
        <f t="shared" si="375"/>
        <v>0.99955869373345096</v>
      </c>
      <c r="R2407" s="23" t="s">
        <v>1237</v>
      </c>
      <c r="S2407" s="173">
        <v>56</v>
      </c>
      <c r="T2407" s="30" t="s">
        <v>1182</v>
      </c>
      <c r="U2407" s="264"/>
      <c r="V2407" s="463"/>
      <c r="X2407" s="463"/>
    </row>
    <row r="2408" spans="1:30" x14ac:dyDescent="0.4">
      <c r="A2408" s="212">
        <v>46008</v>
      </c>
      <c r="B2408" s="139" t="s">
        <v>76</v>
      </c>
      <c r="C2408" s="30" t="str">
        <f>VLOOKUP(B2408,'112年全品項生產鍋數'!A:H,2,0)</f>
        <v>草莓餡(1*6Kg)</v>
      </c>
      <c r="D2408" s="296">
        <v>0.5</v>
      </c>
      <c r="E2408" s="48">
        <f>VLOOKUP(B2408,'112年全品項生產鍋數'!A:H,3,0)</f>
        <v>6</v>
      </c>
      <c r="F2408" s="142">
        <f>VLOOKUP(B2408,'112年全品項生產鍋數'!A:H,7,0)</f>
        <v>25.5</v>
      </c>
      <c r="G2408" s="143">
        <f t="shared" si="370"/>
        <v>12.75</v>
      </c>
      <c r="H2408" s="156">
        <v>10</v>
      </c>
      <c r="I2408" s="23">
        <f t="shared" si="371"/>
        <v>60</v>
      </c>
      <c r="J2408" s="100">
        <f t="shared" si="372"/>
        <v>0.78431372549019607</v>
      </c>
      <c r="K2408" s="51">
        <f>VLOOKUP(B:B,'生產達成率(目標)'!A:C,3,0)</f>
        <v>1</v>
      </c>
      <c r="L2408" s="20">
        <f t="shared" si="373"/>
        <v>-0.216</v>
      </c>
      <c r="M2408" s="137" t="str">
        <f>工時!R1594</f>
        <v>86</v>
      </c>
      <c r="N2408" s="144"/>
      <c r="O2408" s="144">
        <f t="shared" si="374"/>
        <v>1</v>
      </c>
      <c r="P2408" s="156">
        <v>9</v>
      </c>
      <c r="Q2408" s="98">
        <f t="shared" si="375"/>
        <v>0.9</v>
      </c>
      <c r="R2408" s="23"/>
      <c r="S2408" s="173"/>
      <c r="T2408" s="30" t="s">
        <v>1168</v>
      </c>
      <c r="U2408" s="264"/>
      <c r="V2408" s="463"/>
      <c r="X2408" s="463"/>
    </row>
    <row r="2409" spans="1:30" s="146" customFormat="1" x14ac:dyDescent="0.4">
      <c r="A2409" s="212">
        <v>46008</v>
      </c>
      <c r="B2409" s="139">
        <v>111060</v>
      </c>
      <c r="C2409" s="140" t="str">
        <f>VLOOKUP(B2409,'112年全品項生產鍋數'!A:H,2,0)</f>
        <v>加糖檸檬皮</v>
      </c>
      <c r="D2409" s="292">
        <v>1</v>
      </c>
      <c r="E2409" s="141">
        <f>VLOOKUP(B2409,'112年全品項生產鍋數'!A:H,3,0)</f>
        <v>1</v>
      </c>
      <c r="F2409" s="142">
        <f>VLOOKUP(B2409,'112年全品項生產鍋數'!A:H,7,0)</f>
        <v>0</v>
      </c>
      <c r="G2409" s="143">
        <f t="shared" si="370"/>
        <v>0</v>
      </c>
      <c r="H2409" s="156">
        <v>460</v>
      </c>
      <c r="I2409" s="144">
        <f t="shared" si="371"/>
        <v>460</v>
      </c>
      <c r="J2409" s="100" t="str">
        <f t="shared" si="372"/>
        <v>無法預估數據</v>
      </c>
      <c r="K2409" s="51">
        <f>VLOOKUP(B:B,'生產達成率(目標)'!A:C,3,0)</f>
        <v>1</v>
      </c>
      <c r="L2409" s="20" t="str">
        <f t="shared" si="373"/>
        <v>無法預估數據</v>
      </c>
      <c r="M2409" s="137" t="str">
        <f>工時!R1595</f>
        <v>0</v>
      </c>
      <c r="N2409" s="144"/>
      <c r="O2409" s="144">
        <f t="shared" si="374"/>
        <v>0</v>
      </c>
      <c r="P2409" s="156">
        <v>460</v>
      </c>
      <c r="Q2409" s="145">
        <f t="shared" si="375"/>
        <v>1</v>
      </c>
      <c r="R2409" s="144"/>
      <c r="S2409" s="153"/>
      <c r="T2409" s="140" t="s">
        <v>1153</v>
      </c>
      <c r="U2409" s="151"/>
      <c r="V2409" s="464"/>
      <c r="W2409" s="421"/>
      <c r="X2409" s="464"/>
      <c r="Y2409" s="421"/>
      <c r="Z2409" s="421"/>
      <c r="AA2409" s="421"/>
      <c r="AB2409" s="421"/>
      <c r="AC2409" s="421"/>
      <c r="AD2409" s="421"/>
    </row>
    <row r="2410" spans="1:30" x14ac:dyDescent="0.4">
      <c r="A2410" s="212">
        <v>46009</v>
      </c>
      <c r="B2410" s="139" t="s">
        <v>63</v>
      </c>
      <c r="C2410" s="30" t="str">
        <f>VLOOKUP(B2410,'112年全品項生產鍋數'!A:H,2,0)</f>
        <v>草莓蒟蒻餡(1*6kg)</v>
      </c>
      <c r="D2410" s="296">
        <v>24</v>
      </c>
      <c r="E2410" s="48">
        <f>VLOOKUP(B2410,'112年全品項生產鍋數'!A:H,3,0)</f>
        <v>6</v>
      </c>
      <c r="F2410" s="142">
        <f>VLOOKUP(B2410,'112年全品項生產鍋數'!A:H,7,0)</f>
        <v>25.7</v>
      </c>
      <c r="G2410" s="143">
        <f t="shared" si="370"/>
        <v>616.79999999999995</v>
      </c>
      <c r="H2410" s="156">
        <f>305+321</f>
        <v>626</v>
      </c>
      <c r="I2410" s="23">
        <f t="shared" si="371"/>
        <v>3756</v>
      </c>
      <c r="J2410" s="100">
        <f t="shared" si="372"/>
        <v>1.0149156939040209</v>
      </c>
      <c r="K2410" s="51">
        <f>VLOOKUP(B:B,'生產達成率(目標)'!A:C,3,0)</f>
        <v>1</v>
      </c>
      <c r="L2410" s="20">
        <f t="shared" si="373"/>
        <v>1.4999999999999999E-2</v>
      </c>
      <c r="M2410" s="137" t="str">
        <f>工時!R1596</f>
        <v>265</v>
      </c>
      <c r="N2410" s="144"/>
      <c r="O2410" s="144">
        <f t="shared" si="374"/>
        <v>1</v>
      </c>
      <c r="P2410" s="156">
        <f>304+321</f>
        <v>625</v>
      </c>
      <c r="Q2410" s="98">
        <f t="shared" si="375"/>
        <v>0.99840255591054317</v>
      </c>
      <c r="R2410" s="23"/>
      <c r="S2410" s="173"/>
      <c r="T2410" s="30"/>
      <c r="U2410" s="264"/>
      <c r="V2410" s="463"/>
      <c r="X2410" s="463"/>
    </row>
    <row r="2411" spans="1:30" x14ac:dyDescent="0.4">
      <c r="A2411" s="212">
        <v>46009</v>
      </c>
      <c r="B2411" s="139" t="s">
        <v>64</v>
      </c>
      <c r="C2411" s="30" t="str">
        <f>VLOOKUP(B2411,'112年全品項生產鍋數'!A:H,2,0)</f>
        <v>藍莓餡(1*6KG)</v>
      </c>
      <c r="D2411" s="296">
        <v>20</v>
      </c>
      <c r="E2411" s="48">
        <f>VLOOKUP(B2411,'112年全品項生產鍋數'!A:H,3,0)</f>
        <v>6</v>
      </c>
      <c r="F2411" s="142">
        <f>VLOOKUP(B2411,'112年全品項生產鍋數'!A:H,7,0)</f>
        <v>25.4</v>
      </c>
      <c r="G2411" s="143">
        <f t="shared" si="370"/>
        <v>508</v>
      </c>
      <c r="H2411" s="156">
        <f>298+207</f>
        <v>505</v>
      </c>
      <c r="I2411" s="23">
        <f t="shared" si="371"/>
        <v>3030</v>
      </c>
      <c r="J2411" s="100">
        <f t="shared" si="372"/>
        <v>0.99409448818897639</v>
      </c>
      <c r="K2411" s="51">
        <f>VLOOKUP(B:B,'生產達成率(目標)'!A:C,3,0)</f>
        <v>1</v>
      </c>
      <c r="L2411" s="20">
        <f t="shared" si="373"/>
        <v>-6.0000000000000001E-3</v>
      </c>
      <c r="M2411" s="137" t="str">
        <f>工時!R1597</f>
        <v>510</v>
      </c>
      <c r="N2411" s="144"/>
      <c r="O2411" s="144">
        <f t="shared" si="374"/>
        <v>1</v>
      </c>
      <c r="P2411" s="156">
        <f>297+207</f>
        <v>504</v>
      </c>
      <c r="Q2411" s="98">
        <f t="shared" si="375"/>
        <v>0.99801980198019802</v>
      </c>
      <c r="R2411" s="23"/>
      <c r="S2411" s="173"/>
      <c r="T2411" s="30"/>
      <c r="U2411" s="264"/>
      <c r="V2411" s="463"/>
      <c r="X2411" s="463"/>
    </row>
    <row r="2412" spans="1:30" x14ac:dyDescent="0.4">
      <c r="A2412" s="212">
        <v>46009</v>
      </c>
      <c r="B2412" s="139" t="s">
        <v>108</v>
      </c>
      <c r="C2412" s="30" t="str">
        <f>VLOOKUP(B2412,'112年全品項生產鍋數'!A:H,2,0)</f>
        <v>顆粒花生醬(1*12KG)</v>
      </c>
      <c r="D2412" s="296">
        <v>21</v>
      </c>
      <c r="E2412" s="48">
        <f>VLOOKUP(B2412,'112年全品項生產鍋數'!A:H,3,0)</f>
        <v>3</v>
      </c>
      <c r="F2412" s="142">
        <f>VLOOKUP(B2412,'112年全品項生產鍋數'!A:H,7,0)</f>
        <v>31.6</v>
      </c>
      <c r="G2412" s="143">
        <f t="shared" si="370"/>
        <v>663.6</v>
      </c>
      <c r="H2412" s="156">
        <v>668</v>
      </c>
      <c r="I2412" s="23">
        <f t="shared" si="371"/>
        <v>2004</v>
      </c>
      <c r="J2412" s="100">
        <f t="shared" si="372"/>
        <v>1.0066305003013862</v>
      </c>
      <c r="K2412" s="51">
        <f>VLOOKUP(B:B,'生產達成率(目標)'!A:C,3,0)</f>
        <v>1</v>
      </c>
      <c r="L2412" s="20">
        <f t="shared" si="373"/>
        <v>7.0000000000000001E-3</v>
      </c>
      <c r="M2412" s="137" t="str">
        <f>工時!R1598</f>
        <v>540</v>
      </c>
      <c r="N2412" s="144"/>
      <c r="O2412" s="144">
        <f t="shared" si="374"/>
        <v>0</v>
      </c>
      <c r="P2412" s="156">
        <v>668</v>
      </c>
      <c r="Q2412" s="98">
        <f t="shared" si="375"/>
        <v>1</v>
      </c>
      <c r="R2412" s="23"/>
      <c r="S2412" s="173"/>
      <c r="T2412" s="30" t="s">
        <v>1153</v>
      </c>
      <c r="U2412" s="264"/>
      <c r="V2412" s="463"/>
      <c r="X2412" s="463"/>
    </row>
    <row r="2413" spans="1:30" x14ac:dyDescent="0.4">
      <c r="A2413" s="212">
        <v>46009</v>
      </c>
      <c r="B2413" s="139" t="s">
        <v>104</v>
      </c>
      <c r="C2413" s="30" t="str">
        <f>VLOOKUP(B2413,'112年全品項生產鍋數'!A:H,2,0)</f>
        <v>＃1花生(粒)(1*2.8kg)</v>
      </c>
      <c r="D2413" s="296">
        <v>32</v>
      </c>
      <c r="E2413" s="48">
        <f>VLOOKUP(B2413,'112年全品項生產鍋數'!A:H,3,0)</f>
        <v>2.8</v>
      </c>
      <c r="F2413" s="142">
        <f>VLOOKUP(B2413,'112年全品項生產鍋數'!A:H,7,0)</f>
        <v>44.2</v>
      </c>
      <c r="G2413" s="143">
        <f t="shared" si="370"/>
        <v>1414.4</v>
      </c>
      <c r="H2413" s="156">
        <v>1397</v>
      </c>
      <c r="I2413" s="23">
        <f t="shared" si="371"/>
        <v>3911.6</v>
      </c>
      <c r="J2413" s="100">
        <f t="shared" si="372"/>
        <v>0.98769796380090491</v>
      </c>
      <c r="K2413" s="51">
        <f>VLOOKUP(B:B,'生產達成率(目標)'!A:C,3,0)</f>
        <v>1</v>
      </c>
      <c r="L2413" s="20">
        <f t="shared" si="373"/>
        <v>-1.2E-2</v>
      </c>
      <c r="M2413" s="137" t="str">
        <f>工時!R1599</f>
        <v>300</v>
      </c>
      <c r="N2413" s="144"/>
      <c r="O2413" s="144">
        <f t="shared" si="374"/>
        <v>1</v>
      </c>
      <c r="P2413" s="156">
        <v>1396</v>
      </c>
      <c r="Q2413" s="98">
        <f t="shared" si="375"/>
        <v>0.99928418038654254</v>
      </c>
      <c r="R2413" s="23"/>
      <c r="S2413" s="173"/>
      <c r="T2413" s="30" t="s">
        <v>1153</v>
      </c>
      <c r="U2413" s="264"/>
      <c r="V2413" s="463"/>
      <c r="X2413" s="463"/>
    </row>
    <row r="2414" spans="1:30" x14ac:dyDescent="0.4">
      <c r="A2414" s="212">
        <v>46009</v>
      </c>
      <c r="B2414" s="139" t="s">
        <v>642</v>
      </c>
      <c r="C2414" s="30" t="str">
        <f>VLOOKUP(B2414,'112年全品項生產鍋數'!A:H,2,0)</f>
        <v>＃2花生（粒）(1*800g)</v>
      </c>
      <c r="D2414" s="296">
        <v>16</v>
      </c>
      <c r="E2414" s="48">
        <f>VLOOKUP(B2414,'112年全品項生產鍋數'!A:H,3,0)</f>
        <v>0.8</v>
      </c>
      <c r="F2414" s="142">
        <f>VLOOKUP(B2414,'112年全品項生產鍋數'!A:H,7,0)</f>
        <v>155.5</v>
      </c>
      <c r="G2414" s="143">
        <f t="shared" si="370"/>
        <v>2488</v>
      </c>
      <c r="H2414" s="156">
        <v>2448</v>
      </c>
      <c r="I2414" s="23">
        <f t="shared" si="371"/>
        <v>1958.4</v>
      </c>
      <c r="J2414" s="100">
        <f t="shared" si="372"/>
        <v>0.98392282958199362</v>
      </c>
      <c r="K2414" s="51">
        <f>VLOOKUP(B:B,'生產達成率(目標)'!A:C,3,0)</f>
        <v>1</v>
      </c>
      <c r="L2414" s="20">
        <f t="shared" si="373"/>
        <v>-1.6E-2</v>
      </c>
      <c r="M2414" s="137" t="str">
        <f>工時!R1600</f>
        <v>250</v>
      </c>
      <c r="N2414" s="144"/>
      <c r="O2414" s="144">
        <f t="shared" si="374"/>
        <v>2</v>
      </c>
      <c r="P2414" s="156">
        <v>2446</v>
      </c>
      <c r="Q2414" s="98">
        <f t="shared" si="375"/>
        <v>0.99918300653594772</v>
      </c>
      <c r="R2414" s="23"/>
      <c r="S2414" s="173"/>
      <c r="T2414" s="30" t="s">
        <v>1153</v>
      </c>
      <c r="U2414" s="264"/>
      <c r="V2414" s="463"/>
      <c r="X2414" s="463"/>
    </row>
    <row r="2415" spans="1:30" x14ac:dyDescent="0.4">
      <c r="A2415" s="212">
        <v>46009</v>
      </c>
      <c r="B2415" s="139" t="s">
        <v>1184</v>
      </c>
      <c r="C2415" s="30" t="str">
        <f>VLOOKUP(B2415,'112年全品項生產鍋數'!A:H,2,0)</f>
        <v>蜜桔皮</v>
      </c>
      <c r="D2415" s="296">
        <v>30</v>
      </c>
      <c r="E2415" s="48">
        <f>VLOOKUP(B2415,'112年全品項生產鍋數'!A:H,3,0)</f>
        <v>1</v>
      </c>
      <c r="F2415" s="142">
        <f>VLOOKUP(B2415,'112年全品項生產鍋數'!A:H,7,0)</f>
        <v>6</v>
      </c>
      <c r="G2415" s="143">
        <f>D2415*F2415</f>
        <v>180</v>
      </c>
      <c r="H2415" s="156">
        <v>182</v>
      </c>
      <c r="I2415" s="23">
        <f>H2415*E2415</f>
        <v>182</v>
      </c>
      <c r="J2415" s="100">
        <f>IF(G2415=0,"無法預估數據",H2415/G2415)</f>
        <v>1.0111111111111111</v>
      </c>
      <c r="K2415" s="51">
        <f>VLOOKUP(B:B,'生產達成率(目標)'!A:C,3,0)</f>
        <v>1</v>
      </c>
      <c r="L2415" s="20">
        <f>IF(G2415=0,"無法預估數據",ROUND(J2415-K2415,3))</f>
        <v>1.0999999999999999E-2</v>
      </c>
      <c r="M2415" s="137" t="str">
        <f>工時!R1601</f>
        <v>0</v>
      </c>
      <c r="N2415" s="144"/>
      <c r="O2415" s="144">
        <f>H2415-N2415-P2415</f>
        <v>0</v>
      </c>
      <c r="P2415" s="156">
        <v>182</v>
      </c>
      <c r="Q2415" s="98">
        <f>P2415/H2415</f>
        <v>1</v>
      </c>
      <c r="R2415" s="23"/>
      <c r="S2415" s="173"/>
      <c r="T2415" s="30"/>
      <c r="U2415" s="264"/>
      <c r="V2415" s="463"/>
      <c r="X2415" s="463"/>
    </row>
    <row r="2416" spans="1:30" x14ac:dyDescent="0.4">
      <c r="A2416" s="212">
        <v>46009</v>
      </c>
      <c r="B2416" s="139" t="s">
        <v>1185</v>
      </c>
      <c r="C2416" s="30" t="str">
        <f>VLOOKUP(B2416,'112年全品項生產鍋數'!A:H,2,0)</f>
        <v>蜜餞水果(1*1kg)</v>
      </c>
      <c r="D2416" s="296">
        <v>50</v>
      </c>
      <c r="E2416" s="48">
        <f>VLOOKUP(B2416,'112年全品項生產鍋數'!A:H,3,0)</f>
        <v>1</v>
      </c>
      <c r="F2416" s="142">
        <f>VLOOKUP(B2416,'112年全品項生產鍋數'!A:H,7,0)</f>
        <v>5.7</v>
      </c>
      <c r="G2416" s="143">
        <f>D2416*F2416</f>
        <v>285</v>
      </c>
      <c r="H2416" s="156">
        <v>294</v>
      </c>
      <c r="I2416" s="23">
        <f>H2416*E2416</f>
        <v>294</v>
      </c>
      <c r="J2416" s="100">
        <f>IF(G2416=0,"無法預估數據",H2416/G2416)</f>
        <v>1.0315789473684212</v>
      </c>
      <c r="K2416" s="51">
        <f>VLOOKUP(B:B,'生產達成率(目標)'!A:C,3,0)</f>
        <v>1</v>
      </c>
      <c r="L2416" s="20">
        <f>IF(G2416=0,"無法預估數據",ROUND(J2416-K2416,3))</f>
        <v>3.2000000000000001E-2</v>
      </c>
      <c r="M2416" s="137" t="str">
        <f>工時!R1602</f>
        <v>0</v>
      </c>
      <c r="N2416" s="144"/>
      <c r="O2416" s="144">
        <f>H2416-N2416-P2416</f>
        <v>0</v>
      </c>
      <c r="P2416" s="156">
        <v>294</v>
      </c>
      <c r="Q2416" s="98">
        <f>P2416/H2416</f>
        <v>1</v>
      </c>
      <c r="R2416" s="23"/>
      <c r="S2416" s="173"/>
      <c r="T2416" s="30"/>
      <c r="U2416" s="264"/>
      <c r="V2416" s="463"/>
      <c r="X2416" s="463"/>
    </row>
    <row r="2417" spans="1:30" x14ac:dyDescent="0.4">
      <c r="A2417" s="212">
        <v>46010</v>
      </c>
      <c r="B2417" s="139" t="s">
        <v>71</v>
      </c>
      <c r="C2417" s="30" t="str">
        <f>VLOOKUP(B2417,'112年全品項生產鍋數'!A:H,2,0)</f>
        <v>＃1草莓(1*3.2kg)</v>
      </c>
      <c r="D2417" s="296">
        <v>72</v>
      </c>
      <c r="E2417" s="48">
        <f>VLOOKUP(B2417,'112年全品項生產鍋數'!A:H,3,0)</f>
        <v>3.2</v>
      </c>
      <c r="F2417" s="142">
        <f>VLOOKUP(B2417,'112年全品項生產鍋數'!A:H,7,0)</f>
        <v>46.8</v>
      </c>
      <c r="G2417" s="143">
        <f t="shared" si="370"/>
        <v>3369.6</v>
      </c>
      <c r="H2417" s="156">
        <v>3452</v>
      </c>
      <c r="I2417" s="23">
        <f t="shared" si="371"/>
        <v>11046.400000000001</v>
      </c>
      <c r="J2417" s="100">
        <f t="shared" si="372"/>
        <v>1.0244539411206077</v>
      </c>
      <c r="K2417" s="51">
        <f>VLOOKUP(B:B,'生產達成率(目標)'!A:C,3,0)</f>
        <v>1</v>
      </c>
      <c r="L2417" s="20">
        <f t="shared" si="373"/>
        <v>2.4E-2</v>
      </c>
      <c r="M2417" s="137" t="str">
        <f>工時!R1603</f>
        <v>540</v>
      </c>
      <c r="N2417" s="144"/>
      <c r="O2417" s="144">
        <f t="shared" si="374"/>
        <v>2</v>
      </c>
      <c r="P2417" s="156">
        <v>3450</v>
      </c>
      <c r="Q2417" s="98">
        <f t="shared" si="375"/>
        <v>0.99942062572421786</v>
      </c>
      <c r="R2417" s="23" t="s">
        <v>1239</v>
      </c>
      <c r="S2417" s="173">
        <v>180</v>
      </c>
      <c r="T2417" s="30"/>
      <c r="U2417" s="264"/>
      <c r="V2417" s="463"/>
      <c r="X2417" s="463"/>
    </row>
    <row r="2418" spans="1:30" x14ac:dyDescent="0.4">
      <c r="A2418" s="212">
        <v>46010</v>
      </c>
      <c r="B2418" s="139" t="s">
        <v>63</v>
      </c>
      <c r="C2418" s="30" t="str">
        <f>VLOOKUP(B2418,'112年全品項生產鍋數'!A:H,2,0)</f>
        <v>草莓蒟蒻餡(1*6kg)</v>
      </c>
      <c r="D2418" s="296">
        <v>16</v>
      </c>
      <c r="E2418" s="48">
        <f>VLOOKUP(B2418,'112年全品項生產鍋數'!A:H,3,0)</f>
        <v>6</v>
      </c>
      <c r="F2418" s="142">
        <f>VLOOKUP(B2418,'112年全品項生產鍋數'!A:H,7,0)</f>
        <v>25.7</v>
      </c>
      <c r="G2418" s="143">
        <f t="shared" si="370"/>
        <v>411.2</v>
      </c>
      <c r="H2418" s="156">
        <f>220+234</f>
        <v>454</v>
      </c>
      <c r="I2418" s="23">
        <f t="shared" si="371"/>
        <v>2724</v>
      </c>
      <c r="J2418" s="100">
        <f t="shared" si="372"/>
        <v>1.1040856031128405</v>
      </c>
      <c r="K2418" s="51">
        <f>VLOOKUP(B:B,'生產達成率(目標)'!A:C,3,0)</f>
        <v>1</v>
      </c>
      <c r="L2418" s="20">
        <f t="shared" si="373"/>
        <v>0.104</v>
      </c>
      <c r="M2418" s="137" t="str">
        <f>工時!R1604</f>
        <v>210</v>
      </c>
      <c r="N2418" s="144"/>
      <c r="O2418" s="144">
        <f t="shared" si="374"/>
        <v>1</v>
      </c>
      <c r="P2418" s="156">
        <f>219+234</f>
        <v>453</v>
      </c>
      <c r="Q2418" s="98">
        <f t="shared" si="375"/>
        <v>0.99779735682819382</v>
      </c>
      <c r="R2418" s="23"/>
      <c r="S2418" s="173"/>
      <c r="T2418" s="30"/>
      <c r="U2418" s="264"/>
      <c r="V2418" s="463"/>
      <c r="X2418" s="463"/>
    </row>
    <row r="2419" spans="1:30" x14ac:dyDescent="0.4">
      <c r="A2419" s="212">
        <v>46010</v>
      </c>
      <c r="B2419" s="139" t="s">
        <v>76</v>
      </c>
      <c r="C2419" s="30" t="str">
        <f>VLOOKUP(B2419,'112年全品項生產鍋數'!A:H,2,0)</f>
        <v>草莓餡(1*6Kg)</v>
      </c>
      <c r="D2419" s="296">
        <v>8</v>
      </c>
      <c r="E2419" s="48">
        <f>VLOOKUP(B2419,'112年全品項生產鍋數'!A:H,3,0)</f>
        <v>6</v>
      </c>
      <c r="F2419" s="142">
        <f>VLOOKUP(B2419,'112年全品項生產鍋數'!A:H,7,0)</f>
        <v>25.5</v>
      </c>
      <c r="G2419" s="143">
        <f t="shared" si="370"/>
        <v>204</v>
      </c>
      <c r="H2419" s="156">
        <v>198</v>
      </c>
      <c r="I2419" s="23">
        <f t="shared" si="371"/>
        <v>1188</v>
      </c>
      <c r="J2419" s="100">
        <f t="shared" si="372"/>
        <v>0.97058823529411764</v>
      </c>
      <c r="K2419" s="51">
        <f>VLOOKUP(B:B,'生產達成率(目標)'!A:C,3,0)</f>
        <v>1</v>
      </c>
      <c r="L2419" s="20">
        <f t="shared" si="373"/>
        <v>-2.9000000000000001E-2</v>
      </c>
      <c r="M2419" s="137" t="str">
        <f>工時!R1605</f>
        <v>140</v>
      </c>
      <c r="N2419" s="144"/>
      <c r="O2419" s="144">
        <f t="shared" si="374"/>
        <v>1</v>
      </c>
      <c r="P2419" s="156">
        <v>197</v>
      </c>
      <c r="Q2419" s="98">
        <f t="shared" si="375"/>
        <v>0.99494949494949492</v>
      </c>
      <c r="R2419" s="23"/>
      <c r="S2419" s="173"/>
      <c r="T2419" s="30" t="s">
        <v>1153</v>
      </c>
      <c r="U2419" s="264"/>
      <c r="V2419" s="463"/>
      <c r="X2419" s="463"/>
    </row>
    <row r="2420" spans="1:30" x14ac:dyDescent="0.4">
      <c r="A2420" s="212">
        <v>46010</v>
      </c>
      <c r="B2420" s="139" t="s">
        <v>75</v>
      </c>
      <c r="C2420" s="30" t="str">
        <f>VLOOKUP(B2420,'112年全品項生產鍋數'!A:H,2,0)</f>
        <v>草莓椰果餡(1*6Kg)</v>
      </c>
      <c r="D2420" s="296">
        <v>16</v>
      </c>
      <c r="E2420" s="48">
        <f>VLOOKUP(B2420,'112年全品項生產鍋數'!A:H,3,0)</f>
        <v>6</v>
      </c>
      <c r="F2420" s="142">
        <f>VLOOKUP(B2420,'112年全品項生產鍋數'!A:H,7,0)</f>
        <v>26.4</v>
      </c>
      <c r="G2420" s="143">
        <f t="shared" si="370"/>
        <v>422.4</v>
      </c>
      <c r="H2420" s="156">
        <v>431</v>
      </c>
      <c r="I2420" s="23">
        <f t="shared" si="371"/>
        <v>2586</v>
      </c>
      <c r="J2420" s="100">
        <f t="shared" si="372"/>
        <v>1.0203598484848486</v>
      </c>
      <c r="K2420" s="51">
        <f>VLOOKUP(B:B,'生產達成率(目標)'!A:C,3,0)</f>
        <v>1</v>
      </c>
      <c r="L2420" s="20">
        <f t="shared" si="373"/>
        <v>0.02</v>
      </c>
      <c r="M2420" s="137" t="str">
        <f>工時!R1606</f>
        <v>271</v>
      </c>
      <c r="N2420" s="144"/>
      <c r="O2420" s="144">
        <f t="shared" si="374"/>
        <v>2</v>
      </c>
      <c r="P2420" s="156">
        <v>429</v>
      </c>
      <c r="Q2420" s="98">
        <f t="shared" si="375"/>
        <v>0.9953596287703016</v>
      </c>
      <c r="R2420" s="23"/>
      <c r="S2420" s="173"/>
      <c r="T2420" s="30" t="s">
        <v>1153</v>
      </c>
      <c r="U2420" s="264"/>
      <c r="V2420" s="463"/>
      <c r="X2420" s="463"/>
    </row>
    <row r="2421" spans="1:30" x14ac:dyDescent="0.4">
      <c r="A2421" s="212">
        <v>46010</v>
      </c>
      <c r="B2421" s="139" t="s">
        <v>82</v>
      </c>
      <c r="C2421" s="30" t="str">
        <f>VLOOKUP(B2421,'112年全品項生產鍋數'!A:H,2,0)</f>
        <v>顆粒花生醬(全)</v>
      </c>
      <c r="D2421" s="296">
        <v>36</v>
      </c>
      <c r="E2421" s="48">
        <f>VLOOKUP(B2421,'112年全品項生產鍋數'!A:H,3,0)</f>
        <v>0.34</v>
      </c>
      <c r="F2421" s="142">
        <f>VLOOKUP(B2421,'112年全品項生產鍋數'!A:H,7,0)</f>
        <v>364.6</v>
      </c>
      <c r="G2421" s="143">
        <f t="shared" si="370"/>
        <v>13125.6</v>
      </c>
      <c r="H2421" s="156">
        <v>12925</v>
      </c>
      <c r="I2421" s="23">
        <f t="shared" si="371"/>
        <v>4394.5</v>
      </c>
      <c r="J2421" s="100">
        <f t="shared" si="372"/>
        <v>0.98471688913268729</v>
      </c>
      <c r="K2421" s="51">
        <f>VLOOKUP(B:B,'生產達成率(目標)'!A:C,3,0)</f>
        <v>1</v>
      </c>
      <c r="L2421" s="20">
        <f t="shared" si="373"/>
        <v>-1.4999999999999999E-2</v>
      </c>
      <c r="M2421" s="137" t="str">
        <f>工時!R1607</f>
        <v>560</v>
      </c>
      <c r="N2421" s="144"/>
      <c r="O2421" s="144">
        <f t="shared" si="374"/>
        <v>3</v>
      </c>
      <c r="P2421" s="156">
        <v>12922</v>
      </c>
      <c r="Q2421" s="98">
        <f t="shared" si="375"/>
        <v>0.99976789168278535</v>
      </c>
      <c r="R2421" s="23"/>
      <c r="S2421" s="173"/>
      <c r="T2421" s="30"/>
      <c r="U2421" s="264"/>
      <c r="V2421" s="463"/>
      <c r="X2421" s="463"/>
    </row>
    <row r="2422" spans="1:30" s="146" customFormat="1" x14ac:dyDescent="0.4">
      <c r="A2422" s="212">
        <v>46010</v>
      </c>
      <c r="B2422" s="139">
        <v>111060</v>
      </c>
      <c r="C2422" s="140" t="str">
        <f>VLOOKUP(B2422,'112年全品項生產鍋數'!A:H,2,0)</f>
        <v>加糖檸檬皮</v>
      </c>
      <c r="D2422" s="292">
        <v>1</v>
      </c>
      <c r="E2422" s="141">
        <f>VLOOKUP(B2422,'112年全品項生產鍋數'!A:H,3,0)</f>
        <v>1</v>
      </c>
      <c r="F2422" s="142">
        <f>VLOOKUP(B2422,'112年全品項生產鍋數'!A:H,7,0)</f>
        <v>0</v>
      </c>
      <c r="G2422" s="143">
        <f t="shared" si="370"/>
        <v>0</v>
      </c>
      <c r="H2422" s="156">
        <v>495</v>
      </c>
      <c r="I2422" s="144">
        <f t="shared" si="371"/>
        <v>495</v>
      </c>
      <c r="J2422" s="100" t="str">
        <f t="shared" si="372"/>
        <v>無法預估數據</v>
      </c>
      <c r="K2422" s="51">
        <f>VLOOKUP(B:B,'生產達成率(目標)'!A:C,3,0)</f>
        <v>1</v>
      </c>
      <c r="L2422" s="20" t="str">
        <f t="shared" si="373"/>
        <v>無法預估數據</v>
      </c>
      <c r="M2422" s="137" t="str">
        <f>工時!R1608</f>
        <v>0</v>
      </c>
      <c r="N2422" s="144"/>
      <c r="O2422" s="144">
        <f t="shared" si="374"/>
        <v>0</v>
      </c>
      <c r="P2422" s="156">
        <v>495</v>
      </c>
      <c r="Q2422" s="145">
        <f t="shared" si="375"/>
        <v>1</v>
      </c>
      <c r="R2422" s="144"/>
      <c r="S2422" s="153"/>
      <c r="T2422" s="140" t="s">
        <v>1153</v>
      </c>
      <c r="U2422" s="151"/>
      <c r="V2422" s="464"/>
      <c r="W2422" s="421"/>
      <c r="X2422" s="464"/>
      <c r="Y2422" s="421"/>
      <c r="Z2422" s="421"/>
      <c r="AA2422" s="421"/>
      <c r="AB2422" s="421"/>
      <c r="AC2422" s="421"/>
      <c r="AD2422" s="421"/>
    </row>
    <row r="2423" spans="1:30" x14ac:dyDescent="0.4">
      <c r="A2423" s="212">
        <v>46013</v>
      </c>
      <c r="B2423" s="139" t="s">
        <v>1060</v>
      </c>
      <c r="C2423" s="30" t="str">
        <f>VLOOKUP(B2423,'112年全品項生產鍋數'!A:H,2,0)</f>
        <v>草莓蔓越莓餡(1*6KG)</v>
      </c>
      <c r="D2423" s="296">
        <v>6</v>
      </c>
      <c r="E2423" s="48">
        <f>VLOOKUP(B2423,'112年全品項生產鍋數'!A:H,3,0)</f>
        <v>6</v>
      </c>
      <c r="F2423" s="142">
        <f>VLOOKUP(B2423,'112年全品項生產鍋數'!A:H,7,0)</f>
        <v>25.2</v>
      </c>
      <c r="G2423" s="143">
        <f t="shared" si="370"/>
        <v>151.19999999999999</v>
      </c>
      <c r="H2423" s="156">
        <v>157</v>
      </c>
      <c r="I2423" s="23">
        <f t="shared" si="371"/>
        <v>942</v>
      </c>
      <c r="J2423" s="100">
        <f t="shared" si="372"/>
        <v>1.0383597883597884</v>
      </c>
      <c r="K2423" s="51" t="e">
        <f>VLOOKUP(B:B,'生產達成率(目標)'!A:C,3,0)</f>
        <v>#N/A</v>
      </c>
      <c r="L2423" s="20" t="e">
        <f t="shared" si="373"/>
        <v>#N/A</v>
      </c>
      <c r="M2423" s="137" t="str">
        <f>工時!R1609</f>
        <v>140</v>
      </c>
      <c r="N2423" s="144"/>
      <c r="O2423" s="144">
        <f t="shared" si="374"/>
        <v>1</v>
      </c>
      <c r="P2423" s="156">
        <v>156</v>
      </c>
      <c r="Q2423" s="98">
        <f t="shared" si="375"/>
        <v>0.99363057324840764</v>
      </c>
      <c r="R2423" s="23"/>
      <c r="S2423" s="173"/>
      <c r="T2423" s="30" t="s">
        <v>1153</v>
      </c>
      <c r="U2423" s="264"/>
      <c r="V2423" s="463"/>
      <c r="X2423" s="463"/>
    </row>
    <row r="2424" spans="1:30" x14ac:dyDescent="0.4">
      <c r="A2424" s="212">
        <v>46013</v>
      </c>
      <c r="B2424" s="139" t="s">
        <v>88</v>
      </c>
      <c r="C2424" s="30" t="str">
        <f>VLOOKUP(B2424,'112年全品項生產鍋數'!A:H,2,0)</f>
        <v>草莓餡(1*6KG)</v>
      </c>
      <c r="D2424" s="296">
        <v>32</v>
      </c>
      <c r="E2424" s="48">
        <f>VLOOKUP(B2424,'112年全品項生產鍋數'!A:H,3,0)</f>
        <v>6</v>
      </c>
      <c r="F2424" s="142">
        <f>VLOOKUP(B2424,'112年全品項生產鍋數'!A:H,7,0)</f>
        <v>25.5</v>
      </c>
      <c r="G2424" s="143">
        <f t="shared" si="370"/>
        <v>816</v>
      </c>
      <c r="H2424" s="156">
        <v>829</v>
      </c>
      <c r="I2424" s="23">
        <f t="shared" si="371"/>
        <v>4974</v>
      </c>
      <c r="J2424" s="100">
        <f t="shared" si="372"/>
        <v>1.0159313725490196</v>
      </c>
      <c r="K2424" s="51">
        <f>VLOOKUP(B:B,'生產達成率(目標)'!A:C,3,0)</f>
        <v>1</v>
      </c>
      <c r="L2424" s="20">
        <f t="shared" si="373"/>
        <v>1.6E-2</v>
      </c>
      <c r="M2424" s="137" t="str">
        <f>工時!R1610</f>
        <v>343</v>
      </c>
      <c r="N2424" s="144"/>
      <c r="O2424" s="144">
        <f t="shared" si="374"/>
        <v>1</v>
      </c>
      <c r="P2424" s="156">
        <v>828</v>
      </c>
      <c r="Q2424" s="98">
        <f t="shared" si="375"/>
        <v>0.99879372738238847</v>
      </c>
      <c r="R2424" s="23"/>
      <c r="S2424" s="173"/>
      <c r="T2424" s="30"/>
      <c r="U2424" s="264"/>
      <c r="V2424" s="463"/>
      <c r="X2424" s="463"/>
    </row>
    <row r="2425" spans="1:30" x14ac:dyDescent="0.4">
      <c r="A2425" s="212">
        <v>46013</v>
      </c>
      <c r="B2425" s="139" t="s">
        <v>53</v>
      </c>
      <c r="C2425" s="30" t="str">
        <f>VLOOKUP(B2425,'112年全品項生產鍋數'!A:H,2,0)</f>
        <v>鳳梨芒果百香果醬(1*6KG)</v>
      </c>
      <c r="D2425" s="296">
        <v>6</v>
      </c>
      <c r="E2425" s="48">
        <f>VLOOKUP(B2425,'112年全品項生產鍋數'!A:H,3,0)</f>
        <v>6</v>
      </c>
      <c r="F2425" s="142">
        <f>VLOOKUP(B2425,'112年全品項生產鍋數'!A:H,7,0)</f>
        <v>25.7</v>
      </c>
      <c r="G2425" s="143">
        <f t="shared" si="370"/>
        <v>154.19999999999999</v>
      </c>
      <c r="H2425" s="156">
        <v>156</v>
      </c>
      <c r="I2425" s="23">
        <f t="shared" si="371"/>
        <v>936</v>
      </c>
      <c r="J2425" s="100">
        <f t="shared" si="372"/>
        <v>1.0116731517509729</v>
      </c>
      <c r="K2425" s="51">
        <f>VLOOKUP(B:B,'生產達成率(目標)'!A:C,3,0)</f>
        <v>1</v>
      </c>
      <c r="L2425" s="20">
        <f t="shared" si="373"/>
        <v>1.2E-2</v>
      </c>
      <c r="M2425" s="137" t="str">
        <f>工時!R1611</f>
        <v>160</v>
      </c>
      <c r="N2425" s="144"/>
      <c r="O2425" s="144">
        <f t="shared" si="374"/>
        <v>1</v>
      </c>
      <c r="P2425" s="156">
        <v>155</v>
      </c>
      <c r="Q2425" s="98">
        <f t="shared" si="375"/>
        <v>0.99358974358974361</v>
      </c>
      <c r="R2425" s="23"/>
      <c r="S2425" s="173"/>
      <c r="T2425" s="30"/>
      <c r="U2425" s="264"/>
      <c r="V2425" s="463"/>
      <c r="X2425" s="463"/>
    </row>
    <row r="2426" spans="1:30" s="146" customFormat="1" x14ac:dyDescent="0.4">
      <c r="A2426" s="212">
        <v>46013</v>
      </c>
      <c r="B2426" s="139" t="s">
        <v>110</v>
      </c>
      <c r="C2426" s="140" t="str">
        <f>VLOOKUP(B2426,'112年全品項生產鍋數'!A:H,2,0)</f>
        <v>顆粒花生醬(1*12KG)</v>
      </c>
      <c r="D2426" s="292">
        <v>21</v>
      </c>
      <c r="E2426" s="141">
        <f>VLOOKUP(B2426,'112年全品項生產鍋數'!A:H,3,0)</f>
        <v>3</v>
      </c>
      <c r="F2426" s="142">
        <f>VLOOKUP(B2426,'112年全品項生產鍋數'!A:H,7,0)</f>
        <v>30.8</v>
      </c>
      <c r="G2426" s="143">
        <f t="shared" si="370"/>
        <v>646.80000000000007</v>
      </c>
      <c r="H2426" s="156">
        <v>648</v>
      </c>
      <c r="I2426" s="144">
        <f t="shared" si="371"/>
        <v>1944</v>
      </c>
      <c r="J2426" s="100">
        <f t="shared" si="372"/>
        <v>1.0018552875695732</v>
      </c>
      <c r="K2426" s="51">
        <f>VLOOKUP(B:B,'生產達成率(目標)'!A:C,3,0)</f>
        <v>1</v>
      </c>
      <c r="L2426" s="20">
        <f t="shared" si="373"/>
        <v>2E-3</v>
      </c>
      <c r="M2426" s="137" t="str">
        <f>工時!R1612</f>
        <v>540</v>
      </c>
      <c r="N2426" s="144"/>
      <c r="O2426" s="144">
        <f t="shared" si="374"/>
        <v>0</v>
      </c>
      <c r="P2426" s="156">
        <v>648</v>
      </c>
      <c r="Q2426" s="145">
        <f t="shared" si="375"/>
        <v>1</v>
      </c>
      <c r="R2426" s="144"/>
      <c r="S2426" s="153"/>
      <c r="T2426" s="140" t="s">
        <v>1153</v>
      </c>
      <c r="U2426" s="151"/>
      <c r="V2426" s="464"/>
      <c r="W2426" s="421"/>
      <c r="X2426" s="464"/>
      <c r="Y2426" s="421"/>
      <c r="Z2426" s="421"/>
      <c r="AA2426" s="421"/>
      <c r="AB2426" s="421"/>
      <c r="AC2426" s="421"/>
      <c r="AD2426" s="421"/>
    </row>
    <row r="2427" spans="1:30" s="146" customFormat="1" x14ac:dyDescent="0.4">
      <c r="A2427" s="212">
        <v>46013</v>
      </c>
      <c r="B2427" s="139" t="s">
        <v>96</v>
      </c>
      <c r="C2427" s="140" t="str">
        <f>VLOOKUP(B2427,'112年全品項生產鍋數'!A:H,2,0)</f>
        <v>PET瓶花生(1*340g)</v>
      </c>
      <c r="D2427" s="292">
        <v>16</v>
      </c>
      <c r="E2427" s="141">
        <f>VLOOKUP(B2427,'112年全品項生產鍋數'!A:H,3,0)</f>
        <v>0.34</v>
      </c>
      <c r="F2427" s="142">
        <f>VLOOKUP(B2427,'112年全品項生產鍋數'!A:H,7,0)</f>
        <v>358.3</v>
      </c>
      <c r="G2427" s="143">
        <f t="shared" si="370"/>
        <v>5732.8</v>
      </c>
      <c r="H2427" s="156">
        <f>2171+3602</f>
        <v>5773</v>
      </c>
      <c r="I2427" s="144">
        <f t="shared" si="371"/>
        <v>1962.8200000000002</v>
      </c>
      <c r="J2427" s="100">
        <f t="shared" si="372"/>
        <v>1.0070122802121126</v>
      </c>
      <c r="K2427" s="51">
        <f>VLOOKUP(B:B,'生產達成率(目標)'!A:C,3,0)</f>
        <v>1</v>
      </c>
      <c r="L2427" s="20">
        <f t="shared" si="373"/>
        <v>7.0000000000000001E-3</v>
      </c>
      <c r="M2427" s="137" t="str">
        <f>工時!R1613</f>
        <v>405</v>
      </c>
      <c r="N2427" s="144"/>
      <c r="O2427" s="144">
        <f t="shared" si="374"/>
        <v>4</v>
      </c>
      <c r="P2427" s="156">
        <f>3600+2169</f>
        <v>5769</v>
      </c>
      <c r="Q2427" s="145">
        <f t="shared" si="375"/>
        <v>0.99930711934869221</v>
      </c>
      <c r="R2427" s="144"/>
      <c r="S2427" s="153"/>
      <c r="T2427" s="140" t="s">
        <v>1191</v>
      </c>
      <c r="U2427" s="151"/>
      <c r="V2427" s="464"/>
      <c r="W2427" s="421"/>
      <c r="X2427" s="464"/>
      <c r="Y2427" s="421"/>
      <c r="Z2427" s="421"/>
      <c r="AA2427" s="421"/>
      <c r="AB2427" s="421"/>
      <c r="AC2427" s="421"/>
      <c r="AD2427" s="421"/>
    </row>
    <row r="2428" spans="1:30" s="146" customFormat="1" x14ac:dyDescent="0.4">
      <c r="A2428" s="212">
        <v>46013</v>
      </c>
      <c r="B2428" s="139" t="s">
        <v>1174</v>
      </c>
      <c r="C2428" s="140" t="str">
        <f>VLOOKUP(B2428,'112年全品項生產鍋數'!A:H,2,0)</f>
        <v>花生醬(1*290g)</v>
      </c>
      <c r="D2428" s="292">
        <v>4</v>
      </c>
      <c r="E2428" s="141">
        <f>VLOOKUP(B2428,'112年全品項生產鍋數'!A:H,3,0)</f>
        <v>0.28999999999999998</v>
      </c>
      <c r="F2428" s="142">
        <f>VLOOKUP(B2428,'112年全品項生產鍋數'!A:H,7,0)</f>
        <v>0</v>
      </c>
      <c r="G2428" s="143">
        <f t="shared" ref="G2428" si="376">D2428*F2428</f>
        <v>0</v>
      </c>
      <c r="H2428" s="156">
        <v>1802</v>
      </c>
      <c r="I2428" s="144">
        <f t="shared" ref="I2428" si="377">H2428*E2428</f>
        <v>522.57999999999993</v>
      </c>
      <c r="J2428" s="100" t="str">
        <f t="shared" ref="J2428" si="378">IF(G2428=0,"無法預估數據",H2428/G2428)</f>
        <v>無法預估數據</v>
      </c>
      <c r="K2428" s="51">
        <f>VLOOKUP(B:B,'生產達成率(目標)'!A:C,3,0)</f>
        <v>1</v>
      </c>
      <c r="L2428" s="20" t="str">
        <f t="shared" ref="L2428" si="379">IF(G2428=0,"無法預估數據",ROUND(J2428-K2428,3))</f>
        <v>無法預估數據</v>
      </c>
      <c r="M2428" s="137" t="str">
        <f>工時!R1614</f>
        <v>335</v>
      </c>
      <c r="N2428" s="144"/>
      <c r="O2428" s="144">
        <f t="shared" ref="O2428" si="380">H2428-N2428-P2428</f>
        <v>1</v>
      </c>
      <c r="P2428" s="156">
        <v>1801</v>
      </c>
      <c r="Q2428" s="145">
        <f t="shared" ref="Q2428" si="381">P2428/H2428</f>
        <v>0.99944506104328523</v>
      </c>
      <c r="R2428" s="144"/>
      <c r="S2428" s="153"/>
      <c r="T2428" s="140" t="s">
        <v>1191</v>
      </c>
      <c r="U2428" s="151"/>
      <c r="V2428" s="464"/>
      <c r="W2428" s="421"/>
      <c r="X2428" s="464"/>
      <c r="Y2428" s="421"/>
      <c r="Z2428" s="421"/>
      <c r="AA2428" s="421"/>
      <c r="AB2428" s="421"/>
      <c r="AC2428" s="421"/>
      <c r="AD2428" s="421"/>
    </row>
    <row r="2429" spans="1:30" s="146" customFormat="1" x14ac:dyDescent="0.4">
      <c r="A2429" s="212">
        <v>46013</v>
      </c>
      <c r="B2429" s="139">
        <v>111060</v>
      </c>
      <c r="C2429" s="140" t="str">
        <f>VLOOKUP(B2429,'112年全品項生產鍋數'!A:H,2,0)</f>
        <v>加糖檸檬皮</v>
      </c>
      <c r="D2429" s="292">
        <v>1</v>
      </c>
      <c r="E2429" s="141">
        <f>VLOOKUP(B2429,'112年全品項生產鍋數'!A:H,3,0)</f>
        <v>1</v>
      </c>
      <c r="F2429" s="142">
        <f>VLOOKUP(B2429,'112年全品項生產鍋數'!A:H,7,0)</f>
        <v>0</v>
      </c>
      <c r="G2429" s="143">
        <f t="shared" si="370"/>
        <v>0</v>
      </c>
      <c r="H2429" s="156">
        <v>510</v>
      </c>
      <c r="I2429" s="144">
        <f t="shared" si="371"/>
        <v>510</v>
      </c>
      <c r="J2429" s="100" t="str">
        <f t="shared" si="372"/>
        <v>無法預估數據</v>
      </c>
      <c r="K2429" s="51">
        <f>VLOOKUP(B:B,'生產達成率(目標)'!A:C,3,0)</f>
        <v>1</v>
      </c>
      <c r="L2429" s="20" t="str">
        <f t="shared" si="373"/>
        <v>無法預估數據</v>
      </c>
      <c r="M2429" s="137" t="str">
        <f>工時!R1615</f>
        <v>0</v>
      </c>
      <c r="N2429" s="144"/>
      <c r="O2429" s="144">
        <f t="shared" si="374"/>
        <v>0</v>
      </c>
      <c r="P2429" s="156">
        <v>510</v>
      </c>
      <c r="Q2429" s="145">
        <f t="shared" si="375"/>
        <v>1</v>
      </c>
      <c r="R2429" s="144"/>
      <c r="S2429" s="153"/>
      <c r="T2429" s="140" t="s">
        <v>1153</v>
      </c>
      <c r="U2429" s="151"/>
      <c r="V2429" s="464"/>
      <c r="W2429" s="421"/>
      <c r="X2429" s="464"/>
      <c r="Y2429" s="421"/>
      <c r="Z2429" s="421"/>
      <c r="AA2429" s="421"/>
      <c r="AB2429" s="421"/>
      <c r="AC2429" s="421"/>
      <c r="AD2429" s="421"/>
    </row>
    <row r="2430" spans="1:30" x14ac:dyDescent="0.4">
      <c r="A2430" s="212">
        <v>46014</v>
      </c>
      <c r="B2430" s="139" t="s">
        <v>61</v>
      </c>
      <c r="C2430" s="30" t="str">
        <f>VLOOKUP(B2430,'112年全品項生產鍋數'!A:H,2,0)</f>
        <v>大圓草莓-新</v>
      </c>
      <c r="D2430" s="296">
        <v>28</v>
      </c>
      <c r="E2430" s="48">
        <f>VLOOKUP(B2430,'112年全品項生產鍋數'!A:H,3,0)</f>
        <v>0.44</v>
      </c>
      <c r="F2430" s="142">
        <f>VLOOKUP(B2430,'112年全品項生產鍋數'!A:H,7,0)</f>
        <v>344</v>
      </c>
      <c r="G2430" s="143">
        <f t="shared" si="370"/>
        <v>9632</v>
      </c>
      <c r="H2430" s="156">
        <v>9539</v>
      </c>
      <c r="I2430" s="23">
        <f t="shared" si="371"/>
        <v>4197.16</v>
      </c>
      <c r="J2430" s="100">
        <f t="shared" si="372"/>
        <v>0.99034468438538203</v>
      </c>
      <c r="K2430" s="51">
        <f>VLOOKUP(B:B,'生產達成率(目標)'!A:C,3,0)</f>
        <v>1</v>
      </c>
      <c r="L2430" s="20">
        <f t="shared" si="373"/>
        <v>-0.01</v>
      </c>
      <c r="M2430" s="137" t="str">
        <f>工時!R1616</f>
        <v>390</v>
      </c>
      <c r="N2430" s="144"/>
      <c r="O2430" s="144">
        <f t="shared" si="374"/>
        <v>7</v>
      </c>
      <c r="P2430" s="156">
        <v>9532</v>
      </c>
      <c r="Q2430" s="98">
        <f t="shared" si="375"/>
        <v>0.99926617045811927</v>
      </c>
      <c r="R2430" s="23"/>
      <c r="S2430" s="173"/>
      <c r="T2430" s="30"/>
      <c r="U2430" s="264"/>
      <c r="V2430" s="463"/>
      <c r="X2430" s="463"/>
    </row>
    <row r="2431" spans="1:30" s="146" customFormat="1" x14ac:dyDescent="0.4">
      <c r="A2431" s="212">
        <v>46014</v>
      </c>
      <c r="B2431" s="139" t="s">
        <v>106</v>
      </c>
      <c r="C2431" s="140" t="str">
        <f>VLOOKUP(B2431,'112年全品項生產鍋數'!A:H,2,0)</f>
        <v>小藍莓1*260G</v>
      </c>
      <c r="D2431" s="292">
        <v>16</v>
      </c>
      <c r="E2431" s="141">
        <f>VLOOKUP(B2431,'112年全品項生產鍋數'!A:H,3,0)</f>
        <v>0.26</v>
      </c>
      <c r="F2431" s="142">
        <f>VLOOKUP(B2431,'112年全品項生產鍋數'!A:H,7,0)</f>
        <v>584.29999999999995</v>
      </c>
      <c r="G2431" s="143">
        <f t="shared" si="370"/>
        <v>9348.7999999999993</v>
      </c>
      <c r="H2431" s="156">
        <v>9619</v>
      </c>
      <c r="I2431" s="144">
        <f t="shared" si="371"/>
        <v>2500.94</v>
      </c>
      <c r="J2431" s="100">
        <f t="shared" si="372"/>
        <v>1.0289021050830054</v>
      </c>
      <c r="K2431" s="51">
        <f>VLOOKUP(B:B,'生產達成率(目標)'!A:C,3,0)</f>
        <v>1</v>
      </c>
      <c r="L2431" s="20">
        <f t="shared" si="373"/>
        <v>2.9000000000000001E-2</v>
      </c>
      <c r="M2431" s="137" t="str">
        <f>工時!R1617</f>
        <v>330</v>
      </c>
      <c r="N2431" s="144"/>
      <c r="O2431" s="144">
        <f t="shared" si="374"/>
        <v>28</v>
      </c>
      <c r="P2431" s="156">
        <v>9591</v>
      </c>
      <c r="Q2431" s="145">
        <f t="shared" si="375"/>
        <v>0.99708909450046779</v>
      </c>
      <c r="R2431" s="144"/>
      <c r="S2431" s="153"/>
      <c r="T2431" s="140" t="s">
        <v>1188</v>
      </c>
      <c r="U2431" s="151"/>
      <c r="V2431" s="464"/>
      <c r="W2431" s="421"/>
      <c r="X2431" s="464"/>
      <c r="Y2431" s="421"/>
      <c r="Z2431" s="421"/>
      <c r="AA2431" s="421"/>
      <c r="AB2431" s="421"/>
      <c r="AC2431" s="421"/>
      <c r="AD2431" s="421"/>
    </row>
    <row r="2432" spans="1:30" x14ac:dyDescent="0.4">
      <c r="A2432" s="212">
        <v>46014</v>
      </c>
      <c r="B2432" s="139" t="s">
        <v>63</v>
      </c>
      <c r="C2432" s="30" t="str">
        <f>VLOOKUP(B2432,'112年全品項生產鍋數'!A:H,2,0)</f>
        <v>草莓蒟蒻餡(1*6kg)</v>
      </c>
      <c r="D2432" s="296">
        <v>24</v>
      </c>
      <c r="E2432" s="48">
        <f>VLOOKUP(B2432,'112年全品項生產鍋數'!A:H,3,0)</f>
        <v>6</v>
      </c>
      <c r="F2432" s="142">
        <f>VLOOKUP(B2432,'112年全品項生產鍋數'!A:H,7,0)</f>
        <v>25.7</v>
      </c>
      <c r="G2432" s="143">
        <f t="shared" si="370"/>
        <v>616.79999999999995</v>
      </c>
      <c r="H2432" s="156">
        <f>343+353</f>
        <v>696</v>
      </c>
      <c r="I2432" s="23">
        <f t="shared" si="371"/>
        <v>4176</v>
      </c>
      <c r="J2432" s="100">
        <f t="shared" si="372"/>
        <v>1.1284046692607004</v>
      </c>
      <c r="K2432" s="51">
        <f>VLOOKUP(B:B,'生產達成率(目標)'!A:C,3,0)</f>
        <v>1</v>
      </c>
      <c r="L2432" s="20">
        <f t="shared" si="373"/>
        <v>0.128</v>
      </c>
      <c r="M2432" s="137" t="str">
        <f>工時!R1618</f>
        <v>510</v>
      </c>
      <c r="N2432" s="144"/>
      <c r="O2432" s="144">
        <f t="shared" si="374"/>
        <v>5</v>
      </c>
      <c r="P2432" s="156">
        <f>339+352</f>
        <v>691</v>
      </c>
      <c r="Q2432" s="98">
        <f t="shared" si="375"/>
        <v>0.99281609195402298</v>
      </c>
      <c r="R2432" s="23"/>
      <c r="S2432" s="173"/>
      <c r="T2432" s="30"/>
      <c r="U2432" s="264"/>
      <c r="V2432" s="463"/>
      <c r="X2432" s="463"/>
    </row>
    <row r="2433" spans="1:30" x14ac:dyDescent="0.4">
      <c r="A2433" s="212">
        <v>46014</v>
      </c>
      <c r="B2433" s="139" t="s">
        <v>99</v>
      </c>
      <c r="C2433" s="30" t="str">
        <f>VLOOKUP(B2433,'112年全品項生產鍋數'!A:H,2,0)</f>
        <v>葡萄奇異果醬(1*6kg)</v>
      </c>
      <c r="D2433" s="296">
        <v>6</v>
      </c>
      <c r="E2433" s="48">
        <f>VLOOKUP(B2433,'112年全品項生產鍋數'!A:H,3,0)</f>
        <v>6</v>
      </c>
      <c r="F2433" s="142">
        <f>VLOOKUP(B2433,'112年全品項生產鍋數'!A:H,7,0)</f>
        <v>24.3</v>
      </c>
      <c r="G2433" s="143">
        <f t="shared" si="370"/>
        <v>145.80000000000001</v>
      </c>
      <c r="H2433" s="156">
        <v>175</v>
      </c>
      <c r="I2433" s="23">
        <f t="shared" si="371"/>
        <v>1050</v>
      </c>
      <c r="J2433" s="100">
        <f t="shared" si="372"/>
        <v>1.2002743484224965</v>
      </c>
      <c r="K2433" s="51">
        <f>VLOOKUP(B:B,'生產達成率(目標)'!A:C,3,0)</f>
        <v>1</v>
      </c>
      <c r="L2433" s="20">
        <f t="shared" si="373"/>
        <v>0.2</v>
      </c>
      <c r="M2433" s="137" t="str">
        <f>工時!R1619</f>
        <v>270</v>
      </c>
      <c r="N2433" s="144"/>
      <c r="O2433" s="144">
        <f t="shared" si="374"/>
        <v>1</v>
      </c>
      <c r="P2433" s="156">
        <v>174</v>
      </c>
      <c r="Q2433" s="98">
        <f t="shared" si="375"/>
        <v>0.99428571428571433</v>
      </c>
      <c r="R2433" s="371" t="s">
        <v>1179</v>
      </c>
      <c r="S2433" s="173">
        <f>24*6</f>
        <v>144</v>
      </c>
      <c r="T2433" s="30" t="s">
        <v>1153</v>
      </c>
      <c r="U2433" s="264"/>
      <c r="V2433" s="463"/>
      <c r="X2433" s="463"/>
    </row>
    <row r="2434" spans="1:30" x14ac:dyDescent="0.4">
      <c r="A2434" s="212">
        <v>46014</v>
      </c>
      <c r="B2434" s="139" t="s">
        <v>109</v>
      </c>
      <c r="C2434" s="30" t="str">
        <f>VLOOKUP(B2434,'112年全品項生產鍋數'!A:H,2,0)</f>
        <v>蔓越莓醬(1*6KG)</v>
      </c>
      <c r="D2434" s="296">
        <v>12</v>
      </c>
      <c r="E2434" s="48">
        <f>VLOOKUP(B2434,'112年全品項生產鍋數'!A:H,3,0)</f>
        <v>6</v>
      </c>
      <c r="F2434" s="142">
        <f>VLOOKUP(B2434,'112年全品項生產鍋數'!A:H,7,0)</f>
        <v>25.6</v>
      </c>
      <c r="G2434" s="143">
        <f t="shared" si="370"/>
        <v>307.20000000000005</v>
      </c>
      <c r="H2434" s="156">
        <v>308</v>
      </c>
      <c r="I2434" s="23">
        <f t="shared" si="371"/>
        <v>1848</v>
      </c>
      <c r="J2434" s="100">
        <f t="shared" si="372"/>
        <v>1.0026041666666665</v>
      </c>
      <c r="K2434" s="51">
        <f>VLOOKUP(B:B,'生產達成率(目標)'!A:C,3,0)</f>
        <v>1</v>
      </c>
      <c r="L2434" s="20">
        <f t="shared" si="373"/>
        <v>3.0000000000000001E-3</v>
      </c>
      <c r="M2434" s="137" t="str">
        <f>工時!R1620</f>
        <v>434</v>
      </c>
      <c r="N2434" s="144"/>
      <c r="O2434" s="144">
        <f t="shared" si="374"/>
        <v>2</v>
      </c>
      <c r="P2434" s="156">
        <v>306</v>
      </c>
      <c r="Q2434" s="98">
        <f t="shared" si="375"/>
        <v>0.99350649350649356</v>
      </c>
      <c r="R2434" s="23"/>
      <c r="S2434" s="173"/>
      <c r="T2434" s="30" t="s">
        <v>1153</v>
      </c>
      <c r="U2434" s="264"/>
      <c r="V2434" s="463"/>
      <c r="X2434" s="463"/>
    </row>
    <row r="2435" spans="1:30" x14ac:dyDescent="0.4">
      <c r="A2435" s="212">
        <v>46014</v>
      </c>
      <c r="B2435" s="139" t="s">
        <v>97</v>
      </c>
      <c r="C2435" s="30" t="str">
        <f>VLOOKUP(B2435,'112年全品項生產鍋數'!A:H,2,0)</f>
        <v>花生醬(1*18KG)</v>
      </c>
      <c r="D2435" s="296">
        <v>8</v>
      </c>
      <c r="E2435" s="48">
        <f>VLOOKUP(B2435,'112年全品項生產鍋數'!A:H,3,0)</f>
        <v>18</v>
      </c>
      <c r="F2435" s="142">
        <f>VLOOKUP(B2435,'112年全品項生產鍋數'!A:H,7,0)</f>
        <v>6.6</v>
      </c>
      <c r="G2435" s="143">
        <f t="shared" si="370"/>
        <v>52.8</v>
      </c>
      <c r="H2435" s="156">
        <v>52</v>
      </c>
      <c r="I2435" s="23">
        <f t="shared" si="371"/>
        <v>936</v>
      </c>
      <c r="J2435" s="100">
        <f t="shared" si="372"/>
        <v>0.98484848484848486</v>
      </c>
      <c r="K2435" s="51">
        <f>VLOOKUP(B:B,'生產達成率(目標)'!A:C,3,0)</f>
        <v>1</v>
      </c>
      <c r="L2435" s="20">
        <f t="shared" si="373"/>
        <v>-1.4999999999999999E-2</v>
      </c>
      <c r="M2435" s="137" t="str">
        <f>工時!R1621</f>
        <v>120</v>
      </c>
      <c r="N2435" s="144"/>
      <c r="O2435" s="144">
        <f t="shared" si="374"/>
        <v>0</v>
      </c>
      <c r="P2435" s="156">
        <v>52</v>
      </c>
      <c r="Q2435" s="98">
        <f t="shared" si="375"/>
        <v>1</v>
      </c>
      <c r="R2435" s="23"/>
      <c r="S2435" s="173"/>
      <c r="T2435" s="30" t="s">
        <v>1153</v>
      </c>
      <c r="U2435" s="264"/>
      <c r="V2435" s="463"/>
      <c r="X2435" s="463"/>
    </row>
    <row r="2436" spans="1:30" x14ac:dyDescent="0.4">
      <c r="A2436" s="212">
        <v>46014</v>
      </c>
      <c r="B2436" s="139" t="s">
        <v>123</v>
      </c>
      <c r="C2436" s="30" t="str">
        <f>VLOOKUP(B2436,'112年全品項生產鍋數'!A:H,2,0)</f>
        <v>深烤焙花生醬(1*18KG)</v>
      </c>
      <c r="D2436" s="296">
        <v>24</v>
      </c>
      <c r="E2436" s="48">
        <f>VLOOKUP(B2436,'112年全品項生產鍋數'!A:H,3,0)</f>
        <v>18</v>
      </c>
      <c r="F2436" s="142">
        <f>VLOOKUP(B2436,'112年全品項生產鍋數'!A:H,7,0)</f>
        <v>6.9</v>
      </c>
      <c r="G2436" s="143">
        <f t="shared" si="370"/>
        <v>165.60000000000002</v>
      </c>
      <c r="H2436" s="156">
        <v>172</v>
      </c>
      <c r="I2436" s="23">
        <f t="shared" si="371"/>
        <v>3096</v>
      </c>
      <c r="J2436" s="100">
        <f t="shared" si="372"/>
        <v>1.038647342995169</v>
      </c>
      <c r="K2436" s="51">
        <f>VLOOKUP(B:B,'生產達成率(目標)'!A:C,3,0)</f>
        <v>1</v>
      </c>
      <c r="L2436" s="20">
        <f t="shared" si="373"/>
        <v>3.9E-2</v>
      </c>
      <c r="M2436" s="137" t="str">
        <f>工時!R1622</f>
        <v>245</v>
      </c>
      <c r="N2436" s="144"/>
      <c r="O2436" s="144">
        <f t="shared" si="374"/>
        <v>0</v>
      </c>
      <c r="P2436" s="156">
        <v>172</v>
      </c>
      <c r="Q2436" s="98">
        <f t="shared" si="375"/>
        <v>1</v>
      </c>
      <c r="R2436" s="23"/>
      <c r="S2436" s="173"/>
      <c r="T2436" s="30" t="s">
        <v>1153</v>
      </c>
      <c r="U2436" s="264"/>
      <c r="V2436" s="463"/>
      <c r="X2436" s="463"/>
    </row>
    <row r="2437" spans="1:30" x14ac:dyDescent="0.4">
      <c r="A2437" s="212">
        <v>46014</v>
      </c>
      <c r="B2437" s="139" t="s">
        <v>131</v>
      </c>
      <c r="C2437" s="30" t="str">
        <f>VLOOKUP(B2437,'112年全品項生產鍋數'!A:H,2,0)</f>
        <v>花生醬(1*18KG)</v>
      </c>
      <c r="D2437" s="296">
        <v>24</v>
      </c>
      <c r="E2437" s="48">
        <f>VLOOKUP(B2437,'112年全品項生產鍋數'!A:H,3,0)</f>
        <v>18</v>
      </c>
      <c r="F2437" s="142">
        <f>VLOOKUP(B2437,'112年全品項生產鍋數'!A:H,7,0)</f>
        <v>6.9</v>
      </c>
      <c r="G2437" s="143">
        <f t="shared" si="370"/>
        <v>165.60000000000002</v>
      </c>
      <c r="H2437" s="156">
        <v>172</v>
      </c>
      <c r="I2437" s="23">
        <f t="shared" si="371"/>
        <v>3096</v>
      </c>
      <c r="J2437" s="100">
        <f t="shared" si="372"/>
        <v>1.038647342995169</v>
      </c>
      <c r="K2437" s="51">
        <f>VLOOKUP(B:B,'生產達成率(目標)'!A:C,3,0)</f>
        <v>1</v>
      </c>
      <c r="L2437" s="20">
        <f t="shared" si="373"/>
        <v>3.9E-2</v>
      </c>
      <c r="M2437" s="137" t="str">
        <f>工時!R1623</f>
        <v>230</v>
      </c>
      <c r="N2437" s="144"/>
      <c r="O2437" s="144">
        <f t="shared" si="374"/>
        <v>0</v>
      </c>
      <c r="P2437" s="156">
        <v>172</v>
      </c>
      <c r="Q2437" s="98">
        <f t="shared" si="375"/>
        <v>1</v>
      </c>
      <c r="R2437" s="23"/>
      <c r="S2437" s="173"/>
      <c r="T2437" s="30" t="s">
        <v>1153</v>
      </c>
      <c r="U2437" s="264"/>
      <c r="V2437" s="463"/>
      <c r="X2437" s="463"/>
    </row>
    <row r="2438" spans="1:30" s="146" customFormat="1" x14ac:dyDescent="0.4">
      <c r="A2438" s="212">
        <v>46014</v>
      </c>
      <c r="B2438" s="139">
        <v>111060</v>
      </c>
      <c r="C2438" s="140" t="str">
        <f>VLOOKUP(B2438,'112年全品項生產鍋數'!A:H,2,0)</f>
        <v>加糖檸檬皮</v>
      </c>
      <c r="D2438" s="292">
        <v>1</v>
      </c>
      <c r="E2438" s="141">
        <f>VLOOKUP(B2438,'112年全品項生產鍋數'!A:H,3,0)</f>
        <v>1</v>
      </c>
      <c r="F2438" s="142">
        <f>VLOOKUP(B2438,'112年全品項生產鍋數'!A:H,7,0)</f>
        <v>0</v>
      </c>
      <c r="G2438" s="143">
        <f t="shared" si="370"/>
        <v>0</v>
      </c>
      <c r="H2438" s="156">
        <v>510</v>
      </c>
      <c r="I2438" s="144">
        <f t="shared" si="371"/>
        <v>510</v>
      </c>
      <c r="J2438" s="100" t="str">
        <f t="shared" si="372"/>
        <v>無法預估數據</v>
      </c>
      <c r="K2438" s="51">
        <f>VLOOKUP(B:B,'生產達成率(目標)'!A:C,3,0)</f>
        <v>1</v>
      </c>
      <c r="L2438" s="20" t="str">
        <f t="shared" si="373"/>
        <v>無法預估數據</v>
      </c>
      <c r="M2438" s="137" t="str">
        <f>工時!R1624</f>
        <v>0</v>
      </c>
      <c r="N2438" s="144"/>
      <c r="O2438" s="144">
        <f t="shared" si="374"/>
        <v>0</v>
      </c>
      <c r="P2438" s="156">
        <v>510</v>
      </c>
      <c r="Q2438" s="145">
        <f t="shared" si="375"/>
        <v>1</v>
      </c>
      <c r="R2438" s="144"/>
      <c r="S2438" s="153"/>
      <c r="T2438" s="140" t="s">
        <v>1153</v>
      </c>
      <c r="U2438" s="151"/>
      <c r="V2438" s="464"/>
      <c r="W2438" s="421"/>
      <c r="X2438" s="464"/>
      <c r="Y2438" s="421"/>
      <c r="Z2438" s="421"/>
      <c r="AA2438" s="421"/>
      <c r="AB2438" s="421"/>
      <c r="AC2438" s="421"/>
      <c r="AD2438" s="421"/>
    </row>
    <row r="2439" spans="1:30" x14ac:dyDescent="0.4">
      <c r="A2439" s="212">
        <v>46015</v>
      </c>
      <c r="B2439" s="139" t="s">
        <v>54</v>
      </c>
      <c r="C2439" s="30" t="str">
        <f>VLOOKUP(B2439,'112年全品項生產鍋數'!A:H,2,0)</f>
        <v>草莓醬(1*6kg)</v>
      </c>
      <c r="D2439" s="296">
        <v>28</v>
      </c>
      <c r="E2439" s="48">
        <f>VLOOKUP(B2439,'112年全品項生產鍋數'!A:H,3,0)</f>
        <v>6</v>
      </c>
      <c r="F2439" s="142">
        <f>VLOOKUP(B2439,'112年全品項生產鍋數'!A:H,7,0)</f>
        <v>26.6</v>
      </c>
      <c r="G2439" s="143">
        <f t="shared" si="370"/>
        <v>744.80000000000007</v>
      </c>
      <c r="H2439" s="156">
        <v>732</v>
      </c>
      <c r="I2439" s="23">
        <f t="shared" si="371"/>
        <v>4392</v>
      </c>
      <c r="J2439" s="100">
        <f t="shared" si="372"/>
        <v>0.98281417830289997</v>
      </c>
      <c r="K2439" s="51">
        <f>VLOOKUP(B:B,'生產達成率(目標)'!A:C,3,0)</f>
        <v>1</v>
      </c>
      <c r="L2439" s="20">
        <f t="shared" si="373"/>
        <v>-1.7000000000000001E-2</v>
      </c>
      <c r="M2439" s="137" t="str">
        <f>工時!R1625</f>
        <v>380</v>
      </c>
      <c r="N2439" s="144"/>
      <c r="O2439" s="144">
        <f t="shared" si="374"/>
        <v>1</v>
      </c>
      <c r="P2439" s="156">
        <v>731</v>
      </c>
      <c r="Q2439" s="98">
        <f t="shared" si="375"/>
        <v>0.99863387978142082</v>
      </c>
      <c r="R2439" s="23"/>
      <c r="S2439" s="173"/>
      <c r="T2439" s="30" t="s">
        <v>1153</v>
      </c>
      <c r="U2439" s="264"/>
      <c r="V2439" s="463"/>
      <c r="X2439" s="463"/>
    </row>
    <row r="2440" spans="1:30" x14ac:dyDescent="0.4">
      <c r="A2440" s="212">
        <v>46015</v>
      </c>
      <c r="B2440" s="139" t="s">
        <v>51</v>
      </c>
      <c r="C2440" s="30" t="str">
        <f>VLOOKUP(B2440,'112年全品項生產鍋數'!A:H,2,0)</f>
        <v>藍莓醬(1*6kg)</v>
      </c>
      <c r="D2440" s="296">
        <v>18</v>
      </c>
      <c r="E2440" s="48">
        <f>VLOOKUP(B2440,'112年全品項生產鍋數'!A:H,3,0)</f>
        <v>6</v>
      </c>
      <c r="F2440" s="142">
        <f>VLOOKUP(B2440,'112年全品項生產鍋數'!A:H,7,0)</f>
        <v>25.5</v>
      </c>
      <c r="G2440" s="143">
        <f t="shared" si="370"/>
        <v>459</v>
      </c>
      <c r="H2440" s="156">
        <v>455</v>
      </c>
      <c r="I2440" s="23">
        <f t="shared" si="371"/>
        <v>2730</v>
      </c>
      <c r="J2440" s="100">
        <f t="shared" si="372"/>
        <v>0.99128540305010893</v>
      </c>
      <c r="K2440" s="51">
        <f>VLOOKUP(B:B,'生產達成率(目標)'!A:C,3,0)</f>
        <v>1</v>
      </c>
      <c r="L2440" s="20">
        <f t="shared" si="373"/>
        <v>-8.9999999999999993E-3</v>
      </c>
      <c r="M2440" s="137" t="str">
        <f>工時!R1626</f>
        <v>269</v>
      </c>
      <c r="N2440" s="144"/>
      <c r="O2440" s="144">
        <f t="shared" si="374"/>
        <v>1</v>
      </c>
      <c r="P2440" s="156">
        <v>454</v>
      </c>
      <c r="Q2440" s="98">
        <f t="shared" si="375"/>
        <v>0.99780219780219781</v>
      </c>
      <c r="R2440" s="23"/>
      <c r="S2440" s="173"/>
      <c r="T2440" s="30" t="s">
        <v>1153</v>
      </c>
      <c r="U2440" s="264"/>
      <c r="V2440" s="463"/>
      <c r="X2440" s="463"/>
    </row>
    <row r="2441" spans="1:30" x14ac:dyDescent="0.4">
      <c r="A2441" s="212">
        <v>46015</v>
      </c>
      <c r="B2441" s="139" t="s">
        <v>57</v>
      </c>
      <c r="C2441" s="30" t="str">
        <f>VLOOKUP(B2441,'112年全品項生產鍋數'!A:H,2,0)</f>
        <v>蘋果藍莓餡(1*9.08kg)</v>
      </c>
      <c r="D2441" s="296">
        <v>12</v>
      </c>
      <c r="E2441" s="48">
        <f>VLOOKUP(B2441,'112年全品項生產鍋數'!A:H,3,0)</f>
        <v>9.08</v>
      </c>
      <c r="F2441" s="142">
        <f>VLOOKUP(B2441,'112年全品項生產鍋數'!A:H,7,0)</f>
        <v>17.3</v>
      </c>
      <c r="G2441" s="143">
        <f t="shared" si="370"/>
        <v>207.60000000000002</v>
      </c>
      <c r="H2441" s="156">
        <v>206</v>
      </c>
      <c r="I2441" s="23">
        <f t="shared" si="371"/>
        <v>1870.48</v>
      </c>
      <c r="J2441" s="100">
        <f t="shared" si="372"/>
        <v>0.9922928709055876</v>
      </c>
      <c r="K2441" s="51">
        <f>VLOOKUP(B:B,'生產達成率(目標)'!A:C,3,0)</f>
        <v>1</v>
      </c>
      <c r="L2441" s="20">
        <f t="shared" si="373"/>
        <v>-8.0000000000000002E-3</v>
      </c>
      <c r="M2441" s="137" t="str">
        <f>工時!R1627</f>
        <v>182</v>
      </c>
      <c r="N2441" s="144"/>
      <c r="O2441" s="144">
        <f t="shared" si="374"/>
        <v>0</v>
      </c>
      <c r="P2441" s="156">
        <v>206</v>
      </c>
      <c r="Q2441" s="98">
        <f t="shared" si="375"/>
        <v>1</v>
      </c>
      <c r="R2441" s="23"/>
      <c r="S2441" s="173"/>
      <c r="T2441" s="30" t="s">
        <v>1153</v>
      </c>
      <c r="U2441" s="264"/>
      <c r="V2441" s="463"/>
      <c r="X2441" s="463"/>
    </row>
    <row r="2442" spans="1:30" x14ac:dyDescent="0.4">
      <c r="A2442" s="212">
        <v>46015</v>
      </c>
      <c r="B2442" s="139" t="s">
        <v>611</v>
      </c>
      <c r="C2442" s="30" t="str">
        <f>VLOOKUP(B2442,'112年全品項生產鍋數'!A:H,2,0)</f>
        <v>藍莓餡（大）(1*9.08kg)</v>
      </c>
      <c r="D2442" s="296">
        <v>6</v>
      </c>
      <c r="E2442" s="48">
        <f>VLOOKUP(B2442,'112年全品項生產鍋數'!A:H,3,0)</f>
        <v>9.08</v>
      </c>
      <c r="F2442" s="142">
        <f>VLOOKUP(B2442,'112年全品項生產鍋數'!A:H,7,0)</f>
        <v>17.399999999999999</v>
      </c>
      <c r="G2442" s="143">
        <f t="shared" si="370"/>
        <v>104.39999999999999</v>
      </c>
      <c r="H2442" s="156">
        <v>109</v>
      </c>
      <c r="I2442" s="23">
        <f t="shared" si="371"/>
        <v>989.72</v>
      </c>
      <c r="J2442" s="100">
        <f t="shared" si="372"/>
        <v>1.0440613026819925</v>
      </c>
      <c r="K2442" s="51">
        <f>VLOOKUP(B:B,'生產達成率(目標)'!A:C,3,0)</f>
        <v>1</v>
      </c>
      <c r="L2442" s="20">
        <f t="shared" si="373"/>
        <v>4.3999999999999997E-2</v>
      </c>
      <c r="M2442" s="137" t="str">
        <f>工時!R1628</f>
        <v>150</v>
      </c>
      <c r="N2442" s="144"/>
      <c r="O2442" s="144">
        <f t="shared" si="374"/>
        <v>0</v>
      </c>
      <c r="P2442" s="156">
        <v>109</v>
      </c>
      <c r="Q2442" s="98">
        <f t="shared" si="375"/>
        <v>1</v>
      </c>
      <c r="R2442" s="23"/>
      <c r="S2442" s="173"/>
      <c r="T2442" s="30" t="s">
        <v>1189</v>
      </c>
      <c r="U2442" s="264"/>
      <c r="V2442" s="463"/>
      <c r="X2442" s="463"/>
    </row>
    <row r="2443" spans="1:30" x14ac:dyDescent="0.4">
      <c r="A2443" s="212">
        <v>46015</v>
      </c>
      <c r="B2443" s="139" t="s">
        <v>661</v>
      </c>
      <c r="C2443" s="30" t="str">
        <f>VLOOKUP(B2443,'112年全品項生產鍋數'!A:H,2,0)</f>
        <v>上好佳藍莓餡(大)4.5KG</v>
      </c>
      <c r="D2443" s="296">
        <v>16</v>
      </c>
      <c r="E2443" s="48">
        <f>VLOOKUP(B2443,'112年全品項生產鍋數'!A:H,3,0)</f>
        <v>4.5</v>
      </c>
      <c r="F2443" s="142">
        <f>VLOOKUP(B2443,'112年全品項生產鍋數'!A:H,7,0)</f>
        <v>37</v>
      </c>
      <c r="G2443" s="143">
        <f t="shared" si="370"/>
        <v>592</v>
      </c>
      <c r="H2443" s="156">
        <v>599</v>
      </c>
      <c r="I2443" s="23">
        <f t="shared" si="371"/>
        <v>2695.5</v>
      </c>
      <c r="J2443" s="100">
        <f t="shared" si="372"/>
        <v>1.0118243243243243</v>
      </c>
      <c r="K2443" s="51">
        <f>VLOOKUP(B:B,'生產達成率(目標)'!A:C,3,0)</f>
        <v>1</v>
      </c>
      <c r="L2443" s="20">
        <f t="shared" si="373"/>
        <v>1.2E-2</v>
      </c>
      <c r="M2443" s="137" t="str">
        <f>工時!R1629</f>
        <v>275</v>
      </c>
      <c r="N2443" s="144"/>
      <c r="O2443" s="144">
        <f t="shared" si="374"/>
        <v>0</v>
      </c>
      <c r="P2443" s="156">
        <v>599</v>
      </c>
      <c r="Q2443" s="98">
        <f t="shared" si="375"/>
        <v>1</v>
      </c>
      <c r="R2443" s="23"/>
      <c r="S2443" s="173"/>
      <c r="T2443" s="30" t="s">
        <v>1153</v>
      </c>
      <c r="U2443" s="264"/>
      <c r="V2443" s="463"/>
      <c r="X2443" s="463"/>
    </row>
    <row r="2444" spans="1:30" x14ac:dyDescent="0.4">
      <c r="A2444" s="212">
        <v>46015</v>
      </c>
      <c r="B2444" s="139" t="s">
        <v>471</v>
      </c>
      <c r="C2444" s="30" t="str">
        <f>VLOOKUP(B2444,'112年全品項生產鍋數'!A:H,2,0)</f>
        <v>花生醬(1*290g)</v>
      </c>
      <c r="D2444" s="296">
        <v>8</v>
      </c>
      <c r="E2444" s="48">
        <f>VLOOKUP(B2444,'112年全品項生產鍋數'!A:H,3,0)</f>
        <v>0.28999999999999998</v>
      </c>
      <c r="F2444" s="142">
        <f>VLOOKUP(B2444,'112年全品項生產鍋數'!A:H,7,0)</f>
        <v>412.6</v>
      </c>
      <c r="G2444" s="143">
        <f t="shared" si="370"/>
        <v>3300.8</v>
      </c>
      <c r="H2444" s="156">
        <v>3438</v>
      </c>
      <c r="I2444" s="23">
        <f t="shared" si="371"/>
        <v>997.02</v>
      </c>
      <c r="J2444" s="100">
        <f t="shared" si="372"/>
        <v>1.0415656810470189</v>
      </c>
      <c r="K2444" s="51">
        <f>VLOOKUP(B:B,'生產達成率(目標)'!A:C,3,0)</f>
        <v>1</v>
      </c>
      <c r="L2444" s="20">
        <f t="shared" si="373"/>
        <v>4.2000000000000003E-2</v>
      </c>
      <c r="M2444" s="137" t="str">
        <f>工時!R1630</f>
        <v>335</v>
      </c>
      <c r="N2444" s="144"/>
      <c r="O2444" s="144">
        <f t="shared" si="374"/>
        <v>3</v>
      </c>
      <c r="P2444" s="156">
        <v>3435</v>
      </c>
      <c r="Q2444" s="98">
        <f t="shared" si="375"/>
        <v>0.99912739965095987</v>
      </c>
      <c r="R2444" s="23"/>
      <c r="S2444" s="173"/>
      <c r="T2444" s="30"/>
      <c r="U2444" s="264"/>
      <c r="V2444" s="463"/>
      <c r="X2444" s="463"/>
    </row>
    <row r="2445" spans="1:30" x14ac:dyDescent="0.4">
      <c r="A2445" s="212">
        <v>46015</v>
      </c>
      <c r="B2445" s="139" t="s">
        <v>65</v>
      </c>
      <c r="C2445" s="30" t="str">
        <f>VLOOKUP(B2445,'112年全品項生產鍋數'!A:H,2,0)</f>
        <v>＃1花生(1*2.8kg)</v>
      </c>
      <c r="D2445" s="296">
        <v>36</v>
      </c>
      <c r="E2445" s="48">
        <f>VLOOKUP(B2445,'112年全品項生產鍋數'!A:H,3,0)</f>
        <v>2.8</v>
      </c>
      <c r="F2445" s="142">
        <f>VLOOKUP(B2445,'112年全品項生產鍋數'!A:H,7,0)</f>
        <v>44.5</v>
      </c>
      <c r="G2445" s="143">
        <f>D2445*F2445-55*18/E2445</f>
        <v>1248.4285714285713</v>
      </c>
      <c r="H2445" s="156">
        <f>970+300</f>
        <v>1270</v>
      </c>
      <c r="I2445" s="23">
        <f t="shared" si="371"/>
        <v>3556</v>
      </c>
      <c r="J2445" s="100">
        <f t="shared" si="372"/>
        <v>1.0172788648586795</v>
      </c>
      <c r="K2445" s="51">
        <f>VLOOKUP(B:B,'生產達成率(目標)'!A:C,3,0)</f>
        <v>1</v>
      </c>
      <c r="L2445" s="20">
        <f t="shared" si="373"/>
        <v>1.7000000000000001E-2</v>
      </c>
      <c r="M2445" s="137" t="str">
        <f>工時!R1631</f>
        <v>420</v>
      </c>
      <c r="N2445" s="144"/>
      <c r="O2445" s="144">
        <f t="shared" si="374"/>
        <v>1</v>
      </c>
      <c r="P2445" s="156">
        <f>969+300</f>
        <v>1269</v>
      </c>
      <c r="Q2445" s="98">
        <f t="shared" si="375"/>
        <v>0.99921259842519683</v>
      </c>
      <c r="R2445" s="23" t="s">
        <v>1236</v>
      </c>
      <c r="S2445" s="173">
        <v>63</v>
      </c>
      <c r="T2445" s="30" t="s">
        <v>1190</v>
      </c>
      <c r="U2445" s="264"/>
      <c r="V2445" s="463"/>
      <c r="X2445" s="463"/>
    </row>
    <row r="2446" spans="1:30" s="146" customFormat="1" x14ac:dyDescent="0.4">
      <c r="A2446" s="212">
        <v>46015</v>
      </c>
      <c r="B2446" s="139">
        <v>111010</v>
      </c>
      <c r="C2446" s="140" t="str">
        <f>VLOOKUP(B2446,'112年全品項生產鍋數'!A:H,2,0)</f>
        <v>糖漬桔皮絲</v>
      </c>
      <c r="D2446" s="292">
        <v>1</v>
      </c>
      <c r="E2446" s="141">
        <f>VLOOKUP(B2446,'112年全品項生產鍋數'!A:H,3,0)</f>
        <v>1</v>
      </c>
      <c r="F2446" s="142">
        <f>VLOOKUP(B2446,'112年全品項生產鍋數'!A:H,7,0)</f>
        <v>942</v>
      </c>
      <c r="G2446" s="143">
        <f t="shared" si="370"/>
        <v>942</v>
      </c>
      <c r="H2446" s="156">
        <v>945</v>
      </c>
      <c r="I2446" s="144">
        <f t="shared" si="371"/>
        <v>945</v>
      </c>
      <c r="J2446" s="100">
        <f t="shared" si="372"/>
        <v>1.0031847133757963</v>
      </c>
      <c r="K2446" s="51">
        <f>VLOOKUP(B:B,'生產達成率(目標)'!A:C,3,0)</f>
        <v>1</v>
      </c>
      <c r="L2446" s="20">
        <f t="shared" si="373"/>
        <v>3.0000000000000001E-3</v>
      </c>
      <c r="M2446" s="137" t="str">
        <f>工時!R1632</f>
        <v>0</v>
      </c>
      <c r="N2446" s="144"/>
      <c r="O2446" s="144">
        <f t="shared" si="374"/>
        <v>0</v>
      </c>
      <c r="P2446" s="156">
        <v>945</v>
      </c>
      <c r="Q2446" s="145">
        <f t="shared" si="375"/>
        <v>1</v>
      </c>
      <c r="R2446" s="144"/>
      <c r="S2446" s="153"/>
      <c r="T2446" s="140" t="s">
        <v>1153</v>
      </c>
      <c r="U2446" s="151"/>
      <c r="V2446" s="464"/>
      <c r="W2446" s="421"/>
      <c r="X2446" s="464"/>
      <c r="Y2446" s="421"/>
      <c r="Z2446" s="421"/>
      <c r="AA2446" s="421"/>
      <c r="AB2446" s="421"/>
      <c r="AC2446" s="421"/>
      <c r="AD2446" s="421"/>
    </row>
    <row r="2447" spans="1:30" x14ac:dyDescent="0.4">
      <c r="A2447" s="212">
        <v>46020</v>
      </c>
      <c r="B2447" s="139" t="s">
        <v>64</v>
      </c>
      <c r="C2447" s="30" t="str">
        <f>VLOOKUP(B2447,'112年全品項生產鍋數'!A:H,2,0)</f>
        <v>藍莓餡(1*6KG)</v>
      </c>
      <c r="D2447" s="296">
        <v>20</v>
      </c>
      <c r="E2447" s="48">
        <f>VLOOKUP(B2447,'112年全品項生產鍋數'!A:H,3,0)</f>
        <v>6</v>
      </c>
      <c r="F2447" s="142">
        <f>VLOOKUP(B2447,'112年全品項生產鍋數'!A:H,7,0)</f>
        <v>25.4</v>
      </c>
      <c r="G2447" s="143">
        <f t="shared" si="370"/>
        <v>508</v>
      </c>
      <c r="H2447" s="156">
        <f>306+211</f>
        <v>517</v>
      </c>
      <c r="I2447" s="23">
        <f t="shared" si="371"/>
        <v>3102</v>
      </c>
      <c r="J2447" s="100">
        <f t="shared" si="372"/>
        <v>1.0177165354330708</v>
      </c>
      <c r="K2447" s="51">
        <f>VLOOKUP(B:B,'生產達成率(目標)'!A:C,3,0)</f>
        <v>1</v>
      </c>
      <c r="L2447" s="20">
        <f t="shared" si="373"/>
        <v>1.7999999999999999E-2</v>
      </c>
      <c r="M2447" s="137" t="str">
        <f>工時!R1633</f>
        <v>300</v>
      </c>
      <c r="N2447" s="144"/>
      <c r="O2447" s="144">
        <f t="shared" si="374"/>
        <v>1</v>
      </c>
      <c r="P2447" s="156">
        <f>305+211</f>
        <v>516</v>
      </c>
      <c r="Q2447" s="98">
        <f t="shared" si="375"/>
        <v>0.99806576402321079</v>
      </c>
      <c r="R2447" s="23"/>
      <c r="S2447" s="173"/>
      <c r="T2447" s="30"/>
      <c r="U2447" s="264"/>
      <c r="V2447" s="463"/>
      <c r="X2447" s="463"/>
    </row>
    <row r="2448" spans="1:30" x14ac:dyDescent="0.4">
      <c r="A2448" s="212">
        <v>46020</v>
      </c>
      <c r="B2448" s="139" t="s">
        <v>63</v>
      </c>
      <c r="C2448" s="30" t="str">
        <f>VLOOKUP(B2448,'112年全品項生產鍋數'!A:H,2,0)</f>
        <v>草莓蒟蒻餡(1*6kg)</v>
      </c>
      <c r="D2448" s="296">
        <v>20</v>
      </c>
      <c r="E2448" s="48">
        <f>VLOOKUP(B2448,'112年全品項生產鍋數'!A:H,3,0)</f>
        <v>6</v>
      </c>
      <c r="F2448" s="142">
        <f>VLOOKUP(B2448,'112年全品項生產鍋數'!A:H,7,0)</f>
        <v>25.7</v>
      </c>
      <c r="G2448" s="143">
        <f t="shared" si="370"/>
        <v>514</v>
      </c>
      <c r="H2448" s="156">
        <f>346+238</f>
        <v>584</v>
      </c>
      <c r="I2448" s="23">
        <f t="shared" si="371"/>
        <v>3504</v>
      </c>
      <c r="J2448" s="100">
        <f t="shared" si="372"/>
        <v>1.1361867704280155</v>
      </c>
      <c r="K2448" s="51">
        <f>VLOOKUP(B:B,'生產達成率(目標)'!A:C,3,0)</f>
        <v>1</v>
      </c>
      <c r="L2448" s="20">
        <f t="shared" si="373"/>
        <v>0.13600000000000001</v>
      </c>
      <c r="M2448" s="137" t="str">
        <f>工時!R1634</f>
        <v>270</v>
      </c>
      <c r="N2448" s="144"/>
      <c r="O2448" s="144">
        <f t="shared" si="374"/>
        <v>1</v>
      </c>
      <c r="P2448" s="156">
        <f>345+238</f>
        <v>583</v>
      </c>
      <c r="Q2448" s="98">
        <f t="shared" si="375"/>
        <v>0.99828767123287676</v>
      </c>
      <c r="R2448" s="23"/>
      <c r="S2448" s="173"/>
      <c r="T2448" s="30"/>
      <c r="U2448" s="264"/>
      <c r="V2448" s="463"/>
      <c r="X2448" s="463"/>
    </row>
    <row r="2449" spans="1:30" s="146" customFormat="1" x14ac:dyDescent="0.4">
      <c r="A2449" s="212">
        <v>46020</v>
      </c>
      <c r="B2449" s="139" t="s">
        <v>73</v>
      </c>
      <c r="C2449" s="140" t="str">
        <f>VLOOKUP(B2449,'112年全品項生產鍋數'!A:H,2,0)</f>
        <v>顆粒花生醬(1*12KG)</v>
      </c>
      <c r="D2449" s="292">
        <v>15</v>
      </c>
      <c r="E2449" s="141">
        <f>VLOOKUP(B2449,'112年全品項生產鍋數'!A:H,3,0)</f>
        <v>3</v>
      </c>
      <c r="F2449" s="142">
        <f>VLOOKUP(B2449,'112年全品項生產鍋數'!A:H,7,0)</f>
        <v>29.7</v>
      </c>
      <c r="G2449" s="143">
        <f t="shared" si="370"/>
        <v>445.5</v>
      </c>
      <c r="H2449" s="156">
        <v>480</v>
      </c>
      <c r="I2449" s="144">
        <f t="shared" si="371"/>
        <v>1440</v>
      </c>
      <c r="J2449" s="100">
        <f t="shared" si="372"/>
        <v>1.0774410774410774</v>
      </c>
      <c r="K2449" s="51">
        <f>VLOOKUP(B:B,'生產達成率(目標)'!A:C,3,0)</f>
        <v>1</v>
      </c>
      <c r="L2449" s="20">
        <f t="shared" si="373"/>
        <v>7.6999999999999999E-2</v>
      </c>
      <c r="M2449" s="137" t="str">
        <f>工時!R1635</f>
        <v>480</v>
      </c>
      <c r="N2449" s="144"/>
      <c r="O2449" s="144">
        <f t="shared" si="374"/>
        <v>0</v>
      </c>
      <c r="P2449" s="156">
        <v>480</v>
      </c>
      <c r="Q2449" s="145">
        <f t="shared" si="375"/>
        <v>1</v>
      </c>
      <c r="R2449" s="144"/>
      <c r="S2449" s="153"/>
      <c r="T2449" s="140" t="s">
        <v>1153</v>
      </c>
      <c r="U2449" s="151"/>
      <c r="V2449" s="464"/>
      <c r="W2449" s="421"/>
      <c r="X2449" s="464"/>
      <c r="Y2449" s="421"/>
      <c r="Z2449" s="421"/>
      <c r="AA2449" s="421"/>
      <c r="AB2449" s="421"/>
      <c r="AC2449" s="421"/>
      <c r="AD2449" s="421"/>
    </row>
    <row r="2450" spans="1:30" s="146" customFormat="1" x14ac:dyDescent="0.4">
      <c r="A2450" s="212">
        <v>46020</v>
      </c>
      <c r="B2450" s="139" t="s">
        <v>104</v>
      </c>
      <c r="C2450" s="140" t="str">
        <f>VLOOKUP(B2450,'112年全品項生產鍋數'!A:H,2,0)</f>
        <v>＃1花生(粒)(1*2.8kg)</v>
      </c>
      <c r="D2450" s="292">
        <v>64</v>
      </c>
      <c r="E2450" s="141">
        <f>VLOOKUP(B2450,'112年全品項生產鍋數'!A:H,3,0)</f>
        <v>2.8</v>
      </c>
      <c r="F2450" s="142">
        <f>VLOOKUP(B2450,'112年全品項生產鍋數'!A:H,7,0)</f>
        <v>44.2</v>
      </c>
      <c r="G2450" s="143">
        <f>D2450*F2450-100*18/E2450</f>
        <v>2185.9428571428571</v>
      </c>
      <c r="H2450" s="156">
        <v>2181</v>
      </c>
      <c r="I2450" s="144">
        <f t="shared" si="371"/>
        <v>6106.7999999999993</v>
      </c>
      <c r="J2450" s="100">
        <f t="shared" si="372"/>
        <v>0.99773879855701364</v>
      </c>
      <c r="K2450" s="51">
        <f>VLOOKUP(B:B,'生產達成率(目標)'!A:C,3,0)</f>
        <v>1</v>
      </c>
      <c r="L2450" s="20">
        <f t="shared" si="373"/>
        <v>-2E-3</v>
      </c>
      <c r="M2450" s="137" t="str">
        <f>工時!R1636</f>
        <v>570</v>
      </c>
      <c r="N2450" s="144"/>
      <c r="O2450" s="144">
        <f t="shared" si="374"/>
        <v>7</v>
      </c>
      <c r="P2450" s="156">
        <v>2174</v>
      </c>
      <c r="Q2450" s="145">
        <f t="shared" si="375"/>
        <v>0.99679046309032548</v>
      </c>
      <c r="R2450" s="144"/>
      <c r="S2450" s="153"/>
      <c r="T2450" s="140" t="s">
        <v>1193</v>
      </c>
      <c r="U2450" s="151"/>
      <c r="V2450" s="464"/>
      <c r="W2450" s="421"/>
      <c r="X2450" s="464"/>
      <c r="Y2450" s="421"/>
      <c r="Z2450" s="421"/>
      <c r="AA2450" s="421"/>
      <c r="AB2450" s="421"/>
      <c r="AC2450" s="421"/>
      <c r="AD2450" s="421"/>
    </row>
    <row r="2451" spans="1:30" s="146" customFormat="1" x14ac:dyDescent="0.4">
      <c r="A2451" s="212">
        <v>46020</v>
      </c>
      <c r="B2451" s="139">
        <v>111060</v>
      </c>
      <c r="C2451" s="140" t="str">
        <f>VLOOKUP(B2451,'112年全品項生產鍋數'!A:H,2,0)</f>
        <v>加糖檸檬皮</v>
      </c>
      <c r="D2451" s="292">
        <v>1</v>
      </c>
      <c r="E2451" s="141">
        <f>VLOOKUP(B2451,'112年全品項生產鍋數'!A:H,3,0)</f>
        <v>1</v>
      </c>
      <c r="F2451" s="142">
        <f>VLOOKUP(B2451,'112年全品項生產鍋數'!A:H,7,0)</f>
        <v>0</v>
      </c>
      <c r="G2451" s="143">
        <f t="shared" si="370"/>
        <v>0</v>
      </c>
      <c r="H2451" s="156">
        <v>480</v>
      </c>
      <c r="I2451" s="144">
        <f t="shared" si="371"/>
        <v>480</v>
      </c>
      <c r="J2451" s="100" t="str">
        <f t="shared" si="372"/>
        <v>無法預估數據</v>
      </c>
      <c r="K2451" s="51">
        <f>VLOOKUP(B:B,'生產達成率(目標)'!A:C,3,0)</f>
        <v>1</v>
      </c>
      <c r="L2451" s="20" t="str">
        <f t="shared" si="373"/>
        <v>無法預估數據</v>
      </c>
      <c r="M2451" s="137" t="str">
        <f>工時!R1637</f>
        <v>0</v>
      </c>
      <c r="N2451" s="144"/>
      <c r="O2451" s="144">
        <f t="shared" si="374"/>
        <v>0</v>
      </c>
      <c r="P2451" s="156">
        <v>480</v>
      </c>
      <c r="Q2451" s="145">
        <f t="shared" si="375"/>
        <v>1</v>
      </c>
      <c r="R2451" s="144"/>
      <c r="S2451" s="153"/>
      <c r="T2451" s="140" t="s">
        <v>1153</v>
      </c>
      <c r="U2451" s="151"/>
      <c r="V2451" s="464"/>
      <c r="W2451" s="421"/>
      <c r="X2451" s="464"/>
      <c r="Y2451" s="421"/>
      <c r="Z2451" s="421"/>
      <c r="AA2451" s="421"/>
      <c r="AB2451" s="421"/>
      <c r="AC2451" s="421"/>
      <c r="AD2451" s="421"/>
    </row>
    <row r="2452" spans="1:30" s="146" customFormat="1" x14ac:dyDescent="0.4">
      <c r="A2452" s="212">
        <v>46021</v>
      </c>
      <c r="B2452" s="139" t="s">
        <v>71</v>
      </c>
      <c r="C2452" s="140" t="str">
        <f>VLOOKUP(B2452,'112年全品項生產鍋數'!A:H,2,0)</f>
        <v>＃1草莓(1*3.2kg)</v>
      </c>
      <c r="D2452" s="292">
        <v>36</v>
      </c>
      <c r="E2452" s="141">
        <f>VLOOKUP(B2452,'112年全品項生產鍋數'!A:H,3,0)</f>
        <v>3.2</v>
      </c>
      <c r="F2452" s="142">
        <f>VLOOKUP(B2452,'112年全品項生產鍋數'!A:H,7,0)</f>
        <v>46.8</v>
      </c>
      <c r="G2452" s="143">
        <f t="shared" ref="G2452:G2504" si="382">D2452*F2452</f>
        <v>1684.8</v>
      </c>
      <c r="H2452" s="156">
        <v>1762</v>
      </c>
      <c r="I2452" s="144">
        <f t="shared" si="371"/>
        <v>5638.4000000000005</v>
      </c>
      <c r="J2452" s="100">
        <f t="shared" si="372"/>
        <v>1.0458214624881292</v>
      </c>
      <c r="K2452" s="51">
        <f>VLOOKUP(B:B,'生產達成率(目標)'!A:C,3,0)</f>
        <v>1</v>
      </c>
      <c r="L2452" s="20">
        <f t="shared" si="373"/>
        <v>4.5999999999999999E-2</v>
      </c>
      <c r="M2452" s="137" t="str">
        <f>工時!R1638</f>
        <v>240</v>
      </c>
      <c r="N2452" s="144"/>
      <c r="O2452" s="144">
        <f t="shared" si="374"/>
        <v>3</v>
      </c>
      <c r="P2452" s="156">
        <v>1759</v>
      </c>
      <c r="Q2452" s="145">
        <f t="shared" si="375"/>
        <v>0.99829738933030643</v>
      </c>
      <c r="R2452" s="23" t="s">
        <v>1239</v>
      </c>
      <c r="S2452" s="153">
        <v>167</v>
      </c>
      <c r="T2452" s="140"/>
      <c r="U2452" s="151"/>
      <c r="V2452" s="464"/>
      <c r="W2452" s="421"/>
      <c r="X2452" s="464"/>
      <c r="Y2452" s="421"/>
      <c r="Z2452" s="421"/>
      <c r="AA2452" s="421"/>
      <c r="AB2452" s="421"/>
      <c r="AC2452" s="421"/>
      <c r="AD2452" s="421"/>
    </row>
    <row r="2453" spans="1:30" s="146" customFormat="1" x14ac:dyDescent="0.4">
      <c r="A2453" s="212">
        <v>46021</v>
      </c>
      <c r="B2453" s="139" t="s">
        <v>68</v>
      </c>
      <c r="C2453" s="140" t="str">
        <f>VLOOKUP(B2453,'112年全品項生產鍋數'!A:H,2,0)</f>
        <v>#2草莓果醬(1*900g)</v>
      </c>
      <c r="D2453" s="292">
        <v>20</v>
      </c>
      <c r="E2453" s="141">
        <f>VLOOKUP(B2453,'112年全品項生產鍋數'!A:H,3,0)</f>
        <v>0.9</v>
      </c>
      <c r="F2453" s="142">
        <f>VLOOKUP(B2453,'112年全品項生產鍋數'!A:H,7,0)</f>
        <v>160.5</v>
      </c>
      <c r="G2453" s="143">
        <f t="shared" si="382"/>
        <v>3210</v>
      </c>
      <c r="H2453" s="156">
        <f>2095+1200</f>
        <v>3295</v>
      </c>
      <c r="I2453" s="144">
        <f t="shared" si="371"/>
        <v>2965.5</v>
      </c>
      <c r="J2453" s="100">
        <f t="shared" si="372"/>
        <v>1.0264797507788161</v>
      </c>
      <c r="K2453" s="51">
        <f>VLOOKUP(B:B,'生產達成率(目標)'!A:C,3,0)</f>
        <v>1</v>
      </c>
      <c r="L2453" s="20">
        <f t="shared" si="373"/>
        <v>2.5999999999999999E-2</v>
      </c>
      <c r="M2453" s="137" t="str">
        <f>工時!R1639</f>
        <v>300</v>
      </c>
      <c r="N2453" s="144"/>
      <c r="O2453" s="144">
        <f t="shared" si="374"/>
        <v>5</v>
      </c>
      <c r="P2453" s="156">
        <f>1199+2091</f>
        <v>3290</v>
      </c>
      <c r="Q2453" s="145">
        <f t="shared" si="375"/>
        <v>0.99848254931714719</v>
      </c>
      <c r="R2453" s="144"/>
      <c r="S2453" s="153"/>
      <c r="T2453" s="140" t="s">
        <v>1194</v>
      </c>
      <c r="U2453" s="151"/>
      <c r="V2453" s="464"/>
      <c r="W2453" s="421"/>
      <c r="X2453" s="464"/>
      <c r="Y2453" s="421"/>
      <c r="Z2453" s="421"/>
      <c r="AA2453" s="421"/>
      <c r="AB2453" s="421"/>
      <c r="AC2453" s="421"/>
      <c r="AD2453" s="421"/>
    </row>
    <row r="2454" spans="1:30" s="146" customFormat="1" x14ac:dyDescent="0.4">
      <c r="A2454" s="212">
        <v>46021</v>
      </c>
      <c r="B2454" s="139" t="s">
        <v>88</v>
      </c>
      <c r="C2454" s="140" t="str">
        <f>VLOOKUP(B2454,'112年全品項生產鍋數'!A:H,2,0)</f>
        <v>草莓餡(1*6KG)</v>
      </c>
      <c r="D2454" s="292">
        <v>32</v>
      </c>
      <c r="E2454" s="141">
        <f>VLOOKUP(B2454,'112年全品項生產鍋數'!A:H,3,0)</f>
        <v>6</v>
      </c>
      <c r="F2454" s="142">
        <f>VLOOKUP(B2454,'112年全品項生產鍋數'!A:H,7,0)</f>
        <v>25.5</v>
      </c>
      <c r="G2454" s="143">
        <f t="shared" si="382"/>
        <v>816</v>
      </c>
      <c r="H2454" s="156">
        <v>815</v>
      </c>
      <c r="I2454" s="144">
        <f t="shared" si="371"/>
        <v>4890</v>
      </c>
      <c r="J2454" s="100">
        <f t="shared" si="372"/>
        <v>0.99877450980392157</v>
      </c>
      <c r="K2454" s="51">
        <f>VLOOKUP(B:B,'生產達成率(目標)'!A:C,3,0)</f>
        <v>1</v>
      </c>
      <c r="L2454" s="20">
        <f t="shared" si="373"/>
        <v>-1E-3</v>
      </c>
      <c r="M2454" s="137" t="str">
        <f>工時!R1640</f>
        <v>510</v>
      </c>
      <c r="N2454" s="144"/>
      <c r="O2454" s="144">
        <f t="shared" si="374"/>
        <v>4</v>
      </c>
      <c r="P2454" s="156">
        <v>811</v>
      </c>
      <c r="Q2454" s="145">
        <f t="shared" si="375"/>
        <v>0.99509202453987733</v>
      </c>
      <c r="R2454" s="144"/>
      <c r="S2454" s="153"/>
      <c r="T2454" s="140"/>
      <c r="U2454" s="151"/>
      <c r="V2454" s="464"/>
      <c r="W2454" s="421"/>
      <c r="X2454" s="464"/>
      <c r="Y2454" s="421"/>
      <c r="Z2454" s="421"/>
      <c r="AA2454" s="421"/>
      <c r="AB2454" s="421"/>
      <c r="AC2454" s="421"/>
      <c r="AD2454" s="421"/>
    </row>
    <row r="2455" spans="1:30" s="146" customFormat="1" x14ac:dyDescent="0.4">
      <c r="A2455" s="212">
        <v>46021</v>
      </c>
      <c r="B2455" s="139" t="s">
        <v>984</v>
      </c>
      <c r="C2455" s="140" t="str">
        <f>VLOOKUP(B2455,'112年全品項生產鍋數'!A:H,2,0)</f>
        <v>蘋果餡(1*6Kg)</v>
      </c>
      <c r="D2455" s="292">
        <v>5</v>
      </c>
      <c r="E2455" s="141">
        <f>VLOOKUP(B2455,'112年全品項生產鍋數'!A:H,3,0)</f>
        <v>6</v>
      </c>
      <c r="F2455" s="142">
        <f>VLOOKUP(B2455,'112年全品項生產鍋數'!A:H,7,0)</f>
        <v>25.6</v>
      </c>
      <c r="G2455" s="143">
        <f t="shared" si="382"/>
        <v>128</v>
      </c>
      <c r="H2455" s="156">
        <v>127</v>
      </c>
      <c r="I2455" s="144">
        <f t="shared" si="371"/>
        <v>762</v>
      </c>
      <c r="J2455" s="100">
        <f t="shared" si="372"/>
        <v>0.9921875</v>
      </c>
      <c r="K2455" s="51" t="e">
        <f>VLOOKUP(B:B,'生產達成率(目標)'!A:C,3,0)</f>
        <v>#N/A</v>
      </c>
      <c r="L2455" s="20" t="e">
        <f t="shared" si="373"/>
        <v>#N/A</v>
      </c>
      <c r="M2455" s="137" t="str">
        <f>工時!R1641</f>
        <v>480</v>
      </c>
      <c r="N2455" s="144"/>
      <c r="O2455" s="144">
        <f t="shared" si="374"/>
        <v>3</v>
      </c>
      <c r="P2455" s="156">
        <v>124</v>
      </c>
      <c r="Q2455" s="145">
        <f t="shared" si="375"/>
        <v>0.97637795275590555</v>
      </c>
      <c r="R2455" s="144"/>
      <c r="S2455" s="153"/>
      <c r="T2455" s="140" t="s">
        <v>1153</v>
      </c>
      <c r="U2455" s="151"/>
      <c r="V2455" s="464"/>
      <c r="W2455" s="421"/>
      <c r="X2455" s="464"/>
      <c r="Y2455" s="421"/>
      <c r="Z2455" s="421"/>
      <c r="AA2455" s="421"/>
      <c r="AB2455" s="421"/>
      <c r="AC2455" s="421"/>
      <c r="AD2455" s="421"/>
    </row>
    <row r="2456" spans="1:30" s="146" customFormat="1" x14ac:dyDescent="0.4">
      <c r="A2456" s="212">
        <v>46021</v>
      </c>
      <c r="B2456" s="139" t="s">
        <v>65</v>
      </c>
      <c r="C2456" s="140" t="str">
        <f>VLOOKUP(B2456,'112年全品項生產鍋數'!A:H,2,0)</f>
        <v>＃1花生(1*2.8kg)</v>
      </c>
      <c r="D2456" s="292">
        <v>32</v>
      </c>
      <c r="E2456" s="141">
        <f>VLOOKUP(B2456,'112年全品項生產鍋數'!A:H,3,0)</f>
        <v>2.8</v>
      </c>
      <c r="F2456" s="142">
        <f>VLOOKUP(B2456,'112年全品項生產鍋數'!A:H,7,0)</f>
        <v>44.5</v>
      </c>
      <c r="G2456" s="143">
        <f>D2456*F2456-65*18/E2456</f>
        <v>1006.1428571428571</v>
      </c>
      <c r="H2456" s="156">
        <f>600+431</f>
        <v>1031</v>
      </c>
      <c r="I2456" s="144">
        <f t="shared" si="371"/>
        <v>2886.7999999999997</v>
      </c>
      <c r="J2456" s="100">
        <f t="shared" si="372"/>
        <v>1.0247053812295897</v>
      </c>
      <c r="K2456" s="51">
        <f>VLOOKUP(B:B,'生產達成率(目標)'!A:C,3,0)</f>
        <v>1</v>
      </c>
      <c r="L2456" s="20">
        <f t="shared" si="373"/>
        <v>2.5000000000000001E-2</v>
      </c>
      <c r="M2456" s="137" t="str">
        <f>工時!R1642</f>
        <v>300</v>
      </c>
      <c r="N2456" s="144"/>
      <c r="O2456" s="144">
        <f t="shared" si="374"/>
        <v>1</v>
      </c>
      <c r="P2456" s="156">
        <f>600+430</f>
        <v>1030</v>
      </c>
      <c r="Q2456" s="145">
        <f t="shared" si="375"/>
        <v>0.99903006789524729</v>
      </c>
      <c r="R2456" s="144" t="s">
        <v>1235</v>
      </c>
      <c r="S2456" s="153">
        <v>56</v>
      </c>
      <c r="T2456" s="140" t="s">
        <v>1195</v>
      </c>
      <c r="U2456" s="151"/>
      <c r="V2456" s="464"/>
      <c r="W2456" s="421"/>
      <c r="X2456" s="464"/>
      <c r="Y2456" s="421"/>
      <c r="Z2456" s="421"/>
      <c r="AA2456" s="421"/>
      <c r="AB2456" s="421"/>
      <c r="AC2456" s="421"/>
      <c r="AD2456" s="421"/>
    </row>
    <row r="2457" spans="1:30" s="146" customFormat="1" x14ac:dyDescent="0.4">
      <c r="A2457" s="212">
        <v>46021</v>
      </c>
      <c r="B2457" s="139" t="s">
        <v>602</v>
      </c>
      <c r="C2457" s="140" t="str">
        <f>VLOOKUP(B2457,'112年全品項生產鍋數'!A:H,2,0)</f>
        <v>顆粒花生醬(1*8kg)</v>
      </c>
      <c r="D2457" s="292">
        <v>8</v>
      </c>
      <c r="E2457" s="141">
        <f>VLOOKUP(B2457,'112年全品項生產鍋數'!A:H,3,0)</f>
        <v>8</v>
      </c>
      <c r="F2457" s="142">
        <f>VLOOKUP(B2457,'112年全品項生產鍋數'!A:H,7,0)</f>
        <v>19.600000000000001</v>
      </c>
      <c r="G2457" s="143">
        <f t="shared" si="382"/>
        <v>156.80000000000001</v>
      </c>
      <c r="H2457" s="156">
        <v>158</v>
      </c>
      <c r="I2457" s="144">
        <f t="shared" si="371"/>
        <v>1264</v>
      </c>
      <c r="J2457" s="100">
        <f t="shared" si="372"/>
        <v>1.0076530612244898</v>
      </c>
      <c r="K2457" s="51">
        <f>VLOOKUP(B:B,'生產達成率(目標)'!A:C,3,0)</f>
        <v>1</v>
      </c>
      <c r="L2457" s="20">
        <f t="shared" si="373"/>
        <v>8.0000000000000002E-3</v>
      </c>
      <c r="M2457" s="137" t="str">
        <f>工時!R1643</f>
        <v>310</v>
      </c>
      <c r="N2457" s="144"/>
      <c r="O2457" s="144">
        <f t="shared" si="374"/>
        <v>0</v>
      </c>
      <c r="P2457" s="156">
        <v>158</v>
      </c>
      <c r="Q2457" s="145">
        <f t="shared" si="375"/>
        <v>1</v>
      </c>
      <c r="R2457" s="144"/>
      <c r="S2457" s="153"/>
      <c r="T2457" s="140" t="s">
        <v>1153</v>
      </c>
      <c r="U2457" s="151"/>
      <c r="V2457" s="464"/>
      <c r="W2457" s="421"/>
      <c r="X2457" s="464"/>
      <c r="Y2457" s="421"/>
      <c r="Z2457" s="421"/>
      <c r="AA2457" s="421"/>
      <c r="AB2457" s="421"/>
      <c r="AC2457" s="421"/>
      <c r="AD2457" s="421"/>
    </row>
    <row r="2458" spans="1:30" x14ac:dyDescent="0.4">
      <c r="A2458" s="212">
        <v>46022</v>
      </c>
      <c r="B2458" s="139" t="s">
        <v>91</v>
      </c>
      <c r="C2458" s="30" t="str">
        <f>VLOOKUP(B2458,'112年全品項生產鍋數'!A:H,2,0)</f>
        <v>梨山草莓果醬(1*430g)</v>
      </c>
      <c r="D2458" s="296">
        <v>20</v>
      </c>
      <c r="E2458" s="48">
        <f>VLOOKUP(B2458,'112年全品項生產鍋數'!A:H,3,0)</f>
        <v>0.43</v>
      </c>
      <c r="F2458" s="142">
        <f>VLOOKUP(B2458,'112年全品項生產鍋數'!A:H,7,0)</f>
        <v>340.4</v>
      </c>
      <c r="G2458" s="143">
        <f t="shared" si="382"/>
        <v>6808</v>
      </c>
      <c r="H2458" s="156">
        <f>2576+4322</f>
        <v>6898</v>
      </c>
      <c r="I2458" s="23">
        <f t="shared" ref="I2458:I2508" si="383">H2458*E2458</f>
        <v>2966.14</v>
      </c>
      <c r="J2458" s="100">
        <f t="shared" ref="J2458:J2508" si="384">IF(G2458=0,"無法預估數據",H2458/G2458)</f>
        <v>1.013219741480611</v>
      </c>
      <c r="K2458" s="51">
        <f>VLOOKUP(B:B,'生產達成率(目標)'!A:C,3,0)</f>
        <v>1</v>
      </c>
      <c r="L2458" s="20">
        <f t="shared" ref="L2458:L2508" si="385">IF(G2458=0,"無法預估數據",ROUND(J2458-K2458,3))</f>
        <v>1.2999999999999999E-2</v>
      </c>
      <c r="M2458" s="137" t="str">
        <f>工時!R1644</f>
        <v>430</v>
      </c>
      <c r="N2458" s="144"/>
      <c r="O2458" s="144">
        <f t="shared" ref="O2458:O2508" si="386">H2458-N2458-P2458</f>
        <v>20</v>
      </c>
      <c r="P2458" s="156">
        <f>4320+2558</f>
        <v>6878</v>
      </c>
      <c r="Q2458" s="98">
        <f t="shared" ref="Q2458:Q2508" si="387">P2458/H2458</f>
        <v>0.99710060887213681</v>
      </c>
      <c r="R2458" s="23"/>
      <c r="S2458" s="173"/>
      <c r="T2458" s="30" t="s">
        <v>1192</v>
      </c>
      <c r="U2458" s="264"/>
      <c r="V2458" s="463"/>
      <c r="X2458" s="463"/>
    </row>
    <row r="2459" spans="1:30" s="146" customFormat="1" x14ac:dyDescent="0.4">
      <c r="A2459" s="212">
        <v>46022</v>
      </c>
      <c r="B2459" s="139" t="s">
        <v>158</v>
      </c>
      <c r="C2459" s="140" t="str">
        <f>VLOOKUP(B2459,'112年全品項生產鍋數'!A:H,2,0)</f>
        <v>小圓草莓(1*170g)</v>
      </c>
      <c r="D2459" s="292">
        <v>4</v>
      </c>
      <c r="E2459" s="141">
        <f>VLOOKUP(B2459,'112年全品項生產鍋數'!A:H,3,0)</f>
        <v>0.17</v>
      </c>
      <c r="F2459" s="142">
        <f>VLOOKUP(B2459,'112年全品項生產鍋數'!A:H,7,0)</f>
        <v>912.6</v>
      </c>
      <c r="G2459" s="143">
        <f t="shared" si="382"/>
        <v>3650.4</v>
      </c>
      <c r="H2459" s="156">
        <v>3547</v>
      </c>
      <c r="I2459" s="144">
        <f t="shared" si="383"/>
        <v>602.99</v>
      </c>
      <c r="J2459" s="100">
        <f t="shared" si="384"/>
        <v>0.97167433705895245</v>
      </c>
      <c r="K2459" s="51">
        <f>VLOOKUP(B:B,'生產達成率(目標)'!A:C,3,0)</f>
        <v>1</v>
      </c>
      <c r="L2459" s="20">
        <f t="shared" si="385"/>
        <v>-2.8000000000000001E-2</v>
      </c>
      <c r="M2459" s="137" t="str">
        <f>工時!R1645</f>
        <v>200</v>
      </c>
      <c r="N2459" s="144"/>
      <c r="O2459" s="144">
        <f t="shared" si="386"/>
        <v>16</v>
      </c>
      <c r="P2459" s="156">
        <v>3531</v>
      </c>
      <c r="Q2459" s="145">
        <f t="shared" si="387"/>
        <v>0.99548914575697778</v>
      </c>
      <c r="R2459" s="144"/>
      <c r="S2459" s="153"/>
      <c r="T2459" s="140"/>
      <c r="U2459" s="151"/>
      <c r="V2459" s="464"/>
      <c r="W2459" s="421"/>
      <c r="X2459" s="464"/>
      <c r="Y2459" s="421"/>
      <c r="Z2459" s="421"/>
      <c r="AA2459" s="421"/>
      <c r="AB2459" s="421"/>
      <c r="AC2459" s="421"/>
      <c r="AD2459" s="421"/>
    </row>
    <row r="2460" spans="1:30" x14ac:dyDescent="0.4">
      <c r="A2460" s="212">
        <v>46022</v>
      </c>
      <c r="B2460" s="139" t="s">
        <v>63</v>
      </c>
      <c r="C2460" s="30" t="str">
        <f>VLOOKUP(B2460,'112年全品項生產鍋數'!A:H,2,0)</f>
        <v>草莓蒟蒻餡(1*6kg)</v>
      </c>
      <c r="D2460" s="296">
        <v>28</v>
      </c>
      <c r="E2460" s="48">
        <f>VLOOKUP(B2460,'112年全品項生產鍋數'!A:H,3,0)</f>
        <v>6</v>
      </c>
      <c r="F2460" s="142">
        <f>VLOOKUP(B2460,'112年全品項生產鍋數'!A:H,7,0)</f>
        <v>25.7</v>
      </c>
      <c r="G2460" s="143">
        <f t="shared" si="382"/>
        <v>719.6</v>
      </c>
      <c r="H2460" s="156">
        <f>463+343</f>
        <v>806</v>
      </c>
      <c r="I2460" s="23">
        <f t="shared" si="383"/>
        <v>4836</v>
      </c>
      <c r="J2460" s="100">
        <f t="shared" si="384"/>
        <v>1.1200667037242913</v>
      </c>
      <c r="K2460" s="51">
        <f>VLOOKUP(B:B,'生產達成率(目標)'!A:C,3,0)</f>
        <v>1</v>
      </c>
      <c r="L2460" s="20">
        <f t="shared" si="385"/>
        <v>0.12</v>
      </c>
      <c r="M2460" s="137" t="str">
        <f>工時!R1646</f>
        <v>323</v>
      </c>
      <c r="N2460" s="144"/>
      <c r="O2460" s="144">
        <f t="shared" si="386"/>
        <v>1</v>
      </c>
      <c r="P2460" s="156">
        <f>462+343</f>
        <v>805</v>
      </c>
      <c r="Q2460" s="98">
        <f t="shared" si="387"/>
        <v>0.99875930521091816</v>
      </c>
      <c r="R2460" s="23"/>
      <c r="S2460" s="173"/>
      <c r="T2460" s="30"/>
      <c r="U2460" s="264"/>
      <c r="V2460" s="463"/>
      <c r="X2460" s="463"/>
    </row>
    <row r="2461" spans="1:30" x14ac:dyDescent="0.4">
      <c r="A2461" s="212">
        <v>46022</v>
      </c>
      <c r="B2461" s="139" t="s">
        <v>76</v>
      </c>
      <c r="C2461" s="30" t="str">
        <f>VLOOKUP(B2461,'112年全品項生產鍋數'!A:H,2,0)</f>
        <v>草莓餡(1*6Kg)</v>
      </c>
      <c r="D2461" s="296">
        <v>8</v>
      </c>
      <c r="E2461" s="48">
        <f>VLOOKUP(B2461,'112年全品項生產鍋數'!A:H,3,0)</f>
        <v>6</v>
      </c>
      <c r="F2461" s="142">
        <f>VLOOKUP(B2461,'112年全品項生產鍋數'!A:H,7,0)</f>
        <v>25.5</v>
      </c>
      <c r="G2461" s="143">
        <f t="shared" si="382"/>
        <v>204</v>
      </c>
      <c r="H2461" s="156">
        <v>199</v>
      </c>
      <c r="I2461" s="23">
        <f t="shared" si="383"/>
        <v>1194</v>
      </c>
      <c r="J2461" s="100">
        <f t="shared" si="384"/>
        <v>0.97549019607843135</v>
      </c>
      <c r="K2461" s="51">
        <f>VLOOKUP(B:B,'生產達成率(目標)'!A:C,3,0)</f>
        <v>1</v>
      </c>
      <c r="L2461" s="20">
        <f t="shared" si="385"/>
        <v>-2.5000000000000001E-2</v>
      </c>
      <c r="M2461" s="137" t="str">
        <f>工時!R1647</f>
        <v>114</v>
      </c>
      <c r="N2461" s="144"/>
      <c r="O2461" s="144">
        <f t="shared" si="386"/>
        <v>1</v>
      </c>
      <c r="P2461" s="156">
        <v>198</v>
      </c>
      <c r="Q2461" s="98">
        <f t="shared" si="387"/>
        <v>0.99497487437185927</v>
      </c>
      <c r="R2461" s="23"/>
      <c r="S2461" s="173"/>
      <c r="T2461" s="30" t="s">
        <v>1153</v>
      </c>
      <c r="U2461" s="264"/>
      <c r="V2461" s="463"/>
      <c r="X2461" s="463"/>
    </row>
    <row r="2462" spans="1:30" x14ac:dyDescent="0.4">
      <c r="A2462" s="212">
        <v>46022</v>
      </c>
      <c r="B2462" s="139" t="s">
        <v>451</v>
      </c>
      <c r="C2462" s="30" t="str">
        <f>VLOOKUP(B2462,'112年全品項生產鍋數'!A:H,2,0)</f>
        <v>水蜜桃醬(1*6kg)</v>
      </c>
      <c r="D2462" s="296">
        <v>6</v>
      </c>
      <c r="E2462" s="48">
        <f>VLOOKUP(B2462,'112年全品項生產鍋數'!A:H,3,0)</f>
        <v>6</v>
      </c>
      <c r="F2462" s="142">
        <f>VLOOKUP(B2462,'112年全品項生產鍋數'!A:H,7,0)</f>
        <v>24.5</v>
      </c>
      <c r="G2462" s="143">
        <f t="shared" si="382"/>
        <v>147</v>
      </c>
      <c r="H2462" s="156">
        <v>147</v>
      </c>
      <c r="I2462" s="23">
        <f t="shared" si="383"/>
        <v>882</v>
      </c>
      <c r="J2462" s="100">
        <f t="shared" si="384"/>
        <v>1</v>
      </c>
      <c r="K2462" s="51">
        <f>VLOOKUP(B:B,'生產達成率(目標)'!A:C,3,0)</f>
        <v>1</v>
      </c>
      <c r="L2462" s="20">
        <f t="shared" si="385"/>
        <v>0</v>
      </c>
      <c r="M2462" s="137" t="str">
        <f>工時!R1648</f>
        <v>140</v>
      </c>
      <c r="N2462" s="144"/>
      <c r="O2462" s="144">
        <f t="shared" si="386"/>
        <v>1</v>
      </c>
      <c r="P2462" s="156">
        <v>146</v>
      </c>
      <c r="Q2462" s="98">
        <f t="shared" si="387"/>
        <v>0.99319727891156462</v>
      </c>
      <c r="R2462" s="23"/>
      <c r="S2462" s="173"/>
      <c r="T2462" s="30" t="s">
        <v>1153</v>
      </c>
      <c r="U2462" s="264"/>
      <c r="V2462" s="463"/>
      <c r="X2462" s="463"/>
    </row>
    <row r="2463" spans="1:30" s="146" customFormat="1" ht="17.5" thickBot="1" x14ac:dyDescent="0.45">
      <c r="A2463" s="346">
        <v>46022</v>
      </c>
      <c r="B2463" s="347" t="s">
        <v>65</v>
      </c>
      <c r="C2463" s="348" t="str">
        <f>VLOOKUP(B2463,'112年全品項生產鍋數'!A:H,2,0)</f>
        <v>＃1花生(1*2.8kg)</v>
      </c>
      <c r="D2463" s="349">
        <v>64</v>
      </c>
      <c r="E2463" s="350">
        <f>VLOOKUP(B2463,'112年全品項生產鍋數'!A:H,3,0)</f>
        <v>2.8</v>
      </c>
      <c r="F2463" s="351">
        <f>VLOOKUP(B2463,'112年全品項生產鍋數'!A:H,7,0)</f>
        <v>44.5</v>
      </c>
      <c r="G2463" s="352">
        <f t="shared" si="382"/>
        <v>2848</v>
      </c>
      <c r="H2463" s="353">
        <v>2910</v>
      </c>
      <c r="I2463" s="329">
        <f t="shared" si="383"/>
        <v>8147.9999999999991</v>
      </c>
      <c r="J2463" s="354">
        <f t="shared" si="384"/>
        <v>1.0217696629213484</v>
      </c>
      <c r="K2463" s="332">
        <f>VLOOKUP(B:B,'生產達成率(目標)'!A:C,3,0)</f>
        <v>1</v>
      </c>
      <c r="L2463" s="333">
        <f t="shared" si="385"/>
        <v>2.1999999999999999E-2</v>
      </c>
      <c r="M2463" s="355" t="str">
        <f>工時!R1649</f>
        <v>500</v>
      </c>
      <c r="N2463" s="329"/>
      <c r="O2463" s="329">
        <f t="shared" si="386"/>
        <v>1</v>
      </c>
      <c r="P2463" s="353">
        <v>2909</v>
      </c>
      <c r="Q2463" s="356">
        <f t="shared" si="387"/>
        <v>0.99965635738831615</v>
      </c>
      <c r="R2463" s="329" t="s">
        <v>1234</v>
      </c>
      <c r="S2463" s="357">
        <v>112</v>
      </c>
      <c r="T2463" s="348"/>
      <c r="U2463" s="358"/>
      <c r="V2463" s="464"/>
      <c r="W2463" s="421"/>
      <c r="X2463" s="464"/>
      <c r="Y2463" s="421"/>
      <c r="Z2463" s="421"/>
      <c r="AA2463" s="421"/>
      <c r="AB2463" s="421"/>
      <c r="AC2463" s="421"/>
      <c r="AD2463" s="421"/>
    </row>
    <row r="2464" spans="1:30" ht="17.5" thickTop="1" x14ac:dyDescent="0.4">
      <c r="A2464" s="338">
        <v>46027</v>
      </c>
      <c r="B2464" s="339" t="s">
        <v>61</v>
      </c>
      <c r="C2464" s="308" t="str">
        <f>VLOOKUP(B2464,'112年全品項生產鍋數'!A:H,2,0)</f>
        <v>大圓草莓-新</v>
      </c>
      <c r="D2464" s="340">
        <v>28</v>
      </c>
      <c r="E2464" s="310">
        <f>VLOOKUP(B2464,'112年全品項生產鍋數'!A:H,3,0)</f>
        <v>0.44</v>
      </c>
      <c r="F2464" s="341">
        <f>VLOOKUP(B2464,'112年全品項生產鍋數'!A:H,7,0)</f>
        <v>344</v>
      </c>
      <c r="G2464" s="342">
        <f t="shared" si="382"/>
        <v>9632</v>
      </c>
      <c r="H2464" s="343">
        <v>9657</v>
      </c>
      <c r="I2464" s="314">
        <f t="shared" si="383"/>
        <v>4249.08</v>
      </c>
      <c r="J2464" s="315">
        <f t="shared" si="384"/>
        <v>1.0025955149501662</v>
      </c>
      <c r="K2464" s="316">
        <f>VLOOKUP(B:B,'生產達成率(目標)'!A:C,3,0)</f>
        <v>1</v>
      </c>
      <c r="L2464" s="317">
        <f t="shared" si="385"/>
        <v>3.0000000000000001E-3</v>
      </c>
      <c r="M2464" s="344" t="str">
        <f>工時!R1650</f>
        <v>400</v>
      </c>
      <c r="N2464" s="313"/>
      <c r="O2464" s="313">
        <f t="shared" si="386"/>
        <v>13</v>
      </c>
      <c r="P2464" s="343">
        <v>9644</v>
      </c>
      <c r="Q2464" s="320">
        <f t="shared" si="387"/>
        <v>0.99865382624003318</v>
      </c>
      <c r="R2464" s="314"/>
      <c r="S2464" s="321"/>
      <c r="T2464" s="308" t="s">
        <v>1197</v>
      </c>
      <c r="U2464" s="345"/>
      <c r="V2464" s="463"/>
      <c r="X2464" s="463"/>
    </row>
    <row r="2465" spans="1:30" x14ac:dyDescent="0.4">
      <c r="A2465" s="212">
        <v>46027</v>
      </c>
      <c r="B2465" s="139" t="s">
        <v>887</v>
      </c>
      <c r="C2465" s="30" t="str">
        <f>VLOOKUP(B2465,'112年全品項生產鍋數'!A:H,2,0)</f>
        <v>檸檬藍莓醬1*260G</v>
      </c>
      <c r="D2465" s="296">
        <v>4</v>
      </c>
      <c r="E2465" s="48">
        <f>VLOOKUP(B2465,'112年全品項生產鍋數'!A:H,3,0)</f>
        <v>0.26</v>
      </c>
      <c r="F2465" s="142">
        <f>VLOOKUP(B2465,'112年全品項生產鍋數'!A:H,7,0)</f>
        <v>612</v>
      </c>
      <c r="G2465" s="143">
        <f t="shared" si="382"/>
        <v>2448</v>
      </c>
      <c r="H2465" s="156">
        <v>2174</v>
      </c>
      <c r="I2465" s="23">
        <f t="shared" si="383"/>
        <v>565.24</v>
      </c>
      <c r="J2465" s="100">
        <f t="shared" si="384"/>
        <v>0.88807189542483655</v>
      </c>
      <c r="K2465" s="51">
        <f>VLOOKUP(B:B,'生產達成率(目標)'!A:C,3,0)</f>
        <v>1</v>
      </c>
      <c r="L2465" s="20">
        <f t="shared" si="385"/>
        <v>-0.112</v>
      </c>
      <c r="M2465" s="137" t="str">
        <f>工時!R1651</f>
        <v>240</v>
      </c>
      <c r="N2465" s="144"/>
      <c r="O2465" s="144">
        <f t="shared" si="386"/>
        <v>15</v>
      </c>
      <c r="P2465" s="156">
        <v>2159</v>
      </c>
      <c r="Q2465" s="98">
        <f t="shared" si="387"/>
        <v>0.99310027598896045</v>
      </c>
      <c r="R2465" s="23"/>
      <c r="S2465" s="173"/>
      <c r="T2465" s="30" t="s">
        <v>1153</v>
      </c>
      <c r="U2465" s="264"/>
      <c r="V2465" s="463"/>
      <c r="X2465" s="463"/>
    </row>
    <row r="2466" spans="1:30" x14ac:dyDescent="0.4">
      <c r="A2466" s="212">
        <v>46027</v>
      </c>
      <c r="B2466" s="139" t="s">
        <v>1199</v>
      </c>
      <c r="C2466" s="30" t="str">
        <f>VLOOKUP(B2466,'112年全品項生產鍋數'!A:H,2,0)</f>
        <v>草莓餡(1*4.5kg)</v>
      </c>
      <c r="D2466" s="296">
        <v>4</v>
      </c>
      <c r="E2466" s="48">
        <f>VLOOKUP(B2466,'112年全品項生產鍋數'!A:H,3,0)</f>
        <v>4.5</v>
      </c>
      <c r="F2466" s="142">
        <f>VLOOKUP(B2466,'112年全品項生產鍋數'!A:H,7,0)</f>
        <v>34.5</v>
      </c>
      <c r="G2466" s="143">
        <f t="shared" si="382"/>
        <v>138</v>
      </c>
      <c r="H2466" s="156">
        <v>136</v>
      </c>
      <c r="I2466" s="23">
        <f t="shared" si="383"/>
        <v>612</v>
      </c>
      <c r="J2466" s="100">
        <f t="shared" si="384"/>
        <v>0.98550724637681164</v>
      </c>
      <c r="K2466" s="51">
        <f>VLOOKUP(B:B,'生產達成率(目標)'!A:C,3,0)</f>
        <v>1</v>
      </c>
      <c r="L2466" s="20">
        <f t="shared" si="385"/>
        <v>-1.4E-2</v>
      </c>
      <c r="M2466" s="137" t="str">
        <f>工時!R1652</f>
        <v>115</v>
      </c>
      <c r="N2466" s="144"/>
      <c r="O2466" s="144">
        <f t="shared" si="386"/>
        <v>0</v>
      </c>
      <c r="P2466" s="156">
        <v>136</v>
      </c>
      <c r="Q2466" s="98">
        <f t="shared" si="387"/>
        <v>1</v>
      </c>
      <c r="R2466" s="23"/>
      <c r="S2466" s="173"/>
      <c r="T2466" s="30"/>
      <c r="U2466" s="264"/>
      <c r="V2466" s="463"/>
      <c r="X2466" s="463"/>
    </row>
    <row r="2467" spans="1:30" x14ac:dyDescent="0.4">
      <c r="A2467" s="212">
        <v>46027</v>
      </c>
      <c r="B2467" s="139" t="s">
        <v>3</v>
      </c>
      <c r="C2467" s="30" t="str">
        <f>VLOOKUP(B2467,'112年全品項生產鍋數'!A:H,2,0)</f>
        <v>天天開心草莓餡4.5KG</v>
      </c>
      <c r="D2467" s="296">
        <v>36</v>
      </c>
      <c r="E2467" s="48">
        <f>VLOOKUP(B2467,'112年全品項生產鍋數'!A:H,3,0)</f>
        <v>4.5</v>
      </c>
      <c r="F2467" s="142">
        <f>VLOOKUP(B2467,'112年全品項生產鍋數'!A:H,7,0)</f>
        <v>36.299999999999997</v>
      </c>
      <c r="G2467" s="143">
        <f t="shared" si="382"/>
        <v>1306.8</v>
      </c>
      <c r="H2467" s="156">
        <v>1317</v>
      </c>
      <c r="I2467" s="23">
        <f t="shared" si="383"/>
        <v>5926.5</v>
      </c>
      <c r="J2467" s="100">
        <f t="shared" si="384"/>
        <v>1.0078053259871442</v>
      </c>
      <c r="K2467" s="51">
        <f>VLOOKUP(B:B,'生產達成率(目標)'!A:C,3,0)</f>
        <v>1</v>
      </c>
      <c r="L2467" s="20">
        <f t="shared" si="385"/>
        <v>8.0000000000000002E-3</v>
      </c>
      <c r="M2467" s="137" t="str">
        <f>工時!R1653</f>
        <v>473</v>
      </c>
      <c r="N2467" s="144"/>
      <c r="O2467" s="144">
        <f t="shared" si="386"/>
        <v>0</v>
      </c>
      <c r="P2467" s="156">
        <v>1317</v>
      </c>
      <c r="Q2467" s="98">
        <f t="shared" si="387"/>
        <v>1</v>
      </c>
      <c r="R2467" s="23"/>
      <c r="S2467" s="173"/>
      <c r="T2467" s="30"/>
      <c r="U2467" s="264"/>
      <c r="V2467" s="463"/>
      <c r="X2467" s="463"/>
    </row>
    <row r="2468" spans="1:30" x14ac:dyDescent="0.4">
      <c r="A2468" s="212">
        <v>46027</v>
      </c>
      <c r="B2468" s="139" t="s">
        <v>65</v>
      </c>
      <c r="C2468" s="30" t="str">
        <f>VLOOKUP(B2468,'112年全品項生產鍋數'!A:H,2,0)</f>
        <v>＃1花生(1*2.8kg)</v>
      </c>
      <c r="D2468" s="296">
        <v>64</v>
      </c>
      <c r="E2468" s="48">
        <f>VLOOKUP(B2468,'112年全品項生產鍋數'!A:H,3,0)</f>
        <v>2.8</v>
      </c>
      <c r="F2468" s="142">
        <f>VLOOKUP(B2468,'112年全品項生產鍋數'!A:H,7,0)</f>
        <v>44.5</v>
      </c>
      <c r="G2468" s="143">
        <f t="shared" si="382"/>
        <v>2848</v>
      </c>
      <c r="H2468" s="156">
        <v>2893</v>
      </c>
      <c r="I2468" s="23">
        <f t="shared" si="383"/>
        <v>8100.4</v>
      </c>
      <c r="J2468" s="100">
        <f t="shared" si="384"/>
        <v>1.0158005617977528</v>
      </c>
      <c r="K2468" s="51">
        <f>VLOOKUP(B:B,'生產達成率(目標)'!A:C,3,0)</f>
        <v>1</v>
      </c>
      <c r="L2468" s="20">
        <f t="shared" si="385"/>
        <v>1.6E-2</v>
      </c>
      <c r="M2468" s="137" t="str">
        <f>工時!R1654</f>
        <v>520</v>
      </c>
      <c r="N2468" s="144"/>
      <c r="O2468" s="144">
        <f t="shared" si="386"/>
        <v>2</v>
      </c>
      <c r="P2468" s="156">
        <v>2891</v>
      </c>
      <c r="Q2468" s="98">
        <f t="shared" si="387"/>
        <v>0.99930867611475982</v>
      </c>
      <c r="R2468" s="23" t="s">
        <v>1233</v>
      </c>
      <c r="S2468" s="173">
        <v>112</v>
      </c>
      <c r="T2468" s="30"/>
      <c r="U2468" s="264"/>
      <c r="V2468" s="463"/>
      <c r="X2468" s="463"/>
    </row>
    <row r="2469" spans="1:30" s="146" customFormat="1" x14ac:dyDescent="0.4">
      <c r="A2469" s="212">
        <v>46027</v>
      </c>
      <c r="B2469" s="139">
        <v>153010</v>
      </c>
      <c r="C2469" s="140" t="str">
        <f>VLOOKUP(B2469,'112年全品項生產鍋數'!A:H,2,0)</f>
        <v>蜜桔皮6m/m</v>
      </c>
      <c r="D2469" s="292">
        <v>1</v>
      </c>
      <c r="E2469" s="141">
        <f>VLOOKUP(B2469,'112年全品項生產鍋數'!A:H,3,0)</f>
        <v>1</v>
      </c>
      <c r="F2469" s="142">
        <f>VLOOKUP(B2469,'112年全品項生產鍋數'!A:H,7,0)</f>
        <v>591</v>
      </c>
      <c r="G2469" s="143">
        <f t="shared" si="382"/>
        <v>591</v>
      </c>
      <c r="H2469" s="156">
        <v>496</v>
      </c>
      <c r="I2469" s="144">
        <f t="shared" si="383"/>
        <v>496</v>
      </c>
      <c r="J2469" s="100">
        <f t="shared" si="384"/>
        <v>0.83925549915397635</v>
      </c>
      <c r="K2469" s="51">
        <f>VLOOKUP(B:B,'生產達成率(目標)'!A:C,3,0)</f>
        <v>1</v>
      </c>
      <c r="L2469" s="20">
        <f t="shared" si="385"/>
        <v>-0.161</v>
      </c>
      <c r="M2469" s="137" t="str">
        <f>工時!R1655</f>
        <v>0</v>
      </c>
      <c r="N2469" s="144"/>
      <c r="O2469" s="144">
        <f t="shared" si="386"/>
        <v>0</v>
      </c>
      <c r="P2469" s="156">
        <v>496</v>
      </c>
      <c r="Q2469" s="145">
        <f t="shared" si="387"/>
        <v>1</v>
      </c>
      <c r="R2469" s="144"/>
      <c r="S2469" s="153"/>
      <c r="T2469" s="140" t="s">
        <v>1063</v>
      </c>
      <c r="U2469" s="151"/>
      <c r="V2469" s="464"/>
      <c r="W2469" s="421"/>
      <c r="X2469" s="464"/>
      <c r="Y2469" s="421"/>
      <c r="Z2469" s="421"/>
      <c r="AA2469" s="421"/>
      <c r="AB2469" s="421"/>
      <c r="AC2469" s="421"/>
      <c r="AD2469" s="421"/>
    </row>
    <row r="2470" spans="1:30" x14ac:dyDescent="0.4">
      <c r="A2470" s="212">
        <v>46028</v>
      </c>
      <c r="B2470" s="139" t="s">
        <v>71</v>
      </c>
      <c r="C2470" s="30" t="str">
        <f>VLOOKUP(B2470,'112年全品項生產鍋數'!A:H,2,0)</f>
        <v>＃1草莓(1*3.2kg)</v>
      </c>
      <c r="D2470" s="296">
        <v>72</v>
      </c>
      <c r="E2470" s="48">
        <f>VLOOKUP(B2470,'112年全品項生產鍋數'!A:H,3,0)</f>
        <v>3.2</v>
      </c>
      <c r="F2470" s="142">
        <f>VLOOKUP(B2470,'112年全品項生產鍋數'!A:H,7,0)</f>
        <v>46.8</v>
      </c>
      <c r="G2470" s="143">
        <f t="shared" si="382"/>
        <v>3369.6</v>
      </c>
      <c r="H2470" s="156">
        <v>3448</v>
      </c>
      <c r="I2470" s="23">
        <f t="shared" si="383"/>
        <v>11033.6</v>
      </c>
      <c r="J2470" s="100">
        <f t="shared" si="384"/>
        <v>1.0232668566001899</v>
      </c>
      <c r="K2470" s="51">
        <f>VLOOKUP(B:B,'生產達成率(目標)'!A:C,3,0)</f>
        <v>1</v>
      </c>
      <c r="L2470" s="20">
        <f t="shared" si="385"/>
        <v>2.3E-2</v>
      </c>
      <c r="M2470" s="137" t="str">
        <f>工時!R1656</f>
        <v>570</v>
      </c>
      <c r="N2470" s="144"/>
      <c r="O2470" s="144">
        <f t="shared" si="386"/>
        <v>2</v>
      </c>
      <c r="P2470" s="156">
        <v>3446</v>
      </c>
      <c r="Q2470" s="98">
        <f t="shared" si="387"/>
        <v>0.99941995359628766</v>
      </c>
      <c r="R2470" s="23" t="s">
        <v>1239</v>
      </c>
      <c r="S2470" s="173">
        <v>279</v>
      </c>
      <c r="T2470" s="30"/>
      <c r="U2470" s="264"/>
      <c r="V2470" s="463"/>
      <c r="X2470" s="463"/>
    </row>
    <row r="2471" spans="1:30" x14ac:dyDescent="0.4">
      <c r="A2471" s="212">
        <v>46028</v>
      </c>
      <c r="B2471" s="139" t="s">
        <v>1200</v>
      </c>
      <c r="C2471" s="30" t="str">
        <f>VLOOKUP(B2471,'112年全品項生產鍋數'!A:H,2,0)</f>
        <v>草莓蒟蒻餡(1*6kg)</v>
      </c>
      <c r="D2471" s="296">
        <v>28</v>
      </c>
      <c r="E2471" s="48">
        <f>VLOOKUP(B2471,'112年全品項生產鍋數'!A:H,3,0)</f>
        <v>6</v>
      </c>
      <c r="F2471" s="142">
        <f>VLOOKUP(B2471,'112年全品項生產鍋數'!A:H,7,0)</f>
        <v>25.7</v>
      </c>
      <c r="G2471" s="143">
        <f t="shared" si="382"/>
        <v>719.6</v>
      </c>
      <c r="H2471" s="156">
        <f>442+350</f>
        <v>792</v>
      </c>
      <c r="I2471" s="23">
        <f t="shared" si="383"/>
        <v>4752</v>
      </c>
      <c r="J2471" s="100">
        <f t="shared" si="384"/>
        <v>1.1006114508060032</v>
      </c>
      <c r="K2471" s="51">
        <f>VLOOKUP(B:B,'生產達成率(目標)'!A:C,3,0)</f>
        <v>1</v>
      </c>
      <c r="L2471" s="20">
        <f t="shared" si="385"/>
        <v>0.10100000000000001</v>
      </c>
      <c r="M2471" s="137" t="str">
        <f>工時!R1657</f>
        <v>540</v>
      </c>
      <c r="N2471" s="144"/>
      <c r="O2471" s="144">
        <f t="shared" si="386"/>
        <v>3</v>
      </c>
      <c r="P2471" s="156">
        <f>440+349</f>
        <v>789</v>
      </c>
      <c r="Q2471" s="98">
        <f t="shared" si="387"/>
        <v>0.99621212121212122</v>
      </c>
      <c r="R2471" s="23"/>
      <c r="S2471" s="173"/>
      <c r="T2471" s="30" t="s">
        <v>1153</v>
      </c>
      <c r="U2471" s="264"/>
      <c r="V2471" s="463"/>
      <c r="X2471" s="463"/>
    </row>
    <row r="2472" spans="1:30" x14ac:dyDescent="0.4">
      <c r="A2472" s="212">
        <v>46028</v>
      </c>
      <c r="B2472" s="139" t="s">
        <v>107</v>
      </c>
      <c r="C2472" s="30" t="str">
        <f>VLOOKUP(B2472,'112年全品項生產鍋數'!A:H,2,0)</f>
        <v>藍莓餡(1*6kg)</v>
      </c>
      <c r="D2472" s="296">
        <v>16</v>
      </c>
      <c r="E2472" s="48">
        <f>VLOOKUP(B2472,'112年全品項生產鍋數'!A:H,3,0)</f>
        <v>6</v>
      </c>
      <c r="F2472" s="142">
        <f>VLOOKUP(B2472,'112年全品項生產鍋數'!A:H,7,0)</f>
        <v>26.4</v>
      </c>
      <c r="G2472" s="143">
        <f t="shared" si="382"/>
        <v>422.4</v>
      </c>
      <c r="H2472" s="156">
        <v>413</v>
      </c>
      <c r="I2472" s="23">
        <f t="shared" si="383"/>
        <v>2478</v>
      </c>
      <c r="J2472" s="100">
        <f t="shared" si="384"/>
        <v>0.97774621212121215</v>
      </c>
      <c r="K2472" s="51">
        <f>VLOOKUP(B:B,'生產達成率(目標)'!A:C,3,0)</f>
        <v>1</v>
      </c>
      <c r="L2472" s="20">
        <f t="shared" si="385"/>
        <v>-2.1999999999999999E-2</v>
      </c>
      <c r="M2472" s="137" t="str">
        <f>工時!R1658</f>
        <v>600</v>
      </c>
      <c r="N2472" s="144"/>
      <c r="O2472" s="144">
        <f t="shared" si="386"/>
        <v>1</v>
      </c>
      <c r="P2472" s="156">
        <v>412</v>
      </c>
      <c r="Q2472" s="98">
        <f t="shared" si="387"/>
        <v>0.99757869249394671</v>
      </c>
      <c r="R2472" s="23"/>
      <c r="S2472" s="173"/>
      <c r="T2472" s="30" t="s">
        <v>1153</v>
      </c>
      <c r="U2472" s="264"/>
      <c r="V2472" s="463"/>
      <c r="X2472" s="463"/>
    </row>
    <row r="2473" spans="1:30" x14ac:dyDescent="0.4">
      <c r="A2473" s="212">
        <v>46028</v>
      </c>
      <c r="B2473" s="139" t="s">
        <v>1196</v>
      </c>
      <c r="C2473" s="30" t="str">
        <f>VLOOKUP(B2473,'112年全品項生產鍋數'!A:H,2,0)</f>
        <v>PET大花生(1*400g)</v>
      </c>
      <c r="D2473" s="296">
        <v>2</v>
      </c>
      <c r="E2473" s="48">
        <f>VLOOKUP(B2473,'112年全品項生產鍋數'!A:H,3,0)</f>
        <v>0.4</v>
      </c>
      <c r="F2473" s="142">
        <f>VLOOKUP(B2473,'112年全品項生產鍋數'!A:H,7,0)</f>
        <v>309.2</v>
      </c>
      <c r="G2473" s="143">
        <f t="shared" si="382"/>
        <v>618.4</v>
      </c>
      <c r="H2473" s="156">
        <v>367</v>
      </c>
      <c r="I2473" s="23">
        <f t="shared" si="383"/>
        <v>146.80000000000001</v>
      </c>
      <c r="J2473" s="100">
        <f t="shared" si="384"/>
        <v>0.59346701164294957</v>
      </c>
      <c r="K2473" s="51" t="e">
        <f>VLOOKUP(B:B,'生產達成率(目標)'!A:C,3,0)</f>
        <v>#N/A</v>
      </c>
      <c r="L2473" s="20" t="e">
        <f t="shared" si="385"/>
        <v>#N/A</v>
      </c>
      <c r="M2473" s="137" t="str">
        <f>工時!R1659</f>
        <v>90</v>
      </c>
      <c r="N2473" s="144"/>
      <c r="O2473" s="144">
        <f t="shared" si="386"/>
        <v>1</v>
      </c>
      <c r="P2473" s="156">
        <v>366</v>
      </c>
      <c r="Q2473" s="98">
        <f t="shared" si="387"/>
        <v>0.99727520435967298</v>
      </c>
      <c r="R2473" s="23" t="s">
        <v>1238</v>
      </c>
      <c r="S2473" s="173"/>
      <c r="T2473" s="30" t="s">
        <v>1168</v>
      </c>
      <c r="U2473" s="264"/>
      <c r="V2473" s="463"/>
      <c r="X2473" s="463"/>
    </row>
    <row r="2474" spans="1:30" x14ac:dyDescent="0.4">
      <c r="A2474" s="212">
        <v>46028</v>
      </c>
      <c r="B2474" s="139" t="s">
        <v>58</v>
      </c>
      <c r="C2474" s="30" t="str">
        <f>VLOOKUP(B2474,'112年全品項生產鍋數'!A:H,2,0)</f>
        <v>PET大花生(1*400g)</v>
      </c>
      <c r="D2474" s="296">
        <v>32</v>
      </c>
      <c r="E2474" s="48">
        <f>VLOOKUP(B2474,'112年全品項生產鍋數'!A:H,3,0)</f>
        <v>0.4</v>
      </c>
      <c r="F2474" s="142">
        <f>VLOOKUP(B2474,'112年全品項生產鍋數'!A:H,7,0)</f>
        <v>309.2</v>
      </c>
      <c r="G2474" s="143">
        <f t="shared" si="382"/>
        <v>9894.4</v>
      </c>
      <c r="H2474" s="156">
        <v>10241</v>
      </c>
      <c r="I2474" s="23">
        <f t="shared" si="383"/>
        <v>4096.4000000000005</v>
      </c>
      <c r="J2474" s="100">
        <f t="shared" si="384"/>
        <v>1.0350299159120311</v>
      </c>
      <c r="K2474" s="51">
        <f>VLOOKUP(B:B,'生產達成率(目標)'!A:C,3,0)</f>
        <v>1</v>
      </c>
      <c r="L2474" s="20">
        <f t="shared" si="385"/>
        <v>3.5000000000000003E-2</v>
      </c>
      <c r="M2474" s="137" t="str">
        <f>工時!R1660</f>
        <v>510</v>
      </c>
      <c r="N2474" s="144"/>
      <c r="O2474" s="144">
        <f t="shared" si="386"/>
        <v>3</v>
      </c>
      <c r="P2474" s="156">
        <v>10238</v>
      </c>
      <c r="Q2474" s="98">
        <f t="shared" si="387"/>
        <v>0.9997070598574358</v>
      </c>
      <c r="R2474" s="23"/>
      <c r="S2474" s="173"/>
      <c r="T2474" s="30" t="s">
        <v>1153</v>
      </c>
      <c r="U2474" s="264"/>
      <c r="V2474" s="463"/>
      <c r="X2474" s="463"/>
    </row>
    <row r="2475" spans="1:30" x14ac:dyDescent="0.4">
      <c r="A2475" s="212">
        <v>46029</v>
      </c>
      <c r="B2475" s="139" t="s">
        <v>53</v>
      </c>
      <c r="C2475" s="30" t="str">
        <f>VLOOKUP(B2475,'112年全品項生產鍋數'!A:H,2,0)</f>
        <v>鳳梨芒果百香果醬(1*6KG)</v>
      </c>
      <c r="D2475" s="296">
        <v>6</v>
      </c>
      <c r="E2475" s="48">
        <f>VLOOKUP(B2475,'112年全品項生產鍋數'!A:H,3,0)</f>
        <v>6</v>
      </c>
      <c r="F2475" s="142">
        <f>VLOOKUP(B2475,'112年全品項生產鍋數'!A:H,7,0)</f>
        <v>25.7</v>
      </c>
      <c r="G2475" s="143">
        <f t="shared" si="382"/>
        <v>154.19999999999999</v>
      </c>
      <c r="H2475" s="156">
        <v>155</v>
      </c>
      <c r="I2475" s="23">
        <f t="shared" si="383"/>
        <v>930</v>
      </c>
      <c r="J2475" s="100">
        <f t="shared" si="384"/>
        <v>1.0051880674448768</v>
      </c>
      <c r="K2475" s="51">
        <f>VLOOKUP(B:B,'生產達成率(目標)'!A:C,3,0)</f>
        <v>1</v>
      </c>
      <c r="L2475" s="20">
        <f t="shared" si="385"/>
        <v>5.0000000000000001E-3</v>
      </c>
      <c r="M2475" s="137" t="str">
        <f>工時!R1661</f>
        <v>150</v>
      </c>
      <c r="N2475" s="144"/>
      <c r="O2475" s="144">
        <f t="shared" si="386"/>
        <v>0</v>
      </c>
      <c r="P2475" s="156">
        <v>155</v>
      </c>
      <c r="Q2475" s="98">
        <f t="shared" si="387"/>
        <v>1</v>
      </c>
      <c r="R2475" s="23"/>
      <c r="S2475" s="173"/>
      <c r="T2475" s="30">
        <v>0</v>
      </c>
      <c r="U2475" s="264"/>
      <c r="V2475" s="463"/>
      <c r="X2475" s="463"/>
    </row>
    <row r="2476" spans="1:30" x14ac:dyDescent="0.4">
      <c r="A2476" s="212">
        <v>46029</v>
      </c>
      <c r="B2476" s="139" t="s">
        <v>109</v>
      </c>
      <c r="C2476" s="30" t="str">
        <f>VLOOKUP(B2476,'112年全品項生產鍋數'!A:H,2,0)</f>
        <v>蔓越莓醬(1*6KG)</v>
      </c>
      <c r="D2476" s="296">
        <v>6</v>
      </c>
      <c r="E2476" s="48">
        <f>VLOOKUP(B2476,'112年全品項生產鍋數'!A:H,3,0)</f>
        <v>6</v>
      </c>
      <c r="F2476" s="142">
        <f>VLOOKUP(B2476,'112年全品項生產鍋數'!A:H,7,0)</f>
        <v>25.6</v>
      </c>
      <c r="G2476" s="143">
        <f t="shared" si="382"/>
        <v>153.60000000000002</v>
      </c>
      <c r="H2476" s="156">
        <v>153</v>
      </c>
      <c r="I2476" s="23">
        <f t="shared" si="383"/>
        <v>918</v>
      </c>
      <c r="J2476" s="100">
        <f t="shared" si="384"/>
        <v>0.99609374999999989</v>
      </c>
      <c r="K2476" s="51">
        <f>VLOOKUP(B:B,'生產達成率(目標)'!A:C,3,0)</f>
        <v>1</v>
      </c>
      <c r="L2476" s="20">
        <f t="shared" si="385"/>
        <v>-4.0000000000000001E-3</v>
      </c>
      <c r="M2476" s="137" t="str">
        <f>工時!R1662</f>
        <v>150</v>
      </c>
      <c r="N2476" s="144"/>
      <c r="O2476" s="144">
        <f t="shared" si="386"/>
        <v>0</v>
      </c>
      <c r="P2476" s="156">
        <v>153</v>
      </c>
      <c r="Q2476" s="98">
        <f t="shared" si="387"/>
        <v>1</v>
      </c>
      <c r="R2476" s="23"/>
      <c r="S2476" s="173"/>
      <c r="T2476" s="30" t="s">
        <v>1153</v>
      </c>
      <c r="U2476" s="264"/>
      <c r="V2476" s="463"/>
      <c r="X2476" s="463"/>
    </row>
    <row r="2477" spans="1:30" x14ac:dyDescent="0.4">
      <c r="A2477" s="212">
        <v>46029</v>
      </c>
      <c r="B2477" s="139" t="s">
        <v>54</v>
      </c>
      <c r="C2477" s="30" t="str">
        <f>VLOOKUP(B2477,'112年全品項生產鍋數'!A:H,2,0)</f>
        <v>草莓醬(1*6kg)</v>
      </c>
      <c r="D2477" s="296">
        <v>32</v>
      </c>
      <c r="E2477" s="48">
        <f>VLOOKUP(B2477,'112年全品項生產鍋數'!A:H,3,0)</f>
        <v>6</v>
      </c>
      <c r="F2477" s="142">
        <f>VLOOKUP(B2477,'112年全品項生產鍋數'!A:H,7,0)</f>
        <v>26.6</v>
      </c>
      <c r="G2477" s="143">
        <f t="shared" si="382"/>
        <v>851.2</v>
      </c>
      <c r="H2477" s="156">
        <v>836</v>
      </c>
      <c r="I2477" s="23">
        <f t="shared" si="383"/>
        <v>5016</v>
      </c>
      <c r="J2477" s="100">
        <f t="shared" si="384"/>
        <v>0.9821428571428571</v>
      </c>
      <c r="K2477" s="51">
        <f>VLOOKUP(B:B,'生產達成率(目標)'!A:C,3,0)</f>
        <v>1</v>
      </c>
      <c r="L2477" s="20">
        <f t="shared" si="385"/>
        <v>-1.7999999999999999E-2</v>
      </c>
      <c r="M2477" s="137" t="str">
        <f>工時!R1663</f>
        <v>405</v>
      </c>
      <c r="N2477" s="144"/>
      <c r="O2477" s="144">
        <f t="shared" si="386"/>
        <v>0</v>
      </c>
      <c r="P2477" s="156">
        <v>836</v>
      </c>
      <c r="Q2477" s="98">
        <f t="shared" si="387"/>
        <v>1</v>
      </c>
      <c r="R2477" s="23"/>
      <c r="S2477" s="173"/>
      <c r="T2477" s="30" t="s">
        <v>1153</v>
      </c>
      <c r="U2477" s="264"/>
      <c r="V2477" s="463"/>
      <c r="X2477" s="463"/>
    </row>
    <row r="2478" spans="1:30" x14ac:dyDescent="0.4">
      <c r="A2478" s="212">
        <v>46029</v>
      </c>
      <c r="B2478" s="139" t="s">
        <v>147</v>
      </c>
      <c r="C2478" s="30" t="str">
        <f>VLOOKUP(B2478,'112年全品項生產鍋數'!A:H,2,0)</f>
        <v>玫瑰洛神餡(1*4.5KG)</v>
      </c>
      <c r="D2478" s="296">
        <v>3</v>
      </c>
      <c r="E2478" s="48">
        <f>VLOOKUP(B2478,'112年全品項生產鍋數'!A:H,3,0)</f>
        <v>4.5</v>
      </c>
      <c r="F2478" s="142">
        <f>VLOOKUP(B2478,'112年全品項生產鍋數'!A:H,7,0)</f>
        <v>32.9</v>
      </c>
      <c r="G2478" s="143">
        <f t="shared" si="382"/>
        <v>98.699999999999989</v>
      </c>
      <c r="H2478" s="156">
        <v>100</v>
      </c>
      <c r="I2478" s="23">
        <f t="shared" si="383"/>
        <v>450</v>
      </c>
      <c r="J2478" s="100">
        <f t="shared" si="384"/>
        <v>1.0131712259371835</v>
      </c>
      <c r="K2478" s="51">
        <f>VLOOKUP(B:B,'生產達成率(目標)'!A:C,3,0)</f>
        <v>1</v>
      </c>
      <c r="L2478" s="20">
        <f t="shared" si="385"/>
        <v>1.2999999999999999E-2</v>
      </c>
      <c r="M2478" s="137" t="str">
        <f>工時!R1664</f>
        <v>130</v>
      </c>
      <c r="N2478" s="144"/>
      <c r="O2478" s="144">
        <f t="shared" si="386"/>
        <v>0</v>
      </c>
      <c r="P2478" s="156">
        <v>100</v>
      </c>
      <c r="Q2478" s="98">
        <f t="shared" si="387"/>
        <v>1</v>
      </c>
      <c r="R2478" s="23"/>
      <c r="S2478" s="173"/>
      <c r="T2478" s="30" t="s">
        <v>1153</v>
      </c>
      <c r="U2478" s="264"/>
      <c r="V2478" s="463"/>
      <c r="X2478" s="463"/>
    </row>
    <row r="2479" spans="1:30" x14ac:dyDescent="0.4">
      <c r="A2479" s="212">
        <v>46029</v>
      </c>
      <c r="B2479" s="139" t="s">
        <v>1201</v>
      </c>
      <c r="C2479" s="30" t="str">
        <f>VLOOKUP(B2479,'112年全品項生產鍋數'!A:H,2,0)</f>
        <v>草莓餡(1*4.5Kg)</v>
      </c>
      <c r="D2479" s="296">
        <v>12</v>
      </c>
      <c r="E2479" s="48">
        <f>VLOOKUP(B2479,'112年全品項生產鍋數'!A:H,3,0)</f>
        <v>4.5</v>
      </c>
      <c r="F2479" s="142">
        <f>VLOOKUP(B2479,'112年全品項生產鍋數'!A:H,7,0)</f>
        <v>35.6</v>
      </c>
      <c r="G2479" s="143">
        <f t="shared" si="382"/>
        <v>427.20000000000005</v>
      </c>
      <c r="H2479" s="156">
        <v>414</v>
      </c>
      <c r="I2479" s="23">
        <f t="shared" si="383"/>
        <v>1863</v>
      </c>
      <c r="J2479" s="100">
        <f t="shared" si="384"/>
        <v>0.96910112359550549</v>
      </c>
      <c r="K2479" s="51">
        <f>VLOOKUP(B:B,'生產達成率(目標)'!A:C,3,0)</f>
        <v>1</v>
      </c>
      <c r="L2479" s="20">
        <f t="shared" si="385"/>
        <v>-3.1E-2</v>
      </c>
      <c r="M2479" s="137" t="str">
        <f>工時!R1665</f>
        <v>230</v>
      </c>
      <c r="N2479" s="144"/>
      <c r="O2479" s="144">
        <f t="shared" si="386"/>
        <v>0</v>
      </c>
      <c r="P2479" s="156">
        <v>414</v>
      </c>
      <c r="Q2479" s="98">
        <f t="shared" si="387"/>
        <v>1</v>
      </c>
      <c r="R2479" s="23"/>
      <c r="S2479" s="173"/>
      <c r="T2479" s="30" t="s">
        <v>1153</v>
      </c>
      <c r="U2479" s="264"/>
      <c r="V2479" s="463"/>
      <c r="X2479" s="463"/>
    </row>
    <row r="2480" spans="1:30" x14ac:dyDescent="0.4">
      <c r="A2480" s="212">
        <v>46029</v>
      </c>
      <c r="B2480" s="139" t="s">
        <v>1202</v>
      </c>
      <c r="C2480" s="30" t="str">
        <f>VLOOKUP(B2480,'112年全品項生產鍋數'!A:H,2,0)</f>
        <v>天天開心芒果餡4.5KG</v>
      </c>
      <c r="D2480" s="296">
        <v>8</v>
      </c>
      <c r="E2480" s="48">
        <f>VLOOKUP(B2480,'112年全品項生產鍋數'!A:H,3,0)</f>
        <v>4.5</v>
      </c>
      <c r="F2480" s="142">
        <f>VLOOKUP(B2480,'112年全品項生產鍋數'!A:H,7,0)</f>
        <v>33.200000000000003</v>
      </c>
      <c r="G2480" s="143">
        <f t="shared" si="382"/>
        <v>265.60000000000002</v>
      </c>
      <c r="H2480" s="156">
        <v>273</v>
      </c>
      <c r="I2480" s="23">
        <f t="shared" si="383"/>
        <v>1228.5</v>
      </c>
      <c r="J2480" s="100">
        <f t="shared" si="384"/>
        <v>1.0278614457831325</v>
      </c>
      <c r="K2480" s="51">
        <f>VLOOKUP(B:B,'生產達成率(目標)'!A:C,3,0)</f>
        <v>1</v>
      </c>
      <c r="L2480" s="20">
        <f t="shared" si="385"/>
        <v>2.8000000000000001E-2</v>
      </c>
      <c r="M2480" s="137" t="str">
        <f>工時!R1666</f>
        <v>175</v>
      </c>
      <c r="N2480" s="144"/>
      <c r="O2480" s="144">
        <f t="shared" si="386"/>
        <v>0</v>
      </c>
      <c r="P2480" s="156">
        <v>273</v>
      </c>
      <c r="Q2480" s="98">
        <f t="shared" si="387"/>
        <v>1</v>
      </c>
      <c r="R2480" s="23"/>
      <c r="S2480" s="173"/>
      <c r="T2480" s="30" t="s">
        <v>1197</v>
      </c>
      <c r="U2480" s="264"/>
      <c r="V2480" s="463"/>
      <c r="X2480" s="463"/>
    </row>
    <row r="2481" spans="1:30" x14ac:dyDescent="0.4">
      <c r="A2481" s="212">
        <v>46029</v>
      </c>
      <c r="B2481" s="139" t="s">
        <v>1203</v>
      </c>
      <c r="C2481" s="30" t="str">
        <f>VLOOKUP(B2481,'112年全品項生產鍋數'!A:H,2,0)</f>
        <v>耐烤草莓餡(1*4.5KG)</v>
      </c>
      <c r="D2481" s="296">
        <v>12</v>
      </c>
      <c r="E2481" s="48">
        <f>VLOOKUP(B2481,'112年全品項生產鍋數'!A:H,3,0)</f>
        <v>4.5</v>
      </c>
      <c r="F2481" s="142">
        <f>VLOOKUP(B2481,'112年全品項生產鍋數'!A:H,7,0)</f>
        <v>36</v>
      </c>
      <c r="G2481" s="143">
        <f t="shared" si="382"/>
        <v>432</v>
      </c>
      <c r="H2481" s="156">
        <v>434</v>
      </c>
      <c r="I2481" s="23">
        <f t="shared" si="383"/>
        <v>1953</v>
      </c>
      <c r="J2481" s="100">
        <f t="shared" si="384"/>
        <v>1.0046296296296295</v>
      </c>
      <c r="K2481" s="51">
        <f>VLOOKUP(B:B,'生產達成率(目標)'!A:C,3,0)</f>
        <v>1</v>
      </c>
      <c r="L2481" s="20">
        <f t="shared" si="385"/>
        <v>5.0000000000000001E-3</v>
      </c>
      <c r="M2481" s="137" t="str">
        <f>工時!R1667</f>
        <v>220</v>
      </c>
      <c r="N2481" s="144"/>
      <c r="O2481" s="144">
        <f t="shared" si="386"/>
        <v>0</v>
      </c>
      <c r="P2481" s="156">
        <v>434</v>
      </c>
      <c r="Q2481" s="98">
        <f t="shared" si="387"/>
        <v>1</v>
      </c>
      <c r="R2481" s="23"/>
      <c r="S2481" s="173"/>
      <c r="T2481" s="30" t="s">
        <v>1153</v>
      </c>
      <c r="U2481" s="264"/>
      <c r="V2481" s="463"/>
      <c r="X2481" s="463"/>
    </row>
    <row r="2482" spans="1:30" s="146" customFormat="1" x14ac:dyDescent="0.4">
      <c r="A2482" s="212">
        <v>46029</v>
      </c>
      <c r="B2482" s="139" t="s">
        <v>142</v>
      </c>
      <c r="C2482" s="140" t="str">
        <f>VLOOKUP(B2482,'112年全品項生產鍋數'!A:H,2,0)</f>
        <v>顆粒花生醬(1*12KG)</v>
      </c>
      <c r="D2482" s="292">
        <v>21</v>
      </c>
      <c r="E2482" s="141">
        <f>VLOOKUP(B2482,'112年全品項生產鍋數'!A:H,3,0)</f>
        <v>3</v>
      </c>
      <c r="F2482" s="142">
        <f>VLOOKUP(B2482,'112年全品項生產鍋數'!A:H,7,0)</f>
        <v>31.6</v>
      </c>
      <c r="G2482" s="143">
        <f t="shared" si="382"/>
        <v>663.6</v>
      </c>
      <c r="H2482" s="156">
        <v>668</v>
      </c>
      <c r="I2482" s="144">
        <f t="shared" si="383"/>
        <v>2004</v>
      </c>
      <c r="J2482" s="100">
        <f t="shared" si="384"/>
        <v>1.0066305003013862</v>
      </c>
      <c r="K2482" s="51">
        <f>VLOOKUP(B:B,'生產達成率(目標)'!A:C,3,0)</f>
        <v>1</v>
      </c>
      <c r="L2482" s="20">
        <f t="shared" si="385"/>
        <v>7.0000000000000001E-3</v>
      </c>
      <c r="M2482" s="137" t="str">
        <f>工時!R1668</f>
        <v>510</v>
      </c>
      <c r="N2482" s="144"/>
      <c r="O2482" s="144">
        <f t="shared" si="386"/>
        <v>0</v>
      </c>
      <c r="P2482" s="156">
        <v>668</v>
      </c>
      <c r="Q2482" s="145">
        <f t="shared" si="387"/>
        <v>1</v>
      </c>
      <c r="R2482" s="144"/>
      <c r="S2482" s="153"/>
      <c r="T2482" s="140" t="s">
        <v>1153</v>
      </c>
      <c r="U2482" s="151"/>
      <c r="V2482" s="464"/>
      <c r="W2482" s="421"/>
      <c r="X2482" s="464"/>
      <c r="Y2482" s="421"/>
      <c r="Z2482" s="421"/>
      <c r="AA2482" s="421"/>
      <c r="AB2482" s="421"/>
      <c r="AC2482" s="421"/>
      <c r="AD2482" s="421"/>
    </row>
    <row r="2483" spans="1:30" s="146" customFormat="1" x14ac:dyDescent="0.4">
      <c r="A2483" s="212">
        <v>46029</v>
      </c>
      <c r="B2483" s="139" t="s">
        <v>434</v>
      </c>
      <c r="C2483" s="140" t="str">
        <f>VLOOKUP(B2483,'112年全品項生產鍋數'!A:H,2,0)</f>
        <v>蜜桔皮</v>
      </c>
      <c r="D2483" s="292">
        <v>50</v>
      </c>
      <c r="E2483" s="141">
        <f>VLOOKUP(B2483,'112年全品項生產鍋數'!A:H,3,0)</f>
        <v>1</v>
      </c>
      <c r="F2483" s="142">
        <f>VLOOKUP(B2483,'112年全品項生產鍋數'!A:H,7,0)</f>
        <v>6</v>
      </c>
      <c r="G2483" s="143">
        <f>D2483*F2483</f>
        <v>300</v>
      </c>
      <c r="H2483" s="156">
        <v>308</v>
      </c>
      <c r="I2483" s="144">
        <f>H2483*E2483</f>
        <v>308</v>
      </c>
      <c r="J2483" s="100">
        <f>IF(G2483=0,"無法預估數據",H2483/G2483)</f>
        <v>1.0266666666666666</v>
      </c>
      <c r="K2483" s="51">
        <f>VLOOKUP(B:B,'生產達成率(目標)'!A:C,3,0)</f>
        <v>1</v>
      </c>
      <c r="L2483" s="20">
        <f>IF(G2483=0,"無法預估數據",ROUND(J2483-K2483,3))</f>
        <v>2.7E-2</v>
      </c>
      <c r="M2483" s="137"/>
      <c r="N2483" s="144"/>
      <c r="O2483" s="144">
        <f>H2483-N2483-P2483</f>
        <v>0</v>
      </c>
      <c r="P2483" s="156">
        <v>308</v>
      </c>
      <c r="Q2483" s="145">
        <f>P2483/H2483</f>
        <v>1</v>
      </c>
      <c r="R2483" s="144"/>
      <c r="S2483" s="153"/>
      <c r="T2483" s="140"/>
      <c r="U2483" s="151"/>
      <c r="V2483" s="464"/>
      <c r="W2483" s="421"/>
      <c r="X2483" s="464"/>
      <c r="Y2483" s="421"/>
      <c r="Z2483" s="421"/>
      <c r="AA2483" s="421"/>
      <c r="AB2483" s="421"/>
      <c r="AC2483" s="421"/>
      <c r="AD2483" s="421"/>
    </row>
    <row r="2484" spans="1:30" s="146" customFormat="1" x14ac:dyDescent="0.4">
      <c r="A2484" s="212">
        <v>46029</v>
      </c>
      <c r="B2484" s="139" t="s">
        <v>1209</v>
      </c>
      <c r="C2484" s="140" t="str">
        <f>VLOOKUP(B2484,'112年全品項生產鍋數'!A:H,2,0)</f>
        <v>蜜餞水果(1*1kg)</v>
      </c>
      <c r="D2484" s="292">
        <v>30</v>
      </c>
      <c r="E2484" s="141">
        <f>VLOOKUP(B2484,'112年全品項生產鍋數'!A:H,3,0)</f>
        <v>1</v>
      </c>
      <c r="F2484" s="142">
        <f>VLOOKUP(B2484,'112年全品項生產鍋數'!A:H,7,0)</f>
        <v>5.7</v>
      </c>
      <c r="G2484" s="143">
        <f>D2484*F2484</f>
        <v>171</v>
      </c>
      <c r="H2484" s="156">
        <v>145</v>
      </c>
      <c r="I2484" s="144">
        <f>H2484*E2484</f>
        <v>145</v>
      </c>
      <c r="J2484" s="100">
        <f>IF(G2484=0,"無法預估數據",H2484/G2484)</f>
        <v>0.84795321637426901</v>
      </c>
      <c r="K2484" s="51">
        <f>VLOOKUP(B:B,'生產達成率(目標)'!A:C,3,0)</f>
        <v>1</v>
      </c>
      <c r="L2484" s="20">
        <f>IF(G2484=0,"無法預估數據",ROUND(J2484-K2484,3))</f>
        <v>-0.152</v>
      </c>
      <c r="M2484" s="137"/>
      <c r="N2484" s="144"/>
      <c r="O2484" s="144">
        <f>H2484-N2484-P2484</f>
        <v>0</v>
      </c>
      <c r="P2484" s="156">
        <v>145</v>
      </c>
      <c r="Q2484" s="145">
        <f>P2484/H2484</f>
        <v>1</v>
      </c>
      <c r="R2484" s="144"/>
      <c r="S2484" s="153"/>
      <c r="T2484" s="140"/>
      <c r="U2484" s="151"/>
      <c r="V2484" s="464"/>
      <c r="W2484" s="421"/>
      <c r="X2484" s="464"/>
      <c r="Y2484" s="421"/>
      <c r="Z2484" s="421"/>
      <c r="AA2484" s="421"/>
      <c r="AB2484" s="421"/>
      <c r="AC2484" s="421"/>
      <c r="AD2484" s="421"/>
    </row>
    <row r="2485" spans="1:30" x14ac:dyDescent="0.4">
      <c r="A2485" s="212">
        <v>46030</v>
      </c>
      <c r="B2485" s="139" t="s">
        <v>87</v>
      </c>
      <c r="C2485" s="30" t="str">
        <f>VLOOKUP(B2485,'112年全品項生產鍋數'!A:H,2,0)</f>
        <v>＃1藍莓(1*3.2kg)</v>
      </c>
      <c r="D2485" s="296">
        <v>72</v>
      </c>
      <c r="E2485" s="48">
        <f>VLOOKUP(B2485,'112年全品項生產鍋數'!A:H,3,0)</f>
        <v>3.2</v>
      </c>
      <c r="F2485" s="142">
        <f>VLOOKUP(B2485,'112年全品項生產鍋數'!A:H,7,0)</f>
        <v>47.5</v>
      </c>
      <c r="G2485" s="143">
        <f t="shared" si="382"/>
        <v>3420</v>
      </c>
      <c r="H2485" s="156">
        <v>3371</v>
      </c>
      <c r="I2485" s="23">
        <f t="shared" si="383"/>
        <v>10787.2</v>
      </c>
      <c r="J2485" s="100">
        <f t="shared" si="384"/>
        <v>0.98567251461988303</v>
      </c>
      <c r="K2485" s="51">
        <f>VLOOKUP(B:B,'生產達成率(目標)'!A:C,3,0)</f>
        <v>1</v>
      </c>
      <c r="L2485" s="20">
        <f t="shared" si="385"/>
        <v>-1.4E-2</v>
      </c>
      <c r="M2485" s="137" t="str">
        <f>工時!R1669</f>
        <v>540</v>
      </c>
      <c r="N2485" s="144"/>
      <c r="O2485" s="144">
        <f t="shared" si="386"/>
        <v>2</v>
      </c>
      <c r="P2485" s="156">
        <v>3369</v>
      </c>
      <c r="Q2485" s="98">
        <f t="shared" si="387"/>
        <v>0.99940670424206468</v>
      </c>
      <c r="R2485" s="23"/>
      <c r="S2485" s="173"/>
      <c r="T2485" s="30" t="s">
        <v>1153</v>
      </c>
      <c r="U2485" s="264"/>
      <c r="V2485" s="463"/>
      <c r="X2485" s="463"/>
    </row>
    <row r="2486" spans="1:30" s="146" customFormat="1" x14ac:dyDescent="0.4">
      <c r="A2486" s="212">
        <v>46030</v>
      </c>
      <c r="B2486" s="139" t="s">
        <v>1204</v>
      </c>
      <c r="C2486" s="140" t="str">
        <f>VLOOKUP(B2486,'112年全品項生產鍋數'!A:H,2,0)</f>
        <v>草莓餡45%(1*6Kg)</v>
      </c>
      <c r="D2486" s="292">
        <v>24</v>
      </c>
      <c r="E2486" s="141">
        <f>VLOOKUP(B2486,'112年全品項生產鍋數'!A:H,3,0)</f>
        <v>6</v>
      </c>
      <c r="F2486" s="142">
        <f>VLOOKUP(B2486,'112年全品項生產鍋數'!A:H,7,0)</f>
        <v>26.1</v>
      </c>
      <c r="G2486" s="143">
        <f t="shared" si="382"/>
        <v>626.40000000000009</v>
      </c>
      <c r="H2486" s="156">
        <v>631</v>
      </c>
      <c r="I2486" s="144">
        <f t="shared" si="383"/>
        <v>3786</v>
      </c>
      <c r="J2486" s="100">
        <f t="shared" si="384"/>
        <v>1.0073435504469985</v>
      </c>
      <c r="K2486" s="51">
        <f>VLOOKUP(B:B,'生產達成率(目標)'!A:C,3,0)</f>
        <v>1</v>
      </c>
      <c r="L2486" s="20">
        <f t="shared" si="385"/>
        <v>7.0000000000000001E-3</v>
      </c>
      <c r="M2486" s="137" t="str">
        <f>工時!R1670</f>
        <v>310</v>
      </c>
      <c r="N2486" s="144"/>
      <c r="O2486" s="144">
        <f t="shared" si="386"/>
        <v>2</v>
      </c>
      <c r="P2486" s="156">
        <v>629</v>
      </c>
      <c r="Q2486" s="145">
        <f t="shared" si="387"/>
        <v>0.99683042789223453</v>
      </c>
      <c r="R2486" s="144"/>
      <c r="S2486" s="153"/>
      <c r="T2486" s="140" t="s">
        <v>1153</v>
      </c>
      <c r="U2486" s="151"/>
      <c r="V2486" s="464"/>
      <c r="W2486" s="421"/>
      <c r="X2486" s="464"/>
      <c r="Y2486" s="421"/>
      <c r="Z2486" s="421"/>
      <c r="AA2486" s="421"/>
      <c r="AB2486" s="421"/>
      <c r="AC2486" s="421"/>
      <c r="AD2486" s="421"/>
    </row>
    <row r="2487" spans="1:30" s="146" customFormat="1" x14ac:dyDescent="0.4">
      <c r="A2487" s="212">
        <v>46030</v>
      </c>
      <c r="B2487" s="139" t="s">
        <v>1200</v>
      </c>
      <c r="C2487" s="140" t="str">
        <f>VLOOKUP(B2487,'112年全品項生產鍋數'!A:H,2,0)</f>
        <v>草莓蒟蒻餡(1*6kg)</v>
      </c>
      <c r="D2487" s="292">
        <v>20</v>
      </c>
      <c r="E2487" s="141">
        <f>VLOOKUP(B2487,'112年全品項生產鍋數'!A:H,3,0)</f>
        <v>6</v>
      </c>
      <c r="F2487" s="142">
        <f>VLOOKUP(B2487,'112年全品項生產鍋數'!A:H,7,0)</f>
        <v>25.7</v>
      </c>
      <c r="G2487" s="143">
        <f t="shared" si="382"/>
        <v>514</v>
      </c>
      <c r="H2487" s="156">
        <f>338+236</f>
        <v>574</v>
      </c>
      <c r="I2487" s="144">
        <f t="shared" si="383"/>
        <v>3444</v>
      </c>
      <c r="J2487" s="100">
        <f t="shared" si="384"/>
        <v>1.1167315175097277</v>
      </c>
      <c r="K2487" s="51">
        <f>VLOOKUP(B:B,'生產達成率(目標)'!A:C,3,0)</f>
        <v>1</v>
      </c>
      <c r="L2487" s="20">
        <f t="shared" si="385"/>
        <v>0.11700000000000001</v>
      </c>
      <c r="M2487" s="137" t="str">
        <f>工時!R1671</f>
        <v>270</v>
      </c>
      <c r="N2487" s="144"/>
      <c r="O2487" s="144">
        <f t="shared" si="386"/>
        <v>1</v>
      </c>
      <c r="P2487" s="156">
        <f>236+337</f>
        <v>573</v>
      </c>
      <c r="Q2487" s="145">
        <f t="shared" si="387"/>
        <v>0.99825783972125437</v>
      </c>
      <c r="R2487" s="144"/>
      <c r="S2487" s="153"/>
      <c r="T2487" s="140" t="s">
        <v>1153</v>
      </c>
      <c r="U2487" s="151"/>
      <c r="V2487" s="464"/>
      <c r="W2487" s="421"/>
      <c r="X2487" s="464"/>
      <c r="Y2487" s="421"/>
      <c r="Z2487" s="421"/>
      <c r="AA2487" s="421"/>
      <c r="AB2487" s="421"/>
      <c r="AC2487" s="421"/>
      <c r="AD2487" s="421"/>
    </row>
    <row r="2488" spans="1:30" s="146" customFormat="1" x14ac:dyDescent="0.4">
      <c r="A2488" s="212">
        <v>46030</v>
      </c>
      <c r="B2488" s="139" t="s">
        <v>73</v>
      </c>
      <c r="C2488" s="140" t="str">
        <f>VLOOKUP(B2488,'112年全品項生產鍋數'!A:H,2,0)</f>
        <v>顆粒花生醬(1*12KG)</v>
      </c>
      <c r="D2488" s="292">
        <v>21</v>
      </c>
      <c r="E2488" s="141">
        <f>VLOOKUP(B2488,'112年全品項生產鍋數'!A:H,3,0)</f>
        <v>3</v>
      </c>
      <c r="F2488" s="142">
        <f>VLOOKUP(B2488,'112年全品項生產鍋數'!A:H,7,0)</f>
        <v>29.7</v>
      </c>
      <c r="G2488" s="143">
        <f t="shared" si="382"/>
        <v>623.69999999999993</v>
      </c>
      <c r="H2488" s="156">
        <v>628</v>
      </c>
      <c r="I2488" s="144">
        <f t="shared" si="383"/>
        <v>1884</v>
      </c>
      <c r="J2488" s="100">
        <f t="shared" si="384"/>
        <v>1.0068943402276738</v>
      </c>
      <c r="K2488" s="51">
        <f>VLOOKUP(B:B,'生產達成率(目標)'!A:C,3,0)</f>
        <v>1</v>
      </c>
      <c r="L2488" s="20">
        <f t="shared" si="385"/>
        <v>7.0000000000000001E-3</v>
      </c>
      <c r="M2488" s="137" t="str">
        <f>工時!R1672</f>
        <v>570</v>
      </c>
      <c r="N2488" s="144"/>
      <c r="O2488" s="144">
        <f t="shared" si="386"/>
        <v>0</v>
      </c>
      <c r="P2488" s="156">
        <v>628</v>
      </c>
      <c r="Q2488" s="145">
        <f t="shared" si="387"/>
        <v>1</v>
      </c>
      <c r="R2488" s="144"/>
      <c r="S2488" s="153"/>
      <c r="T2488" s="140" t="s">
        <v>1153</v>
      </c>
      <c r="U2488" s="151"/>
      <c r="V2488" s="464"/>
      <c r="W2488" s="421"/>
      <c r="X2488" s="464"/>
      <c r="Y2488" s="421"/>
      <c r="Z2488" s="421"/>
      <c r="AA2488" s="421"/>
      <c r="AB2488" s="421"/>
      <c r="AC2488" s="421"/>
      <c r="AD2488" s="421"/>
    </row>
    <row r="2489" spans="1:30" s="146" customFormat="1" x14ac:dyDescent="0.4">
      <c r="A2489" s="212">
        <v>46031</v>
      </c>
      <c r="B2489" s="139" t="s">
        <v>1205</v>
      </c>
      <c r="C2489" s="140" t="str">
        <f>VLOOKUP(B2489,'112年全品項生產鍋數'!A:H,2,0)</f>
        <v>藍莓餡(1*6KG)</v>
      </c>
      <c r="D2489" s="292">
        <v>16</v>
      </c>
      <c r="E2489" s="141">
        <f>VLOOKUP(B2489,'112年全品項生產鍋數'!A:H,3,0)</f>
        <v>6</v>
      </c>
      <c r="F2489" s="142">
        <f>VLOOKUP(B2489,'112年全品項生產鍋數'!A:H,7,0)</f>
        <v>25.4</v>
      </c>
      <c r="G2489" s="143">
        <f t="shared" si="382"/>
        <v>406.4</v>
      </c>
      <c r="H2489" s="156">
        <f>195+210</f>
        <v>405</v>
      </c>
      <c r="I2489" s="144">
        <f t="shared" si="383"/>
        <v>2430</v>
      </c>
      <c r="J2489" s="100">
        <f t="shared" si="384"/>
        <v>0.99655511811023623</v>
      </c>
      <c r="K2489" s="51">
        <f>VLOOKUP(B:B,'生產達成率(目標)'!A:C,3,0)</f>
        <v>1</v>
      </c>
      <c r="L2489" s="20">
        <f t="shared" si="385"/>
        <v>-3.0000000000000001E-3</v>
      </c>
      <c r="M2489" s="137" t="str">
        <f>工時!R1673</f>
        <v>200</v>
      </c>
      <c r="N2489" s="144"/>
      <c r="O2489" s="144">
        <f t="shared" si="386"/>
        <v>1</v>
      </c>
      <c r="P2489" s="156">
        <f>194+210</f>
        <v>404</v>
      </c>
      <c r="Q2489" s="145">
        <f t="shared" si="387"/>
        <v>0.9975308641975309</v>
      </c>
      <c r="R2489" s="144"/>
      <c r="S2489" s="153"/>
      <c r="T2489" s="140" t="s">
        <v>1198</v>
      </c>
      <c r="U2489" s="151"/>
      <c r="V2489" s="464"/>
      <c r="W2489" s="421"/>
      <c r="X2489" s="464"/>
      <c r="Y2489" s="421"/>
      <c r="Z2489" s="421"/>
      <c r="AA2489" s="421"/>
      <c r="AB2489" s="421"/>
      <c r="AC2489" s="421"/>
      <c r="AD2489" s="421"/>
    </row>
    <row r="2490" spans="1:30" s="146" customFormat="1" x14ac:dyDescent="0.4">
      <c r="A2490" s="212">
        <v>46031</v>
      </c>
      <c r="B2490" s="139" t="s">
        <v>1206</v>
      </c>
      <c r="C2490" s="140" t="str">
        <f>VLOOKUP(B2490,'112年全品項生產鍋數'!A:H,2,0)</f>
        <v>草莓餡(1*6Kg)</v>
      </c>
      <c r="D2490" s="292">
        <v>8</v>
      </c>
      <c r="E2490" s="141">
        <f>VLOOKUP(B2490,'112年全品項生產鍋數'!A:H,3,0)</f>
        <v>6</v>
      </c>
      <c r="F2490" s="142">
        <f>VLOOKUP(B2490,'112年全品項生產鍋數'!A:H,7,0)</f>
        <v>25.5</v>
      </c>
      <c r="G2490" s="143">
        <f t="shared" si="382"/>
        <v>204</v>
      </c>
      <c r="H2490" s="156">
        <v>190</v>
      </c>
      <c r="I2490" s="144">
        <f t="shared" si="383"/>
        <v>1140</v>
      </c>
      <c r="J2490" s="100">
        <f t="shared" si="384"/>
        <v>0.93137254901960786</v>
      </c>
      <c r="K2490" s="51">
        <f>VLOOKUP(B:B,'生產達成率(目標)'!A:C,3,0)</f>
        <v>1</v>
      </c>
      <c r="L2490" s="20">
        <f t="shared" si="385"/>
        <v>-6.9000000000000006E-2</v>
      </c>
      <c r="M2490" s="137" t="str">
        <f>工時!R1674</f>
        <v>160</v>
      </c>
      <c r="N2490" s="144"/>
      <c r="O2490" s="144">
        <f t="shared" si="386"/>
        <v>190</v>
      </c>
      <c r="P2490" s="156">
        <v>0</v>
      </c>
      <c r="Q2490" s="145">
        <f t="shared" si="387"/>
        <v>0</v>
      </c>
      <c r="R2490" s="144" t="s">
        <v>1217</v>
      </c>
      <c r="S2490" s="153"/>
      <c r="T2490" s="140" t="s">
        <v>1218</v>
      </c>
      <c r="U2490" s="151"/>
      <c r="V2490" s="464"/>
      <c r="W2490" s="421"/>
      <c r="X2490" s="464"/>
      <c r="Y2490" s="421"/>
      <c r="Z2490" s="421"/>
      <c r="AA2490" s="421"/>
      <c r="AB2490" s="421"/>
      <c r="AC2490" s="421"/>
      <c r="AD2490" s="421"/>
    </row>
    <row r="2491" spans="1:30" s="146" customFormat="1" x14ac:dyDescent="0.4">
      <c r="A2491" s="212">
        <v>46031</v>
      </c>
      <c r="B2491" s="139" t="s">
        <v>1207</v>
      </c>
      <c r="C2491" s="140" t="str">
        <f>VLOOKUP(B2491,'112年全品項生產鍋數'!A:H,2,0)</f>
        <v>藍莓餡（大）(1*9.08kg)</v>
      </c>
      <c r="D2491" s="292">
        <v>12</v>
      </c>
      <c r="E2491" s="141">
        <f>VLOOKUP(B2491,'112年全品項生產鍋數'!A:H,3,0)</f>
        <v>9.08</v>
      </c>
      <c r="F2491" s="142">
        <f>VLOOKUP(B2491,'112年全品項生產鍋數'!A:H,7,0)</f>
        <v>17.8</v>
      </c>
      <c r="G2491" s="143">
        <f>D2491*F2491</f>
        <v>213.60000000000002</v>
      </c>
      <c r="H2491" s="156">
        <v>214</v>
      </c>
      <c r="I2491" s="144">
        <f>H2491*E2491</f>
        <v>1943.1200000000001</v>
      </c>
      <c r="J2491" s="100">
        <f>IF(G2491=0,"無法預估數據",H2491/G2491)</f>
        <v>1.0018726591760299</v>
      </c>
      <c r="K2491" s="51">
        <f>VLOOKUP(B:B,'生產達成率(目標)'!A:C,3,0)</f>
        <v>1</v>
      </c>
      <c r="L2491" s="20">
        <f>IF(G2491=0,"無法預估數據",ROUND(J2491-K2491,3))</f>
        <v>2E-3</v>
      </c>
      <c r="M2491" s="137" t="str">
        <f>工時!R1675</f>
        <v>210</v>
      </c>
      <c r="N2491" s="144"/>
      <c r="O2491" s="144">
        <f>H2491-N2491-P2491</f>
        <v>0</v>
      </c>
      <c r="P2491" s="156">
        <v>214</v>
      </c>
      <c r="Q2491" s="145">
        <f>P2491/H2491</f>
        <v>1</v>
      </c>
      <c r="R2491" s="144"/>
      <c r="S2491" s="153"/>
      <c r="T2491" s="140" t="s">
        <v>1153</v>
      </c>
      <c r="U2491" s="151"/>
      <c r="V2491" s="464"/>
      <c r="W2491" s="421"/>
      <c r="X2491" s="464"/>
      <c r="Y2491" s="421"/>
      <c r="Z2491" s="421"/>
      <c r="AA2491" s="421"/>
      <c r="AB2491" s="421"/>
      <c r="AC2491" s="421"/>
      <c r="AD2491" s="421"/>
    </row>
    <row r="2492" spans="1:30" s="146" customFormat="1" x14ac:dyDescent="0.4">
      <c r="A2492" s="212">
        <v>46031</v>
      </c>
      <c r="B2492" s="139" t="s">
        <v>110</v>
      </c>
      <c r="C2492" s="140" t="str">
        <f>VLOOKUP(B2492,'112年全品項生產鍋數'!A:H,2,0)</f>
        <v>顆粒花生醬(1*12KG)</v>
      </c>
      <c r="D2492" s="292">
        <v>21</v>
      </c>
      <c r="E2492" s="141">
        <f>VLOOKUP(B2492,'112年全品項生產鍋數'!A:H,3,0)</f>
        <v>3</v>
      </c>
      <c r="F2492" s="142">
        <f>VLOOKUP(B2492,'112年全品項生產鍋數'!A:H,7,0)</f>
        <v>30.8</v>
      </c>
      <c r="G2492" s="143">
        <f t="shared" si="382"/>
        <v>646.80000000000007</v>
      </c>
      <c r="H2492" s="156">
        <v>648</v>
      </c>
      <c r="I2492" s="144">
        <f t="shared" si="383"/>
        <v>1944</v>
      </c>
      <c r="J2492" s="100">
        <f t="shared" si="384"/>
        <v>1.0018552875695732</v>
      </c>
      <c r="K2492" s="51">
        <f>VLOOKUP(B:B,'生產達成率(目標)'!A:C,3,0)</f>
        <v>1</v>
      </c>
      <c r="L2492" s="20">
        <f t="shared" si="385"/>
        <v>2E-3</v>
      </c>
      <c r="M2492" s="137" t="str">
        <f>工時!R1676</f>
        <v>510</v>
      </c>
      <c r="N2492" s="144"/>
      <c r="O2492" s="144">
        <f t="shared" si="386"/>
        <v>0</v>
      </c>
      <c r="P2492" s="156">
        <v>648</v>
      </c>
      <c r="Q2492" s="145">
        <f t="shared" si="387"/>
        <v>1</v>
      </c>
      <c r="R2492" s="144"/>
      <c r="S2492" s="153"/>
      <c r="T2492" s="140" t="s">
        <v>1153</v>
      </c>
      <c r="U2492" s="151"/>
      <c r="V2492" s="464"/>
      <c r="W2492" s="421"/>
      <c r="X2492" s="464"/>
      <c r="Y2492" s="421"/>
      <c r="Z2492" s="421"/>
      <c r="AA2492" s="421"/>
      <c r="AB2492" s="421"/>
      <c r="AC2492" s="421"/>
      <c r="AD2492" s="421"/>
    </row>
    <row r="2493" spans="1:30" s="146" customFormat="1" x14ac:dyDescent="0.4">
      <c r="A2493" s="212">
        <v>46031</v>
      </c>
      <c r="B2493" s="139" t="s">
        <v>65</v>
      </c>
      <c r="C2493" s="140" t="str">
        <f>VLOOKUP(B2493,'112年全品項生產鍋數'!A:H,2,0)</f>
        <v>＃1花生(1*2.8kg)</v>
      </c>
      <c r="D2493" s="292">
        <v>32</v>
      </c>
      <c r="E2493" s="141">
        <f>VLOOKUP(B2493,'112年全品項生產鍋數'!A:H,3,0)</f>
        <v>2.8</v>
      </c>
      <c r="F2493" s="142">
        <f>VLOOKUP(B2493,'112年全品項生產鍋數'!A:H,7,0)</f>
        <v>44.5</v>
      </c>
      <c r="G2493" s="143">
        <f>D2493*F2493-50*18/E2493</f>
        <v>1102.5714285714284</v>
      </c>
      <c r="H2493" s="156">
        <v>1116</v>
      </c>
      <c r="I2493" s="144">
        <f t="shared" si="383"/>
        <v>3124.7999999999997</v>
      </c>
      <c r="J2493" s="100">
        <f t="shared" si="384"/>
        <v>1.0121793210676342</v>
      </c>
      <c r="K2493" s="51">
        <f>VLOOKUP(B:B,'生產達成率(目標)'!A:C,3,0)</f>
        <v>1</v>
      </c>
      <c r="L2493" s="20">
        <f t="shared" si="385"/>
        <v>1.2E-2</v>
      </c>
      <c r="M2493" s="137" t="str">
        <f>工時!R1677</f>
        <v>300</v>
      </c>
      <c r="N2493" s="144"/>
      <c r="O2493" s="144">
        <f t="shared" si="386"/>
        <v>1</v>
      </c>
      <c r="P2493" s="156">
        <v>1115</v>
      </c>
      <c r="Q2493" s="145">
        <f t="shared" si="387"/>
        <v>0.99910394265232971</v>
      </c>
      <c r="R2493" s="23" t="s">
        <v>1233</v>
      </c>
      <c r="S2493" s="153">
        <v>56</v>
      </c>
      <c r="T2493" s="140" t="s">
        <v>1211</v>
      </c>
      <c r="U2493" s="151"/>
      <c r="V2493" s="464"/>
      <c r="W2493" s="421"/>
      <c r="X2493" s="464"/>
      <c r="Y2493" s="421"/>
      <c r="Z2493" s="421"/>
      <c r="AA2493" s="421"/>
      <c r="AB2493" s="421"/>
      <c r="AC2493" s="421"/>
      <c r="AD2493" s="421"/>
    </row>
    <row r="2494" spans="1:30" s="146" customFormat="1" x14ac:dyDescent="0.4">
      <c r="A2494" s="212">
        <v>46031</v>
      </c>
      <c r="B2494" s="139" t="s">
        <v>1208</v>
      </c>
      <c r="C2494" s="140" t="str">
        <f>VLOOKUP(B2494,'112年全品項生產鍋數'!A:H,2,0)</f>
        <v>＃1花生(粒)(1*2.8kg)</v>
      </c>
      <c r="D2494" s="292">
        <v>32</v>
      </c>
      <c r="E2494" s="141">
        <f>VLOOKUP(B2494,'112年全品項生產鍋數'!A:H,3,0)</f>
        <v>2.8</v>
      </c>
      <c r="F2494" s="142">
        <f>VLOOKUP(B2494,'112年全品項生產鍋數'!A:H,7,0)</f>
        <v>44.2</v>
      </c>
      <c r="G2494" s="143">
        <f>D2494*F2494-121*18/E2494</f>
        <v>636.5428571428572</v>
      </c>
      <c r="H2494" s="156">
        <v>650</v>
      </c>
      <c r="I2494" s="144">
        <f>H2494*E2494</f>
        <v>1819.9999999999998</v>
      </c>
      <c r="J2494" s="100">
        <f>IF(G2494=0,"無法預估數據",H2494/G2494)</f>
        <v>1.021140984783877</v>
      </c>
      <c r="K2494" s="51">
        <f>VLOOKUP(B:B,'生產達成率(目標)'!A:C,3,0)</f>
        <v>1</v>
      </c>
      <c r="L2494" s="20">
        <f>IF(G2494=0,"無法預估數據",ROUND(J2494-K2494,3))</f>
        <v>2.1000000000000001E-2</v>
      </c>
      <c r="M2494" s="137" t="str">
        <f>工時!R1678</f>
        <v>355</v>
      </c>
      <c r="N2494" s="144"/>
      <c r="O2494" s="144">
        <f>H2494-N2494-P2494</f>
        <v>1</v>
      </c>
      <c r="P2494" s="156">
        <v>649</v>
      </c>
      <c r="Q2494" s="145">
        <f>P2494/H2494</f>
        <v>0.99846153846153851</v>
      </c>
      <c r="R2494" s="23"/>
      <c r="S2494" s="153"/>
      <c r="T2494" s="140" t="s">
        <v>1210</v>
      </c>
      <c r="U2494" s="151"/>
      <c r="V2494" s="464"/>
      <c r="W2494" s="421"/>
      <c r="X2494" s="464"/>
      <c r="Y2494" s="421"/>
      <c r="Z2494" s="421"/>
      <c r="AA2494" s="421"/>
      <c r="AB2494" s="421"/>
      <c r="AC2494" s="421"/>
      <c r="AD2494" s="421"/>
    </row>
    <row r="2495" spans="1:30" s="146" customFormat="1" x14ac:dyDescent="0.4">
      <c r="A2495" s="212">
        <v>46031</v>
      </c>
      <c r="B2495" s="139">
        <v>111060</v>
      </c>
      <c r="C2495" s="140" t="str">
        <f>VLOOKUP(B2495,'112年全品項生產鍋數'!A:H,2,0)</f>
        <v>加糖檸檬皮</v>
      </c>
      <c r="D2495" s="292">
        <v>1</v>
      </c>
      <c r="E2495" s="141">
        <f>VLOOKUP(B2495,'112年全品項生產鍋數'!A:H,3,0)</f>
        <v>1</v>
      </c>
      <c r="F2495" s="142">
        <f>VLOOKUP(B2495,'112年全品項生產鍋數'!A:H,7,0)</f>
        <v>0</v>
      </c>
      <c r="G2495" s="143">
        <f t="shared" si="382"/>
        <v>0</v>
      </c>
      <c r="H2495" s="156">
        <v>495</v>
      </c>
      <c r="I2495" s="144">
        <f t="shared" si="383"/>
        <v>495</v>
      </c>
      <c r="J2495" s="100" t="str">
        <f t="shared" si="384"/>
        <v>無法預估數據</v>
      </c>
      <c r="K2495" s="51">
        <f>VLOOKUP(B:B,'生產達成率(目標)'!A:C,3,0)</f>
        <v>1</v>
      </c>
      <c r="L2495" s="20" t="str">
        <f t="shared" si="385"/>
        <v>無法預估數據</v>
      </c>
      <c r="M2495" s="137"/>
      <c r="N2495" s="144"/>
      <c r="O2495" s="144">
        <f t="shared" si="386"/>
        <v>0</v>
      </c>
      <c r="P2495" s="156">
        <v>495</v>
      </c>
      <c r="Q2495" s="145">
        <f t="shared" si="387"/>
        <v>1</v>
      </c>
      <c r="R2495" s="144"/>
      <c r="S2495" s="153"/>
      <c r="T2495" s="140" t="s">
        <v>1153</v>
      </c>
      <c r="U2495" s="151"/>
      <c r="V2495" s="464"/>
      <c r="W2495" s="421"/>
      <c r="X2495" s="464"/>
      <c r="Y2495" s="421"/>
      <c r="Z2495" s="421"/>
      <c r="AA2495" s="421"/>
      <c r="AB2495" s="421"/>
      <c r="AC2495" s="421"/>
      <c r="AD2495" s="421"/>
    </row>
    <row r="2496" spans="1:30" s="146" customFormat="1" x14ac:dyDescent="0.4">
      <c r="A2496" s="212">
        <v>46031</v>
      </c>
      <c r="B2496" s="139">
        <v>151010</v>
      </c>
      <c r="C2496" s="140" t="str">
        <f>VLOOKUP(B2496,'112年全品項生產鍋數'!A:H,2,0)</f>
        <v>蜜紅果6m/m</v>
      </c>
      <c r="D2496" s="292">
        <v>1</v>
      </c>
      <c r="E2496" s="141">
        <f>VLOOKUP(B2496,'112年全品項生產鍋數'!A:H,3,0)</f>
        <v>1</v>
      </c>
      <c r="F2496" s="142">
        <f>VLOOKUP(B2496,'112年全品項生產鍋數'!A:H,7,0)</f>
        <v>142</v>
      </c>
      <c r="G2496" s="143">
        <f t="shared" si="382"/>
        <v>142</v>
      </c>
      <c r="H2496" s="156">
        <v>159</v>
      </c>
      <c r="I2496" s="144">
        <f t="shared" si="383"/>
        <v>159</v>
      </c>
      <c r="J2496" s="100">
        <f t="shared" si="384"/>
        <v>1.119718309859155</v>
      </c>
      <c r="K2496" s="51">
        <f>VLOOKUP(B:B,'生產達成率(目標)'!A:C,3,0)</f>
        <v>1</v>
      </c>
      <c r="L2496" s="20">
        <f t="shared" si="385"/>
        <v>0.12</v>
      </c>
      <c r="M2496" s="137"/>
      <c r="N2496" s="144"/>
      <c r="O2496" s="144">
        <f t="shared" si="386"/>
        <v>0</v>
      </c>
      <c r="P2496" s="156">
        <v>159</v>
      </c>
      <c r="Q2496" s="145">
        <f t="shared" si="387"/>
        <v>1</v>
      </c>
      <c r="R2496" s="144"/>
      <c r="S2496" s="153"/>
      <c r="T2496" s="140" t="s">
        <v>1153</v>
      </c>
      <c r="U2496" s="151"/>
      <c r="V2496" s="464"/>
      <c r="W2496" s="421"/>
      <c r="X2496" s="464"/>
      <c r="Y2496" s="421"/>
      <c r="Z2496" s="421"/>
      <c r="AA2496" s="421"/>
      <c r="AB2496" s="421"/>
      <c r="AC2496" s="421"/>
      <c r="AD2496" s="421"/>
    </row>
    <row r="2497" spans="1:30" x14ac:dyDescent="0.4">
      <c r="A2497" s="212">
        <v>46034</v>
      </c>
      <c r="B2497" s="139" t="s">
        <v>547</v>
      </c>
      <c r="C2497" s="30" t="str">
        <f>VLOOKUP(B2497,'112年全品項生產鍋數'!A:H,2,0)</f>
        <v>草莓果醬(桶)(1*9.5KG)</v>
      </c>
      <c r="D2497" s="296">
        <v>24</v>
      </c>
      <c r="E2497" s="48">
        <f>VLOOKUP(B2497,'112年全品項生產鍋數'!A:H,3,0)</f>
        <v>9.5</v>
      </c>
      <c r="F2497" s="142">
        <f>VLOOKUP(B2497,'112年全品項生產鍋數'!A:H,7,0)</f>
        <v>16.600000000000001</v>
      </c>
      <c r="G2497" s="143">
        <f t="shared" si="382"/>
        <v>398.40000000000003</v>
      </c>
      <c r="H2497" s="156">
        <v>395</v>
      </c>
      <c r="I2497" s="23">
        <f t="shared" si="383"/>
        <v>3752.5</v>
      </c>
      <c r="J2497" s="100">
        <f t="shared" si="384"/>
        <v>0.99146586345381515</v>
      </c>
      <c r="K2497" s="51">
        <f>VLOOKUP(B:B,'生產達成率(目標)'!A:C,3,0)</f>
        <v>1</v>
      </c>
      <c r="L2497" s="20">
        <f t="shared" si="385"/>
        <v>-8.9999999999999993E-3</v>
      </c>
      <c r="M2497" s="137" t="str">
        <f>工時!R1683</f>
        <v>340</v>
      </c>
      <c r="N2497" s="144"/>
      <c r="O2497" s="144">
        <f t="shared" si="386"/>
        <v>0</v>
      </c>
      <c r="P2497" s="156">
        <v>395</v>
      </c>
      <c r="Q2497" s="98">
        <f t="shared" si="387"/>
        <v>1</v>
      </c>
      <c r="R2497" s="23"/>
      <c r="S2497" s="173"/>
      <c r="T2497" s="30" t="s">
        <v>1153</v>
      </c>
      <c r="U2497" s="264"/>
      <c r="V2497" s="463"/>
      <c r="X2497" s="463"/>
    </row>
    <row r="2498" spans="1:30" x14ac:dyDescent="0.4">
      <c r="A2498" s="212">
        <v>46034</v>
      </c>
      <c r="B2498" s="139" t="s">
        <v>115</v>
      </c>
      <c r="C2498" s="30" t="str">
        <f>VLOOKUP(B2498,'112年全品項生產鍋數'!A:H,2,0)</f>
        <v>天天開心藍莓餡4.5KG</v>
      </c>
      <c r="D2498" s="296">
        <v>12</v>
      </c>
      <c r="E2498" s="48">
        <f>VLOOKUP(B2498,'112年全品項生產鍋數'!A:H,3,0)</f>
        <v>4.5</v>
      </c>
      <c r="F2498" s="142">
        <f>VLOOKUP(B2498,'112年全品項生產鍋數'!A:H,7,0)</f>
        <v>36.799999999999997</v>
      </c>
      <c r="G2498" s="143">
        <f t="shared" si="382"/>
        <v>441.59999999999997</v>
      </c>
      <c r="H2498" s="156">
        <v>441</v>
      </c>
      <c r="I2498" s="23">
        <f t="shared" si="383"/>
        <v>1984.5</v>
      </c>
      <c r="J2498" s="100">
        <f t="shared" si="384"/>
        <v>0.99864130434782616</v>
      </c>
      <c r="K2498" s="51">
        <f>VLOOKUP(B:B,'生產達成率(目標)'!A:C,3,0)</f>
        <v>1</v>
      </c>
      <c r="L2498" s="20">
        <f t="shared" si="385"/>
        <v>-1E-3</v>
      </c>
      <c r="M2498" s="137" t="str">
        <f>工時!R1684</f>
        <v>210</v>
      </c>
      <c r="N2498" s="144"/>
      <c r="O2498" s="144">
        <f t="shared" si="386"/>
        <v>0</v>
      </c>
      <c r="P2498" s="156">
        <v>441</v>
      </c>
      <c r="Q2498" s="98">
        <f t="shared" si="387"/>
        <v>1</v>
      </c>
      <c r="R2498" s="23"/>
      <c r="S2498" s="173"/>
      <c r="T2498" s="30" t="s">
        <v>1153</v>
      </c>
      <c r="U2498" s="264"/>
      <c r="V2498" s="463"/>
      <c r="X2498" s="463"/>
    </row>
    <row r="2499" spans="1:30" x14ac:dyDescent="0.4">
      <c r="A2499" s="212">
        <v>46034</v>
      </c>
      <c r="B2499" s="139" t="s">
        <v>73</v>
      </c>
      <c r="C2499" s="30" t="str">
        <f>VLOOKUP(B2499,'112年全品項生產鍋數'!A:H,2,0)</f>
        <v>顆粒花生醬(1*12KG)</v>
      </c>
      <c r="D2499" s="296">
        <v>21</v>
      </c>
      <c r="E2499" s="48">
        <f>VLOOKUP(B2499,'112年全品項生產鍋數'!A:H,3,0)</f>
        <v>3</v>
      </c>
      <c r="F2499" s="142">
        <f>VLOOKUP(B2499,'112年全品項生產鍋數'!A:H,7,0)</f>
        <v>29.7</v>
      </c>
      <c r="G2499" s="143">
        <f t="shared" si="382"/>
        <v>623.69999999999993</v>
      </c>
      <c r="H2499" s="156">
        <v>628</v>
      </c>
      <c r="I2499" s="23">
        <f t="shared" si="383"/>
        <v>1884</v>
      </c>
      <c r="J2499" s="100">
        <f t="shared" si="384"/>
        <v>1.0068943402276738</v>
      </c>
      <c r="K2499" s="51">
        <f>VLOOKUP(B:B,'生產達成率(目標)'!A:C,3,0)</f>
        <v>1</v>
      </c>
      <c r="L2499" s="20">
        <f t="shared" si="385"/>
        <v>7.0000000000000001E-3</v>
      </c>
      <c r="M2499" s="137" t="str">
        <f>工時!R1685</f>
        <v>510</v>
      </c>
      <c r="N2499" s="144"/>
      <c r="O2499" s="144">
        <f t="shared" si="386"/>
        <v>0</v>
      </c>
      <c r="P2499" s="156">
        <v>628</v>
      </c>
      <c r="Q2499" s="98">
        <f t="shared" si="387"/>
        <v>1</v>
      </c>
      <c r="R2499" s="23"/>
      <c r="S2499" s="173"/>
      <c r="T2499" s="30" t="s">
        <v>1153</v>
      </c>
      <c r="U2499" s="264"/>
      <c r="V2499" s="463"/>
      <c r="X2499" s="463"/>
    </row>
    <row r="2500" spans="1:30" s="146" customFormat="1" x14ac:dyDescent="0.4">
      <c r="A2500" s="212">
        <v>46034</v>
      </c>
      <c r="B2500" s="139" t="s">
        <v>1212</v>
      </c>
      <c r="C2500" s="140" t="str">
        <f>VLOOKUP(B2500,'112年全品項生產鍋數'!A:H,2,0)</f>
        <v>PET瓶花生(1*340g)</v>
      </c>
      <c r="D2500" s="292">
        <v>4</v>
      </c>
      <c r="E2500" s="141">
        <f>VLOOKUP(B2500,'112年全品項生產鍋數'!A:H,3,0)</f>
        <v>0.34</v>
      </c>
      <c r="F2500" s="142">
        <f>VLOOKUP(B2500,'112年全品項生產鍋數'!A:H,7,0)</f>
        <v>358.3</v>
      </c>
      <c r="G2500" s="143">
        <f t="shared" si="382"/>
        <v>1433.2</v>
      </c>
      <c r="H2500" s="156">
        <v>1213</v>
      </c>
      <c r="I2500" s="144">
        <f t="shared" si="383"/>
        <v>412.42</v>
      </c>
      <c r="J2500" s="100">
        <f t="shared" si="384"/>
        <v>0.84635780072564892</v>
      </c>
      <c r="K2500" s="51" t="e">
        <f>VLOOKUP(B:B,'生產達成率(目標)'!A:C,3,0)</f>
        <v>#N/A</v>
      </c>
      <c r="L2500" s="20" t="e">
        <f t="shared" si="385"/>
        <v>#N/A</v>
      </c>
      <c r="M2500" s="137" t="str">
        <f>工時!R1686</f>
        <v>90</v>
      </c>
      <c r="N2500" s="144"/>
      <c r="O2500" s="144">
        <f t="shared" si="386"/>
        <v>3</v>
      </c>
      <c r="P2500" s="156">
        <v>1210</v>
      </c>
      <c r="Q2500" s="145">
        <f t="shared" si="387"/>
        <v>0.99752679307502057</v>
      </c>
      <c r="R2500" s="23" t="s">
        <v>1238</v>
      </c>
      <c r="S2500" s="153"/>
      <c r="T2500" s="140" t="s">
        <v>1213</v>
      </c>
      <c r="U2500" s="151"/>
      <c r="V2500" s="464"/>
      <c r="W2500" s="421"/>
      <c r="X2500" s="464"/>
      <c r="Y2500" s="421"/>
      <c r="Z2500" s="421"/>
      <c r="AA2500" s="421"/>
      <c r="AB2500" s="421"/>
      <c r="AC2500" s="421"/>
      <c r="AD2500" s="421"/>
    </row>
    <row r="2501" spans="1:30" x14ac:dyDescent="0.4">
      <c r="A2501" s="212">
        <v>46034</v>
      </c>
      <c r="B2501" s="139" t="s">
        <v>96</v>
      </c>
      <c r="C2501" s="30" t="str">
        <f>VLOOKUP(B2501,'112年全品項生產鍋數'!A:H,2,0)</f>
        <v>PET瓶花生(1*340g)</v>
      </c>
      <c r="D2501" s="296">
        <v>16</v>
      </c>
      <c r="E2501" s="48">
        <f>VLOOKUP(B2501,'112年全品項生產鍋數'!A:H,3,0)</f>
        <v>0.34</v>
      </c>
      <c r="F2501" s="142">
        <f>VLOOKUP(B2501,'112年全品項生產鍋數'!A:H,7,0)</f>
        <v>358.3</v>
      </c>
      <c r="G2501" s="143">
        <f t="shared" si="382"/>
        <v>5732.8</v>
      </c>
      <c r="H2501" s="156">
        <f>3531+2402</f>
        <v>5933</v>
      </c>
      <c r="I2501" s="23">
        <f t="shared" si="383"/>
        <v>2017.2200000000003</v>
      </c>
      <c r="J2501" s="100">
        <f t="shared" si="384"/>
        <v>1.0349218531956461</v>
      </c>
      <c r="K2501" s="51">
        <f>VLOOKUP(B:B,'生產達成率(目標)'!A:C,3,0)</f>
        <v>1</v>
      </c>
      <c r="L2501" s="20">
        <f t="shared" si="385"/>
        <v>3.5000000000000003E-2</v>
      </c>
      <c r="M2501" s="137" t="str">
        <f>工時!R1687</f>
        <v>260</v>
      </c>
      <c r="N2501" s="144"/>
      <c r="O2501" s="144">
        <f t="shared" si="386"/>
        <v>5</v>
      </c>
      <c r="P2501" s="156">
        <f>3528+2400</f>
        <v>5928</v>
      </c>
      <c r="Q2501" s="98">
        <f t="shared" si="387"/>
        <v>0.99915725602561944</v>
      </c>
      <c r="R2501" s="23"/>
      <c r="S2501" s="173"/>
      <c r="T2501" s="30" t="s">
        <v>1214</v>
      </c>
      <c r="U2501" s="264"/>
      <c r="V2501" s="463"/>
      <c r="X2501" s="463"/>
    </row>
    <row r="2502" spans="1:30" s="146" customFormat="1" x14ac:dyDescent="0.4">
      <c r="A2502" s="212">
        <v>46034</v>
      </c>
      <c r="B2502" s="139" t="s">
        <v>83</v>
      </c>
      <c r="C2502" s="140" t="str">
        <f>VLOOKUP(B2502,'112年全品項生產鍋數'!A:H,2,0)</f>
        <v>PET瓶花生(粒)(1*340g)</v>
      </c>
      <c r="D2502" s="292">
        <v>20</v>
      </c>
      <c r="E2502" s="141">
        <f>VLOOKUP(B2502,'112年全品項生產鍋數'!A:H,3,0)</f>
        <v>0.34</v>
      </c>
      <c r="F2502" s="142">
        <f>VLOOKUP(B2502,'112年全品項生產鍋數'!A:H,7,0)</f>
        <v>366</v>
      </c>
      <c r="G2502" s="143">
        <f t="shared" si="382"/>
        <v>7320</v>
      </c>
      <c r="H2502" s="156">
        <f>2402+4929</f>
        <v>7331</v>
      </c>
      <c r="I2502" s="144">
        <f t="shared" si="383"/>
        <v>2492.54</v>
      </c>
      <c r="J2502" s="100">
        <f t="shared" si="384"/>
        <v>1.0015027322404371</v>
      </c>
      <c r="K2502" s="51">
        <f>VLOOKUP(B:B,'生產達成率(目標)'!A:C,3,0)</f>
        <v>1</v>
      </c>
      <c r="L2502" s="20">
        <f t="shared" si="385"/>
        <v>2E-3</v>
      </c>
      <c r="M2502" s="137" t="str">
        <f>工時!R1688</f>
        <v>400</v>
      </c>
      <c r="N2502" s="144"/>
      <c r="O2502" s="144">
        <f t="shared" si="386"/>
        <v>5</v>
      </c>
      <c r="P2502" s="156">
        <f>2400+4926</f>
        <v>7326</v>
      </c>
      <c r="Q2502" s="145">
        <f t="shared" si="387"/>
        <v>0.99931796480698409</v>
      </c>
      <c r="R2502" s="144"/>
      <c r="S2502" s="153"/>
      <c r="T2502" s="140" t="s">
        <v>1215</v>
      </c>
      <c r="U2502" s="151"/>
      <c r="V2502" s="464"/>
      <c r="W2502" s="421"/>
      <c r="X2502" s="464"/>
      <c r="Y2502" s="421"/>
      <c r="Z2502" s="421"/>
      <c r="AA2502" s="421"/>
      <c r="AB2502" s="421"/>
      <c r="AC2502" s="421"/>
      <c r="AD2502" s="421"/>
    </row>
    <row r="2503" spans="1:30" s="146" customFormat="1" x14ac:dyDescent="0.4">
      <c r="A2503" s="212">
        <v>46034</v>
      </c>
      <c r="B2503" s="139">
        <v>153010</v>
      </c>
      <c r="C2503" s="140" t="str">
        <f>VLOOKUP(B2503,'112年全品項生產鍋數'!A:H,2,0)</f>
        <v>蜜桔皮6m/m</v>
      </c>
      <c r="D2503" s="292">
        <v>1</v>
      </c>
      <c r="E2503" s="141">
        <f>VLOOKUP(B2503,'112年全品項生產鍋數'!A:H,3,0)</f>
        <v>1</v>
      </c>
      <c r="F2503" s="142">
        <f>VLOOKUP(B2503,'112年全品項生產鍋數'!A:H,7,0)</f>
        <v>591</v>
      </c>
      <c r="G2503" s="143">
        <f t="shared" si="382"/>
        <v>591</v>
      </c>
      <c r="H2503" s="156">
        <v>504</v>
      </c>
      <c r="I2503" s="144">
        <f t="shared" si="383"/>
        <v>504</v>
      </c>
      <c r="J2503" s="100">
        <f t="shared" si="384"/>
        <v>0.85279187817258884</v>
      </c>
      <c r="K2503" s="51">
        <f>VLOOKUP(B:B,'生產達成率(目標)'!A:C,3,0)</f>
        <v>1</v>
      </c>
      <c r="L2503" s="20">
        <f t="shared" si="385"/>
        <v>-0.14699999999999999</v>
      </c>
      <c r="M2503" s="137" t="str">
        <f>工時!R1689</f>
        <v>0</v>
      </c>
      <c r="N2503" s="144"/>
      <c r="O2503" s="144">
        <f t="shared" si="386"/>
        <v>0</v>
      </c>
      <c r="P2503" s="156">
        <v>504</v>
      </c>
      <c r="Q2503" s="145">
        <f t="shared" si="387"/>
        <v>1</v>
      </c>
      <c r="R2503" s="144"/>
      <c r="S2503" s="153"/>
      <c r="T2503" s="140" t="s">
        <v>1169</v>
      </c>
      <c r="U2503" s="151"/>
      <c r="V2503" s="464"/>
      <c r="W2503" s="421"/>
      <c r="X2503" s="464"/>
      <c r="Y2503" s="421"/>
      <c r="Z2503" s="421"/>
      <c r="AA2503" s="421"/>
      <c r="AB2503" s="421"/>
      <c r="AC2503" s="421"/>
      <c r="AD2503" s="421"/>
    </row>
    <row r="2504" spans="1:30" x14ac:dyDescent="0.4">
      <c r="A2504" s="212">
        <v>46035</v>
      </c>
      <c r="B2504" s="139" t="s">
        <v>68</v>
      </c>
      <c r="C2504" s="30" t="str">
        <f>VLOOKUP(B2504,'112年全品項生產鍋數'!A:H,2,0)</f>
        <v>#2草莓果醬(1*900g)</v>
      </c>
      <c r="D2504" s="296">
        <v>20</v>
      </c>
      <c r="E2504" s="48">
        <f>VLOOKUP(B2504,'112年全品項生產鍋數'!A:H,3,0)</f>
        <v>0.9</v>
      </c>
      <c r="F2504" s="142">
        <f>VLOOKUP(B2504,'112年全品項生產鍋數'!A:H,7,0)</f>
        <v>160.5</v>
      </c>
      <c r="G2504" s="143">
        <f t="shared" si="382"/>
        <v>3210</v>
      </c>
      <c r="H2504" s="156">
        <v>3228</v>
      </c>
      <c r="I2504" s="23">
        <f t="shared" si="383"/>
        <v>2905.2000000000003</v>
      </c>
      <c r="J2504" s="100">
        <f t="shared" si="384"/>
        <v>1.0056074766355141</v>
      </c>
      <c r="K2504" s="51">
        <f>VLOOKUP(B:B,'生產達成率(目標)'!A:C,3,0)</f>
        <v>1</v>
      </c>
      <c r="L2504" s="20">
        <f t="shared" si="385"/>
        <v>6.0000000000000001E-3</v>
      </c>
      <c r="M2504" s="137" t="str">
        <f>工時!R1690</f>
        <v>300</v>
      </c>
      <c r="N2504" s="144"/>
      <c r="O2504" s="144">
        <f t="shared" si="386"/>
        <v>2</v>
      </c>
      <c r="P2504" s="156">
        <v>3226</v>
      </c>
      <c r="Q2504" s="98">
        <f t="shared" si="387"/>
        <v>0.99938042131350679</v>
      </c>
      <c r="R2504" s="23"/>
      <c r="S2504" s="173"/>
      <c r="T2504" s="30" t="s">
        <v>1153</v>
      </c>
      <c r="U2504" s="264"/>
      <c r="V2504" s="463"/>
      <c r="X2504" s="463"/>
    </row>
    <row r="2505" spans="1:30" x14ac:dyDescent="0.4">
      <c r="A2505" s="212">
        <v>46035</v>
      </c>
      <c r="B2505" s="139" t="s">
        <v>71</v>
      </c>
      <c r="C2505" s="30" t="str">
        <f>VLOOKUP(B2505,'112年全品項生產鍋數'!A:H,2,0)</f>
        <v>＃1草莓(1*3.2kg)</v>
      </c>
      <c r="D2505" s="296">
        <v>36</v>
      </c>
      <c r="E2505" s="48">
        <f>VLOOKUP(B2505,'112年全品項生產鍋數'!A:H,3,0)</f>
        <v>3.2</v>
      </c>
      <c r="F2505" s="142">
        <f>VLOOKUP(B2505,'112年全品項生產鍋數'!A:H,7,0)</f>
        <v>46.8</v>
      </c>
      <c r="G2505" s="143">
        <f t="shared" ref="G2505:G2556" si="388">D2505*F2505</f>
        <v>1684.8</v>
      </c>
      <c r="H2505" s="156">
        <v>1683</v>
      </c>
      <c r="I2505" s="23">
        <f t="shared" si="383"/>
        <v>5385.6</v>
      </c>
      <c r="J2505" s="100">
        <f t="shared" si="384"/>
        <v>0.99893162393162394</v>
      </c>
      <c r="K2505" s="51">
        <f>VLOOKUP(B:B,'生產達成率(目標)'!A:C,3,0)</f>
        <v>1</v>
      </c>
      <c r="L2505" s="20">
        <f t="shared" si="385"/>
        <v>-1E-3</v>
      </c>
      <c r="M2505" s="137" t="str">
        <f>工時!R1691</f>
        <v>330</v>
      </c>
      <c r="N2505" s="144"/>
      <c r="O2505" s="144">
        <f t="shared" si="386"/>
        <v>3</v>
      </c>
      <c r="P2505" s="156">
        <v>1680</v>
      </c>
      <c r="Q2505" s="98">
        <f t="shared" si="387"/>
        <v>0.99821746880570406</v>
      </c>
      <c r="R2505" s="23"/>
      <c r="S2505" s="173"/>
      <c r="T2505" s="30" t="s">
        <v>1153</v>
      </c>
      <c r="U2505" s="264"/>
      <c r="V2505" s="463"/>
      <c r="X2505" s="463"/>
    </row>
    <row r="2506" spans="1:30" x14ac:dyDescent="0.4">
      <c r="A2506" s="212">
        <v>46035</v>
      </c>
      <c r="B2506" s="139" t="s">
        <v>55</v>
      </c>
      <c r="C2506" s="30" t="str">
        <f>VLOOKUP(B2506,'112年全品項生產鍋數'!A:H,2,0)</f>
        <v>天天開心草莓餡4.5KG</v>
      </c>
      <c r="D2506" s="296">
        <v>36</v>
      </c>
      <c r="E2506" s="48">
        <f>VLOOKUP(B2506,'112年全品項生產鍋數'!A:H,3,0)</f>
        <v>4.5</v>
      </c>
      <c r="F2506" s="142">
        <f>VLOOKUP(B2506,'112年全品項生產鍋數'!A:H,7,0)</f>
        <v>36.299999999999997</v>
      </c>
      <c r="G2506" s="143">
        <f t="shared" si="388"/>
        <v>1306.8</v>
      </c>
      <c r="H2506" s="156">
        <v>1301</v>
      </c>
      <c r="I2506" s="23">
        <f t="shared" si="383"/>
        <v>5854.5</v>
      </c>
      <c r="J2506" s="100">
        <f t="shared" si="384"/>
        <v>0.99556167737985923</v>
      </c>
      <c r="K2506" s="51">
        <f>VLOOKUP(B:B,'生產達成率(目標)'!A:C,3,0)</f>
        <v>1</v>
      </c>
      <c r="L2506" s="20">
        <f t="shared" si="385"/>
        <v>-4.0000000000000001E-3</v>
      </c>
      <c r="M2506" s="137" t="str">
        <f>工時!R1692</f>
        <v>450</v>
      </c>
      <c r="N2506" s="144"/>
      <c r="O2506" s="144">
        <f t="shared" si="386"/>
        <v>0</v>
      </c>
      <c r="P2506" s="156">
        <v>1301</v>
      </c>
      <c r="Q2506" s="98">
        <f t="shared" si="387"/>
        <v>1</v>
      </c>
      <c r="R2506" s="23"/>
      <c r="S2506" s="173"/>
      <c r="T2506" s="30"/>
      <c r="U2506" s="264"/>
      <c r="V2506" s="463"/>
      <c r="X2506" s="463"/>
    </row>
    <row r="2507" spans="1:30" ht="15.75" customHeight="1" x14ac:dyDescent="0.4">
      <c r="A2507" s="212">
        <v>46035</v>
      </c>
      <c r="B2507" s="139" t="s">
        <v>101</v>
      </c>
      <c r="C2507" s="30" t="str">
        <f>VLOOKUP(B2507,'112年全品項生產鍋數'!A:H,2,0)</f>
        <v>上好佳綜合莓餡4.5KG</v>
      </c>
      <c r="D2507" s="296">
        <v>3</v>
      </c>
      <c r="E2507" s="48">
        <f>VLOOKUP(B2507,'112年全品項生產鍋數'!A:H,3,0)</f>
        <v>4.5</v>
      </c>
      <c r="F2507" s="142">
        <f>VLOOKUP(B2507,'112年全品項生產鍋數'!A:H,7,0)</f>
        <v>32.799999999999997</v>
      </c>
      <c r="G2507" s="143">
        <f t="shared" si="388"/>
        <v>98.399999999999991</v>
      </c>
      <c r="H2507" s="156">
        <v>100</v>
      </c>
      <c r="I2507" s="23">
        <f t="shared" si="383"/>
        <v>450</v>
      </c>
      <c r="J2507" s="100">
        <f t="shared" si="384"/>
        <v>1.0162601626016261</v>
      </c>
      <c r="K2507" s="51">
        <f>VLOOKUP(B:B,'生產達成率(目標)'!A:C,3,0)</f>
        <v>1</v>
      </c>
      <c r="L2507" s="20">
        <f t="shared" si="385"/>
        <v>1.6E-2</v>
      </c>
      <c r="M2507" s="137" t="str">
        <f>工時!R1693</f>
        <v>145</v>
      </c>
      <c r="N2507" s="144"/>
      <c r="O2507" s="144">
        <f t="shared" si="386"/>
        <v>0</v>
      </c>
      <c r="P2507" s="156">
        <v>100</v>
      </c>
      <c r="Q2507" s="98">
        <f t="shared" si="387"/>
        <v>1</v>
      </c>
      <c r="R2507" s="23"/>
      <c r="S2507" s="173"/>
      <c r="T2507" s="30" t="s">
        <v>1153</v>
      </c>
      <c r="U2507" s="264"/>
      <c r="V2507" s="463"/>
      <c r="X2507" s="463"/>
    </row>
    <row r="2508" spans="1:30" x14ac:dyDescent="0.4">
      <c r="A2508" s="212">
        <v>46035</v>
      </c>
      <c r="B2508" s="139" t="s">
        <v>65</v>
      </c>
      <c r="C2508" s="30" t="str">
        <f>VLOOKUP(B2508,'112年全品項生產鍋數'!A:H,2,0)</f>
        <v>＃1花生(1*2.8kg)</v>
      </c>
      <c r="D2508" s="296">
        <v>72</v>
      </c>
      <c r="E2508" s="48">
        <f>VLOOKUP(B2508,'112年全品項生產鍋數'!A:H,3,0)</f>
        <v>2.8</v>
      </c>
      <c r="F2508" s="142">
        <f>VLOOKUP(B2508,'112年全品項生產鍋數'!A:H,7,0)</f>
        <v>44.5</v>
      </c>
      <c r="G2508" s="143">
        <f t="shared" si="388"/>
        <v>3204</v>
      </c>
      <c r="H2508" s="156">
        <v>3272</v>
      </c>
      <c r="I2508" s="23">
        <f t="shared" si="383"/>
        <v>9161.5999999999985</v>
      </c>
      <c r="J2508" s="100">
        <f t="shared" si="384"/>
        <v>1.021223470661673</v>
      </c>
      <c r="K2508" s="51">
        <f>VLOOKUP(B:B,'生產達成率(目標)'!A:C,3,0)</f>
        <v>1</v>
      </c>
      <c r="L2508" s="20">
        <f t="shared" si="385"/>
        <v>2.1000000000000001E-2</v>
      </c>
      <c r="M2508" s="137" t="str">
        <f>工時!R1694</f>
        <v>550</v>
      </c>
      <c r="N2508" s="144"/>
      <c r="O2508" s="144">
        <f t="shared" si="386"/>
        <v>1</v>
      </c>
      <c r="P2508" s="156">
        <v>3271</v>
      </c>
      <c r="Q2508" s="98">
        <f t="shared" si="387"/>
        <v>0.99969437652811732</v>
      </c>
      <c r="R2508" s="23" t="s">
        <v>1233</v>
      </c>
      <c r="S2508" s="173">
        <v>49</v>
      </c>
      <c r="T2508" s="30"/>
      <c r="U2508" s="264"/>
      <c r="V2508" s="463"/>
      <c r="X2508" s="463"/>
    </row>
    <row r="2509" spans="1:30" x14ac:dyDescent="0.4">
      <c r="A2509" s="212">
        <v>46035</v>
      </c>
      <c r="B2509" s="139" t="s">
        <v>500</v>
      </c>
      <c r="C2509" s="30" t="str">
        <f>VLOOKUP(B2509,'112年全品項生產鍋數'!A:H,2,0)</f>
        <v>蜜餞水果(1*1kg)</v>
      </c>
      <c r="D2509" s="296">
        <v>30</v>
      </c>
      <c r="E2509" s="48">
        <f>VLOOKUP(B2509,'112年全品項生產鍋數'!A:H,3,0)</f>
        <v>1</v>
      </c>
      <c r="F2509" s="142">
        <f>VLOOKUP(B2509,'112年全品項生產鍋數'!A:H,7,0)</f>
        <v>5.7</v>
      </c>
      <c r="G2509" s="143">
        <f>D2509*F2509</f>
        <v>171</v>
      </c>
      <c r="H2509" s="156">
        <v>152</v>
      </c>
      <c r="I2509" s="23">
        <f>H2509*E2509</f>
        <v>152</v>
      </c>
      <c r="J2509" s="100">
        <f>IF(G2509=0,"無法預估數據",H2509/G2509)</f>
        <v>0.88888888888888884</v>
      </c>
      <c r="K2509" s="51">
        <f>VLOOKUP(B:B,'生產達成率(目標)'!A:C,3,0)</f>
        <v>1</v>
      </c>
      <c r="L2509" s="20">
        <f>IF(G2509=0,"無法預估數據",ROUND(J2509-K2509,3))</f>
        <v>-0.111</v>
      </c>
      <c r="M2509" s="137" t="str">
        <f>工時!R1695</f>
        <v>0</v>
      </c>
      <c r="N2509" s="144"/>
      <c r="O2509" s="144">
        <f>H2509-N2509-P2509</f>
        <v>0</v>
      </c>
      <c r="P2509" s="156">
        <v>152</v>
      </c>
      <c r="Q2509" s="98">
        <f>P2509/H2509</f>
        <v>1</v>
      </c>
      <c r="R2509" s="23"/>
      <c r="S2509" s="173"/>
      <c r="T2509" s="30"/>
      <c r="U2509" s="264"/>
      <c r="V2509" s="463"/>
      <c r="X2509" s="463"/>
    </row>
    <row r="2510" spans="1:30" s="146" customFormat="1" x14ac:dyDescent="0.4">
      <c r="A2510" s="212">
        <v>46036</v>
      </c>
      <c r="B2510" s="139" t="s">
        <v>106</v>
      </c>
      <c r="C2510" s="140" t="str">
        <f>VLOOKUP(B2510,'112年全品項生產鍋數'!A:H,2,0)</f>
        <v>小藍莓1*260G</v>
      </c>
      <c r="D2510" s="292">
        <v>16</v>
      </c>
      <c r="E2510" s="141">
        <f>VLOOKUP(B2510,'112年全品項生產鍋數'!A:H,3,0)</f>
        <v>0.26</v>
      </c>
      <c r="F2510" s="142">
        <f>VLOOKUP(B2510,'112年全品項生產鍋數'!A:H,7,0)</f>
        <v>584.29999999999995</v>
      </c>
      <c r="G2510" s="143">
        <f t="shared" si="388"/>
        <v>9348.7999999999993</v>
      </c>
      <c r="H2510" s="156">
        <v>9536</v>
      </c>
      <c r="I2510" s="144">
        <f t="shared" ref="I2510:I2562" si="389">H2510*E2510</f>
        <v>2479.36</v>
      </c>
      <c r="J2510" s="100">
        <f t="shared" ref="J2510:J2562" si="390">IF(G2510=0,"無法預估數據",H2510/G2510)</f>
        <v>1.0200239602943695</v>
      </c>
      <c r="K2510" s="51">
        <f>VLOOKUP(B:B,'生產達成率(目標)'!A:C,3,0)</f>
        <v>1</v>
      </c>
      <c r="L2510" s="20">
        <f t="shared" ref="L2510:L2562" si="391">IF(G2510=0,"無法預估數據",ROUND(J2510-K2510,3))</f>
        <v>0.02</v>
      </c>
      <c r="M2510" s="137" t="str">
        <f>工時!R1696</f>
        <v>330</v>
      </c>
      <c r="N2510" s="144"/>
      <c r="O2510" s="144">
        <f t="shared" ref="O2510:O2562" si="392">H2510-N2510-P2510</f>
        <v>16</v>
      </c>
      <c r="P2510" s="156">
        <v>9520</v>
      </c>
      <c r="Q2510" s="145">
        <f t="shared" ref="Q2510:Q2562" si="393">P2510/H2510</f>
        <v>0.99832214765100669</v>
      </c>
      <c r="R2510" s="144"/>
      <c r="S2510" s="153"/>
      <c r="T2510" s="140" t="s">
        <v>1004</v>
      </c>
      <c r="U2510" s="151"/>
      <c r="V2510" s="464"/>
      <c r="W2510" s="421"/>
      <c r="X2510" s="464"/>
      <c r="Y2510" s="421"/>
      <c r="Z2510" s="421"/>
      <c r="AA2510" s="421"/>
      <c r="AB2510" s="421"/>
      <c r="AC2510" s="421"/>
      <c r="AD2510" s="421"/>
    </row>
    <row r="2511" spans="1:30" x14ac:dyDescent="0.4">
      <c r="A2511" s="212">
        <v>46036</v>
      </c>
      <c r="B2511" s="139" t="s">
        <v>114</v>
      </c>
      <c r="C2511" s="30" t="str">
        <f>VLOOKUP(B2511,'112年全品項生產鍋數'!A:H,2,0)</f>
        <v>開心草莓果醬(1*430g)</v>
      </c>
      <c r="D2511" s="296">
        <v>15</v>
      </c>
      <c r="E2511" s="48">
        <f>VLOOKUP(B2511,'112年全品項生產鍋數'!A:H,3,0)</f>
        <v>0.43</v>
      </c>
      <c r="F2511" s="142">
        <f>VLOOKUP(B2511,'112年全品項生產鍋數'!A:H,7,0)</f>
        <v>364</v>
      </c>
      <c r="G2511" s="143">
        <f t="shared" si="388"/>
        <v>5460</v>
      </c>
      <c r="H2511" s="156">
        <v>5679</v>
      </c>
      <c r="I2511" s="23">
        <f t="shared" si="389"/>
        <v>2441.9699999999998</v>
      </c>
      <c r="J2511" s="100">
        <f t="shared" si="390"/>
        <v>1.0401098901098902</v>
      </c>
      <c r="K2511" s="51">
        <f>VLOOKUP(B:B,'生產達成率(目標)'!A:C,3,0)</f>
        <v>1</v>
      </c>
      <c r="L2511" s="20">
        <f t="shared" si="391"/>
        <v>0.04</v>
      </c>
      <c r="M2511" s="137" t="str">
        <f>工時!R1697</f>
        <v>300</v>
      </c>
      <c r="N2511" s="144"/>
      <c r="O2511" s="144">
        <f t="shared" si="392"/>
        <v>14</v>
      </c>
      <c r="P2511" s="156">
        <v>5665</v>
      </c>
      <c r="Q2511" s="98">
        <f t="shared" si="393"/>
        <v>0.99753477724951578</v>
      </c>
      <c r="R2511" s="23"/>
      <c r="S2511" s="173"/>
      <c r="T2511" s="30"/>
      <c r="U2511" s="264"/>
      <c r="V2511" s="463"/>
      <c r="X2511" s="463"/>
    </row>
    <row r="2512" spans="1:30" x14ac:dyDescent="0.4">
      <c r="A2512" s="212">
        <v>46036</v>
      </c>
      <c r="B2512" s="139" t="s">
        <v>63</v>
      </c>
      <c r="C2512" s="30" t="str">
        <f>VLOOKUP(B2512,'112年全品項生產鍋數'!A:H,2,0)</f>
        <v>草莓蒟蒻餡(1*6kg)</v>
      </c>
      <c r="D2512" s="296">
        <v>20</v>
      </c>
      <c r="E2512" s="48">
        <f>VLOOKUP(B2512,'112年全品項生產鍋數'!A:H,3,0)</f>
        <v>6</v>
      </c>
      <c r="F2512" s="142">
        <f>VLOOKUP(B2512,'112年全品項生產鍋數'!A:H,7,0)</f>
        <v>25.7</v>
      </c>
      <c r="G2512" s="143">
        <f t="shared" si="388"/>
        <v>514</v>
      </c>
      <c r="H2512" s="156">
        <f>343+233</f>
        <v>576</v>
      </c>
      <c r="I2512" s="23">
        <f t="shared" si="389"/>
        <v>3456</v>
      </c>
      <c r="J2512" s="100">
        <f t="shared" si="390"/>
        <v>1.1206225680933852</v>
      </c>
      <c r="K2512" s="51">
        <f>VLOOKUP(B:B,'生產達成率(目標)'!A:C,3,0)</f>
        <v>1</v>
      </c>
      <c r="L2512" s="20">
        <f t="shared" si="391"/>
        <v>0.121</v>
      </c>
      <c r="M2512" s="137" t="str">
        <f>工時!R1698</f>
        <v>270</v>
      </c>
      <c r="N2512" s="144"/>
      <c r="O2512" s="144">
        <f t="shared" si="392"/>
        <v>1</v>
      </c>
      <c r="P2512" s="156">
        <f>342+233</f>
        <v>575</v>
      </c>
      <c r="Q2512" s="98">
        <f t="shared" si="393"/>
        <v>0.99826388888888884</v>
      </c>
      <c r="R2512" s="23"/>
      <c r="S2512" s="173"/>
      <c r="T2512" s="30"/>
      <c r="U2512" s="264"/>
      <c r="V2512" s="463"/>
      <c r="X2512" s="463"/>
    </row>
    <row r="2513" spans="1:30" x14ac:dyDescent="0.4">
      <c r="A2513" s="212">
        <v>46036</v>
      </c>
      <c r="B2513" s="139" t="s">
        <v>88</v>
      </c>
      <c r="C2513" s="30" t="str">
        <f>VLOOKUP(B2513,'112年全品項生產鍋數'!A:H,2,0)</f>
        <v>草莓餡(1*6KG)</v>
      </c>
      <c r="D2513" s="296">
        <v>16</v>
      </c>
      <c r="E2513" s="48">
        <f>VLOOKUP(B2513,'112年全品項生產鍋數'!A:H,3,0)</f>
        <v>6</v>
      </c>
      <c r="F2513" s="142">
        <f>VLOOKUP(B2513,'112年全品項生產鍋數'!A:H,7,0)</f>
        <v>25.5</v>
      </c>
      <c r="G2513" s="143">
        <f t="shared" si="388"/>
        <v>408</v>
      </c>
      <c r="H2513" s="156">
        <v>412</v>
      </c>
      <c r="I2513" s="23">
        <f t="shared" si="389"/>
        <v>2472</v>
      </c>
      <c r="J2513" s="100">
        <f t="shared" si="390"/>
        <v>1.0098039215686274</v>
      </c>
      <c r="K2513" s="51">
        <f>VLOOKUP(B:B,'生產達成率(目標)'!A:C,3,0)</f>
        <v>1</v>
      </c>
      <c r="L2513" s="20">
        <f t="shared" si="391"/>
        <v>0.01</v>
      </c>
      <c r="M2513" s="137" t="str">
        <f>工時!R1699</f>
        <v>222</v>
      </c>
      <c r="N2513" s="144"/>
      <c r="O2513" s="144">
        <f t="shared" si="392"/>
        <v>2</v>
      </c>
      <c r="P2513" s="156">
        <v>410</v>
      </c>
      <c r="Q2513" s="98">
        <f t="shared" si="393"/>
        <v>0.99514563106796117</v>
      </c>
      <c r="R2513" s="23"/>
      <c r="S2513" s="173"/>
      <c r="T2513" s="30"/>
      <c r="U2513" s="264"/>
      <c r="V2513" s="463"/>
      <c r="X2513" s="463"/>
    </row>
    <row r="2514" spans="1:30" x14ac:dyDescent="0.4">
      <c r="A2514" s="212">
        <v>46036</v>
      </c>
      <c r="B2514" s="139" t="s">
        <v>76</v>
      </c>
      <c r="C2514" s="30" t="str">
        <f>VLOOKUP(B2514,'112年全品項生產鍋數'!A:H,2,0)</f>
        <v>草莓餡(1*6Kg)</v>
      </c>
      <c r="D2514" s="296">
        <v>8</v>
      </c>
      <c r="E2514" s="48">
        <f>VLOOKUP(B2514,'112年全品項生產鍋數'!A:H,3,0)</f>
        <v>6</v>
      </c>
      <c r="F2514" s="142">
        <f>VLOOKUP(B2514,'112年全品項生產鍋數'!A:H,7,0)</f>
        <v>25.5</v>
      </c>
      <c r="G2514" s="143">
        <f t="shared" si="388"/>
        <v>204</v>
      </c>
      <c r="H2514" s="156">
        <v>199</v>
      </c>
      <c r="I2514" s="23">
        <f t="shared" si="389"/>
        <v>1194</v>
      </c>
      <c r="J2514" s="100">
        <f t="shared" si="390"/>
        <v>0.97549019607843135</v>
      </c>
      <c r="K2514" s="51">
        <f>VLOOKUP(B:B,'生產達成率(目標)'!A:C,3,0)</f>
        <v>1</v>
      </c>
      <c r="L2514" s="20">
        <f t="shared" si="391"/>
        <v>-2.5000000000000001E-2</v>
      </c>
      <c r="M2514" s="137" t="str">
        <f>工時!R1700</f>
        <v>150</v>
      </c>
      <c r="N2514" s="144"/>
      <c r="O2514" s="144">
        <f t="shared" si="392"/>
        <v>2</v>
      </c>
      <c r="P2514" s="156">
        <v>197</v>
      </c>
      <c r="Q2514" s="98">
        <f t="shared" si="393"/>
        <v>0.98994974874371855</v>
      </c>
      <c r="R2514" s="23"/>
      <c r="S2514" s="173"/>
      <c r="T2514" s="30"/>
      <c r="U2514" s="264"/>
      <c r="V2514" s="463"/>
      <c r="X2514" s="463"/>
    </row>
    <row r="2515" spans="1:30" x14ac:dyDescent="0.4">
      <c r="A2515" s="212">
        <v>46036</v>
      </c>
      <c r="B2515" s="139" t="s">
        <v>65</v>
      </c>
      <c r="C2515" s="30" t="str">
        <f>VLOOKUP(B2515,'112年全品項生產鍋數'!A:H,2,0)</f>
        <v>＃1花生(1*2.8kg)</v>
      </c>
      <c r="D2515" s="296">
        <v>72</v>
      </c>
      <c r="E2515" s="48">
        <f>VLOOKUP(B2515,'112年全品項生產鍋數'!A:H,3,0)</f>
        <v>2.8</v>
      </c>
      <c r="F2515" s="142">
        <f>VLOOKUP(B2515,'112年全品項生產鍋數'!A:H,7,0)</f>
        <v>44.5</v>
      </c>
      <c r="G2515" s="143">
        <f>D2515*F2515-20*18/E2515</f>
        <v>3075.4285714285716</v>
      </c>
      <c r="H2515" s="156">
        <v>3098</v>
      </c>
      <c r="I2515" s="23">
        <f t="shared" si="389"/>
        <v>8674.4</v>
      </c>
      <c r="J2515" s="100">
        <f t="shared" si="390"/>
        <v>1.0073392790784095</v>
      </c>
      <c r="K2515" s="51">
        <f>VLOOKUP(B:B,'生產達成率(目標)'!A:C,3,0)</f>
        <v>1</v>
      </c>
      <c r="L2515" s="20">
        <f t="shared" si="391"/>
        <v>7.0000000000000001E-3</v>
      </c>
      <c r="M2515" s="137" t="str">
        <f>工時!R1701</f>
        <v>550</v>
      </c>
      <c r="N2515" s="144"/>
      <c r="O2515" s="144">
        <f t="shared" si="392"/>
        <v>1</v>
      </c>
      <c r="P2515" s="156">
        <v>3097</v>
      </c>
      <c r="Q2515" s="98">
        <f t="shared" si="393"/>
        <v>0.99967721110393803</v>
      </c>
      <c r="R2515" s="23"/>
      <c r="S2515" s="173"/>
      <c r="T2515" s="30" t="s">
        <v>1224</v>
      </c>
      <c r="U2515" s="264"/>
      <c r="V2515" s="463"/>
      <c r="X2515" s="463"/>
    </row>
    <row r="2516" spans="1:30" s="146" customFormat="1" x14ac:dyDescent="0.4">
      <c r="A2516" s="212">
        <v>46036</v>
      </c>
      <c r="B2516" s="139">
        <v>111060</v>
      </c>
      <c r="C2516" s="140" t="str">
        <f>VLOOKUP(B2516,'112年全品項生產鍋數'!A:H,2,0)</f>
        <v>加糖檸檬皮</v>
      </c>
      <c r="D2516" s="292">
        <v>1</v>
      </c>
      <c r="E2516" s="141">
        <f>VLOOKUP(B2516,'112年全品項生產鍋數'!A:H,3,0)</f>
        <v>1</v>
      </c>
      <c r="F2516" s="142">
        <f>VLOOKUP(B2516,'112年全品項生產鍋數'!A:H,7,0)</f>
        <v>0</v>
      </c>
      <c r="G2516" s="143">
        <f t="shared" si="388"/>
        <v>0</v>
      </c>
      <c r="H2516" s="156">
        <v>480</v>
      </c>
      <c r="I2516" s="144">
        <f t="shared" si="389"/>
        <v>480</v>
      </c>
      <c r="J2516" s="100" t="str">
        <f t="shared" si="390"/>
        <v>無法預估數據</v>
      </c>
      <c r="K2516" s="51">
        <f>VLOOKUP(B:B,'生產達成率(目標)'!A:C,3,0)</f>
        <v>1</v>
      </c>
      <c r="L2516" s="20" t="str">
        <f t="shared" si="391"/>
        <v>無法預估數據</v>
      </c>
      <c r="M2516" s="137" t="str">
        <f>工時!R1702</f>
        <v>0</v>
      </c>
      <c r="N2516" s="144"/>
      <c r="O2516" s="144">
        <f t="shared" si="392"/>
        <v>0</v>
      </c>
      <c r="P2516" s="156">
        <v>480</v>
      </c>
      <c r="Q2516" s="145">
        <f t="shared" si="393"/>
        <v>1</v>
      </c>
      <c r="R2516" s="144"/>
      <c r="S2516" s="153"/>
      <c r="T2516" s="140" t="s">
        <v>1153</v>
      </c>
      <c r="U2516" s="151"/>
      <c r="V2516" s="464"/>
      <c r="W2516" s="421"/>
      <c r="X2516" s="464"/>
      <c r="Y2516" s="421"/>
      <c r="Z2516" s="421"/>
      <c r="AA2516" s="421"/>
      <c r="AB2516" s="421"/>
      <c r="AC2516" s="421"/>
      <c r="AD2516" s="421"/>
    </row>
    <row r="2517" spans="1:30" x14ac:dyDescent="0.4">
      <c r="A2517" s="212">
        <v>46037</v>
      </c>
      <c r="B2517" s="139" t="s">
        <v>86</v>
      </c>
      <c r="C2517" s="30" t="str">
        <f>VLOOKUP(B2517,'112年全品項生產鍋數'!A:H,2,0)</f>
        <v>＃2藍莓(1*900g)</v>
      </c>
      <c r="D2517" s="296">
        <v>20</v>
      </c>
      <c r="E2517" s="48">
        <f>VLOOKUP(B2517,'112年全品項生產鍋數'!A:H,3,0)</f>
        <v>0.9</v>
      </c>
      <c r="F2517" s="142">
        <f>VLOOKUP(B2517,'112年全品項生產鍋數'!A:H,7,0)</f>
        <v>163</v>
      </c>
      <c r="G2517" s="143">
        <f t="shared" si="388"/>
        <v>3260</v>
      </c>
      <c r="H2517" s="156">
        <v>3239</v>
      </c>
      <c r="I2517" s="23">
        <f t="shared" si="389"/>
        <v>2915.1</v>
      </c>
      <c r="J2517" s="100">
        <f t="shared" si="390"/>
        <v>0.99355828220858899</v>
      </c>
      <c r="K2517" s="51">
        <f>VLOOKUP(B:B,'生產達成率(目標)'!A:C,3,0)</f>
        <v>1</v>
      </c>
      <c r="L2517" s="20">
        <f t="shared" si="391"/>
        <v>-6.0000000000000001E-3</v>
      </c>
      <c r="M2517" s="137" t="str">
        <f>工時!R1703</f>
        <v>300</v>
      </c>
      <c r="N2517" s="144"/>
      <c r="O2517" s="144">
        <f t="shared" si="392"/>
        <v>2</v>
      </c>
      <c r="P2517" s="156">
        <v>3237</v>
      </c>
      <c r="Q2517" s="98">
        <f t="shared" si="393"/>
        <v>0.99938252547082429</v>
      </c>
      <c r="R2517" s="23"/>
      <c r="S2517" s="173"/>
      <c r="T2517" s="30" t="s">
        <v>1153</v>
      </c>
      <c r="U2517" s="264"/>
      <c r="V2517" s="463"/>
      <c r="X2517" s="463"/>
    </row>
    <row r="2518" spans="1:30" x14ac:dyDescent="0.4">
      <c r="A2518" s="212">
        <v>46037</v>
      </c>
      <c r="B2518" s="139" t="s">
        <v>80</v>
      </c>
      <c r="C2518" s="30" t="str">
        <f>VLOOKUP(B2518,'112年全品項生產鍋數'!A:H,2,0)</f>
        <v>＃1桔子(1*3.2kg)</v>
      </c>
      <c r="D2518" s="296">
        <v>36</v>
      </c>
      <c r="E2518" s="48">
        <f>VLOOKUP(B2518,'112年全品項生產鍋數'!A:H,3,0)</f>
        <v>3.2</v>
      </c>
      <c r="F2518" s="142">
        <f>VLOOKUP(B2518,'112年全品項生產鍋數'!A:H,7,0)</f>
        <v>46.4</v>
      </c>
      <c r="G2518" s="143">
        <f t="shared" si="388"/>
        <v>1670.3999999999999</v>
      </c>
      <c r="H2518" s="156">
        <v>1632</v>
      </c>
      <c r="I2518" s="23">
        <f t="shared" si="389"/>
        <v>5222.4000000000005</v>
      </c>
      <c r="J2518" s="100">
        <f t="shared" si="390"/>
        <v>0.97701149425287359</v>
      </c>
      <c r="K2518" s="51">
        <f>VLOOKUP(B:B,'生產達成率(目標)'!A:C,3,0)</f>
        <v>1</v>
      </c>
      <c r="L2518" s="20">
        <f t="shared" si="391"/>
        <v>-2.3E-2</v>
      </c>
      <c r="M2518" s="137" t="str">
        <f>工時!R1704</f>
        <v>350</v>
      </c>
      <c r="N2518" s="144"/>
      <c r="O2518" s="144">
        <f t="shared" si="392"/>
        <v>2</v>
      </c>
      <c r="P2518" s="156">
        <v>1630</v>
      </c>
      <c r="Q2518" s="98">
        <f t="shared" si="393"/>
        <v>0.99877450980392157</v>
      </c>
      <c r="R2518" s="23"/>
      <c r="S2518" s="173"/>
      <c r="T2518" s="30" t="s">
        <v>1153</v>
      </c>
      <c r="U2518" s="264"/>
      <c r="V2518" s="463"/>
      <c r="X2518" s="463"/>
    </row>
    <row r="2519" spans="1:30" x14ac:dyDescent="0.4">
      <c r="A2519" s="212">
        <v>46037</v>
      </c>
      <c r="B2519" s="139" t="s">
        <v>130</v>
      </c>
      <c r="C2519" s="30" t="str">
        <f>VLOOKUP(B2519,'112年全品項生產鍋數'!A:H,2,0)</f>
        <v>天天開心柳橙餡4.5KG</v>
      </c>
      <c r="D2519" s="296">
        <v>12</v>
      </c>
      <c r="E2519" s="48">
        <f>VLOOKUP(B2519,'112年全品項生產鍋數'!A:H,3,0)</f>
        <v>4.5</v>
      </c>
      <c r="F2519" s="142">
        <f>VLOOKUP(B2519,'112年全品項生產鍋數'!A:H,7,0)</f>
        <v>34.9</v>
      </c>
      <c r="G2519" s="143">
        <f t="shared" si="388"/>
        <v>418.79999999999995</v>
      </c>
      <c r="H2519" s="156">
        <v>419</v>
      </c>
      <c r="I2519" s="23">
        <f t="shared" si="389"/>
        <v>1885.5</v>
      </c>
      <c r="J2519" s="100">
        <f t="shared" si="390"/>
        <v>1.0004775549188158</v>
      </c>
      <c r="K2519" s="51">
        <f>VLOOKUP(B:B,'生產達成率(目標)'!A:C,3,0)</f>
        <v>1</v>
      </c>
      <c r="L2519" s="20">
        <f t="shared" si="391"/>
        <v>0</v>
      </c>
      <c r="M2519" s="137" t="str">
        <f>工時!R1705</f>
        <v>230</v>
      </c>
      <c r="N2519" s="144"/>
      <c r="O2519" s="144">
        <f t="shared" si="392"/>
        <v>0</v>
      </c>
      <c r="P2519" s="156">
        <v>419</v>
      </c>
      <c r="Q2519" s="98">
        <f t="shared" si="393"/>
        <v>1</v>
      </c>
      <c r="R2519" s="23"/>
      <c r="S2519" s="173"/>
      <c r="T2519" s="30" t="s">
        <v>1153</v>
      </c>
      <c r="U2519" s="264"/>
      <c r="V2519" s="463"/>
      <c r="X2519" s="463"/>
    </row>
    <row r="2520" spans="1:30" x14ac:dyDescent="0.4">
      <c r="A2520" s="212">
        <v>46037</v>
      </c>
      <c r="B2520" s="139" t="s">
        <v>63</v>
      </c>
      <c r="C2520" s="30" t="str">
        <f>VLOOKUP(B2520,'112年全品項生產鍋數'!A:H,2,0)</f>
        <v>草莓蒟蒻餡(1*6kg)</v>
      </c>
      <c r="D2520" s="296">
        <v>28</v>
      </c>
      <c r="E2520" s="48">
        <f>VLOOKUP(B2520,'112年全品項生產鍋數'!A:H,3,0)</f>
        <v>6</v>
      </c>
      <c r="F2520" s="142">
        <f>VLOOKUP(B2520,'112年全品項生產鍋數'!A:H,7,0)</f>
        <v>25.7</v>
      </c>
      <c r="G2520" s="143">
        <f t="shared" si="388"/>
        <v>719.6</v>
      </c>
      <c r="H2520" s="156">
        <f>449+346</f>
        <v>795</v>
      </c>
      <c r="I2520" s="23">
        <f t="shared" si="389"/>
        <v>4770</v>
      </c>
      <c r="J2520" s="100">
        <f t="shared" si="390"/>
        <v>1.104780433574208</v>
      </c>
      <c r="K2520" s="51">
        <f>VLOOKUP(B:B,'生產達成率(目標)'!A:C,3,0)</f>
        <v>1</v>
      </c>
      <c r="L2520" s="20">
        <f t="shared" si="391"/>
        <v>0.105</v>
      </c>
      <c r="M2520" s="137" t="str">
        <f>工時!R1706</f>
        <v>342</v>
      </c>
      <c r="N2520" s="144"/>
      <c r="O2520" s="144">
        <f t="shared" si="392"/>
        <v>1</v>
      </c>
      <c r="P2520" s="156">
        <f>448+346</f>
        <v>794</v>
      </c>
      <c r="Q2520" s="98">
        <f t="shared" si="393"/>
        <v>0.99874213836477987</v>
      </c>
      <c r="R2520" s="23"/>
      <c r="S2520" s="173"/>
      <c r="T2520" s="30"/>
      <c r="U2520" s="264"/>
      <c r="V2520" s="463"/>
      <c r="X2520" s="463"/>
    </row>
    <row r="2521" spans="1:30" x14ac:dyDescent="0.4">
      <c r="A2521" s="212">
        <v>46037</v>
      </c>
      <c r="B2521" s="139" t="s">
        <v>597</v>
      </c>
      <c r="C2521" s="30" t="str">
        <f>VLOOKUP(B2521,'112年全品項生產鍋數'!A:H,2,0)</f>
        <v>無加糖花生醬(1*290g)</v>
      </c>
      <c r="D2521" s="296">
        <v>8</v>
      </c>
      <c r="E2521" s="48">
        <f>VLOOKUP(B2521,'112年全品項生產鍋數'!A:H,3,0)</f>
        <v>0.28999999999999998</v>
      </c>
      <c r="F2521" s="142">
        <f>VLOOKUP(B2521,'112年全品項生產鍋數'!A:H,7,0)</f>
        <v>388</v>
      </c>
      <c r="G2521" s="143">
        <f t="shared" si="388"/>
        <v>3104</v>
      </c>
      <c r="H2521" s="156">
        <v>3216</v>
      </c>
      <c r="I2521" s="23">
        <f t="shared" si="389"/>
        <v>932.64</v>
      </c>
      <c r="J2521" s="100">
        <f t="shared" si="390"/>
        <v>1.0360824742268042</v>
      </c>
      <c r="K2521" s="51">
        <f>VLOOKUP(B:B,'生產達成率(目標)'!A:C,3,0)</f>
        <v>1</v>
      </c>
      <c r="L2521" s="20">
        <f t="shared" si="391"/>
        <v>3.5999999999999997E-2</v>
      </c>
      <c r="M2521" s="137" t="str">
        <f>工時!R1707</f>
        <v>300</v>
      </c>
      <c r="N2521" s="144"/>
      <c r="O2521" s="144">
        <f t="shared" si="392"/>
        <v>5</v>
      </c>
      <c r="P2521" s="156">
        <v>3211</v>
      </c>
      <c r="Q2521" s="98">
        <f t="shared" si="393"/>
        <v>0.99844527363184077</v>
      </c>
      <c r="R2521" s="23"/>
      <c r="S2521" s="173"/>
      <c r="T2521" s="30" t="s">
        <v>1223</v>
      </c>
      <c r="U2521" s="264"/>
      <c r="V2521" s="463"/>
      <c r="X2521" s="463"/>
    </row>
    <row r="2522" spans="1:30" x14ac:dyDescent="0.4">
      <c r="A2522" s="212">
        <v>46037</v>
      </c>
      <c r="B2522" s="139" t="s">
        <v>66</v>
      </c>
      <c r="C2522" s="30" t="str">
        <f>VLOOKUP(B2522,'112年全品項生產鍋數'!A:H,2,0)</f>
        <v>＃2花生(1*800g)</v>
      </c>
      <c r="D2522" s="296">
        <v>20</v>
      </c>
      <c r="E2522" s="48">
        <f>VLOOKUP(B2522,'112年全品項生產鍋數'!A:H,3,0)</f>
        <v>0.8</v>
      </c>
      <c r="F2522" s="142">
        <f>VLOOKUP(B2522,'112年全品項生產鍋數'!A:H,7,0)</f>
        <v>157.69999999999999</v>
      </c>
      <c r="G2522" s="143">
        <f t="shared" si="388"/>
        <v>3154</v>
      </c>
      <c r="H2522" s="156">
        <v>3225</v>
      </c>
      <c r="I2522" s="23">
        <f t="shared" si="389"/>
        <v>2580</v>
      </c>
      <c r="J2522" s="100">
        <f t="shared" si="390"/>
        <v>1.0225110970196576</v>
      </c>
      <c r="K2522" s="51">
        <f>VLOOKUP(B:B,'生產達成率(目標)'!A:C,3,0)</f>
        <v>1</v>
      </c>
      <c r="L2522" s="20">
        <f t="shared" si="391"/>
        <v>2.3E-2</v>
      </c>
      <c r="M2522" s="137" t="str">
        <f>工時!R1708</f>
        <v>420</v>
      </c>
      <c r="N2522" s="144"/>
      <c r="O2522" s="144">
        <f t="shared" si="392"/>
        <v>2</v>
      </c>
      <c r="P2522" s="156">
        <v>3223</v>
      </c>
      <c r="Q2522" s="98">
        <f t="shared" si="393"/>
        <v>0.99937984496124033</v>
      </c>
      <c r="R2522" s="23"/>
      <c r="S2522" s="173"/>
      <c r="T2522" s="30" t="s">
        <v>1153</v>
      </c>
      <c r="U2522" s="264"/>
      <c r="V2522" s="463"/>
      <c r="X2522" s="463"/>
    </row>
    <row r="2523" spans="1:30" x14ac:dyDescent="0.4">
      <c r="A2523" s="212">
        <v>46038</v>
      </c>
      <c r="B2523" s="139" t="s">
        <v>71</v>
      </c>
      <c r="C2523" s="30" t="str">
        <f>VLOOKUP(B2523,'112年全品項生產鍋數'!A:H,2,0)</f>
        <v>＃1草莓(1*3.2kg)</v>
      </c>
      <c r="D2523" s="296">
        <v>72</v>
      </c>
      <c r="E2523" s="48">
        <f>VLOOKUP(B2523,'112年全品項生產鍋數'!A:H,3,0)</f>
        <v>3.2</v>
      </c>
      <c r="F2523" s="142">
        <f>VLOOKUP(B2523,'112年全品項生產鍋數'!A:H,7,0)</f>
        <v>46.8</v>
      </c>
      <c r="G2523" s="143">
        <f t="shared" si="388"/>
        <v>3369.6</v>
      </c>
      <c r="H2523" s="156">
        <v>3402</v>
      </c>
      <c r="I2523" s="23">
        <f t="shared" si="389"/>
        <v>10886.400000000001</v>
      </c>
      <c r="J2523" s="100">
        <f t="shared" si="390"/>
        <v>1.0096153846153846</v>
      </c>
      <c r="K2523" s="51">
        <f>VLOOKUP(B:B,'生產達成率(目標)'!A:C,3,0)</f>
        <v>1</v>
      </c>
      <c r="L2523" s="20">
        <f t="shared" si="391"/>
        <v>0.01</v>
      </c>
      <c r="M2523" s="137" t="str">
        <f>工時!R1709</f>
        <v>540</v>
      </c>
      <c r="N2523" s="144"/>
      <c r="O2523" s="144">
        <f t="shared" si="392"/>
        <v>17</v>
      </c>
      <c r="P2523" s="156">
        <v>3385</v>
      </c>
      <c r="Q2523" s="98">
        <f t="shared" si="393"/>
        <v>0.99500293944738394</v>
      </c>
      <c r="R2523" s="23"/>
      <c r="S2523" s="173"/>
      <c r="T2523" s="30"/>
      <c r="U2523" s="264"/>
      <c r="V2523" s="463"/>
      <c r="X2523" s="463"/>
    </row>
    <row r="2524" spans="1:30" s="146" customFormat="1" x14ac:dyDescent="0.4">
      <c r="A2524" s="212">
        <v>46038</v>
      </c>
      <c r="B2524" s="139" t="s">
        <v>63</v>
      </c>
      <c r="C2524" s="140" t="str">
        <f>VLOOKUP(B2524,'112年全品項生產鍋數'!A:H,2,0)</f>
        <v>草莓蒟蒻餡(1*6kg)</v>
      </c>
      <c r="D2524" s="292">
        <v>24</v>
      </c>
      <c r="E2524" s="141">
        <f>VLOOKUP(B2524,'112年全品項生產鍋數'!A:H,3,0)</f>
        <v>6</v>
      </c>
      <c r="F2524" s="142">
        <f>VLOOKUP(B2524,'112年全品項生產鍋數'!A:H,7,0)</f>
        <v>25.7</v>
      </c>
      <c r="G2524" s="143">
        <f t="shared" si="388"/>
        <v>616.79999999999995</v>
      </c>
      <c r="H2524" s="156">
        <f>336+353</f>
        <v>689</v>
      </c>
      <c r="I2524" s="144">
        <f t="shared" si="389"/>
        <v>4134</v>
      </c>
      <c r="J2524" s="100">
        <f t="shared" si="390"/>
        <v>1.1170557717250325</v>
      </c>
      <c r="K2524" s="51">
        <f>VLOOKUP(B:B,'生產達成率(目標)'!A:C,3,0)</f>
        <v>1</v>
      </c>
      <c r="L2524" s="20">
        <f t="shared" si="391"/>
        <v>0.11700000000000001</v>
      </c>
      <c r="M2524" s="137" t="str">
        <f>工時!R1710</f>
        <v>302</v>
      </c>
      <c r="N2524" s="144"/>
      <c r="O2524" s="144">
        <f t="shared" si="392"/>
        <v>1</v>
      </c>
      <c r="P2524" s="156">
        <f>335+353</f>
        <v>688</v>
      </c>
      <c r="Q2524" s="145">
        <f t="shared" si="393"/>
        <v>0.99854862119013066</v>
      </c>
      <c r="R2524" s="144"/>
      <c r="S2524" s="153"/>
      <c r="T2524" s="140"/>
      <c r="U2524" s="151"/>
      <c r="V2524" s="464"/>
      <c r="W2524" s="421"/>
      <c r="X2524" s="464"/>
      <c r="Y2524" s="421"/>
      <c r="Z2524" s="421"/>
      <c r="AA2524" s="421"/>
      <c r="AB2524" s="421"/>
      <c r="AC2524" s="421"/>
      <c r="AD2524" s="421"/>
    </row>
    <row r="2525" spans="1:30" s="146" customFormat="1" x14ac:dyDescent="0.4">
      <c r="A2525" s="212">
        <v>46038</v>
      </c>
      <c r="B2525" s="139" t="s">
        <v>128</v>
      </c>
      <c r="C2525" s="140" t="str">
        <f>VLOOKUP(B2525,'112年全品項生產鍋數'!A:H,2,0)</f>
        <v>草莓椰果漿(1*6KG)</v>
      </c>
      <c r="D2525" s="292">
        <v>8</v>
      </c>
      <c r="E2525" s="141">
        <f>VLOOKUP(B2525,'112年全品項生產鍋數'!A:H,3,0)</f>
        <v>6</v>
      </c>
      <c r="F2525" s="142">
        <f>VLOOKUP(B2525,'112年全品項生產鍋數'!A:H,7,0)</f>
        <v>25.7</v>
      </c>
      <c r="G2525" s="143">
        <f t="shared" si="388"/>
        <v>205.6</v>
      </c>
      <c r="H2525" s="156">
        <v>207</v>
      </c>
      <c r="I2525" s="144">
        <f t="shared" si="389"/>
        <v>1242</v>
      </c>
      <c r="J2525" s="100">
        <f t="shared" si="390"/>
        <v>1.0068093385214008</v>
      </c>
      <c r="K2525" s="51">
        <f>VLOOKUP(B:B,'生產達成率(目標)'!A:C,3,0)</f>
        <v>1</v>
      </c>
      <c r="L2525" s="20">
        <f t="shared" si="391"/>
        <v>7.0000000000000001E-3</v>
      </c>
      <c r="M2525" s="137" t="str">
        <f>工時!R1711</f>
        <v>150</v>
      </c>
      <c r="N2525" s="144"/>
      <c r="O2525" s="144">
        <f t="shared" si="392"/>
        <v>1</v>
      </c>
      <c r="P2525" s="156">
        <v>206</v>
      </c>
      <c r="Q2525" s="145">
        <f t="shared" si="393"/>
        <v>0.99516908212560384</v>
      </c>
      <c r="R2525" s="144"/>
      <c r="S2525" s="153"/>
      <c r="T2525" s="140"/>
      <c r="U2525" s="151"/>
      <c r="V2525" s="464"/>
      <c r="W2525" s="421"/>
      <c r="X2525" s="464"/>
      <c r="Y2525" s="421"/>
      <c r="Z2525" s="421"/>
      <c r="AA2525" s="421"/>
      <c r="AB2525" s="421"/>
      <c r="AC2525" s="421"/>
      <c r="AD2525" s="421"/>
    </row>
    <row r="2526" spans="1:30" x14ac:dyDescent="0.4">
      <c r="A2526" s="212">
        <v>46038</v>
      </c>
      <c r="B2526" s="139" t="s">
        <v>64</v>
      </c>
      <c r="C2526" s="30" t="str">
        <f>VLOOKUP(B2526,'112年全品項生產鍋數'!A:H,2,0)</f>
        <v>藍莓餡(1*6KG)</v>
      </c>
      <c r="D2526" s="296">
        <v>12</v>
      </c>
      <c r="E2526" s="48">
        <f>VLOOKUP(B2526,'112年全品項生產鍋數'!A:H,3,0)</f>
        <v>6</v>
      </c>
      <c r="F2526" s="142">
        <f>VLOOKUP(B2526,'112年全品項生產鍋數'!A:H,7,0)</f>
        <v>25.4</v>
      </c>
      <c r="G2526" s="143">
        <f t="shared" si="388"/>
        <v>304.79999999999995</v>
      </c>
      <c r="H2526" s="156">
        <v>307</v>
      </c>
      <c r="I2526" s="23">
        <f t="shared" si="389"/>
        <v>1842</v>
      </c>
      <c r="J2526" s="100">
        <f t="shared" si="390"/>
        <v>1.007217847769029</v>
      </c>
      <c r="K2526" s="51">
        <f>VLOOKUP(B:B,'生產達成率(目標)'!A:C,3,0)</f>
        <v>1</v>
      </c>
      <c r="L2526" s="20">
        <f t="shared" si="391"/>
        <v>7.0000000000000001E-3</v>
      </c>
      <c r="M2526" s="137" t="str">
        <f>工時!R1712</f>
        <v>178</v>
      </c>
      <c r="N2526" s="144"/>
      <c r="O2526" s="144">
        <f t="shared" si="392"/>
        <v>1</v>
      </c>
      <c r="P2526" s="156">
        <v>306</v>
      </c>
      <c r="Q2526" s="98">
        <f t="shared" si="393"/>
        <v>0.99674267100977199</v>
      </c>
      <c r="R2526" s="23"/>
      <c r="S2526" s="173"/>
      <c r="T2526" s="30"/>
      <c r="U2526" s="264"/>
      <c r="V2526" s="463"/>
      <c r="X2526" s="463"/>
    </row>
    <row r="2527" spans="1:30" x14ac:dyDescent="0.4">
      <c r="A2527" s="212">
        <v>46038</v>
      </c>
      <c r="B2527" s="139" t="s">
        <v>123</v>
      </c>
      <c r="C2527" s="30" t="str">
        <f>VLOOKUP(B2527,'112年全品項生產鍋數'!A:H,2,0)</f>
        <v>深烤焙花生醬(1*18KG)</v>
      </c>
      <c r="D2527" s="296">
        <v>64</v>
      </c>
      <c r="E2527" s="48">
        <f>VLOOKUP(B2527,'112年全品項生產鍋數'!A:H,3,0)</f>
        <v>18</v>
      </c>
      <c r="F2527" s="142">
        <f>VLOOKUP(B2527,'112年全品項生產鍋數'!A:H,7,0)</f>
        <v>6.9</v>
      </c>
      <c r="G2527" s="143">
        <f t="shared" si="388"/>
        <v>441.6</v>
      </c>
      <c r="H2527" s="156">
        <v>446</v>
      </c>
      <c r="I2527" s="23">
        <f t="shared" si="389"/>
        <v>8028</v>
      </c>
      <c r="J2527" s="100">
        <f t="shared" si="390"/>
        <v>1.0099637681159419</v>
      </c>
      <c r="K2527" s="51">
        <f>VLOOKUP(B:B,'生產達成率(目標)'!A:C,3,0)</f>
        <v>1</v>
      </c>
      <c r="L2527" s="20">
        <f t="shared" si="391"/>
        <v>0.01</v>
      </c>
      <c r="M2527" s="137" t="str">
        <f>工時!R1713</f>
        <v>510</v>
      </c>
      <c r="N2527" s="144"/>
      <c r="O2527" s="144">
        <f t="shared" si="392"/>
        <v>0</v>
      </c>
      <c r="P2527" s="156">
        <v>446</v>
      </c>
      <c r="Q2527" s="98">
        <f t="shared" si="393"/>
        <v>1</v>
      </c>
      <c r="R2527" s="23"/>
      <c r="S2527" s="173"/>
      <c r="T2527" s="30" t="s">
        <v>1153</v>
      </c>
      <c r="U2527" s="264"/>
      <c r="V2527" s="463"/>
      <c r="X2527" s="463"/>
    </row>
    <row r="2528" spans="1:30" s="146" customFormat="1" x14ac:dyDescent="0.4">
      <c r="A2528" s="212">
        <v>46038</v>
      </c>
      <c r="B2528" s="139">
        <v>111060</v>
      </c>
      <c r="C2528" s="140" t="str">
        <f>VLOOKUP(B2528,'112年全品項生產鍋數'!A:H,2,0)</f>
        <v>加糖檸檬皮</v>
      </c>
      <c r="D2528" s="292">
        <v>1</v>
      </c>
      <c r="E2528" s="141">
        <f>VLOOKUP(B2528,'112年全品項生產鍋數'!A:H,3,0)</f>
        <v>1</v>
      </c>
      <c r="F2528" s="142">
        <f>VLOOKUP(B2528,'112年全品項生產鍋數'!A:H,7,0)</f>
        <v>0</v>
      </c>
      <c r="G2528" s="143">
        <f t="shared" si="388"/>
        <v>0</v>
      </c>
      <c r="H2528" s="156">
        <v>495</v>
      </c>
      <c r="I2528" s="144">
        <f t="shared" si="389"/>
        <v>495</v>
      </c>
      <c r="J2528" s="100" t="str">
        <f t="shared" si="390"/>
        <v>無法預估數據</v>
      </c>
      <c r="K2528" s="51">
        <f>VLOOKUP(B:B,'生產達成率(目標)'!A:C,3,0)</f>
        <v>1</v>
      </c>
      <c r="L2528" s="20" t="str">
        <f t="shared" si="391"/>
        <v>無法預估數據</v>
      </c>
      <c r="M2528" s="137" t="str">
        <f>工時!R1714</f>
        <v>0</v>
      </c>
      <c r="N2528" s="144"/>
      <c r="O2528" s="144">
        <f t="shared" si="392"/>
        <v>0</v>
      </c>
      <c r="P2528" s="156">
        <v>495</v>
      </c>
      <c r="Q2528" s="145">
        <f t="shared" si="393"/>
        <v>1</v>
      </c>
      <c r="R2528" s="144"/>
      <c r="S2528" s="153"/>
      <c r="T2528" s="140" t="s">
        <v>1153</v>
      </c>
      <c r="U2528" s="151"/>
      <c r="V2528" s="464"/>
      <c r="W2528" s="421"/>
      <c r="X2528" s="464"/>
      <c r="Y2528" s="421"/>
      <c r="Z2528" s="421"/>
      <c r="AA2528" s="421"/>
      <c r="AB2528" s="421"/>
      <c r="AC2528" s="421"/>
      <c r="AD2528" s="421"/>
    </row>
    <row r="2529" spans="1:30" x14ac:dyDescent="0.4">
      <c r="A2529" s="212">
        <v>46041</v>
      </c>
      <c r="B2529" s="139" t="s">
        <v>460</v>
      </c>
      <c r="C2529" s="30" t="str">
        <f>VLOOKUP(B2529,'112年全品項生產鍋數'!A:H,2,0)</f>
        <v>＃1草莓原漿(1*3.4kg)</v>
      </c>
      <c r="D2529" s="296">
        <v>8</v>
      </c>
      <c r="E2529" s="48">
        <f>VLOOKUP(B2529,'112年全品項生產鍋數'!A:H,3,0)</f>
        <v>3.4</v>
      </c>
      <c r="F2529" s="142">
        <f>VLOOKUP(B2529,'112年全品項生產鍋數'!A:H,7,0)</f>
        <v>43</v>
      </c>
      <c r="G2529" s="143">
        <f t="shared" si="388"/>
        <v>344</v>
      </c>
      <c r="H2529" s="156">
        <v>351</v>
      </c>
      <c r="I2529" s="23">
        <f t="shared" si="389"/>
        <v>1193.3999999999999</v>
      </c>
      <c r="J2529" s="100">
        <f t="shared" si="390"/>
        <v>1.0203488372093024</v>
      </c>
      <c r="K2529" s="51">
        <f>VLOOKUP(B:B,'生產達成率(目標)'!A:C,3,0)</f>
        <v>1</v>
      </c>
      <c r="L2529" s="20">
        <f t="shared" si="391"/>
        <v>0.02</v>
      </c>
      <c r="M2529" s="137" t="str">
        <f>工時!R1715</f>
        <v>155</v>
      </c>
      <c r="N2529" s="144"/>
      <c r="O2529" s="144">
        <f t="shared" si="392"/>
        <v>1</v>
      </c>
      <c r="P2529" s="156">
        <v>350</v>
      </c>
      <c r="Q2529" s="98">
        <f t="shared" si="393"/>
        <v>0.9971509971509972</v>
      </c>
      <c r="R2529" s="23"/>
      <c r="S2529" s="173"/>
      <c r="T2529" s="30" t="s">
        <v>1153</v>
      </c>
      <c r="U2529" s="264"/>
      <c r="V2529" s="463"/>
      <c r="X2529" s="463"/>
    </row>
    <row r="2530" spans="1:30" x14ac:dyDescent="0.4">
      <c r="A2530" s="212">
        <v>46041</v>
      </c>
      <c r="B2530" s="139" t="s">
        <v>71</v>
      </c>
      <c r="C2530" s="30" t="str">
        <f>VLOOKUP(B2530,'112年全品項生產鍋數'!A:H,2,0)</f>
        <v>＃1草莓(1*3.2kg)</v>
      </c>
      <c r="D2530" s="296">
        <v>64</v>
      </c>
      <c r="E2530" s="48">
        <f>VLOOKUP(B2530,'112年全品項生產鍋數'!A:H,3,0)</f>
        <v>3.2</v>
      </c>
      <c r="F2530" s="142">
        <f>VLOOKUP(B2530,'112年全品項生產鍋數'!A:H,7,0)</f>
        <v>46.8</v>
      </c>
      <c r="G2530" s="143">
        <f t="shared" si="388"/>
        <v>2995.2</v>
      </c>
      <c r="H2530" s="156">
        <v>3002</v>
      </c>
      <c r="I2530" s="23">
        <f t="shared" si="389"/>
        <v>9606.4</v>
      </c>
      <c r="J2530" s="100">
        <f t="shared" si="390"/>
        <v>1.0022702991452992</v>
      </c>
      <c r="K2530" s="51">
        <f>VLOOKUP(B:B,'生產達成率(目標)'!A:C,3,0)</f>
        <v>1</v>
      </c>
      <c r="L2530" s="20">
        <f t="shared" si="391"/>
        <v>2E-3</v>
      </c>
      <c r="M2530" s="137" t="str">
        <f>工時!R1716</f>
        <v>450</v>
      </c>
      <c r="N2530" s="144"/>
      <c r="O2530" s="144">
        <f t="shared" si="392"/>
        <v>3</v>
      </c>
      <c r="P2530" s="156">
        <v>2999</v>
      </c>
      <c r="Q2530" s="98">
        <f t="shared" si="393"/>
        <v>0.99900066622251837</v>
      </c>
      <c r="R2530" s="23"/>
      <c r="S2530" s="173"/>
      <c r="T2530" s="30" t="s">
        <v>1153</v>
      </c>
      <c r="U2530" s="264"/>
      <c r="V2530" s="463"/>
      <c r="X2530" s="463"/>
    </row>
    <row r="2531" spans="1:30" x14ac:dyDescent="0.4">
      <c r="A2531" s="212">
        <v>46041</v>
      </c>
      <c r="B2531" s="139" t="s">
        <v>63</v>
      </c>
      <c r="C2531" s="30" t="str">
        <f>VLOOKUP(B2531,'112年全品項生產鍋數'!A:H,2,0)</f>
        <v>草莓蒟蒻餡(1*6kg)</v>
      </c>
      <c r="D2531" s="296">
        <v>24</v>
      </c>
      <c r="E2531" s="48">
        <f>VLOOKUP(B2531,'112年全品項生產鍋數'!A:H,3,0)</f>
        <v>6</v>
      </c>
      <c r="F2531" s="142">
        <f>VLOOKUP(B2531,'112年全品項生產鍋數'!A:H,7,0)</f>
        <v>25.7</v>
      </c>
      <c r="G2531" s="143">
        <f t="shared" si="388"/>
        <v>616.79999999999995</v>
      </c>
      <c r="H2531" s="156">
        <f>346+348</f>
        <v>694</v>
      </c>
      <c r="I2531" s="23">
        <f t="shared" si="389"/>
        <v>4164</v>
      </c>
      <c r="J2531" s="100">
        <f t="shared" si="390"/>
        <v>1.1251621271076524</v>
      </c>
      <c r="K2531" s="51">
        <f>VLOOKUP(B:B,'生產達成率(目標)'!A:C,3,0)</f>
        <v>1</v>
      </c>
      <c r="L2531" s="20">
        <f t="shared" si="391"/>
        <v>0.125</v>
      </c>
      <c r="M2531" s="137" t="str">
        <f>工時!R1717</f>
        <v>312</v>
      </c>
      <c r="N2531" s="144"/>
      <c r="O2531" s="144">
        <f t="shared" si="392"/>
        <v>2</v>
      </c>
      <c r="P2531" s="156">
        <f>345+347</f>
        <v>692</v>
      </c>
      <c r="Q2531" s="98">
        <f t="shared" si="393"/>
        <v>0.99711815561959649</v>
      </c>
      <c r="R2531" s="23"/>
      <c r="S2531" s="173"/>
      <c r="T2531" s="30"/>
      <c r="U2531" s="264"/>
      <c r="V2531" s="463"/>
      <c r="X2531" s="463"/>
    </row>
    <row r="2532" spans="1:30" x14ac:dyDescent="0.4">
      <c r="A2532" s="212">
        <v>46041</v>
      </c>
      <c r="B2532" s="139" t="s">
        <v>72</v>
      </c>
      <c r="C2532" s="30" t="str">
        <f>VLOOKUP(B2532,'112年全品項生產鍋數'!A:H,2,0)</f>
        <v>草莓餡45%(1*6Kg)</v>
      </c>
      <c r="D2532" s="296">
        <v>24</v>
      </c>
      <c r="E2532" s="48">
        <f>VLOOKUP(B2532,'112年全品項生產鍋數'!A:H,3,0)</f>
        <v>6</v>
      </c>
      <c r="F2532" s="142">
        <f>VLOOKUP(B2532,'112年全品項生產鍋數'!A:H,7,0)</f>
        <v>26.1</v>
      </c>
      <c r="G2532" s="143">
        <f t="shared" si="388"/>
        <v>626.40000000000009</v>
      </c>
      <c r="H2532" s="156">
        <v>638</v>
      </c>
      <c r="I2532" s="23">
        <f t="shared" si="389"/>
        <v>3828</v>
      </c>
      <c r="J2532" s="100">
        <f t="shared" si="390"/>
        <v>1.0185185185185184</v>
      </c>
      <c r="K2532" s="51">
        <f>VLOOKUP(B:B,'生產達成率(目標)'!A:C,3,0)</f>
        <v>1</v>
      </c>
      <c r="L2532" s="20">
        <f t="shared" si="391"/>
        <v>1.9E-2</v>
      </c>
      <c r="M2532" s="137" t="str">
        <f>工時!R1718</f>
        <v>380</v>
      </c>
      <c r="N2532" s="144"/>
      <c r="O2532" s="144">
        <f t="shared" si="392"/>
        <v>1</v>
      </c>
      <c r="P2532" s="156">
        <v>637</v>
      </c>
      <c r="Q2532" s="98">
        <f t="shared" si="393"/>
        <v>0.99843260188087779</v>
      </c>
      <c r="R2532" s="23"/>
      <c r="S2532" s="173"/>
      <c r="T2532" s="30" t="s">
        <v>1153</v>
      </c>
      <c r="U2532" s="264"/>
      <c r="V2532" s="463"/>
      <c r="X2532" s="463"/>
    </row>
    <row r="2533" spans="1:30" x14ac:dyDescent="0.4">
      <c r="A2533" s="212">
        <v>46041</v>
      </c>
      <c r="B2533" s="139" t="s">
        <v>82</v>
      </c>
      <c r="C2533" s="30" t="str">
        <f>VLOOKUP(B2533,'112年全品項生產鍋數'!A:H,2,0)</f>
        <v>顆粒花生醬(全)</v>
      </c>
      <c r="D2533" s="296">
        <v>40</v>
      </c>
      <c r="E2533" s="48">
        <f>VLOOKUP(B2533,'112年全品項生產鍋數'!A:H,3,0)</f>
        <v>0.34</v>
      </c>
      <c r="F2533" s="142">
        <f>VLOOKUP(B2533,'112年全品項生產鍋數'!A:H,7,0)</f>
        <v>364.6</v>
      </c>
      <c r="G2533" s="143">
        <f t="shared" si="388"/>
        <v>14584</v>
      </c>
      <c r="H2533" s="156">
        <v>14352</v>
      </c>
      <c r="I2533" s="23">
        <f t="shared" si="389"/>
        <v>4879.68</v>
      </c>
      <c r="J2533" s="100">
        <f t="shared" si="390"/>
        <v>0.98409215578716402</v>
      </c>
      <c r="K2533" s="51">
        <f>VLOOKUP(B:B,'生產達成率(目標)'!A:C,3,0)</f>
        <v>1</v>
      </c>
      <c r="L2533" s="20">
        <f t="shared" si="391"/>
        <v>-1.6E-2</v>
      </c>
      <c r="M2533" s="137" t="str">
        <f>工時!R1719</f>
        <v>635</v>
      </c>
      <c r="N2533" s="144"/>
      <c r="O2533" s="144">
        <f t="shared" si="392"/>
        <v>3</v>
      </c>
      <c r="P2533" s="156">
        <v>14349</v>
      </c>
      <c r="Q2533" s="98">
        <f t="shared" si="393"/>
        <v>0.99979096989966554</v>
      </c>
      <c r="R2533" s="23"/>
      <c r="S2533" s="173"/>
      <c r="T2533" s="30"/>
      <c r="U2533" s="264"/>
      <c r="V2533" s="463"/>
      <c r="X2533" s="463"/>
    </row>
    <row r="2534" spans="1:30" s="146" customFormat="1" x14ac:dyDescent="0.4">
      <c r="A2534" s="212">
        <v>46041</v>
      </c>
      <c r="B2534" s="139" t="s">
        <v>594</v>
      </c>
      <c r="C2534" s="140" t="str">
        <f>VLOOKUP(B2534,'112年全品項生產鍋數'!A:H,2,0)</f>
        <v>柚皮鮮果乾(100g)</v>
      </c>
      <c r="D2534" s="292">
        <v>1</v>
      </c>
      <c r="E2534" s="141">
        <f>VLOOKUP(B2534,'112年全品項生產鍋數'!A:H,3,0)</f>
        <v>0.1</v>
      </c>
      <c r="F2534" s="142">
        <f>VLOOKUP(B2534,'112年全品項生產鍋數'!A:H,7,0)</f>
        <v>1732</v>
      </c>
      <c r="G2534" s="143">
        <f t="shared" si="388"/>
        <v>1732</v>
      </c>
      <c r="H2534" s="156">
        <f>171000/100</f>
        <v>1710</v>
      </c>
      <c r="I2534" s="144">
        <f t="shared" si="389"/>
        <v>171</v>
      </c>
      <c r="J2534" s="100">
        <f t="shared" si="390"/>
        <v>0.98729792147806006</v>
      </c>
      <c r="K2534" s="51">
        <f>VLOOKUP(B:B,'生產達成率(目標)'!A:C,3,0)</f>
        <v>1</v>
      </c>
      <c r="L2534" s="20">
        <f t="shared" si="391"/>
        <v>-1.2999999999999999E-2</v>
      </c>
      <c r="M2534" s="137" t="str">
        <f>工時!R1720</f>
        <v>0</v>
      </c>
      <c r="N2534" s="144"/>
      <c r="O2534" s="144">
        <f t="shared" si="392"/>
        <v>126</v>
      </c>
      <c r="P2534" s="156">
        <v>1584</v>
      </c>
      <c r="Q2534" s="145">
        <f t="shared" si="393"/>
        <v>0.9263157894736842</v>
      </c>
      <c r="R2534" s="144"/>
      <c r="S2534" s="153"/>
      <c r="T2534" s="140" t="s">
        <v>1222</v>
      </c>
      <c r="U2534" s="151"/>
      <c r="V2534" s="464"/>
      <c r="W2534" s="421"/>
      <c r="X2534" s="464"/>
      <c r="Y2534" s="421"/>
      <c r="Z2534" s="421"/>
      <c r="AA2534" s="421"/>
      <c r="AB2534" s="421"/>
      <c r="AC2534" s="421"/>
      <c r="AD2534" s="421"/>
    </row>
    <row r="2535" spans="1:30" s="146" customFormat="1" x14ac:dyDescent="0.4">
      <c r="A2535" s="212">
        <v>46041</v>
      </c>
      <c r="B2535" s="139">
        <v>153010</v>
      </c>
      <c r="C2535" s="140" t="str">
        <f>VLOOKUP(B2535,'112年全品項生產鍋數'!A:H,2,0)</f>
        <v>蜜桔皮6m/m</v>
      </c>
      <c r="D2535" s="292">
        <v>1</v>
      </c>
      <c r="E2535" s="141">
        <f>VLOOKUP(B2535,'112年全品項生產鍋數'!A:H,3,0)</f>
        <v>1</v>
      </c>
      <c r="F2535" s="142">
        <f>VLOOKUP(B2535,'112年全品項生產鍋數'!A:H,7,0)</f>
        <v>591</v>
      </c>
      <c r="G2535" s="143">
        <f t="shared" si="388"/>
        <v>591</v>
      </c>
      <c r="H2535" s="156">
        <v>488</v>
      </c>
      <c r="I2535" s="144">
        <f t="shared" si="389"/>
        <v>488</v>
      </c>
      <c r="J2535" s="100">
        <f t="shared" si="390"/>
        <v>0.82571912013536375</v>
      </c>
      <c r="K2535" s="51">
        <f>VLOOKUP(B:B,'生產達成率(目標)'!A:C,3,0)</f>
        <v>1</v>
      </c>
      <c r="L2535" s="20">
        <f t="shared" si="391"/>
        <v>-0.17399999999999999</v>
      </c>
      <c r="M2535" s="137" t="str">
        <f>工時!R1721</f>
        <v>0</v>
      </c>
      <c r="N2535" s="144"/>
      <c r="O2535" s="144">
        <f t="shared" si="392"/>
        <v>0</v>
      </c>
      <c r="P2535" s="156">
        <v>488</v>
      </c>
      <c r="Q2535" s="145">
        <f t="shared" si="393"/>
        <v>1</v>
      </c>
      <c r="R2535" s="144"/>
      <c r="S2535" s="153"/>
      <c r="T2535" s="140"/>
      <c r="U2535" s="151"/>
      <c r="V2535" s="464"/>
      <c r="W2535" s="421"/>
      <c r="X2535" s="464"/>
      <c r="Y2535" s="421"/>
      <c r="Z2535" s="421"/>
      <c r="AA2535" s="421"/>
      <c r="AB2535" s="421"/>
      <c r="AC2535" s="421"/>
      <c r="AD2535" s="421"/>
    </row>
    <row r="2536" spans="1:30" x14ac:dyDescent="0.4">
      <c r="A2536" s="212">
        <v>46042</v>
      </c>
      <c r="B2536" s="139" t="s">
        <v>54</v>
      </c>
      <c r="C2536" s="30" t="str">
        <f>VLOOKUP(B2536,'112年全品項生產鍋數'!A:H,2,0)</f>
        <v>草莓醬(1*6kg)</v>
      </c>
      <c r="D2536" s="296">
        <v>30</v>
      </c>
      <c r="E2536" s="48">
        <f>VLOOKUP(B2536,'112年全品項生產鍋數'!A:H,3,0)</f>
        <v>6</v>
      </c>
      <c r="F2536" s="142">
        <f>VLOOKUP(B2536,'112年全品項生產鍋數'!A:H,7,0)</f>
        <v>26.6</v>
      </c>
      <c r="G2536" s="143">
        <f t="shared" si="388"/>
        <v>798</v>
      </c>
      <c r="H2536" s="156">
        <v>780</v>
      </c>
      <c r="I2536" s="23">
        <f t="shared" si="389"/>
        <v>4680</v>
      </c>
      <c r="J2536" s="100">
        <f t="shared" si="390"/>
        <v>0.97744360902255634</v>
      </c>
      <c r="K2536" s="51">
        <f>VLOOKUP(B:B,'生產達成率(目標)'!A:C,3,0)</f>
        <v>1</v>
      </c>
      <c r="L2536" s="20">
        <f t="shared" si="391"/>
        <v>-2.3E-2</v>
      </c>
      <c r="M2536" s="137" t="str">
        <f>工時!R1722</f>
        <v>430</v>
      </c>
      <c r="N2536" s="144"/>
      <c r="O2536" s="144">
        <f t="shared" si="392"/>
        <v>1</v>
      </c>
      <c r="P2536" s="156">
        <v>779</v>
      </c>
      <c r="Q2536" s="98">
        <f t="shared" si="393"/>
        <v>0.99871794871794872</v>
      </c>
      <c r="R2536" s="23"/>
      <c r="S2536" s="173"/>
      <c r="T2536" s="30" t="s">
        <v>1153</v>
      </c>
      <c r="U2536" s="264"/>
      <c r="V2536" s="463"/>
      <c r="X2536" s="463"/>
    </row>
    <row r="2537" spans="1:30" x14ac:dyDescent="0.4">
      <c r="A2537" s="212">
        <v>46042</v>
      </c>
      <c r="B2537" s="139" t="s">
        <v>1045</v>
      </c>
      <c r="C2537" s="30" t="str">
        <f>VLOOKUP(B2537,'112年全品項生產鍋數'!A:H,2,0)</f>
        <v>芒果蜜桃醬(含桃丁)</v>
      </c>
      <c r="D2537" s="296">
        <v>12</v>
      </c>
      <c r="E2537" s="48">
        <f>VLOOKUP(B2537,'112年全品項生產鍋數'!A:H,3,0)</f>
        <v>6</v>
      </c>
      <c r="F2537" s="142">
        <f>VLOOKUP(B2537,'112年全品項生產鍋數'!A:H,7,0)</f>
        <v>0</v>
      </c>
      <c r="G2537" s="143">
        <f t="shared" si="388"/>
        <v>0</v>
      </c>
      <c r="H2537" s="156">
        <v>301</v>
      </c>
      <c r="I2537" s="23">
        <f t="shared" si="389"/>
        <v>1806</v>
      </c>
      <c r="J2537" s="100" t="str">
        <f t="shared" si="390"/>
        <v>無法預估數據</v>
      </c>
      <c r="K2537" s="51">
        <f>VLOOKUP(B:B,'生產達成率(目標)'!A:C,3,0)</f>
        <v>1</v>
      </c>
      <c r="L2537" s="20" t="str">
        <f t="shared" si="391"/>
        <v>無法預估數據</v>
      </c>
      <c r="M2537" s="137" t="str">
        <f>工時!R1723</f>
        <v>220</v>
      </c>
      <c r="N2537" s="144"/>
      <c r="O2537" s="144">
        <f t="shared" si="392"/>
        <v>1</v>
      </c>
      <c r="P2537" s="156">
        <v>300</v>
      </c>
      <c r="Q2537" s="98">
        <f t="shared" si="393"/>
        <v>0.99667774086378735</v>
      </c>
      <c r="R2537" s="23"/>
      <c r="S2537" s="173"/>
      <c r="T2537" s="30" t="s">
        <v>1153</v>
      </c>
      <c r="U2537" s="264"/>
      <c r="V2537" s="463"/>
      <c r="X2537" s="463"/>
    </row>
    <row r="2538" spans="1:30" x14ac:dyDescent="0.4">
      <c r="A2538" s="212">
        <v>46042</v>
      </c>
      <c r="B2538" s="139" t="s">
        <v>118</v>
      </c>
      <c r="C2538" s="30" t="str">
        <f>VLOOKUP(B2538,'112年全品項生產鍋數'!A:H,2,0)</f>
        <v>草莓餡(1*4.5kg)</v>
      </c>
      <c r="D2538" s="296">
        <v>16</v>
      </c>
      <c r="E2538" s="48">
        <f>VLOOKUP(B2538,'112年全品項生產鍋數'!A:H,3,0)</f>
        <v>4.5</v>
      </c>
      <c r="F2538" s="142">
        <f>VLOOKUP(B2538,'112年全品項生產鍋數'!A:H,7,0)</f>
        <v>34.5</v>
      </c>
      <c r="G2538" s="143">
        <f t="shared" si="388"/>
        <v>552</v>
      </c>
      <c r="H2538" s="156">
        <v>564</v>
      </c>
      <c r="I2538" s="23">
        <f t="shared" si="389"/>
        <v>2538</v>
      </c>
      <c r="J2538" s="100">
        <f t="shared" si="390"/>
        <v>1.0217391304347827</v>
      </c>
      <c r="K2538" s="51">
        <f>VLOOKUP(B:B,'生產達成率(目標)'!A:C,3,0)</f>
        <v>1</v>
      </c>
      <c r="L2538" s="20">
        <f t="shared" si="391"/>
        <v>2.1999999999999999E-2</v>
      </c>
      <c r="M2538" s="137" t="str">
        <f>工時!R1724</f>
        <v>235</v>
      </c>
      <c r="N2538" s="144"/>
      <c r="O2538" s="144">
        <f t="shared" si="392"/>
        <v>0</v>
      </c>
      <c r="P2538" s="156">
        <v>564</v>
      </c>
      <c r="Q2538" s="98">
        <f t="shared" si="393"/>
        <v>1</v>
      </c>
      <c r="R2538" s="23"/>
      <c r="S2538" s="173"/>
      <c r="T2538" s="30" t="s">
        <v>1153</v>
      </c>
      <c r="U2538" s="264"/>
      <c r="V2538" s="463"/>
      <c r="X2538" s="463"/>
    </row>
    <row r="2539" spans="1:30" x14ac:dyDescent="0.4">
      <c r="A2539" s="212">
        <v>46042</v>
      </c>
      <c r="B2539" s="139" t="s">
        <v>55</v>
      </c>
      <c r="C2539" s="30" t="str">
        <f>VLOOKUP(B2539,'112年全品項生產鍋數'!A:H,2,0)</f>
        <v>天天開心草莓餡4.5KG</v>
      </c>
      <c r="D2539" s="296">
        <v>28</v>
      </c>
      <c r="E2539" s="48">
        <f>VLOOKUP(B2539,'112年全品項生產鍋數'!A:H,3,0)</f>
        <v>4.5</v>
      </c>
      <c r="F2539" s="142">
        <f>VLOOKUP(B2539,'112年全品項生產鍋數'!A:H,7,0)</f>
        <v>36.299999999999997</v>
      </c>
      <c r="G2539" s="143">
        <f t="shared" si="388"/>
        <v>1016.3999999999999</v>
      </c>
      <c r="H2539" s="156">
        <v>1018</v>
      </c>
      <c r="I2539" s="23">
        <f t="shared" si="389"/>
        <v>4581</v>
      </c>
      <c r="J2539" s="100">
        <f t="shared" si="390"/>
        <v>1.0015741833923653</v>
      </c>
      <c r="K2539" s="51">
        <f>VLOOKUP(B:B,'生產達成率(目標)'!A:C,3,0)</f>
        <v>1</v>
      </c>
      <c r="L2539" s="20">
        <f t="shared" si="391"/>
        <v>2E-3</v>
      </c>
      <c r="M2539" s="137" t="str">
        <f>工時!R1725</f>
        <v>374</v>
      </c>
      <c r="N2539" s="144"/>
      <c r="O2539" s="144">
        <f t="shared" si="392"/>
        <v>0</v>
      </c>
      <c r="P2539" s="156">
        <v>1018</v>
      </c>
      <c r="Q2539" s="98">
        <f t="shared" si="393"/>
        <v>1</v>
      </c>
      <c r="R2539" s="23"/>
      <c r="S2539" s="173"/>
      <c r="T2539" s="30"/>
      <c r="U2539" s="264"/>
      <c r="V2539" s="463"/>
      <c r="X2539" s="463"/>
    </row>
    <row r="2540" spans="1:30" x14ac:dyDescent="0.4">
      <c r="A2540" s="212">
        <v>46042</v>
      </c>
      <c r="B2540" s="139" t="s">
        <v>108</v>
      </c>
      <c r="C2540" s="30" t="str">
        <f>VLOOKUP(B2540,'112年全品項生產鍋數'!A:H,2,0)</f>
        <v>顆粒花生醬(1*12KG)</v>
      </c>
      <c r="D2540" s="296">
        <v>21</v>
      </c>
      <c r="E2540" s="48">
        <f>VLOOKUP(B2540,'112年全品項生產鍋數'!A:H,3,0)</f>
        <v>3</v>
      </c>
      <c r="F2540" s="142">
        <f>VLOOKUP(B2540,'112年全品項生產鍋數'!A:H,7,0)</f>
        <v>31.6</v>
      </c>
      <c r="G2540" s="143">
        <f t="shared" si="388"/>
        <v>663.6</v>
      </c>
      <c r="H2540" s="156">
        <v>672</v>
      </c>
      <c r="I2540" s="23">
        <f t="shared" si="389"/>
        <v>2016</v>
      </c>
      <c r="J2540" s="100">
        <f t="shared" si="390"/>
        <v>1.0126582278481013</v>
      </c>
      <c r="K2540" s="51">
        <f>VLOOKUP(B:B,'生產達成率(目標)'!A:C,3,0)</f>
        <v>1</v>
      </c>
      <c r="L2540" s="20">
        <f t="shared" si="391"/>
        <v>1.2999999999999999E-2</v>
      </c>
      <c r="M2540" s="137" t="str">
        <f>工時!R1726</f>
        <v>570</v>
      </c>
      <c r="N2540" s="144"/>
      <c r="O2540" s="144">
        <f t="shared" si="392"/>
        <v>0</v>
      </c>
      <c r="P2540" s="156">
        <v>672</v>
      </c>
      <c r="Q2540" s="98">
        <f t="shared" si="393"/>
        <v>1</v>
      </c>
      <c r="R2540" s="23"/>
      <c r="S2540" s="173"/>
      <c r="T2540" s="30" t="s">
        <v>1153</v>
      </c>
      <c r="U2540" s="264"/>
      <c r="V2540" s="463"/>
      <c r="X2540" s="463"/>
    </row>
    <row r="2541" spans="1:30" x14ac:dyDescent="0.4">
      <c r="A2541" s="212">
        <v>46042</v>
      </c>
      <c r="B2541" s="139" t="s">
        <v>434</v>
      </c>
      <c r="C2541" s="30" t="str">
        <f>VLOOKUP(B2541,'112年全品項生產鍋數'!A:H,2,0)</f>
        <v>蜜桔皮</v>
      </c>
      <c r="D2541" s="296">
        <v>50</v>
      </c>
      <c r="E2541" s="48">
        <f>VLOOKUP(B2541,'112年全品項生產鍋數'!A:H,3,0)</f>
        <v>1</v>
      </c>
      <c r="F2541" s="142">
        <f>VLOOKUP(B2541,'112年全品項生產鍋數'!A:H,7,0)</f>
        <v>6</v>
      </c>
      <c r="G2541" s="143">
        <f>D2541*F2541</f>
        <v>300</v>
      </c>
      <c r="H2541" s="156">
        <v>299</v>
      </c>
      <c r="I2541" s="23">
        <f>H2541*E2541</f>
        <v>299</v>
      </c>
      <c r="J2541" s="100">
        <f>IF(G2541=0,"無法預估數據",H2541/G2541)</f>
        <v>0.9966666666666667</v>
      </c>
      <c r="K2541" s="51">
        <f>VLOOKUP(B:B,'生產達成率(目標)'!A:C,3,0)</f>
        <v>1</v>
      </c>
      <c r="L2541" s="20">
        <f>IF(G2541=0,"無法預估數據",ROUND(J2541-K2541,3))</f>
        <v>-3.0000000000000001E-3</v>
      </c>
      <c r="M2541" s="137" t="str">
        <f>工時!R1727</f>
        <v>0</v>
      </c>
      <c r="N2541" s="144"/>
      <c r="O2541" s="144">
        <f>H2541-N2541-P2541</f>
        <v>0</v>
      </c>
      <c r="P2541" s="156">
        <v>299</v>
      </c>
      <c r="Q2541" s="98">
        <f>P2541/H2541</f>
        <v>1</v>
      </c>
      <c r="R2541" s="23"/>
      <c r="S2541" s="173"/>
      <c r="T2541" s="30"/>
      <c r="U2541" s="264"/>
      <c r="V2541" s="463"/>
      <c r="X2541" s="463"/>
    </row>
    <row r="2542" spans="1:30" x14ac:dyDescent="0.4">
      <c r="A2542" s="212">
        <v>46042</v>
      </c>
      <c r="B2542" s="139" t="s">
        <v>500</v>
      </c>
      <c r="C2542" s="30" t="str">
        <f>VLOOKUP(B2542,'112年全品項生產鍋數'!A:H,2,0)</f>
        <v>蜜餞水果(1*1kg)</v>
      </c>
      <c r="D2542" s="296">
        <v>50</v>
      </c>
      <c r="E2542" s="48">
        <f>VLOOKUP(B2542,'112年全品項生產鍋數'!A:H,3,0)</f>
        <v>1</v>
      </c>
      <c r="F2542" s="142">
        <f>VLOOKUP(B2542,'112年全品項生產鍋數'!A:H,7,0)</f>
        <v>5.7</v>
      </c>
      <c r="G2542" s="143">
        <f>D2542*F2542</f>
        <v>285</v>
      </c>
      <c r="H2542" s="156">
        <v>296</v>
      </c>
      <c r="I2542" s="23">
        <f>H2542*E2542</f>
        <v>296</v>
      </c>
      <c r="J2542" s="100">
        <f>IF(G2542=0,"無法預估數據",H2542/G2542)</f>
        <v>1.0385964912280701</v>
      </c>
      <c r="K2542" s="51">
        <f>VLOOKUP(B:B,'生產達成率(目標)'!A:C,3,0)</f>
        <v>1</v>
      </c>
      <c r="L2542" s="20">
        <f>IF(G2542=0,"無法預估數據",ROUND(J2542-K2542,3))</f>
        <v>3.9E-2</v>
      </c>
      <c r="M2542" s="137" t="str">
        <f>工時!R1728</f>
        <v>0</v>
      </c>
      <c r="N2542" s="144"/>
      <c r="O2542" s="144">
        <f>H2542-N2542-P2542</f>
        <v>0</v>
      </c>
      <c r="P2542" s="156">
        <v>296</v>
      </c>
      <c r="Q2542" s="98">
        <f>P2542/H2542</f>
        <v>1</v>
      </c>
      <c r="R2542" s="23"/>
      <c r="S2542" s="173"/>
      <c r="T2542" s="30"/>
      <c r="U2542" s="264"/>
      <c r="V2542" s="463"/>
      <c r="X2542" s="463"/>
    </row>
    <row r="2543" spans="1:30" s="362" customFormat="1" x14ac:dyDescent="0.4">
      <c r="A2543" s="212">
        <v>46043</v>
      </c>
      <c r="B2543" s="139" t="s">
        <v>456</v>
      </c>
      <c r="C2543" s="140" t="str">
        <f>VLOOKUP(B2543,'112年全品項生產鍋數'!A:H,2,0)</f>
        <v>桑椹果醬(1*190g)</v>
      </c>
      <c r="D2543" s="292">
        <v>3</v>
      </c>
      <c r="E2543" s="141">
        <f>VLOOKUP(B2543,'112年全品項生產鍋數'!A:H,3,0)</f>
        <v>0.19</v>
      </c>
      <c r="F2543" s="142">
        <f>VLOOKUP(B2543,'112年全品項生產鍋數'!A:H,7,0)</f>
        <v>759.3</v>
      </c>
      <c r="G2543" s="143">
        <f t="shared" si="388"/>
        <v>2277.8999999999996</v>
      </c>
      <c r="H2543" s="156">
        <v>2235</v>
      </c>
      <c r="I2543" s="144">
        <f t="shared" si="389"/>
        <v>424.65</v>
      </c>
      <c r="J2543" s="100">
        <f t="shared" si="390"/>
        <v>0.98116686421704213</v>
      </c>
      <c r="K2543" s="51">
        <f>VLOOKUP(B:B,'生產達成率(目標)'!A:C,3,0)</f>
        <v>1</v>
      </c>
      <c r="L2543" s="20">
        <f t="shared" si="391"/>
        <v>-1.9E-2</v>
      </c>
      <c r="M2543" s="137" t="str">
        <f>工時!R1729</f>
        <v>270</v>
      </c>
      <c r="N2543" s="144"/>
      <c r="O2543" s="144">
        <f t="shared" si="392"/>
        <v>10</v>
      </c>
      <c r="P2543" s="156">
        <v>2225</v>
      </c>
      <c r="Q2543" s="145">
        <f t="shared" si="393"/>
        <v>0.99552572706935127</v>
      </c>
      <c r="R2543" s="144"/>
      <c r="S2543" s="153"/>
      <c r="T2543" s="140" t="s">
        <v>1153</v>
      </c>
      <c r="U2543" s="151"/>
      <c r="V2543" s="464"/>
      <c r="W2543" s="421"/>
      <c r="X2543" s="464"/>
      <c r="Y2543" s="421"/>
      <c r="Z2543" s="421"/>
      <c r="AA2543" s="421"/>
      <c r="AB2543" s="421"/>
      <c r="AC2543" s="421"/>
      <c r="AD2543" s="421"/>
    </row>
    <row r="2544" spans="1:30" s="362" customFormat="1" x14ac:dyDescent="0.4">
      <c r="A2544" s="212">
        <v>46043</v>
      </c>
      <c r="B2544" s="139" t="s">
        <v>92</v>
      </c>
      <c r="C2544" s="140" t="str">
        <f>VLOOKUP(B2544,'112年全品項生產鍋數'!A:H,2,0)</f>
        <v>藍莓果茶(1*420g)</v>
      </c>
      <c r="D2544" s="292">
        <v>4</v>
      </c>
      <c r="E2544" s="141">
        <f>VLOOKUP(B2544,'112年全品項生產鍋數'!A:H,3,0)</f>
        <v>0.42</v>
      </c>
      <c r="F2544" s="142">
        <f>VLOOKUP(B2544,'112年全品項生產鍋數'!A:H,7,0)</f>
        <v>364</v>
      </c>
      <c r="G2544" s="143">
        <f t="shared" si="388"/>
        <v>1456</v>
      </c>
      <c r="H2544" s="156">
        <v>1344</v>
      </c>
      <c r="I2544" s="144">
        <f t="shared" si="389"/>
        <v>564.48</v>
      </c>
      <c r="J2544" s="100">
        <f t="shared" si="390"/>
        <v>0.92307692307692313</v>
      </c>
      <c r="K2544" s="51">
        <f>VLOOKUP(B:B,'生產達成率(目標)'!A:C,3,0)</f>
        <v>1</v>
      </c>
      <c r="L2544" s="20">
        <f t="shared" si="391"/>
        <v>-7.6999999999999999E-2</v>
      </c>
      <c r="M2544" s="137" t="str">
        <f>工時!R1730</f>
        <v>150</v>
      </c>
      <c r="N2544" s="144"/>
      <c r="O2544" s="144">
        <f t="shared" si="392"/>
        <v>8</v>
      </c>
      <c r="P2544" s="156">
        <v>1336</v>
      </c>
      <c r="Q2544" s="145">
        <f t="shared" si="393"/>
        <v>0.99404761904761907</v>
      </c>
      <c r="R2544" s="144"/>
      <c r="S2544" s="153"/>
      <c r="T2544" s="140" t="s">
        <v>1153</v>
      </c>
      <c r="U2544" s="151"/>
      <c r="V2544" s="464"/>
      <c r="W2544" s="421"/>
      <c r="X2544" s="464"/>
      <c r="Y2544" s="421"/>
      <c r="Z2544" s="421"/>
      <c r="AA2544" s="421"/>
      <c r="AB2544" s="421"/>
      <c r="AC2544" s="421"/>
      <c r="AD2544" s="421"/>
    </row>
    <row r="2545" spans="1:30" x14ac:dyDescent="0.4">
      <c r="A2545" s="212">
        <v>46043</v>
      </c>
      <c r="B2545" s="139" t="s">
        <v>106</v>
      </c>
      <c r="C2545" s="30" t="str">
        <f>VLOOKUP(B2545,'112年全品項生產鍋數'!A:H,2,0)</f>
        <v>小藍莓1*260G</v>
      </c>
      <c r="D2545" s="296">
        <v>16</v>
      </c>
      <c r="E2545" s="48">
        <f>VLOOKUP(B2545,'112年全品項生產鍋數'!A:H,3,0)</f>
        <v>0.26</v>
      </c>
      <c r="F2545" s="142">
        <f>VLOOKUP(B2545,'112年全品項生產鍋數'!A:H,7,0)</f>
        <v>584.29999999999995</v>
      </c>
      <c r="G2545" s="143">
        <f t="shared" si="388"/>
        <v>9348.7999999999993</v>
      </c>
      <c r="H2545" s="156">
        <f>9401</f>
        <v>9401</v>
      </c>
      <c r="I2545" s="23">
        <f t="shared" si="389"/>
        <v>2444.2600000000002</v>
      </c>
      <c r="J2545" s="100">
        <f t="shared" si="390"/>
        <v>1.005583604312853</v>
      </c>
      <c r="K2545" s="51">
        <f>VLOOKUP(B:B,'生產達成率(目標)'!A:C,3,0)</f>
        <v>1</v>
      </c>
      <c r="L2545" s="20">
        <f t="shared" si="391"/>
        <v>6.0000000000000001E-3</v>
      </c>
      <c r="M2545" s="137" t="str">
        <f>工時!R1731</f>
        <v>300</v>
      </c>
      <c r="N2545" s="144"/>
      <c r="O2545" s="144">
        <f t="shared" si="392"/>
        <v>13</v>
      </c>
      <c r="P2545" s="156">
        <v>9388</v>
      </c>
      <c r="Q2545" s="98">
        <f t="shared" si="393"/>
        <v>0.99861716838634185</v>
      </c>
      <c r="R2545" s="23"/>
      <c r="S2545" s="173"/>
      <c r="T2545" s="30" t="s">
        <v>1004</v>
      </c>
      <c r="U2545" s="264"/>
      <c r="V2545" s="463"/>
      <c r="X2545" s="463"/>
    </row>
    <row r="2546" spans="1:30" x14ac:dyDescent="0.4">
      <c r="A2546" s="212">
        <v>46043</v>
      </c>
      <c r="B2546" s="139" t="s">
        <v>63</v>
      </c>
      <c r="C2546" s="30" t="str">
        <f>VLOOKUP(B2546,'112年全品項生產鍋數'!A:H,2,0)</f>
        <v>草莓蒟蒻餡(1*6kg)</v>
      </c>
      <c r="D2546" s="296">
        <v>12</v>
      </c>
      <c r="E2546" s="48">
        <f>VLOOKUP(B2546,'112年全品項生產鍋數'!A:H,3,0)</f>
        <v>6</v>
      </c>
      <c r="F2546" s="142">
        <f>VLOOKUP(B2546,'112年全品項生產鍋數'!A:H,7,0)</f>
        <v>25.7</v>
      </c>
      <c r="G2546" s="143">
        <f t="shared" si="388"/>
        <v>308.39999999999998</v>
      </c>
      <c r="H2546" s="156">
        <v>345</v>
      </c>
      <c r="I2546" s="23">
        <f t="shared" si="389"/>
        <v>2070</v>
      </c>
      <c r="J2546" s="100">
        <f t="shared" si="390"/>
        <v>1.1186770428015564</v>
      </c>
      <c r="K2546" s="51">
        <f>VLOOKUP(B:B,'生產達成率(目標)'!A:C,3,0)</f>
        <v>1</v>
      </c>
      <c r="L2546" s="20">
        <f t="shared" si="391"/>
        <v>0.11899999999999999</v>
      </c>
      <c r="M2546" s="137" t="str">
        <f>工時!R1732</f>
        <v>180</v>
      </c>
      <c r="N2546" s="144"/>
      <c r="O2546" s="144">
        <f t="shared" si="392"/>
        <v>1</v>
      </c>
      <c r="P2546" s="156">
        <v>344</v>
      </c>
      <c r="Q2546" s="98">
        <f t="shared" si="393"/>
        <v>0.99710144927536237</v>
      </c>
      <c r="R2546" s="23"/>
      <c r="S2546" s="173"/>
      <c r="T2546" s="30"/>
      <c r="U2546" s="264"/>
      <c r="V2546" s="463"/>
      <c r="X2546" s="463"/>
    </row>
    <row r="2547" spans="1:30" x14ac:dyDescent="0.4">
      <c r="A2547" s="212">
        <v>46043</v>
      </c>
      <c r="B2547" s="139" t="s">
        <v>81</v>
      </c>
      <c r="C2547" s="30" t="str">
        <f>VLOOKUP(B2547,'112年全品項生產鍋數'!A:H,2,0)</f>
        <v>藍莓餡(1*6Kg)</v>
      </c>
      <c r="D2547" s="296">
        <v>16</v>
      </c>
      <c r="E2547" s="48">
        <f>VLOOKUP(B2547,'112年全品項生產鍋數'!A:H,3,0)</f>
        <v>6</v>
      </c>
      <c r="F2547" s="142">
        <f>VLOOKUP(B2547,'112年全品項生產鍋數'!A:H,7,0)</f>
        <v>25.1</v>
      </c>
      <c r="G2547" s="143">
        <f t="shared" si="388"/>
        <v>401.6</v>
      </c>
      <c r="H2547" s="156">
        <v>401</v>
      </c>
      <c r="I2547" s="23">
        <f t="shared" si="389"/>
        <v>2406</v>
      </c>
      <c r="J2547" s="100">
        <f t="shared" si="390"/>
        <v>0.99850597609561742</v>
      </c>
      <c r="K2547" s="51">
        <f>VLOOKUP(B:B,'生產達成率(目標)'!A:C,3,0)</f>
        <v>1</v>
      </c>
      <c r="L2547" s="20">
        <f t="shared" si="391"/>
        <v>-1E-3</v>
      </c>
      <c r="M2547" s="137" t="str">
        <f>工時!R1733</f>
        <v>225</v>
      </c>
      <c r="N2547" s="144"/>
      <c r="O2547" s="144">
        <f t="shared" si="392"/>
        <v>1</v>
      </c>
      <c r="P2547" s="156">
        <v>400</v>
      </c>
      <c r="Q2547" s="98">
        <f t="shared" si="393"/>
        <v>0.99750623441396513</v>
      </c>
      <c r="R2547" s="23"/>
      <c r="S2547" s="173"/>
      <c r="T2547" s="30" t="s">
        <v>1153</v>
      </c>
      <c r="U2547" s="264"/>
      <c r="V2547" s="463"/>
      <c r="X2547" s="463"/>
    </row>
    <row r="2548" spans="1:30" x14ac:dyDescent="0.4">
      <c r="A2548" s="212">
        <v>46043</v>
      </c>
      <c r="B2548" s="139" t="s">
        <v>75</v>
      </c>
      <c r="C2548" s="30" t="str">
        <f>VLOOKUP(B2548,'112年全品項生產鍋數'!A:H,2,0)</f>
        <v>草莓椰果餡(1*6Kg)</v>
      </c>
      <c r="D2548" s="296">
        <v>20</v>
      </c>
      <c r="E2548" s="48">
        <f>VLOOKUP(B2548,'112年全品項生產鍋數'!A:H,3,0)</f>
        <v>6</v>
      </c>
      <c r="F2548" s="142">
        <f>VLOOKUP(B2548,'112年全品項生產鍋數'!A:H,7,0)</f>
        <v>26.4</v>
      </c>
      <c r="G2548" s="143">
        <f t="shared" si="388"/>
        <v>528</v>
      </c>
      <c r="H2548" s="156">
        <v>542</v>
      </c>
      <c r="I2548" s="23">
        <f t="shared" si="389"/>
        <v>3252</v>
      </c>
      <c r="J2548" s="100">
        <f t="shared" si="390"/>
        <v>1.0265151515151516</v>
      </c>
      <c r="K2548" s="51">
        <f>VLOOKUP(B:B,'生產達成率(目標)'!A:C,3,0)</f>
        <v>1</v>
      </c>
      <c r="L2548" s="20">
        <f t="shared" si="391"/>
        <v>2.7E-2</v>
      </c>
      <c r="M2548" s="137" t="str">
        <f>工時!R1734</f>
        <v>340</v>
      </c>
      <c r="N2548" s="144"/>
      <c r="O2548" s="144">
        <f t="shared" si="392"/>
        <v>2</v>
      </c>
      <c r="P2548" s="156">
        <v>540</v>
      </c>
      <c r="Q2548" s="98">
        <f t="shared" si="393"/>
        <v>0.99630996309963105</v>
      </c>
      <c r="R2548" s="23"/>
      <c r="S2548" s="173"/>
      <c r="T2548" s="30" t="s">
        <v>1153</v>
      </c>
      <c r="U2548" s="264"/>
      <c r="V2548" s="463"/>
      <c r="X2548" s="463"/>
    </row>
    <row r="2549" spans="1:30" x14ac:dyDescent="0.4">
      <c r="A2549" s="212">
        <v>46043</v>
      </c>
      <c r="B2549" s="139" t="s">
        <v>65</v>
      </c>
      <c r="C2549" s="30" t="str">
        <f>VLOOKUP(B2549,'112年全品項生產鍋數'!A:H,2,0)</f>
        <v>＃1花生(1*2.8kg)</v>
      </c>
      <c r="D2549" s="296">
        <v>72</v>
      </c>
      <c r="E2549" s="48">
        <f>VLOOKUP(B2549,'112年全品項生產鍋數'!A:H,3,0)</f>
        <v>2.8</v>
      </c>
      <c r="F2549" s="142">
        <f>VLOOKUP(B2549,'112年全品項生產鍋數'!A:H,7,0)</f>
        <v>44.5</v>
      </c>
      <c r="G2549" s="143">
        <f>D2549*F2549-55*18/E2549</f>
        <v>2850.4285714285716</v>
      </c>
      <c r="H2549" s="156">
        <v>2850</v>
      </c>
      <c r="I2549" s="23">
        <f t="shared" si="389"/>
        <v>7979.9999999999991</v>
      </c>
      <c r="J2549" s="100">
        <f t="shared" si="390"/>
        <v>0.99984964666967369</v>
      </c>
      <c r="K2549" s="51">
        <f>VLOOKUP(B:B,'生產達成率(目標)'!A:C,3,0)</f>
        <v>1</v>
      </c>
      <c r="L2549" s="20">
        <f t="shared" si="391"/>
        <v>0</v>
      </c>
      <c r="M2549" s="137" t="str">
        <f>工時!R1735</f>
        <v>560</v>
      </c>
      <c r="N2549" s="144"/>
      <c r="O2549" s="144">
        <f t="shared" si="392"/>
        <v>2</v>
      </c>
      <c r="P2549" s="156">
        <v>2848</v>
      </c>
      <c r="Q2549" s="98">
        <f t="shared" si="393"/>
        <v>0.99929824561403513</v>
      </c>
      <c r="R2549" s="23"/>
      <c r="S2549" s="173"/>
      <c r="T2549" s="30" t="s">
        <v>1220</v>
      </c>
      <c r="U2549" s="264"/>
      <c r="V2549" s="463"/>
      <c r="X2549" s="463"/>
    </row>
    <row r="2550" spans="1:30" x14ac:dyDescent="0.4">
      <c r="A2550" s="212">
        <v>46043</v>
      </c>
      <c r="B2550" s="139">
        <v>111060</v>
      </c>
      <c r="C2550" s="30" t="str">
        <f>VLOOKUP(B2550,'112年全品項生產鍋數'!A:H,2,0)</f>
        <v>加糖檸檬皮</v>
      </c>
      <c r="D2550" s="296">
        <v>1</v>
      </c>
      <c r="E2550" s="48">
        <f>VLOOKUP(B2550,'112年全品項生產鍋數'!A:H,3,0)</f>
        <v>1</v>
      </c>
      <c r="F2550" s="142">
        <f>VLOOKUP(B2550,'112年全品項生產鍋數'!A:H,7,0)</f>
        <v>0</v>
      </c>
      <c r="G2550" s="143">
        <f t="shared" si="388"/>
        <v>0</v>
      </c>
      <c r="H2550" s="156">
        <v>495</v>
      </c>
      <c r="I2550" s="23">
        <f t="shared" si="389"/>
        <v>495</v>
      </c>
      <c r="J2550" s="100" t="str">
        <f t="shared" si="390"/>
        <v>無法預估數據</v>
      </c>
      <c r="K2550" s="51">
        <f>VLOOKUP(B:B,'生產達成率(目標)'!A:C,3,0)</f>
        <v>1</v>
      </c>
      <c r="L2550" s="20" t="str">
        <f t="shared" si="391"/>
        <v>無法預估數據</v>
      </c>
      <c r="M2550" s="137" t="str">
        <f>工時!R1736</f>
        <v>0</v>
      </c>
      <c r="N2550" s="144"/>
      <c r="O2550" s="144">
        <f t="shared" si="392"/>
        <v>0</v>
      </c>
      <c r="P2550" s="156">
        <v>495</v>
      </c>
      <c r="Q2550" s="98">
        <f t="shared" si="393"/>
        <v>1</v>
      </c>
      <c r="R2550" s="23"/>
      <c r="S2550" s="173"/>
      <c r="T2550" s="30" t="s">
        <v>1153</v>
      </c>
      <c r="U2550" s="264"/>
      <c r="V2550" s="463"/>
      <c r="X2550" s="463"/>
    </row>
    <row r="2551" spans="1:30" x14ac:dyDescent="0.4">
      <c r="A2551" s="212">
        <v>46044</v>
      </c>
      <c r="B2551" s="139" t="s">
        <v>68</v>
      </c>
      <c r="C2551" s="30" t="str">
        <f>VLOOKUP(B2551,'112年全品項生產鍋數'!A:H,2,0)</f>
        <v>#2草莓果醬(1*900g)</v>
      </c>
      <c r="D2551" s="296">
        <v>20</v>
      </c>
      <c r="E2551" s="48">
        <f>VLOOKUP(B2551,'112年全品項生產鍋數'!A:H,3,0)</f>
        <v>0.9</v>
      </c>
      <c r="F2551" s="142">
        <f>VLOOKUP(B2551,'112年全品項生產鍋數'!A:H,7,0)</f>
        <v>160.5</v>
      </c>
      <c r="G2551" s="143">
        <f t="shared" si="388"/>
        <v>3210</v>
      </c>
      <c r="H2551" s="156">
        <v>3215</v>
      </c>
      <c r="I2551" s="23">
        <f t="shared" si="389"/>
        <v>2893.5</v>
      </c>
      <c r="J2551" s="100">
        <f t="shared" si="390"/>
        <v>1.0015576323987538</v>
      </c>
      <c r="K2551" s="51">
        <f>VLOOKUP(B:B,'生產達成率(目標)'!A:C,3,0)</f>
        <v>1</v>
      </c>
      <c r="L2551" s="20">
        <f t="shared" si="391"/>
        <v>2E-3</v>
      </c>
      <c r="M2551" s="137" t="str">
        <f>工時!R1737</f>
        <v>330</v>
      </c>
      <c r="N2551" s="144"/>
      <c r="O2551" s="144">
        <f t="shared" si="392"/>
        <v>13</v>
      </c>
      <c r="P2551" s="156">
        <v>3202</v>
      </c>
      <c r="Q2551" s="98">
        <f t="shared" si="393"/>
        <v>0.9959564541213064</v>
      </c>
      <c r="R2551" s="23"/>
      <c r="S2551" s="173"/>
      <c r="T2551" s="30" t="s">
        <v>1153</v>
      </c>
      <c r="U2551" s="264"/>
      <c r="V2551" s="463"/>
      <c r="X2551" s="463"/>
    </row>
    <row r="2552" spans="1:30" x14ac:dyDescent="0.4">
      <c r="A2552" s="212">
        <v>46044</v>
      </c>
      <c r="B2552" s="139" t="s">
        <v>51</v>
      </c>
      <c r="C2552" s="30" t="str">
        <f>VLOOKUP(B2552,'112年全品項生產鍋數'!A:H,2,0)</f>
        <v>藍莓醬(1*6kg)</v>
      </c>
      <c r="D2552" s="296">
        <v>20</v>
      </c>
      <c r="E2552" s="48">
        <f>VLOOKUP(B2552,'112年全品項生產鍋數'!A:H,3,0)</f>
        <v>6</v>
      </c>
      <c r="F2552" s="142">
        <f>VLOOKUP(B2552,'112年全品項生產鍋數'!A:H,7,0)</f>
        <v>25.5</v>
      </c>
      <c r="G2552" s="143">
        <f t="shared" si="388"/>
        <v>510</v>
      </c>
      <c r="H2552" s="156">
        <v>497</v>
      </c>
      <c r="I2552" s="23">
        <f t="shared" si="389"/>
        <v>2982</v>
      </c>
      <c r="J2552" s="100">
        <f t="shared" si="390"/>
        <v>0.97450980392156861</v>
      </c>
      <c r="K2552" s="51">
        <f>VLOOKUP(B:B,'生產達成率(目標)'!A:C,3,0)</f>
        <v>1</v>
      </c>
      <c r="L2552" s="20">
        <f t="shared" si="391"/>
        <v>-2.5000000000000001E-2</v>
      </c>
      <c r="M2552" s="137" t="str">
        <f>工時!R1738</f>
        <v>270</v>
      </c>
      <c r="N2552" s="144"/>
      <c r="O2552" s="144">
        <f t="shared" si="392"/>
        <v>1</v>
      </c>
      <c r="P2552" s="156">
        <v>496</v>
      </c>
      <c r="Q2552" s="98">
        <f t="shared" si="393"/>
        <v>0.99798792756539234</v>
      </c>
      <c r="R2552" s="23"/>
      <c r="S2552" s="173"/>
      <c r="T2552" s="30" t="s">
        <v>1153</v>
      </c>
      <c r="U2552" s="264"/>
      <c r="V2552" s="463"/>
      <c r="X2552" s="463"/>
    </row>
    <row r="2553" spans="1:30" x14ac:dyDescent="0.4">
      <c r="A2553" s="212">
        <v>46044</v>
      </c>
      <c r="B2553" s="139" t="s">
        <v>63</v>
      </c>
      <c r="C2553" s="30" t="str">
        <f>VLOOKUP(B2553,'112年全品項生產鍋數'!A:H,2,0)</f>
        <v>草莓蒟蒻餡(1*6kg)</v>
      </c>
      <c r="D2553" s="296">
        <v>24</v>
      </c>
      <c r="E2553" s="48">
        <f>VLOOKUP(B2553,'112年全品項生產鍋數'!A:H,3,0)</f>
        <v>6</v>
      </c>
      <c r="F2553" s="142">
        <f>VLOOKUP(B2553,'112年全品項生產鍋數'!A:H,7,0)</f>
        <v>25.7</v>
      </c>
      <c r="G2553" s="143">
        <f t="shared" si="388"/>
        <v>616.79999999999995</v>
      </c>
      <c r="H2553" s="156">
        <f>340+346</f>
        <v>686</v>
      </c>
      <c r="I2553" s="23">
        <f t="shared" si="389"/>
        <v>4116</v>
      </c>
      <c r="J2553" s="100">
        <f t="shared" si="390"/>
        <v>1.1121919584954605</v>
      </c>
      <c r="K2553" s="51">
        <f>VLOOKUP(B:B,'生產達成率(目標)'!A:C,3,0)</f>
        <v>1</v>
      </c>
      <c r="L2553" s="20">
        <f t="shared" si="391"/>
        <v>0.112</v>
      </c>
      <c r="M2553" s="137" t="str">
        <f>工時!R1739</f>
        <v>330</v>
      </c>
      <c r="N2553" s="144"/>
      <c r="O2553" s="144">
        <f t="shared" si="392"/>
        <v>1</v>
      </c>
      <c r="P2553" s="156">
        <f>339+346</f>
        <v>685</v>
      </c>
      <c r="Q2553" s="98">
        <f t="shared" si="393"/>
        <v>0.99854227405247808</v>
      </c>
      <c r="R2553" s="23"/>
      <c r="S2553" s="173"/>
      <c r="T2553" s="30"/>
      <c r="U2553" s="264"/>
      <c r="V2553" s="463"/>
      <c r="X2553" s="463"/>
    </row>
    <row r="2554" spans="1:30" x14ac:dyDescent="0.4">
      <c r="A2554" s="212">
        <v>46044</v>
      </c>
      <c r="B2554" s="139" t="s">
        <v>536</v>
      </c>
      <c r="C2554" s="30" t="str">
        <f>VLOOKUP(B2554,'112年全品項生產鍋數'!A:H,2,0)</f>
        <v>花生醬(1*3.5KG)</v>
      </c>
      <c r="D2554" s="296">
        <v>6</v>
      </c>
      <c r="E2554" s="48">
        <f>VLOOKUP(B2554,'112年全品項生產鍋數'!A:H,3,0)</f>
        <v>3.5</v>
      </c>
      <c r="F2554" s="142">
        <f>VLOOKUP(B2554,'112年全品項生產鍋數'!A:H,7,0)</f>
        <v>25.4</v>
      </c>
      <c r="G2554" s="143">
        <f t="shared" si="388"/>
        <v>152.39999999999998</v>
      </c>
      <c r="H2554" s="156">
        <v>150</v>
      </c>
      <c r="I2554" s="23">
        <f t="shared" si="389"/>
        <v>525</v>
      </c>
      <c r="J2554" s="100">
        <f t="shared" si="390"/>
        <v>0.98425196850393715</v>
      </c>
      <c r="K2554" s="51">
        <f>VLOOKUP(B:B,'生產達成率(目標)'!A:C,3,0)</f>
        <v>1</v>
      </c>
      <c r="L2554" s="20">
        <f t="shared" si="391"/>
        <v>-1.6E-2</v>
      </c>
      <c r="M2554" s="137" t="str">
        <f>工時!R1740</f>
        <v>390</v>
      </c>
      <c r="N2554" s="144"/>
      <c r="O2554" s="144">
        <f t="shared" si="392"/>
        <v>0</v>
      </c>
      <c r="P2554" s="156">
        <v>150</v>
      </c>
      <c r="Q2554" s="98">
        <f t="shared" si="393"/>
        <v>1</v>
      </c>
      <c r="R2554" s="23"/>
      <c r="S2554" s="173"/>
      <c r="T2554" s="30" t="s">
        <v>1153</v>
      </c>
      <c r="U2554" s="264"/>
      <c r="V2554" s="463"/>
      <c r="X2554" s="463"/>
    </row>
    <row r="2555" spans="1:30" s="362" customFormat="1" x14ac:dyDescent="0.4">
      <c r="A2555" s="212">
        <v>46044</v>
      </c>
      <c r="B2555" s="139" t="s">
        <v>1196</v>
      </c>
      <c r="C2555" s="140" t="str">
        <f>VLOOKUP(B2555,'112年全品項生產鍋數'!A:H,2,0)</f>
        <v>PET大花生(1*400g)</v>
      </c>
      <c r="D2555" s="292">
        <v>12</v>
      </c>
      <c r="E2555" s="141">
        <f>VLOOKUP(B2555,'112年全品項生產鍋數'!A:H,3,0)</f>
        <v>0.4</v>
      </c>
      <c r="F2555" s="142">
        <f>VLOOKUP(B2555,'112年全品項生產鍋數'!A:H,7,0)</f>
        <v>309.2</v>
      </c>
      <c r="G2555" s="143">
        <f t="shared" si="388"/>
        <v>3710.3999999999996</v>
      </c>
      <c r="H2555" s="156">
        <v>3445</v>
      </c>
      <c r="I2555" s="144">
        <f t="shared" si="389"/>
        <v>1378</v>
      </c>
      <c r="J2555" s="100">
        <f t="shared" si="390"/>
        <v>0.92847132384648567</v>
      </c>
      <c r="K2555" s="51" t="e">
        <f>VLOOKUP(B:B,'生產達成率(目標)'!A:C,3,0)</f>
        <v>#N/A</v>
      </c>
      <c r="L2555" s="20" t="e">
        <f t="shared" si="391"/>
        <v>#N/A</v>
      </c>
      <c r="M2555" s="137" t="str">
        <f>工時!R1741</f>
        <v>205</v>
      </c>
      <c r="N2555" s="144"/>
      <c r="O2555" s="144">
        <f t="shared" si="392"/>
        <v>3</v>
      </c>
      <c r="P2555" s="156">
        <v>3442</v>
      </c>
      <c r="Q2555" s="145">
        <f t="shared" si="393"/>
        <v>0.99912917271407842</v>
      </c>
      <c r="R2555" s="23" t="s">
        <v>1231</v>
      </c>
      <c r="S2555" s="153">
        <v>134</v>
      </c>
      <c r="T2555" s="140" t="s">
        <v>1219</v>
      </c>
      <c r="U2555" s="151"/>
      <c r="V2555" s="464"/>
      <c r="W2555" s="421"/>
      <c r="X2555" s="464"/>
      <c r="Y2555" s="421"/>
      <c r="Z2555" s="421"/>
      <c r="AA2555" s="421"/>
      <c r="AB2555" s="421"/>
      <c r="AC2555" s="421"/>
      <c r="AD2555" s="421"/>
    </row>
    <row r="2556" spans="1:30" s="362" customFormat="1" x14ac:dyDescent="0.4">
      <c r="A2556" s="212">
        <v>46044</v>
      </c>
      <c r="B2556" s="139" t="s">
        <v>58</v>
      </c>
      <c r="C2556" s="140" t="str">
        <f>VLOOKUP(B2556,'112年全品項生產鍋數'!A:H,2,0)</f>
        <v>PET大花生(1*400g)</v>
      </c>
      <c r="D2556" s="292">
        <v>32</v>
      </c>
      <c r="E2556" s="141">
        <f>VLOOKUP(B2556,'112年全品項生產鍋數'!A:H,3,0)</f>
        <v>0.4</v>
      </c>
      <c r="F2556" s="142">
        <f>VLOOKUP(B2556,'112年全品項生產鍋數'!A:H,7,0)</f>
        <v>309.2</v>
      </c>
      <c r="G2556" s="143">
        <f t="shared" si="388"/>
        <v>9894.4</v>
      </c>
      <c r="H2556" s="156">
        <v>10248</v>
      </c>
      <c r="I2556" s="144">
        <f t="shared" si="389"/>
        <v>4099.2</v>
      </c>
      <c r="J2556" s="100">
        <f t="shared" si="390"/>
        <v>1.0357373868046573</v>
      </c>
      <c r="K2556" s="51">
        <f>VLOOKUP(B:B,'生產達成率(目標)'!A:C,3,0)</f>
        <v>1</v>
      </c>
      <c r="L2556" s="20">
        <f t="shared" si="391"/>
        <v>3.5999999999999997E-2</v>
      </c>
      <c r="M2556" s="137" t="str">
        <f>工時!R1742</f>
        <v>425</v>
      </c>
      <c r="N2556" s="144"/>
      <c r="O2556" s="144">
        <f t="shared" si="392"/>
        <v>3</v>
      </c>
      <c r="P2556" s="156">
        <v>10245</v>
      </c>
      <c r="Q2556" s="145">
        <f t="shared" si="393"/>
        <v>0.99970725995316156</v>
      </c>
      <c r="R2556" s="144"/>
      <c r="S2556" s="153"/>
      <c r="T2556" s="140"/>
      <c r="U2556" s="151"/>
      <c r="V2556" s="464"/>
      <c r="W2556" s="421"/>
      <c r="X2556" s="464"/>
      <c r="Y2556" s="421"/>
      <c r="Z2556" s="421"/>
      <c r="AA2556" s="421"/>
      <c r="AB2556" s="421"/>
      <c r="AC2556" s="421"/>
      <c r="AD2556" s="421"/>
    </row>
    <row r="2557" spans="1:30" s="362" customFormat="1" x14ac:dyDescent="0.4">
      <c r="A2557" s="212">
        <v>46045</v>
      </c>
      <c r="B2557" s="139" t="s">
        <v>91</v>
      </c>
      <c r="C2557" s="140" t="str">
        <f>VLOOKUP(B2557,'112年全品項生產鍋數'!A:H,2,0)</f>
        <v>梨山草莓果醬(1*430g)</v>
      </c>
      <c r="D2557" s="292">
        <v>16</v>
      </c>
      <c r="E2557" s="141">
        <f>VLOOKUP(B2557,'112年全品項生產鍋數'!A:H,3,0)</f>
        <v>0.43</v>
      </c>
      <c r="F2557" s="142">
        <f>VLOOKUP(B2557,'112年全品項生產鍋數'!A:H,7,0)</f>
        <v>340.4</v>
      </c>
      <c r="G2557" s="143">
        <f t="shared" ref="G2557:G2601" si="394">D2557*F2557</f>
        <v>5446.4</v>
      </c>
      <c r="H2557" s="156">
        <f>3339+2162</f>
        <v>5501</v>
      </c>
      <c r="I2557" s="144">
        <f t="shared" si="389"/>
        <v>2365.4299999999998</v>
      </c>
      <c r="J2557" s="100">
        <f t="shared" si="390"/>
        <v>1.0100249706227968</v>
      </c>
      <c r="K2557" s="51">
        <f>VLOOKUP(B:B,'生產達成率(目標)'!A:C,3,0)</f>
        <v>1</v>
      </c>
      <c r="L2557" s="20">
        <f t="shared" si="391"/>
        <v>0.01</v>
      </c>
      <c r="M2557" s="137" t="str">
        <f>工時!R1743</f>
        <v>300</v>
      </c>
      <c r="N2557" s="144"/>
      <c r="O2557" s="144">
        <f t="shared" si="392"/>
        <v>10</v>
      </c>
      <c r="P2557" s="156">
        <f>3331+2160</f>
        <v>5491</v>
      </c>
      <c r="Q2557" s="145">
        <f t="shared" si="393"/>
        <v>0.99818214870023636</v>
      </c>
      <c r="R2557" s="144"/>
      <c r="S2557" s="153"/>
      <c r="T2557" s="140" t="s">
        <v>1221</v>
      </c>
      <c r="U2557" s="151"/>
      <c r="V2557" s="464"/>
      <c r="W2557" s="421"/>
      <c r="X2557" s="464"/>
      <c r="Y2557" s="421"/>
      <c r="Z2557" s="421"/>
      <c r="AA2557" s="421"/>
      <c r="AB2557" s="421"/>
      <c r="AC2557" s="421"/>
      <c r="AD2557" s="421"/>
    </row>
    <row r="2558" spans="1:30" s="362" customFormat="1" x14ac:dyDescent="0.4">
      <c r="A2558" s="212">
        <v>46046</v>
      </c>
      <c r="B2558" s="139" t="s">
        <v>434</v>
      </c>
      <c r="C2558" s="140" t="str">
        <f>VLOOKUP(B2558,'112年全品項生產鍋數'!A:H,2,0)</f>
        <v>蜜桔皮</v>
      </c>
      <c r="D2558" s="292">
        <v>77</v>
      </c>
      <c r="E2558" s="141">
        <f>VLOOKUP(B2558,'112年全品項生產鍋數'!A:H,3,0)</f>
        <v>1</v>
      </c>
      <c r="F2558" s="142">
        <f>VLOOKUP(B2558,'112年全品項生產鍋數'!A:H,7,0)</f>
        <v>6</v>
      </c>
      <c r="G2558" s="143">
        <f>D2558*F2558</f>
        <v>462</v>
      </c>
      <c r="H2558" s="156">
        <v>299</v>
      </c>
      <c r="I2558" s="144">
        <f>H2558*E2558</f>
        <v>299</v>
      </c>
      <c r="J2558" s="100">
        <f>IF(G2558=0,"無法預估數據",H2558/G2558)</f>
        <v>0.6471861471861472</v>
      </c>
      <c r="K2558" s="51">
        <f>VLOOKUP(B:B,'生產達成率(目標)'!A:C,3,0)</f>
        <v>1</v>
      </c>
      <c r="L2558" s="20">
        <f>IF(G2558=0,"無法預估數據",ROUND(J2558-K2558,3))</f>
        <v>-0.35299999999999998</v>
      </c>
      <c r="M2558" s="137"/>
      <c r="N2558" s="144"/>
      <c r="O2558" s="144">
        <f>H2558-N2558-P2558</f>
        <v>0</v>
      </c>
      <c r="P2558" s="156">
        <v>299</v>
      </c>
      <c r="Q2558" s="145">
        <f>P2558/H2558</f>
        <v>1</v>
      </c>
      <c r="R2558" s="144"/>
      <c r="S2558" s="153"/>
      <c r="T2558" s="140"/>
      <c r="U2558" s="151"/>
      <c r="V2558" s="464"/>
      <c r="W2558" s="421"/>
      <c r="X2558" s="464"/>
      <c r="Y2558" s="421"/>
      <c r="Z2558" s="421"/>
      <c r="AA2558" s="421"/>
      <c r="AB2558" s="421"/>
      <c r="AC2558" s="421"/>
      <c r="AD2558" s="421"/>
    </row>
    <row r="2559" spans="1:30" s="362" customFormat="1" x14ac:dyDescent="0.4">
      <c r="A2559" s="212">
        <v>46046</v>
      </c>
      <c r="B2559" s="139" t="s">
        <v>500</v>
      </c>
      <c r="C2559" s="140" t="str">
        <f>VLOOKUP(B2559,'112年全品項生產鍋數'!A:H,2,0)</f>
        <v>蜜餞水果(1*1kg)</v>
      </c>
      <c r="D2559" s="292">
        <v>25</v>
      </c>
      <c r="E2559" s="141">
        <f>VLOOKUP(B2559,'112年全品項生產鍋數'!A:H,3,0)</f>
        <v>1</v>
      </c>
      <c r="F2559" s="142">
        <f>VLOOKUP(B2559,'112年全品項生產鍋數'!A:H,7,0)</f>
        <v>5.7</v>
      </c>
      <c r="G2559" s="143">
        <f>D2559*F2559</f>
        <v>142.5</v>
      </c>
      <c r="H2559" s="156">
        <v>296</v>
      </c>
      <c r="I2559" s="144">
        <f>H2559*E2559</f>
        <v>296</v>
      </c>
      <c r="J2559" s="100">
        <f>IF(G2559=0,"無法預估數據",H2559/G2559)</f>
        <v>2.0771929824561401</v>
      </c>
      <c r="K2559" s="51">
        <f>VLOOKUP(B:B,'生產達成率(目標)'!A:C,3,0)</f>
        <v>1</v>
      </c>
      <c r="L2559" s="20">
        <f>IF(G2559=0,"無法預估數據",ROUND(J2559-K2559,3))</f>
        <v>1.077</v>
      </c>
      <c r="M2559" s="137"/>
      <c r="N2559" s="144"/>
      <c r="O2559" s="144">
        <f>H2559-N2559-P2559</f>
        <v>0</v>
      </c>
      <c r="P2559" s="156">
        <v>296</v>
      </c>
      <c r="Q2559" s="145">
        <f>P2559/H2559</f>
        <v>1</v>
      </c>
      <c r="R2559" s="144"/>
      <c r="S2559" s="153"/>
      <c r="T2559" s="140"/>
      <c r="U2559" s="151"/>
      <c r="V2559" s="464"/>
      <c r="W2559" s="421"/>
      <c r="X2559" s="464"/>
      <c r="Y2559" s="421"/>
      <c r="Z2559" s="421"/>
      <c r="AA2559" s="421"/>
      <c r="AB2559" s="421"/>
      <c r="AC2559" s="421"/>
      <c r="AD2559" s="421"/>
    </row>
    <row r="2560" spans="1:30" x14ac:dyDescent="0.4">
      <c r="A2560" s="212">
        <v>46045</v>
      </c>
      <c r="B2560" s="139" t="s">
        <v>61</v>
      </c>
      <c r="C2560" s="30" t="str">
        <f>VLOOKUP(B2560,'112年全品項生產鍋數'!A:H,2,0)</f>
        <v>大圓草莓-新</v>
      </c>
      <c r="D2560" s="296">
        <v>20</v>
      </c>
      <c r="E2560" s="48">
        <f>VLOOKUP(B2560,'112年全品項生產鍋數'!A:H,3,0)</f>
        <v>0.44</v>
      </c>
      <c r="F2560" s="142">
        <f>VLOOKUP(B2560,'112年全品項生產鍋數'!A:H,7,0)</f>
        <v>344</v>
      </c>
      <c r="G2560" s="143">
        <f t="shared" si="394"/>
        <v>6880</v>
      </c>
      <c r="H2560" s="156">
        <v>6783</v>
      </c>
      <c r="I2560" s="23">
        <f t="shared" si="389"/>
        <v>2984.52</v>
      </c>
      <c r="J2560" s="100">
        <f t="shared" si="390"/>
        <v>0.98590116279069773</v>
      </c>
      <c r="K2560" s="51">
        <f>VLOOKUP(B:B,'生產達成率(目標)'!A:C,3,0)</f>
        <v>1</v>
      </c>
      <c r="L2560" s="20">
        <f t="shared" si="391"/>
        <v>-1.4E-2</v>
      </c>
      <c r="M2560" s="137" t="str">
        <f>工時!R1744</f>
        <v>300</v>
      </c>
      <c r="N2560" s="144"/>
      <c r="O2560" s="144">
        <f t="shared" si="392"/>
        <v>7</v>
      </c>
      <c r="P2560" s="156">
        <v>6776</v>
      </c>
      <c r="Q2560" s="98">
        <f t="shared" si="393"/>
        <v>0.9989680082559339</v>
      </c>
      <c r="R2560" s="23"/>
      <c r="S2560" s="173"/>
      <c r="T2560" s="30"/>
      <c r="U2560" s="264"/>
      <c r="V2560" s="463"/>
      <c r="X2560" s="463"/>
    </row>
    <row r="2561" spans="1:30" x14ac:dyDescent="0.4">
      <c r="A2561" s="212">
        <v>46045</v>
      </c>
      <c r="B2561" s="139" t="s">
        <v>965</v>
      </c>
      <c r="C2561" s="30" t="str">
        <f>VLOOKUP(B2561,'112年全品項生產鍋數'!A:H,2,0)</f>
        <v>草莓餡°(1*6KG)</v>
      </c>
      <c r="D2561" s="296">
        <v>24</v>
      </c>
      <c r="E2561" s="48">
        <f>VLOOKUP(B2561,'112年全品項生產鍋數'!A:H,3,0)</f>
        <v>6</v>
      </c>
      <c r="F2561" s="142">
        <f>VLOOKUP(B2561,'112年全品項生產鍋數'!A:H,7,0)</f>
        <v>0</v>
      </c>
      <c r="G2561" s="143">
        <f t="shared" si="394"/>
        <v>0</v>
      </c>
      <c r="H2561" s="156">
        <v>603</v>
      </c>
      <c r="I2561" s="23">
        <f t="shared" si="389"/>
        <v>3618</v>
      </c>
      <c r="J2561" s="100" t="str">
        <f t="shared" si="390"/>
        <v>無法預估數據</v>
      </c>
      <c r="K2561" s="51">
        <f>VLOOKUP(B:B,'生產達成率(目標)'!A:C,3,0)</f>
        <v>1</v>
      </c>
      <c r="L2561" s="20" t="str">
        <f t="shared" si="391"/>
        <v>無法預估數據</v>
      </c>
      <c r="M2561" s="137" t="str">
        <f>工時!R1745</f>
        <v>340</v>
      </c>
      <c r="N2561" s="144"/>
      <c r="O2561" s="144">
        <f t="shared" si="392"/>
        <v>3</v>
      </c>
      <c r="P2561" s="156">
        <v>600</v>
      </c>
      <c r="Q2561" s="98">
        <f t="shared" si="393"/>
        <v>0.99502487562189057</v>
      </c>
      <c r="R2561" s="23"/>
      <c r="S2561" s="173"/>
      <c r="T2561" s="30" t="s">
        <v>1153</v>
      </c>
      <c r="U2561" s="264"/>
      <c r="V2561" s="463"/>
      <c r="X2561" s="463"/>
    </row>
    <row r="2562" spans="1:30" s="146" customFormat="1" x14ac:dyDescent="0.4">
      <c r="A2562" s="212">
        <v>46045</v>
      </c>
      <c r="B2562" s="139" t="s">
        <v>63</v>
      </c>
      <c r="C2562" s="140" t="str">
        <f>VLOOKUP(B2562,'112年全品項生產鍋數'!A:H,2,0)</f>
        <v>草莓蒟蒻餡(1*6kg)</v>
      </c>
      <c r="D2562" s="292">
        <v>24</v>
      </c>
      <c r="E2562" s="141">
        <f>VLOOKUP(B2562,'112年全品項生產鍋數'!A:H,3,0)</f>
        <v>6</v>
      </c>
      <c r="F2562" s="142">
        <f>VLOOKUP(B2562,'112年全品項生產鍋數'!A:H,7,0)</f>
        <v>25.7</v>
      </c>
      <c r="G2562" s="143">
        <f t="shared" si="394"/>
        <v>616.79999999999995</v>
      </c>
      <c r="H2562" s="156">
        <f>345+351</f>
        <v>696</v>
      </c>
      <c r="I2562" s="144">
        <f t="shared" si="389"/>
        <v>4176</v>
      </c>
      <c r="J2562" s="100">
        <f t="shared" si="390"/>
        <v>1.1284046692607004</v>
      </c>
      <c r="K2562" s="51">
        <f>VLOOKUP(B:B,'生產達成率(目標)'!A:C,3,0)</f>
        <v>1</v>
      </c>
      <c r="L2562" s="20">
        <f t="shared" si="391"/>
        <v>0.128</v>
      </c>
      <c r="M2562" s="137" t="str">
        <f>工時!R1746</f>
        <v>330</v>
      </c>
      <c r="N2562" s="144"/>
      <c r="O2562" s="144">
        <f t="shared" si="392"/>
        <v>1</v>
      </c>
      <c r="P2562" s="156">
        <f>343+352</f>
        <v>695</v>
      </c>
      <c r="Q2562" s="145">
        <f t="shared" si="393"/>
        <v>0.99856321839080464</v>
      </c>
      <c r="R2562" s="144"/>
      <c r="S2562" s="153"/>
      <c r="T2562" s="140"/>
      <c r="U2562" s="151"/>
      <c r="V2562" s="464"/>
      <c r="W2562" s="421"/>
      <c r="X2562" s="464"/>
      <c r="Y2562" s="421"/>
      <c r="Z2562" s="421"/>
      <c r="AA2562" s="421"/>
      <c r="AB2562" s="421"/>
      <c r="AC2562" s="421"/>
      <c r="AD2562" s="421"/>
    </row>
    <row r="2563" spans="1:30" s="146" customFormat="1" x14ac:dyDescent="0.4">
      <c r="A2563" s="212">
        <v>46045</v>
      </c>
      <c r="B2563" s="139" t="s">
        <v>131</v>
      </c>
      <c r="C2563" s="140" t="str">
        <f>VLOOKUP(B2563,'112年全品項生產鍋數'!A:H,2,0)</f>
        <v>花生醬(1*18KG)</v>
      </c>
      <c r="D2563" s="292">
        <v>28</v>
      </c>
      <c r="E2563" s="141">
        <f>VLOOKUP(B2563,'112年全品項生產鍋數'!A:H,3,0)</f>
        <v>18</v>
      </c>
      <c r="F2563" s="142">
        <f>VLOOKUP(B2563,'112年全品項生產鍋數'!A:H,7,0)</f>
        <v>6.9</v>
      </c>
      <c r="G2563" s="143">
        <f t="shared" si="394"/>
        <v>193.20000000000002</v>
      </c>
      <c r="H2563" s="156">
        <v>194</v>
      </c>
      <c r="I2563" s="144">
        <f t="shared" ref="I2563:I2604" si="395">H2563*E2563</f>
        <v>3492</v>
      </c>
      <c r="J2563" s="100">
        <f t="shared" ref="J2563:J2604" si="396">IF(G2563=0,"無法預估數據",H2563/G2563)</f>
        <v>1.0041407867494823</v>
      </c>
      <c r="K2563" s="51">
        <f>VLOOKUP(B:B,'生產達成率(目標)'!A:C,3,0)</f>
        <v>1</v>
      </c>
      <c r="L2563" s="20">
        <f t="shared" ref="L2563:L2604" si="397">IF(G2563=0,"無法預估數據",ROUND(J2563-K2563,3))</f>
        <v>4.0000000000000001E-3</v>
      </c>
      <c r="M2563" s="137" t="str">
        <f>工時!R1747</f>
        <v>240</v>
      </c>
      <c r="N2563" s="144"/>
      <c r="O2563" s="144">
        <f t="shared" ref="O2563:O2604" si="398">H2563-N2563-P2563</f>
        <v>0</v>
      </c>
      <c r="P2563" s="156">
        <v>194</v>
      </c>
      <c r="Q2563" s="145">
        <f t="shared" ref="Q2563:Q2604" si="399">P2563/H2563</f>
        <v>1</v>
      </c>
      <c r="R2563" s="144"/>
      <c r="S2563" s="153"/>
      <c r="T2563" s="140" t="s">
        <v>1153</v>
      </c>
      <c r="U2563" s="151"/>
      <c r="V2563" s="464"/>
      <c r="W2563" s="421"/>
      <c r="X2563" s="464"/>
      <c r="Y2563" s="421"/>
      <c r="Z2563" s="421"/>
      <c r="AA2563" s="421"/>
      <c r="AB2563" s="421"/>
      <c r="AC2563" s="421"/>
      <c r="AD2563" s="421"/>
    </row>
    <row r="2564" spans="1:30" s="146" customFormat="1" x14ac:dyDescent="0.4">
      <c r="A2564" s="212">
        <v>46045</v>
      </c>
      <c r="B2564" s="139" t="s">
        <v>65</v>
      </c>
      <c r="C2564" s="140" t="str">
        <f>VLOOKUP(B2564,'112年全品項生產鍋數'!A:H,2,0)</f>
        <v>＃1花生(1*2.8kg)</v>
      </c>
      <c r="D2564" s="292">
        <v>44</v>
      </c>
      <c r="E2564" s="141">
        <f>VLOOKUP(B2564,'112年全品項生產鍋數'!A:H,3,0)</f>
        <v>2.8</v>
      </c>
      <c r="F2564" s="142">
        <f>VLOOKUP(B2564,'112年全品項生產鍋數'!A:H,7,0)</f>
        <v>44.5</v>
      </c>
      <c r="G2564" s="143">
        <f t="shared" si="394"/>
        <v>1958</v>
      </c>
      <c r="H2564" s="156">
        <f>1086+900</f>
        <v>1986</v>
      </c>
      <c r="I2564" s="144">
        <f t="shared" si="395"/>
        <v>5560.7999999999993</v>
      </c>
      <c r="J2564" s="100">
        <f t="shared" si="396"/>
        <v>1.0143003064351379</v>
      </c>
      <c r="K2564" s="51">
        <f>VLOOKUP(B:B,'生產達成率(目標)'!A:C,3,0)</f>
        <v>1</v>
      </c>
      <c r="L2564" s="20">
        <f t="shared" si="397"/>
        <v>1.4E-2</v>
      </c>
      <c r="M2564" s="137" t="str">
        <f>工時!R1748</f>
        <v>355</v>
      </c>
      <c r="N2564" s="144"/>
      <c r="O2564" s="144">
        <f t="shared" si="398"/>
        <v>3</v>
      </c>
      <c r="P2564" s="156">
        <f>1084+899</f>
        <v>1983</v>
      </c>
      <c r="Q2564" s="145">
        <f t="shared" si="399"/>
        <v>0.99848942598187307</v>
      </c>
      <c r="R2564" s="144"/>
      <c r="S2564" s="153"/>
      <c r="T2564" s="140" t="s">
        <v>628</v>
      </c>
      <c r="U2564" s="151"/>
      <c r="V2564" s="464"/>
      <c r="W2564" s="421"/>
      <c r="X2564" s="464"/>
      <c r="Y2564" s="421"/>
      <c r="Z2564" s="421"/>
      <c r="AA2564" s="421"/>
      <c r="AB2564" s="421"/>
      <c r="AC2564" s="421"/>
      <c r="AD2564" s="421"/>
    </row>
    <row r="2565" spans="1:30" x14ac:dyDescent="0.4">
      <c r="A2565" s="212">
        <v>46045</v>
      </c>
      <c r="B2565" s="139">
        <v>111050</v>
      </c>
      <c r="C2565" s="30" t="str">
        <f>VLOOKUP(B2565,'112年全品項生產鍋數'!A:H,2,0)</f>
        <v>糖漬檸檬絲</v>
      </c>
      <c r="D2565" s="296">
        <v>1</v>
      </c>
      <c r="E2565" s="48">
        <f>VLOOKUP(B2565,'112年全品項生產鍋數'!A:H,3,0)</f>
        <v>1</v>
      </c>
      <c r="F2565" s="142">
        <f>VLOOKUP(B2565,'112年全品項生產鍋數'!A:H,7,0)</f>
        <v>1224</v>
      </c>
      <c r="G2565" s="359">
        <f t="shared" si="394"/>
        <v>1224</v>
      </c>
      <c r="H2565" s="156">
        <v>750</v>
      </c>
      <c r="I2565" s="23">
        <f t="shared" si="395"/>
        <v>750</v>
      </c>
      <c r="J2565" s="100">
        <f t="shared" si="396"/>
        <v>0.61274509803921573</v>
      </c>
      <c r="K2565" s="51">
        <f>VLOOKUP(B:B,'生產達成率(目標)'!A:C,3,0)</f>
        <v>1</v>
      </c>
      <c r="L2565" s="20">
        <f t="shared" si="397"/>
        <v>-0.38700000000000001</v>
      </c>
      <c r="M2565" s="137"/>
      <c r="N2565" s="144"/>
      <c r="O2565" s="144">
        <f t="shared" si="398"/>
        <v>0</v>
      </c>
      <c r="P2565" s="156">
        <v>750</v>
      </c>
      <c r="Q2565" s="98">
        <f t="shared" si="399"/>
        <v>1</v>
      </c>
      <c r="R2565" s="23"/>
      <c r="S2565" s="173"/>
      <c r="T2565" s="30" t="s">
        <v>46</v>
      </c>
      <c r="U2565" s="264"/>
      <c r="V2565" s="463"/>
      <c r="X2565" s="463"/>
    </row>
    <row r="2566" spans="1:30" x14ac:dyDescent="0.4">
      <c r="A2566" s="212">
        <v>46048</v>
      </c>
      <c r="B2566" s="139" t="s">
        <v>71</v>
      </c>
      <c r="C2566" s="30" t="str">
        <f>VLOOKUP(B2566,'112年全品項生產鍋數'!A:H,2,0)</f>
        <v>＃1草莓(1*3.2kg)</v>
      </c>
      <c r="D2566" s="296">
        <v>72</v>
      </c>
      <c r="E2566" s="48">
        <f>VLOOKUP(B2566,'112年全品項生產鍋數'!A:H,3,0)</f>
        <v>3.2</v>
      </c>
      <c r="F2566" s="142">
        <f>VLOOKUP(B2566,'112年全品項生產鍋數'!A:H,7,0)</f>
        <v>46.8</v>
      </c>
      <c r="G2566" s="143">
        <f t="shared" si="394"/>
        <v>3369.6</v>
      </c>
      <c r="H2566" s="156">
        <v>3431</v>
      </c>
      <c r="I2566" s="23">
        <f t="shared" si="395"/>
        <v>10979.2</v>
      </c>
      <c r="J2566" s="100">
        <f t="shared" si="396"/>
        <v>1.0182217473884141</v>
      </c>
      <c r="K2566" s="51">
        <f>VLOOKUP(B:B,'生產達成率(目標)'!A:C,3,0)</f>
        <v>1</v>
      </c>
      <c r="L2566" s="20">
        <f t="shared" si="397"/>
        <v>1.7999999999999999E-2</v>
      </c>
      <c r="M2566" s="137" t="str">
        <f>工時!R1750</f>
        <v>570</v>
      </c>
      <c r="N2566" s="144"/>
      <c r="O2566" s="144">
        <f t="shared" si="398"/>
        <v>3</v>
      </c>
      <c r="P2566" s="156">
        <v>3428</v>
      </c>
      <c r="Q2566" s="98">
        <f t="shared" si="399"/>
        <v>0.99912561935295829</v>
      </c>
      <c r="R2566" s="23"/>
      <c r="S2566" s="173"/>
      <c r="T2566" s="30"/>
      <c r="U2566" s="264"/>
      <c r="V2566" s="463"/>
      <c r="X2566" s="463"/>
    </row>
    <row r="2567" spans="1:30" x14ac:dyDescent="0.4">
      <c r="A2567" s="212">
        <v>46048</v>
      </c>
      <c r="B2567" s="139" t="s">
        <v>1046</v>
      </c>
      <c r="C2567" s="30" t="str">
        <f>VLOOKUP(B2567,'112年全品項生產鍋數'!A:H,2,0)</f>
        <v>藍莓顆粒果醬(1*6kg)</v>
      </c>
      <c r="D2567" s="296">
        <v>24</v>
      </c>
      <c r="E2567" s="48">
        <f>VLOOKUP(B2567,'112年全品項生產鍋數'!A:H,3,0)</f>
        <v>6</v>
      </c>
      <c r="F2567" s="142">
        <f>VLOOKUP(B2567,'112年全品項生產鍋數'!A:H,7,0)</f>
        <v>0</v>
      </c>
      <c r="G2567" s="143">
        <f t="shared" si="394"/>
        <v>0</v>
      </c>
      <c r="H2567" s="156">
        <v>621</v>
      </c>
      <c r="I2567" s="23">
        <f t="shared" si="395"/>
        <v>3726</v>
      </c>
      <c r="J2567" s="100" t="str">
        <f t="shared" si="396"/>
        <v>無法預估數據</v>
      </c>
      <c r="K2567" s="51">
        <f>VLOOKUP(B:B,'生產達成率(目標)'!A:C,3,0)</f>
        <v>1</v>
      </c>
      <c r="L2567" s="20" t="str">
        <f t="shared" si="397"/>
        <v>無法預估數據</v>
      </c>
      <c r="M2567" s="137" t="str">
        <f>工時!R1751</f>
        <v>340</v>
      </c>
      <c r="N2567" s="144"/>
      <c r="O2567" s="144">
        <f t="shared" si="398"/>
        <v>6</v>
      </c>
      <c r="P2567" s="156">
        <v>615</v>
      </c>
      <c r="Q2567" s="98">
        <f t="shared" si="399"/>
        <v>0.99033816425120769</v>
      </c>
      <c r="R2567" s="23"/>
      <c r="S2567" s="173"/>
      <c r="T2567" s="30"/>
      <c r="U2567" s="264"/>
      <c r="V2567" s="463"/>
      <c r="X2567" s="463"/>
    </row>
    <row r="2568" spans="1:30" x14ac:dyDescent="0.4">
      <c r="A2568" s="212">
        <v>46048</v>
      </c>
      <c r="B2568" s="139" t="s">
        <v>63</v>
      </c>
      <c r="C2568" s="30" t="str">
        <f>VLOOKUP(B2568,'112年全品項生產鍋數'!A:H,2,0)</f>
        <v>草莓蒟蒻餡(1*6kg)</v>
      </c>
      <c r="D2568" s="296">
        <v>20</v>
      </c>
      <c r="E2568" s="48">
        <f>VLOOKUP(B2568,'112年全品項生產鍋數'!A:H,3,0)</f>
        <v>6</v>
      </c>
      <c r="F2568" s="142">
        <f>VLOOKUP(B2568,'112年全品項生產鍋數'!A:H,7,0)</f>
        <v>25.7</v>
      </c>
      <c r="G2568" s="143">
        <f t="shared" si="394"/>
        <v>514</v>
      </c>
      <c r="H2568" s="156">
        <f>333+241</f>
        <v>574</v>
      </c>
      <c r="I2568" s="23">
        <f t="shared" si="395"/>
        <v>3444</v>
      </c>
      <c r="J2568" s="100">
        <f t="shared" si="396"/>
        <v>1.1167315175097277</v>
      </c>
      <c r="K2568" s="51">
        <f>VLOOKUP(B:B,'生產達成率(目標)'!A:C,3,0)</f>
        <v>1</v>
      </c>
      <c r="L2568" s="20">
        <f t="shared" si="397"/>
        <v>0.11700000000000001</v>
      </c>
      <c r="M2568" s="137" t="str">
        <f>工時!R1752</f>
        <v>270</v>
      </c>
      <c r="N2568" s="144"/>
      <c r="O2568" s="144">
        <f t="shared" si="398"/>
        <v>2</v>
      </c>
      <c r="P2568" s="156">
        <f>332+240</f>
        <v>572</v>
      </c>
      <c r="Q2568" s="98">
        <f t="shared" si="399"/>
        <v>0.99651567944250874</v>
      </c>
      <c r="R2568" s="23"/>
      <c r="S2568" s="173"/>
      <c r="T2568" s="30"/>
      <c r="U2568" s="264"/>
      <c r="V2568" s="463"/>
      <c r="X2568" s="463"/>
    </row>
    <row r="2569" spans="1:30" x14ac:dyDescent="0.4">
      <c r="A2569" s="212">
        <v>46048</v>
      </c>
      <c r="B2569" s="139" t="s">
        <v>110</v>
      </c>
      <c r="C2569" s="30" t="str">
        <f>VLOOKUP(B2569,'112年全品項生產鍋數'!A:H,2,0)</f>
        <v>顆粒花生醬(1*12KG)</v>
      </c>
      <c r="D2569" s="296">
        <v>21</v>
      </c>
      <c r="E2569" s="48">
        <f>VLOOKUP(B2569,'112年全品項生產鍋數'!A:H,3,0)</f>
        <v>3</v>
      </c>
      <c r="F2569" s="142">
        <f>VLOOKUP(B2569,'112年全品項生產鍋數'!A:H,7,0)</f>
        <v>30.8</v>
      </c>
      <c r="G2569" s="143">
        <f t="shared" si="394"/>
        <v>646.80000000000007</v>
      </c>
      <c r="H2569" s="156">
        <v>648</v>
      </c>
      <c r="I2569" s="23">
        <f t="shared" si="395"/>
        <v>1944</v>
      </c>
      <c r="J2569" s="100">
        <f t="shared" si="396"/>
        <v>1.0018552875695732</v>
      </c>
      <c r="K2569" s="51">
        <f>VLOOKUP(B:B,'生產達成率(目標)'!A:C,3,0)</f>
        <v>1</v>
      </c>
      <c r="L2569" s="20">
        <f t="shared" si="397"/>
        <v>2E-3</v>
      </c>
      <c r="M2569" s="137" t="str">
        <f>工時!R1753</f>
        <v>600</v>
      </c>
      <c r="N2569" s="144"/>
      <c r="O2569" s="144">
        <f t="shared" si="398"/>
        <v>0</v>
      </c>
      <c r="P2569" s="156">
        <v>648</v>
      </c>
      <c r="Q2569" s="98">
        <f t="shared" si="399"/>
        <v>1</v>
      </c>
      <c r="R2569" s="23"/>
      <c r="S2569" s="173"/>
      <c r="T2569" s="30"/>
      <c r="U2569" s="264"/>
      <c r="V2569" s="463"/>
      <c r="X2569" s="463"/>
    </row>
    <row r="2570" spans="1:30" s="362" customFormat="1" x14ac:dyDescent="0.4">
      <c r="A2570" s="212">
        <v>46048</v>
      </c>
      <c r="B2570" s="139">
        <v>153010</v>
      </c>
      <c r="C2570" s="140" t="str">
        <f>VLOOKUP(B2570,'112年全品項生產鍋數'!A:H,2,0)</f>
        <v>蜜桔皮6m/m</v>
      </c>
      <c r="D2570" s="292">
        <v>1</v>
      </c>
      <c r="E2570" s="141">
        <f>VLOOKUP(B2570,'112年全品項生產鍋數'!A:H,3,0)</f>
        <v>1</v>
      </c>
      <c r="F2570" s="142">
        <f>VLOOKUP(B2570,'112年全品項生產鍋數'!A:H,7,0)</f>
        <v>591</v>
      </c>
      <c r="G2570" s="143">
        <f t="shared" si="394"/>
        <v>591</v>
      </c>
      <c r="H2570" s="156">
        <v>584</v>
      </c>
      <c r="I2570" s="144">
        <f t="shared" si="395"/>
        <v>584</v>
      </c>
      <c r="J2570" s="100">
        <f t="shared" si="396"/>
        <v>0.98815566835871405</v>
      </c>
      <c r="K2570" s="51">
        <f>VLOOKUP(B:B,'生產達成率(目標)'!A:C,3,0)</f>
        <v>1</v>
      </c>
      <c r="L2570" s="20">
        <f t="shared" si="397"/>
        <v>-1.2E-2</v>
      </c>
      <c r="M2570" s="137" t="str">
        <f>工時!R1754</f>
        <v>0</v>
      </c>
      <c r="N2570" s="144"/>
      <c r="O2570" s="144">
        <f t="shared" si="398"/>
        <v>0</v>
      </c>
      <c r="P2570" s="156">
        <v>584</v>
      </c>
      <c r="Q2570" s="145">
        <f t="shared" si="399"/>
        <v>1</v>
      </c>
      <c r="R2570" s="144"/>
      <c r="S2570" s="153"/>
      <c r="T2570" s="140"/>
      <c r="U2570" s="151"/>
      <c r="V2570" s="464"/>
      <c r="W2570" s="421"/>
      <c r="X2570" s="464"/>
      <c r="Y2570" s="421"/>
      <c r="Z2570" s="421"/>
      <c r="AA2570" s="421"/>
      <c r="AB2570" s="421"/>
      <c r="AC2570" s="421"/>
      <c r="AD2570" s="421"/>
    </row>
    <row r="2571" spans="1:30" x14ac:dyDescent="0.4">
      <c r="A2571" s="212">
        <v>46049</v>
      </c>
      <c r="B2571" s="139" t="s">
        <v>61</v>
      </c>
      <c r="C2571" s="30" t="str">
        <f>VLOOKUP(B2571,'112年全品項生產鍋數'!A:H,2,0)</f>
        <v>大圓草莓-新</v>
      </c>
      <c r="D2571" s="296">
        <v>44</v>
      </c>
      <c r="E2571" s="48">
        <f>VLOOKUP(B2571,'112年全品項生產鍋數'!A:H,3,0)</f>
        <v>0.44</v>
      </c>
      <c r="F2571" s="142">
        <f>VLOOKUP(B2571,'112年全品項生產鍋數'!A:H,7,0)</f>
        <v>344</v>
      </c>
      <c r="G2571" s="143">
        <f t="shared" si="394"/>
        <v>15136</v>
      </c>
      <c r="H2571" s="156">
        <v>15093</v>
      </c>
      <c r="I2571" s="23">
        <f t="shared" si="395"/>
        <v>6640.92</v>
      </c>
      <c r="J2571" s="100">
        <f t="shared" si="396"/>
        <v>0.99715909090909094</v>
      </c>
      <c r="K2571" s="51">
        <f>VLOOKUP(B:B,'生產達成率(目標)'!A:C,3,0)</f>
        <v>1</v>
      </c>
      <c r="L2571" s="20">
        <f t="shared" si="397"/>
        <v>-3.0000000000000001E-3</v>
      </c>
      <c r="M2571" s="137" t="str">
        <f>工時!R1755</f>
        <v>570</v>
      </c>
      <c r="N2571" s="144"/>
      <c r="O2571" s="144">
        <f t="shared" si="398"/>
        <v>14</v>
      </c>
      <c r="P2571" s="156">
        <v>15079</v>
      </c>
      <c r="Q2571" s="98">
        <f t="shared" si="399"/>
        <v>0.99907241767706889</v>
      </c>
      <c r="R2571" s="23"/>
      <c r="S2571" s="173"/>
      <c r="T2571" s="30"/>
      <c r="U2571" s="264"/>
      <c r="V2571" s="463"/>
      <c r="X2571" s="463"/>
    </row>
    <row r="2572" spans="1:30" x14ac:dyDescent="0.4">
      <c r="A2572" s="212">
        <v>46049</v>
      </c>
      <c r="B2572" s="139" t="s">
        <v>63</v>
      </c>
      <c r="C2572" s="30" t="str">
        <f>VLOOKUP(B2572,'112年全品項生產鍋數'!A:H,2,0)</f>
        <v>草莓蒟蒻餡(1*6kg)</v>
      </c>
      <c r="D2572" s="296">
        <v>20</v>
      </c>
      <c r="E2572" s="48">
        <f>VLOOKUP(B2572,'112年全品項生產鍋數'!A:H,3,0)</f>
        <v>6</v>
      </c>
      <c r="F2572" s="142">
        <f>VLOOKUP(B2572,'112年全品項生產鍋數'!A:H,7,0)</f>
        <v>25.7</v>
      </c>
      <c r="G2572" s="143">
        <f t="shared" si="394"/>
        <v>514</v>
      </c>
      <c r="H2572" s="156">
        <f>343+237</f>
        <v>580</v>
      </c>
      <c r="I2572" s="23">
        <f t="shared" si="395"/>
        <v>3480</v>
      </c>
      <c r="J2572" s="100">
        <f t="shared" si="396"/>
        <v>1.1284046692607004</v>
      </c>
      <c r="K2572" s="51">
        <f>VLOOKUP(B:B,'生產達成率(目標)'!A:C,3,0)</f>
        <v>1</v>
      </c>
      <c r="L2572" s="20">
        <f t="shared" si="397"/>
        <v>0.128</v>
      </c>
      <c r="M2572" s="137" t="str">
        <f>工時!R1756</f>
        <v>270</v>
      </c>
      <c r="N2572" s="144"/>
      <c r="O2572" s="144">
        <f t="shared" si="398"/>
        <v>2</v>
      </c>
      <c r="P2572" s="156">
        <f>341+237</f>
        <v>578</v>
      </c>
      <c r="Q2572" s="98">
        <f t="shared" si="399"/>
        <v>0.99655172413793103</v>
      </c>
      <c r="R2572" s="23"/>
      <c r="S2572" s="173"/>
      <c r="T2572" s="30"/>
      <c r="U2572" s="264"/>
      <c r="V2572" s="463"/>
      <c r="X2572" s="463"/>
    </row>
    <row r="2573" spans="1:30" x14ac:dyDescent="0.4">
      <c r="A2573" s="212">
        <v>46049</v>
      </c>
      <c r="B2573" s="139" t="s">
        <v>76</v>
      </c>
      <c r="C2573" s="30" t="str">
        <f>VLOOKUP(B2573,'112年全品項生產鍋數'!A:H,2,0)</f>
        <v>草莓餡(1*6Kg)</v>
      </c>
      <c r="D2573" s="296">
        <v>6</v>
      </c>
      <c r="E2573" s="48">
        <f>VLOOKUP(B2573,'112年全品項生產鍋數'!A:H,3,0)</f>
        <v>6</v>
      </c>
      <c r="F2573" s="142">
        <f>VLOOKUP(B2573,'112年全品項生產鍋數'!A:H,7,0)</f>
        <v>25.5</v>
      </c>
      <c r="G2573" s="143">
        <f t="shared" si="394"/>
        <v>153</v>
      </c>
      <c r="H2573" s="156">
        <v>162</v>
      </c>
      <c r="I2573" s="23">
        <f t="shared" si="395"/>
        <v>972</v>
      </c>
      <c r="J2573" s="100">
        <f t="shared" si="396"/>
        <v>1.0588235294117647</v>
      </c>
      <c r="K2573" s="51">
        <f>VLOOKUP(B:B,'生產達成率(目標)'!A:C,3,0)</f>
        <v>1</v>
      </c>
      <c r="L2573" s="20">
        <f t="shared" si="397"/>
        <v>5.8999999999999997E-2</v>
      </c>
      <c r="M2573" s="137" t="str">
        <f>工時!R1757</f>
        <v>147</v>
      </c>
      <c r="N2573" s="144"/>
      <c r="O2573" s="144">
        <f t="shared" si="398"/>
        <v>1</v>
      </c>
      <c r="P2573" s="156">
        <v>161</v>
      </c>
      <c r="Q2573" s="98">
        <f t="shared" si="399"/>
        <v>0.99382716049382713</v>
      </c>
      <c r="R2573" s="23"/>
      <c r="S2573" s="173"/>
      <c r="T2573" s="30"/>
      <c r="U2573" s="264"/>
      <c r="V2573" s="463"/>
      <c r="X2573" s="463"/>
    </row>
    <row r="2574" spans="1:30" x14ac:dyDescent="0.4">
      <c r="A2574" s="212">
        <v>46049</v>
      </c>
      <c r="B2574" s="139" t="s">
        <v>75</v>
      </c>
      <c r="C2574" s="30" t="str">
        <f>VLOOKUP(B2574,'112年全品項生產鍋數'!A:H,2,0)</f>
        <v>草莓椰果餡(1*6Kg)</v>
      </c>
      <c r="D2574" s="296">
        <v>16</v>
      </c>
      <c r="E2574" s="48">
        <f>VLOOKUP(B2574,'112年全品項生產鍋數'!A:H,3,0)</f>
        <v>6</v>
      </c>
      <c r="F2574" s="142">
        <f>VLOOKUP(B2574,'112年全品項生產鍋數'!A:H,7,0)</f>
        <v>26.4</v>
      </c>
      <c r="G2574" s="143">
        <f t="shared" si="394"/>
        <v>422.4</v>
      </c>
      <c r="H2574" s="156">
        <v>434</v>
      </c>
      <c r="I2574" s="23">
        <f t="shared" si="395"/>
        <v>2604</v>
      </c>
      <c r="J2574" s="100">
        <f t="shared" si="396"/>
        <v>1.0274621212121213</v>
      </c>
      <c r="K2574" s="51">
        <f>VLOOKUP(B:B,'生產達成率(目標)'!A:C,3,0)</f>
        <v>1</v>
      </c>
      <c r="L2574" s="20">
        <f t="shared" si="397"/>
        <v>2.7E-2</v>
      </c>
      <c r="M2574" s="137" t="str">
        <f>工時!R1758</f>
        <v>245</v>
      </c>
      <c r="N2574" s="144"/>
      <c r="O2574" s="144">
        <f t="shared" si="398"/>
        <v>3</v>
      </c>
      <c r="P2574" s="156">
        <v>431</v>
      </c>
      <c r="Q2574" s="98">
        <f t="shared" si="399"/>
        <v>0.99308755760368661</v>
      </c>
      <c r="R2574" s="23"/>
      <c r="S2574" s="173"/>
      <c r="T2574" s="30"/>
      <c r="U2574" s="264"/>
      <c r="V2574" s="463"/>
      <c r="X2574" s="463"/>
    </row>
    <row r="2575" spans="1:30" x14ac:dyDescent="0.4">
      <c r="A2575" s="212">
        <v>46049</v>
      </c>
      <c r="B2575" s="139" t="s">
        <v>65</v>
      </c>
      <c r="C2575" s="30" t="str">
        <f>VLOOKUP(B2575,'112年全品項生產鍋數'!A:H,2,0)</f>
        <v>＃1花生(1*2.8kg)</v>
      </c>
      <c r="D2575" s="296">
        <v>60</v>
      </c>
      <c r="E2575" s="48">
        <f>VLOOKUP(B2575,'112年全品項生產鍋數'!A:H,3,0)</f>
        <v>2.8</v>
      </c>
      <c r="F2575" s="142">
        <f>VLOOKUP(B2575,'112年全品項生產鍋數'!A:H,7,0)</f>
        <v>44.5</v>
      </c>
      <c r="G2575" s="143">
        <f>D2575*F2575-18*20/E2575</f>
        <v>2541.4285714285716</v>
      </c>
      <c r="H2575" s="156">
        <v>2544</v>
      </c>
      <c r="I2575" s="23">
        <f t="shared" si="395"/>
        <v>7123.2</v>
      </c>
      <c r="J2575" s="100">
        <f t="shared" si="396"/>
        <v>1.0010118043844856</v>
      </c>
      <c r="K2575" s="51">
        <f>VLOOKUP(B:B,'生產達成率(目標)'!A:C,3,0)</f>
        <v>1</v>
      </c>
      <c r="L2575" s="20">
        <f t="shared" si="397"/>
        <v>1E-3</v>
      </c>
      <c r="M2575" s="137" t="str">
        <f>工時!R1759</f>
        <v>465</v>
      </c>
      <c r="N2575" s="144"/>
      <c r="O2575" s="144">
        <f t="shared" si="398"/>
        <v>2</v>
      </c>
      <c r="P2575" s="156">
        <v>2542</v>
      </c>
      <c r="Q2575" s="98">
        <f t="shared" si="399"/>
        <v>0.99921383647798745</v>
      </c>
      <c r="R2575" s="23"/>
      <c r="S2575" s="173"/>
      <c r="T2575" s="30" t="s">
        <v>1225</v>
      </c>
      <c r="U2575" s="264"/>
      <c r="V2575" s="463"/>
      <c r="X2575" s="463"/>
    </row>
    <row r="2576" spans="1:30" x14ac:dyDescent="0.4">
      <c r="A2576" s="212">
        <v>46050</v>
      </c>
      <c r="B2576" s="139" t="s">
        <v>68</v>
      </c>
      <c r="C2576" s="30" t="str">
        <f>VLOOKUP(B2576,'112年全品項生產鍋數'!A:H,2,0)</f>
        <v>#2草莓果醬(1*900g)</v>
      </c>
      <c r="D2576" s="296">
        <v>40</v>
      </c>
      <c r="E2576" s="48">
        <f>VLOOKUP(B2576,'112年全品項生產鍋數'!A:H,3,0)</f>
        <v>0.9</v>
      </c>
      <c r="F2576" s="142">
        <f>VLOOKUP(B2576,'112年全品項生產鍋數'!A:H,7,0)</f>
        <v>160.5</v>
      </c>
      <c r="G2576" s="143">
        <f t="shared" si="394"/>
        <v>6420</v>
      </c>
      <c r="H2576" s="156">
        <v>6567</v>
      </c>
      <c r="I2576" s="23">
        <f t="shared" si="395"/>
        <v>5910.3</v>
      </c>
      <c r="J2576" s="100">
        <f t="shared" si="396"/>
        <v>1.0228971962616822</v>
      </c>
      <c r="K2576" s="51">
        <f>VLOOKUP(B:B,'生產達成率(目標)'!A:C,3,0)</f>
        <v>1</v>
      </c>
      <c r="L2576" s="20">
        <f t="shared" si="397"/>
        <v>2.3E-2</v>
      </c>
      <c r="M2576" s="137" t="str">
        <f>工時!R1760</f>
        <v>540</v>
      </c>
      <c r="N2576" s="144"/>
      <c r="O2576" s="144">
        <f t="shared" si="398"/>
        <v>2</v>
      </c>
      <c r="P2576" s="156">
        <v>6565</v>
      </c>
      <c r="Q2576" s="98">
        <f t="shared" si="399"/>
        <v>0.99969544693162782</v>
      </c>
      <c r="R2576" s="23"/>
      <c r="S2576" s="173"/>
      <c r="T2576" s="30"/>
      <c r="U2576" s="264"/>
      <c r="V2576" s="463"/>
      <c r="X2576" s="463"/>
    </row>
    <row r="2577" spans="1:30" x14ac:dyDescent="0.4">
      <c r="A2577" s="212">
        <v>46050</v>
      </c>
      <c r="B2577" s="139" t="s">
        <v>107</v>
      </c>
      <c r="C2577" s="30" t="str">
        <f>VLOOKUP(B2577,'112年全品項生產鍋數'!A:H,2,0)</f>
        <v>藍莓餡(1*6kg)</v>
      </c>
      <c r="D2577" s="296">
        <v>16</v>
      </c>
      <c r="E2577" s="48">
        <f>VLOOKUP(B2577,'112年全品項生產鍋數'!A:H,3,0)</f>
        <v>6</v>
      </c>
      <c r="F2577" s="142">
        <f>VLOOKUP(B2577,'112年全品項生產鍋數'!A:H,7,0)</f>
        <v>26.4</v>
      </c>
      <c r="G2577" s="143">
        <f t="shared" si="394"/>
        <v>422.4</v>
      </c>
      <c r="H2577" s="156">
        <v>415</v>
      </c>
      <c r="I2577" s="23">
        <f t="shared" si="395"/>
        <v>2490</v>
      </c>
      <c r="J2577" s="100">
        <f t="shared" si="396"/>
        <v>0.98248106060606066</v>
      </c>
      <c r="K2577" s="51">
        <f>VLOOKUP(B:B,'生產達成率(目標)'!A:C,3,0)</f>
        <v>1</v>
      </c>
      <c r="L2577" s="20">
        <f t="shared" si="397"/>
        <v>-1.7999999999999999E-2</v>
      </c>
      <c r="M2577" s="137" t="str">
        <f>工時!R1761</f>
        <v>240</v>
      </c>
      <c r="N2577" s="144"/>
      <c r="O2577" s="144">
        <f t="shared" si="398"/>
        <v>1</v>
      </c>
      <c r="P2577" s="156">
        <v>414</v>
      </c>
      <c r="Q2577" s="98">
        <f t="shared" si="399"/>
        <v>0.99759036144578317</v>
      </c>
      <c r="R2577" s="23"/>
      <c r="S2577" s="173"/>
      <c r="T2577" s="30"/>
      <c r="U2577" s="264"/>
      <c r="V2577" s="463"/>
      <c r="X2577" s="463"/>
    </row>
    <row r="2578" spans="1:30" x14ac:dyDescent="0.4">
      <c r="A2578" s="212">
        <v>46050</v>
      </c>
      <c r="B2578" s="139" t="s">
        <v>63</v>
      </c>
      <c r="C2578" s="30" t="str">
        <f>VLOOKUP(B2578,'112年全品項生產鍋數'!A:H,2,0)</f>
        <v>草莓蒟蒻餡(1*6kg)</v>
      </c>
      <c r="D2578" s="296">
        <v>28</v>
      </c>
      <c r="E2578" s="48">
        <f>VLOOKUP(B2578,'112年全品項生產鍋數'!A:H,3,0)</f>
        <v>6</v>
      </c>
      <c r="F2578" s="142">
        <f>VLOOKUP(B2578,'112年全品項生產鍋數'!A:H,7,0)</f>
        <v>25.7</v>
      </c>
      <c r="G2578" s="143">
        <f t="shared" si="394"/>
        <v>719.6</v>
      </c>
      <c r="H2578" s="156">
        <f>460+346</f>
        <v>806</v>
      </c>
      <c r="I2578" s="23">
        <f t="shared" si="395"/>
        <v>4836</v>
      </c>
      <c r="J2578" s="100">
        <f t="shared" si="396"/>
        <v>1.1200667037242913</v>
      </c>
      <c r="K2578" s="51">
        <f>VLOOKUP(B:B,'生產達成率(目標)'!A:C,3,0)</f>
        <v>1</v>
      </c>
      <c r="L2578" s="20">
        <f t="shared" si="397"/>
        <v>0.12</v>
      </c>
      <c r="M2578" s="137" t="str">
        <f>工時!R1762</f>
        <v>342</v>
      </c>
      <c r="N2578" s="144"/>
      <c r="O2578" s="144">
        <f t="shared" si="398"/>
        <v>1</v>
      </c>
      <c r="P2578" s="156">
        <f>346+459</f>
        <v>805</v>
      </c>
      <c r="Q2578" s="98">
        <f t="shared" si="399"/>
        <v>0.99875930521091816</v>
      </c>
      <c r="R2578" s="23"/>
      <c r="S2578" s="173"/>
      <c r="T2578" s="30"/>
      <c r="U2578" s="264"/>
      <c r="V2578" s="463"/>
      <c r="X2578" s="463"/>
    </row>
    <row r="2579" spans="1:30" x14ac:dyDescent="0.4">
      <c r="A2579" s="212">
        <v>46050</v>
      </c>
      <c r="B2579" s="139" t="s">
        <v>73</v>
      </c>
      <c r="C2579" s="30" t="str">
        <f>VLOOKUP(B2579,'112年全品項生產鍋數'!A:H,2,0)</f>
        <v>顆粒花生醬(1*12KG)</v>
      </c>
      <c r="D2579" s="296">
        <v>18</v>
      </c>
      <c r="E2579" s="48">
        <f>VLOOKUP(B2579,'112年全品項生產鍋數'!A:H,3,0)</f>
        <v>3</v>
      </c>
      <c r="F2579" s="142">
        <f>VLOOKUP(B2579,'112年全品項生產鍋數'!A:H,7,0)</f>
        <v>29.7</v>
      </c>
      <c r="G2579" s="143">
        <f t="shared" si="394"/>
        <v>534.6</v>
      </c>
      <c r="H2579" s="156">
        <v>536</v>
      </c>
      <c r="I2579" s="23">
        <f t="shared" si="395"/>
        <v>1608</v>
      </c>
      <c r="J2579" s="100">
        <f t="shared" si="396"/>
        <v>1.0026187803965581</v>
      </c>
      <c r="K2579" s="51">
        <f>VLOOKUP(B:B,'生產達成率(目標)'!A:C,3,0)</f>
        <v>1</v>
      </c>
      <c r="L2579" s="20">
        <f t="shared" si="397"/>
        <v>3.0000000000000001E-3</v>
      </c>
      <c r="M2579" s="137" t="str">
        <f>工時!R1763</f>
        <v>540</v>
      </c>
      <c r="N2579" s="144"/>
      <c r="O2579" s="144">
        <f t="shared" si="398"/>
        <v>0</v>
      </c>
      <c r="P2579" s="156">
        <v>536</v>
      </c>
      <c r="Q2579" s="98">
        <f t="shared" si="399"/>
        <v>1</v>
      </c>
      <c r="R2579" s="23"/>
      <c r="S2579" s="173"/>
      <c r="T2579" s="30"/>
      <c r="U2579" s="264"/>
      <c r="V2579" s="463"/>
      <c r="X2579" s="463"/>
    </row>
    <row r="2580" spans="1:30" x14ac:dyDescent="0.4">
      <c r="A2580" s="212">
        <v>46050</v>
      </c>
      <c r="B2580" s="139">
        <v>111050</v>
      </c>
      <c r="C2580" s="30" t="str">
        <f>VLOOKUP(B2580,'112年全品項生產鍋數'!A:H,2,0)</f>
        <v>糖漬檸檬絲</v>
      </c>
      <c r="D2580" s="296">
        <v>1</v>
      </c>
      <c r="E2580" s="48">
        <f>VLOOKUP(B2580,'112年全品項生產鍋數'!A:H,3,0)</f>
        <v>1</v>
      </c>
      <c r="F2580" s="142">
        <f>VLOOKUP(B2580,'112年全品項生產鍋數'!A:H,7,0)</f>
        <v>1224</v>
      </c>
      <c r="G2580" s="360">
        <f t="shared" si="394"/>
        <v>1224</v>
      </c>
      <c r="H2580" s="156">
        <v>780</v>
      </c>
      <c r="I2580" s="23">
        <f t="shared" si="395"/>
        <v>780</v>
      </c>
      <c r="J2580" s="100">
        <f t="shared" si="396"/>
        <v>0.63725490196078427</v>
      </c>
      <c r="K2580" s="51">
        <f>VLOOKUP(B:B,'生產達成率(目標)'!A:C,3,0)</f>
        <v>1</v>
      </c>
      <c r="L2580" s="20">
        <f t="shared" si="397"/>
        <v>-0.36299999999999999</v>
      </c>
      <c r="M2580" s="137" t="str">
        <f>工時!R1764</f>
        <v>0</v>
      </c>
      <c r="N2580" s="144"/>
      <c r="O2580" s="144">
        <f t="shared" si="398"/>
        <v>0</v>
      </c>
      <c r="P2580" s="156">
        <v>780</v>
      </c>
      <c r="Q2580" s="98">
        <f t="shared" si="399"/>
        <v>1</v>
      </c>
      <c r="R2580" s="23"/>
      <c r="S2580" s="173"/>
      <c r="T2580" s="30"/>
      <c r="U2580" s="264"/>
      <c r="V2580" s="463"/>
      <c r="X2580" s="463"/>
    </row>
    <row r="2581" spans="1:30" x14ac:dyDescent="0.4">
      <c r="A2581" s="212">
        <v>46051</v>
      </c>
      <c r="B2581" s="139" t="s">
        <v>114</v>
      </c>
      <c r="C2581" s="30" t="str">
        <f>VLOOKUP(B2581,'112年全品項生產鍋數'!A:H,2,0)</f>
        <v>開心草莓果醬(1*430g)</v>
      </c>
      <c r="D2581" s="296">
        <v>18</v>
      </c>
      <c r="E2581" s="48">
        <f>VLOOKUP(B2581,'112年全品項生產鍋數'!A:H,3,0)</f>
        <v>0.43</v>
      </c>
      <c r="F2581" s="142">
        <f>VLOOKUP(B2581,'112年全品項生產鍋數'!A:H,7,0)</f>
        <v>364</v>
      </c>
      <c r="G2581" s="143">
        <f t="shared" si="394"/>
        <v>6552</v>
      </c>
      <c r="H2581" s="156">
        <v>6781</v>
      </c>
      <c r="I2581" s="23">
        <f t="shared" si="395"/>
        <v>2915.83</v>
      </c>
      <c r="J2581" s="100">
        <f t="shared" si="396"/>
        <v>1.03495115995116</v>
      </c>
      <c r="K2581" s="51">
        <f>VLOOKUP(B:B,'生產達成率(目標)'!A:C,3,0)</f>
        <v>1</v>
      </c>
      <c r="L2581" s="20">
        <f t="shared" si="397"/>
        <v>3.5000000000000003E-2</v>
      </c>
      <c r="M2581" s="137" t="str">
        <f>工時!R1765</f>
        <v>434</v>
      </c>
      <c r="N2581" s="144"/>
      <c r="O2581" s="144">
        <f t="shared" si="398"/>
        <v>7</v>
      </c>
      <c r="P2581" s="156">
        <v>6774</v>
      </c>
      <c r="Q2581" s="98">
        <f t="shared" si="399"/>
        <v>0.99896770387848399</v>
      </c>
      <c r="R2581" s="23"/>
      <c r="S2581" s="173"/>
      <c r="T2581" s="30"/>
      <c r="U2581" s="264"/>
      <c r="V2581" s="463"/>
      <c r="X2581" s="463"/>
    </row>
    <row r="2582" spans="1:30" s="146" customFormat="1" x14ac:dyDescent="0.4">
      <c r="A2582" s="212">
        <v>46051</v>
      </c>
      <c r="B2582" s="139" t="s">
        <v>158</v>
      </c>
      <c r="C2582" s="140" t="str">
        <f>VLOOKUP(B2582,'112年全品項生產鍋數'!A:H,2,0)</f>
        <v>小圓草莓(1*170g)</v>
      </c>
      <c r="D2582" s="292">
        <v>4</v>
      </c>
      <c r="E2582" s="141">
        <f>VLOOKUP(B2582,'112年全品項生產鍋數'!A:H,3,0)</f>
        <v>0.17</v>
      </c>
      <c r="F2582" s="142">
        <f>VLOOKUP(B2582,'112年全品項生產鍋數'!A:H,7,0)</f>
        <v>912.6</v>
      </c>
      <c r="G2582" s="143">
        <f t="shared" si="394"/>
        <v>3650.4</v>
      </c>
      <c r="H2582" s="156">
        <v>3634</v>
      </c>
      <c r="I2582" s="144">
        <f t="shared" si="395"/>
        <v>617.78000000000009</v>
      </c>
      <c r="J2582" s="100">
        <f t="shared" si="396"/>
        <v>0.99550734166118782</v>
      </c>
      <c r="K2582" s="51">
        <f>VLOOKUP(B:B,'生產達成率(目標)'!A:C,3,0)</f>
        <v>1</v>
      </c>
      <c r="L2582" s="20">
        <f t="shared" si="397"/>
        <v>-4.0000000000000001E-3</v>
      </c>
      <c r="M2582" s="137" t="str">
        <f>工時!R1766</f>
        <v>240</v>
      </c>
      <c r="N2582" s="144"/>
      <c r="O2582" s="144">
        <f t="shared" si="398"/>
        <v>3</v>
      </c>
      <c r="P2582" s="156">
        <v>3631</v>
      </c>
      <c r="Q2582" s="145">
        <f t="shared" si="399"/>
        <v>0.99917446340121074</v>
      </c>
      <c r="R2582" s="144"/>
      <c r="S2582" s="153"/>
      <c r="T2582" s="140"/>
      <c r="U2582" s="151"/>
      <c r="V2582" s="464"/>
      <c r="W2582" s="421"/>
      <c r="X2582" s="464"/>
      <c r="Y2582" s="421"/>
      <c r="Z2582" s="421"/>
      <c r="AA2582" s="421"/>
      <c r="AB2582" s="421"/>
      <c r="AC2582" s="421"/>
      <c r="AD2582" s="421"/>
    </row>
    <row r="2583" spans="1:30" x14ac:dyDescent="0.4">
      <c r="A2583" s="212">
        <v>46051</v>
      </c>
      <c r="B2583" s="139" t="s">
        <v>64</v>
      </c>
      <c r="C2583" s="30" t="str">
        <f>VLOOKUP(B2583,'112年全品項生產鍋數'!A:H,2,0)</f>
        <v>藍莓餡(1*6KG)</v>
      </c>
      <c r="D2583" s="296">
        <v>20</v>
      </c>
      <c r="E2583" s="48">
        <f>VLOOKUP(B2583,'112年全品項生產鍋數'!A:H,3,0)</f>
        <v>6</v>
      </c>
      <c r="F2583" s="142">
        <f>VLOOKUP(B2583,'112年全品項生產鍋數'!A:H,7,0)</f>
        <v>25.4</v>
      </c>
      <c r="G2583" s="143">
        <f t="shared" si="394"/>
        <v>508</v>
      </c>
      <c r="H2583" s="156">
        <f>303+206</f>
        <v>509</v>
      </c>
      <c r="I2583" s="23">
        <f t="shared" si="395"/>
        <v>3054</v>
      </c>
      <c r="J2583" s="100">
        <f t="shared" si="396"/>
        <v>1.0019685039370079</v>
      </c>
      <c r="K2583" s="51">
        <f>VLOOKUP(B:B,'生產達成率(目標)'!A:C,3,0)</f>
        <v>1</v>
      </c>
      <c r="L2583" s="20">
        <f t="shared" si="397"/>
        <v>2E-3</v>
      </c>
      <c r="M2583" s="137" t="str">
        <f>工時!R1767</f>
        <v>540</v>
      </c>
      <c r="N2583" s="144"/>
      <c r="O2583" s="144">
        <f t="shared" si="398"/>
        <v>1</v>
      </c>
      <c r="P2583" s="156">
        <f>302+206</f>
        <v>508</v>
      </c>
      <c r="Q2583" s="98">
        <f t="shared" si="399"/>
        <v>0.99803536345776034</v>
      </c>
      <c r="R2583" s="23"/>
      <c r="S2583" s="173"/>
      <c r="T2583" s="30"/>
      <c r="U2583" s="264"/>
      <c r="V2583" s="463"/>
      <c r="X2583" s="463"/>
    </row>
    <row r="2584" spans="1:30" x14ac:dyDescent="0.4">
      <c r="A2584" s="212">
        <v>46051</v>
      </c>
      <c r="B2584" s="139" t="s">
        <v>76</v>
      </c>
      <c r="C2584" s="30" t="str">
        <f>VLOOKUP(B2584,'112年全品項生產鍋數'!A:H,2,0)</f>
        <v>草莓餡(1*6Kg)</v>
      </c>
      <c r="D2584" s="296">
        <v>24</v>
      </c>
      <c r="E2584" s="48">
        <f>VLOOKUP(B2584,'112年全品項生產鍋數'!A:H,3,0)</f>
        <v>6</v>
      </c>
      <c r="F2584" s="142">
        <f>VLOOKUP(B2584,'112年全品項生產鍋數'!A:H,7,0)</f>
        <v>25.5</v>
      </c>
      <c r="G2584" s="143">
        <f t="shared" si="394"/>
        <v>612</v>
      </c>
      <c r="H2584" s="156">
        <v>674</v>
      </c>
      <c r="I2584" s="23">
        <f t="shared" si="395"/>
        <v>4044</v>
      </c>
      <c r="J2584" s="100">
        <f t="shared" si="396"/>
        <v>1.1013071895424837</v>
      </c>
      <c r="K2584" s="51">
        <f>VLOOKUP(B:B,'生產達成率(目標)'!A:C,3,0)</f>
        <v>1</v>
      </c>
      <c r="L2584" s="20">
        <f t="shared" si="397"/>
        <v>0.10100000000000001</v>
      </c>
      <c r="M2584" s="137" t="str">
        <f>工時!R1768</f>
        <v>570</v>
      </c>
      <c r="N2584" s="144"/>
      <c r="O2584" s="144">
        <f t="shared" si="398"/>
        <v>1</v>
      </c>
      <c r="P2584" s="156">
        <v>673</v>
      </c>
      <c r="Q2584" s="98">
        <f t="shared" si="399"/>
        <v>0.99851632047477745</v>
      </c>
      <c r="R2584" s="23"/>
      <c r="S2584" s="173"/>
      <c r="T2584" s="30"/>
      <c r="U2584" s="264"/>
      <c r="V2584" s="463"/>
      <c r="X2584" s="463"/>
    </row>
    <row r="2585" spans="1:30" s="146" customFormat="1" x14ac:dyDescent="0.4">
      <c r="A2585" s="212">
        <v>46051</v>
      </c>
      <c r="B2585" s="139" t="s">
        <v>65</v>
      </c>
      <c r="C2585" s="140" t="str">
        <f>VLOOKUP(B2585,'112年全品項生產鍋數'!A:H,2,0)</f>
        <v>＃1花生(1*2.8kg)</v>
      </c>
      <c r="D2585" s="292">
        <v>60</v>
      </c>
      <c r="E2585" s="141">
        <f>VLOOKUP(B2585,'112年全品項生產鍋數'!A:H,3,0)</f>
        <v>2.8</v>
      </c>
      <c r="F2585" s="142">
        <f>VLOOKUP(B2585,'112年全品項生產鍋數'!A:H,7,0)</f>
        <v>44.5</v>
      </c>
      <c r="G2585" s="143">
        <f t="shared" si="394"/>
        <v>2670</v>
      </c>
      <c r="H2585" s="156">
        <f>2387+300</f>
        <v>2687</v>
      </c>
      <c r="I2585" s="144">
        <f t="shared" si="395"/>
        <v>7523.5999999999995</v>
      </c>
      <c r="J2585" s="100">
        <f t="shared" si="396"/>
        <v>1.006367041198502</v>
      </c>
      <c r="K2585" s="51">
        <f>VLOOKUP(B:B,'生產達成率(目標)'!A:C,3,0)</f>
        <v>1</v>
      </c>
      <c r="L2585" s="20">
        <f t="shared" si="397"/>
        <v>6.0000000000000001E-3</v>
      </c>
      <c r="M2585" s="137" t="str">
        <f>工時!R1769</f>
        <v>450</v>
      </c>
      <c r="N2585" s="144"/>
      <c r="O2585" s="144">
        <f t="shared" si="398"/>
        <v>1</v>
      </c>
      <c r="P2585" s="156">
        <f>2386+300</f>
        <v>2686</v>
      </c>
      <c r="Q2585" s="145">
        <f t="shared" si="399"/>
        <v>0.99962783773725339</v>
      </c>
      <c r="R2585" s="144"/>
      <c r="S2585" s="153"/>
      <c r="T2585" s="140" t="s">
        <v>1226</v>
      </c>
      <c r="U2585" s="151"/>
      <c r="V2585" s="464"/>
      <c r="W2585" s="421"/>
      <c r="X2585" s="464"/>
      <c r="Y2585" s="421"/>
      <c r="Z2585" s="421"/>
      <c r="AA2585" s="421"/>
      <c r="AB2585" s="421"/>
      <c r="AC2585" s="421"/>
      <c r="AD2585" s="421"/>
    </row>
    <row r="2586" spans="1:30" x14ac:dyDescent="0.4">
      <c r="A2586" s="212">
        <v>46051</v>
      </c>
      <c r="B2586" s="139">
        <v>152010</v>
      </c>
      <c r="C2586" s="30" t="str">
        <f>VLOOKUP(B2586,'112年全品項生產鍋數'!A:H,2,0)</f>
        <v>蜜綠果6m/m</v>
      </c>
      <c r="D2586" s="296">
        <v>1</v>
      </c>
      <c r="E2586" s="48">
        <f>VLOOKUP(B2586,'112年全品項生產鍋數'!A:H,3,0)</f>
        <v>1</v>
      </c>
      <c r="F2586" s="142">
        <f>VLOOKUP(B2586,'112年全品項生產鍋數'!A:H,7,0)</f>
        <v>139</v>
      </c>
      <c r="G2586" s="143">
        <f t="shared" si="394"/>
        <v>139</v>
      </c>
      <c r="H2586" s="156">
        <v>144</v>
      </c>
      <c r="I2586" s="23">
        <f t="shared" si="395"/>
        <v>144</v>
      </c>
      <c r="J2586" s="100">
        <f t="shared" si="396"/>
        <v>1.0359712230215827</v>
      </c>
      <c r="K2586" s="51">
        <f>VLOOKUP(B:B,'生產達成率(目標)'!A:C,3,0)</f>
        <v>1</v>
      </c>
      <c r="L2586" s="20">
        <f t="shared" si="397"/>
        <v>3.5999999999999997E-2</v>
      </c>
      <c r="M2586" s="137" t="str">
        <f>工時!R1770</f>
        <v>0</v>
      </c>
      <c r="N2586" s="144"/>
      <c r="O2586" s="144">
        <f t="shared" si="398"/>
        <v>0</v>
      </c>
      <c r="P2586" s="156">
        <v>144</v>
      </c>
      <c r="Q2586" s="98">
        <f t="shared" si="399"/>
        <v>1</v>
      </c>
      <c r="R2586" s="23"/>
      <c r="S2586" s="173"/>
      <c r="T2586" s="30"/>
      <c r="U2586" s="264"/>
      <c r="V2586" s="463"/>
      <c r="X2586" s="463"/>
    </row>
    <row r="2587" spans="1:30" s="146" customFormat="1" x14ac:dyDescent="0.4">
      <c r="A2587" s="212">
        <v>46052</v>
      </c>
      <c r="B2587" s="139" t="s">
        <v>71</v>
      </c>
      <c r="C2587" s="140" t="str">
        <f>VLOOKUP(B2587,'112年全品項生產鍋數'!A:H,2,0)</f>
        <v>＃1草莓(1*3.2kg)</v>
      </c>
      <c r="D2587" s="292">
        <v>36</v>
      </c>
      <c r="E2587" s="141">
        <f>VLOOKUP(B2587,'112年全品項生產鍋數'!A:H,3,0)</f>
        <v>3.2</v>
      </c>
      <c r="F2587" s="142">
        <f>VLOOKUP(B2587,'112年全品項生產鍋數'!A:H,7,0)</f>
        <v>46.8</v>
      </c>
      <c r="G2587" s="143">
        <f t="shared" si="394"/>
        <v>1684.8</v>
      </c>
      <c r="H2587" s="156">
        <v>1675</v>
      </c>
      <c r="I2587" s="144">
        <f t="shared" si="395"/>
        <v>5360</v>
      </c>
      <c r="J2587" s="100">
        <f t="shared" si="396"/>
        <v>0.99418328584995252</v>
      </c>
      <c r="K2587" s="51">
        <f>VLOOKUP(B:B,'生產達成率(目標)'!A:C,3,0)</f>
        <v>1</v>
      </c>
      <c r="L2587" s="20">
        <f t="shared" si="397"/>
        <v>-6.0000000000000001E-3</v>
      </c>
      <c r="M2587" s="137" t="str">
        <f>工時!R1771</f>
        <v>300</v>
      </c>
      <c r="N2587" s="144"/>
      <c r="O2587" s="144">
        <f t="shared" si="398"/>
        <v>1</v>
      </c>
      <c r="P2587" s="156">
        <v>1674</v>
      </c>
      <c r="Q2587" s="145">
        <f t="shared" si="399"/>
        <v>0.99940298507462688</v>
      </c>
      <c r="R2587" s="144" t="s">
        <v>1681</v>
      </c>
      <c r="S2587" s="153"/>
      <c r="T2587" s="140" t="s">
        <v>1682</v>
      </c>
      <c r="U2587" s="151"/>
      <c r="V2587" s="464"/>
      <c r="W2587" s="421"/>
      <c r="X2587" s="464"/>
      <c r="Y2587" s="421"/>
      <c r="Z2587" s="421"/>
      <c r="AA2587" s="421"/>
      <c r="AB2587" s="421"/>
      <c r="AC2587" s="421"/>
      <c r="AD2587" s="421"/>
    </row>
    <row r="2588" spans="1:30" x14ac:dyDescent="0.4">
      <c r="A2588" s="212">
        <v>46052</v>
      </c>
      <c r="B2588" s="139" t="s">
        <v>87</v>
      </c>
      <c r="C2588" s="30" t="str">
        <f>VLOOKUP(B2588,'112年全品項生產鍋數'!A:H,2,0)</f>
        <v>＃1藍莓(1*3.2kg)</v>
      </c>
      <c r="D2588" s="296">
        <v>36</v>
      </c>
      <c r="E2588" s="48">
        <f>VLOOKUP(B2588,'112年全品項生產鍋數'!A:H,3,0)</f>
        <v>3.2</v>
      </c>
      <c r="F2588" s="142">
        <f>VLOOKUP(B2588,'112年全品項生產鍋數'!A:H,7,0)</f>
        <v>47.5</v>
      </c>
      <c r="G2588" s="143">
        <f t="shared" si="394"/>
        <v>1710</v>
      </c>
      <c r="H2588" s="156">
        <v>1677</v>
      </c>
      <c r="I2588" s="23">
        <f t="shared" si="395"/>
        <v>5366.4000000000005</v>
      </c>
      <c r="J2588" s="100">
        <f t="shared" si="396"/>
        <v>0.98070175438596496</v>
      </c>
      <c r="K2588" s="51">
        <f>VLOOKUP(B:B,'生產達成率(目標)'!A:C,3,0)</f>
        <v>1</v>
      </c>
      <c r="L2588" s="20">
        <f t="shared" si="397"/>
        <v>-1.9E-2</v>
      </c>
      <c r="M2588" s="137" t="str">
        <f>工時!R1772</f>
        <v>300</v>
      </c>
      <c r="N2588" s="144"/>
      <c r="O2588" s="144">
        <f t="shared" si="398"/>
        <v>2</v>
      </c>
      <c r="P2588" s="156">
        <v>1675</v>
      </c>
      <c r="Q2588" s="98">
        <f t="shared" si="399"/>
        <v>0.99880739415623132</v>
      </c>
      <c r="R2588" s="23"/>
      <c r="S2588" s="173"/>
      <c r="T2588" s="30"/>
      <c r="U2588" s="264"/>
      <c r="V2588" s="463"/>
      <c r="X2588" s="463"/>
    </row>
    <row r="2589" spans="1:30" s="362" customFormat="1" x14ac:dyDescent="0.4">
      <c r="A2589" s="212">
        <v>46052</v>
      </c>
      <c r="B2589" s="139" t="s">
        <v>54</v>
      </c>
      <c r="C2589" s="140" t="str">
        <f>VLOOKUP(B2589,'112年全品項生產鍋數'!A:H,2,0)</f>
        <v>草莓醬(1*6kg)</v>
      </c>
      <c r="D2589" s="292">
        <v>24</v>
      </c>
      <c r="E2589" s="141">
        <f>VLOOKUP(B2589,'112年全品項生產鍋數'!A:H,3,0)</f>
        <v>6</v>
      </c>
      <c r="F2589" s="142">
        <f>VLOOKUP(B2589,'112年全品項生產鍋數'!A:H,7,0)</f>
        <v>26.6</v>
      </c>
      <c r="G2589" s="143">
        <f t="shared" si="394"/>
        <v>638.40000000000009</v>
      </c>
      <c r="H2589" s="156">
        <v>638</v>
      </c>
      <c r="I2589" s="144">
        <f t="shared" si="395"/>
        <v>3828</v>
      </c>
      <c r="J2589" s="100">
        <f t="shared" si="396"/>
        <v>0.9993734335839598</v>
      </c>
      <c r="K2589" s="51">
        <f>VLOOKUP(B:B,'生產達成率(目標)'!A:C,3,0)</f>
        <v>1</v>
      </c>
      <c r="L2589" s="20">
        <f t="shared" si="397"/>
        <v>-1E-3</v>
      </c>
      <c r="M2589" s="137" t="str">
        <f>工時!R1773</f>
        <v>300</v>
      </c>
      <c r="N2589" s="144"/>
      <c r="O2589" s="144">
        <f t="shared" si="398"/>
        <v>1</v>
      </c>
      <c r="P2589" s="156">
        <v>637</v>
      </c>
      <c r="Q2589" s="145">
        <f t="shared" si="399"/>
        <v>0.99843260188087779</v>
      </c>
      <c r="R2589" s="144"/>
      <c r="S2589" s="153"/>
      <c r="T2589" s="140"/>
      <c r="U2589" s="151"/>
      <c r="V2589" s="464"/>
      <c r="W2589" s="421"/>
      <c r="X2589" s="464"/>
      <c r="Y2589" s="421"/>
      <c r="Z2589" s="421"/>
      <c r="AA2589" s="421"/>
      <c r="AB2589" s="421"/>
      <c r="AC2589" s="421"/>
      <c r="AD2589" s="421"/>
    </row>
    <row r="2590" spans="1:30" s="146" customFormat="1" x14ac:dyDescent="0.4">
      <c r="A2590" s="212">
        <v>46052</v>
      </c>
      <c r="B2590" s="139" t="s">
        <v>72</v>
      </c>
      <c r="C2590" s="140" t="str">
        <f>VLOOKUP(B2590,'112年全品項生產鍋數'!A:H,2,0)</f>
        <v>草莓餡45%(1*6Kg)</v>
      </c>
      <c r="D2590" s="292">
        <v>24</v>
      </c>
      <c r="E2590" s="141">
        <f>VLOOKUP(B2590,'112年全品項生產鍋數'!A:H,3,0)</f>
        <v>6</v>
      </c>
      <c r="F2590" s="142">
        <f>VLOOKUP(B2590,'112年全品項生產鍋數'!A:H,7,0)</f>
        <v>26.1</v>
      </c>
      <c r="G2590" s="143">
        <f t="shared" si="394"/>
        <v>626.40000000000009</v>
      </c>
      <c r="H2590" s="156">
        <v>644</v>
      </c>
      <c r="I2590" s="144">
        <f t="shared" si="395"/>
        <v>3864</v>
      </c>
      <c r="J2590" s="100">
        <f t="shared" si="396"/>
        <v>1.0280970625798211</v>
      </c>
      <c r="K2590" s="51">
        <f>VLOOKUP(B:B,'生產達成率(目標)'!A:C,3,0)</f>
        <v>1</v>
      </c>
      <c r="L2590" s="20">
        <f t="shared" si="397"/>
        <v>2.8000000000000001E-2</v>
      </c>
      <c r="M2590" s="137" t="str">
        <f>工時!R1774</f>
        <v>340</v>
      </c>
      <c r="N2590" s="144"/>
      <c r="O2590" s="144">
        <f t="shared" si="398"/>
        <v>3</v>
      </c>
      <c r="P2590" s="156">
        <v>641</v>
      </c>
      <c r="Q2590" s="145">
        <f t="shared" si="399"/>
        <v>0.99534161490683226</v>
      </c>
      <c r="R2590" s="144"/>
      <c r="S2590" s="153"/>
      <c r="T2590" s="140" t="s">
        <v>1227</v>
      </c>
      <c r="U2590" s="151"/>
      <c r="V2590" s="464"/>
      <c r="W2590" s="421"/>
      <c r="X2590" s="464"/>
      <c r="Y2590" s="421"/>
      <c r="Z2590" s="421"/>
      <c r="AA2590" s="421"/>
      <c r="AB2590" s="421"/>
      <c r="AC2590" s="421"/>
      <c r="AD2590" s="421"/>
    </row>
    <row r="2591" spans="1:30" s="362" customFormat="1" x14ac:dyDescent="0.4">
      <c r="A2591" s="212">
        <v>46052</v>
      </c>
      <c r="B2591" s="139" t="s">
        <v>104</v>
      </c>
      <c r="C2591" s="140" t="str">
        <f>VLOOKUP(B2591,'112年全品項生產鍋數'!A:H,2,0)</f>
        <v>＃1花生(粒)(1*2.8kg)</v>
      </c>
      <c r="D2591" s="292">
        <v>56</v>
      </c>
      <c r="E2591" s="141">
        <f>VLOOKUP(B2591,'112年全品項生產鍋數'!A:H,3,0)</f>
        <v>2.8</v>
      </c>
      <c r="F2591" s="142">
        <f>VLOOKUP(B2591,'112年全品項生產鍋數'!A:H,7,0)</f>
        <v>44.2</v>
      </c>
      <c r="G2591" s="143">
        <f t="shared" si="394"/>
        <v>2475.2000000000003</v>
      </c>
      <c r="H2591" s="156">
        <v>2444</v>
      </c>
      <c r="I2591" s="144">
        <f t="shared" si="395"/>
        <v>6843.2</v>
      </c>
      <c r="J2591" s="100">
        <f t="shared" si="396"/>
        <v>0.98739495798319321</v>
      </c>
      <c r="K2591" s="51">
        <f>VLOOKUP(B:B,'生產達成率(目標)'!A:C,3,0)</f>
        <v>1</v>
      </c>
      <c r="L2591" s="20">
        <f t="shared" si="397"/>
        <v>-1.2999999999999999E-2</v>
      </c>
      <c r="M2591" s="137" t="str">
        <f>工時!R1775</f>
        <v>500</v>
      </c>
      <c r="N2591" s="144"/>
      <c r="O2591" s="144">
        <f t="shared" si="398"/>
        <v>1</v>
      </c>
      <c r="P2591" s="156">
        <v>2443</v>
      </c>
      <c r="Q2591" s="145">
        <f t="shared" si="399"/>
        <v>0.99959083469721766</v>
      </c>
      <c r="R2591" s="144"/>
      <c r="S2591" s="153"/>
      <c r="T2591" s="140"/>
      <c r="U2591" s="151"/>
      <c r="V2591" s="464"/>
      <c r="W2591" s="421"/>
      <c r="X2591" s="464"/>
      <c r="Y2591" s="421"/>
      <c r="Z2591" s="421"/>
      <c r="AA2591" s="421"/>
      <c r="AB2591" s="421"/>
      <c r="AC2591" s="421"/>
      <c r="AD2591" s="421"/>
    </row>
    <row r="2592" spans="1:30" x14ac:dyDescent="0.4">
      <c r="A2592" s="212">
        <v>46055</v>
      </c>
      <c r="B2592" s="139" t="s">
        <v>71</v>
      </c>
      <c r="C2592" s="30" t="str">
        <f>VLOOKUP(B2592,'112年全品項生產鍋數'!A:H,2,0)</f>
        <v>＃1草莓(1*3.2kg)</v>
      </c>
      <c r="D2592" s="296">
        <v>72</v>
      </c>
      <c r="E2592" s="48">
        <f>VLOOKUP(B2592,'112年全品項生產鍋數'!A:H,3,0)</f>
        <v>3.2</v>
      </c>
      <c r="F2592" s="142">
        <f>VLOOKUP(B2592,'112年全品項生產鍋數'!A:H,7,0)</f>
        <v>46.8</v>
      </c>
      <c r="G2592" s="143">
        <f t="shared" si="394"/>
        <v>3369.6</v>
      </c>
      <c r="H2592" s="156">
        <v>3372</v>
      </c>
      <c r="I2592" s="23">
        <f t="shared" si="395"/>
        <v>10790.400000000001</v>
      </c>
      <c r="J2592" s="100">
        <f t="shared" si="396"/>
        <v>1.0007122507122508</v>
      </c>
      <c r="K2592" s="51">
        <f>VLOOKUP(B:B,'生產達成率(目標)'!A:C,3,0)</f>
        <v>1</v>
      </c>
      <c r="L2592" s="20">
        <f t="shared" si="397"/>
        <v>1E-3</v>
      </c>
      <c r="M2592" s="137" t="str">
        <f>工時!R1776</f>
        <v>540</v>
      </c>
      <c r="N2592" s="144"/>
      <c r="O2592" s="144">
        <f t="shared" si="398"/>
        <v>3</v>
      </c>
      <c r="P2592" s="156">
        <v>3369</v>
      </c>
      <c r="Q2592" s="98">
        <f t="shared" si="399"/>
        <v>0.99911032028469748</v>
      </c>
      <c r="R2592" s="23"/>
      <c r="S2592" s="173"/>
      <c r="T2592" s="30" t="s">
        <v>1153</v>
      </c>
      <c r="U2592" s="264"/>
      <c r="V2592" s="463"/>
      <c r="X2592" s="463"/>
    </row>
    <row r="2593" spans="1:30" x14ac:dyDescent="0.4">
      <c r="A2593" s="212">
        <v>46055</v>
      </c>
      <c r="B2593" s="139" t="s">
        <v>88</v>
      </c>
      <c r="C2593" s="30" t="str">
        <f>VLOOKUP(B2593,'112年全品項生產鍋數'!A:H,2,0)</f>
        <v>草莓餡(1*6KG)</v>
      </c>
      <c r="D2593" s="296">
        <v>48</v>
      </c>
      <c r="E2593" s="48">
        <f>VLOOKUP(B2593,'112年全品項生產鍋數'!A:H,3,0)</f>
        <v>6</v>
      </c>
      <c r="F2593" s="142">
        <f>VLOOKUP(B2593,'112年全品項生產鍋數'!A:H,7,0)</f>
        <v>25.5</v>
      </c>
      <c r="G2593" s="143">
        <f t="shared" si="394"/>
        <v>1224</v>
      </c>
      <c r="H2593" s="156">
        <v>1225</v>
      </c>
      <c r="I2593" s="23">
        <f t="shared" si="395"/>
        <v>7350</v>
      </c>
      <c r="J2593" s="100">
        <f t="shared" si="396"/>
        <v>1.0008169934640523</v>
      </c>
      <c r="K2593" s="51">
        <f>VLOOKUP(B:B,'生產達成率(目標)'!A:C,3,0)</f>
        <v>1</v>
      </c>
      <c r="L2593" s="20">
        <f t="shared" si="397"/>
        <v>1E-3</v>
      </c>
      <c r="M2593" s="137" t="str">
        <f>工時!R1777</f>
        <v>600</v>
      </c>
      <c r="N2593" s="144"/>
      <c r="O2593" s="144">
        <f t="shared" si="398"/>
        <v>5</v>
      </c>
      <c r="P2593" s="156">
        <v>1220</v>
      </c>
      <c r="Q2593" s="98">
        <f t="shared" si="399"/>
        <v>0.99591836734693873</v>
      </c>
      <c r="R2593" s="23"/>
      <c r="S2593" s="173"/>
      <c r="T2593" s="30"/>
      <c r="U2593" s="264"/>
      <c r="V2593" s="463"/>
      <c r="X2593" s="463"/>
    </row>
    <row r="2594" spans="1:30" x14ac:dyDescent="0.4">
      <c r="A2594" s="212">
        <v>46055</v>
      </c>
      <c r="B2594" s="139" t="s">
        <v>65</v>
      </c>
      <c r="C2594" s="30" t="str">
        <f>VLOOKUP(B2594,'112年全品項生產鍋數'!A:H,2,0)</f>
        <v>＃1花生(1*2.8kg)</v>
      </c>
      <c r="D2594" s="296">
        <v>72</v>
      </c>
      <c r="E2594" s="48">
        <f>VLOOKUP(B2594,'112年全品項生產鍋數'!A:H,3,0)</f>
        <v>2.8</v>
      </c>
      <c r="F2594" s="142">
        <f>VLOOKUP(B2594,'112年全品項生產鍋數'!A:H,7,0)</f>
        <v>44.5</v>
      </c>
      <c r="G2594" s="143">
        <f>D2594*F2594-18*100/2.8</f>
        <v>2561.1428571428569</v>
      </c>
      <c r="H2594" s="156">
        <v>2558</v>
      </c>
      <c r="I2594" s="23">
        <f t="shared" si="395"/>
        <v>7162.4</v>
      </c>
      <c r="J2594" s="100">
        <f t="shared" si="396"/>
        <v>0.99877286925479702</v>
      </c>
      <c r="K2594" s="51">
        <f>VLOOKUP(B:B,'生產達成率(目標)'!A:C,3,0)</f>
        <v>1</v>
      </c>
      <c r="L2594" s="20">
        <f t="shared" si="397"/>
        <v>-1E-3</v>
      </c>
      <c r="M2594" s="137" t="str">
        <f>工時!R1778</f>
        <v>550</v>
      </c>
      <c r="N2594" s="144"/>
      <c r="O2594" s="144">
        <f t="shared" si="398"/>
        <v>1</v>
      </c>
      <c r="P2594" s="156">
        <v>2557</v>
      </c>
      <c r="Q2594" s="98">
        <f t="shared" si="399"/>
        <v>0.9996090695856138</v>
      </c>
      <c r="R2594" s="23"/>
      <c r="S2594" s="173"/>
      <c r="T2594" s="30" t="s">
        <v>1182</v>
      </c>
      <c r="U2594" s="264"/>
      <c r="V2594" s="463"/>
      <c r="X2594" s="463"/>
    </row>
    <row r="2595" spans="1:30" s="381" customFormat="1" x14ac:dyDescent="0.4">
      <c r="A2595" s="402">
        <v>46055</v>
      </c>
      <c r="B2595" s="392">
        <v>153010</v>
      </c>
      <c r="C2595" s="375" t="str">
        <f>VLOOKUP(B2595,'112年全品項生產鍋數'!A:H,2,0)</f>
        <v>蜜桔皮6m/m</v>
      </c>
      <c r="D2595" s="406">
        <v>1</v>
      </c>
      <c r="E2595" s="141">
        <f>VLOOKUP(B2595,'112年全品項生產鍋數'!A:H,3,0)</f>
        <v>1</v>
      </c>
      <c r="F2595" s="142">
        <f>VLOOKUP(B2595,'112年全品項生產鍋數'!A:H,7,0)</f>
        <v>591</v>
      </c>
      <c r="G2595" s="143">
        <f t="shared" si="394"/>
        <v>591</v>
      </c>
      <c r="H2595" s="156">
        <v>552</v>
      </c>
      <c r="I2595" s="374">
        <f t="shared" si="395"/>
        <v>552</v>
      </c>
      <c r="J2595" s="100">
        <f t="shared" si="396"/>
        <v>0.93401015228426398</v>
      </c>
      <c r="K2595" s="51">
        <f>VLOOKUP(B:B,'生產達成率(目標)'!A:C,3,0)</f>
        <v>1</v>
      </c>
      <c r="L2595" s="20">
        <f t="shared" si="397"/>
        <v>-6.6000000000000003E-2</v>
      </c>
      <c r="M2595" s="137" t="str">
        <f>工時!R1779</f>
        <v>0</v>
      </c>
      <c r="N2595" s="374"/>
      <c r="O2595" s="374">
        <f t="shared" si="398"/>
        <v>0</v>
      </c>
      <c r="P2595" s="156">
        <v>552</v>
      </c>
      <c r="Q2595" s="145">
        <f t="shared" si="399"/>
        <v>1</v>
      </c>
      <c r="R2595" s="374"/>
      <c r="S2595" s="378"/>
      <c r="T2595" s="375" t="s">
        <v>1153</v>
      </c>
      <c r="U2595" s="398"/>
      <c r="V2595" s="464"/>
      <c r="W2595" s="421"/>
      <c r="X2595" s="464"/>
      <c r="Y2595" s="421"/>
      <c r="Z2595" s="421"/>
      <c r="AA2595" s="421"/>
      <c r="AB2595" s="421"/>
      <c r="AC2595" s="421"/>
      <c r="AD2595" s="421"/>
    </row>
    <row r="2596" spans="1:30" x14ac:dyDescent="0.4">
      <c r="A2596" s="212">
        <v>46056</v>
      </c>
      <c r="B2596" s="139" t="s">
        <v>64</v>
      </c>
      <c r="C2596" s="30" t="str">
        <f>VLOOKUP(B2596,'112年全品項生產鍋數'!A:H,2,0)</f>
        <v>藍莓餡(1*6KG)</v>
      </c>
      <c r="D2596" s="296">
        <v>24</v>
      </c>
      <c r="E2596" s="48">
        <f>VLOOKUP(B2596,'112年全品項生產鍋數'!A:H,3,0)</f>
        <v>6</v>
      </c>
      <c r="F2596" s="142">
        <f>VLOOKUP(B2596,'112年全品項生產鍋數'!A:H,7,0)</f>
        <v>25.4</v>
      </c>
      <c r="G2596" s="143">
        <f t="shared" si="394"/>
        <v>609.59999999999991</v>
      </c>
      <c r="H2596" s="156">
        <f>300+308</f>
        <v>608</v>
      </c>
      <c r="I2596" s="23">
        <f t="shared" si="395"/>
        <v>3648</v>
      </c>
      <c r="J2596" s="100">
        <f t="shared" si="396"/>
        <v>0.99737532808398965</v>
      </c>
      <c r="K2596" s="51">
        <f>VLOOKUP(B:B,'生產達成率(目標)'!A:C,3,0)</f>
        <v>1</v>
      </c>
      <c r="L2596" s="20">
        <f t="shared" si="397"/>
        <v>-3.0000000000000001E-3</v>
      </c>
      <c r="M2596" s="137" t="str">
        <f>工時!R1780</f>
        <v>350</v>
      </c>
      <c r="N2596" s="144"/>
      <c r="O2596" s="144">
        <f t="shared" si="398"/>
        <v>1</v>
      </c>
      <c r="P2596" s="156">
        <f>299+308</f>
        <v>607</v>
      </c>
      <c r="Q2596" s="98">
        <f t="shared" si="399"/>
        <v>0.99835526315789469</v>
      </c>
      <c r="R2596" s="23"/>
      <c r="S2596" s="173"/>
      <c r="T2596" s="30"/>
      <c r="U2596" s="264"/>
      <c r="V2596" s="463"/>
      <c r="X2596" s="463"/>
    </row>
    <row r="2597" spans="1:30" x14ac:dyDescent="0.4">
      <c r="A2597" s="212">
        <v>46056</v>
      </c>
      <c r="B2597" s="139" t="s">
        <v>63</v>
      </c>
      <c r="C2597" s="30" t="str">
        <f>VLOOKUP(B2597,'112年全品項生產鍋數'!A:H,2,0)</f>
        <v>草莓蒟蒻餡(1*6kg)</v>
      </c>
      <c r="D2597" s="296">
        <v>20</v>
      </c>
      <c r="E2597" s="48">
        <f>VLOOKUP(B2597,'112年全品項生產鍋數'!A:H,3,0)</f>
        <v>6</v>
      </c>
      <c r="F2597" s="142">
        <f>VLOOKUP(B2597,'112年全品項生產鍋數'!A:H,7,0)</f>
        <v>25.7</v>
      </c>
      <c r="G2597" s="143">
        <f t="shared" si="394"/>
        <v>514</v>
      </c>
      <c r="H2597" s="156">
        <f>230+335</f>
        <v>565</v>
      </c>
      <c r="I2597" s="23">
        <f t="shared" si="395"/>
        <v>3390</v>
      </c>
      <c r="J2597" s="100">
        <f t="shared" si="396"/>
        <v>1.0992217898832686</v>
      </c>
      <c r="K2597" s="51">
        <f>VLOOKUP(B:B,'生產達成率(目標)'!A:C,3,0)</f>
        <v>1</v>
      </c>
      <c r="L2597" s="20">
        <f t="shared" si="397"/>
        <v>9.9000000000000005E-2</v>
      </c>
      <c r="M2597" s="137" t="str">
        <f>工時!R1781</f>
        <v>300</v>
      </c>
      <c r="N2597" s="144"/>
      <c r="O2597" s="144">
        <f t="shared" si="398"/>
        <v>4</v>
      </c>
      <c r="P2597" s="156">
        <f>333+228</f>
        <v>561</v>
      </c>
      <c r="Q2597" s="98">
        <f t="shared" si="399"/>
        <v>0.99292035398230083</v>
      </c>
      <c r="R2597" s="23"/>
      <c r="S2597" s="173"/>
      <c r="T2597" s="30"/>
      <c r="U2597" s="264"/>
      <c r="V2597" s="463"/>
      <c r="X2597" s="463"/>
    </row>
    <row r="2598" spans="1:30" x14ac:dyDescent="0.4">
      <c r="A2598" s="212">
        <v>46056</v>
      </c>
      <c r="B2598" s="139" t="s">
        <v>73</v>
      </c>
      <c r="C2598" s="30" t="str">
        <f>VLOOKUP(B2598,'112年全品項生產鍋數'!A:H,2,0)</f>
        <v>顆粒花生醬(1*12KG)</v>
      </c>
      <c r="D2598" s="296">
        <v>21</v>
      </c>
      <c r="E2598" s="48">
        <f>VLOOKUP(B2598,'112年全品項生產鍋數'!A:H,3,0)</f>
        <v>3</v>
      </c>
      <c r="F2598" s="142">
        <f>VLOOKUP(B2598,'112年全品項生產鍋數'!A:H,7,0)</f>
        <v>29.7</v>
      </c>
      <c r="G2598" s="143">
        <f t="shared" si="394"/>
        <v>623.69999999999993</v>
      </c>
      <c r="H2598" s="156">
        <v>624</v>
      </c>
      <c r="I2598" s="23">
        <f t="shared" si="395"/>
        <v>1872</v>
      </c>
      <c r="J2598" s="100">
        <f t="shared" si="396"/>
        <v>1.0004810004810005</v>
      </c>
      <c r="K2598" s="51">
        <f>VLOOKUP(B:B,'生產達成率(目標)'!A:C,3,0)</f>
        <v>1</v>
      </c>
      <c r="L2598" s="20">
        <f t="shared" si="397"/>
        <v>0</v>
      </c>
      <c r="M2598" s="137" t="str">
        <f>工時!R1782</f>
        <v>510</v>
      </c>
      <c r="N2598" s="144"/>
      <c r="O2598" s="144">
        <f t="shared" si="398"/>
        <v>0</v>
      </c>
      <c r="P2598" s="156">
        <v>624</v>
      </c>
      <c r="Q2598" s="98">
        <f t="shared" si="399"/>
        <v>1</v>
      </c>
      <c r="R2598" s="23"/>
      <c r="S2598" s="173"/>
      <c r="T2598" s="30"/>
      <c r="U2598" s="264"/>
      <c r="V2598" s="463"/>
      <c r="X2598" s="463"/>
    </row>
    <row r="2599" spans="1:30" x14ac:dyDescent="0.4">
      <c r="A2599" s="212">
        <v>46056</v>
      </c>
      <c r="B2599" s="139" t="s">
        <v>96</v>
      </c>
      <c r="C2599" s="30" t="str">
        <f>VLOOKUP(B2599,'112年全品項生產鍋數'!A:H,2,0)</f>
        <v>PET瓶花生(1*340g)</v>
      </c>
      <c r="D2599" s="296">
        <v>20</v>
      </c>
      <c r="E2599" s="48">
        <f>VLOOKUP(B2599,'112年全品項生產鍋數'!A:H,3,0)</f>
        <v>0.34</v>
      </c>
      <c r="F2599" s="142">
        <f>VLOOKUP(B2599,'112年全品項生產鍋數'!A:H,7,0)</f>
        <v>358.3</v>
      </c>
      <c r="G2599" s="143">
        <f t="shared" si="394"/>
        <v>7166</v>
      </c>
      <c r="H2599" s="156">
        <v>7236</v>
      </c>
      <c r="I2599" s="23">
        <f t="shared" si="395"/>
        <v>2460.2400000000002</v>
      </c>
      <c r="J2599" s="100">
        <f t="shared" si="396"/>
        <v>1.0097683505442367</v>
      </c>
      <c r="K2599" s="51">
        <f>VLOOKUP(B:B,'生產達成率(目標)'!A:C,3,0)</f>
        <v>1</v>
      </c>
      <c r="L2599" s="20">
        <f t="shared" si="397"/>
        <v>0.01</v>
      </c>
      <c r="M2599" s="137" t="str">
        <f>工時!R1783</f>
        <v>310</v>
      </c>
      <c r="N2599" s="144"/>
      <c r="O2599" s="144">
        <f t="shared" si="398"/>
        <v>3</v>
      </c>
      <c r="P2599" s="156">
        <v>7233</v>
      </c>
      <c r="Q2599" s="98">
        <f t="shared" si="399"/>
        <v>0.99958540630182424</v>
      </c>
      <c r="R2599" s="23"/>
      <c r="S2599" s="173"/>
      <c r="T2599" s="30"/>
      <c r="U2599" s="264"/>
      <c r="V2599" s="463"/>
      <c r="X2599" s="463"/>
    </row>
    <row r="2600" spans="1:30" x14ac:dyDescent="0.4">
      <c r="A2600" s="212">
        <v>46056</v>
      </c>
      <c r="B2600" s="139" t="s">
        <v>123</v>
      </c>
      <c r="C2600" s="30" t="str">
        <f>VLOOKUP(B2600,'112年全品項生產鍋數'!A:H,2,0)</f>
        <v>深烤焙花生醬(1*18KG)</v>
      </c>
      <c r="D2600" s="296">
        <v>32</v>
      </c>
      <c r="E2600" s="48">
        <f>VLOOKUP(B2600,'112年全品項生產鍋數'!A:H,3,0)</f>
        <v>18</v>
      </c>
      <c r="F2600" s="142">
        <f>VLOOKUP(B2600,'112年全品項生產鍋數'!A:H,7,0)</f>
        <v>6.9</v>
      </c>
      <c r="G2600" s="143">
        <f t="shared" si="394"/>
        <v>220.8</v>
      </c>
      <c r="H2600" s="156">
        <v>228</v>
      </c>
      <c r="I2600" s="23">
        <f t="shared" si="395"/>
        <v>4104</v>
      </c>
      <c r="J2600" s="100">
        <f t="shared" si="396"/>
        <v>1.0326086956521738</v>
      </c>
      <c r="K2600" s="51">
        <f>VLOOKUP(B:B,'生產達成率(目標)'!A:C,3,0)</f>
        <v>1</v>
      </c>
      <c r="L2600" s="20">
        <f t="shared" si="397"/>
        <v>3.3000000000000002E-2</v>
      </c>
      <c r="M2600" s="137" t="str">
        <f>工時!R1784</f>
        <v>340</v>
      </c>
      <c r="N2600" s="144"/>
      <c r="O2600" s="144">
        <f t="shared" si="398"/>
        <v>0</v>
      </c>
      <c r="P2600" s="156">
        <v>228</v>
      </c>
      <c r="Q2600" s="98">
        <f t="shared" si="399"/>
        <v>1</v>
      </c>
      <c r="R2600" s="23"/>
      <c r="S2600" s="173"/>
      <c r="T2600" s="30" t="s">
        <v>1153</v>
      </c>
      <c r="U2600" s="264"/>
      <c r="V2600" s="463"/>
      <c r="X2600" s="463"/>
    </row>
    <row r="2601" spans="1:30" x14ac:dyDescent="0.4">
      <c r="A2601" s="212">
        <v>46056</v>
      </c>
      <c r="B2601" s="139">
        <v>151010</v>
      </c>
      <c r="C2601" s="30" t="str">
        <f>VLOOKUP(B2601,'112年全品項生產鍋數'!A:H,2,0)</f>
        <v>蜜紅果6m/m</v>
      </c>
      <c r="D2601" s="296">
        <v>1</v>
      </c>
      <c r="E2601" s="48">
        <f>VLOOKUP(B2601,'112年全品項生產鍋數'!A:H,3,0)</f>
        <v>1</v>
      </c>
      <c r="F2601" s="142">
        <f>VLOOKUP(B2601,'112年全品項生產鍋數'!A:H,7,0)</f>
        <v>142</v>
      </c>
      <c r="G2601" s="143">
        <f t="shared" si="394"/>
        <v>142</v>
      </c>
      <c r="H2601" s="156">
        <v>152</v>
      </c>
      <c r="I2601" s="23">
        <f t="shared" si="395"/>
        <v>152</v>
      </c>
      <c r="J2601" s="100">
        <f t="shared" si="396"/>
        <v>1.0704225352112675</v>
      </c>
      <c r="K2601" s="51">
        <f>VLOOKUP(B:B,'生產達成率(目標)'!A:C,3,0)</f>
        <v>1</v>
      </c>
      <c r="L2601" s="20">
        <f t="shared" si="397"/>
        <v>7.0000000000000007E-2</v>
      </c>
      <c r="M2601" s="137" t="str">
        <f>工時!R1785</f>
        <v>0</v>
      </c>
      <c r="N2601" s="144"/>
      <c r="O2601" s="144">
        <f t="shared" si="398"/>
        <v>0</v>
      </c>
      <c r="P2601" s="156">
        <v>152</v>
      </c>
      <c r="Q2601" s="98">
        <f t="shared" si="399"/>
        <v>1</v>
      </c>
      <c r="R2601" s="23"/>
      <c r="S2601" s="173"/>
      <c r="T2601" s="30" t="s">
        <v>1153</v>
      </c>
      <c r="U2601" s="264"/>
      <c r="V2601" s="463"/>
      <c r="X2601" s="463"/>
    </row>
    <row r="2602" spans="1:30" x14ac:dyDescent="0.4">
      <c r="A2602" s="212">
        <v>46057</v>
      </c>
      <c r="B2602" s="139" t="s">
        <v>71</v>
      </c>
      <c r="C2602" s="30" t="str">
        <f>VLOOKUP(B2602,'112年全品項生產鍋數'!A:H,2,0)</f>
        <v>＃1草莓(1*3.2kg)</v>
      </c>
      <c r="D2602" s="296">
        <v>72</v>
      </c>
      <c r="E2602" s="48">
        <f>VLOOKUP(B2602,'112年全品項生產鍋數'!A:H,3,0)</f>
        <v>3.2</v>
      </c>
      <c r="F2602" s="142">
        <f>VLOOKUP(B2602,'112年全品項生產鍋數'!A:H,7,0)</f>
        <v>46.8</v>
      </c>
      <c r="G2602" s="143">
        <f t="shared" ref="G2602:G2621" si="400">D2602*F2602</f>
        <v>3369.6</v>
      </c>
      <c r="H2602" s="156">
        <v>3386</v>
      </c>
      <c r="I2602" s="23">
        <f t="shared" si="395"/>
        <v>10835.2</v>
      </c>
      <c r="J2602" s="100">
        <f t="shared" si="396"/>
        <v>1.0048670465337133</v>
      </c>
      <c r="K2602" s="51">
        <f>VLOOKUP(B:B,'生產達成率(目標)'!A:C,3,0)</f>
        <v>1</v>
      </c>
      <c r="L2602" s="20">
        <f t="shared" si="397"/>
        <v>5.0000000000000001E-3</v>
      </c>
      <c r="M2602" s="137" t="str">
        <f>工時!R1786</f>
        <v>540</v>
      </c>
      <c r="N2602" s="144"/>
      <c r="O2602" s="144">
        <f t="shared" si="398"/>
        <v>7</v>
      </c>
      <c r="P2602" s="156">
        <v>3379</v>
      </c>
      <c r="Q2602" s="98">
        <f t="shared" si="399"/>
        <v>0.99793266391021851</v>
      </c>
      <c r="R2602" s="23"/>
      <c r="S2602" s="173"/>
      <c r="T2602" s="30" t="s">
        <v>1153</v>
      </c>
      <c r="U2602" s="264"/>
      <c r="V2602" s="463"/>
      <c r="X2602" s="463"/>
    </row>
    <row r="2603" spans="1:30" x14ac:dyDescent="0.4">
      <c r="A2603" s="212">
        <v>46057</v>
      </c>
      <c r="B2603" s="139" t="s">
        <v>72</v>
      </c>
      <c r="C2603" s="30" t="str">
        <f>VLOOKUP(B2603,'112年全品項生產鍋數'!A:H,2,0)</f>
        <v>草莓餡45%(1*6Kg)</v>
      </c>
      <c r="D2603" s="296">
        <v>24</v>
      </c>
      <c r="E2603" s="48">
        <f>VLOOKUP(B2603,'112年全品項生產鍋數'!A:H,3,0)</f>
        <v>6</v>
      </c>
      <c r="F2603" s="142">
        <f>VLOOKUP(B2603,'112年全品項生產鍋數'!A:H,7,0)</f>
        <v>26.1</v>
      </c>
      <c r="G2603" s="143">
        <f t="shared" si="400"/>
        <v>626.40000000000009</v>
      </c>
      <c r="H2603" s="156">
        <v>638</v>
      </c>
      <c r="I2603" s="23">
        <f t="shared" si="395"/>
        <v>3828</v>
      </c>
      <c r="J2603" s="100">
        <f t="shared" si="396"/>
        <v>1.0185185185185184</v>
      </c>
      <c r="K2603" s="51">
        <f>VLOOKUP(B:B,'生產達成率(目標)'!A:C,3,0)</f>
        <v>1</v>
      </c>
      <c r="L2603" s="20">
        <f t="shared" si="397"/>
        <v>1.9E-2</v>
      </c>
      <c r="M2603" s="137" t="str">
        <f>工時!R1787</f>
        <v>335</v>
      </c>
      <c r="N2603" s="144"/>
      <c r="O2603" s="144">
        <f t="shared" si="398"/>
        <v>2</v>
      </c>
      <c r="P2603" s="156">
        <v>636</v>
      </c>
      <c r="Q2603" s="98">
        <f t="shared" si="399"/>
        <v>0.99686520376175547</v>
      </c>
      <c r="R2603" s="23"/>
      <c r="S2603" s="173"/>
      <c r="T2603" s="30"/>
      <c r="U2603" s="264"/>
      <c r="V2603" s="463"/>
      <c r="X2603" s="463"/>
    </row>
    <row r="2604" spans="1:30" x14ac:dyDescent="0.4">
      <c r="A2604" s="212">
        <v>46057</v>
      </c>
      <c r="B2604" s="139" t="s">
        <v>63</v>
      </c>
      <c r="C2604" s="30" t="str">
        <f>VLOOKUP(B2604,'112年全品項生產鍋數'!A:H,2,0)</f>
        <v>草莓蒟蒻餡(1*6kg)</v>
      </c>
      <c r="D2604" s="296">
        <v>20</v>
      </c>
      <c r="E2604" s="48">
        <f>VLOOKUP(B2604,'112年全品項生產鍋數'!A:H,3,0)</f>
        <v>6</v>
      </c>
      <c r="F2604" s="142">
        <f>VLOOKUP(B2604,'112年全品項生產鍋數'!A:H,7,0)</f>
        <v>25.7</v>
      </c>
      <c r="G2604" s="143">
        <f t="shared" si="400"/>
        <v>514</v>
      </c>
      <c r="H2604" s="156">
        <f>344+236</f>
        <v>580</v>
      </c>
      <c r="I2604" s="23">
        <f t="shared" si="395"/>
        <v>3480</v>
      </c>
      <c r="J2604" s="100">
        <f t="shared" si="396"/>
        <v>1.1284046692607004</v>
      </c>
      <c r="K2604" s="51">
        <f>VLOOKUP(B:B,'生產達成率(目標)'!A:C,3,0)</f>
        <v>1</v>
      </c>
      <c r="L2604" s="20">
        <f t="shared" si="397"/>
        <v>0.128</v>
      </c>
      <c r="M2604" s="137" t="str">
        <f>工時!R1788</f>
        <v>270</v>
      </c>
      <c r="N2604" s="144"/>
      <c r="O2604" s="144">
        <f t="shared" si="398"/>
        <v>2</v>
      </c>
      <c r="P2604" s="156">
        <f>342+236</f>
        <v>578</v>
      </c>
      <c r="Q2604" s="98">
        <f t="shared" si="399"/>
        <v>0.99655172413793103</v>
      </c>
      <c r="R2604" s="23"/>
      <c r="S2604" s="173"/>
      <c r="T2604" s="30"/>
      <c r="U2604" s="264"/>
      <c r="V2604" s="463"/>
      <c r="X2604" s="463"/>
    </row>
    <row r="2605" spans="1:30" x14ac:dyDescent="0.4">
      <c r="A2605" s="212">
        <v>46057</v>
      </c>
      <c r="B2605" s="139" t="s">
        <v>65</v>
      </c>
      <c r="C2605" s="30" t="str">
        <f>VLOOKUP(B2605,'112年全品項生產鍋數'!A:H,2,0)</f>
        <v>＃1花生(1*2.8kg)</v>
      </c>
      <c r="D2605" s="296">
        <v>72</v>
      </c>
      <c r="E2605" s="48">
        <f>VLOOKUP(B2605,'112年全品項生產鍋數'!A:H,3,0)</f>
        <v>2.8</v>
      </c>
      <c r="F2605" s="142">
        <f>VLOOKUP(B2605,'112年全品項生產鍋數'!A:H,7,0)</f>
        <v>44.5</v>
      </c>
      <c r="G2605" s="143">
        <f t="shared" si="400"/>
        <v>3204</v>
      </c>
      <c r="H2605" s="156">
        <v>3177</v>
      </c>
      <c r="I2605" s="23">
        <f t="shared" ref="I2605:I2621" si="401">H2605*E2605</f>
        <v>8895.5999999999985</v>
      </c>
      <c r="J2605" s="100">
        <f t="shared" ref="J2605:J2621" si="402">IF(G2605=0,"無法預估數據",H2605/G2605)</f>
        <v>0.9915730337078652</v>
      </c>
      <c r="K2605" s="51">
        <f>VLOOKUP(B:B,'生產達成率(目標)'!A:C,3,0)</f>
        <v>1</v>
      </c>
      <c r="L2605" s="20">
        <f t="shared" ref="L2605:L2621" si="403">IF(G2605=0,"無法預估數據",ROUND(J2605-K2605,3))</f>
        <v>-8.0000000000000002E-3</v>
      </c>
      <c r="M2605" s="137" t="str">
        <f>工時!R1789</f>
        <v>605</v>
      </c>
      <c r="N2605" s="144"/>
      <c r="O2605" s="144">
        <f t="shared" ref="O2605:O2621" si="404">H2605-N2605-P2605</f>
        <v>1</v>
      </c>
      <c r="P2605" s="156">
        <v>3176</v>
      </c>
      <c r="Q2605" s="98">
        <f t="shared" ref="Q2605:Q2621" si="405">P2605/H2605</f>
        <v>0.9996852376455776</v>
      </c>
      <c r="R2605" s="23"/>
      <c r="S2605" s="173"/>
      <c r="T2605" s="30" t="s">
        <v>1153</v>
      </c>
      <c r="U2605" s="264"/>
      <c r="V2605" s="463"/>
      <c r="X2605" s="463"/>
    </row>
    <row r="2606" spans="1:30" x14ac:dyDescent="0.4">
      <c r="A2606" s="212">
        <v>46058</v>
      </c>
      <c r="B2606" s="139" t="s">
        <v>54</v>
      </c>
      <c r="C2606" s="30" t="str">
        <f>VLOOKUP(B2606,'112年全品項生產鍋數'!A:H,2,0)</f>
        <v>草莓醬(1*6kg)</v>
      </c>
      <c r="D2606" s="296">
        <v>28</v>
      </c>
      <c r="E2606" s="48">
        <f>VLOOKUP(B2606,'112年全品項生產鍋數'!A:H,3,0)</f>
        <v>6</v>
      </c>
      <c r="F2606" s="142">
        <f>VLOOKUP(B2606,'112年全品項生產鍋數'!A:H,7,0)</f>
        <v>26.6</v>
      </c>
      <c r="G2606" s="143">
        <f t="shared" si="400"/>
        <v>744.80000000000007</v>
      </c>
      <c r="H2606" s="156">
        <v>726</v>
      </c>
      <c r="I2606" s="23">
        <f t="shared" si="401"/>
        <v>4356</v>
      </c>
      <c r="J2606" s="100">
        <f t="shared" si="402"/>
        <v>0.97475832438238441</v>
      </c>
      <c r="K2606" s="51">
        <f>VLOOKUP(B:B,'生產達成率(目標)'!A:C,3,0)</f>
        <v>1</v>
      </c>
      <c r="L2606" s="20">
        <f t="shared" si="403"/>
        <v>-2.5000000000000001E-2</v>
      </c>
      <c r="M2606" s="137" t="str">
        <f>工時!R1790</f>
        <v>358</v>
      </c>
      <c r="N2606" s="144"/>
      <c r="O2606" s="144">
        <f t="shared" si="404"/>
        <v>1</v>
      </c>
      <c r="P2606" s="156">
        <v>725</v>
      </c>
      <c r="Q2606" s="98">
        <f t="shared" si="405"/>
        <v>0.99862258953168048</v>
      </c>
      <c r="R2606" s="23"/>
      <c r="S2606" s="173"/>
      <c r="T2606" s="30" t="s">
        <v>1153</v>
      </c>
      <c r="U2606" s="264"/>
      <c r="V2606" s="463"/>
      <c r="X2606" s="463"/>
    </row>
    <row r="2607" spans="1:30" x14ac:dyDescent="0.4">
      <c r="A2607" s="212">
        <v>46058</v>
      </c>
      <c r="B2607" s="139" t="s">
        <v>109</v>
      </c>
      <c r="C2607" s="30" t="str">
        <f>VLOOKUP(B2607,'112年全品項生產鍋數'!A:H,2,0)</f>
        <v>蔓越莓醬(1*6KG)</v>
      </c>
      <c r="D2607" s="296">
        <v>12</v>
      </c>
      <c r="E2607" s="48">
        <f>VLOOKUP(B2607,'112年全品項生產鍋數'!A:H,3,0)</f>
        <v>6</v>
      </c>
      <c r="F2607" s="142">
        <f>VLOOKUP(B2607,'112年全品項生產鍋數'!A:H,7,0)</f>
        <v>25.6</v>
      </c>
      <c r="G2607" s="143">
        <f t="shared" si="400"/>
        <v>307.20000000000005</v>
      </c>
      <c r="H2607" s="156">
        <v>313</v>
      </c>
      <c r="I2607" s="23">
        <f t="shared" si="401"/>
        <v>1878</v>
      </c>
      <c r="J2607" s="100">
        <f t="shared" si="402"/>
        <v>1.0188802083333333</v>
      </c>
      <c r="K2607" s="51">
        <f>VLOOKUP(B:B,'生產達成率(目標)'!A:C,3,0)</f>
        <v>1</v>
      </c>
      <c r="L2607" s="20">
        <f t="shared" si="403"/>
        <v>1.9E-2</v>
      </c>
      <c r="M2607" s="137" t="str">
        <f>工時!R1791</f>
        <v>165</v>
      </c>
      <c r="N2607" s="144"/>
      <c r="O2607" s="144">
        <f t="shared" si="404"/>
        <v>1</v>
      </c>
      <c r="P2607" s="156">
        <v>312</v>
      </c>
      <c r="Q2607" s="98">
        <f t="shared" si="405"/>
        <v>0.99680511182108622</v>
      </c>
      <c r="R2607" s="23"/>
      <c r="S2607" s="173"/>
      <c r="T2607" s="30"/>
      <c r="U2607" s="264"/>
      <c r="V2607" s="463"/>
      <c r="X2607" s="463"/>
    </row>
    <row r="2608" spans="1:30" x14ac:dyDescent="0.4">
      <c r="A2608" s="212">
        <v>46058</v>
      </c>
      <c r="B2608" s="139" t="s">
        <v>451</v>
      </c>
      <c r="C2608" s="30" t="str">
        <f>VLOOKUP(B2608,'112年全品項生產鍋數'!A:H,2,0)</f>
        <v>水蜜桃醬(1*6kg)</v>
      </c>
      <c r="D2608" s="296">
        <v>6</v>
      </c>
      <c r="E2608" s="48">
        <f>VLOOKUP(B2608,'112年全品項生產鍋數'!A:H,3,0)</f>
        <v>6</v>
      </c>
      <c r="F2608" s="142">
        <f>VLOOKUP(B2608,'112年全品項生產鍋數'!A:H,7,0)</f>
        <v>24.5</v>
      </c>
      <c r="G2608" s="143">
        <f t="shared" si="400"/>
        <v>147</v>
      </c>
      <c r="H2608" s="156">
        <v>146</v>
      </c>
      <c r="I2608" s="23">
        <f t="shared" si="401"/>
        <v>876</v>
      </c>
      <c r="J2608" s="100">
        <f t="shared" si="402"/>
        <v>0.99319727891156462</v>
      </c>
      <c r="K2608" s="51">
        <f>VLOOKUP(B:B,'生產達成率(目標)'!A:C,3,0)</f>
        <v>1</v>
      </c>
      <c r="L2608" s="20">
        <f t="shared" si="403"/>
        <v>-7.0000000000000001E-3</v>
      </c>
      <c r="M2608" s="137" t="str">
        <f>工時!R1792</f>
        <v>170</v>
      </c>
      <c r="N2608" s="144"/>
      <c r="O2608" s="144">
        <f t="shared" si="404"/>
        <v>2</v>
      </c>
      <c r="P2608" s="156">
        <v>144</v>
      </c>
      <c r="Q2608" s="98">
        <f t="shared" si="405"/>
        <v>0.98630136986301364</v>
      </c>
      <c r="R2608" s="23"/>
      <c r="S2608" s="173"/>
      <c r="T2608" s="30"/>
      <c r="U2608" s="264"/>
      <c r="V2608" s="463"/>
      <c r="X2608" s="463"/>
    </row>
    <row r="2609" spans="1:30" x14ac:dyDescent="0.4">
      <c r="A2609" s="212">
        <v>46058</v>
      </c>
      <c r="B2609" s="139" t="s">
        <v>116</v>
      </c>
      <c r="C2609" s="30" t="str">
        <f>VLOOKUP(B2609,'112年全品項生產鍋數'!A:H,2,0)</f>
        <v>藍莓餡（大）(1*9.08kg)</v>
      </c>
      <c r="D2609" s="296">
        <v>16</v>
      </c>
      <c r="E2609" s="48">
        <f>VLOOKUP(B2609,'112年全品項生產鍋數'!A:H,3,0)</f>
        <v>9.08</v>
      </c>
      <c r="F2609" s="142">
        <f>VLOOKUP(B2609,'112年全品項生產鍋數'!A:H,7,0)</f>
        <v>17.8</v>
      </c>
      <c r="G2609" s="143">
        <f t="shared" si="400"/>
        <v>284.8</v>
      </c>
      <c r="H2609" s="156">
        <v>282</v>
      </c>
      <c r="I2609" s="23">
        <f t="shared" si="401"/>
        <v>2560.56</v>
      </c>
      <c r="J2609" s="100">
        <f t="shared" si="402"/>
        <v>0.9901685393258427</v>
      </c>
      <c r="K2609" s="51">
        <f>VLOOKUP(B:B,'生產達成率(目標)'!A:C,3,0)</f>
        <v>1</v>
      </c>
      <c r="L2609" s="20">
        <f t="shared" si="403"/>
        <v>-0.01</v>
      </c>
      <c r="M2609" s="137" t="str">
        <f>工時!R1793</f>
        <v>232</v>
      </c>
      <c r="N2609" s="144"/>
      <c r="O2609" s="144">
        <f t="shared" si="404"/>
        <v>0</v>
      </c>
      <c r="P2609" s="156">
        <v>282</v>
      </c>
      <c r="Q2609" s="98">
        <f t="shared" si="405"/>
        <v>1</v>
      </c>
      <c r="R2609" s="23"/>
      <c r="S2609" s="173"/>
      <c r="T2609" s="30" t="s">
        <v>1153</v>
      </c>
      <c r="U2609" s="264"/>
      <c r="V2609" s="463"/>
      <c r="X2609" s="463"/>
    </row>
    <row r="2610" spans="1:30" x14ac:dyDescent="0.4">
      <c r="A2610" s="212">
        <v>46058</v>
      </c>
      <c r="B2610" s="139" t="s">
        <v>57</v>
      </c>
      <c r="C2610" s="30" t="str">
        <f>VLOOKUP(B2610,'112年全品項生產鍋數'!A:H,2,0)</f>
        <v>蘋果藍莓餡(1*9.08kg)</v>
      </c>
      <c r="D2610" s="296">
        <v>12</v>
      </c>
      <c r="E2610" s="48">
        <f>VLOOKUP(B2610,'112年全品項生產鍋數'!A:H,3,0)</f>
        <v>9.08</v>
      </c>
      <c r="F2610" s="142">
        <f>VLOOKUP(B2610,'112年全品項生產鍋數'!A:H,7,0)</f>
        <v>17.3</v>
      </c>
      <c r="G2610" s="143">
        <f t="shared" si="400"/>
        <v>207.60000000000002</v>
      </c>
      <c r="H2610" s="156">
        <v>207</v>
      </c>
      <c r="I2610" s="23">
        <f t="shared" si="401"/>
        <v>1879.56</v>
      </c>
      <c r="J2610" s="100">
        <f t="shared" si="402"/>
        <v>0.99710982658959524</v>
      </c>
      <c r="K2610" s="51">
        <f>VLOOKUP(B:B,'生產達成率(目標)'!A:C,3,0)</f>
        <v>1</v>
      </c>
      <c r="L2610" s="20">
        <f t="shared" si="403"/>
        <v>-3.0000000000000001E-3</v>
      </c>
      <c r="M2610" s="137" t="str">
        <f>工時!R1794</f>
        <v>203</v>
      </c>
      <c r="N2610" s="144"/>
      <c r="O2610" s="144">
        <f t="shared" si="404"/>
        <v>0</v>
      </c>
      <c r="P2610" s="156">
        <v>207</v>
      </c>
      <c r="Q2610" s="98">
        <f t="shared" si="405"/>
        <v>1</v>
      </c>
      <c r="R2610" s="23"/>
      <c r="S2610" s="173"/>
      <c r="T2610" s="30" t="s">
        <v>1153</v>
      </c>
      <c r="U2610" s="264"/>
      <c r="V2610" s="463"/>
      <c r="X2610" s="463"/>
    </row>
    <row r="2611" spans="1:30" x14ac:dyDescent="0.4">
      <c r="A2611" s="212">
        <v>46058</v>
      </c>
      <c r="B2611" s="139" t="s">
        <v>55</v>
      </c>
      <c r="C2611" s="30" t="str">
        <f>VLOOKUP(B2611,'112年全品項生產鍋數'!A:H,2,0)</f>
        <v>天天開心草莓餡4.5KG</v>
      </c>
      <c r="D2611" s="296">
        <v>12</v>
      </c>
      <c r="E2611" s="48">
        <f>VLOOKUP(B2611,'112年全品項生產鍋數'!A:H,3,0)</f>
        <v>4.5</v>
      </c>
      <c r="F2611" s="142">
        <f>VLOOKUP(B2611,'112年全品項生產鍋數'!A:H,7,0)</f>
        <v>36.299999999999997</v>
      </c>
      <c r="G2611" s="143">
        <f t="shared" si="400"/>
        <v>435.59999999999997</v>
      </c>
      <c r="H2611" s="156">
        <v>436</v>
      </c>
      <c r="I2611" s="23">
        <f t="shared" si="401"/>
        <v>1962</v>
      </c>
      <c r="J2611" s="100">
        <f t="shared" si="402"/>
        <v>1.0009182736455464</v>
      </c>
      <c r="K2611" s="51">
        <f>VLOOKUP(B:B,'生產達成率(目標)'!A:C,3,0)</f>
        <v>1</v>
      </c>
      <c r="L2611" s="20">
        <f t="shared" si="403"/>
        <v>1E-3</v>
      </c>
      <c r="M2611" s="137" t="str">
        <f>工時!R1795</f>
        <v>230</v>
      </c>
      <c r="N2611" s="144"/>
      <c r="O2611" s="144">
        <f t="shared" si="404"/>
        <v>0</v>
      </c>
      <c r="P2611" s="156">
        <v>436</v>
      </c>
      <c r="Q2611" s="98">
        <f t="shared" si="405"/>
        <v>1</v>
      </c>
      <c r="R2611" s="23"/>
      <c r="S2611" s="173"/>
      <c r="T2611" s="30"/>
      <c r="U2611" s="264"/>
      <c r="V2611" s="463"/>
      <c r="X2611" s="463"/>
    </row>
    <row r="2612" spans="1:30" s="381" customFormat="1" x14ac:dyDescent="0.4">
      <c r="A2612" s="402">
        <v>46058</v>
      </c>
      <c r="B2612" s="392" t="s">
        <v>1196</v>
      </c>
      <c r="C2612" s="375" t="str">
        <f>VLOOKUP(B2612,'112年全品項生產鍋數'!A:H,2,0)</f>
        <v>PET大花生(1*400g)</v>
      </c>
      <c r="D2612" s="406">
        <v>20</v>
      </c>
      <c r="E2612" s="141">
        <f>VLOOKUP(B2612,'112年全品項生產鍋數'!A:H,3,0)</f>
        <v>0.4</v>
      </c>
      <c r="F2612" s="142">
        <f>VLOOKUP(B2612,'112年全品項生產鍋數'!A:H,7,0)</f>
        <v>309.2</v>
      </c>
      <c r="G2612" s="143">
        <f t="shared" si="400"/>
        <v>6184</v>
      </c>
      <c r="H2612" s="156">
        <v>6214</v>
      </c>
      <c r="I2612" s="374">
        <f t="shared" si="401"/>
        <v>2485.6000000000004</v>
      </c>
      <c r="J2612" s="100">
        <f t="shared" si="402"/>
        <v>1.0048512289780078</v>
      </c>
      <c r="K2612" s="51" t="e">
        <f>VLOOKUP(B:B,'生產達成率(目標)'!A:C,3,0)</f>
        <v>#N/A</v>
      </c>
      <c r="L2612" s="20" t="e">
        <f t="shared" si="403"/>
        <v>#N/A</v>
      </c>
      <c r="M2612" s="137" t="str">
        <f>工時!R1796</f>
        <v>265</v>
      </c>
      <c r="N2612" s="374"/>
      <c r="O2612" s="374">
        <f t="shared" si="404"/>
        <v>1</v>
      </c>
      <c r="P2612" s="156">
        <v>6213</v>
      </c>
      <c r="Q2612" s="145">
        <f t="shared" si="405"/>
        <v>0.99983907306083042</v>
      </c>
      <c r="R2612" s="374" t="s">
        <v>1231</v>
      </c>
      <c r="S2612" s="378">
        <v>222</v>
      </c>
      <c r="T2612" s="375" t="s">
        <v>1219</v>
      </c>
      <c r="U2612" s="398"/>
      <c r="V2612" s="464"/>
      <c r="W2612" s="421"/>
      <c r="X2612" s="464"/>
      <c r="Y2612" s="421"/>
      <c r="Z2612" s="421"/>
      <c r="AA2612" s="421"/>
      <c r="AB2612" s="421"/>
      <c r="AC2612" s="421"/>
      <c r="AD2612" s="421"/>
    </row>
    <row r="2613" spans="1:30" s="381" customFormat="1" x14ac:dyDescent="0.4">
      <c r="A2613" s="402">
        <v>46058</v>
      </c>
      <c r="B2613" s="392" t="s">
        <v>58</v>
      </c>
      <c r="C2613" s="375" t="str">
        <f>VLOOKUP(B2613,'112年全品項生產鍋數'!A:H,2,0)</f>
        <v>PET大花生(1*400g)</v>
      </c>
      <c r="D2613" s="406">
        <v>20</v>
      </c>
      <c r="E2613" s="141">
        <f>VLOOKUP(B2613,'112年全品項生產鍋數'!A:H,3,0)</f>
        <v>0.4</v>
      </c>
      <c r="F2613" s="142">
        <f>VLOOKUP(B2613,'112年全品項生產鍋數'!A:H,7,0)</f>
        <v>309.2</v>
      </c>
      <c r="G2613" s="143">
        <f t="shared" si="400"/>
        <v>6184</v>
      </c>
      <c r="H2613" s="156">
        <v>6339</v>
      </c>
      <c r="I2613" s="374">
        <f t="shared" si="401"/>
        <v>2535.6000000000004</v>
      </c>
      <c r="J2613" s="100">
        <f t="shared" si="402"/>
        <v>1.0250646830530401</v>
      </c>
      <c r="K2613" s="51">
        <f>VLOOKUP(B:B,'生產達成率(目標)'!A:C,3,0)</f>
        <v>1</v>
      </c>
      <c r="L2613" s="20">
        <f t="shared" si="403"/>
        <v>2.5000000000000001E-2</v>
      </c>
      <c r="M2613" s="137" t="str">
        <f>工時!R1797</f>
        <v>295</v>
      </c>
      <c r="N2613" s="374"/>
      <c r="O2613" s="374">
        <f t="shared" si="404"/>
        <v>3</v>
      </c>
      <c r="P2613" s="156">
        <v>6336</v>
      </c>
      <c r="Q2613" s="145">
        <f t="shared" si="405"/>
        <v>0.99952673923331758</v>
      </c>
      <c r="R2613" s="374"/>
      <c r="S2613" s="378"/>
      <c r="T2613" s="375"/>
      <c r="U2613" s="398"/>
      <c r="V2613" s="464"/>
      <c r="W2613" s="421"/>
      <c r="X2613" s="464"/>
      <c r="Y2613" s="421"/>
      <c r="Z2613" s="421"/>
      <c r="AA2613" s="421"/>
      <c r="AB2613" s="421"/>
      <c r="AC2613" s="421"/>
      <c r="AD2613" s="421"/>
    </row>
    <row r="2614" spans="1:30" x14ac:dyDescent="0.4">
      <c r="A2614" s="212">
        <v>46059</v>
      </c>
      <c r="B2614" s="139" t="s">
        <v>71</v>
      </c>
      <c r="C2614" s="30" t="str">
        <f>VLOOKUP(B2614,'112年全品項生產鍋數'!A:H,2,0)</f>
        <v>＃1草莓(1*3.2kg)</v>
      </c>
      <c r="D2614" s="296">
        <v>72</v>
      </c>
      <c r="E2614" s="48">
        <f>VLOOKUP(B2614,'112年全品項生產鍋數'!A:H,3,0)</f>
        <v>3.2</v>
      </c>
      <c r="F2614" s="142">
        <f>VLOOKUP(B2614,'112年全品項生產鍋數'!A:H,7,0)</f>
        <v>46.8</v>
      </c>
      <c r="G2614" s="143">
        <f t="shared" si="400"/>
        <v>3369.6</v>
      </c>
      <c r="H2614" s="156">
        <v>3350</v>
      </c>
      <c r="I2614" s="23">
        <f t="shared" si="401"/>
        <v>10720</v>
      </c>
      <c r="J2614" s="100">
        <f t="shared" si="402"/>
        <v>0.99418328584995252</v>
      </c>
      <c r="K2614" s="51">
        <f>VLOOKUP(B:B,'生產達成率(目標)'!A:C,3,0)</f>
        <v>1</v>
      </c>
      <c r="L2614" s="20">
        <f t="shared" si="403"/>
        <v>-6.0000000000000001E-3</v>
      </c>
      <c r="M2614" s="137" t="str">
        <f>工時!R1798</f>
        <v>570</v>
      </c>
      <c r="N2614" s="144"/>
      <c r="O2614" s="144">
        <f t="shared" si="404"/>
        <v>6</v>
      </c>
      <c r="P2614" s="156">
        <v>3344</v>
      </c>
      <c r="Q2614" s="98">
        <f t="shared" si="405"/>
        <v>0.99820895522388065</v>
      </c>
      <c r="R2614" s="23"/>
      <c r="S2614" s="173"/>
      <c r="T2614" s="30" t="s">
        <v>1153</v>
      </c>
      <c r="U2614" s="264"/>
      <c r="V2614" s="463"/>
      <c r="X2614" s="463"/>
    </row>
    <row r="2615" spans="1:30" x14ac:dyDescent="0.4">
      <c r="A2615" s="212">
        <v>46059</v>
      </c>
      <c r="B2615" s="139" t="s">
        <v>88</v>
      </c>
      <c r="C2615" s="30" t="str">
        <f>VLOOKUP(B2615,'112年全品項生產鍋數'!A:H,2,0)</f>
        <v>草莓餡(1*6KG)</v>
      </c>
      <c r="D2615" s="296">
        <v>16</v>
      </c>
      <c r="E2615" s="48">
        <f>VLOOKUP(B2615,'112年全品項生產鍋數'!A:H,3,0)</f>
        <v>6</v>
      </c>
      <c r="F2615" s="142">
        <f>VLOOKUP(B2615,'112年全品項生產鍋數'!A:H,7,0)</f>
        <v>25.5</v>
      </c>
      <c r="G2615" s="143">
        <f t="shared" si="400"/>
        <v>408</v>
      </c>
      <c r="H2615" s="156">
        <v>409</v>
      </c>
      <c r="I2615" s="23">
        <f t="shared" si="401"/>
        <v>2454</v>
      </c>
      <c r="J2615" s="100">
        <f t="shared" si="402"/>
        <v>1.0024509803921569</v>
      </c>
      <c r="K2615" s="51">
        <f>VLOOKUP(B:B,'生產達成率(目標)'!A:C,3,0)</f>
        <v>1</v>
      </c>
      <c r="L2615" s="20">
        <f t="shared" si="403"/>
        <v>2E-3</v>
      </c>
      <c r="M2615" s="137" t="str">
        <f>工時!R1799</f>
        <v>230</v>
      </c>
      <c r="N2615" s="144"/>
      <c r="O2615" s="144">
        <f t="shared" si="404"/>
        <v>1</v>
      </c>
      <c r="P2615" s="156">
        <v>408</v>
      </c>
      <c r="Q2615" s="98">
        <f t="shared" si="405"/>
        <v>0.99755501222493892</v>
      </c>
      <c r="R2615" s="23"/>
      <c r="S2615" s="173"/>
      <c r="T2615" s="30"/>
      <c r="U2615" s="264"/>
      <c r="V2615" s="463"/>
      <c r="X2615" s="463"/>
    </row>
    <row r="2616" spans="1:30" x14ac:dyDescent="0.4">
      <c r="A2616" s="212">
        <v>46059</v>
      </c>
      <c r="B2616" s="139" t="s">
        <v>81</v>
      </c>
      <c r="C2616" s="30" t="str">
        <f>VLOOKUP(B2616,'112年全品項生產鍋數'!A:H,2,0)</f>
        <v>藍莓餡(1*6Kg)</v>
      </c>
      <c r="D2616" s="296">
        <v>12</v>
      </c>
      <c r="E2616" s="48">
        <f>VLOOKUP(B2616,'112年全品項生產鍋數'!A:H,3,0)</f>
        <v>6</v>
      </c>
      <c r="F2616" s="142">
        <f>VLOOKUP(B2616,'112年全品項生產鍋數'!A:H,7,0)</f>
        <v>25.1</v>
      </c>
      <c r="G2616" s="143">
        <f t="shared" si="400"/>
        <v>301.20000000000005</v>
      </c>
      <c r="H2616" s="156">
        <v>304</v>
      </c>
      <c r="I2616" s="23">
        <f t="shared" si="401"/>
        <v>1824</v>
      </c>
      <c r="J2616" s="100">
        <f t="shared" si="402"/>
        <v>1.0092961487383796</v>
      </c>
      <c r="K2616" s="51">
        <f>VLOOKUP(B:B,'生產達成率(目標)'!A:C,3,0)</f>
        <v>1</v>
      </c>
      <c r="L2616" s="20">
        <f t="shared" si="403"/>
        <v>8.9999999999999993E-3</v>
      </c>
      <c r="M2616" s="137" t="str">
        <f>工時!R1800</f>
        <v>185</v>
      </c>
      <c r="N2616" s="144"/>
      <c r="O2616" s="144">
        <f t="shared" si="404"/>
        <v>1</v>
      </c>
      <c r="P2616" s="156">
        <v>303</v>
      </c>
      <c r="Q2616" s="98">
        <f t="shared" si="405"/>
        <v>0.99671052631578949</v>
      </c>
      <c r="R2616" s="23"/>
      <c r="S2616" s="173"/>
      <c r="T2616" s="30" t="s">
        <v>1153</v>
      </c>
      <c r="U2616" s="264"/>
      <c r="V2616" s="463"/>
      <c r="X2616" s="463"/>
    </row>
    <row r="2617" spans="1:30" x14ac:dyDescent="0.4">
      <c r="A2617" s="212">
        <v>46059</v>
      </c>
      <c r="B2617" s="139" t="s">
        <v>76</v>
      </c>
      <c r="C2617" s="30" t="str">
        <f>VLOOKUP(B2617,'112年全品項生產鍋數'!A:H,2,0)</f>
        <v>草莓餡(1*6Kg)</v>
      </c>
      <c r="D2617" s="296">
        <v>12</v>
      </c>
      <c r="E2617" s="48">
        <f>VLOOKUP(B2617,'112年全品項生產鍋數'!A:H,3,0)</f>
        <v>6</v>
      </c>
      <c r="F2617" s="142">
        <f>VLOOKUP(B2617,'112年全品項生產鍋數'!A:H,7,0)</f>
        <v>25.5</v>
      </c>
      <c r="G2617" s="143">
        <f t="shared" si="400"/>
        <v>306</v>
      </c>
      <c r="H2617" s="156">
        <v>334</v>
      </c>
      <c r="I2617" s="23">
        <f t="shared" si="401"/>
        <v>2004</v>
      </c>
      <c r="J2617" s="100">
        <f t="shared" si="402"/>
        <v>1.0915032679738561</v>
      </c>
      <c r="K2617" s="51">
        <f>VLOOKUP(B:B,'生產達成率(目標)'!A:C,3,0)</f>
        <v>1</v>
      </c>
      <c r="L2617" s="20">
        <f t="shared" si="403"/>
        <v>9.1999999999999998E-2</v>
      </c>
      <c r="M2617" s="137" t="str">
        <f>工時!R1801</f>
        <v>194</v>
      </c>
      <c r="N2617" s="144"/>
      <c r="O2617" s="144">
        <f t="shared" si="404"/>
        <v>2</v>
      </c>
      <c r="P2617" s="156">
        <v>332</v>
      </c>
      <c r="Q2617" s="98">
        <f t="shared" si="405"/>
        <v>0.99401197604790414</v>
      </c>
      <c r="R2617" s="23"/>
      <c r="S2617" s="173"/>
      <c r="T2617" s="30"/>
      <c r="U2617" s="264"/>
      <c r="V2617" s="463"/>
      <c r="X2617" s="463"/>
    </row>
    <row r="2618" spans="1:30" s="381" customFormat="1" x14ac:dyDescent="0.4">
      <c r="A2618" s="402">
        <v>46059</v>
      </c>
      <c r="B2618" s="392" t="s">
        <v>65</v>
      </c>
      <c r="C2618" s="375" t="str">
        <f>VLOOKUP(B2618,'112年全品項生產鍋數'!A:H,2,0)</f>
        <v>＃1花生(1*2.8kg)</v>
      </c>
      <c r="D2618" s="406">
        <v>72</v>
      </c>
      <c r="E2618" s="141">
        <f>VLOOKUP(B2618,'112年全品項生產鍋數'!A:H,3,0)</f>
        <v>2.8</v>
      </c>
      <c r="F2618" s="142">
        <f>VLOOKUP(B2618,'112年全品項生產鍋數'!A:H,7,0)</f>
        <v>44.5</v>
      </c>
      <c r="G2618" s="143">
        <f t="shared" si="400"/>
        <v>3204</v>
      </c>
      <c r="H2618" s="156">
        <v>3348</v>
      </c>
      <c r="I2618" s="374">
        <f t="shared" si="401"/>
        <v>9374.4</v>
      </c>
      <c r="J2618" s="100">
        <f t="shared" si="402"/>
        <v>1.0449438202247192</v>
      </c>
      <c r="K2618" s="51">
        <f>VLOOKUP(B:B,'生產達成率(目標)'!A:C,3,0)</f>
        <v>1</v>
      </c>
      <c r="L2618" s="20">
        <f t="shared" si="403"/>
        <v>4.4999999999999998E-2</v>
      </c>
      <c r="M2618" s="137" t="str">
        <f>工時!R1802</f>
        <v>540</v>
      </c>
      <c r="N2618" s="374"/>
      <c r="O2618" s="374">
        <f t="shared" si="404"/>
        <v>1</v>
      </c>
      <c r="P2618" s="156">
        <v>3347</v>
      </c>
      <c r="Q2618" s="145">
        <f t="shared" si="405"/>
        <v>0.99970131421744324</v>
      </c>
      <c r="R2618" s="374" t="s">
        <v>1232</v>
      </c>
      <c r="S2618" s="378">
        <v>360</v>
      </c>
      <c r="T2618" s="375"/>
      <c r="U2618" s="398"/>
      <c r="V2618" s="464"/>
      <c r="W2618" s="421"/>
      <c r="X2618" s="464"/>
      <c r="Y2618" s="421"/>
      <c r="Z2618" s="421"/>
      <c r="AA2618" s="421"/>
      <c r="AB2618" s="421"/>
      <c r="AC2618" s="421"/>
      <c r="AD2618" s="421"/>
    </row>
    <row r="2619" spans="1:30" x14ac:dyDescent="0.4">
      <c r="A2619" s="212">
        <v>46060</v>
      </c>
      <c r="B2619" s="139" t="s">
        <v>500</v>
      </c>
      <c r="C2619" s="30" t="str">
        <f>VLOOKUP(B2619,'112年全品項生產鍋數'!A:H,2,0)</f>
        <v>蜜餞水果(1*1kg)</v>
      </c>
      <c r="D2619" s="296">
        <v>50</v>
      </c>
      <c r="E2619" s="48">
        <f>VLOOKUP(B2619,'112年全品項生產鍋數'!A:H,3,0)</f>
        <v>1</v>
      </c>
      <c r="F2619" s="142">
        <f>VLOOKUP(B2619,'112年全品項生產鍋數'!A:H,7,0)</f>
        <v>5.7</v>
      </c>
      <c r="G2619" s="143">
        <f t="shared" si="400"/>
        <v>285</v>
      </c>
      <c r="H2619" s="156">
        <v>293</v>
      </c>
      <c r="I2619" s="23">
        <f t="shared" si="401"/>
        <v>293</v>
      </c>
      <c r="J2619" s="100">
        <f t="shared" si="402"/>
        <v>1.0280701754385966</v>
      </c>
      <c r="K2619" s="51">
        <f>VLOOKUP(B:B,'生產達成率(目標)'!A:C,3,0)</f>
        <v>1</v>
      </c>
      <c r="L2619" s="20">
        <f t="shared" si="403"/>
        <v>2.8000000000000001E-2</v>
      </c>
      <c r="M2619" s="40">
        <v>0</v>
      </c>
      <c r="N2619" s="144"/>
      <c r="O2619" s="144">
        <f t="shared" si="404"/>
        <v>0</v>
      </c>
      <c r="P2619" s="156">
        <v>293</v>
      </c>
      <c r="Q2619" s="98">
        <f t="shared" si="405"/>
        <v>1</v>
      </c>
      <c r="R2619" s="23"/>
      <c r="S2619" s="173"/>
      <c r="T2619" s="30"/>
      <c r="U2619" s="264"/>
      <c r="V2619" s="463"/>
      <c r="X2619" s="463"/>
    </row>
    <row r="2620" spans="1:30" x14ac:dyDescent="0.4">
      <c r="A2620" s="212">
        <v>46062</v>
      </c>
      <c r="B2620" s="139" t="s">
        <v>86</v>
      </c>
      <c r="C2620" s="30" t="str">
        <f>VLOOKUP(B2620,'112年全品項生產鍋數'!A:H,2,0)</f>
        <v>＃2藍莓(1*900g)</v>
      </c>
      <c r="D2620" s="296">
        <v>20</v>
      </c>
      <c r="E2620" s="48">
        <f>VLOOKUP(B2620,'112年全品項生產鍋數'!A:H,3,0)</f>
        <v>0.9</v>
      </c>
      <c r="F2620" s="142">
        <f>VLOOKUP(B2620,'112年全品項生產鍋數'!A:H,7,0)</f>
        <v>163</v>
      </c>
      <c r="G2620" s="143">
        <f t="shared" si="400"/>
        <v>3260</v>
      </c>
      <c r="H2620" s="156">
        <v>3254</v>
      </c>
      <c r="I2620" s="23">
        <f t="shared" si="401"/>
        <v>2928.6</v>
      </c>
      <c r="J2620" s="100">
        <f t="shared" si="402"/>
        <v>0.998159509202454</v>
      </c>
      <c r="K2620" s="51">
        <f>VLOOKUP(B:B,'生產達成率(目標)'!A:C,3,0)</f>
        <v>1</v>
      </c>
      <c r="L2620" s="20">
        <f t="shared" si="403"/>
        <v>-2E-3</v>
      </c>
      <c r="M2620" s="137" t="str">
        <f>工時!R1804</f>
        <v>300</v>
      </c>
      <c r="N2620" s="144"/>
      <c r="O2620" s="144">
        <f t="shared" si="404"/>
        <v>4</v>
      </c>
      <c r="P2620" s="156">
        <v>3250</v>
      </c>
      <c r="Q2620" s="98">
        <f t="shared" si="405"/>
        <v>0.99877074370006147</v>
      </c>
      <c r="R2620" s="23"/>
      <c r="S2620" s="173"/>
      <c r="T2620" s="30" t="s">
        <v>1153</v>
      </c>
      <c r="U2620" s="264"/>
      <c r="V2620" s="463"/>
      <c r="X2620" s="463"/>
    </row>
    <row r="2621" spans="1:30" x14ac:dyDescent="0.4">
      <c r="A2621" s="212">
        <v>46062</v>
      </c>
      <c r="B2621" s="139" t="s">
        <v>54</v>
      </c>
      <c r="C2621" s="30" t="str">
        <f>VLOOKUP(B2621,'112年全品項生產鍋數'!A:H,2,0)</f>
        <v>草莓醬(1*6kg)</v>
      </c>
      <c r="D2621" s="296">
        <v>20</v>
      </c>
      <c r="E2621" s="48">
        <f>VLOOKUP(B2621,'112年全品項生產鍋數'!A:H,3,0)</f>
        <v>6</v>
      </c>
      <c r="F2621" s="142">
        <f>VLOOKUP(B2621,'112年全品項生產鍋數'!A:H,7,0)</f>
        <v>26.6</v>
      </c>
      <c r="G2621" s="143">
        <f t="shared" si="400"/>
        <v>532</v>
      </c>
      <c r="H2621" s="156">
        <v>523</v>
      </c>
      <c r="I2621" s="23">
        <f t="shared" si="401"/>
        <v>3138</v>
      </c>
      <c r="J2621" s="100">
        <f t="shared" si="402"/>
        <v>0.98308270676691734</v>
      </c>
      <c r="K2621" s="51">
        <f>VLOOKUP(B:B,'生產達成率(目標)'!A:C,3,0)</f>
        <v>1</v>
      </c>
      <c r="L2621" s="20">
        <f t="shared" si="403"/>
        <v>-1.7000000000000001E-2</v>
      </c>
      <c r="M2621" s="137" t="str">
        <f>工時!R1805</f>
        <v>240</v>
      </c>
      <c r="N2621" s="144"/>
      <c r="O2621" s="144">
        <f t="shared" si="404"/>
        <v>2</v>
      </c>
      <c r="P2621" s="156">
        <v>521</v>
      </c>
      <c r="Q2621" s="98">
        <f t="shared" si="405"/>
        <v>0.99617590822179736</v>
      </c>
      <c r="R2621" s="23"/>
      <c r="S2621" s="173"/>
      <c r="T2621" s="30" t="s">
        <v>1153</v>
      </c>
      <c r="U2621" s="264"/>
      <c r="V2621" s="463"/>
      <c r="X2621" s="463"/>
    </row>
    <row r="2622" spans="1:30" s="361" customFormat="1" x14ac:dyDescent="0.4">
      <c r="A2622" s="212">
        <v>46062</v>
      </c>
      <c r="B2622" s="139" t="s">
        <v>55</v>
      </c>
      <c r="C2622" s="30" t="str">
        <f>VLOOKUP(B2622,'112年全品項生產鍋數'!A:H,2,0)</f>
        <v>天天開心草莓餡4.5KG</v>
      </c>
      <c r="D2622" s="296">
        <v>36</v>
      </c>
      <c r="E2622" s="48">
        <f>VLOOKUP(B2622,'112年全品項生產鍋數'!A:H,3,0)</f>
        <v>4.5</v>
      </c>
      <c r="F2622" s="142">
        <f>VLOOKUP(B2622,'112年全品項生產鍋數'!A:H,7,0)</f>
        <v>36.299999999999997</v>
      </c>
      <c r="G2622" s="143">
        <f t="shared" ref="G2622:G2664" si="406">D2622*F2622</f>
        <v>1306.8</v>
      </c>
      <c r="H2622" s="156">
        <v>1329</v>
      </c>
      <c r="I2622" s="23">
        <f t="shared" ref="I2622:I2664" si="407">H2622*E2622</f>
        <v>5980.5</v>
      </c>
      <c r="J2622" s="100">
        <f t="shared" ref="J2622:J2664" si="408">IF(G2622=0,"無法預估數據",H2622/G2622)</f>
        <v>1.016988062442608</v>
      </c>
      <c r="K2622" s="51">
        <f>VLOOKUP(B:B,'生產達成率(目標)'!A:C,3,0)</f>
        <v>1</v>
      </c>
      <c r="L2622" s="20">
        <f t="shared" ref="L2622:L2664" si="409">IF(G2622=0,"無法預估數據",ROUND(J2622-K2622,3))</f>
        <v>1.7000000000000001E-2</v>
      </c>
      <c r="M2622" s="137" t="str">
        <f>工時!R1806</f>
        <v>492</v>
      </c>
      <c r="N2622" s="144"/>
      <c r="O2622" s="144">
        <f t="shared" ref="O2622:O2664" si="410">H2622-N2622-P2622</f>
        <v>0</v>
      </c>
      <c r="P2622" s="156">
        <v>1329</v>
      </c>
      <c r="Q2622" s="98">
        <f t="shared" ref="Q2622:Q2664" si="411">P2622/H2622</f>
        <v>1</v>
      </c>
      <c r="R2622" s="23"/>
      <c r="S2622" s="173"/>
      <c r="T2622" s="30"/>
      <c r="U2622" s="264"/>
      <c r="V2622" s="463"/>
      <c r="W2622" s="421"/>
      <c r="X2622" s="463"/>
      <c r="Y2622" s="421"/>
      <c r="Z2622" s="421"/>
      <c r="AA2622" s="421"/>
      <c r="AB2622" s="421"/>
      <c r="AC2622" s="421"/>
      <c r="AD2622" s="421"/>
    </row>
    <row r="2623" spans="1:30" s="361" customFormat="1" x14ac:dyDescent="0.4">
      <c r="A2623" s="212">
        <v>46062</v>
      </c>
      <c r="B2623" s="139" t="s">
        <v>118</v>
      </c>
      <c r="C2623" s="30" t="str">
        <f>VLOOKUP(B2623,'112年全品項生產鍋數'!A:H,2,0)</f>
        <v>草莓餡(1*4.5kg)</v>
      </c>
      <c r="D2623" s="296">
        <v>4</v>
      </c>
      <c r="E2623" s="48">
        <f>VLOOKUP(B2623,'112年全品項生產鍋數'!A:H,3,0)</f>
        <v>4.5</v>
      </c>
      <c r="F2623" s="142">
        <f>VLOOKUP(B2623,'112年全品項生產鍋數'!A:H,7,0)</f>
        <v>34.5</v>
      </c>
      <c r="G2623" s="143">
        <f t="shared" si="406"/>
        <v>138</v>
      </c>
      <c r="H2623" s="156">
        <v>135</v>
      </c>
      <c r="I2623" s="23">
        <f t="shared" si="407"/>
        <v>607.5</v>
      </c>
      <c r="J2623" s="100">
        <f t="shared" si="408"/>
        <v>0.97826086956521741</v>
      </c>
      <c r="K2623" s="51">
        <f>VLOOKUP(B:B,'生產達成率(目標)'!A:C,3,0)</f>
        <v>1</v>
      </c>
      <c r="L2623" s="20">
        <f t="shared" si="409"/>
        <v>-2.1999999999999999E-2</v>
      </c>
      <c r="M2623" s="137" t="str">
        <f>工時!R1807</f>
        <v>135</v>
      </c>
      <c r="N2623" s="144"/>
      <c r="O2623" s="144">
        <f t="shared" si="410"/>
        <v>0</v>
      </c>
      <c r="P2623" s="156">
        <v>135</v>
      </c>
      <c r="Q2623" s="98">
        <f t="shared" si="411"/>
        <v>1</v>
      </c>
      <c r="R2623" s="23"/>
      <c r="S2623" s="173"/>
      <c r="T2623" s="30"/>
      <c r="U2623" s="264"/>
      <c r="V2623" s="463"/>
      <c r="W2623" s="421"/>
      <c r="X2623" s="463"/>
      <c r="Y2623" s="421"/>
      <c r="Z2623" s="421"/>
      <c r="AA2623" s="421"/>
      <c r="AB2623" s="421"/>
      <c r="AC2623" s="421"/>
      <c r="AD2623" s="421"/>
    </row>
    <row r="2624" spans="1:30" s="160" customFormat="1" x14ac:dyDescent="0.4">
      <c r="A2624" s="417">
        <v>46062</v>
      </c>
      <c r="B2624" s="373" t="s">
        <v>65</v>
      </c>
      <c r="C2624" s="375" t="str">
        <f>VLOOKUP(B2624,'112年全品項生產鍋數'!A:H,2,0)</f>
        <v>＃1花生(1*2.8kg)</v>
      </c>
      <c r="D2624" s="406">
        <v>72</v>
      </c>
      <c r="E2624" s="141">
        <f>VLOOKUP(B2624,'112年全品項生產鍋數'!A:H,3,0)</f>
        <v>2.8</v>
      </c>
      <c r="F2624" s="142">
        <f>VLOOKUP(B2624,'112年全品項生產鍋數'!A:H,7,0)</f>
        <v>44.5</v>
      </c>
      <c r="G2624" s="143">
        <f t="shared" si="406"/>
        <v>3204</v>
      </c>
      <c r="H2624" s="374">
        <v>3271</v>
      </c>
      <c r="I2624" s="374">
        <f t="shared" si="407"/>
        <v>9158.7999999999993</v>
      </c>
      <c r="J2624" s="50">
        <f t="shared" si="408"/>
        <v>1.0209113607990012</v>
      </c>
      <c r="K2624" s="51">
        <f>VLOOKUP(B:B,'生產達成率(目標)'!A:C,3,0)</f>
        <v>1</v>
      </c>
      <c r="L2624" s="27">
        <f t="shared" si="409"/>
        <v>2.1000000000000001E-2</v>
      </c>
      <c r="M2624" s="217" t="str">
        <f>工時!R1808</f>
        <v>570</v>
      </c>
      <c r="N2624" s="374"/>
      <c r="O2624" s="374">
        <f t="shared" si="410"/>
        <v>2</v>
      </c>
      <c r="P2624" s="374">
        <v>3269</v>
      </c>
      <c r="Q2624" s="145">
        <f t="shared" si="411"/>
        <v>0.99938856618771021</v>
      </c>
      <c r="R2624" s="374" t="s">
        <v>1232</v>
      </c>
      <c r="S2624" s="378">
        <v>208</v>
      </c>
      <c r="T2624" s="375"/>
      <c r="U2624" s="373"/>
      <c r="V2624" s="465"/>
      <c r="W2624" s="421"/>
      <c r="X2624" s="465"/>
      <c r="Y2624" s="421"/>
      <c r="Z2624" s="421"/>
      <c r="AA2624" s="421"/>
      <c r="AB2624" s="421"/>
      <c r="AC2624" s="421"/>
      <c r="AD2624" s="421"/>
    </row>
    <row r="2625" spans="1:30" s="361" customFormat="1" x14ac:dyDescent="0.4">
      <c r="A2625" s="212">
        <v>46063</v>
      </c>
      <c r="B2625" s="139" t="s">
        <v>80</v>
      </c>
      <c r="C2625" s="30" t="str">
        <f>VLOOKUP(B2625,'112年全品項生產鍋數'!A:H,2,0)</f>
        <v>＃1桔子(1*3.2kg)</v>
      </c>
      <c r="D2625" s="296">
        <v>36</v>
      </c>
      <c r="E2625" s="48">
        <f>VLOOKUP(B2625,'112年全品項生產鍋數'!A:H,3,0)</f>
        <v>3.2</v>
      </c>
      <c r="F2625" s="142">
        <f>VLOOKUP(B2625,'112年全品項生產鍋數'!A:H,7,0)</f>
        <v>46.4</v>
      </c>
      <c r="G2625" s="143">
        <f t="shared" si="406"/>
        <v>1670.3999999999999</v>
      </c>
      <c r="H2625" s="156">
        <v>1650</v>
      </c>
      <c r="I2625" s="23">
        <f t="shared" si="407"/>
        <v>5280</v>
      </c>
      <c r="J2625" s="100">
        <f t="shared" si="408"/>
        <v>0.98778735632183912</v>
      </c>
      <c r="K2625" s="51">
        <f>VLOOKUP(B:B,'生產達成率(目標)'!A:C,3,0)</f>
        <v>1</v>
      </c>
      <c r="L2625" s="20">
        <f t="shared" si="409"/>
        <v>-1.2E-2</v>
      </c>
      <c r="M2625" s="137" t="str">
        <f>工時!R1809</f>
        <v>300</v>
      </c>
      <c r="N2625" s="144"/>
      <c r="O2625" s="144">
        <f t="shared" si="410"/>
        <v>1</v>
      </c>
      <c r="P2625" s="156">
        <v>1649</v>
      </c>
      <c r="Q2625" s="98">
        <f t="shared" si="411"/>
        <v>0.99939393939393939</v>
      </c>
      <c r="R2625" s="23"/>
      <c r="S2625" s="173"/>
      <c r="T2625" s="30"/>
      <c r="U2625" s="264"/>
      <c r="V2625" s="463"/>
      <c r="W2625" s="421"/>
      <c r="X2625" s="463"/>
      <c r="Y2625" s="421"/>
      <c r="Z2625" s="421"/>
      <c r="AA2625" s="421"/>
      <c r="AB2625" s="421"/>
      <c r="AC2625" s="421"/>
      <c r="AD2625" s="421"/>
    </row>
    <row r="2626" spans="1:30" s="361" customFormat="1" x14ac:dyDescent="0.4">
      <c r="A2626" s="212">
        <v>46063</v>
      </c>
      <c r="B2626" s="139" t="s">
        <v>87</v>
      </c>
      <c r="C2626" s="30" t="str">
        <f>VLOOKUP(B2626,'112年全品項生產鍋數'!A:H,2,0)</f>
        <v>＃1藍莓(1*3.2kg)</v>
      </c>
      <c r="D2626" s="296">
        <v>36</v>
      </c>
      <c r="E2626" s="48">
        <f>VLOOKUP(B2626,'112年全品項生產鍋數'!A:H,3,0)</f>
        <v>3.2</v>
      </c>
      <c r="F2626" s="142">
        <f>VLOOKUP(B2626,'112年全品項生產鍋數'!A:H,7,0)</f>
        <v>47.5</v>
      </c>
      <c r="G2626" s="143">
        <f t="shared" si="406"/>
        <v>1710</v>
      </c>
      <c r="H2626" s="156">
        <v>1679</v>
      </c>
      <c r="I2626" s="23">
        <f t="shared" si="407"/>
        <v>5372.8</v>
      </c>
      <c r="J2626" s="100">
        <f t="shared" si="408"/>
        <v>0.98187134502923978</v>
      </c>
      <c r="K2626" s="51">
        <f>VLOOKUP(B:B,'生產達成率(目標)'!A:C,3,0)</f>
        <v>1</v>
      </c>
      <c r="L2626" s="20">
        <f t="shared" si="409"/>
        <v>-1.7999999999999999E-2</v>
      </c>
      <c r="M2626" s="137" t="str">
        <f>工時!R1810</f>
        <v>270</v>
      </c>
      <c r="N2626" s="144"/>
      <c r="O2626" s="144">
        <f t="shared" si="410"/>
        <v>1</v>
      </c>
      <c r="P2626" s="156">
        <v>1678</v>
      </c>
      <c r="Q2626" s="98">
        <f t="shared" si="411"/>
        <v>0.99940440738534841</v>
      </c>
      <c r="R2626" s="23"/>
      <c r="S2626" s="173"/>
      <c r="T2626" s="30"/>
      <c r="U2626" s="264"/>
      <c r="V2626" s="463"/>
      <c r="W2626" s="421"/>
      <c r="X2626" s="463"/>
      <c r="Y2626" s="421"/>
      <c r="Z2626" s="421"/>
      <c r="AA2626" s="421"/>
      <c r="AB2626" s="421"/>
      <c r="AC2626" s="421"/>
      <c r="AD2626" s="421"/>
    </row>
    <row r="2627" spans="1:30" s="361" customFormat="1" x14ac:dyDescent="0.4">
      <c r="A2627" s="212">
        <v>46063</v>
      </c>
      <c r="B2627" s="139" t="s">
        <v>1046</v>
      </c>
      <c r="C2627" s="30" t="str">
        <f>VLOOKUP(B2627,'112年全品項生產鍋數'!A:H,2,0)</f>
        <v>藍莓顆粒果醬(1*6kg)</v>
      </c>
      <c r="D2627" s="296">
        <v>12</v>
      </c>
      <c r="E2627" s="48">
        <f>VLOOKUP(B2627,'112年全品項生產鍋數'!A:H,3,0)</f>
        <v>6</v>
      </c>
      <c r="F2627" s="142">
        <f>VLOOKUP(B2627,'112年全品項生產鍋數'!A:H,7,0)</f>
        <v>0</v>
      </c>
      <c r="G2627" s="143">
        <f t="shared" si="406"/>
        <v>0</v>
      </c>
      <c r="H2627" s="156">
        <v>328</v>
      </c>
      <c r="I2627" s="23">
        <f t="shared" si="407"/>
        <v>1968</v>
      </c>
      <c r="J2627" s="100" t="str">
        <f t="shared" si="408"/>
        <v>無法預估數據</v>
      </c>
      <c r="K2627" s="51">
        <f>VLOOKUP(B:B,'生產達成率(目標)'!A:C,3,0)</f>
        <v>1</v>
      </c>
      <c r="L2627" s="20" t="str">
        <f t="shared" si="409"/>
        <v>無法預估數據</v>
      </c>
      <c r="M2627" s="137" t="str">
        <f>工時!R1811</f>
        <v>170</v>
      </c>
      <c r="N2627" s="144"/>
      <c r="O2627" s="144">
        <f t="shared" si="410"/>
        <v>5</v>
      </c>
      <c r="P2627" s="156">
        <v>323</v>
      </c>
      <c r="Q2627" s="98">
        <f t="shared" si="411"/>
        <v>0.9847560975609756</v>
      </c>
      <c r="R2627" s="23"/>
      <c r="S2627" s="173"/>
      <c r="T2627" s="30"/>
      <c r="U2627" s="264"/>
      <c r="V2627" s="463"/>
      <c r="W2627" s="421"/>
      <c r="X2627" s="463"/>
      <c r="Y2627" s="421"/>
      <c r="Z2627" s="421"/>
      <c r="AA2627" s="421"/>
      <c r="AB2627" s="421"/>
      <c r="AC2627" s="421"/>
      <c r="AD2627" s="421"/>
    </row>
    <row r="2628" spans="1:30" s="361" customFormat="1" x14ac:dyDescent="0.4">
      <c r="A2628" s="212">
        <v>46063</v>
      </c>
      <c r="B2628" s="139" t="s">
        <v>64</v>
      </c>
      <c r="C2628" s="30" t="str">
        <f>VLOOKUP(B2628,'112年全品項生產鍋數'!A:H,2,0)</f>
        <v>藍莓餡(1*6KG)</v>
      </c>
      <c r="D2628" s="296">
        <v>16</v>
      </c>
      <c r="E2628" s="48">
        <f>VLOOKUP(B2628,'112年全品項生產鍋數'!A:H,3,0)</f>
        <v>6</v>
      </c>
      <c r="F2628" s="142">
        <f>VLOOKUP(B2628,'112年全品項生產鍋數'!A:H,7,0)</f>
        <v>25.4</v>
      </c>
      <c r="G2628" s="143">
        <f t="shared" si="406"/>
        <v>406.4</v>
      </c>
      <c r="H2628" s="156">
        <f>199+209</f>
        <v>408</v>
      </c>
      <c r="I2628" s="23">
        <f t="shared" si="407"/>
        <v>2448</v>
      </c>
      <c r="J2628" s="100">
        <f t="shared" si="408"/>
        <v>1.0039370078740157</v>
      </c>
      <c r="K2628" s="51">
        <f>VLOOKUP(B:B,'生產達成率(目標)'!A:C,3,0)</f>
        <v>1</v>
      </c>
      <c r="L2628" s="20">
        <f t="shared" si="409"/>
        <v>4.0000000000000001E-3</v>
      </c>
      <c r="M2628" s="137" t="str">
        <f>工時!R1812</f>
        <v>240</v>
      </c>
      <c r="N2628" s="144"/>
      <c r="O2628" s="144">
        <f t="shared" si="410"/>
        <v>1</v>
      </c>
      <c r="P2628" s="156">
        <f>198+209</f>
        <v>407</v>
      </c>
      <c r="Q2628" s="98">
        <f t="shared" si="411"/>
        <v>0.99754901960784315</v>
      </c>
      <c r="R2628" s="23"/>
      <c r="S2628" s="173"/>
      <c r="T2628" s="30"/>
      <c r="U2628" s="264"/>
      <c r="V2628" s="463"/>
      <c r="W2628" s="421"/>
      <c r="X2628" s="463"/>
      <c r="Y2628" s="421"/>
      <c r="Z2628" s="421"/>
      <c r="AA2628" s="421"/>
      <c r="AB2628" s="421"/>
      <c r="AC2628" s="421"/>
      <c r="AD2628" s="421"/>
    </row>
    <row r="2629" spans="1:30" s="361" customFormat="1" x14ac:dyDescent="0.4">
      <c r="A2629" s="212">
        <v>46063</v>
      </c>
      <c r="B2629" s="139" t="s">
        <v>76</v>
      </c>
      <c r="C2629" s="30" t="str">
        <f>VLOOKUP(B2629,'112年全品項生產鍋數'!A:H,2,0)</f>
        <v>草莓餡(1*6Kg)</v>
      </c>
      <c r="D2629" s="296">
        <v>12</v>
      </c>
      <c r="E2629" s="48">
        <f>VLOOKUP(B2629,'112年全品項生產鍋數'!A:H,3,0)</f>
        <v>6</v>
      </c>
      <c r="F2629" s="142">
        <f>VLOOKUP(B2629,'112年全品項生產鍋數'!A:H,7,0)</f>
        <v>25.5</v>
      </c>
      <c r="G2629" s="143">
        <f t="shared" si="406"/>
        <v>306</v>
      </c>
      <c r="H2629" s="156">
        <v>332</v>
      </c>
      <c r="I2629" s="23">
        <f t="shared" si="407"/>
        <v>1992</v>
      </c>
      <c r="J2629" s="100">
        <f t="shared" si="408"/>
        <v>1.0849673202614378</v>
      </c>
      <c r="K2629" s="51">
        <f>VLOOKUP(B:B,'生產達成率(目標)'!A:C,3,0)</f>
        <v>1</v>
      </c>
      <c r="L2629" s="20">
        <f t="shared" si="409"/>
        <v>8.5000000000000006E-2</v>
      </c>
      <c r="M2629" s="137" t="str">
        <f>工時!R1813</f>
        <v>215</v>
      </c>
      <c r="N2629" s="144"/>
      <c r="O2629" s="144">
        <f t="shared" si="410"/>
        <v>1</v>
      </c>
      <c r="P2629" s="156">
        <v>331</v>
      </c>
      <c r="Q2629" s="98">
        <f t="shared" si="411"/>
        <v>0.99698795180722888</v>
      </c>
      <c r="R2629" s="23"/>
      <c r="S2629" s="173"/>
      <c r="T2629" s="30" t="s">
        <v>1153</v>
      </c>
      <c r="U2629" s="264"/>
      <c r="V2629" s="463"/>
      <c r="W2629" s="421"/>
      <c r="X2629" s="463"/>
      <c r="Y2629" s="421"/>
      <c r="Z2629" s="421"/>
      <c r="AA2629" s="421"/>
      <c r="AB2629" s="421"/>
      <c r="AC2629" s="421"/>
      <c r="AD2629" s="421"/>
    </row>
    <row r="2630" spans="1:30" s="361" customFormat="1" x14ac:dyDescent="0.4">
      <c r="A2630" s="212">
        <v>46063</v>
      </c>
      <c r="B2630" s="139" t="s">
        <v>65</v>
      </c>
      <c r="C2630" s="30" t="str">
        <f>VLOOKUP(B2630,'112年全品項生產鍋數'!A:H,2,0)</f>
        <v>＃1花生(1*2.8kg)</v>
      </c>
      <c r="D2630" s="296">
        <v>72</v>
      </c>
      <c r="E2630" s="48">
        <f>VLOOKUP(B2630,'112年全品項生產鍋數'!A:H,3,0)</f>
        <v>2.8</v>
      </c>
      <c r="F2630" s="142">
        <f>VLOOKUP(B2630,'112年全品項生產鍋數'!A:H,7,0)</f>
        <v>44.5</v>
      </c>
      <c r="G2630" s="143">
        <f>D2630*F2630-15*18/2.8</f>
        <v>3107.5714285714284</v>
      </c>
      <c r="H2630" s="156">
        <f>2204+900</f>
        <v>3104</v>
      </c>
      <c r="I2630" s="23">
        <f t="shared" si="407"/>
        <v>8691.1999999999989</v>
      </c>
      <c r="J2630" s="100">
        <f t="shared" si="408"/>
        <v>0.99885073323219786</v>
      </c>
      <c r="K2630" s="51">
        <f>VLOOKUP(B:B,'生產達成率(目標)'!A:C,3,0)</f>
        <v>1</v>
      </c>
      <c r="L2630" s="20">
        <f t="shared" si="409"/>
        <v>-1E-3</v>
      </c>
      <c r="M2630" s="137" t="str">
        <f>工時!R1814</f>
        <v>545</v>
      </c>
      <c r="N2630" s="144"/>
      <c r="O2630" s="144">
        <f t="shared" si="410"/>
        <v>1</v>
      </c>
      <c r="P2630" s="156">
        <f>2203+900</f>
        <v>3103</v>
      </c>
      <c r="Q2630" s="98">
        <f t="shared" si="411"/>
        <v>0.99967783505154639</v>
      </c>
      <c r="R2630" s="23"/>
      <c r="S2630" s="173"/>
      <c r="T2630" s="30" t="s">
        <v>1229</v>
      </c>
      <c r="U2630" s="264"/>
      <c r="V2630" s="463"/>
      <c r="W2630" s="421"/>
      <c r="X2630" s="463"/>
      <c r="Y2630" s="421"/>
      <c r="Z2630" s="421"/>
      <c r="AA2630" s="421"/>
      <c r="AB2630" s="421"/>
      <c r="AC2630" s="421"/>
      <c r="AD2630" s="421"/>
    </row>
    <row r="2631" spans="1:30" s="361" customFormat="1" x14ac:dyDescent="0.4">
      <c r="A2631" s="212">
        <v>46064</v>
      </c>
      <c r="B2631" s="139" t="s">
        <v>54</v>
      </c>
      <c r="C2631" s="30" t="str">
        <f>VLOOKUP(B2631,'112年全品項生產鍋數'!A:H,2,0)</f>
        <v>草莓醬(1*6kg)</v>
      </c>
      <c r="D2631" s="296">
        <v>16</v>
      </c>
      <c r="E2631" s="48">
        <f>VLOOKUP(B2631,'112年全品項生產鍋數'!A:H,3,0)</f>
        <v>6</v>
      </c>
      <c r="F2631" s="142">
        <f>VLOOKUP(B2631,'112年全品項生產鍋數'!A:H,7,0)</f>
        <v>26.6</v>
      </c>
      <c r="G2631" s="143">
        <f t="shared" si="406"/>
        <v>425.6</v>
      </c>
      <c r="H2631" s="156">
        <v>413</v>
      </c>
      <c r="I2631" s="23">
        <f t="shared" si="407"/>
        <v>2478</v>
      </c>
      <c r="J2631" s="100">
        <f t="shared" si="408"/>
        <v>0.9703947368421052</v>
      </c>
      <c r="K2631" s="51">
        <f>VLOOKUP(B:B,'生產達成率(目標)'!A:C,3,0)</f>
        <v>1</v>
      </c>
      <c r="L2631" s="20">
        <f t="shared" si="409"/>
        <v>-0.03</v>
      </c>
      <c r="M2631" s="137" t="str">
        <f>工時!R1815</f>
        <v>280</v>
      </c>
      <c r="N2631" s="144"/>
      <c r="O2631" s="144">
        <f t="shared" si="410"/>
        <v>4</v>
      </c>
      <c r="P2631" s="156">
        <v>409</v>
      </c>
      <c r="Q2631" s="98">
        <f t="shared" si="411"/>
        <v>0.99031476997578693</v>
      </c>
      <c r="R2631" s="23"/>
      <c r="S2631" s="173"/>
      <c r="T2631" s="30" t="s">
        <v>1153</v>
      </c>
      <c r="U2631" s="264"/>
      <c r="V2631" s="463"/>
      <c r="W2631" s="421"/>
      <c r="X2631" s="463"/>
      <c r="Y2631" s="421"/>
      <c r="Z2631" s="421"/>
      <c r="AA2631" s="421"/>
      <c r="AB2631" s="421"/>
      <c r="AC2631" s="421"/>
      <c r="AD2631" s="421"/>
    </row>
    <row r="2632" spans="1:30" s="361" customFormat="1" x14ac:dyDescent="0.4">
      <c r="A2632" s="212">
        <v>46064</v>
      </c>
      <c r="B2632" s="139" t="s">
        <v>51</v>
      </c>
      <c r="C2632" s="30" t="str">
        <f>VLOOKUP(B2632,'112年全品項生產鍋數'!A:H,2,0)</f>
        <v>藍莓醬(1*6kg)</v>
      </c>
      <c r="D2632" s="296">
        <v>16</v>
      </c>
      <c r="E2632" s="48">
        <f>VLOOKUP(B2632,'112年全品項生產鍋數'!A:H,3,0)</f>
        <v>6</v>
      </c>
      <c r="F2632" s="142">
        <f>VLOOKUP(B2632,'112年全品項生產鍋數'!A:H,7,0)</f>
        <v>25.5</v>
      </c>
      <c r="G2632" s="143">
        <f t="shared" si="406"/>
        <v>408</v>
      </c>
      <c r="H2632" s="156">
        <v>406</v>
      </c>
      <c r="I2632" s="23">
        <f t="shared" si="407"/>
        <v>2436</v>
      </c>
      <c r="J2632" s="100">
        <f t="shared" si="408"/>
        <v>0.99509803921568629</v>
      </c>
      <c r="K2632" s="51">
        <f>VLOOKUP(B:B,'生產達成率(目標)'!A:C,3,0)</f>
        <v>1</v>
      </c>
      <c r="L2632" s="20">
        <f t="shared" si="409"/>
        <v>-5.0000000000000001E-3</v>
      </c>
      <c r="M2632" s="137" t="str">
        <f>工時!R1816</f>
        <v>256</v>
      </c>
      <c r="N2632" s="144"/>
      <c r="O2632" s="144">
        <f t="shared" si="410"/>
        <v>1</v>
      </c>
      <c r="P2632" s="156">
        <v>405</v>
      </c>
      <c r="Q2632" s="98">
        <f t="shared" si="411"/>
        <v>0.99753694581280783</v>
      </c>
      <c r="R2632" s="23"/>
      <c r="S2632" s="173"/>
      <c r="T2632" s="30" t="s">
        <v>1153</v>
      </c>
      <c r="U2632" s="264"/>
      <c r="V2632" s="463"/>
      <c r="W2632" s="421"/>
      <c r="X2632" s="463"/>
      <c r="Y2632" s="421"/>
      <c r="Z2632" s="421"/>
      <c r="AA2632" s="421"/>
      <c r="AB2632" s="421"/>
      <c r="AC2632" s="421"/>
      <c r="AD2632" s="421"/>
    </row>
    <row r="2633" spans="1:30" s="361" customFormat="1" x14ac:dyDescent="0.4">
      <c r="A2633" s="212">
        <v>46064</v>
      </c>
      <c r="B2633" s="139" t="s">
        <v>53</v>
      </c>
      <c r="C2633" s="30" t="str">
        <f>VLOOKUP(B2633,'112年全品項生產鍋數'!A:H,2,0)</f>
        <v>鳳梨芒果百香果醬(1*6KG)</v>
      </c>
      <c r="D2633" s="296">
        <v>6</v>
      </c>
      <c r="E2633" s="48">
        <f>VLOOKUP(B2633,'112年全品項生產鍋數'!A:H,3,0)</f>
        <v>6</v>
      </c>
      <c r="F2633" s="142">
        <f>VLOOKUP(B2633,'112年全品項生產鍋數'!A:H,7,0)</f>
        <v>25.7</v>
      </c>
      <c r="G2633" s="143">
        <f t="shared" si="406"/>
        <v>154.19999999999999</v>
      </c>
      <c r="H2633" s="156">
        <v>147</v>
      </c>
      <c r="I2633" s="23">
        <f t="shared" si="407"/>
        <v>882</v>
      </c>
      <c r="J2633" s="100">
        <f t="shared" si="408"/>
        <v>0.953307392996109</v>
      </c>
      <c r="K2633" s="51">
        <f>VLOOKUP(B:B,'生產達成率(目標)'!A:C,3,0)</f>
        <v>1</v>
      </c>
      <c r="L2633" s="20">
        <f t="shared" si="409"/>
        <v>-4.7E-2</v>
      </c>
      <c r="M2633" s="137" t="str">
        <f>工時!R1817</f>
        <v>160</v>
      </c>
      <c r="N2633" s="144"/>
      <c r="O2633" s="144">
        <f t="shared" si="410"/>
        <v>1</v>
      </c>
      <c r="P2633" s="156">
        <v>146</v>
      </c>
      <c r="Q2633" s="98">
        <f t="shared" si="411"/>
        <v>0.99319727891156462</v>
      </c>
      <c r="R2633" s="23"/>
      <c r="S2633" s="173"/>
      <c r="T2633" s="30"/>
      <c r="U2633" s="264"/>
      <c r="V2633" s="463"/>
      <c r="W2633" s="421"/>
      <c r="X2633" s="463"/>
      <c r="Y2633" s="421"/>
      <c r="Z2633" s="421"/>
      <c r="AA2633" s="421"/>
      <c r="AB2633" s="421"/>
      <c r="AC2633" s="421"/>
      <c r="AD2633" s="421"/>
    </row>
    <row r="2634" spans="1:30" s="361" customFormat="1" x14ac:dyDescent="0.4">
      <c r="A2634" s="212">
        <v>46064</v>
      </c>
      <c r="B2634" s="139" t="s">
        <v>547</v>
      </c>
      <c r="C2634" s="30" t="str">
        <f>VLOOKUP(B2634,'112年全品項生產鍋數'!A:H,2,0)</f>
        <v>草莓果醬(桶)(1*9.5KG)</v>
      </c>
      <c r="D2634" s="296">
        <v>16</v>
      </c>
      <c r="E2634" s="48">
        <f>VLOOKUP(B2634,'112年全品項生產鍋數'!A:H,3,0)</f>
        <v>9.5</v>
      </c>
      <c r="F2634" s="142">
        <f>VLOOKUP(B2634,'112年全品項生產鍋數'!A:H,7,0)</f>
        <v>16.600000000000001</v>
      </c>
      <c r="G2634" s="143">
        <f t="shared" si="406"/>
        <v>265.60000000000002</v>
      </c>
      <c r="H2634" s="156">
        <v>262</v>
      </c>
      <c r="I2634" s="23">
        <f t="shared" si="407"/>
        <v>2489</v>
      </c>
      <c r="J2634" s="100">
        <f t="shared" si="408"/>
        <v>0.98644578313253006</v>
      </c>
      <c r="K2634" s="51">
        <f>VLOOKUP(B:B,'生產達成率(目標)'!A:C,3,0)</f>
        <v>1</v>
      </c>
      <c r="L2634" s="20">
        <f t="shared" si="409"/>
        <v>-1.4E-2</v>
      </c>
      <c r="M2634" s="137" t="str">
        <f>工時!R1818</f>
        <v>250</v>
      </c>
      <c r="N2634" s="144"/>
      <c r="O2634" s="144">
        <f t="shared" si="410"/>
        <v>0</v>
      </c>
      <c r="P2634" s="156">
        <v>262</v>
      </c>
      <c r="Q2634" s="98">
        <f t="shared" si="411"/>
        <v>1</v>
      </c>
      <c r="R2634" s="23"/>
      <c r="S2634" s="173"/>
      <c r="T2634" s="30" t="s">
        <v>1153</v>
      </c>
      <c r="U2634" s="264"/>
      <c r="V2634" s="463"/>
      <c r="W2634" s="421"/>
      <c r="X2634" s="463"/>
      <c r="Y2634" s="421"/>
      <c r="Z2634" s="421"/>
      <c r="AA2634" s="421"/>
      <c r="AB2634" s="421"/>
      <c r="AC2634" s="421"/>
      <c r="AD2634" s="421"/>
    </row>
    <row r="2635" spans="1:30" s="361" customFormat="1" x14ac:dyDescent="0.4">
      <c r="A2635" s="212">
        <v>46064</v>
      </c>
      <c r="B2635" s="139" t="s">
        <v>117</v>
      </c>
      <c r="C2635" s="30" t="str">
        <f>VLOOKUP(B2635,'112年全品項生產鍋數'!A:H,2,0)</f>
        <v>草莓餡(1*4.5Kg)</v>
      </c>
      <c r="D2635" s="296">
        <v>12</v>
      </c>
      <c r="E2635" s="48">
        <f>VLOOKUP(B2635,'112年全品項生產鍋數'!A:H,3,0)</f>
        <v>4.5</v>
      </c>
      <c r="F2635" s="142">
        <f>VLOOKUP(B2635,'112年全品項生產鍋數'!A:H,7,0)</f>
        <v>35.6</v>
      </c>
      <c r="G2635" s="143">
        <f t="shared" si="406"/>
        <v>427.20000000000005</v>
      </c>
      <c r="H2635" s="156">
        <v>425</v>
      </c>
      <c r="I2635" s="23">
        <f t="shared" si="407"/>
        <v>1912.5</v>
      </c>
      <c r="J2635" s="100">
        <f t="shared" si="408"/>
        <v>0.99485018726591745</v>
      </c>
      <c r="K2635" s="51">
        <f>VLOOKUP(B:B,'生產達成率(目標)'!A:C,3,0)</f>
        <v>1</v>
      </c>
      <c r="L2635" s="20">
        <f t="shared" si="409"/>
        <v>-5.0000000000000001E-3</v>
      </c>
      <c r="M2635" s="137" t="str">
        <f>工時!R1819</f>
        <v>275</v>
      </c>
      <c r="N2635" s="144"/>
      <c r="O2635" s="144">
        <f t="shared" si="410"/>
        <v>0</v>
      </c>
      <c r="P2635" s="156">
        <v>425</v>
      </c>
      <c r="Q2635" s="98">
        <f t="shared" si="411"/>
        <v>1</v>
      </c>
      <c r="R2635" s="23"/>
      <c r="S2635" s="173"/>
      <c r="T2635" s="30" t="s">
        <v>1153</v>
      </c>
      <c r="U2635" s="264"/>
      <c r="V2635" s="463"/>
      <c r="W2635" s="421"/>
      <c r="X2635" s="463"/>
      <c r="Y2635" s="421"/>
      <c r="Z2635" s="421"/>
      <c r="AA2635" s="421"/>
      <c r="AB2635" s="421"/>
      <c r="AC2635" s="421"/>
      <c r="AD2635" s="421"/>
    </row>
    <row r="2636" spans="1:30" s="361" customFormat="1" x14ac:dyDescent="0.4">
      <c r="A2636" s="212">
        <v>46064</v>
      </c>
      <c r="B2636" s="139" t="s">
        <v>130</v>
      </c>
      <c r="C2636" s="30" t="str">
        <f>VLOOKUP(B2636,'112年全品項生產鍋數'!A:H,2,0)</f>
        <v>天天開心柳橙餡4.5KG</v>
      </c>
      <c r="D2636" s="296">
        <v>12</v>
      </c>
      <c r="E2636" s="48">
        <f>VLOOKUP(B2636,'112年全品項生產鍋數'!A:H,3,0)</f>
        <v>4.5</v>
      </c>
      <c r="F2636" s="142">
        <f>VLOOKUP(B2636,'112年全品項生產鍋數'!A:H,7,0)</f>
        <v>34.9</v>
      </c>
      <c r="G2636" s="143">
        <f t="shared" si="406"/>
        <v>418.79999999999995</v>
      </c>
      <c r="H2636" s="156">
        <v>421</v>
      </c>
      <c r="I2636" s="23">
        <f t="shared" si="407"/>
        <v>1894.5</v>
      </c>
      <c r="J2636" s="100">
        <f t="shared" si="408"/>
        <v>1.0052531041069723</v>
      </c>
      <c r="K2636" s="51">
        <f>VLOOKUP(B:B,'生產達成率(目標)'!A:C,3,0)</f>
        <v>1</v>
      </c>
      <c r="L2636" s="20">
        <f t="shared" si="409"/>
        <v>5.0000000000000001E-3</v>
      </c>
      <c r="M2636" s="137" t="str">
        <f>工時!R1820</f>
        <v>248</v>
      </c>
      <c r="N2636" s="144"/>
      <c r="O2636" s="144">
        <f t="shared" si="410"/>
        <v>0</v>
      </c>
      <c r="P2636" s="156">
        <v>421</v>
      </c>
      <c r="Q2636" s="98">
        <f t="shared" si="411"/>
        <v>1</v>
      </c>
      <c r="R2636" s="23"/>
      <c r="S2636" s="173"/>
      <c r="T2636" s="30" t="s">
        <v>1153</v>
      </c>
      <c r="U2636" s="264"/>
      <c r="V2636" s="463"/>
      <c r="W2636" s="421"/>
      <c r="X2636" s="463"/>
      <c r="Y2636" s="421"/>
      <c r="Z2636" s="421"/>
      <c r="AA2636" s="421"/>
      <c r="AB2636" s="421"/>
      <c r="AC2636" s="421"/>
      <c r="AD2636" s="421"/>
    </row>
    <row r="2637" spans="1:30" s="381" customFormat="1" x14ac:dyDescent="0.4">
      <c r="A2637" s="402">
        <v>46064</v>
      </c>
      <c r="B2637" s="392" t="s">
        <v>66</v>
      </c>
      <c r="C2637" s="375" t="str">
        <f>VLOOKUP(B2637,'112年全品項生產鍋數'!A:H,2,0)</f>
        <v>＃2花生(1*800g)</v>
      </c>
      <c r="D2637" s="406">
        <v>20</v>
      </c>
      <c r="E2637" s="141">
        <f>VLOOKUP(B2637,'112年全品項生產鍋數'!A:H,3,0)</f>
        <v>0.8</v>
      </c>
      <c r="F2637" s="142">
        <f>VLOOKUP(B2637,'112年全品項生產鍋數'!A:H,7,0)</f>
        <v>157.69999999999999</v>
      </c>
      <c r="G2637" s="143">
        <f t="shared" si="406"/>
        <v>3154</v>
      </c>
      <c r="H2637" s="156">
        <v>3111</v>
      </c>
      <c r="I2637" s="374">
        <f t="shared" si="407"/>
        <v>2488.8000000000002</v>
      </c>
      <c r="J2637" s="100">
        <f t="shared" si="408"/>
        <v>0.98636651870640457</v>
      </c>
      <c r="K2637" s="51">
        <f>VLOOKUP(B:B,'生產達成率(目標)'!A:C,3,0)</f>
        <v>1</v>
      </c>
      <c r="L2637" s="20">
        <f t="shared" si="409"/>
        <v>-1.4E-2</v>
      </c>
      <c r="M2637" s="137" t="str">
        <f>工時!R1821</f>
        <v>310</v>
      </c>
      <c r="N2637" s="374"/>
      <c r="O2637" s="374">
        <f t="shared" si="410"/>
        <v>3</v>
      </c>
      <c r="P2637" s="156">
        <v>3108</v>
      </c>
      <c r="Q2637" s="145">
        <f t="shared" si="411"/>
        <v>0.99903567984570874</v>
      </c>
      <c r="R2637" s="374"/>
      <c r="S2637" s="378"/>
      <c r="T2637" s="375"/>
      <c r="U2637" s="398"/>
      <c r="V2637" s="464"/>
      <c r="W2637" s="421"/>
      <c r="X2637" s="464"/>
      <c r="Y2637" s="421"/>
      <c r="Z2637" s="421"/>
      <c r="AA2637" s="421"/>
      <c r="AB2637" s="421"/>
      <c r="AC2637" s="421"/>
      <c r="AD2637" s="421"/>
    </row>
    <row r="2638" spans="1:30" s="381" customFormat="1" x14ac:dyDescent="0.4">
      <c r="A2638" s="402">
        <v>46064</v>
      </c>
      <c r="B2638" s="392" t="s">
        <v>642</v>
      </c>
      <c r="C2638" s="375" t="str">
        <f>VLOOKUP(B2638,'112年全品項生產鍋數'!A:H,2,0)</f>
        <v>＃2花生（粒）(1*800g)</v>
      </c>
      <c r="D2638" s="406">
        <v>20</v>
      </c>
      <c r="E2638" s="141">
        <f>VLOOKUP(B2638,'112年全品項生產鍋數'!A:H,3,0)</f>
        <v>0.8</v>
      </c>
      <c r="F2638" s="142">
        <f>VLOOKUP(B2638,'112年全品項生產鍋數'!A:H,7,0)</f>
        <v>155.5</v>
      </c>
      <c r="G2638" s="143">
        <f t="shared" si="406"/>
        <v>3110</v>
      </c>
      <c r="H2638" s="156">
        <v>3151</v>
      </c>
      <c r="I2638" s="374">
        <f t="shared" si="407"/>
        <v>2520.8000000000002</v>
      </c>
      <c r="J2638" s="100">
        <f t="shared" si="408"/>
        <v>1.0131832797427653</v>
      </c>
      <c r="K2638" s="51">
        <f>VLOOKUP(B:B,'生產達成率(目標)'!A:C,3,0)</f>
        <v>1</v>
      </c>
      <c r="L2638" s="20">
        <f t="shared" si="409"/>
        <v>1.2999999999999999E-2</v>
      </c>
      <c r="M2638" s="137" t="str">
        <f>工時!R1822</f>
        <v>360</v>
      </c>
      <c r="N2638" s="374"/>
      <c r="O2638" s="374">
        <f t="shared" si="410"/>
        <v>2</v>
      </c>
      <c r="P2638" s="156">
        <v>3149</v>
      </c>
      <c r="Q2638" s="145">
        <f t="shared" si="411"/>
        <v>0.99936528086321808</v>
      </c>
      <c r="R2638" s="374"/>
      <c r="S2638" s="378"/>
      <c r="T2638" s="375" t="s">
        <v>1153</v>
      </c>
      <c r="U2638" s="398"/>
      <c r="V2638" s="464"/>
      <c r="W2638" s="421"/>
      <c r="X2638" s="464"/>
      <c r="Y2638" s="421"/>
      <c r="Z2638" s="421"/>
      <c r="AA2638" s="421"/>
      <c r="AB2638" s="421"/>
      <c r="AC2638" s="421"/>
      <c r="AD2638" s="421"/>
    </row>
    <row r="2639" spans="1:30" s="381" customFormat="1" x14ac:dyDescent="0.4">
      <c r="A2639" s="402">
        <v>46065</v>
      </c>
      <c r="B2639" s="392" t="s">
        <v>71</v>
      </c>
      <c r="C2639" s="375" t="str">
        <f>VLOOKUP(B2639,'112年全品項生產鍋數'!A:H,2,0)</f>
        <v>＃1草莓(1*3.2kg)</v>
      </c>
      <c r="D2639" s="406">
        <v>72</v>
      </c>
      <c r="E2639" s="141">
        <f>VLOOKUP(B2639,'112年全品項生產鍋數'!A:H,3,0)</f>
        <v>3.2</v>
      </c>
      <c r="F2639" s="142">
        <f>VLOOKUP(B2639,'112年全品項生產鍋數'!A:H,7,0)</f>
        <v>46.8</v>
      </c>
      <c r="G2639" s="143">
        <f t="shared" si="406"/>
        <v>3369.6</v>
      </c>
      <c r="H2639" s="156">
        <v>3340</v>
      </c>
      <c r="I2639" s="374">
        <f t="shared" si="407"/>
        <v>10688</v>
      </c>
      <c r="J2639" s="100">
        <f t="shared" si="408"/>
        <v>0.99121557454890796</v>
      </c>
      <c r="K2639" s="51">
        <f>VLOOKUP(B:B,'生產達成率(目標)'!A:C,3,0)</f>
        <v>1</v>
      </c>
      <c r="L2639" s="20">
        <f t="shared" si="409"/>
        <v>-8.9999999999999993E-3</v>
      </c>
      <c r="M2639" s="137" t="str">
        <f>工時!R1823</f>
        <v>570</v>
      </c>
      <c r="N2639" s="374"/>
      <c r="O2639" s="374">
        <f t="shared" si="410"/>
        <v>6</v>
      </c>
      <c r="P2639" s="156">
        <v>3334</v>
      </c>
      <c r="Q2639" s="145">
        <f t="shared" si="411"/>
        <v>0.99820359281437121</v>
      </c>
      <c r="R2639" s="374"/>
      <c r="S2639" s="378"/>
      <c r="T2639" s="375" t="s">
        <v>1153</v>
      </c>
      <c r="U2639" s="398"/>
      <c r="V2639" s="464"/>
      <c r="W2639" s="421"/>
      <c r="X2639" s="464"/>
      <c r="Y2639" s="421"/>
      <c r="Z2639" s="421"/>
      <c r="AA2639" s="421"/>
      <c r="AB2639" s="421"/>
      <c r="AC2639" s="421"/>
      <c r="AD2639" s="421"/>
    </row>
    <row r="2640" spans="1:30" s="361" customFormat="1" x14ac:dyDescent="0.4">
      <c r="A2640" s="212">
        <v>46065</v>
      </c>
      <c r="B2640" s="139" t="s">
        <v>63</v>
      </c>
      <c r="C2640" s="30" t="str">
        <f>VLOOKUP(B2640,'112年全品項生產鍋數'!A:H,2,0)</f>
        <v>草莓蒟蒻餡(1*6kg)</v>
      </c>
      <c r="D2640" s="296">
        <v>24</v>
      </c>
      <c r="E2640" s="48">
        <f>VLOOKUP(B2640,'112年全品項生產鍋數'!A:H,3,0)</f>
        <v>6</v>
      </c>
      <c r="F2640" s="142">
        <f>VLOOKUP(B2640,'112年全品項生產鍋數'!A:H,7,0)</f>
        <v>25.7</v>
      </c>
      <c r="G2640" s="143">
        <f t="shared" si="406"/>
        <v>616.79999999999995</v>
      </c>
      <c r="H2640" s="156">
        <f>344+346</f>
        <v>690</v>
      </c>
      <c r="I2640" s="23">
        <f t="shared" si="407"/>
        <v>4140</v>
      </c>
      <c r="J2640" s="100">
        <f t="shared" si="408"/>
        <v>1.1186770428015564</v>
      </c>
      <c r="K2640" s="51">
        <f>VLOOKUP(B:B,'生產達成率(目標)'!A:C,3,0)</f>
        <v>1</v>
      </c>
      <c r="L2640" s="20">
        <f t="shared" si="409"/>
        <v>0.11899999999999999</v>
      </c>
      <c r="M2640" s="137" t="str">
        <f>工時!R1824</f>
        <v>328</v>
      </c>
      <c r="N2640" s="144"/>
      <c r="O2640" s="144">
        <f t="shared" si="410"/>
        <v>1</v>
      </c>
      <c r="P2640" s="156">
        <f>343+346</f>
        <v>689</v>
      </c>
      <c r="Q2640" s="98">
        <f t="shared" si="411"/>
        <v>0.99855072463768113</v>
      </c>
      <c r="R2640" s="23"/>
      <c r="S2640" s="173"/>
      <c r="T2640" s="30"/>
      <c r="U2640" s="264"/>
      <c r="V2640" s="463"/>
      <c r="W2640" s="421"/>
      <c r="X2640" s="463"/>
      <c r="Y2640" s="421"/>
      <c r="Z2640" s="421"/>
      <c r="AA2640" s="421"/>
      <c r="AB2640" s="421"/>
      <c r="AC2640" s="421"/>
      <c r="AD2640" s="421"/>
    </row>
    <row r="2641" spans="1:30" s="361" customFormat="1" x14ac:dyDescent="0.4">
      <c r="A2641" s="212">
        <v>46065</v>
      </c>
      <c r="B2641" s="139" t="s">
        <v>965</v>
      </c>
      <c r="C2641" s="30" t="str">
        <f>VLOOKUP(B2641,'112年全品項生產鍋數'!A:H,2,0)</f>
        <v>草莓餡°(1*6KG)</v>
      </c>
      <c r="D2641" s="296">
        <v>16</v>
      </c>
      <c r="E2641" s="48">
        <f>VLOOKUP(B2641,'112年全品項生產鍋數'!A:H,3,0)</f>
        <v>6</v>
      </c>
      <c r="F2641" s="142">
        <f>VLOOKUP(B2641,'112年全品項生產鍋數'!A:H,7,0)</f>
        <v>0</v>
      </c>
      <c r="G2641" s="143">
        <f t="shared" si="406"/>
        <v>0</v>
      </c>
      <c r="H2641" s="156">
        <v>404</v>
      </c>
      <c r="I2641" s="23">
        <f t="shared" si="407"/>
        <v>2424</v>
      </c>
      <c r="J2641" s="100" t="str">
        <f t="shared" si="408"/>
        <v>無法預估數據</v>
      </c>
      <c r="K2641" s="51">
        <f>VLOOKUP(B:B,'生產達成率(目標)'!A:C,3,0)</f>
        <v>1</v>
      </c>
      <c r="L2641" s="20" t="str">
        <f t="shared" si="409"/>
        <v>無法預估數據</v>
      </c>
      <c r="M2641" s="137" t="str">
        <f>工時!R1825</f>
        <v>220</v>
      </c>
      <c r="N2641" s="144"/>
      <c r="O2641" s="144">
        <f t="shared" si="410"/>
        <v>5</v>
      </c>
      <c r="P2641" s="156">
        <v>399</v>
      </c>
      <c r="Q2641" s="98">
        <f t="shared" si="411"/>
        <v>0.98762376237623761</v>
      </c>
      <c r="R2641" s="23"/>
      <c r="S2641" s="173"/>
      <c r="T2641" s="30" t="s">
        <v>1153</v>
      </c>
      <c r="U2641" s="264"/>
      <c r="V2641" s="463"/>
      <c r="W2641" s="421"/>
      <c r="X2641" s="463"/>
      <c r="Y2641" s="421"/>
      <c r="Z2641" s="421"/>
      <c r="AA2641" s="421"/>
      <c r="AB2641" s="421"/>
      <c r="AC2641" s="421"/>
      <c r="AD2641" s="421"/>
    </row>
    <row r="2642" spans="1:30" s="381" customFormat="1" x14ac:dyDescent="0.4">
      <c r="A2642" s="402">
        <v>46065</v>
      </c>
      <c r="B2642" s="392" t="s">
        <v>471</v>
      </c>
      <c r="C2642" s="375" t="str">
        <f>VLOOKUP(B2642,'112年全品項生產鍋數'!A:H,2,0)</f>
        <v>花生醬(1*290g)</v>
      </c>
      <c r="D2642" s="406">
        <v>8</v>
      </c>
      <c r="E2642" s="141">
        <f>VLOOKUP(B2642,'112年全品項生產鍋數'!A:H,3,0)</f>
        <v>0.28999999999999998</v>
      </c>
      <c r="F2642" s="142">
        <f>VLOOKUP(B2642,'112年全品項生產鍋數'!A:H,7,0)</f>
        <v>412.6</v>
      </c>
      <c r="G2642" s="143">
        <f t="shared" si="406"/>
        <v>3300.8</v>
      </c>
      <c r="H2642" s="156">
        <v>3581</v>
      </c>
      <c r="I2642" s="374">
        <f t="shared" si="407"/>
        <v>1038.49</v>
      </c>
      <c r="J2642" s="100">
        <f t="shared" si="408"/>
        <v>1.0848885118759088</v>
      </c>
      <c r="K2642" s="51">
        <f>VLOOKUP(B:B,'生產達成率(目標)'!A:C,3,0)</f>
        <v>1</v>
      </c>
      <c r="L2642" s="20">
        <f t="shared" si="409"/>
        <v>8.5000000000000006E-2</v>
      </c>
      <c r="M2642" s="137" t="str">
        <f>工時!R1826</f>
        <v>445</v>
      </c>
      <c r="N2642" s="374"/>
      <c r="O2642" s="374">
        <f t="shared" si="410"/>
        <v>3</v>
      </c>
      <c r="P2642" s="156">
        <v>3578</v>
      </c>
      <c r="Q2642" s="145">
        <f t="shared" si="411"/>
        <v>0.99916224518290975</v>
      </c>
      <c r="R2642" s="374"/>
      <c r="S2642" s="378"/>
      <c r="T2642" s="375" t="s">
        <v>1230</v>
      </c>
      <c r="U2642" s="398"/>
      <c r="V2642" s="464"/>
      <c r="W2642" s="421"/>
      <c r="X2642" s="464"/>
      <c r="Y2642" s="421"/>
      <c r="Z2642" s="421"/>
      <c r="AA2642" s="421"/>
      <c r="AB2642" s="421"/>
      <c r="AC2642" s="421"/>
      <c r="AD2642" s="421"/>
    </row>
    <row r="2643" spans="1:30" s="381" customFormat="1" x14ac:dyDescent="0.4">
      <c r="A2643" s="402">
        <v>46065</v>
      </c>
      <c r="B2643" s="392" t="s">
        <v>597</v>
      </c>
      <c r="C2643" s="375" t="str">
        <f>VLOOKUP(B2643,'112年全品項生產鍋數'!A:H,2,0)</f>
        <v>無加糖花生醬(1*290g)</v>
      </c>
      <c r="D2643" s="406">
        <v>8</v>
      </c>
      <c r="E2643" s="141">
        <f>VLOOKUP(B2643,'112年全品項生產鍋數'!A:H,3,0)</f>
        <v>0.28999999999999998</v>
      </c>
      <c r="F2643" s="142">
        <f>VLOOKUP(B2643,'112年全品項生產鍋數'!A:H,7,0)</f>
        <v>388</v>
      </c>
      <c r="G2643" s="143">
        <f t="shared" si="406"/>
        <v>3104</v>
      </c>
      <c r="H2643" s="156">
        <v>3269</v>
      </c>
      <c r="I2643" s="374">
        <f t="shared" si="407"/>
        <v>948.01</v>
      </c>
      <c r="J2643" s="100">
        <f t="shared" si="408"/>
        <v>1.0531572164948453</v>
      </c>
      <c r="K2643" s="51">
        <f>VLOOKUP(B:B,'生產達成率(目標)'!A:C,3,0)</f>
        <v>1</v>
      </c>
      <c r="L2643" s="20">
        <f t="shared" si="409"/>
        <v>5.2999999999999999E-2</v>
      </c>
      <c r="M2643" s="137" t="str">
        <f>工時!R1827</f>
        <v>255</v>
      </c>
      <c r="N2643" s="374"/>
      <c r="O2643" s="374">
        <f t="shared" si="410"/>
        <v>4</v>
      </c>
      <c r="P2643" s="156">
        <v>3265</v>
      </c>
      <c r="Q2643" s="145">
        <f t="shared" si="411"/>
        <v>0.99877638421535642</v>
      </c>
      <c r="R2643" s="374"/>
      <c r="S2643" s="378"/>
      <c r="T2643" s="375" t="s">
        <v>1230</v>
      </c>
      <c r="U2643" s="398"/>
      <c r="V2643" s="464"/>
      <c r="W2643" s="421"/>
      <c r="X2643" s="464"/>
      <c r="Y2643" s="421"/>
      <c r="Z2643" s="421"/>
      <c r="AA2643" s="421"/>
      <c r="AB2643" s="421"/>
      <c r="AC2643" s="421"/>
      <c r="AD2643" s="421"/>
    </row>
    <row r="2644" spans="1:30" s="361" customFormat="1" x14ac:dyDescent="0.4">
      <c r="A2644" s="212">
        <v>46066</v>
      </c>
      <c r="B2644" s="139" t="s">
        <v>61</v>
      </c>
      <c r="C2644" s="30" t="str">
        <f>VLOOKUP(B2644,'112年全品項生產鍋數'!A:H,2,0)</f>
        <v>大圓草莓-新</v>
      </c>
      <c r="D2644" s="296">
        <v>8</v>
      </c>
      <c r="E2644" s="48">
        <f>VLOOKUP(B2644,'112年全品項生產鍋數'!A:H,3,0)</f>
        <v>0.44</v>
      </c>
      <c r="F2644" s="142">
        <f>VLOOKUP(B2644,'112年全品項生產鍋數'!A:H,7,0)</f>
        <v>344</v>
      </c>
      <c r="G2644" s="143">
        <f t="shared" si="406"/>
        <v>2752</v>
      </c>
      <c r="H2644" s="156">
        <v>2685</v>
      </c>
      <c r="I2644" s="23">
        <f t="shared" si="407"/>
        <v>1181.4000000000001</v>
      </c>
      <c r="J2644" s="100">
        <f t="shared" si="408"/>
        <v>0.97565406976744184</v>
      </c>
      <c r="K2644" s="51">
        <f>VLOOKUP(B:B,'生產達成率(目標)'!A:C,3,0)</f>
        <v>1</v>
      </c>
      <c r="L2644" s="20">
        <f t="shared" si="409"/>
        <v>-2.4E-2</v>
      </c>
      <c r="M2644" s="137" t="str">
        <f>工時!R1828</f>
        <v>230</v>
      </c>
      <c r="N2644" s="144"/>
      <c r="O2644" s="144">
        <f t="shared" si="410"/>
        <v>3</v>
      </c>
      <c r="P2644" s="156">
        <v>2682</v>
      </c>
      <c r="Q2644" s="98">
        <f t="shared" si="411"/>
        <v>0.99888268156424576</v>
      </c>
      <c r="R2644" s="23"/>
      <c r="S2644" s="173"/>
      <c r="T2644" s="30"/>
      <c r="U2644" s="264"/>
      <c r="V2644" s="463"/>
      <c r="W2644" s="421"/>
      <c r="X2644" s="463"/>
      <c r="Y2644" s="421"/>
      <c r="Z2644" s="421"/>
      <c r="AA2644" s="421"/>
      <c r="AB2644" s="421"/>
      <c r="AC2644" s="421"/>
      <c r="AD2644" s="421"/>
    </row>
    <row r="2645" spans="1:30" s="381" customFormat="1" x14ac:dyDescent="0.4">
      <c r="A2645" s="402">
        <v>46066</v>
      </c>
      <c r="B2645" s="392" t="s">
        <v>472</v>
      </c>
      <c r="C2645" s="375" t="str">
        <f>VLOOKUP(B2645,'112年全品項生產鍋數'!A:H,2,0)</f>
        <v>藍莓果醬(1*210G)</v>
      </c>
      <c r="D2645" s="406">
        <v>4</v>
      </c>
      <c r="E2645" s="141">
        <f>VLOOKUP(B2645,'112年全品項生產鍋數'!A:H,3,0)</f>
        <v>0.21</v>
      </c>
      <c r="F2645" s="142">
        <f>VLOOKUP(B2645,'112年全品項生產鍋數'!A:H,7,0)</f>
        <v>698.4</v>
      </c>
      <c r="G2645" s="143">
        <f t="shared" si="406"/>
        <v>2793.6</v>
      </c>
      <c r="H2645" s="156">
        <v>2788</v>
      </c>
      <c r="I2645" s="374">
        <f t="shared" si="407"/>
        <v>585.48</v>
      </c>
      <c r="J2645" s="100">
        <f t="shared" si="408"/>
        <v>0.99799541809851089</v>
      </c>
      <c r="K2645" s="51">
        <f>VLOOKUP(B:B,'生產達成率(目標)'!A:C,3,0)</f>
        <v>1</v>
      </c>
      <c r="L2645" s="20">
        <f t="shared" si="409"/>
        <v>-2E-3</v>
      </c>
      <c r="M2645" s="137" t="str">
        <f>工時!R1829</f>
        <v>182</v>
      </c>
      <c r="N2645" s="374"/>
      <c r="O2645" s="374">
        <f t="shared" si="410"/>
        <v>9</v>
      </c>
      <c r="P2645" s="156">
        <v>2779</v>
      </c>
      <c r="Q2645" s="145">
        <f t="shared" si="411"/>
        <v>0.99677187948350077</v>
      </c>
      <c r="R2645" s="374"/>
      <c r="S2645" s="378"/>
      <c r="T2645" s="375" t="s">
        <v>1153</v>
      </c>
      <c r="U2645" s="398"/>
      <c r="V2645" s="464"/>
      <c r="W2645" s="421"/>
      <c r="X2645" s="464"/>
      <c r="Y2645" s="421"/>
      <c r="Z2645" s="421"/>
      <c r="AA2645" s="421"/>
      <c r="AB2645" s="421"/>
      <c r="AC2645" s="421"/>
      <c r="AD2645" s="421"/>
    </row>
    <row r="2646" spans="1:30" s="381" customFormat="1" x14ac:dyDescent="0.4">
      <c r="A2646" s="402">
        <v>46066</v>
      </c>
      <c r="B2646" s="392" t="s">
        <v>104</v>
      </c>
      <c r="C2646" s="375" t="str">
        <f>VLOOKUP(B2646,'112年全品項生產鍋數'!A:H,2,0)</f>
        <v>＃1花生(粒)(1*2.8kg)</v>
      </c>
      <c r="D2646" s="406">
        <v>36</v>
      </c>
      <c r="E2646" s="141">
        <f>VLOOKUP(B2646,'112年全品項生產鍋數'!A:H,3,0)</f>
        <v>2.8</v>
      </c>
      <c r="F2646" s="142">
        <f>VLOOKUP(B2646,'112年全品項生產鍋數'!A:H,7,0)</f>
        <v>44.2</v>
      </c>
      <c r="G2646" s="143">
        <f t="shared" si="406"/>
        <v>1591.2</v>
      </c>
      <c r="H2646" s="156">
        <v>1601</v>
      </c>
      <c r="I2646" s="374">
        <f t="shared" si="407"/>
        <v>4482.7999999999993</v>
      </c>
      <c r="J2646" s="100">
        <f t="shared" si="408"/>
        <v>1.0061588738059326</v>
      </c>
      <c r="K2646" s="51">
        <f>VLOOKUP(B:B,'生產達成率(目標)'!A:C,3,0)</f>
        <v>1</v>
      </c>
      <c r="L2646" s="20">
        <f t="shared" si="409"/>
        <v>6.0000000000000001E-3</v>
      </c>
      <c r="M2646" s="137" t="str">
        <f>工時!R1830</f>
        <v>385</v>
      </c>
      <c r="N2646" s="374"/>
      <c r="O2646" s="374">
        <f t="shared" si="410"/>
        <v>1</v>
      </c>
      <c r="P2646" s="156">
        <v>1600</v>
      </c>
      <c r="Q2646" s="145">
        <f t="shared" si="411"/>
        <v>0.99937539038101186</v>
      </c>
      <c r="R2646" s="374"/>
      <c r="S2646" s="378"/>
      <c r="T2646" s="375" t="s">
        <v>1153</v>
      </c>
      <c r="U2646" s="398"/>
      <c r="V2646" s="464"/>
      <c r="W2646" s="421"/>
      <c r="X2646" s="464"/>
      <c r="Y2646" s="421"/>
      <c r="Z2646" s="421"/>
      <c r="AA2646" s="421"/>
      <c r="AB2646" s="421"/>
      <c r="AC2646" s="421"/>
      <c r="AD2646" s="421"/>
    </row>
    <row r="2647" spans="1:30" s="361" customFormat="1" x14ac:dyDescent="0.4">
      <c r="A2647" s="212">
        <v>46076</v>
      </c>
      <c r="B2647" s="139" t="s">
        <v>71</v>
      </c>
      <c r="C2647" s="30" t="str">
        <f>VLOOKUP(B2647,'112年全品項生產鍋數'!A:H,2,0)</f>
        <v>＃1草莓(1*3.2kg)</v>
      </c>
      <c r="D2647" s="296">
        <v>72</v>
      </c>
      <c r="E2647" s="48">
        <f>VLOOKUP(B2647,'112年全品項生產鍋數'!A:H,3,0)</f>
        <v>3.2</v>
      </c>
      <c r="F2647" s="142">
        <f>VLOOKUP(B2647,'112年全品項生產鍋數'!A:H,7,0)</f>
        <v>46.8</v>
      </c>
      <c r="G2647" s="143">
        <f t="shared" si="406"/>
        <v>3369.6</v>
      </c>
      <c r="H2647" s="156">
        <v>3345</v>
      </c>
      <c r="I2647" s="23">
        <f t="shared" si="407"/>
        <v>10704</v>
      </c>
      <c r="J2647" s="100">
        <f t="shared" si="408"/>
        <v>0.99269943019943019</v>
      </c>
      <c r="K2647" s="51">
        <f>VLOOKUP(B:B,'生產達成率(目標)'!A:C,3,0)</f>
        <v>1</v>
      </c>
      <c r="L2647" s="20">
        <f t="shared" si="409"/>
        <v>-7.0000000000000001E-3</v>
      </c>
      <c r="M2647" s="137" t="str">
        <f>工時!R1831</f>
        <v>540</v>
      </c>
      <c r="N2647" s="144"/>
      <c r="O2647" s="144">
        <f t="shared" si="410"/>
        <v>4</v>
      </c>
      <c r="P2647" s="156">
        <v>3341</v>
      </c>
      <c r="Q2647" s="98">
        <f t="shared" si="411"/>
        <v>0.99880418535127058</v>
      </c>
      <c r="R2647" s="23"/>
      <c r="S2647" s="173"/>
      <c r="T2647" s="30" t="s">
        <v>1153</v>
      </c>
      <c r="U2647" s="264"/>
      <c r="V2647" s="463"/>
      <c r="W2647" s="421"/>
      <c r="X2647" s="463"/>
      <c r="Y2647" s="421"/>
      <c r="Z2647" s="421"/>
      <c r="AA2647" s="421"/>
      <c r="AB2647" s="421"/>
      <c r="AC2647" s="421"/>
      <c r="AD2647" s="421"/>
    </row>
    <row r="2648" spans="1:30" s="361" customFormat="1" x14ac:dyDescent="0.4">
      <c r="A2648" s="212">
        <v>46076</v>
      </c>
      <c r="B2648" s="139" t="s">
        <v>88</v>
      </c>
      <c r="C2648" s="30" t="str">
        <f>VLOOKUP(B2648,'112年全品項生產鍋數'!A:H,2,0)</f>
        <v>草莓餡(1*6KG)</v>
      </c>
      <c r="D2648" s="296">
        <v>16</v>
      </c>
      <c r="E2648" s="48">
        <f>VLOOKUP(B2648,'112年全品項生產鍋數'!A:H,3,0)</f>
        <v>6</v>
      </c>
      <c r="F2648" s="142">
        <f>VLOOKUP(B2648,'112年全品項生產鍋數'!A:H,7,0)</f>
        <v>25.5</v>
      </c>
      <c r="G2648" s="143">
        <f t="shared" si="406"/>
        <v>408</v>
      </c>
      <c r="H2648" s="156">
        <v>402</v>
      </c>
      <c r="I2648" s="23">
        <f t="shared" si="407"/>
        <v>2412</v>
      </c>
      <c r="J2648" s="100">
        <f t="shared" si="408"/>
        <v>0.98529411764705888</v>
      </c>
      <c r="K2648" s="51">
        <f>VLOOKUP(B:B,'生產達成率(目標)'!A:C,3,0)</f>
        <v>1</v>
      </c>
      <c r="L2648" s="20">
        <f t="shared" si="409"/>
        <v>-1.4999999999999999E-2</v>
      </c>
      <c r="M2648" s="137" t="str">
        <f>工時!R1832</f>
        <v>250</v>
      </c>
      <c r="N2648" s="144"/>
      <c r="O2648" s="144">
        <f t="shared" si="410"/>
        <v>1</v>
      </c>
      <c r="P2648" s="156">
        <v>401</v>
      </c>
      <c r="Q2648" s="98">
        <f t="shared" si="411"/>
        <v>0.99751243781094523</v>
      </c>
      <c r="R2648" s="23"/>
      <c r="S2648" s="173"/>
      <c r="T2648" s="30"/>
      <c r="U2648" s="264"/>
      <c r="V2648" s="463"/>
      <c r="W2648" s="421"/>
      <c r="X2648" s="463"/>
      <c r="Y2648" s="421"/>
      <c r="Z2648" s="421"/>
      <c r="AA2648" s="421"/>
      <c r="AB2648" s="421"/>
      <c r="AC2648" s="421"/>
      <c r="AD2648" s="421"/>
    </row>
    <row r="2649" spans="1:30" s="361" customFormat="1" x14ac:dyDescent="0.4">
      <c r="A2649" s="212">
        <v>46076</v>
      </c>
      <c r="B2649" s="139" t="s">
        <v>64</v>
      </c>
      <c r="C2649" s="30" t="str">
        <f>VLOOKUP(B2649,'112年全品項生產鍋數'!A:H,2,0)</f>
        <v>藍莓餡(1*6KG)</v>
      </c>
      <c r="D2649" s="296">
        <v>20</v>
      </c>
      <c r="E2649" s="48">
        <f>VLOOKUP(B2649,'112年全品項生產鍋數'!A:H,3,0)</f>
        <v>6</v>
      </c>
      <c r="F2649" s="142">
        <f>VLOOKUP(B2649,'112年全品項生產鍋數'!A:H,7,0)</f>
        <v>25.4</v>
      </c>
      <c r="G2649" s="143">
        <f t="shared" si="406"/>
        <v>508</v>
      </c>
      <c r="H2649" s="156">
        <f>301+209</f>
        <v>510</v>
      </c>
      <c r="I2649" s="23">
        <f t="shared" si="407"/>
        <v>3060</v>
      </c>
      <c r="J2649" s="100">
        <f t="shared" si="408"/>
        <v>1.0039370078740157</v>
      </c>
      <c r="K2649" s="51">
        <f>VLOOKUP(B:B,'生產達成率(目標)'!A:C,3,0)</f>
        <v>1</v>
      </c>
      <c r="L2649" s="20">
        <f t="shared" si="409"/>
        <v>4.0000000000000001E-3</v>
      </c>
      <c r="M2649" s="137" t="str">
        <f>工時!R1833</f>
        <v>312</v>
      </c>
      <c r="N2649" s="144"/>
      <c r="O2649" s="144">
        <f t="shared" si="410"/>
        <v>2</v>
      </c>
      <c r="P2649" s="156">
        <f>299+209</f>
        <v>508</v>
      </c>
      <c r="Q2649" s="98">
        <f t="shared" si="411"/>
        <v>0.99607843137254903</v>
      </c>
      <c r="R2649" s="23"/>
      <c r="S2649" s="173"/>
      <c r="T2649" s="30"/>
      <c r="U2649" s="264"/>
      <c r="V2649" s="463"/>
      <c r="W2649" s="421"/>
      <c r="X2649" s="463"/>
      <c r="Y2649" s="421"/>
      <c r="Z2649" s="421"/>
      <c r="AA2649" s="421"/>
      <c r="AB2649" s="421"/>
      <c r="AC2649" s="421"/>
      <c r="AD2649" s="421"/>
    </row>
    <row r="2650" spans="1:30" s="381" customFormat="1" x14ac:dyDescent="0.4">
      <c r="A2650" s="402">
        <v>46076</v>
      </c>
      <c r="B2650" s="392" t="s">
        <v>110</v>
      </c>
      <c r="C2650" s="375" t="str">
        <f>VLOOKUP(B2650,'112年全品項生產鍋數'!A:H,2,0)</f>
        <v>顆粒花生醬(1*12KG)</v>
      </c>
      <c r="D2650" s="406">
        <v>21</v>
      </c>
      <c r="E2650" s="141">
        <f>VLOOKUP(B2650,'112年全品項生產鍋數'!A:H,3,0)</f>
        <v>3</v>
      </c>
      <c r="F2650" s="142">
        <f>VLOOKUP(B2650,'112年全品項生產鍋數'!A:H,7,0)</f>
        <v>30.8</v>
      </c>
      <c r="G2650" s="143">
        <f t="shared" si="406"/>
        <v>646.80000000000007</v>
      </c>
      <c r="H2650" s="156">
        <v>644</v>
      </c>
      <c r="I2650" s="374">
        <f t="shared" si="407"/>
        <v>1932</v>
      </c>
      <c r="J2650" s="100">
        <f t="shared" si="408"/>
        <v>0.9956709956709956</v>
      </c>
      <c r="K2650" s="51">
        <f>VLOOKUP(B:B,'生產達成率(目標)'!A:C,3,0)</f>
        <v>1</v>
      </c>
      <c r="L2650" s="20">
        <f t="shared" si="409"/>
        <v>-4.0000000000000001E-3</v>
      </c>
      <c r="M2650" s="137" t="str">
        <f>工時!R1834</f>
        <v>600</v>
      </c>
      <c r="N2650" s="374"/>
      <c r="O2650" s="374">
        <f t="shared" si="410"/>
        <v>0</v>
      </c>
      <c r="P2650" s="156">
        <v>644</v>
      </c>
      <c r="Q2650" s="145">
        <f t="shared" si="411"/>
        <v>1</v>
      </c>
      <c r="R2650" s="374"/>
      <c r="S2650" s="378"/>
      <c r="T2650" s="375" t="s">
        <v>1153</v>
      </c>
      <c r="U2650" s="398"/>
      <c r="V2650" s="464"/>
      <c r="W2650" s="421"/>
      <c r="X2650" s="464"/>
      <c r="Y2650" s="421"/>
      <c r="Z2650" s="421"/>
      <c r="AA2650" s="421"/>
      <c r="AB2650" s="421"/>
      <c r="AC2650" s="421"/>
      <c r="AD2650" s="421"/>
    </row>
    <row r="2651" spans="1:30" s="381" customFormat="1" x14ac:dyDescent="0.4">
      <c r="A2651" s="402">
        <v>46077</v>
      </c>
      <c r="B2651" s="392" t="s">
        <v>106</v>
      </c>
      <c r="C2651" s="375" t="str">
        <f>VLOOKUP(B2651,'112年全品項生產鍋數'!A:H,2,0)</f>
        <v>小藍莓1*260G</v>
      </c>
      <c r="D2651" s="406">
        <v>16</v>
      </c>
      <c r="E2651" s="141">
        <f>VLOOKUP(B2651,'112年全品項生產鍋數'!A:H,3,0)</f>
        <v>0.26</v>
      </c>
      <c r="F2651" s="142">
        <f>VLOOKUP(B2651,'112年全品項生產鍋數'!A:H,7,0)</f>
        <v>584.29999999999995</v>
      </c>
      <c r="G2651" s="143">
        <f t="shared" si="406"/>
        <v>9348.7999999999993</v>
      </c>
      <c r="H2651" s="156">
        <v>9225</v>
      </c>
      <c r="I2651" s="374">
        <f t="shared" si="407"/>
        <v>2398.5</v>
      </c>
      <c r="J2651" s="100">
        <f t="shared" si="408"/>
        <v>0.98675765873695032</v>
      </c>
      <c r="K2651" s="51">
        <f>VLOOKUP(B:B,'生產達成率(目標)'!A:C,3,0)</f>
        <v>1</v>
      </c>
      <c r="L2651" s="20">
        <f t="shared" si="409"/>
        <v>-1.2999999999999999E-2</v>
      </c>
      <c r="M2651" s="137" t="str">
        <f>工時!R1835</f>
        <v>330</v>
      </c>
      <c r="N2651" s="374"/>
      <c r="O2651" s="374">
        <f t="shared" si="410"/>
        <v>25</v>
      </c>
      <c r="P2651" s="156">
        <v>9200</v>
      </c>
      <c r="Q2651" s="145">
        <f t="shared" si="411"/>
        <v>0.99728997289972898</v>
      </c>
      <c r="R2651" s="374"/>
      <c r="S2651" s="378"/>
      <c r="T2651" s="375"/>
      <c r="U2651" s="398"/>
      <c r="V2651" s="464"/>
      <c r="W2651" s="421"/>
      <c r="X2651" s="464"/>
      <c r="Y2651" s="421"/>
      <c r="Z2651" s="421"/>
      <c r="AA2651" s="421"/>
      <c r="AB2651" s="421"/>
      <c r="AC2651" s="421"/>
      <c r="AD2651" s="421"/>
    </row>
    <row r="2652" spans="1:30" s="361" customFormat="1" x14ac:dyDescent="0.4">
      <c r="A2652" s="212">
        <v>46077</v>
      </c>
      <c r="B2652" s="139" t="s">
        <v>75</v>
      </c>
      <c r="C2652" s="30" t="str">
        <f>VLOOKUP(B2652,'112年全品項生產鍋數'!A:H,2,0)</f>
        <v>草莓椰果餡(1*6Kg)</v>
      </c>
      <c r="D2652" s="296">
        <v>16</v>
      </c>
      <c r="E2652" s="48">
        <f>VLOOKUP(B2652,'112年全品項生產鍋數'!A:H,3,0)</f>
        <v>6</v>
      </c>
      <c r="F2652" s="142">
        <f>VLOOKUP(B2652,'112年全品項生產鍋數'!A:H,7,0)</f>
        <v>26.4</v>
      </c>
      <c r="G2652" s="143">
        <f t="shared" si="406"/>
        <v>422.4</v>
      </c>
      <c r="H2652" s="156">
        <v>426</v>
      </c>
      <c r="I2652" s="23">
        <f t="shared" si="407"/>
        <v>2556</v>
      </c>
      <c r="J2652" s="100">
        <f t="shared" si="408"/>
        <v>1.0085227272727273</v>
      </c>
      <c r="K2652" s="51">
        <f>VLOOKUP(B:B,'生產達成率(目標)'!A:C,3,0)</f>
        <v>1</v>
      </c>
      <c r="L2652" s="20">
        <f t="shared" si="409"/>
        <v>8.9999999999999993E-3</v>
      </c>
      <c r="M2652" s="137" t="str">
        <f>工時!R1836</f>
        <v>300</v>
      </c>
      <c r="N2652" s="144"/>
      <c r="O2652" s="144">
        <f t="shared" si="410"/>
        <v>3</v>
      </c>
      <c r="P2652" s="156">
        <v>423</v>
      </c>
      <c r="Q2652" s="98">
        <f t="shared" si="411"/>
        <v>0.99295774647887325</v>
      </c>
      <c r="R2652" s="23"/>
      <c r="S2652" s="173"/>
      <c r="T2652" s="30" t="s">
        <v>1153</v>
      </c>
      <c r="U2652" s="264"/>
      <c r="V2652" s="463"/>
      <c r="W2652" s="421"/>
      <c r="X2652" s="463"/>
      <c r="Y2652" s="421"/>
      <c r="Z2652" s="421"/>
      <c r="AA2652" s="421"/>
      <c r="AB2652" s="421"/>
      <c r="AC2652" s="421"/>
      <c r="AD2652" s="421"/>
    </row>
    <row r="2653" spans="1:30" s="361" customFormat="1" x14ac:dyDescent="0.4">
      <c r="A2653" s="212">
        <v>46077</v>
      </c>
      <c r="B2653" s="139" t="s">
        <v>65</v>
      </c>
      <c r="C2653" s="30" t="str">
        <f>VLOOKUP(B2653,'112年全品項生產鍋數'!A:H,2,0)</f>
        <v>＃1花生(1*2.8kg)</v>
      </c>
      <c r="D2653" s="296">
        <v>36</v>
      </c>
      <c r="E2653" s="48">
        <f>VLOOKUP(B2653,'112年全品項生產鍋數'!A:H,3,0)</f>
        <v>2.8</v>
      </c>
      <c r="F2653" s="142">
        <f>VLOOKUP(B2653,'112年全品項生產鍋數'!A:H,7,0)</f>
        <v>44.5</v>
      </c>
      <c r="G2653" s="143">
        <f t="shared" si="406"/>
        <v>1602</v>
      </c>
      <c r="H2653" s="156">
        <v>1589</v>
      </c>
      <c r="I2653" s="23">
        <f t="shared" si="407"/>
        <v>4449.2</v>
      </c>
      <c r="J2653" s="100">
        <f t="shared" si="408"/>
        <v>0.99188514357053681</v>
      </c>
      <c r="K2653" s="51">
        <f>VLOOKUP(B:B,'生產達成率(目標)'!A:C,3,0)</f>
        <v>1</v>
      </c>
      <c r="L2653" s="20">
        <f t="shared" si="409"/>
        <v>-8.0000000000000002E-3</v>
      </c>
      <c r="M2653" s="137" t="str">
        <f>工時!R1837</f>
        <v>320</v>
      </c>
      <c r="N2653" s="144"/>
      <c r="O2653" s="144">
        <f t="shared" si="410"/>
        <v>2</v>
      </c>
      <c r="P2653" s="156">
        <v>1587</v>
      </c>
      <c r="Q2653" s="98">
        <f t="shared" si="411"/>
        <v>0.99874134675896786</v>
      </c>
      <c r="R2653" s="23"/>
      <c r="S2653" s="173"/>
      <c r="T2653" s="30"/>
      <c r="U2653" s="264"/>
      <c r="V2653" s="463"/>
      <c r="W2653" s="421"/>
      <c r="X2653" s="463"/>
      <c r="Y2653" s="421"/>
      <c r="Z2653" s="421"/>
      <c r="AA2653" s="421"/>
      <c r="AB2653" s="421"/>
      <c r="AC2653" s="421"/>
      <c r="AD2653" s="421"/>
    </row>
    <row r="2654" spans="1:30" s="361" customFormat="1" x14ac:dyDescent="0.4">
      <c r="A2654" s="212">
        <v>46078</v>
      </c>
      <c r="B2654" s="139" t="s">
        <v>87</v>
      </c>
      <c r="C2654" s="30" t="str">
        <f>VLOOKUP(B2654,'112年全品項生產鍋數'!A:H,2,0)</f>
        <v>＃1藍莓(1*3.2kg)</v>
      </c>
      <c r="D2654" s="296">
        <v>72</v>
      </c>
      <c r="E2654" s="48">
        <f>VLOOKUP(B2654,'112年全品項生產鍋數'!A:H,3,0)</f>
        <v>3.2</v>
      </c>
      <c r="F2654" s="142">
        <f>VLOOKUP(B2654,'112年全品項生產鍋數'!A:H,7,0)</f>
        <v>47.5</v>
      </c>
      <c r="G2654" s="143">
        <f t="shared" si="406"/>
        <v>3420</v>
      </c>
      <c r="H2654" s="156">
        <v>3375</v>
      </c>
      <c r="I2654" s="23">
        <f t="shared" si="407"/>
        <v>10800</v>
      </c>
      <c r="J2654" s="100">
        <f t="shared" si="408"/>
        <v>0.98684210526315785</v>
      </c>
      <c r="K2654" s="51">
        <f>VLOOKUP(B:B,'生產達成率(目標)'!A:C,3,0)</f>
        <v>1</v>
      </c>
      <c r="L2654" s="20">
        <f t="shared" si="409"/>
        <v>-1.2999999999999999E-2</v>
      </c>
      <c r="M2654" s="137" t="str">
        <f>工時!R1838</f>
        <v>570</v>
      </c>
      <c r="N2654" s="144"/>
      <c r="O2654" s="144">
        <f t="shared" si="410"/>
        <v>2</v>
      </c>
      <c r="P2654" s="156">
        <v>3373</v>
      </c>
      <c r="Q2654" s="98">
        <f t="shared" si="411"/>
        <v>0.99940740740740741</v>
      </c>
      <c r="R2654" s="23"/>
      <c r="S2654" s="173"/>
      <c r="T2654" s="30" t="s">
        <v>1153</v>
      </c>
      <c r="U2654" s="264"/>
      <c r="V2654" s="463"/>
      <c r="W2654" s="421"/>
      <c r="X2654" s="463"/>
      <c r="Y2654" s="421"/>
      <c r="Z2654" s="421"/>
      <c r="AA2654" s="421"/>
      <c r="AB2654" s="421"/>
      <c r="AC2654" s="421"/>
      <c r="AD2654" s="421"/>
    </row>
    <row r="2655" spans="1:30" s="361" customFormat="1" x14ac:dyDescent="0.4">
      <c r="A2655" s="212">
        <v>46078</v>
      </c>
      <c r="B2655" s="139" t="s">
        <v>102</v>
      </c>
      <c r="C2655" s="30" t="str">
        <f>VLOOKUP(B2655,'112年全品項生產鍋數'!A:H,2,0)</f>
        <v>耐烤草莓餡(1*4.5KG)</v>
      </c>
      <c r="D2655" s="296">
        <v>12</v>
      </c>
      <c r="E2655" s="48">
        <f>VLOOKUP(B2655,'112年全品項生產鍋數'!A:H,3,0)</f>
        <v>4.5</v>
      </c>
      <c r="F2655" s="142">
        <f>VLOOKUP(B2655,'112年全品項生產鍋數'!A:H,7,0)</f>
        <v>36</v>
      </c>
      <c r="G2655" s="143">
        <f t="shared" si="406"/>
        <v>432</v>
      </c>
      <c r="H2655" s="156">
        <v>430</v>
      </c>
      <c r="I2655" s="23">
        <f t="shared" si="407"/>
        <v>1935</v>
      </c>
      <c r="J2655" s="100">
        <f t="shared" si="408"/>
        <v>0.99537037037037035</v>
      </c>
      <c r="K2655" s="51">
        <f>VLOOKUP(B:B,'生產達成率(目標)'!A:C,3,0)</f>
        <v>1</v>
      </c>
      <c r="L2655" s="20">
        <f t="shared" si="409"/>
        <v>-5.0000000000000001E-3</v>
      </c>
      <c r="M2655" s="137" t="str">
        <f>工時!R1839</f>
        <v>190</v>
      </c>
      <c r="N2655" s="144"/>
      <c r="O2655" s="144">
        <f t="shared" si="410"/>
        <v>0</v>
      </c>
      <c r="P2655" s="156">
        <v>430</v>
      </c>
      <c r="Q2655" s="98">
        <f t="shared" si="411"/>
        <v>1</v>
      </c>
      <c r="R2655" s="23"/>
      <c r="S2655" s="173"/>
      <c r="T2655" s="30" t="s">
        <v>1153</v>
      </c>
      <c r="U2655" s="264"/>
      <c r="V2655" s="463"/>
      <c r="W2655" s="421"/>
      <c r="X2655" s="463"/>
      <c r="Y2655" s="421"/>
      <c r="Z2655" s="421"/>
      <c r="AA2655" s="421"/>
      <c r="AB2655" s="421"/>
      <c r="AC2655" s="421"/>
      <c r="AD2655" s="421"/>
    </row>
    <row r="2656" spans="1:30" s="361" customFormat="1" x14ac:dyDescent="0.4">
      <c r="A2656" s="212">
        <v>46078</v>
      </c>
      <c r="B2656" s="139" t="s">
        <v>55</v>
      </c>
      <c r="C2656" s="30" t="str">
        <f>VLOOKUP(B2656,'112年全品項生產鍋數'!A:H,2,0)</f>
        <v>天天開心草莓餡4.5KG</v>
      </c>
      <c r="D2656" s="296">
        <v>28</v>
      </c>
      <c r="E2656" s="48">
        <f>VLOOKUP(B2656,'112年全品項生產鍋數'!A:H,3,0)</f>
        <v>4.5</v>
      </c>
      <c r="F2656" s="142">
        <f>VLOOKUP(B2656,'112年全品項生產鍋數'!A:H,7,0)</f>
        <v>36.299999999999997</v>
      </c>
      <c r="G2656" s="143">
        <f t="shared" si="406"/>
        <v>1016.3999999999999</v>
      </c>
      <c r="H2656" s="156">
        <v>1016</v>
      </c>
      <c r="I2656" s="23">
        <f t="shared" si="407"/>
        <v>4572</v>
      </c>
      <c r="J2656" s="100">
        <f t="shared" si="408"/>
        <v>0.99960645415190885</v>
      </c>
      <c r="K2656" s="51">
        <f>VLOOKUP(B:B,'生產達成率(目標)'!A:C,3,0)</f>
        <v>1</v>
      </c>
      <c r="L2656" s="20">
        <f t="shared" si="409"/>
        <v>0</v>
      </c>
      <c r="M2656" s="137" t="str">
        <f>工時!R1840</f>
        <v>424</v>
      </c>
      <c r="N2656" s="144"/>
      <c r="O2656" s="144">
        <f t="shared" si="410"/>
        <v>0</v>
      </c>
      <c r="P2656" s="156">
        <v>1016</v>
      </c>
      <c r="Q2656" s="98">
        <f t="shared" si="411"/>
        <v>1</v>
      </c>
      <c r="R2656" s="23"/>
      <c r="S2656" s="173"/>
      <c r="T2656" s="30"/>
      <c r="U2656" s="264"/>
      <c r="V2656" s="463"/>
      <c r="W2656" s="421"/>
      <c r="X2656" s="463"/>
      <c r="Y2656" s="421"/>
      <c r="Z2656" s="421"/>
      <c r="AA2656" s="421"/>
      <c r="AB2656" s="421"/>
      <c r="AC2656" s="421"/>
      <c r="AD2656" s="421"/>
    </row>
    <row r="2657" spans="1:30" s="361" customFormat="1" x14ac:dyDescent="0.4">
      <c r="A2657" s="212">
        <v>46078</v>
      </c>
      <c r="B2657" s="139" t="s">
        <v>65</v>
      </c>
      <c r="C2657" s="30" t="str">
        <f>VLOOKUP(B2657,'112年全品項生產鍋數'!A:H,2,0)</f>
        <v>＃1花生(1*2.8kg)</v>
      </c>
      <c r="D2657" s="296">
        <v>36</v>
      </c>
      <c r="E2657" s="48">
        <f>VLOOKUP(B2657,'112年全品項生產鍋數'!A:H,3,0)</f>
        <v>2.8</v>
      </c>
      <c r="F2657" s="142">
        <f>VLOOKUP(B2657,'112年全品項生產鍋數'!A:H,7,0)</f>
        <v>44.5</v>
      </c>
      <c r="G2657" s="143">
        <f t="shared" si="406"/>
        <v>1602</v>
      </c>
      <c r="H2657" s="156">
        <v>1602</v>
      </c>
      <c r="I2657" s="23">
        <f t="shared" si="407"/>
        <v>4485.5999999999995</v>
      </c>
      <c r="J2657" s="100">
        <f t="shared" si="408"/>
        <v>1</v>
      </c>
      <c r="K2657" s="51">
        <f>VLOOKUP(B:B,'生產達成率(目標)'!A:C,3,0)</f>
        <v>1</v>
      </c>
      <c r="L2657" s="20">
        <f t="shared" si="409"/>
        <v>0</v>
      </c>
      <c r="M2657" s="137" t="str">
        <f>工時!R1841</f>
        <v>300</v>
      </c>
      <c r="N2657" s="144"/>
      <c r="O2657" s="144">
        <f t="shared" si="410"/>
        <v>1</v>
      </c>
      <c r="P2657" s="156">
        <v>1601</v>
      </c>
      <c r="Q2657" s="98">
        <f t="shared" si="411"/>
        <v>0.99937578027465668</v>
      </c>
      <c r="R2657" s="23"/>
      <c r="S2657" s="173"/>
      <c r="T2657" s="30"/>
      <c r="U2657" s="264"/>
      <c r="V2657" s="463"/>
      <c r="W2657" s="421"/>
      <c r="X2657" s="463"/>
      <c r="Y2657" s="421"/>
      <c r="Z2657" s="421"/>
      <c r="AA2657" s="421"/>
      <c r="AB2657" s="421"/>
      <c r="AC2657" s="421"/>
      <c r="AD2657" s="421"/>
    </row>
    <row r="2658" spans="1:30" s="381" customFormat="1" x14ac:dyDescent="0.4">
      <c r="A2658" s="402">
        <v>46078</v>
      </c>
      <c r="B2658" s="392" t="s">
        <v>82</v>
      </c>
      <c r="C2658" s="375" t="str">
        <f>VLOOKUP(B2658,'112年全品項生產鍋數'!A:H,2,0)</f>
        <v>顆粒花生醬(全)</v>
      </c>
      <c r="D2658" s="406">
        <v>20</v>
      </c>
      <c r="E2658" s="141">
        <f>VLOOKUP(B2658,'112年全品項生產鍋數'!A:H,3,0)</f>
        <v>0.34</v>
      </c>
      <c r="F2658" s="142">
        <f>VLOOKUP(B2658,'112年全品項生產鍋數'!A:H,7,0)</f>
        <v>364.6</v>
      </c>
      <c r="G2658" s="143">
        <f t="shared" si="406"/>
        <v>7292</v>
      </c>
      <c r="H2658" s="156">
        <v>7366</v>
      </c>
      <c r="I2658" s="374">
        <f t="shared" si="407"/>
        <v>2504.44</v>
      </c>
      <c r="J2658" s="100">
        <f t="shared" si="408"/>
        <v>1.0101481075150851</v>
      </c>
      <c r="K2658" s="51">
        <f>VLOOKUP(B:B,'生產達成率(目標)'!A:C,3,0)</f>
        <v>1</v>
      </c>
      <c r="L2658" s="20">
        <f t="shared" si="409"/>
        <v>0.01</v>
      </c>
      <c r="M2658" s="137" t="str">
        <f>工時!R1842</f>
        <v>430</v>
      </c>
      <c r="N2658" s="374"/>
      <c r="O2658" s="374">
        <f t="shared" si="410"/>
        <v>3</v>
      </c>
      <c r="P2658" s="156">
        <v>7363</v>
      </c>
      <c r="Q2658" s="145">
        <f t="shared" si="411"/>
        <v>0.99959272332337767</v>
      </c>
      <c r="R2658" s="374"/>
      <c r="S2658" s="378"/>
      <c r="T2658" s="375"/>
      <c r="U2658" s="398"/>
      <c r="V2658" s="464"/>
      <c r="W2658" s="421"/>
      <c r="X2658" s="464"/>
      <c r="Y2658" s="421"/>
      <c r="Z2658" s="421"/>
      <c r="AA2658" s="421"/>
      <c r="AB2658" s="421"/>
      <c r="AC2658" s="421"/>
      <c r="AD2658" s="421"/>
    </row>
    <row r="2659" spans="1:30" s="381" customFormat="1" x14ac:dyDescent="0.4">
      <c r="A2659" s="402">
        <v>46079</v>
      </c>
      <c r="B2659" s="392" t="s">
        <v>61</v>
      </c>
      <c r="C2659" s="375" t="str">
        <f>VLOOKUP(B2659,'112年全品項生產鍋數'!A:H,2,0)</f>
        <v>大圓草莓-新</v>
      </c>
      <c r="D2659" s="406">
        <v>40</v>
      </c>
      <c r="E2659" s="141">
        <f>VLOOKUP(B2659,'112年全品項生產鍋數'!A:H,3,0)</f>
        <v>0.44</v>
      </c>
      <c r="F2659" s="142">
        <f>VLOOKUP(B2659,'112年全品項生產鍋數'!A:H,7,0)</f>
        <v>344</v>
      </c>
      <c r="G2659" s="143">
        <f t="shared" si="406"/>
        <v>13760</v>
      </c>
      <c r="H2659" s="156">
        <v>13534</v>
      </c>
      <c r="I2659" s="374">
        <f t="shared" si="407"/>
        <v>5954.96</v>
      </c>
      <c r="J2659" s="100">
        <f t="shared" si="408"/>
        <v>0.98357558139534884</v>
      </c>
      <c r="K2659" s="51">
        <f>VLOOKUP(B:B,'生產達成率(目標)'!A:C,3,0)</f>
        <v>1</v>
      </c>
      <c r="L2659" s="20">
        <f t="shared" si="409"/>
        <v>-1.6E-2</v>
      </c>
      <c r="M2659" s="137" t="str">
        <f>工時!R1843</f>
        <v>540</v>
      </c>
      <c r="N2659" s="374"/>
      <c r="O2659" s="374">
        <f t="shared" si="410"/>
        <v>9</v>
      </c>
      <c r="P2659" s="156">
        <v>13525</v>
      </c>
      <c r="Q2659" s="145">
        <f t="shared" si="411"/>
        <v>0.99933500812767839</v>
      </c>
      <c r="R2659" s="374"/>
      <c r="S2659" s="378"/>
      <c r="T2659" s="375"/>
      <c r="U2659" s="398"/>
      <c r="V2659" s="464"/>
      <c r="W2659" s="421"/>
      <c r="X2659" s="464"/>
      <c r="Y2659" s="421"/>
      <c r="Z2659" s="421"/>
      <c r="AA2659" s="421"/>
      <c r="AB2659" s="421"/>
      <c r="AC2659" s="421"/>
      <c r="AD2659" s="421"/>
    </row>
    <row r="2660" spans="1:30" s="361" customFormat="1" x14ac:dyDescent="0.4">
      <c r="A2660" s="212">
        <v>46079</v>
      </c>
      <c r="B2660" s="139" t="s">
        <v>76</v>
      </c>
      <c r="C2660" s="30" t="str">
        <f>VLOOKUP(B2660,'112年全品項生產鍋數'!A:H,2,0)</f>
        <v>草莓餡(1*6Kg)</v>
      </c>
      <c r="D2660" s="296">
        <v>16</v>
      </c>
      <c r="E2660" s="48">
        <f>VLOOKUP(B2660,'112年全品項生產鍋數'!A:H,3,0)</f>
        <v>6</v>
      </c>
      <c r="F2660" s="142">
        <f>VLOOKUP(B2660,'112年全品項生產鍋數'!A:H,7,0)</f>
        <v>25.5</v>
      </c>
      <c r="G2660" s="143">
        <f t="shared" si="406"/>
        <v>408</v>
      </c>
      <c r="H2660" s="156">
        <v>450</v>
      </c>
      <c r="I2660" s="23">
        <f t="shared" si="407"/>
        <v>2700</v>
      </c>
      <c r="J2660" s="100">
        <f t="shared" si="408"/>
        <v>1.1029411764705883</v>
      </c>
      <c r="K2660" s="51">
        <f>VLOOKUP(B:B,'生產達成率(目標)'!A:C,3,0)</f>
        <v>1</v>
      </c>
      <c r="L2660" s="20">
        <f t="shared" si="409"/>
        <v>0.10299999999999999</v>
      </c>
      <c r="M2660" s="137" t="str">
        <f>工時!R1844</f>
        <v>320</v>
      </c>
      <c r="N2660" s="144"/>
      <c r="O2660" s="144">
        <f t="shared" si="410"/>
        <v>1</v>
      </c>
      <c r="P2660" s="156">
        <v>449</v>
      </c>
      <c r="Q2660" s="98">
        <f t="shared" si="411"/>
        <v>0.99777777777777776</v>
      </c>
      <c r="R2660" s="23"/>
      <c r="S2660" s="173"/>
      <c r="T2660" s="30" t="s">
        <v>1153</v>
      </c>
      <c r="U2660" s="264"/>
      <c r="V2660" s="463"/>
      <c r="W2660" s="421"/>
      <c r="X2660" s="463"/>
      <c r="Y2660" s="421"/>
      <c r="Z2660" s="421"/>
      <c r="AA2660" s="421"/>
      <c r="AB2660" s="421"/>
      <c r="AC2660" s="421"/>
      <c r="AD2660" s="421"/>
    </row>
    <row r="2661" spans="1:30" s="361" customFormat="1" x14ac:dyDescent="0.4">
      <c r="A2661" s="212">
        <v>46079</v>
      </c>
      <c r="B2661" s="139" t="s">
        <v>63</v>
      </c>
      <c r="C2661" s="30" t="str">
        <f>VLOOKUP(B2661,'112年全品項生產鍋數'!A:H,2,0)</f>
        <v>草莓蒟蒻餡(1*6kg)</v>
      </c>
      <c r="D2661" s="296">
        <v>12</v>
      </c>
      <c r="E2661" s="48">
        <f>VLOOKUP(B2661,'112年全品項生產鍋數'!A:H,3,0)</f>
        <v>6</v>
      </c>
      <c r="F2661" s="142">
        <f>VLOOKUP(B2661,'112年全品項生產鍋數'!A:H,7,0)</f>
        <v>25.7</v>
      </c>
      <c r="G2661" s="143">
        <f t="shared" si="406"/>
        <v>308.39999999999998</v>
      </c>
      <c r="H2661" s="156">
        <v>342</v>
      </c>
      <c r="I2661" s="23">
        <f t="shared" si="407"/>
        <v>2052</v>
      </c>
      <c r="J2661" s="100">
        <f t="shared" si="408"/>
        <v>1.1089494163424125</v>
      </c>
      <c r="K2661" s="51">
        <f>VLOOKUP(B:B,'生產達成率(目標)'!A:C,3,0)</f>
        <v>1</v>
      </c>
      <c r="L2661" s="20">
        <f t="shared" si="409"/>
        <v>0.109</v>
      </c>
      <c r="M2661" s="137" t="str">
        <f>工時!R1845</f>
        <v>385</v>
      </c>
      <c r="N2661" s="144"/>
      <c r="O2661" s="144">
        <f t="shared" si="410"/>
        <v>1</v>
      </c>
      <c r="P2661" s="156">
        <v>341</v>
      </c>
      <c r="Q2661" s="98">
        <f t="shared" si="411"/>
        <v>0.99707602339181289</v>
      </c>
      <c r="R2661" s="23"/>
      <c r="S2661" s="173"/>
      <c r="T2661" s="30"/>
      <c r="U2661" s="264"/>
      <c r="V2661" s="463"/>
      <c r="W2661" s="421"/>
      <c r="X2661" s="463"/>
      <c r="Y2661" s="421"/>
      <c r="Z2661" s="421"/>
      <c r="AA2661" s="421"/>
      <c r="AB2661" s="421"/>
      <c r="AC2661" s="421"/>
      <c r="AD2661" s="421"/>
    </row>
    <row r="2662" spans="1:30" s="361" customFormat="1" x14ac:dyDescent="0.4">
      <c r="A2662" s="212">
        <v>46079</v>
      </c>
      <c r="B2662" s="139" t="s">
        <v>81</v>
      </c>
      <c r="C2662" s="30" t="str">
        <f>VLOOKUP(B2662,'112年全品項生產鍋數'!A:H,2,0)</f>
        <v>藍莓餡(1*6Kg)</v>
      </c>
      <c r="D2662" s="296">
        <v>12</v>
      </c>
      <c r="E2662" s="48">
        <f>VLOOKUP(B2662,'112年全品項生產鍋數'!A:H,3,0)</f>
        <v>6</v>
      </c>
      <c r="F2662" s="142">
        <f>VLOOKUP(B2662,'112年全品項生產鍋數'!A:H,7,0)</f>
        <v>25.1</v>
      </c>
      <c r="G2662" s="143">
        <f t="shared" si="406"/>
        <v>301.20000000000005</v>
      </c>
      <c r="H2662" s="156">
        <v>301</v>
      </c>
      <c r="I2662" s="23">
        <f t="shared" si="407"/>
        <v>1806</v>
      </c>
      <c r="J2662" s="100">
        <f t="shared" si="408"/>
        <v>0.9993359893758299</v>
      </c>
      <c r="K2662" s="51">
        <f>VLOOKUP(B:B,'生產達成率(目標)'!A:C,3,0)</f>
        <v>1</v>
      </c>
      <c r="L2662" s="20">
        <f t="shared" si="409"/>
        <v>-1E-3</v>
      </c>
      <c r="M2662" s="137" t="str">
        <f>工時!R1846</f>
        <v>190</v>
      </c>
      <c r="N2662" s="144"/>
      <c r="O2662" s="144">
        <f t="shared" si="410"/>
        <v>1</v>
      </c>
      <c r="P2662" s="156">
        <v>300</v>
      </c>
      <c r="Q2662" s="98">
        <f t="shared" si="411"/>
        <v>0.99667774086378735</v>
      </c>
      <c r="R2662" s="23"/>
      <c r="S2662" s="173"/>
      <c r="T2662" s="30" t="s">
        <v>1153</v>
      </c>
      <c r="U2662" s="264"/>
      <c r="V2662" s="463"/>
      <c r="W2662" s="421"/>
      <c r="X2662" s="463"/>
      <c r="Y2662" s="421"/>
      <c r="Z2662" s="421"/>
      <c r="AA2662" s="421"/>
      <c r="AB2662" s="421"/>
      <c r="AC2662" s="421"/>
      <c r="AD2662" s="421"/>
    </row>
    <row r="2663" spans="1:30" s="361" customFormat="1" x14ac:dyDescent="0.4">
      <c r="A2663" s="212">
        <v>46079</v>
      </c>
      <c r="B2663" s="139" t="s">
        <v>108</v>
      </c>
      <c r="C2663" s="30" t="str">
        <f>VLOOKUP(B2663,'112年全品項生產鍋數'!A:H,2,0)</f>
        <v>顆粒花生醬(1*12KG)</v>
      </c>
      <c r="D2663" s="296">
        <v>21</v>
      </c>
      <c r="E2663" s="48">
        <f>VLOOKUP(B2663,'112年全品項生產鍋數'!A:H,3,0)</f>
        <v>3</v>
      </c>
      <c r="F2663" s="142">
        <f>VLOOKUP(B2663,'112年全品項生產鍋數'!A:H,7,0)</f>
        <v>31.6</v>
      </c>
      <c r="G2663" s="143">
        <f t="shared" si="406"/>
        <v>663.6</v>
      </c>
      <c r="H2663" s="156">
        <v>668</v>
      </c>
      <c r="I2663" s="23">
        <f t="shared" si="407"/>
        <v>2004</v>
      </c>
      <c r="J2663" s="100">
        <f t="shared" si="408"/>
        <v>1.0066305003013862</v>
      </c>
      <c r="K2663" s="51">
        <f>VLOOKUP(B:B,'生產達成率(目標)'!A:C,3,0)</f>
        <v>1</v>
      </c>
      <c r="L2663" s="20">
        <f t="shared" si="409"/>
        <v>7.0000000000000001E-3</v>
      </c>
      <c r="M2663" s="137" t="str">
        <f>工時!R1847</f>
        <v>570</v>
      </c>
      <c r="N2663" s="144"/>
      <c r="O2663" s="144">
        <f t="shared" si="410"/>
        <v>0</v>
      </c>
      <c r="P2663" s="156">
        <v>668</v>
      </c>
      <c r="Q2663" s="98">
        <f t="shared" si="411"/>
        <v>1</v>
      </c>
      <c r="R2663" s="23"/>
      <c r="S2663" s="173"/>
      <c r="T2663" s="30" t="s">
        <v>1153</v>
      </c>
      <c r="U2663" s="264"/>
      <c r="V2663" s="463"/>
      <c r="W2663" s="421"/>
      <c r="X2663" s="463"/>
      <c r="Y2663" s="421"/>
      <c r="Z2663" s="421"/>
      <c r="AA2663" s="421"/>
      <c r="AB2663" s="421"/>
      <c r="AC2663" s="421"/>
      <c r="AD2663" s="421"/>
    </row>
    <row r="2664" spans="1:30" s="361" customFormat="1" x14ac:dyDescent="0.4">
      <c r="A2664" s="212">
        <v>46083</v>
      </c>
      <c r="B2664" s="139" t="s">
        <v>71</v>
      </c>
      <c r="C2664" s="30" t="str">
        <f>VLOOKUP(B2664,'112年全品項生產鍋數'!A:H,2,0)</f>
        <v>＃1草莓(1*3.2kg)</v>
      </c>
      <c r="D2664" s="296">
        <v>72</v>
      </c>
      <c r="E2664" s="48">
        <f>VLOOKUP(B2664,'112年全品項生產鍋數'!A:H,3,0)</f>
        <v>3.2</v>
      </c>
      <c r="F2664" s="142">
        <f>VLOOKUP(B2664,'112年全品項生產鍋數'!A:H,7,0)</f>
        <v>46.8</v>
      </c>
      <c r="G2664" s="143">
        <f t="shared" si="406"/>
        <v>3369.6</v>
      </c>
      <c r="H2664" s="156">
        <v>3336</v>
      </c>
      <c r="I2664" s="23">
        <f t="shared" si="407"/>
        <v>10675.2</v>
      </c>
      <c r="J2664" s="100">
        <f t="shared" si="408"/>
        <v>0.99002849002849003</v>
      </c>
      <c r="K2664" s="51">
        <f>VLOOKUP(B:B,'生產達成率(目標)'!A:C,3,0)</f>
        <v>1</v>
      </c>
      <c r="L2664" s="20">
        <f t="shared" si="409"/>
        <v>-0.01</v>
      </c>
      <c r="M2664" s="137" t="str">
        <f>工時!R1848</f>
        <v>540</v>
      </c>
      <c r="N2664" s="144"/>
      <c r="O2664" s="144">
        <f t="shared" si="410"/>
        <v>2</v>
      </c>
      <c r="P2664" s="156">
        <v>3334</v>
      </c>
      <c r="Q2664" s="98">
        <f t="shared" si="411"/>
        <v>0.99940047961630696</v>
      </c>
      <c r="R2664" s="23"/>
      <c r="S2664" s="173"/>
      <c r="T2664" s="30" t="s">
        <v>1153</v>
      </c>
      <c r="U2664" s="264"/>
      <c r="V2664" s="463"/>
      <c r="W2664" s="421"/>
      <c r="X2664" s="463"/>
      <c r="Y2664" s="421"/>
      <c r="Z2664" s="421"/>
      <c r="AA2664" s="421"/>
      <c r="AB2664" s="421"/>
      <c r="AC2664" s="421"/>
      <c r="AD2664" s="421"/>
    </row>
    <row r="2665" spans="1:30" s="361" customFormat="1" x14ac:dyDescent="0.4">
      <c r="A2665" s="212">
        <v>46083</v>
      </c>
      <c r="B2665" s="139" t="s">
        <v>73</v>
      </c>
      <c r="C2665" s="30" t="str">
        <f>VLOOKUP(B2665,'112年全品項生產鍋數'!A:H,2,0)</f>
        <v>顆粒花生醬(1*12KG)</v>
      </c>
      <c r="D2665" s="296">
        <v>21</v>
      </c>
      <c r="E2665" s="48">
        <f>VLOOKUP(B2665,'112年全品項生產鍋數'!A:H,3,0)</f>
        <v>3</v>
      </c>
      <c r="F2665" s="142">
        <f>VLOOKUP(B2665,'112年全品項生產鍋數'!A:H,7,0)</f>
        <v>29.7</v>
      </c>
      <c r="G2665" s="143">
        <f t="shared" ref="G2665:G2708" si="412">D2665*F2665</f>
        <v>623.69999999999993</v>
      </c>
      <c r="H2665" s="156">
        <v>628</v>
      </c>
      <c r="I2665" s="23">
        <f t="shared" ref="I2665:I2708" si="413">H2665*E2665</f>
        <v>1884</v>
      </c>
      <c r="J2665" s="100">
        <f t="shared" ref="J2665:J2708" si="414">IF(G2665=0,"無法預估數據",H2665/G2665)</f>
        <v>1.0068943402276738</v>
      </c>
      <c r="K2665" s="51">
        <f>VLOOKUP(B:B,'生產達成率(目標)'!A:C,3,0)</f>
        <v>1</v>
      </c>
      <c r="L2665" s="20">
        <f t="shared" ref="L2665:L2708" si="415">IF(G2665=0,"無法預估數據",ROUND(J2665-K2665,3))</f>
        <v>7.0000000000000001E-3</v>
      </c>
      <c r="M2665" s="137" t="str">
        <f>工時!R1849</f>
        <v>540</v>
      </c>
      <c r="N2665" s="144"/>
      <c r="O2665" s="144">
        <f t="shared" ref="O2665:O2708" si="416">H2665-N2665-P2665</f>
        <v>0</v>
      </c>
      <c r="P2665" s="156">
        <v>628</v>
      </c>
      <c r="Q2665" s="98">
        <f t="shared" ref="Q2665:Q2708" si="417">P2665/H2665</f>
        <v>1</v>
      </c>
      <c r="R2665" s="23"/>
      <c r="S2665" s="173"/>
      <c r="T2665" s="30" t="s">
        <v>1153</v>
      </c>
      <c r="U2665" s="264"/>
      <c r="V2665" s="463"/>
      <c r="W2665" s="421"/>
      <c r="X2665" s="463"/>
      <c r="Y2665" s="421"/>
      <c r="Z2665" s="421"/>
      <c r="AA2665" s="421"/>
      <c r="AB2665" s="421"/>
      <c r="AC2665" s="421"/>
      <c r="AD2665" s="421"/>
    </row>
    <row r="2666" spans="1:30" s="361" customFormat="1" x14ac:dyDescent="0.4">
      <c r="A2666" s="212">
        <v>46083</v>
      </c>
      <c r="B2666" s="139" t="s">
        <v>65</v>
      </c>
      <c r="C2666" s="30" t="str">
        <f>VLOOKUP(B2666,'112年全品項生產鍋數'!A:H,2,0)</f>
        <v>＃1花生(1*2.8kg)</v>
      </c>
      <c r="D2666" s="296">
        <v>36</v>
      </c>
      <c r="E2666" s="48">
        <f>VLOOKUP(B2666,'112年全品項生產鍋數'!A:H,3,0)</f>
        <v>2.8</v>
      </c>
      <c r="F2666" s="142">
        <f>VLOOKUP(B2666,'112年全品項生產鍋數'!A:H,7,0)</f>
        <v>44.5</v>
      </c>
      <c r="G2666" s="143">
        <f>D2666*F2666-18*60/E2666</f>
        <v>1216.2857142857142</v>
      </c>
      <c r="H2666" s="156">
        <v>1221</v>
      </c>
      <c r="I2666" s="23">
        <f t="shared" si="413"/>
        <v>3418.7999999999997</v>
      </c>
      <c r="J2666" s="100">
        <f t="shared" si="414"/>
        <v>1.0038759689922481</v>
      </c>
      <c r="K2666" s="51">
        <f>VLOOKUP(B:B,'生產達成率(目標)'!A:C,3,0)</f>
        <v>1</v>
      </c>
      <c r="L2666" s="20">
        <f t="shared" si="415"/>
        <v>4.0000000000000001E-3</v>
      </c>
      <c r="M2666" s="137" t="str">
        <f>工時!R1850</f>
        <v>300</v>
      </c>
      <c r="N2666" s="144"/>
      <c r="O2666" s="144">
        <f t="shared" si="416"/>
        <v>1</v>
      </c>
      <c r="P2666" s="156">
        <v>1220</v>
      </c>
      <c r="Q2666" s="98">
        <f t="shared" si="417"/>
        <v>0.99918099918099923</v>
      </c>
      <c r="R2666" s="23"/>
      <c r="S2666" s="173"/>
      <c r="T2666" s="30" t="s">
        <v>1262</v>
      </c>
      <c r="U2666" s="264"/>
      <c r="V2666" s="463"/>
      <c r="W2666" s="421"/>
      <c r="X2666" s="463"/>
      <c r="Y2666" s="421"/>
      <c r="Z2666" s="421"/>
      <c r="AA2666" s="421"/>
      <c r="AB2666" s="421"/>
      <c r="AC2666" s="421"/>
      <c r="AD2666" s="421"/>
    </row>
    <row r="2667" spans="1:30" s="361" customFormat="1" x14ac:dyDescent="0.4">
      <c r="A2667" s="212">
        <v>46083</v>
      </c>
      <c r="B2667" s="139" t="s">
        <v>131</v>
      </c>
      <c r="C2667" s="30" t="str">
        <f>VLOOKUP(B2667,'112年全品項生產鍋數'!A:H,2,0)</f>
        <v>花生醬(1*18KG)</v>
      </c>
      <c r="D2667" s="296">
        <v>32</v>
      </c>
      <c r="E2667" s="48">
        <f>VLOOKUP(B2667,'112年全品項生產鍋數'!A:H,3,0)</f>
        <v>18</v>
      </c>
      <c r="F2667" s="142">
        <f>VLOOKUP(B2667,'112年全品項生產鍋數'!A:H,7,0)</f>
        <v>6.9</v>
      </c>
      <c r="G2667" s="143">
        <f t="shared" si="412"/>
        <v>220.8</v>
      </c>
      <c r="H2667" s="156">
        <v>218</v>
      </c>
      <c r="I2667" s="23">
        <f t="shared" si="413"/>
        <v>3924</v>
      </c>
      <c r="J2667" s="100">
        <f t="shared" si="414"/>
        <v>0.98731884057971009</v>
      </c>
      <c r="K2667" s="51">
        <f>VLOOKUP(B:B,'生產達成率(目標)'!A:C,3,0)</f>
        <v>1</v>
      </c>
      <c r="L2667" s="20">
        <f t="shared" si="415"/>
        <v>-1.2999999999999999E-2</v>
      </c>
      <c r="M2667" s="137" t="str">
        <f>工時!R1851</f>
        <v>310</v>
      </c>
      <c r="N2667" s="144"/>
      <c r="O2667" s="144">
        <f t="shared" si="416"/>
        <v>0</v>
      </c>
      <c r="P2667" s="156">
        <v>218</v>
      </c>
      <c r="Q2667" s="98">
        <f t="shared" si="417"/>
        <v>1</v>
      </c>
      <c r="R2667" s="23"/>
      <c r="S2667" s="173"/>
      <c r="T2667" s="30"/>
      <c r="U2667" s="264"/>
      <c r="V2667" s="463"/>
      <c r="W2667" s="421"/>
      <c r="X2667" s="463"/>
      <c r="Y2667" s="421"/>
      <c r="Z2667" s="421"/>
      <c r="AA2667" s="421"/>
      <c r="AB2667" s="421"/>
      <c r="AC2667" s="421"/>
      <c r="AD2667" s="421"/>
    </row>
    <row r="2668" spans="1:30" s="361" customFormat="1" x14ac:dyDescent="0.4">
      <c r="A2668" s="212">
        <v>46084</v>
      </c>
      <c r="B2668" s="139" t="s">
        <v>86</v>
      </c>
      <c r="C2668" s="30" t="str">
        <f>VLOOKUP(B2668,'112年全品項生產鍋數'!A:H,2,0)</f>
        <v>＃2藍莓(1*900g)</v>
      </c>
      <c r="D2668" s="296">
        <v>20</v>
      </c>
      <c r="E2668" s="48">
        <f>VLOOKUP(B2668,'112年全品項生產鍋數'!A:H,3,0)</f>
        <v>0.9</v>
      </c>
      <c r="F2668" s="142">
        <f>VLOOKUP(B2668,'112年全品項生產鍋數'!A:H,7,0)</f>
        <v>163</v>
      </c>
      <c r="G2668" s="143">
        <f t="shared" si="412"/>
        <v>3260</v>
      </c>
      <c r="H2668" s="156">
        <v>3237</v>
      </c>
      <c r="I2668" s="23">
        <f t="shared" si="413"/>
        <v>2913.3</v>
      </c>
      <c r="J2668" s="100">
        <f t="shared" si="414"/>
        <v>0.99294478527607366</v>
      </c>
      <c r="K2668" s="51">
        <f>VLOOKUP(B:B,'生產達成率(目標)'!A:C,3,0)</f>
        <v>1</v>
      </c>
      <c r="L2668" s="20">
        <f t="shared" si="415"/>
        <v>-7.0000000000000001E-3</v>
      </c>
      <c r="M2668" s="137" t="str">
        <f>工時!R1852</f>
        <v>240</v>
      </c>
      <c r="N2668" s="144"/>
      <c r="O2668" s="144">
        <f t="shared" si="416"/>
        <v>0</v>
      </c>
      <c r="P2668" s="156">
        <v>3237</v>
      </c>
      <c r="Q2668" s="98">
        <f t="shared" si="417"/>
        <v>1</v>
      </c>
      <c r="R2668" s="23"/>
      <c r="S2668" s="173"/>
      <c r="T2668" s="30" t="s">
        <v>1153</v>
      </c>
      <c r="U2668" s="264"/>
      <c r="V2668" s="463"/>
      <c r="W2668" s="421"/>
      <c r="X2668" s="463"/>
      <c r="Y2668" s="421"/>
      <c r="Z2668" s="421"/>
      <c r="AA2668" s="421"/>
      <c r="AB2668" s="421"/>
      <c r="AC2668" s="421"/>
      <c r="AD2668" s="421"/>
    </row>
    <row r="2669" spans="1:30" s="361" customFormat="1" x14ac:dyDescent="0.4">
      <c r="A2669" s="212">
        <v>46084</v>
      </c>
      <c r="B2669" s="139" t="s">
        <v>68</v>
      </c>
      <c r="C2669" s="30" t="str">
        <f>VLOOKUP(B2669,'112年全品項生產鍋數'!A:H,2,0)</f>
        <v>#2草莓果醬(1*900g)</v>
      </c>
      <c r="D2669" s="296">
        <v>20</v>
      </c>
      <c r="E2669" s="48">
        <f>VLOOKUP(B2669,'112年全品項生產鍋數'!A:H,3,0)</f>
        <v>0.9</v>
      </c>
      <c r="F2669" s="142">
        <f>VLOOKUP(B2669,'112年全品項生產鍋數'!A:H,7,0)</f>
        <v>160.5</v>
      </c>
      <c r="G2669" s="143">
        <f t="shared" si="412"/>
        <v>3210</v>
      </c>
      <c r="H2669" s="156">
        <v>3178</v>
      </c>
      <c r="I2669" s="23">
        <f t="shared" si="413"/>
        <v>2860.2000000000003</v>
      </c>
      <c r="J2669" s="100">
        <f t="shared" si="414"/>
        <v>0.99003115264797503</v>
      </c>
      <c r="K2669" s="51">
        <f>VLOOKUP(B:B,'生產達成率(目標)'!A:C,3,0)</f>
        <v>1</v>
      </c>
      <c r="L2669" s="20">
        <f t="shared" si="415"/>
        <v>-0.01</v>
      </c>
      <c r="M2669" s="137" t="str">
        <f>工時!R1853</f>
        <v>300</v>
      </c>
      <c r="N2669" s="144"/>
      <c r="O2669" s="144">
        <f t="shared" si="416"/>
        <v>2</v>
      </c>
      <c r="P2669" s="156">
        <v>3176</v>
      </c>
      <c r="Q2669" s="98">
        <f t="shared" si="417"/>
        <v>0.99937067337948393</v>
      </c>
      <c r="R2669" s="23"/>
      <c r="S2669" s="173"/>
      <c r="T2669" s="30" t="s">
        <v>1153</v>
      </c>
      <c r="U2669" s="264"/>
      <c r="V2669" s="463"/>
      <c r="W2669" s="421"/>
      <c r="X2669" s="463"/>
      <c r="Y2669" s="421"/>
      <c r="Z2669" s="421"/>
      <c r="AA2669" s="421"/>
      <c r="AB2669" s="421"/>
      <c r="AC2669" s="421"/>
      <c r="AD2669" s="421"/>
    </row>
    <row r="2670" spans="1:30" s="361" customFormat="1" x14ac:dyDescent="0.4">
      <c r="A2670" s="212">
        <v>46084</v>
      </c>
      <c r="B2670" s="139" t="s">
        <v>63</v>
      </c>
      <c r="C2670" s="30" t="str">
        <f>VLOOKUP(B2670,'112年全品項生產鍋數'!A:H,2,0)</f>
        <v>草莓蒟蒻餡(1*6kg)</v>
      </c>
      <c r="D2670" s="296">
        <v>16</v>
      </c>
      <c r="E2670" s="48">
        <f>VLOOKUP(B2670,'112年全品項生產鍋數'!A:H,3,0)</f>
        <v>6</v>
      </c>
      <c r="F2670" s="142">
        <f>VLOOKUP(B2670,'112年全品項生產鍋數'!A:H,7,0)</f>
        <v>25.7</v>
      </c>
      <c r="G2670" s="143">
        <f t="shared" si="412"/>
        <v>411.2</v>
      </c>
      <c r="H2670" s="156">
        <f>200+208</f>
        <v>408</v>
      </c>
      <c r="I2670" s="23">
        <f t="shared" si="413"/>
        <v>2448</v>
      </c>
      <c r="J2670" s="100">
        <f t="shared" si="414"/>
        <v>0.99221789883268485</v>
      </c>
      <c r="K2670" s="51">
        <f>VLOOKUP(B:B,'生產達成率(目標)'!A:C,3,0)</f>
        <v>1</v>
      </c>
      <c r="L2670" s="20">
        <f t="shared" si="415"/>
        <v>-8.0000000000000002E-3</v>
      </c>
      <c r="M2670" s="137" t="str">
        <f>工時!R1854</f>
        <v>246</v>
      </c>
      <c r="N2670" s="144"/>
      <c r="O2670" s="144">
        <f t="shared" si="416"/>
        <v>2</v>
      </c>
      <c r="P2670" s="156">
        <f>198+208</f>
        <v>406</v>
      </c>
      <c r="Q2670" s="98">
        <f t="shared" si="417"/>
        <v>0.99509803921568629</v>
      </c>
      <c r="R2670" s="23"/>
      <c r="S2670" s="173"/>
      <c r="T2670" s="30" t="s">
        <v>1263</v>
      </c>
      <c r="U2670" s="264"/>
      <c r="V2670" s="463"/>
      <c r="W2670" s="421"/>
      <c r="X2670" s="463"/>
      <c r="Y2670" s="421"/>
      <c r="Z2670" s="421"/>
      <c r="AA2670" s="421"/>
      <c r="AB2670" s="421"/>
      <c r="AC2670" s="421"/>
      <c r="AD2670" s="421"/>
    </row>
    <row r="2671" spans="1:30" s="361" customFormat="1" x14ac:dyDescent="0.4">
      <c r="A2671" s="212">
        <v>46084</v>
      </c>
      <c r="B2671" s="139" t="s">
        <v>1046</v>
      </c>
      <c r="C2671" s="30" t="str">
        <f>VLOOKUP(B2671,'112年全品項生產鍋數'!A:H,2,0)</f>
        <v>藍莓顆粒果醬(1*6kg)</v>
      </c>
      <c r="D2671" s="296">
        <v>12</v>
      </c>
      <c r="E2671" s="48">
        <f>VLOOKUP(B2671,'112年全品項生產鍋數'!A:H,3,0)</f>
        <v>6</v>
      </c>
      <c r="F2671" s="142">
        <f>VLOOKUP(B2671,'112年全品項生產鍋數'!A:H,7,0)</f>
        <v>0</v>
      </c>
      <c r="G2671" s="143">
        <f t="shared" si="412"/>
        <v>0</v>
      </c>
      <c r="H2671" s="156">
        <v>317</v>
      </c>
      <c r="I2671" s="23">
        <f t="shared" si="413"/>
        <v>1902</v>
      </c>
      <c r="J2671" s="100" t="str">
        <f t="shared" si="414"/>
        <v>無法預估數據</v>
      </c>
      <c r="K2671" s="51">
        <f>VLOOKUP(B:B,'生產達成率(目標)'!A:C,3,0)</f>
        <v>1</v>
      </c>
      <c r="L2671" s="20" t="str">
        <f t="shared" si="415"/>
        <v>無法預估數據</v>
      </c>
      <c r="M2671" s="137" t="str">
        <f>工時!R1855</f>
        <v>183</v>
      </c>
      <c r="N2671" s="144"/>
      <c r="O2671" s="144">
        <f t="shared" si="416"/>
        <v>1</v>
      </c>
      <c r="P2671" s="156">
        <v>316</v>
      </c>
      <c r="Q2671" s="98">
        <f t="shared" si="417"/>
        <v>0.99684542586750791</v>
      </c>
      <c r="R2671" s="23"/>
      <c r="S2671" s="173"/>
      <c r="T2671" s="30" t="s">
        <v>1153</v>
      </c>
      <c r="U2671" s="264"/>
      <c r="V2671" s="463"/>
      <c r="W2671" s="421"/>
      <c r="X2671" s="463"/>
      <c r="Y2671" s="421"/>
      <c r="Z2671" s="421"/>
      <c r="AA2671" s="421"/>
      <c r="AB2671" s="421"/>
      <c r="AC2671" s="421"/>
      <c r="AD2671" s="421"/>
    </row>
    <row r="2672" spans="1:30" s="361" customFormat="1" x14ac:dyDescent="0.4">
      <c r="A2672" s="212">
        <v>46084</v>
      </c>
      <c r="B2672" s="139" t="s">
        <v>72</v>
      </c>
      <c r="C2672" s="30" t="str">
        <f>VLOOKUP(B2672,'112年全品項生產鍋數'!A:H,2,0)</f>
        <v>草莓餡45%(1*6Kg)</v>
      </c>
      <c r="D2672" s="296">
        <v>12</v>
      </c>
      <c r="E2672" s="48">
        <f>VLOOKUP(B2672,'112年全品項生產鍋數'!A:H,3,0)</f>
        <v>6</v>
      </c>
      <c r="F2672" s="142">
        <f>VLOOKUP(B2672,'112年全品項生產鍋數'!A:H,7,0)</f>
        <v>26.1</v>
      </c>
      <c r="G2672" s="143">
        <f t="shared" si="412"/>
        <v>313.20000000000005</v>
      </c>
      <c r="H2672" s="156">
        <v>317</v>
      </c>
      <c r="I2672" s="23">
        <f t="shared" si="413"/>
        <v>1902</v>
      </c>
      <c r="J2672" s="100">
        <f t="shared" si="414"/>
        <v>1.01213282247765</v>
      </c>
      <c r="K2672" s="51">
        <f>VLOOKUP(B:B,'生產達成率(目標)'!A:C,3,0)</f>
        <v>1</v>
      </c>
      <c r="L2672" s="20">
        <f t="shared" si="415"/>
        <v>1.2E-2</v>
      </c>
      <c r="M2672" s="137" t="str">
        <f>工時!R1856</f>
        <v>195</v>
      </c>
      <c r="N2672" s="144"/>
      <c r="O2672" s="144">
        <f t="shared" si="416"/>
        <v>1</v>
      </c>
      <c r="P2672" s="156">
        <v>316</v>
      </c>
      <c r="Q2672" s="98">
        <f t="shared" si="417"/>
        <v>0.99684542586750791</v>
      </c>
      <c r="R2672" s="23"/>
      <c r="S2672" s="173"/>
      <c r="T2672" s="30" t="s">
        <v>1153</v>
      </c>
      <c r="U2672" s="264"/>
      <c r="V2672" s="463"/>
      <c r="W2672" s="421"/>
      <c r="X2672" s="463"/>
      <c r="Y2672" s="421"/>
      <c r="Z2672" s="421"/>
      <c r="AA2672" s="421"/>
      <c r="AB2672" s="421"/>
      <c r="AC2672" s="421"/>
      <c r="AD2672" s="421"/>
    </row>
    <row r="2673" spans="1:30" s="361" customFormat="1" x14ac:dyDescent="0.4">
      <c r="A2673" s="212">
        <v>46084</v>
      </c>
      <c r="B2673" s="139" t="s">
        <v>83</v>
      </c>
      <c r="C2673" s="30" t="str">
        <f>VLOOKUP(B2673,'112年全品項生產鍋數'!A:H,2,0)</f>
        <v>PET瓶花生(粒)(1*340g)</v>
      </c>
      <c r="D2673" s="296">
        <v>12</v>
      </c>
      <c r="E2673" s="48">
        <f>VLOOKUP(B2673,'112年全品項生產鍋數'!A:H,3,0)</f>
        <v>0.34</v>
      </c>
      <c r="F2673" s="142">
        <f>VLOOKUP(B2673,'112年全品項生產鍋數'!A:H,7,0)</f>
        <v>366</v>
      </c>
      <c r="G2673" s="143">
        <f t="shared" si="412"/>
        <v>4392</v>
      </c>
      <c r="H2673" s="156">
        <v>4385</v>
      </c>
      <c r="I2673" s="23">
        <f t="shared" si="413"/>
        <v>1490.9</v>
      </c>
      <c r="J2673" s="100">
        <f t="shared" si="414"/>
        <v>0.99840619307832423</v>
      </c>
      <c r="K2673" s="51">
        <f>VLOOKUP(B:B,'生產達成率(目標)'!A:C,3,0)</f>
        <v>1</v>
      </c>
      <c r="L2673" s="20">
        <f t="shared" si="415"/>
        <v>-2E-3</v>
      </c>
      <c r="M2673" s="137" t="str">
        <f>工時!R1857</f>
        <v>285</v>
      </c>
      <c r="N2673" s="144"/>
      <c r="O2673" s="144">
        <f t="shared" si="416"/>
        <v>3</v>
      </c>
      <c r="P2673" s="156">
        <v>4382</v>
      </c>
      <c r="Q2673" s="98">
        <f t="shared" si="417"/>
        <v>0.99931584948688712</v>
      </c>
      <c r="R2673" s="23"/>
      <c r="S2673" s="173"/>
      <c r="T2673" s="30" t="s">
        <v>1264</v>
      </c>
      <c r="U2673" s="264"/>
      <c r="V2673" s="463"/>
      <c r="W2673" s="421"/>
      <c r="X2673" s="463"/>
      <c r="Y2673" s="421"/>
      <c r="Z2673" s="421"/>
      <c r="AA2673" s="421"/>
      <c r="AB2673" s="421"/>
      <c r="AC2673" s="421"/>
      <c r="AD2673" s="421"/>
    </row>
    <row r="2674" spans="1:30" s="361" customFormat="1" x14ac:dyDescent="0.4">
      <c r="A2674" s="212">
        <v>46084</v>
      </c>
      <c r="B2674" s="139" t="s">
        <v>82</v>
      </c>
      <c r="C2674" s="30" t="str">
        <f>VLOOKUP(B2674,'112年全品項生產鍋數'!A:H,2,0)</f>
        <v>顆粒花生醬(全)</v>
      </c>
      <c r="D2674" s="296">
        <v>28</v>
      </c>
      <c r="E2674" s="48">
        <f>VLOOKUP(B2674,'112年全品項生產鍋數'!A:H,3,0)</f>
        <v>0.34</v>
      </c>
      <c r="F2674" s="142">
        <f>VLOOKUP(B2674,'112年全品項生產鍋數'!A:H,7,0)</f>
        <v>364.6</v>
      </c>
      <c r="G2674" s="143">
        <f t="shared" si="412"/>
        <v>10208.800000000001</v>
      </c>
      <c r="H2674" s="156">
        <v>10082</v>
      </c>
      <c r="I2674" s="23">
        <f t="shared" si="413"/>
        <v>3427.88</v>
      </c>
      <c r="J2674" s="100">
        <f t="shared" si="414"/>
        <v>0.98757934331165254</v>
      </c>
      <c r="K2674" s="51">
        <f>VLOOKUP(B:B,'生產達成率(目標)'!A:C,3,0)</f>
        <v>1</v>
      </c>
      <c r="L2674" s="20">
        <f t="shared" si="415"/>
        <v>-1.2E-2</v>
      </c>
      <c r="M2674" s="137" t="str">
        <f>工時!R1858</f>
        <v>500</v>
      </c>
      <c r="N2674" s="144"/>
      <c r="O2674" s="144">
        <f t="shared" si="416"/>
        <v>7</v>
      </c>
      <c r="P2674" s="156">
        <v>10075</v>
      </c>
      <c r="Q2674" s="98">
        <f t="shared" si="417"/>
        <v>0.99930569331481844</v>
      </c>
      <c r="R2674" s="23"/>
      <c r="S2674" s="173"/>
      <c r="T2674" s="30" t="s">
        <v>1265</v>
      </c>
      <c r="U2674" s="264"/>
      <c r="V2674" s="463"/>
      <c r="W2674" s="421"/>
      <c r="X2674" s="463"/>
      <c r="Y2674" s="421"/>
      <c r="Z2674" s="421"/>
      <c r="AA2674" s="421"/>
      <c r="AB2674" s="421"/>
      <c r="AC2674" s="421"/>
      <c r="AD2674" s="421"/>
    </row>
    <row r="2675" spans="1:30" s="381" customFormat="1" x14ac:dyDescent="0.4">
      <c r="A2675" s="402">
        <v>46084</v>
      </c>
      <c r="B2675" s="392" t="s">
        <v>943</v>
      </c>
      <c r="C2675" s="375" t="str">
        <f>VLOOKUP(B2675,'112年全品項生產鍋數'!A:H,2,0)</f>
        <v>蜜桔皮(10kg/桶)</v>
      </c>
      <c r="D2675" s="406">
        <v>1</v>
      </c>
      <c r="E2675" s="141">
        <f>VLOOKUP(B2675,'112年全品項生產鍋數'!A:H,3,0)</f>
        <v>1</v>
      </c>
      <c r="F2675" s="142">
        <f>VLOOKUP(B2675,'112年全品項生產鍋數'!A:H,7,0)</f>
        <v>0</v>
      </c>
      <c r="G2675" s="143">
        <f t="shared" si="412"/>
        <v>0</v>
      </c>
      <c r="H2675" s="156">
        <v>490</v>
      </c>
      <c r="I2675" s="374">
        <f t="shared" si="413"/>
        <v>490</v>
      </c>
      <c r="J2675" s="100" t="str">
        <f t="shared" si="414"/>
        <v>無法預估數據</v>
      </c>
      <c r="K2675" s="51">
        <f>VLOOKUP(B:B,'生產達成率(目標)'!A:C,3,0)</f>
        <v>1</v>
      </c>
      <c r="L2675" s="20" t="str">
        <f t="shared" si="415"/>
        <v>無法預估數據</v>
      </c>
      <c r="M2675" s="137" t="str">
        <f>工時!R1859</f>
        <v>0</v>
      </c>
      <c r="N2675" s="374"/>
      <c r="O2675" s="374">
        <f t="shared" si="416"/>
        <v>0</v>
      </c>
      <c r="P2675" s="156">
        <v>490</v>
      </c>
      <c r="Q2675" s="145">
        <f t="shared" si="417"/>
        <v>1</v>
      </c>
      <c r="R2675" s="374"/>
      <c r="S2675" s="378"/>
      <c r="T2675" s="375" t="s">
        <v>1266</v>
      </c>
      <c r="U2675" s="398"/>
      <c r="V2675" s="464"/>
      <c r="W2675" s="421"/>
      <c r="X2675" s="464"/>
      <c r="Y2675" s="421"/>
      <c r="Z2675" s="421"/>
      <c r="AA2675" s="421"/>
      <c r="AB2675" s="421"/>
      <c r="AC2675" s="421"/>
      <c r="AD2675" s="421"/>
    </row>
    <row r="2676" spans="1:30" s="361" customFormat="1" x14ac:dyDescent="0.4">
      <c r="A2676" s="212">
        <v>46085</v>
      </c>
      <c r="B2676" s="139" t="s">
        <v>91</v>
      </c>
      <c r="C2676" s="30" t="str">
        <f>VLOOKUP(B2676,'112年全品項生產鍋數'!A:H,2,0)</f>
        <v>梨山草莓果醬(1*430g)</v>
      </c>
      <c r="D2676" s="296">
        <v>12</v>
      </c>
      <c r="E2676" s="48">
        <f>VLOOKUP(B2676,'112年全品項生產鍋數'!A:H,3,0)</f>
        <v>0.43</v>
      </c>
      <c r="F2676" s="142">
        <f>VLOOKUP(B2676,'112年全品項生產鍋數'!A:H,7,0)</f>
        <v>340.4</v>
      </c>
      <c r="G2676" s="143">
        <f t="shared" si="412"/>
        <v>4084.7999999999997</v>
      </c>
      <c r="H2676" s="156">
        <f>2162+1955</f>
        <v>4117</v>
      </c>
      <c r="I2676" s="23">
        <f t="shared" si="413"/>
        <v>1770.31</v>
      </c>
      <c r="J2676" s="100">
        <f t="shared" si="414"/>
        <v>1.007882882882883</v>
      </c>
      <c r="K2676" s="51">
        <f>VLOOKUP(B:B,'生產達成率(目標)'!A:C,3,0)</f>
        <v>1</v>
      </c>
      <c r="L2676" s="20">
        <f t="shared" si="415"/>
        <v>8.0000000000000002E-3</v>
      </c>
      <c r="M2676" s="137" t="str">
        <f>工時!R1860</f>
        <v>240</v>
      </c>
      <c r="N2676" s="144"/>
      <c r="O2676" s="144">
        <f t="shared" si="416"/>
        <v>6</v>
      </c>
      <c r="P2676" s="156">
        <f>2160+1951</f>
        <v>4111</v>
      </c>
      <c r="Q2676" s="98">
        <f t="shared" si="417"/>
        <v>0.99854262812727712</v>
      </c>
      <c r="R2676" s="23"/>
      <c r="S2676" s="173"/>
      <c r="T2676" s="30" t="s">
        <v>1271</v>
      </c>
      <c r="U2676" s="264"/>
      <c r="V2676" s="463"/>
      <c r="W2676" s="421"/>
      <c r="X2676" s="463"/>
      <c r="Y2676" s="421"/>
      <c r="Z2676" s="421"/>
      <c r="AA2676" s="421"/>
      <c r="AB2676" s="421"/>
      <c r="AC2676" s="421"/>
      <c r="AD2676" s="421"/>
    </row>
    <row r="2677" spans="1:30" s="361" customFormat="1" x14ac:dyDescent="0.4">
      <c r="A2677" s="212">
        <v>46085</v>
      </c>
      <c r="B2677" s="139" t="s">
        <v>114</v>
      </c>
      <c r="C2677" s="30" t="str">
        <f>VLOOKUP(B2677,'112年全品項生產鍋數'!A:H,2,0)</f>
        <v>開心草莓果醬(1*430g)</v>
      </c>
      <c r="D2677" s="296">
        <v>15</v>
      </c>
      <c r="E2677" s="48">
        <f>VLOOKUP(B2677,'112年全品項生產鍋數'!A:H,3,0)</f>
        <v>0.43</v>
      </c>
      <c r="F2677" s="142">
        <f>VLOOKUP(B2677,'112年全品項生產鍋數'!A:H,7,0)</f>
        <v>364</v>
      </c>
      <c r="G2677" s="143">
        <f t="shared" si="412"/>
        <v>5460</v>
      </c>
      <c r="H2677" s="156">
        <v>5468</v>
      </c>
      <c r="I2677" s="23">
        <f t="shared" si="413"/>
        <v>2351.2399999999998</v>
      </c>
      <c r="J2677" s="100">
        <f t="shared" si="414"/>
        <v>1.0014652014652015</v>
      </c>
      <c r="K2677" s="51">
        <f>VLOOKUP(B:B,'生產達成率(目標)'!A:C,3,0)</f>
        <v>1</v>
      </c>
      <c r="L2677" s="20">
        <f t="shared" si="415"/>
        <v>1E-3</v>
      </c>
      <c r="M2677" s="137" t="str">
        <f>工時!R1861</f>
        <v>300</v>
      </c>
      <c r="N2677" s="144"/>
      <c r="O2677" s="144">
        <f t="shared" si="416"/>
        <v>9</v>
      </c>
      <c r="P2677" s="156">
        <v>5459</v>
      </c>
      <c r="Q2677" s="98">
        <f t="shared" si="417"/>
        <v>0.99835405998536941</v>
      </c>
      <c r="R2677" s="23"/>
      <c r="S2677" s="173"/>
      <c r="T2677" s="30" t="s">
        <v>1267</v>
      </c>
      <c r="U2677" s="264"/>
      <c r="V2677" s="463"/>
      <c r="W2677" s="421"/>
      <c r="X2677" s="463"/>
      <c r="Y2677" s="421"/>
      <c r="Z2677" s="421"/>
      <c r="AA2677" s="421"/>
      <c r="AB2677" s="421"/>
      <c r="AC2677" s="421"/>
      <c r="AD2677" s="421"/>
    </row>
    <row r="2678" spans="1:30" s="361" customFormat="1" x14ac:dyDescent="0.4">
      <c r="A2678" s="212">
        <v>46085</v>
      </c>
      <c r="B2678" s="139" t="s">
        <v>104</v>
      </c>
      <c r="C2678" s="30" t="str">
        <f>VLOOKUP(B2678,'112年全品項生產鍋數'!A:H,2,0)</f>
        <v>＃1花生(粒)(1*2.8kg)</v>
      </c>
      <c r="D2678" s="296">
        <v>72</v>
      </c>
      <c r="E2678" s="48">
        <f>VLOOKUP(B2678,'112年全品項生產鍋數'!A:H,3,0)</f>
        <v>2.8</v>
      </c>
      <c r="F2678" s="142">
        <f>VLOOKUP(B2678,'112年全品項生產鍋數'!A:H,7,0)</f>
        <v>44.2</v>
      </c>
      <c r="G2678" s="143">
        <f>D2678*F2678-18*10/E2678</f>
        <v>3118.1142857142859</v>
      </c>
      <c r="H2678" s="156">
        <v>3071</v>
      </c>
      <c r="I2678" s="23">
        <f t="shared" si="413"/>
        <v>8598.7999999999993</v>
      </c>
      <c r="J2678" s="100">
        <f t="shared" si="414"/>
        <v>0.98489013506331657</v>
      </c>
      <c r="K2678" s="51">
        <f>VLOOKUP(B:B,'生產達成率(目標)'!A:C,3,0)</f>
        <v>1</v>
      </c>
      <c r="L2678" s="20">
        <f t="shared" si="415"/>
        <v>-1.4999999999999999E-2</v>
      </c>
      <c r="M2678" s="137" t="str">
        <f>工時!R1862</f>
        <v>600</v>
      </c>
      <c r="N2678" s="144"/>
      <c r="O2678" s="144">
        <f t="shared" si="416"/>
        <v>1</v>
      </c>
      <c r="P2678" s="156">
        <v>3070</v>
      </c>
      <c r="Q2678" s="98">
        <f t="shared" si="417"/>
        <v>0.99967437316834906</v>
      </c>
      <c r="R2678" s="23"/>
      <c r="S2678" s="173"/>
      <c r="T2678" s="30" t="s">
        <v>1272</v>
      </c>
      <c r="U2678" s="264"/>
      <c r="V2678" s="463"/>
      <c r="W2678" s="421"/>
      <c r="X2678" s="463"/>
      <c r="Y2678" s="421"/>
      <c r="Z2678" s="421"/>
      <c r="AA2678" s="421"/>
      <c r="AB2678" s="421"/>
      <c r="AC2678" s="421"/>
      <c r="AD2678" s="421"/>
    </row>
    <row r="2679" spans="1:30" s="361" customFormat="1" x14ac:dyDescent="0.4">
      <c r="A2679" s="212">
        <v>46086</v>
      </c>
      <c r="B2679" s="139" t="s">
        <v>54</v>
      </c>
      <c r="C2679" s="30" t="str">
        <f>VLOOKUP(B2679,'112年全品項生產鍋數'!A:H,2,0)</f>
        <v>草莓醬(1*6kg)</v>
      </c>
      <c r="D2679" s="296">
        <v>36</v>
      </c>
      <c r="E2679" s="48">
        <f>VLOOKUP(B2679,'112年全品項生產鍋數'!A:H,3,0)</f>
        <v>6</v>
      </c>
      <c r="F2679" s="142">
        <f>VLOOKUP(B2679,'112年全品項生產鍋數'!A:H,7,0)</f>
        <v>26.6</v>
      </c>
      <c r="G2679" s="143">
        <f t="shared" si="412"/>
        <v>957.6</v>
      </c>
      <c r="H2679" s="156">
        <v>942</v>
      </c>
      <c r="I2679" s="23">
        <f t="shared" si="413"/>
        <v>5652</v>
      </c>
      <c r="J2679" s="100">
        <f t="shared" si="414"/>
        <v>0.98370927318295742</v>
      </c>
      <c r="K2679" s="51">
        <f>VLOOKUP(B:B,'生產達成率(目標)'!A:C,3,0)</f>
        <v>1</v>
      </c>
      <c r="L2679" s="20">
        <f t="shared" si="415"/>
        <v>-1.6E-2</v>
      </c>
      <c r="M2679" s="137" t="str">
        <f>工時!R1863</f>
        <v>540</v>
      </c>
      <c r="N2679" s="144"/>
      <c r="O2679" s="144">
        <f t="shared" si="416"/>
        <v>4</v>
      </c>
      <c r="P2679" s="156">
        <v>938</v>
      </c>
      <c r="Q2679" s="98">
        <f t="shared" si="417"/>
        <v>0.99575371549893843</v>
      </c>
      <c r="R2679" s="23"/>
      <c r="S2679" s="173"/>
      <c r="T2679" s="30" t="s">
        <v>1153</v>
      </c>
      <c r="U2679" s="264"/>
      <c r="V2679" s="463"/>
      <c r="W2679" s="421"/>
      <c r="X2679" s="463"/>
      <c r="Y2679" s="421"/>
      <c r="Z2679" s="421"/>
      <c r="AA2679" s="421"/>
      <c r="AB2679" s="421"/>
      <c r="AC2679" s="421"/>
      <c r="AD2679" s="421"/>
    </row>
    <row r="2680" spans="1:30" s="361" customFormat="1" x14ac:dyDescent="0.4">
      <c r="A2680" s="212">
        <v>46086</v>
      </c>
      <c r="B2680" s="139" t="s">
        <v>115</v>
      </c>
      <c r="C2680" s="30" t="str">
        <f>VLOOKUP(B2680,'112年全品項生產鍋數'!A:H,2,0)</f>
        <v>天天開心藍莓餡4.5KG</v>
      </c>
      <c r="D2680" s="296">
        <v>12</v>
      </c>
      <c r="E2680" s="48">
        <f>VLOOKUP(B2680,'112年全品項生產鍋數'!A:H,3,0)</f>
        <v>4.5</v>
      </c>
      <c r="F2680" s="142">
        <f>VLOOKUP(B2680,'112年全品項生產鍋數'!A:H,7,0)</f>
        <v>36.799999999999997</v>
      </c>
      <c r="G2680" s="143">
        <f t="shared" si="412"/>
        <v>441.59999999999997</v>
      </c>
      <c r="H2680" s="156">
        <v>455</v>
      </c>
      <c r="I2680" s="23">
        <f t="shared" si="413"/>
        <v>2047.5</v>
      </c>
      <c r="J2680" s="100">
        <f t="shared" si="414"/>
        <v>1.0303442028985508</v>
      </c>
      <c r="K2680" s="51">
        <f>VLOOKUP(B:B,'生產達成率(目標)'!A:C,3,0)</f>
        <v>1</v>
      </c>
      <c r="L2680" s="20">
        <f t="shared" si="415"/>
        <v>0.03</v>
      </c>
      <c r="M2680" s="137" t="str">
        <f>工時!R1864</f>
        <v>240</v>
      </c>
      <c r="N2680" s="144"/>
      <c r="O2680" s="144">
        <f t="shared" si="416"/>
        <v>0</v>
      </c>
      <c r="P2680" s="156">
        <v>455</v>
      </c>
      <c r="Q2680" s="98">
        <f t="shared" si="417"/>
        <v>1</v>
      </c>
      <c r="R2680" s="23"/>
      <c r="S2680" s="173"/>
      <c r="T2680" s="30" t="s">
        <v>1153</v>
      </c>
      <c r="U2680" s="264"/>
      <c r="V2680" s="463"/>
      <c r="W2680" s="421"/>
      <c r="X2680" s="463"/>
      <c r="Y2680" s="421"/>
      <c r="Z2680" s="421"/>
      <c r="AA2680" s="421"/>
      <c r="AB2680" s="421"/>
      <c r="AC2680" s="421"/>
      <c r="AD2680" s="421"/>
    </row>
    <row r="2681" spans="1:30" s="361" customFormat="1" x14ac:dyDescent="0.4">
      <c r="A2681" s="212">
        <v>46086</v>
      </c>
      <c r="B2681" s="139" t="s">
        <v>55</v>
      </c>
      <c r="C2681" s="30" t="str">
        <f>VLOOKUP(B2681,'112年全品項生產鍋數'!A:H,2,0)</f>
        <v>天天開心草莓餡4.5KG</v>
      </c>
      <c r="D2681" s="296">
        <v>24</v>
      </c>
      <c r="E2681" s="48">
        <f>VLOOKUP(B2681,'112年全品項生產鍋數'!A:H,3,0)</f>
        <v>4.5</v>
      </c>
      <c r="F2681" s="142">
        <f>VLOOKUP(B2681,'112年全品項生產鍋數'!A:H,7,0)</f>
        <v>36.299999999999997</v>
      </c>
      <c r="G2681" s="143">
        <f t="shared" si="412"/>
        <v>871.19999999999993</v>
      </c>
      <c r="H2681" s="156">
        <v>878</v>
      </c>
      <c r="I2681" s="23">
        <f t="shared" si="413"/>
        <v>3951</v>
      </c>
      <c r="J2681" s="100">
        <f t="shared" si="414"/>
        <v>1.0078053259871442</v>
      </c>
      <c r="K2681" s="51">
        <f>VLOOKUP(B:B,'生產達成率(目標)'!A:C,3,0)</f>
        <v>1</v>
      </c>
      <c r="L2681" s="20">
        <f t="shared" si="415"/>
        <v>8.0000000000000002E-3</v>
      </c>
      <c r="M2681" s="137" t="str">
        <f>工時!R1865</f>
        <v>345</v>
      </c>
      <c r="N2681" s="144"/>
      <c r="O2681" s="144">
        <f t="shared" si="416"/>
        <v>0</v>
      </c>
      <c r="P2681" s="156">
        <v>878</v>
      </c>
      <c r="Q2681" s="98">
        <f t="shared" si="417"/>
        <v>1</v>
      </c>
      <c r="R2681" s="23"/>
      <c r="S2681" s="173"/>
      <c r="T2681" s="30" t="s">
        <v>1197</v>
      </c>
      <c r="U2681" s="264"/>
      <c r="V2681" s="463"/>
      <c r="W2681" s="421"/>
      <c r="X2681" s="463"/>
      <c r="Y2681" s="421"/>
      <c r="Z2681" s="421"/>
      <c r="AA2681" s="421"/>
      <c r="AB2681" s="421"/>
      <c r="AC2681" s="421"/>
      <c r="AD2681" s="421"/>
    </row>
    <row r="2682" spans="1:30" s="361" customFormat="1" x14ac:dyDescent="0.4">
      <c r="A2682" s="212">
        <v>46086</v>
      </c>
      <c r="B2682" s="139" t="s">
        <v>65</v>
      </c>
      <c r="C2682" s="30" t="str">
        <f>VLOOKUP(B2682,'112年全品項生產鍋數'!A:H,2,0)</f>
        <v>＃1花生(1*2.8kg)</v>
      </c>
      <c r="D2682" s="296">
        <v>72</v>
      </c>
      <c r="E2682" s="48">
        <f>VLOOKUP(B2682,'112年全品項生產鍋數'!A:H,3,0)</f>
        <v>2.8</v>
      </c>
      <c r="F2682" s="142">
        <f>VLOOKUP(B2682,'112年全品項生產鍋數'!A:H,7,0)</f>
        <v>44.5</v>
      </c>
      <c r="G2682" s="143">
        <f t="shared" si="412"/>
        <v>3204</v>
      </c>
      <c r="H2682" s="156">
        <v>3231</v>
      </c>
      <c r="I2682" s="23">
        <f t="shared" si="413"/>
        <v>9046.7999999999993</v>
      </c>
      <c r="J2682" s="100">
        <f t="shared" si="414"/>
        <v>1.0084269662921348</v>
      </c>
      <c r="K2682" s="51">
        <f>VLOOKUP(B:B,'生產達成率(目標)'!A:C,3,0)</f>
        <v>1</v>
      </c>
      <c r="L2682" s="20">
        <f t="shared" si="415"/>
        <v>8.0000000000000002E-3</v>
      </c>
      <c r="M2682" s="137" t="str">
        <f>工時!R1866</f>
        <v>540</v>
      </c>
      <c r="N2682" s="144"/>
      <c r="O2682" s="144">
        <f t="shared" si="416"/>
        <v>1</v>
      </c>
      <c r="P2682" s="156">
        <v>3230</v>
      </c>
      <c r="Q2682" s="98">
        <f t="shared" si="417"/>
        <v>0.99969049829774059</v>
      </c>
      <c r="R2682" s="23"/>
      <c r="S2682" s="173"/>
      <c r="T2682" s="30"/>
      <c r="U2682" s="264"/>
      <c r="V2682" s="463"/>
      <c r="W2682" s="421"/>
      <c r="X2682" s="463"/>
      <c r="Y2682" s="421"/>
      <c r="Z2682" s="421"/>
      <c r="AA2682" s="421"/>
      <c r="AB2682" s="421"/>
      <c r="AC2682" s="421"/>
      <c r="AD2682" s="421"/>
    </row>
    <row r="2683" spans="1:30" s="381" customFormat="1" x14ac:dyDescent="0.4">
      <c r="A2683" s="402">
        <v>46087</v>
      </c>
      <c r="B2683" s="392" t="s">
        <v>1260</v>
      </c>
      <c r="C2683" s="375" t="str">
        <f>VLOOKUP(B2683,'112年全品項生產鍋數'!A:H,2,0)</f>
        <v>柑橘果醬(1*220G)</v>
      </c>
      <c r="D2683" s="406">
        <v>4</v>
      </c>
      <c r="E2683" s="141">
        <f>VLOOKUP(B2683,'112年全品項生產鍋數'!A:H,3,0)</f>
        <v>0.22</v>
      </c>
      <c r="F2683" s="142">
        <f>VLOOKUP(B2683,'112年全品項生產鍋數'!A:H,7,0)</f>
        <v>0</v>
      </c>
      <c r="G2683" s="143">
        <f t="shared" si="412"/>
        <v>0</v>
      </c>
      <c r="H2683" s="156">
        <v>2962</v>
      </c>
      <c r="I2683" s="374">
        <f t="shared" si="413"/>
        <v>651.64</v>
      </c>
      <c r="J2683" s="100" t="str">
        <f t="shared" si="414"/>
        <v>無法預估數據</v>
      </c>
      <c r="K2683" s="51">
        <f>VLOOKUP(B:B,'生產達成率(目標)'!A:C,3,0)</f>
        <v>1</v>
      </c>
      <c r="L2683" s="20" t="str">
        <f t="shared" si="415"/>
        <v>無法預估數據</v>
      </c>
      <c r="M2683" s="137" t="str">
        <f>工時!R1867</f>
        <v>230</v>
      </c>
      <c r="N2683" s="374"/>
      <c r="O2683" s="374">
        <f t="shared" si="416"/>
        <v>22</v>
      </c>
      <c r="P2683" s="156">
        <v>2940</v>
      </c>
      <c r="Q2683" s="145">
        <f t="shared" si="417"/>
        <v>0.99257258609047938</v>
      </c>
      <c r="R2683" s="374"/>
      <c r="S2683" s="378"/>
      <c r="T2683" s="375" t="s">
        <v>1153</v>
      </c>
      <c r="U2683" s="398"/>
      <c r="V2683" s="464"/>
      <c r="W2683" s="421"/>
      <c r="X2683" s="464"/>
      <c r="Y2683" s="421"/>
      <c r="Z2683" s="421"/>
      <c r="AA2683" s="421"/>
      <c r="AB2683" s="421"/>
      <c r="AC2683" s="421"/>
      <c r="AD2683" s="421"/>
    </row>
    <row r="2684" spans="1:30" s="361" customFormat="1" x14ac:dyDescent="0.4">
      <c r="A2684" s="212">
        <v>46087</v>
      </c>
      <c r="B2684" s="139" t="s">
        <v>367</v>
      </c>
      <c r="C2684" s="30" t="str">
        <f>VLOOKUP(B2684,'112年全品項生產鍋數'!A:H,2,0)</f>
        <v>蘋果寡糖果醬(260G)</v>
      </c>
      <c r="D2684" s="296">
        <v>3</v>
      </c>
      <c r="E2684" s="48">
        <f>VLOOKUP(B2684,'112年全品項生產鍋數'!A:H,3,0)</f>
        <v>0.26</v>
      </c>
      <c r="F2684" s="142">
        <f>VLOOKUP(B2684,'112年全品項生產鍋數'!A:H,7,0)</f>
        <v>580</v>
      </c>
      <c r="G2684" s="143">
        <f t="shared" si="412"/>
        <v>1740</v>
      </c>
      <c r="H2684" s="156">
        <v>1765</v>
      </c>
      <c r="I2684" s="23">
        <f t="shared" si="413"/>
        <v>458.90000000000003</v>
      </c>
      <c r="J2684" s="100">
        <f t="shared" si="414"/>
        <v>1.014367816091954</v>
      </c>
      <c r="K2684" s="51">
        <f>VLOOKUP(B:B,'生產達成率(目標)'!A:C,3,0)</f>
        <v>1</v>
      </c>
      <c r="L2684" s="20">
        <f t="shared" si="415"/>
        <v>1.4E-2</v>
      </c>
      <c r="M2684" s="137" t="str">
        <f>工時!R1868</f>
        <v>160</v>
      </c>
      <c r="N2684" s="144"/>
      <c r="O2684" s="144">
        <f t="shared" si="416"/>
        <v>4</v>
      </c>
      <c r="P2684" s="156">
        <v>1761</v>
      </c>
      <c r="Q2684" s="98">
        <f t="shared" si="417"/>
        <v>0.99773371104815867</v>
      </c>
      <c r="R2684" s="23"/>
      <c r="S2684" s="173"/>
      <c r="T2684" s="30" t="s">
        <v>1153</v>
      </c>
      <c r="U2684" s="264"/>
      <c r="V2684" s="463"/>
      <c r="W2684" s="421"/>
      <c r="X2684" s="463"/>
      <c r="Y2684" s="421"/>
      <c r="Z2684" s="421"/>
      <c r="AA2684" s="421"/>
      <c r="AB2684" s="421"/>
      <c r="AC2684" s="421"/>
      <c r="AD2684" s="421"/>
    </row>
    <row r="2685" spans="1:30" s="381" customFormat="1" x14ac:dyDescent="0.4">
      <c r="A2685" s="402">
        <v>46087</v>
      </c>
      <c r="B2685" s="392" t="s">
        <v>473</v>
      </c>
      <c r="C2685" s="375" t="str">
        <f>VLOOKUP(B2685,'112年全品項生產鍋數'!A:H,2,0)</f>
        <v>桑椹果粒茶(1*400G)</v>
      </c>
      <c r="D2685" s="406">
        <v>6</v>
      </c>
      <c r="E2685" s="141">
        <f>VLOOKUP(B2685,'112年全品項生產鍋數'!A:H,3,0)</f>
        <v>0.4</v>
      </c>
      <c r="F2685" s="142">
        <f>VLOOKUP(B2685,'112年全品項生產鍋數'!A:H,7,0)</f>
        <v>366.4</v>
      </c>
      <c r="G2685" s="143">
        <f t="shared" si="412"/>
        <v>2198.3999999999996</v>
      </c>
      <c r="H2685" s="156">
        <v>2175</v>
      </c>
      <c r="I2685" s="374">
        <f t="shared" si="413"/>
        <v>870</v>
      </c>
      <c r="J2685" s="100">
        <f t="shared" si="414"/>
        <v>0.98935589519650668</v>
      </c>
      <c r="K2685" s="51">
        <f>VLOOKUP(B:B,'生產達成率(目標)'!A:C,3,0)</f>
        <v>1</v>
      </c>
      <c r="L2685" s="20">
        <f t="shared" si="415"/>
        <v>-1.0999999999999999E-2</v>
      </c>
      <c r="M2685" s="137" t="str">
        <f>工時!R1869</f>
        <v>240</v>
      </c>
      <c r="N2685" s="374"/>
      <c r="O2685" s="374">
        <f t="shared" si="416"/>
        <v>7</v>
      </c>
      <c r="P2685" s="156">
        <v>2168</v>
      </c>
      <c r="Q2685" s="145">
        <f t="shared" si="417"/>
        <v>0.99678160919540226</v>
      </c>
      <c r="R2685" s="374"/>
      <c r="S2685" s="378"/>
      <c r="T2685" s="375" t="s">
        <v>1153</v>
      </c>
      <c r="U2685" s="398"/>
      <c r="V2685" s="464"/>
      <c r="W2685" s="421"/>
      <c r="X2685" s="464"/>
      <c r="Y2685" s="421"/>
      <c r="Z2685" s="421"/>
      <c r="AA2685" s="421"/>
      <c r="AB2685" s="421"/>
      <c r="AC2685" s="421"/>
      <c r="AD2685" s="421"/>
    </row>
    <row r="2686" spans="1:30" s="381" customFormat="1" x14ac:dyDescent="0.4">
      <c r="A2686" s="402">
        <v>46087</v>
      </c>
      <c r="B2686" s="392" t="s">
        <v>1261</v>
      </c>
      <c r="C2686" s="375" t="str">
        <f>VLOOKUP(B2686,'112年全品項生產鍋數'!A:H,2,0)</f>
        <v>柑橘果醬(1*6Kg)</v>
      </c>
      <c r="D2686" s="406">
        <v>3</v>
      </c>
      <c r="E2686" s="141">
        <f>VLOOKUP(B2686,'112年全品項生產鍋數'!A:H,3,0)</f>
        <v>6</v>
      </c>
      <c r="F2686" s="142">
        <f>VLOOKUP(B2686,'112年全品項生產鍋數'!A:H,7,0)</f>
        <v>0</v>
      </c>
      <c r="G2686" s="143">
        <f t="shared" si="412"/>
        <v>0</v>
      </c>
      <c r="H2686" s="156">
        <v>83</v>
      </c>
      <c r="I2686" s="374">
        <f t="shared" si="413"/>
        <v>498</v>
      </c>
      <c r="J2686" s="100" t="str">
        <f t="shared" si="414"/>
        <v>無法預估數據</v>
      </c>
      <c r="K2686" s="51">
        <f>VLOOKUP(B:B,'生產達成率(目標)'!A:C,3,0)</f>
        <v>1</v>
      </c>
      <c r="L2686" s="20" t="str">
        <f t="shared" si="415"/>
        <v>無法預估數據</v>
      </c>
      <c r="M2686" s="137" t="str">
        <f>工時!R1870</f>
        <v>130</v>
      </c>
      <c r="N2686" s="374"/>
      <c r="O2686" s="374">
        <f t="shared" si="416"/>
        <v>1</v>
      </c>
      <c r="P2686" s="156">
        <v>82</v>
      </c>
      <c r="Q2686" s="145">
        <f t="shared" si="417"/>
        <v>0.98795180722891562</v>
      </c>
      <c r="R2686" s="374"/>
      <c r="S2686" s="378"/>
      <c r="T2686" s="375" t="s">
        <v>1273</v>
      </c>
      <c r="U2686" s="398"/>
      <c r="V2686" s="464"/>
      <c r="W2686" s="421"/>
      <c r="X2686" s="464"/>
      <c r="Y2686" s="421"/>
      <c r="Z2686" s="421"/>
      <c r="AA2686" s="421"/>
      <c r="AB2686" s="421"/>
      <c r="AC2686" s="421"/>
      <c r="AD2686" s="421"/>
    </row>
    <row r="2687" spans="1:30" s="361" customFormat="1" x14ac:dyDescent="0.4">
      <c r="A2687" s="212">
        <v>46087</v>
      </c>
      <c r="B2687" s="139" t="s">
        <v>109</v>
      </c>
      <c r="C2687" s="30" t="str">
        <f>VLOOKUP(B2687,'112年全品項生產鍋數'!A:H,2,0)</f>
        <v>蔓越莓醬(1*6KG)</v>
      </c>
      <c r="D2687" s="296">
        <v>12</v>
      </c>
      <c r="E2687" s="48">
        <f>VLOOKUP(B2687,'112年全品項生產鍋數'!A:H,3,0)</f>
        <v>6</v>
      </c>
      <c r="F2687" s="142">
        <f>VLOOKUP(B2687,'112年全品項生產鍋數'!A:H,7,0)</f>
        <v>25.6</v>
      </c>
      <c r="G2687" s="143">
        <f t="shared" si="412"/>
        <v>307.20000000000005</v>
      </c>
      <c r="H2687" s="156">
        <v>307</v>
      </c>
      <c r="I2687" s="23">
        <f t="shared" si="413"/>
        <v>1842</v>
      </c>
      <c r="J2687" s="100">
        <f t="shared" si="414"/>
        <v>0.99934895833333315</v>
      </c>
      <c r="K2687" s="51">
        <f>VLOOKUP(B:B,'生產達成率(目標)'!A:C,3,0)</f>
        <v>1</v>
      </c>
      <c r="L2687" s="20">
        <f t="shared" si="415"/>
        <v>-1E-3</v>
      </c>
      <c r="M2687" s="137" t="str">
        <f>工時!R1871</f>
        <v>148</v>
      </c>
      <c r="N2687" s="144"/>
      <c r="O2687" s="144">
        <f t="shared" si="416"/>
        <v>2</v>
      </c>
      <c r="P2687" s="156">
        <v>305</v>
      </c>
      <c r="Q2687" s="98">
        <f t="shared" si="417"/>
        <v>0.99348534201954397</v>
      </c>
      <c r="R2687" s="23"/>
      <c r="S2687" s="173"/>
      <c r="T2687" s="30" t="s">
        <v>1153</v>
      </c>
      <c r="U2687" s="264"/>
      <c r="V2687" s="463"/>
      <c r="W2687" s="421"/>
      <c r="X2687" s="463"/>
      <c r="Y2687" s="421"/>
      <c r="Z2687" s="421"/>
      <c r="AA2687" s="421"/>
      <c r="AB2687" s="421"/>
      <c r="AC2687" s="421"/>
      <c r="AD2687" s="421"/>
    </row>
    <row r="2688" spans="1:30" s="381" customFormat="1" x14ac:dyDescent="0.4">
      <c r="A2688" s="402">
        <v>46087</v>
      </c>
      <c r="B2688" s="392" t="s">
        <v>63</v>
      </c>
      <c r="C2688" s="375" t="str">
        <f>VLOOKUP(B2688,'112年全品項生產鍋數'!A:H,2,0)</f>
        <v>草莓蒟蒻餡(1*6kg)</v>
      </c>
      <c r="D2688" s="406">
        <v>24</v>
      </c>
      <c r="E2688" s="141">
        <f>VLOOKUP(B2688,'112年全品項生產鍋數'!A:H,3,0)</f>
        <v>6</v>
      </c>
      <c r="F2688" s="142">
        <f>VLOOKUP(B2688,'112年全品項生產鍋數'!A:H,7,0)</f>
        <v>25.7</v>
      </c>
      <c r="G2688" s="143">
        <f t="shared" si="412"/>
        <v>616.79999999999995</v>
      </c>
      <c r="H2688" s="156">
        <f>339+347</f>
        <v>686</v>
      </c>
      <c r="I2688" s="374">
        <f t="shared" si="413"/>
        <v>4116</v>
      </c>
      <c r="J2688" s="100">
        <f t="shared" si="414"/>
        <v>1.1121919584954605</v>
      </c>
      <c r="K2688" s="51">
        <f>VLOOKUP(B:B,'生產達成率(目標)'!A:C,3,0)</f>
        <v>1</v>
      </c>
      <c r="L2688" s="20">
        <f t="shared" si="415"/>
        <v>0.112</v>
      </c>
      <c r="M2688" s="137" t="str">
        <f>工時!R1872</f>
        <v>340</v>
      </c>
      <c r="N2688" s="374"/>
      <c r="O2688" s="374">
        <f t="shared" si="416"/>
        <v>1</v>
      </c>
      <c r="P2688" s="156">
        <f>338+347</f>
        <v>685</v>
      </c>
      <c r="Q2688" s="145">
        <f t="shared" si="417"/>
        <v>0.99854227405247808</v>
      </c>
      <c r="R2688" s="374"/>
      <c r="S2688" s="378"/>
      <c r="T2688" s="375" t="s">
        <v>1268</v>
      </c>
      <c r="U2688" s="398"/>
      <c r="V2688" s="464"/>
      <c r="W2688" s="421"/>
      <c r="X2688" s="464"/>
      <c r="Y2688" s="421"/>
      <c r="Z2688" s="421"/>
      <c r="AA2688" s="421"/>
      <c r="AB2688" s="421"/>
      <c r="AC2688" s="421"/>
      <c r="AD2688" s="421"/>
    </row>
    <row r="2689" spans="1:30" s="381" customFormat="1" x14ac:dyDescent="0.4">
      <c r="A2689" s="402">
        <v>46087</v>
      </c>
      <c r="B2689" s="392" t="s">
        <v>65</v>
      </c>
      <c r="C2689" s="375" t="str">
        <f>VLOOKUP(B2689,'112年全品項生產鍋數'!A:H,2,0)</f>
        <v>＃1花生(1*2.8kg)</v>
      </c>
      <c r="D2689" s="406">
        <v>72</v>
      </c>
      <c r="E2689" s="141">
        <f>VLOOKUP(B2689,'112年全品項生產鍋數'!A:H,3,0)</f>
        <v>2.8</v>
      </c>
      <c r="F2689" s="142">
        <f>VLOOKUP(B2689,'112年全品項生產鍋數'!A:H,7,0)</f>
        <v>44.5</v>
      </c>
      <c r="G2689" s="143">
        <f t="shared" si="412"/>
        <v>3204</v>
      </c>
      <c r="H2689" s="156">
        <v>3214</v>
      </c>
      <c r="I2689" s="374">
        <f t="shared" si="413"/>
        <v>8999.1999999999989</v>
      </c>
      <c r="J2689" s="100">
        <f t="shared" si="414"/>
        <v>1.0031210986267165</v>
      </c>
      <c r="K2689" s="51">
        <f>VLOOKUP(B:B,'生產達成率(目標)'!A:C,3,0)</f>
        <v>1</v>
      </c>
      <c r="L2689" s="20">
        <f t="shared" si="415"/>
        <v>3.0000000000000001E-3</v>
      </c>
      <c r="M2689" s="137" t="str">
        <f>工時!R1873</f>
        <v>570</v>
      </c>
      <c r="N2689" s="374"/>
      <c r="O2689" s="374">
        <f t="shared" si="416"/>
        <v>1</v>
      </c>
      <c r="P2689" s="156">
        <v>3213</v>
      </c>
      <c r="Q2689" s="145">
        <f t="shared" si="417"/>
        <v>0.99968886123210954</v>
      </c>
      <c r="R2689" s="374"/>
      <c r="S2689" s="378"/>
      <c r="T2689" s="375"/>
      <c r="U2689" s="398"/>
      <c r="V2689" s="464"/>
      <c r="W2689" s="421"/>
      <c r="X2689" s="464"/>
      <c r="Y2689" s="421"/>
      <c r="Z2689" s="421"/>
      <c r="AA2689" s="421"/>
      <c r="AB2689" s="421"/>
      <c r="AC2689" s="421"/>
      <c r="AD2689" s="421"/>
    </row>
    <row r="2690" spans="1:30" s="361" customFormat="1" x14ac:dyDescent="0.4">
      <c r="A2690" s="212">
        <v>46090</v>
      </c>
      <c r="B2690" s="139" t="s">
        <v>80</v>
      </c>
      <c r="C2690" s="30" t="str">
        <f>VLOOKUP(B2690,'112年全品項生產鍋數'!A:H,2,0)</f>
        <v>＃1桔子(1*3.2kg)</v>
      </c>
      <c r="D2690" s="296">
        <v>72</v>
      </c>
      <c r="E2690" s="48">
        <f>VLOOKUP(B2690,'112年全品項生產鍋數'!A:H,3,0)</f>
        <v>3.2</v>
      </c>
      <c r="F2690" s="142">
        <f>VLOOKUP(B2690,'112年全品項生產鍋數'!A:H,7,0)</f>
        <v>46.4</v>
      </c>
      <c r="G2690" s="143">
        <f t="shared" si="412"/>
        <v>3340.7999999999997</v>
      </c>
      <c r="H2690" s="156">
        <v>3369</v>
      </c>
      <c r="I2690" s="23">
        <f t="shared" si="413"/>
        <v>10780.800000000001</v>
      </c>
      <c r="J2690" s="100">
        <f t="shared" si="414"/>
        <v>1.008441091954023</v>
      </c>
      <c r="K2690" s="51">
        <f>VLOOKUP(B:B,'生產達成率(目標)'!A:C,3,0)</f>
        <v>1</v>
      </c>
      <c r="L2690" s="20">
        <f t="shared" si="415"/>
        <v>8.0000000000000002E-3</v>
      </c>
      <c r="M2690" s="137" t="str">
        <f>工時!R1874</f>
        <v>540</v>
      </c>
      <c r="N2690" s="144"/>
      <c r="O2690" s="144">
        <f t="shared" si="416"/>
        <v>1</v>
      </c>
      <c r="P2690" s="156">
        <v>3368</v>
      </c>
      <c r="Q2690" s="98">
        <f t="shared" si="417"/>
        <v>0.99970317601662217</v>
      </c>
      <c r="R2690" s="23"/>
      <c r="S2690" s="173"/>
      <c r="T2690" s="30" t="s">
        <v>1153</v>
      </c>
      <c r="U2690" s="264"/>
      <c r="V2690" s="463"/>
      <c r="W2690" s="421"/>
      <c r="X2690" s="463"/>
      <c r="Y2690" s="421"/>
      <c r="Z2690" s="421"/>
      <c r="AA2690" s="421"/>
      <c r="AB2690" s="421"/>
      <c r="AC2690" s="421"/>
      <c r="AD2690" s="421"/>
    </row>
    <row r="2691" spans="1:30" s="381" customFormat="1" x14ac:dyDescent="0.4">
      <c r="A2691" s="402">
        <v>46090</v>
      </c>
      <c r="B2691" s="392" t="s">
        <v>63</v>
      </c>
      <c r="C2691" s="375" t="str">
        <f>VLOOKUP(B2691,'112年全品項生產鍋數'!A:H,2,0)</f>
        <v>草莓蒟蒻餡(1*6kg)</v>
      </c>
      <c r="D2691" s="406">
        <v>24</v>
      </c>
      <c r="E2691" s="141">
        <f>VLOOKUP(B2691,'112年全品項生產鍋數'!A:H,3,0)</f>
        <v>6</v>
      </c>
      <c r="F2691" s="142">
        <f>VLOOKUP(B2691,'112年全品項生產鍋數'!A:H,7,0)</f>
        <v>25.7</v>
      </c>
      <c r="G2691" s="143">
        <f t="shared" si="412"/>
        <v>616.79999999999995</v>
      </c>
      <c r="H2691" s="156">
        <f>333+351</f>
        <v>684</v>
      </c>
      <c r="I2691" s="374">
        <f t="shared" si="413"/>
        <v>4104</v>
      </c>
      <c r="J2691" s="100">
        <f t="shared" si="414"/>
        <v>1.1089494163424125</v>
      </c>
      <c r="K2691" s="51">
        <f>VLOOKUP(B:B,'生產達成率(目標)'!A:C,3,0)</f>
        <v>1</v>
      </c>
      <c r="L2691" s="20">
        <f t="shared" si="415"/>
        <v>0.109</v>
      </c>
      <c r="M2691" s="137" t="str">
        <f>工時!R1875</f>
        <v>358</v>
      </c>
      <c r="N2691" s="374"/>
      <c r="O2691" s="374">
        <f t="shared" si="416"/>
        <v>2</v>
      </c>
      <c r="P2691" s="156">
        <f>331+351</f>
        <v>682</v>
      </c>
      <c r="Q2691" s="145">
        <f t="shared" si="417"/>
        <v>0.99707602339181289</v>
      </c>
      <c r="R2691" s="374"/>
      <c r="S2691" s="378"/>
      <c r="T2691" s="375" t="s">
        <v>1268</v>
      </c>
      <c r="U2691" s="398"/>
      <c r="V2691" s="464"/>
      <c r="W2691" s="421"/>
      <c r="X2691" s="464"/>
      <c r="Y2691" s="421"/>
      <c r="Z2691" s="421"/>
      <c r="AA2691" s="421"/>
      <c r="AB2691" s="421"/>
      <c r="AC2691" s="421"/>
      <c r="AD2691" s="421"/>
    </row>
    <row r="2692" spans="1:30" s="381" customFormat="1" x14ac:dyDescent="0.4">
      <c r="A2692" s="402">
        <v>46090</v>
      </c>
      <c r="B2692" s="392" t="s">
        <v>64</v>
      </c>
      <c r="C2692" s="375" t="str">
        <f>VLOOKUP(B2692,'112年全品項生產鍋數'!A:H,2,0)</f>
        <v>藍莓餡(1*6KG)</v>
      </c>
      <c r="D2692" s="406">
        <v>16</v>
      </c>
      <c r="E2692" s="141">
        <f>VLOOKUP(B2692,'112年全品項生產鍋數'!A:H,3,0)</f>
        <v>6</v>
      </c>
      <c r="F2692" s="142">
        <f>VLOOKUP(B2692,'112年全品項生產鍋數'!A:H,7,0)</f>
        <v>25.4</v>
      </c>
      <c r="G2692" s="143">
        <f t="shared" si="412"/>
        <v>406.4</v>
      </c>
      <c r="H2692" s="156">
        <f>194+207</f>
        <v>401</v>
      </c>
      <c r="I2692" s="374">
        <f t="shared" si="413"/>
        <v>2406</v>
      </c>
      <c r="J2692" s="100">
        <f t="shared" si="414"/>
        <v>0.98671259842519687</v>
      </c>
      <c r="K2692" s="51">
        <f>VLOOKUP(B:B,'生產達成率(目標)'!A:C,3,0)</f>
        <v>1</v>
      </c>
      <c r="L2692" s="20">
        <f t="shared" si="415"/>
        <v>-1.2999999999999999E-2</v>
      </c>
      <c r="M2692" s="137" t="str">
        <f>工時!R1876</f>
        <v>250</v>
      </c>
      <c r="N2692" s="374"/>
      <c r="O2692" s="374">
        <f t="shared" si="416"/>
        <v>3</v>
      </c>
      <c r="P2692" s="156">
        <f>191+207</f>
        <v>398</v>
      </c>
      <c r="Q2692" s="145">
        <f t="shared" si="417"/>
        <v>0.99251870324189528</v>
      </c>
      <c r="R2692" s="374"/>
      <c r="S2692" s="378"/>
      <c r="T2692" s="375" t="s">
        <v>1263</v>
      </c>
      <c r="U2692" s="398"/>
      <c r="V2692" s="464"/>
      <c r="W2692" s="421"/>
      <c r="X2692" s="464"/>
      <c r="Y2692" s="421"/>
      <c r="Z2692" s="421"/>
      <c r="AA2692" s="421"/>
      <c r="AB2692" s="421"/>
      <c r="AC2692" s="421"/>
      <c r="AD2692" s="421"/>
    </row>
    <row r="2693" spans="1:30" s="361" customFormat="1" x14ac:dyDescent="0.4">
      <c r="A2693" s="212">
        <v>46090</v>
      </c>
      <c r="B2693" s="139" t="s">
        <v>96</v>
      </c>
      <c r="C2693" s="30" t="str">
        <f>VLOOKUP(B2693,'112年全品項生產鍋數'!A:H,2,0)</f>
        <v>PET瓶花生(1*340g)</v>
      </c>
      <c r="D2693" s="296">
        <v>16</v>
      </c>
      <c r="E2693" s="48">
        <f>VLOOKUP(B2693,'112年全品項生產鍋數'!A:H,3,0)</f>
        <v>0.34</v>
      </c>
      <c r="F2693" s="142">
        <f>VLOOKUP(B2693,'112年全品項生產鍋數'!A:H,7,0)</f>
        <v>358.3</v>
      </c>
      <c r="G2693" s="143">
        <f t="shared" si="412"/>
        <v>5732.8</v>
      </c>
      <c r="H2693" s="156">
        <v>5633</v>
      </c>
      <c r="I2693" s="23">
        <f t="shared" si="413"/>
        <v>1915.22</v>
      </c>
      <c r="J2693" s="100">
        <f t="shared" si="414"/>
        <v>0.98259140385152099</v>
      </c>
      <c r="K2693" s="51">
        <f>VLOOKUP(B:B,'生產達成率(目標)'!A:C,3,0)</f>
        <v>1</v>
      </c>
      <c r="L2693" s="20">
        <f t="shared" si="415"/>
        <v>-1.7000000000000001E-2</v>
      </c>
      <c r="M2693" s="137" t="str">
        <f>工時!R1877</f>
        <v>300</v>
      </c>
      <c r="N2693" s="144"/>
      <c r="O2693" s="144">
        <f t="shared" si="416"/>
        <v>4</v>
      </c>
      <c r="P2693" s="156">
        <v>5629</v>
      </c>
      <c r="Q2693" s="98">
        <f t="shared" si="417"/>
        <v>0.9992898988105805</v>
      </c>
      <c r="R2693" s="23"/>
      <c r="S2693" s="173"/>
      <c r="T2693" s="30" t="s">
        <v>1265</v>
      </c>
      <c r="U2693" s="264"/>
      <c r="V2693" s="463"/>
      <c r="W2693" s="421"/>
      <c r="X2693" s="463"/>
      <c r="Y2693" s="421"/>
      <c r="Z2693" s="421"/>
      <c r="AA2693" s="421"/>
      <c r="AB2693" s="421"/>
      <c r="AC2693" s="421"/>
      <c r="AD2693" s="421"/>
    </row>
    <row r="2694" spans="1:30" s="361" customFormat="1" x14ac:dyDescent="0.4">
      <c r="A2694" s="212">
        <v>46090</v>
      </c>
      <c r="B2694" s="139" t="s">
        <v>123</v>
      </c>
      <c r="C2694" s="30" t="str">
        <f>VLOOKUP(B2694,'112年全品項生產鍋數'!A:H,2,0)</f>
        <v>深烤焙花生醬(1*18KG)</v>
      </c>
      <c r="D2694" s="296">
        <v>36</v>
      </c>
      <c r="E2694" s="48">
        <f>VLOOKUP(B2694,'112年全品項生產鍋數'!A:H,3,0)</f>
        <v>18</v>
      </c>
      <c r="F2694" s="142">
        <f>VLOOKUP(B2694,'112年全品項生產鍋數'!A:H,7,0)</f>
        <v>6.9</v>
      </c>
      <c r="G2694" s="143">
        <f t="shared" si="412"/>
        <v>248.4</v>
      </c>
      <c r="H2694" s="156">
        <v>259</v>
      </c>
      <c r="I2694" s="23">
        <f t="shared" si="413"/>
        <v>4662</v>
      </c>
      <c r="J2694" s="100">
        <f t="shared" si="414"/>
        <v>1.0426731078904992</v>
      </c>
      <c r="K2694" s="51">
        <f>VLOOKUP(B:B,'生產達成率(目標)'!A:C,3,0)</f>
        <v>1</v>
      </c>
      <c r="L2694" s="20">
        <f t="shared" si="415"/>
        <v>4.2999999999999997E-2</v>
      </c>
      <c r="M2694" s="137" t="str">
        <f>工時!R1878</f>
        <v>390</v>
      </c>
      <c r="N2694" s="144"/>
      <c r="O2694" s="144">
        <f t="shared" si="416"/>
        <v>0</v>
      </c>
      <c r="P2694" s="156">
        <v>259</v>
      </c>
      <c r="Q2694" s="98">
        <f t="shared" si="417"/>
        <v>1</v>
      </c>
      <c r="R2694" s="23"/>
      <c r="S2694" s="173"/>
      <c r="T2694" s="30" t="s">
        <v>1153</v>
      </c>
      <c r="U2694" s="264"/>
      <c r="V2694" s="463"/>
      <c r="W2694" s="421"/>
      <c r="X2694" s="463"/>
      <c r="Y2694" s="421"/>
      <c r="Z2694" s="421"/>
      <c r="AA2694" s="421"/>
      <c r="AB2694" s="421"/>
      <c r="AC2694" s="421"/>
      <c r="AD2694" s="421"/>
    </row>
    <row r="2695" spans="1:30" s="361" customFormat="1" x14ac:dyDescent="0.4">
      <c r="A2695" s="212">
        <v>46091</v>
      </c>
      <c r="B2695" s="139" t="s">
        <v>158</v>
      </c>
      <c r="C2695" s="30" t="str">
        <f>VLOOKUP(B2695,'112年全品項生產鍋數'!A:H,2,0)</f>
        <v>小圓草莓(1*170g)</v>
      </c>
      <c r="D2695" s="296">
        <v>6</v>
      </c>
      <c r="E2695" s="48">
        <f>VLOOKUP(B2695,'112年全品項生產鍋數'!A:H,3,0)</f>
        <v>0.17</v>
      </c>
      <c r="F2695" s="142">
        <f>VLOOKUP(B2695,'112年全品項生產鍋數'!A:H,7,0)</f>
        <v>912.6</v>
      </c>
      <c r="G2695" s="143">
        <f t="shared" si="412"/>
        <v>5475.6</v>
      </c>
      <c r="H2695" s="156">
        <v>5402</v>
      </c>
      <c r="I2695" s="23">
        <f t="shared" si="413"/>
        <v>918.34</v>
      </c>
      <c r="J2695" s="100">
        <f t="shared" si="414"/>
        <v>0.98655855066111475</v>
      </c>
      <c r="K2695" s="51">
        <f>VLOOKUP(B:B,'生產達成率(目標)'!A:C,3,0)</f>
        <v>1</v>
      </c>
      <c r="L2695" s="20">
        <f t="shared" si="415"/>
        <v>-1.2999999999999999E-2</v>
      </c>
      <c r="M2695" s="137" t="str">
        <f>工時!R1879</f>
        <v>230</v>
      </c>
      <c r="N2695" s="144"/>
      <c r="O2695" s="144">
        <f t="shared" si="416"/>
        <v>12</v>
      </c>
      <c r="P2695" s="156">
        <v>5390</v>
      </c>
      <c r="Q2695" s="98">
        <f t="shared" si="417"/>
        <v>0.99777860051832656</v>
      </c>
      <c r="R2695" s="23"/>
      <c r="S2695" s="173"/>
      <c r="T2695" s="30" t="s">
        <v>1197</v>
      </c>
      <c r="U2695" s="264"/>
      <c r="V2695" s="463"/>
      <c r="W2695" s="421"/>
      <c r="X2695" s="463"/>
      <c r="Y2695" s="421"/>
      <c r="Z2695" s="421"/>
      <c r="AA2695" s="421"/>
      <c r="AB2695" s="421"/>
      <c r="AC2695" s="421"/>
      <c r="AD2695" s="421"/>
    </row>
    <row r="2696" spans="1:30" s="381" customFormat="1" x14ac:dyDescent="0.4">
      <c r="A2696" s="402">
        <v>46091</v>
      </c>
      <c r="B2696" s="392" t="s">
        <v>106</v>
      </c>
      <c r="C2696" s="375" t="str">
        <f>VLOOKUP(B2696,'112年全品項生產鍋數'!A:H,2,0)</f>
        <v>小藍莓1*260G</v>
      </c>
      <c r="D2696" s="406">
        <v>20</v>
      </c>
      <c r="E2696" s="141">
        <f>VLOOKUP(B2696,'112年全品項生產鍋數'!A:H,3,0)</f>
        <v>0.26</v>
      </c>
      <c r="F2696" s="142">
        <f>VLOOKUP(B2696,'112年全品項生產鍋數'!A:H,7,0)</f>
        <v>584.29999999999995</v>
      </c>
      <c r="G2696" s="143">
        <f t="shared" si="412"/>
        <v>11686</v>
      </c>
      <c r="H2696" s="156">
        <v>11465</v>
      </c>
      <c r="I2696" s="374">
        <f t="shared" si="413"/>
        <v>2980.9</v>
      </c>
      <c r="J2696" s="100">
        <f t="shared" si="414"/>
        <v>0.98108848194420673</v>
      </c>
      <c r="K2696" s="51">
        <f>VLOOKUP(B:B,'生產達成率(目標)'!A:C,3,0)</f>
        <v>1</v>
      </c>
      <c r="L2696" s="20">
        <f t="shared" si="415"/>
        <v>-1.9E-2</v>
      </c>
      <c r="M2696" s="137" t="str">
        <f>工時!R1880</f>
        <v>432</v>
      </c>
      <c r="N2696" s="374"/>
      <c r="O2696" s="374">
        <f t="shared" si="416"/>
        <v>16</v>
      </c>
      <c r="P2696" s="156">
        <v>11449</v>
      </c>
      <c r="Q2696" s="145">
        <f t="shared" si="417"/>
        <v>0.99860444832097683</v>
      </c>
      <c r="R2696" s="374"/>
      <c r="S2696" s="378"/>
      <c r="T2696" s="375" t="s">
        <v>1188</v>
      </c>
      <c r="U2696" s="398"/>
      <c r="V2696" s="464"/>
      <c r="W2696" s="421"/>
      <c r="X2696" s="464"/>
      <c r="Y2696" s="421"/>
      <c r="Z2696" s="421"/>
      <c r="AA2696" s="421"/>
      <c r="AB2696" s="421"/>
      <c r="AC2696" s="421"/>
      <c r="AD2696" s="421"/>
    </row>
    <row r="2697" spans="1:30" s="381" customFormat="1" x14ac:dyDescent="0.4">
      <c r="A2697" s="402">
        <v>46091</v>
      </c>
      <c r="B2697" s="392" t="s">
        <v>73</v>
      </c>
      <c r="C2697" s="375" t="str">
        <f>VLOOKUP(B2697,'112年全品項生產鍋數'!A:H,2,0)</f>
        <v>顆粒花生醬(1*12KG)</v>
      </c>
      <c r="D2697" s="406">
        <v>21</v>
      </c>
      <c r="E2697" s="141">
        <f>VLOOKUP(B2697,'112年全品項生產鍋數'!A:H,3,0)</f>
        <v>3</v>
      </c>
      <c r="F2697" s="142">
        <f>VLOOKUP(B2697,'112年全品項生產鍋數'!A:H,7,0)</f>
        <v>29.7</v>
      </c>
      <c r="G2697" s="143">
        <f t="shared" si="412"/>
        <v>623.69999999999993</v>
      </c>
      <c r="H2697" s="156">
        <v>628</v>
      </c>
      <c r="I2697" s="374">
        <f t="shared" si="413"/>
        <v>1884</v>
      </c>
      <c r="J2697" s="100">
        <f t="shared" si="414"/>
        <v>1.0068943402276738</v>
      </c>
      <c r="K2697" s="51">
        <f>VLOOKUP(B:B,'生產達成率(目標)'!A:C,3,0)</f>
        <v>1</v>
      </c>
      <c r="L2697" s="20">
        <f t="shared" si="415"/>
        <v>7.0000000000000001E-3</v>
      </c>
      <c r="M2697" s="137" t="str">
        <f>工時!R1881</f>
        <v>540</v>
      </c>
      <c r="N2697" s="374"/>
      <c r="O2697" s="374">
        <f t="shared" si="416"/>
        <v>0</v>
      </c>
      <c r="P2697" s="156">
        <v>628</v>
      </c>
      <c r="Q2697" s="145">
        <f t="shared" si="417"/>
        <v>1</v>
      </c>
      <c r="R2697" s="374"/>
      <c r="S2697" s="378"/>
      <c r="T2697" s="375" t="s">
        <v>1153</v>
      </c>
      <c r="U2697" s="398"/>
      <c r="V2697" s="464"/>
      <c r="W2697" s="421"/>
      <c r="X2697" s="464"/>
      <c r="Y2697" s="421"/>
      <c r="Z2697" s="421"/>
      <c r="AA2697" s="421"/>
      <c r="AB2697" s="421"/>
      <c r="AC2697" s="421"/>
      <c r="AD2697" s="421"/>
    </row>
    <row r="2698" spans="1:30" s="361" customFormat="1" x14ac:dyDescent="0.4">
      <c r="A2698" s="212">
        <v>46091</v>
      </c>
      <c r="B2698" s="139" t="s">
        <v>104</v>
      </c>
      <c r="C2698" s="30" t="str">
        <f>VLOOKUP(B2698,'112年全品項生產鍋數'!A:H,2,0)</f>
        <v>＃1花生(粒)(1*2.8kg)</v>
      </c>
      <c r="D2698" s="296">
        <v>72</v>
      </c>
      <c r="E2698" s="48">
        <f>VLOOKUP(B2698,'112年全品項生產鍋數'!A:H,3,0)</f>
        <v>2.8</v>
      </c>
      <c r="F2698" s="142">
        <f>VLOOKUP(B2698,'112年全品項生產鍋數'!A:H,7,0)</f>
        <v>44.2</v>
      </c>
      <c r="G2698" s="143">
        <f>D2698*F2698-100*18/E2698</f>
        <v>2539.5428571428574</v>
      </c>
      <c r="H2698" s="156">
        <v>2506</v>
      </c>
      <c r="I2698" s="23">
        <f t="shared" si="413"/>
        <v>7016.7999999999993</v>
      </c>
      <c r="J2698" s="100">
        <f t="shared" si="414"/>
        <v>0.98679177354754499</v>
      </c>
      <c r="K2698" s="51">
        <f>VLOOKUP(B:B,'生產達成率(目標)'!A:C,3,0)</f>
        <v>1</v>
      </c>
      <c r="L2698" s="20">
        <f t="shared" si="415"/>
        <v>-1.2999999999999999E-2</v>
      </c>
      <c r="M2698" s="137" t="str">
        <f>工時!R1882</f>
        <v>665</v>
      </c>
      <c r="N2698" s="144"/>
      <c r="O2698" s="144">
        <f t="shared" si="416"/>
        <v>1</v>
      </c>
      <c r="P2698" s="156">
        <v>2505</v>
      </c>
      <c r="Q2698" s="98">
        <f t="shared" si="417"/>
        <v>0.99960095770151636</v>
      </c>
      <c r="R2698" s="23"/>
      <c r="S2698" s="173"/>
      <c r="T2698" s="30" t="s">
        <v>1274</v>
      </c>
      <c r="U2698" s="264"/>
      <c r="V2698" s="463"/>
      <c r="W2698" s="421"/>
      <c r="X2698" s="463"/>
      <c r="Y2698" s="421"/>
      <c r="Z2698" s="421"/>
      <c r="AA2698" s="421"/>
      <c r="AB2698" s="421"/>
      <c r="AC2698" s="421"/>
      <c r="AD2698" s="421"/>
    </row>
    <row r="2699" spans="1:30" s="361" customFormat="1" x14ac:dyDescent="0.4">
      <c r="A2699" s="212">
        <v>46091</v>
      </c>
      <c r="B2699" s="139">
        <v>111010</v>
      </c>
      <c r="C2699" s="30" t="str">
        <f>VLOOKUP(B2699,'112年全品項生產鍋數'!A:H,2,0)</f>
        <v>糖漬桔皮絲</v>
      </c>
      <c r="D2699" s="296">
        <v>1</v>
      </c>
      <c r="E2699" s="48">
        <f>VLOOKUP(B2699,'112年全品項生產鍋數'!A:H,3,0)</f>
        <v>1</v>
      </c>
      <c r="F2699" s="142">
        <f>VLOOKUP(B2699,'112年全品項生產鍋數'!A:H,7,0)</f>
        <v>942</v>
      </c>
      <c r="G2699" s="143">
        <f t="shared" si="412"/>
        <v>942</v>
      </c>
      <c r="H2699" s="156">
        <v>783</v>
      </c>
      <c r="I2699" s="23">
        <f t="shared" si="413"/>
        <v>783</v>
      </c>
      <c r="J2699" s="100">
        <f t="shared" si="414"/>
        <v>0.83121019108280259</v>
      </c>
      <c r="K2699" s="51">
        <f>VLOOKUP(B:B,'生產達成率(目標)'!A:C,3,0)</f>
        <v>1</v>
      </c>
      <c r="L2699" s="20">
        <f t="shared" si="415"/>
        <v>-0.16900000000000001</v>
      </c>
      <c r="M2699" s="137" t="str">
        <f>工時!R1883</f>
        <v>0</v>
      </c>
      <c r="N2699" s="144"/>
      <c r="O2699" s="144">
        <f t="shared" si="416"/>
        <v>0</v>
      </c>
      <c r="P2699" s="156">
        <v>783</v>
      </c>
      <c r="Q2699" s="98">
        <f t="shared" si="417"/>
        <v>1</v>
      </c>
      <c r="R2699" s="23"/>
      <c r="S2699" s="173"/>
      <c r="T2699" s="30" t="s">
        <v>1153</v>
      </c>
      <c r="U2699" s="264"/>
      <c r="V2699" s="463"/>
      <c r="W2699" s="421"/>
      <c r="X2699" s="463"/>
      <c r="Y2699" s="421"/>
      <c r="Z2699" s="421"/>
      <c r="AA2699" s="421"/>
      <c r="AB2699" s="421"/>
      <c r="AC2699" s="421"/>
      <c r="AD2699" s="421"/>
    </row>
    <row r="2700" spans="1:30" s="361" customFormat="1" x14ac:dyDescent="0.4">
      <c r="A2700" s="212">
        <v>46092</v>
      </c>
      <c r="B2700" s="139" t="s">
        <v>51</v>
      </c>
      <c r="C2700" s="30" t="str">
        <f>VLOOKUP(B2700,'112年全品項生產鍋數'!A:H,2,0)</f>
        <v>藍莓醬(1*6kg)</v>
      </c>
      <c r="D2700" s="296">
        <v>18</v>
      </c>
      <c r="E2700" s="48">
        <f>VLOOKUP(B2700,'112年全品項生產鍋數'!A:H,3,0)</f>
        <v>6</v>
      </c>
      <c r="F2700" s="142">
        <f>VLOOKUP(B2700,'112年全品項生產鍋數'!A:H,7,0)</f>
        <v>25.5</v>
      </c>
      <c r="G2700" s="143">
        <f t="shared" si="412"/>
        <v>459</v>
      </c>
      <c r="H2700" s="156">
        <v>445</v>
      </c>
      <c r="I2700" s="23">
        <f t="shared" si="413"/>
        <v>2670</v>
      </c>
      <c r="J2700" s="100">
        <f t="shared" si="414"/>
        <v>0.9694989106753813</v>
      </c>
      <c r="K2700" s="51">
        <f>VLOOKUP(B:B,'生產達成率(目標)'!A:C,3,0)</f>
        <v>1</v>
      </c>
      <c r="L2700" s="20">
        <f t="shared" si="415"/>
        <v>-3.1E-2</v>
      </c>
      <c r="M2700" s="137" t="str">
        <f>工時!R1884</f>
        <v>270</v>
      </c>
      <c r="N2700" s="144"/>
      <c r="O2700" s="144">
        <f t="shared" si="416"/>
        <v>2</v>
      </c>
      <c r="P2700" s="156">
        <v>443</v>
      </c>
      <c r="Q2700" s="98">
        <f t="shared" si="417"/>
        <v>0.99550561797752812</v>
      </c>
      <c r="R2700" s="23"/>
      <c r="S2700" s="173"/>
      <c r="T2700" s="30" t="s">
        <v>1153</v>
      </c>
      <c r="U2700" s="264"/>
      <c r="V2700" s="463"/>
      <c r="W2700" s="421"/>
      <c r="X2700" s="463"/>
      <c r="Y2700" s="421"/>
      <c r="Z2700" s="421"/>
      <c r="AA2700" s="421"/>
      <c r="AB2700" s="421"/>
      <c r="AC2700" s="421"/>
      <c r="AD2700" s="421"/>
    </row>
    <row r="2701" spans="1:30" s="361" customFormat="1" x14ac:dyDescent="0.4">
      <c r="A2701" s="212">
        <v>46092</v>
      </c>
      <c r="B2701" s="139" t="s">
        <v>451</v>
      </c>
      <c r="C2701" s="30" t="str">
        <f>VLOOKUP(B2701,'112年全品項生產鍋數'!A:H,2,0)</f>
        <v>水蜜桃醬(1*6kg)</v>
      </c>
      <c r="D2701" s="296">
        <v>6</v>
      </c>
      <c r="E2701" s="48">
        <f>VLOOKUP(B2701,'112年全品項生產鍋數'!A:H,3,0)</f>
        <v>6</v>
      </c>
      <c r="F2701" s="142">
        <f>VLOOKUP(B2701,'112年全品項生產鍋數'!A:H,7,0)</f>
        <v>24.5</v>
      </c>
      <c r="G2701" s="143">
        <f t="shared" si="412"/>
        <v>147</v>
      </c>
      <c r="H2701" s="156">
        <v>143</v>
      </c>
      <c r="I2701" s="23">
        <f t="shared" si="413"/>
        <v>858</v>
      </c>
      <c r="J2701" s="100">
        <f t="shared" si="414"/>
        <v>0.97278911564625847</v>
      </c>
      <c r="K2701" s="51">
        <f>VLOOKUP(B:B,'生產達成率(目標)'!A:C,3,0)</f>
        <v>1</v>
      </c>
      <c r="L2701" s="20">
        <f t="shared" si="415"/>
        <v>-2.7E-2</v>
      </c>
      <c r="M2701" s="137" t="str">
        <f>工時!R1885</f>
        <v>160</v>
      </c>
      <c r="N2701" s="144"/>
      <c r="O2701" s="144">
        <f t="shared" si="416"/>
        <v>1</v>
      </c>
      <c r="P2701" s="156">
        <v>142</v>
      </c>
      <c r="Q2701" s="98">
        <f t="shared" si="417"/>
        <v>0.99300699300699302</v>
      </c>
      <c r="R2701" s="23"/>
      <c r="S2701" s="173"/>
      <c r="T2701" s="30" t="s">
        <v>1153</v>
      </c>
      <c r="U2701" s="264"/>
      <c r="V2701" s="463"/>
      <c r="W2701" s="421"/>
      <c r="X2701" s="463"/>
      <c r="Y2701" s="421"/>
      <c r="Z2701" s="421"/>
      <c r="AA2701" s="421"/>
      <c r="AB2701" s="421"/>
      <c r="AC2701" s="421"/>
      <c r="AD2701" s="421"/>
    </row>
    <row r="2702" spans="1:30" s="361" customFormat="1" x14ac:dyDescent="0.4">
      <c r="A2702" s="212">
        <v>46092</v>
      </c>
      <c r="B2702" s="139" t="s">
        <v>54</v>
      </c>
      <c r="C2702" s="30" t="str">
        <f>VLOOKUP(B2702,'112年全品項生產鍋數'!A:H,2,0)</f>
        <v>草莓醬(1*6kg)</v>
      </c>
      <c r="D2702" s="296">
        <v>12</v>
      </c>
      <c r="E2702" s="48">
        <f>VLOOKUP(B2702,'112年全品項生產鍋數'!A:H,3,0)</f>
        <v>6</v>
      </c>
      <c r="F2702" s="142">
        <f>VLOOKUP(B2702,'112年全品項生產鍋數'!A:H,7,0)</f>
        <v>26.6</v>
      </c>
      <c r="G2702" s="143">
        <f t="shared" si="412"/>
        <v>319.20000000000005</v>
      </c>
      <c r="H2702" s="156">
        <v>313</v>
      </c>
      <c r="I2702" s="23">
        <f t="shared" si="413"/>
        <v>1878</v>
      </c>
      <c r="J2702" s="100">
        <f t="shared" si="414"/>
        <v>0.98057644110275677</v>
      </c>
      <c r="K2702" s="51">
        <f>VLOOKUP(B:B,'生產達成率(目標)'!A:C,3,0)</f>
        <v>1</v>
      </c>
      <c r="L2702" s="20">
        <f t="shared" si="415"/>
        <v>-1.9E-2</v>
      </c>
      <c r="M2702" s="137" t="str">
        <f>工時!R1886</f>
        <v>205</v>
      </c>
      <c r="N2702" s="144"/>
      <c r="O2702" s="144">
        <f t="shared" si="416"/>
        <v>1</v>
      </c>
      <c r="P2702" s="156">
        <v>312</v>
      </c>
      <c r="Q2702" s="98">
        <f t="shared" si="417"/>
        <v>0.99680511182108622</v>
      </c>
      <c r="R2702" s="23"/>
      <c r="S2702" s="173"/>
      <c r="T2702" s="30" t="s">
        <v>1153</v>
      </c>
      <c r="U2702" s="264"/>
      <c r="V2702" s="463"/>
      <c r="W2702" s="421"/>
      <c r="X2702" s="463"/>
      <c r="Y2702" s="421"/>
      <c r="Z2702" s="421"/>
      <c r="AA2702" s="421"/>
      <c r="AB2702" s="421"/>
      <c r="AC2702" s="421"/>
      <c r="AD2702" s="421"/>
    </row>
    <row r="2703" spans="1:30" s="361" customFormat="1" x14ac:dyDescent="0.4">
      <c r="A2703" s="212">
        <v>46092</v>
      </c>
      <c r="B2703" s="139" t="s">
        <v>56</v>
      </c>
      <c r="C2703" s="30" t="str">
        <f>VLOOKUP(B2703,'112年全品項生產鍋數'!A:H,2,0)</f>
        <v>天天熱帶水果餡 4.5KG</v>
      </c>
      <c r="D2703" s="296">
        <v>8</v>
      </c>
      <c r="E2703" s="48">
        <f>VLOOKUP(B2703,'112年全品項生產鍋數'!A:H,3,0)</f>
        <v>4.5</v>
      </c>
      <c r="F2703" s="142">
        <f>VLOOKUP(B2703,'112年全品項生產鍋數'!A:H,7,0)</f>
        <v>34.5</v>
      </c>
      <c r="G2703" s="143">
        <f t="shared" si="412"/>
        <v>276</v>
      </c>
      <c r="H2703" s="156">
        <v>279</v>
      </c>
      <c r="I2703" s="23">
        <f t="shared" si="413"/>
        <v>1255.5</v>
      </c>
      <c r="J2703" s="100">
        <f t="shared" si="414"/>
        <v>1.0108695652173914</v>
      </c>
      <c r="K2703" s="51">
        <f>VLOOKUP(B:B,'生產達成率(目標)'!A:C,3,0)</f>
        <v>1</v>
      </c>
      <c r="L2703" s="20">
        <f t="shared" si="415"/>
        <v>1.0999999999999999E-2</v>
      </c>
      <c r="M2703" s="137" t="str">
        <f>工時!R1887</f>
        <v>170</v>
      </c>
      <c r="N2703" s="144"/>
      <c r="O2703" s="144">
        <f t="shared" si="416"/>
        <v>0</v>
      </c>
      <c r="P2703" s="156">
        <v>279</v>
      </c>
      <c r="Q2703" s="98">
        <f t="shared" si="417"/>
        <v>1</v>
      </c>
      <c r="R2703" s="23"/>
      <c r="S2703" s="173"/>
      <c r="T2703" s="30" t="s">
        <v>1153</v>
      </c>
      <c r="U2703" s="264"/>
      <c r="V2703" s="463"/>
      <c r="W2703" s="421"/>
      <c r="X2703" s="463"/>
      <c r="Y2703" s="421"/>
      <c r="Z2703" s="421"/>
      <c r="AA2703" s="421"/>
      <c r="AB2703" s="421"/>
      <c r="AC2703" s="421"/>
      <c r="AD2703" s="421"/>
    </row>
    <row r="2704" spans="1:30" s="361" customFormat="1" x14ac:dyDescent="0.4">
      <c r="A2704" s="212">
        <v>46092</v>
      </c>
      <c r="B2704" s="139" t="s">
        <v>548</v>
      </c>
      <c r="C2704" s="30" t="str">
        <f>VLOOKUP(B2704,'112年全品項生產鍋數'!A:H,2,0)</f>
        <v>天天開心芒果餡4.5KG</v>
      </c>
      <c r="D2704" s="296">
        <v>12</v>
      </c>
      <c r="E2704" s="48">
        <f>VLOOKUP(B2704,'112年全品項生產鍋數'!A:H,3,0)</f>
        <v>4.5</v>
      </c>
      <c r="F2704" s="142">
        <f>VLOOKUP(B2704,'112年全品項生產鍋數'!A:H,7,0)</f>
        <v>33.200000000000003</v>
      </c>
      <c r="G2704" s="143">
        <f t="shared" si="412"/>
        <v>398.40000000000003</v>
      </c>
      <c r="H2704" s="156">
        <v>419</v>
      </c>
      <c r="I2704" s="23">
        <f t="shared" si="413"/>
        <v>1885.5</v>
      </c>
      <c r="J2704" s="100">
        <f t="shared" si="414"/>
        <v>1.0517068273092369</v>
      </c>
      <c r="K2704" s="51">
        <f>VLOOKUP(B:B,'生產達成率(目標)'!A:C,3,0)</f>
        <v>1</v>
      </c>
      <c r="L2704" s="20">
        <f t="shared" si="415"/>
        <v>5.1999999999999998E-2</v>
      </c>
      <c r="M2704" s="137" t="str">
        <f>工時!R1888</f>
        <v>230</v>
      </c>
      <c r="N2704" s="144"/>
      <c r="O2704" s="144">
        <f t="shared" si="416"/>
        <v>0</v>
      </c>
      <c r="P2704" s="156">
        <v>419</v>
      </c>
      <c r="Q2704" s="98">
        <f t="shared" si="417"/>
        <v>1</v>
      </c>
      <c r="R2704" s="23"/>
      <c r="S2704" s="173"/>
      <c r="T2704" s="30"/>
      <c r="U2704" s="264"/>
      <c r="V2704" s="463"/>
      <c r="W2704" s="421"/>
      <c r="X2704" s="463"/>
      <c r="Y2704" s="421"/>
      <c r="Z2704" s="421"/>
      <c r="AA2704" s="421"/>
      <c r="AB2704" s="421"/>
      <c r="AC2704" s="421"/>
      <c r="AD2704" s="421"/>
    </row>
    <row r="2705" spans="1:30" s="361" customFormat="1" x14ac:dyDescent="0.4">
      <c r="A2705" s="212">
        <v>46092</v>
      </c>
      <c r="B2705" s="139" t="s">
        <v>63</v>
      </c>
      <c r="C2705" s="30" t="str">
        <f>VLOOKUP(B2705,'112年全品項生產鍋數'!A:H,2,0)</f>
        <v>草莓蒟蒻餡(1*6kg)</v>
      </c>
      <c r="D2705" s="296">
        <v>16</v>
      </c>
      <c r="E2705" s="48">
        <f>VLOOKUP(B2705,'112年全品項生產鍋數'!A:H,3,0)</f>
        <v>6</v>
      </c>
      <c r="F2705" s="142">
        <f>VLOOKUP(B2705,'112年全品項生產鍋數'!A:H,7,0)</f>
        <v>25.7</v>
      </c>
      <c r="G2705" s="143">
        <f t="shared" si="412"/>
        <v>411.2</v>
      </c>
      <c r="H2705" s="156">
        <f>190+213</f>
        <v>403</v>
      </c>
      <c r="I2705" s="23">
        <f t="shared" si="413"/>
        <v>2418</v>
      </c>
      <c r="J2705" s="100">
        <f t="shared" si="414"/>
        <v>0.98005836575875493</v>
      </c>
      <c r="K2705" s="51">
        <f>VLOOKUP(B:B,'生產達成率(目標)'!A:C,3,0)</f>
        <v>1</v>
      </c>
      <c r="L2705" s="20">
        <f t="shared" si="415"/>
        <v>-0.02</v>
      </c>
      <c r="M2705" s="137" t="str">
        <f>工時!R1889</f>
        <v>240</v>
      </c>
      <c r="N2705" s="144"/>
      <c r="O2705" s="144">
        <f t="shared" si="416"/>
        <v>2</v>
      </c>
      <c r="P2705" s="156">
        <f>189+212</f>
        <v>401</v>
      </c>
      <c r="Q2705" s="98">
        <f t="shared" si="417"/>
        <v>0.99503722084367241</v>
      </c>
      <c r="R2705" s="23"/>
      <c r="S2705" s="173"/>
      <c r="T2705" s="30" t="s">
        <v>1263</v>
      </c>
      <c r="U2705" s="264"/>
      <c r="V2705" s="463"/>
      <c r="W2705" s="421"/>
      <c r="X2705" s="463"/>
      <c r="Y2705" s="421"/>
      <c r="Z2705" s="421"/>
      <c r="AA2705" s="421"/>
      <c r="AB2705" s="421"/>
      <c r="AC2705" s="421"/>
      <c r="AD2705" s="421"/>
    </row>
    <row r="2706" spans="1:30" s="361" customFormat="1" x14ac:dyDescent="0.4">
      <c r="A2706" s="212">
        <v>46092</v>
      </c>
      <c r="B2706" s="139" t="s">
        <v>65</v>
      </c>
      <c r="C2706" s="30" t="str">
        <f>VLOOKUP(B2706,'112年全品項生產鍋數'!A:H,2,0)</f>
        <v>＃1花生(1*2.8kg)</v>
      </c>
      <c r="D2706" s="296">
        <v>72</v>
      </c>
      <c r="E2706" s="48">
        <f>VLOOKUP(B2706,'112年全品項生產鍋數'!A:H,3,0)</f>
        <v>2.8</v>
      </c>
      <c r="F2706" s="142">
        <f>VLOOKUP(B2706,'112年全品項生產鍋數'!A:H,7,0)</f>
        <v>44.5</v>
      </c>
      <c r="G2706" s="143">
        <f t="shared" si="412"/>
        <v>3204</v>
      </c>
      <c r="H2706" s="156">
        <v>3183</v>
      </c>
      <c r="I2706" s="23">
        <f t="shared" si="413"/>
        <v>8912.4</v>
      </c>
      <c r="J2706" s="100">
        <f t="shared" si="414"/>
        <v>0.99344569288389517</v>
      </c>
      <c r="K2706" s="51">
        <f>VLOOKUP(B:B,'生產達成率(目標)'!A:C,3,0)</f>
        <v>1</v>
      </c>
      <c r="L2706" s="20">
        <f t="shared" si="415"/>
        <v>-7.0000000000000001E-3</v>
      </c>
      <c r="M2706" s="137" t="str">
        <f>工時!R1890</f>
        <v>540</v>
      </c>
      <c r="N2706" s="144"/>
      <c r="O2706" s="144">
        <f t="shared" si="416"/>
        <v>2</v>
      </c>
      <c r="P2706" s="156">
        <v>3181</v>
      </c>
      <c r="Q2706" s="98">
        <f t="shared" si="417"/>
        <v>0.9993716619541313</v>
      </c>
      <c r="R2706" s="23"/>
      <c r="S2706" s="173"/>
      <c r="T2706" s="30"/>
      <c r="U2706" s="264"/>
      <c r="V2706" s="463"/>
      <c r="W2706" s="421"/>
      <c r="X2706" s="463"/>
      <c r="Y2706" s="421"/>
      <c r="Z2706" s="421"/>
      <c r="AA2706" s="421"/>
      <c r="AB2706" s="421"/>
      <c r="AC2706" s="421"/>
      <c r="AD2706" s="421"/>
    </row>
    <row r="2707" spans="1:30" s="361" customFormat="1" x14ac:dyDescent="0.4">
      <c r="A2707" s="212">
        <v>46093</v>
      </c>
      <c r="B2707" s="139" t="s">
        <v>61</v>
      </c>
      <c r="C2707" s="30" t="str">
        <f>VLOOKUP(B2707,'112年全品項生產鍋數'!A:H,2,0)</f>
        <v>大圓草莓-新</v>
      </c>
      <c r="D2707" s="296">
        <v>40</v>
      </c>
      <c r="E2707" s="48">
        <f>VLOOKUP(B2707,'112年全品項生產鍋數'!A:H,3,0)</f>
        <v>0.44</v>
      </c>
      <c r="F2707" s="142">
        <f>VLOOKUP(B2707,'112年全品項生產鍋數'!A:H,7,0)</f>
        <v>344</v>
      </c>
      <c r="G2707" s="143">
        <f t="shared" si="412"/>
        <v>13760</v>
      </c>
      <c r="H2707" s="156">
        <v>13569</v>
      </c>
      <c r="I2707" s="23">
        <f t="shared" si="413"/>
        <v>5970.36</v>
      </c>
      <c r="J2707" s="100">
        <f t="shared" si="414"/>
        <v>0.98611918604651161</v>
      </c>
      <c r="K2707" s="51">
        <f>VLOOKUP(B:B,'生產達成率(目標)'!A:C,3,0)</f>
        <v>1</v>
      </c>
      <c r="L2707" s="20">
        <f t="shared" si="415"/>
        <v>-1.4E-2</v>
      </c>
      <c r="M2707" s="137" t="str">
        <f>工時!R1891</f>
        <v>540</v>
      </c>
      <c r="N2707" s="144"/>
      <c r="O2707" s="144">
        <f t="shared" si="416"/>
        <v>8</v>
      </c>
      <c r="P2707" s="156">
        <v>13561</v>
      </c>
      <c r="Q2707" s="98">
        <f t="shared" si="417"/>
        <v>0.99941042081214537</v>
      </c>
      <c r="R2707" s="23"/>
      <c r="S2707" s="173"/>
      <c r="T2707" s="30" t="s">
        <v>1197</v>
      </c>
      <c r="U2707" s="264"/>
      <c r="V2707" s="463"/>
      <c r="W2707" s="421"/>
      <c r="X2707" s="463"/>
      <c r="Y2707" s="421"/>
      <c r="Z2707" s="421"/>
      <c r="AA2707" s="421"/>
      <c r="AB2707" s="421"/>
      <c r="AC2707" s="421"/>
      <c r="AD2707" s="421"/>
    </row>
    <row r="2708" spans="1:30" s="361" customFormat="1" x14ac:dyDescent="0.4">
      <c r="A2708" s="212">
        <v>46093</v>
      </c>
      <c r="B2708" s="139" t="s">
        <v>63</v>
      </c>
      <c r="C2708" s="30" t="str">
        <f>VLOOKUP(B2708,'112年全品項生產鍋數'!A:H,2,0)</f>
        <v>草莓蒟蒻餡(1*6kg)</v>
      </c>
      <c r="D2708" s="296">
        <v>20</v>
      </c>
      <c r="E2708" s="48">
        <f>VLOOKUP(B2708,'112年全品項生產鍋數'!A:H,3,0)</f>
        <v>6</v>
      </c>
      <c r="F2708" s="142">
        <f>VLOOKUP(B2708,'112年全品項生產鍋數'!A:H,7,0)</f>
        <v>25.7</v>
      </c>
      <c r="G2708" s="143">
        <f t="shared" si="412"/>
        <v>514</v>
      </c>
      <c r="H2708" s="156">
        <f>302+202</f>
        <v>504</v>
      </c>
      <c r="I2708" s="23">
        <f t="shared" si="413"/>
        <v>3024</v>
      </c>
      <c r="J2708" s="100">
        <f t="shared" si="414"/>
        <v>0.98054474708171202</v>
      </c>
      <c r="K2708" s="51">
        <f>VLOOKUP(B:B,'生產達成率(目標)'!A:C,3,0)</f>
        <v>1</v>
      </c>
      <c r="L2708" s="20">
        <f t="shared" si="415"/>
        <v>-1.9E-2</v>
      </c>
      <c r="M2708" s="137" t="str">
        <f>工時!R1892</f>
        <v>270</v>
      </c>
      <c r="N2708" s="144"/>
      <c r="O2708" s="144">
        <f t="shared" si="416"/>
        <v>2</v>
      </c>
      <c r="P2708" s="156">
        <f>301+201</f>
        <v>502</v>
      </c>
      <c r="Q2708" s="98">
        <f t="shared" si="417"/>
        <v>0.99603174603174605</v>
      </c>
      <c r="R2708" s="23"/>
      <c r="S2708" s="173"/>
      <c r="T2708" s="30" t="s">
        <v>1275</v>
      </c>
      <c r="U2708" s="264"/>
      <c r="V2708" s="463"/>
      <c r="W2708" s="421"/>
      <c r="X2708" s="463"/>
      <c r="Y2708" s="421"/>
      <c r="Z2708" s="421"/>
      <c r="AA2708" s="421"/>
      <c r="AB2708" s="421"/>
      <c r="AC2708" s="421"/>
      <c r="AD2708" s="421"/>
    </row>
    <row r="2709" spans="1:30" s="361" customFormat="1" x14ac:dyDescent="0.4">
      <c r="A2709" s="212">
        <v>46093</v>
      </c>
      <c r="B2709" s="139" t="s">
        <v>72</v>
      </c>
      <c r="C2709" s="30" t="str">
        <f>VLOOKUP(B2709,'112年全品項生產鍋數'!A:H,2,0)</f>
        <v>草莓餡45%(1*6Kg)</v>
      </c>
      <c r="D2709" s="296">
        <v>20</v>
      </c>
      <c r="E2709" s="48">
        <f>VLOOKUP(B2709,'112年全品項生產鍋數'!A:H,3,0)</f>
        <v>6</v>
      </c>
      <c r="F2709" s="142">
        <f>VLOOKUP(B2709,'112年全品項生產鍋數'!A:H,7,0)</f>
        <v>26.1</v>
      </c>
      <c r="G2709" s="143">
        <f t="shared" ref="G2709:G2753" si="418">D2709*F2709</f>
        <v>522</v>
      </c>
      <c r="H2709" s="156">
        <v>528</v>
      </c>
      <c r="I2709" s="23">
        <f t="shared" ref="I2709:I2753" si="419">H2709*E2709</f>
        <v>3168</v>
      </c>
      <c r="J2709" s="100">
        <f t="shared" ref="J2709:J2753" si="420">IF(G2709=0,"無法預估數據",H2709/G2709)</f>
        <v>1.0114942528735633</v>
      </c>
      <c r="K2709" s="51">
        <f>VLOOKUP(B:B,'生產達成率(目標)'!A:C,3,0)</f>
        <v>1</v>
      </c>
      <c r="L2709" s="20">
        <f t="shared" ref="L2709:L2753" si="421">IF(G2709=0,"無法預估數據",ROUND(J2709-K2709,3))</f>
        <v>1.0999999999999999E-2</v>
      </c>
      <c r="M2709" s="137" t="str">
        <f>工時!R1893</f>
        <v>340</v>
      </c>
      <c r="N2709" s="144"/>
      <c r="O2709" s="144">
        <f t="shared" ref="O2709:O2753" si="422">H2709-N2709-P2709</f>
        <v>1</v>
      </c>
      <c r="P2709" s="156">
        <v>527</v>
      </c>
      <c r="Q2709" s="98">
        <f t="shared" ref="Q2709:Q2753" si="423">P2709/H2709</f>
        <v>0.99810606060606055</v>
      </c>
      <c r="R2709" s="23"/>
      <c r="S2709" s="173"/>
      <c r="T2709" s="30" t="s">
        <v>1153</v>
      </c>
      <c r="U2709" s="264"/>
      <c r="V2709" s="463"/>
      <c r="W2709" s="421"/>
      <c r="X2709" s="463"/>
      <c r="Y2709" s="421"/>
      <c r="Z2709" s="421"/>
      <c r="AA2709" s="421"/>
      <c r="AB2709" s="421"/>
      <c r="AC2709" s="421"/>
      <c r="AD2709" s="421"/>
    </row>
    <row r="2710" spans="1:30" s="361" customFormat="1" x14ac:dyDescent="0.4">
      <c r="A2710" s="212">
        <v>46094</v>
      </c>
      <c r="B2710" s="139" t="s">
        <v>71</v>
      </c>
      <c r="C2710" s="30" t="str">
        <f>VLOOKUP(B2710,'112年全品項生產鍋數'!A:H,2,0)</f>
        <v>＃1草莓(1*3.2kg)</v>
      </c>
      <c r="D2710" s="296">
        <v>72</v>
      </c>
      <c r="E2710" s="48">
        <f>VLOOKUP(B2710,'112年全品項生產鍋數'!A:H,3,0)</f>
        <v>3.2</v>
      </c>
      <c r="F2710" s="142">
        <f>VLOOKUP(B2710,'112年全品項生產鍋數'!A:H,7,0)</f>
        <v>46.8</v>
      </c>
      <c r="G2710" s="143">
        <f t="shared" si="418"/>
        <v>3369.6</v>
      </c>
      <c r="H2710" s="156">
        <v>3370</v>
      </c>
      <c r="I2710" s="23">
        <f t="shared" si="419"/>
        <v>10784</v>
      </c>
      <c r="J2710" s="100">
        <f t="shared" si="420"/>
        <v>1.0001187084520418</v>
      </c>
      <c r="K2710" s="51">
        <f>VLOOKUP(B:B,'生產達成率(目標)'!A:C,3,0)</f>
        <v>1</v>
      </c>
      <c r="L2710" s="20">
        <f t="shared" si="421"/>
        <v>0</v>
      </c>
      <c r="M2710" s="137" t="str">
        <f>工時!R1894</f>
        <v>540</v>
      </c>
      <c r="N2710" s="144"/>
      <c r="O2710" s="144">
        <f t="shared" si="422"/>
        <v>2</v>
      </c>
      <c r="P2710" s="156">
        <v>3368</v>
      </c>
      <c r="Q2710" s="98">
        <f t="shared" si="423"/>
        <v>0.99940652818991094</v>
      </c>
      <c r="R2710" s="23"/>
      <c r="S2710" s="173"/>
      <c r="T2710" s="30" t="s">
        <v>1153</v>
      </c>
      <c r="U2710" s="264"/>
      <c r="V2710" s="463"/>
      <c r="W2710" s="421"/>
      <c r="X2710" s="463"/>
      <c r="Y2710" s="421"/>
      <c r="Z2710" s="421"/>
      <c r="AA2710" s="421"/>
      <c r="AB2710" s="421"/>
      <c r="AC2710" s="421"/>
      <c r="AD2710" s="421"/>
    </row>
    <row r="2711" spans="1:30" s="361" customFormat="1" x14ac:dyDescent="0.4">
      <c r="A2711" s="212">
        <v>46094</v>
      </c>
      <c r="B2711" s="139" t="s">
        <v>107</v>
      </c>
      <c r="C2711" s="30" t="str">
        <f>VLOOKUP(B2711,'112年全品項生產鍋數'!A:H,2,0)</f>
        <v>藍莓餡(1*6kg)</v>
      </c>
      <c r="D2711" s="296">
        <v>8</v>
      </c>
      <c r="E2711" s="48">
        <f>VLOOKUP(B2711,'112年全品項生產鍋數'!A:H,3,0)</f>
        <v>6</v>
      </c>
      <c r="F2711" s="142">
        <f>VLOOKUP(B2711,'112年全品項生產鍋數'!A:H,7,0)</f>
        <v>26.4</v>
      </c>
      <c r="G2711" s="143">
        <f t="shared" si="418"/>
        <v>211.2</v>
      </c>
      <c r="H2711" s="156">
        <v>200</v>
      </c>
      <c r="I2711" s="23">
        <f t="shared" si="419"/>
        <v>1200</v>
      </c>
      <c r="J2711" s="100">
        <f t="shared" si="420"/>
        <v>0.94696969696969702</v>
      </c>
      <c r="K2711" s="51">
        <f>VLOOKUP(B:B,'生產達成率(目標)'!A:C,3,0)</f>
        <v>1</v>
      </c>
      <c r="L2711" s="20">
        <f t="shared" si="421"/>
        <v>-5.2999999999999999E-2</v>
      </c>
      <c r="M2711" s="137" t="str">
        <f>工時!R1895</f>
        <v>160</v>
      </c>
      <c r="N2711" s="144"/>
      <c r="O2711" s="144">
        <f t="shared" si="422"/>
        <v>2</v>
      </c>
      <c r="P2711" s="156">
        <v>198</v>
      </c>
      <c r="Q2711" s="98">
        <f t="shared" si="423"/>
        <v>0.99</v>
      </c>
      <c r="R2711" s="23"/>
      <c r="S2711" s="173"/>
      <c r="T2711" s="30" t="s">
        <v>1153</v>
      </c>
      <c r="U2711" s="264"/>
      <c r="V2711" s="463"/>
      <c r="W2711" s="421"/>
      <c r="X2711" s="463"/>
      <c r="Y2711" s="421"/>
      <c r="Z2711" s="421"/>
      <c r="AA2711" s="421"/>
      <c r="AB2711" s="421"/>
      <c r="AC2711" s="421"/>
      <c r="AD2711" s="421"/>
    </row>
    <row r="2712" spans="1:30" s="361" customFormat="1" x14ac:dyDescent="0.4">
      <c r="A2712" s="212">
        <v>46094</v>
      </c>
      <c r="B2712" s="139" t="s">
        <v>128</v>
      </c>
      <c r="C2712" s="30" t="str">
        <f>VLOOKUP(B2712,'112年全品項生產鍋數'!A:H,2,0)</f>
        <v>草莓椰果漿(1*6KG)</v>
      </c>
      <c r="D2712" s="296">
        <v>8</v>
      </c>
      <c r="E2712" s="48">
        <f>VLOOKUP(B2712,'112年全品項生產鍋數'!A:H,3,0)</f>
        <v>6</v>
      </c>
      <c r="F2712" s="142">
        <f>VLOOKUP(B2712,'112年全品項生產鍋數'!A:H,7,0)</f>
        <v>25.7</v>
      </c>
      <c r="G2712" s="143">
        <f t="shared" si="418"/>
        <v>205.6</v>
      </c>
      <c r="H2712" s="156">
        <v>209</v>
      </c>
      <c r="I2712" s="23">
        <f t="shared" si="419"/>
        <v>1254</v>
      </c>
      <c r="J2712" s="100">
        <f t="shared" si="420"/>
        <v>1.0165369649805447</v>
      </c>
      <c r="K2712" s="51">
        <f>VLOOKUP(B:B,'生產達成率(目標)'!A:C,3,0)</f>
        <v>1</v>
      </c>
      <c r="L2712" s="20">
        <f t="shared" si="421"/>
        <v>1.7000000000000001E-2</v>
      </c>
      <c r="M2712" s="137" t="str">
        <f>工時!R1896</f>
        <v>142</v>
      </c>
      <c r="N2712" s="144"/>
      <c r="O2712" s="144">
        <f t="shared" si="422"/>
        <v>1</v>
      </c>
      <c r="P2712" s="156">
        <v>208</v>
      </c>
      <c r="Q2712" s="98">
        <f t="shared" si="423"/>
        <v>0.99521531100478466</v>
      </c>
      <c r="R2712" s="23"/>
      <c r="S2712" s="173"/>
      <c r="T2712" s="30" t="s">
        <v>1153</v>
      </c>
      <c r="U2712" s="264"/>
      <c r="V2712" s="463"/>
      <c r="W2712" s="421"/>
      <c r="X2712" s="463"/>
      <c r="Y2712" s="421"/>
      <c r="Z2712" s="421"/>
      <c r="AA2712" s="421"/>
      <c r="AB2712" s="421"/>
      <c r="AC2712" s="421"/>
      <c r="AD2712" s="421"/>
    </row>
    <row r="2713" spans="1:30" s="361" customFormat="1" x14ac:dyDescent="0.4">
      <c r="A2713" s="212">
        <v>46094</v>
      </c>
      <c r="B2713" s="139" t="s">
        <v>63</v>
      </c>
      <c r="C2713" s="30" t="str">
        <f>VLOOKUP(B2713,'112年全品項生產鍋數'!A:H,2,0)</f>
        <v>草莓蒟蒻餡(1*6kg)</v>
      </c>
      <c r="D2713" s="296">
        <v>24</v>
      </c>
      <c r="E2713" s="48">
        <f>VLOOKUP(B2713,'112年全品項生產鍋數'!A:H,3,0)</f>
        <v>6</v>
      </c>
      <c r="F2713" s="142">
        <f>VLOOKUP(B2713,'112年全品項生產鍋數'!A:H,7,0)</f>
        <v>25.7</v>
      </c>
      <c r="G2713" s="143">
        <f t="shared" si="418"/>
        <v>616.79999999999995</v>
      </c>
      <c r="H2713" s="156">
        <f>301+311</f>
        <v>612</v>
      </c>
      <c r="I2713" s="23">
        <f t="shared" si="419"/>
        <v>3672</v>
      </c>
      <c r="J2713" s="100">
        <f t="shared" si="420"/>
        <v>0.99221789883268485</v>
      </c>
      <c r="K2713" s="51">
        <f>VLOOKUP(B:B,'生產達成率(目標)'!A:C,3,0)</f>
        <v>1</v>
      </c>
      <c r="L2713" s="20">
        <f t="shared" si="421"/>
        <v>-8.0000000000000002E-3</v>
      </c>
      <c r="M2713" s="137" t="str">
        <f>工時!R1897</f>
        <v>355</v>
      </c>
      <c r="N2713" s="144"/>
      <c r="O2713" s="144">
        <f t="shared" si="422"/>
        <v>2</v>
      </c>
      <c r="P2713" s="156">
        <f>300+310</f>
        <v>610</v>
      </c>
      <c r="Q2713" s="98">
        <f t="shared" si="423"/>
        <v>0.99673202614379086</v>
      </c>
      <c r="R2713" s="23"/>
      <c r="S2713" s="173"/>
      <c r="T2713" s="30" t="s">
        <v>1268</v>
      </c>
      <c r="U2713" s="264"/>
      <c r="V2713" s="463"/>
      <c r="W2713" s="421"/>
      <c r="X2713" s="463"/>
      <c r="Y2713" s="421"/>
      <c r="Z2713" s="421"/>
      <c r="AA2713" s="421"/>
      <c r="AB2713" s="421"/>
      <c r="AC2713" s="421"/>
      <c r="AD2713" s="421"/>
    </row>
    <row r="2714" spans="1:30" s="381" customFormat="1" x14ac:dyDescent="0.4">
      <c r="A2714" s="402">
        <v>46094</v>
      </c>
      <c r="B2714" s="392" t="s">
        <v>65</v>
      </c>
      <c r="C2714" s="375" t="str">
        <f>VLOOKUP(B2714,'112年全品項生產鍋數'!A:H,2,0)</f>
        <v>＃1花生(1*2.8kg)</v>
      </c>
      <c r="D2714" s="406">
        <v>72</v>
      </c>
      <c r="E2714" s="141">
        <f>VLOOKUP(B2714,'112年全品項生產鍋數'!A:H,3,0)</f>
        <v>2.8</v>
      </c>
      <c r="F2714" s="142">
        <f>VLOOKUP(B2714,'112年全品項生產鍋數'!A:H,7,0)</f>
        <v>44.5</v>
      </c>
      <c r="G2714" s="143">
        <f t="shared" si="418"/>
        <v>3204</v>
      </c>
      <c r="H2714" s="156">
        <v>3215</v>
      </c>
      <c r="I2714" s="374">
        <f t="shared" si="419"/>
        <v>9002</v>
      </c>
      <c r="J2714" s="100">
        <f t="shared" si="420"/>
        <v>1.0034332084893882</v>
      </c>
      <c r="K2714" s="51">
        <f>VLOOKUP(B:B,'生產達成率(目標)'!A:C,3,0)</f>
        <v>1</v>
      </c>
      <c r="L2714" s="20">
        <f t="shared" si="421"/>
        <v>3.0000000000000001E-3</v>
      </c>
      <c r="M2714" s="137" t="str">
        <f>工時!R1898</f>
        <v>550</v>
      </c>
      <c r="N2714" s="374"/>
      <c r="O2714" s="374">
        <f t="shared" si="422"/>
        <v>2</v>
      </c>
      <c r="P2714" s="156">
        <v>3213</v>
      </c>
      <c r="Q2714" s="145">
        <f t="shared" si="423"/>
        <v>0.99937791601866255</v>
      </c>
      <c r="R2714" s="374"/>
      <c r="S2714" s="378"/>
      <c r="T2714" s="375"/>
      <c r="U2714" s="398"/>
      <c r="V2714" s="464"/>
      <c r="W2714" s="421"/>
      <c r="X2714" s="464"/>
      <c r="Y2714" s="421"/>
      <c r="Z2714" s="421"/>
      <c r="AA2714" s="421"/>
      <c r="AB2714" s="421"/>
      <c r="AC2714" s="421"/>
      <c r="AD2714" s="421"/>
    </row>
    <row r="2715" spans="1:30" s="361" customFormat="1" x14ac:dyDescent="0.4">
      <c r="A2715" s="212">
        <v>46097</v>
      </c>
      <c r="B2715" s="139" t="s">
        <v>887</v>
      </c>
      <c r="C2715" s="30" t="str">
        <f>VLOOKUP(B2715,'112年全品項生產鍋數'!A:H,2,0)</f>
        <v>檸檬藍莓醬1*260G</v>
      </c>
      <c r="D2715" s="296">
        <v>4</v>
      </c>
      <c r="E2715" s="48">
        <f>VLOOKUP(B2715,'112年全品項生產鍋數'!A:H,3,0)</f>
        <v>0.26</v>
      </c>
      <c r="F2715" s="142">
        <f>VLOOKUP(B2715,'112年全品項生產鍋數'!A:H,7,0)</f>
        <v>612</v>
      </c>
      <c r="G2715" s="143">
        <f t="shared" si="418"/>
        <v>2448</v>
      </c>
      <c r="H2715" s="156">
        <v>2225</v>
      </c>
      <c r="I2715" s="23">
        <f t="shared" si="419"/>
        <v>578.5</v>
      </c>
      <c r="J2715" s="100">
        <f t="shared" si="420"/>
        <v>0.90890522875816993</v>
      </c>
      <c r="K2715" s="51">
        <f>VLOOKUP(B:B,'生產達成率(目標)'!A:C,3,0)</f>
        <v>1</v>
      </c>
      <c r="L2715" s="20">
        <f t="shared" si="421"/>
        <v>-9.0999999999999998E-2</v>
      </c>
      <c r="M2715" s="137" t="str">
        <f>工時!R1899</f>
        <v>120</v>
      </c>
      <c r="N2715" s="144"/>
      <c r="O2715" s="144">
        <f t="shared" si="422"/>
        <v>6</v>
      </c>
      <c r="P2715" s="156">
        <v>2219</v>
      </c>
      <c r="Q2715" s="98">
        <f t="shared" si="423"/>
        <v>0.99730337078651687</v>
      </c>
      <c r="R2715" s="23"/>
      <c r="S2715" s="173"/>
      <c r="T2715" s="30"/>
      <c r="U2715" s="264"/>
      <c r="V2715" s="463"/>
      <c r="W2715" s="421"/>
      <c r="X2715" s="463"/>
      <c r="Y2715" s="421"/>
      <c r="Z2715" s="421"/>
      <c r="AA2715" s="421"/>
      <c r="AB2715" s="421"/>
      <c r="AC2715" s="421"/>
      <c r="AD2715" s="421"/>
    </row>
    <row r="2716" spans="1:30" s="381" customFormat="1" x14ac:dyDescent="0.4">
      <c r="A2716" s="402">
        <v>46097</v>
      </c>
      <c r="B2716" s="392" t="s">
        <v>456</v>
      </c>
      <c r="C2716" s="375" t="str">
        <f>VLOOKUP(B2716,'112年全品項生產鍋數'!A:H,2,0)</f>
        <v>桑椹果醬(1*190g)</v>
      </c>
      <c r="D2716" s="406">
        <v>3</v>
      </c>
      <c r="E2716" s="141">
        <f>VLOOKUP(B2716,'112年全品項生產鍋數'!A:H,3,0)</f>
        <v>0.19</v>
      </c>
      <c r="F2716" s="142">
        <f>VLOOKUP(B2716,'112年全品項生產鍋數'!A:H,7,0)</f>
        <v>759.3</v>
      </c>
      <c r="G2716" s="143">
        <f t="shared" si="418"/>
        <v>2277.8999999999996</v>
      </c>
      <c r="H2716" s="156">
        <v>2187</v>
      </c>
      <c r="I2716" s="374">
        <f t="shared" si="419"/>
        <v>415.53000000000003</v>
      </c>
      <c r="J2716" s="100">
        <f t="shared" si="420"/>
        <v>0.96009482418016612</v>
      </c>
      <c r="K2716" s="51">
        <f>VLOOKUP(B:B,'生產達成率(目標)'!A:C,3,0)</f>
        <v>1</v>
      </c>
      <c r="L2716" s="20">
        <f t="shared" si="421"/>
        <v>-0.04</v>
      </c>
      <c r="M2716" s="137" t="str">
        <f>工時!R1900</f>
        <v>235</v>
      </c>
      <c r="N2716" s="374"/>
      <c r="O2716" s="374">
        <f t="shared" si="422"/>
        <v>4</v>
      </c>
      <c r="P2716" s="156">
        <v>2183</v>
      </c>
      <c r="Q2716" s="145">
        <f t="shared" si="423"/>
        <v>0.99817101051668955</v>
      </c>
      <c r="R2716" s="374"/>
      <c r="S2716" s="378"/>
      <c r="T2716" s="375" t="s">
        <v>1153</v>
      </c>
      <c r="U2716" s="398"/>
      <c r="V2716" s="464"/>
      <c r="W2716" s="421"/>
      <c r="X2716" s="464"/>
      <c r="Y2716" s="421"/>
      <c r="Z2716" s="421"/>
      <c r="AA2716" s="421"/>
      <c r="AB2716" s="421"/>
      <c r="AC2716" s="421"/>
      <c r="AD2716" s="421"/>
    </row>
    <row r="2717" spans="1:30" s="361" customFormat="1" x14ac:dyDescent="0.4">
      <c r="A2717" s="212">
        <v>46097</v>
      </c>
      <c r="B2717" s="139" t="s">
        <v>71</v>
      </c>
      <c r="C2717" s="30" t="str">
        <f>VLOOKUP(B2717,'112年全品項生產鍋數'!A:H,2,0)</f>
        <v>＃1草莓(1*3.2kg)</v>
      </c>
      <c r="D2717" s="296">
        <v>28</v>
      </c>
      <c r="E2717" s="48">
        <f>VLOOKUP(B2717,'112年全品項生產鍋數'!A:H,3,0)</f>
        <v>3.2</v>
      </c>
      <c r="F2717" s="142">
        <f>VLOOKUP(B2717,'112年全品項生產鍋數'!A:H,7,0)</f>
        <v>46.8</v>
      </c>
      <c r="G2717" s="143">
        <f t="shared" si="418"/>
        <v>1310.3999999999999</v>
      </c>
      <c r="H2717" s="156">
        <v>1260</v>
      </c>
      <c r="I2717" s="23">
        <f t="shared" si="419"/>
        <v>4032</v>
      </c>
      <c r="J2717" s="100">
        <f t="shared" si="420"/>
        <v>0.96153846153846168</v>
      </c>
      <c r="K2717" s="51">
        <f>VLOOKUP(B:B,'生產達成率(目標)'!A:C,3,0)</f>
        <v>1</v>
      </c>
      <c r="L2717" s="20">
        <f t="shared" si="421"/>
        <v>-3.7999999999999999E-2</v>
      </c>
      <c r="M2717" s="137" t="str">
        <f>工時!R1901</f>
        <v>300</v>
      </c>
      <c r="N2717" s="144"/>
      <c r="O2717" s="144">
        <f t="shared" si="422"/>
        <v>2</v>
      </c>
      <c r="P2717" s="156">
        <v>1258</v>
      </c>
      <c r="Q2717" s="98">
        <f t="shared" si="423"/>
        <v>0.99841269841269842</v>
      </c>
      <c r="R2717" s="23"/>
      <c r="S2717" s="173"/>
      <c r="T2717" s="30" t="s">
        <v>1153</v>
      </c>
      <c r="U2717" s="264"/>
      <c r="V2717" s="463"/>
      <c r="W2717" s="421"/>
      <c r="X2717" s="463"/>
      <c r="Y2717" s="421"/>
      <c r="Z2717" s="421"/>
      <c r="AA2717" s="421"/>
      <c r="AB2717" s="421"/>
      <c r="AC2717" s="421"/>
      <c r="AD2717" s="421"/>
    </row>
    <row r="2718" spans="1:30" s="361" customFormat="1" x14ac:dyDescent="0.4">
      <c r="A2718" s="212">
        <v>46097</v>
      </c>
      <c r="B2718" s="139" t="s">
        <v>88</v>
      </c>
      <c r="C2718" s="30" t="str">
        <f>VLOOKUP(B2718,'112年全品項生產鍋數'!A:H,2,0)</f>
        <v>草莓餡(1*6KG)</v>
      </c>
      <c r="D2718" s="296">
        <v>32</v>
      </c>
      <c r="E2718" s="48">
        <f>VLOOKUP(B2718,'112年全品項生產鍋數'!A:H,3,0)</f>
        <v>6</v>
      </c>
      <c r="F2718" s="142">
        <f>VLOOKUP(B2718,'112年全品項生產鍋數'!A:H,7,0)</f>
        <v>25.5</v>
      </c>
      <c r="G2718" s="143">
        <f t="shared" si="418"/>
        <v>816</v>
      </c>
      <c r="H2718" s="156">
        <v>809</v>
      </c>
      <c r="I2718" s="23">
        <f t="shared" si="419"/>
        <v>4854</v>
      </c>
      <c r="J2718" s="100">
        <f t="shared" si="420"/>
        <v>0.99142156862745101</v>
      </c>
      <c r="K2718" s="51">
        <f>VLOOKUP(B:B,'生產達成率(目標)'!A:C,3,0)</f>
        <v>1</v>
      </c>
      <c r="L2718" s="20">
        <f t="shared" si="421"/>
        <v>-8.9999999999999993E-3</v>
      </c>
      <c r="M2718" s="137" t="str">
        <f>工時!R1902</f>
        <v>415</v>
      </c>
      <c r="N2718" s="144"/>
      <c r="O2718" s="144">
        <f t="shared" si="422"/>
        <v>1</v>
      </c>
      <c r="P2718" s="156">
        <v>808</v>
      </c>
      <c r="Q2718" s="98">
        <f t="shared" si="423"/>
        <v>0.99876390605686027</v>
      </c>
      <c r="R2718" s="23"/>
      <c r="S2718" s="173"/>
      <c r="T2718" s="30"/>
      <c r="U2718" s="264"/>
      <c r="V2718" s="463"/>
      <c r="W2718" s="421"/>
      <c r="X2718" s="463"/>
      <c r="Y2718" s="421"/>
      <c r="Z2718" s="421"/>
      <c r="AA2718" s="421"/>
      <c r="AB2718" s="421"/>
      <c r="AC2718" s="421"/>
      <c r="AD2718" s="421"/>
    </row>
    <row r="2719" spans="1:30" s="361" customFormat="1" x14ac:dyDescent="0.4">
      <c r="A2719" s="212">
        <v>46097</v>
      </c>
      <c r="B2719" s="139" t="s">
        <v>63</v>
      </c>
      <c r="C2719" s="30" t="str">
        <f>VLOOKUP(B2719,'112年全品項生產鍋數'!A:H,2,0)</f>
        <v>草莓蒟蒻餡(1*6kg)</v>
      </c>
      <c r="D2719" s="296">
        <v>8</v>
      </c>
      <c r="E2719" s="48">
        <f>VLOOKUP(B2719,'112年全品項生產鍋數'!A:H,3,0)</f>
        <v>6</v>
      </c>
      <c r="F2719" s="142">
        <f>VLOOKUP(B2719,'112年全品項生產鍋數'!A:H,7,0)</f>
        <v>25.7</v>
      </c>
      <c r="G2719" s="143">
        <f t="shared" si="418"/>
        <v>205.6</v>
      </c>
      <c r="H2719" s="156">
        <v>202</v>
      </c>
      <c r="I2719" s="23">
        <f t="shared" si="419"/>
        <v>1212</v>
      </c>
      <c r="J2719" s="100">
        <f t="shared" si="420"/>
        <v>0.98249027237354092</v>
      </c>
      <c r="K2719" s="51">
        <f>VLOOKUP(B:B,'生產達成率(目標)'!A:C,3,0)</f>
        <v>1</v>
      </c>
      <c r="L2719" s="20">
        <f t="shared" si="421"/>
        <v>-1.7999999999999999E-2</v>
      </c>
      <c r="M2719" s="137" t="str">
        <f>工時!R1903</f>
        <v>126</v>
      </c>
      <c r="N2719" s="144"/>
      <c r="O2719" s="144">
        <f t="shared" si="422"/>
        <v>1</v>
      </c>
      <c r="P2719" s="156">
        <v>201</v>
      </c>
      <c r="Q2719" s="98">
        <f t="shared" si="423"/>
        <v>0.99504950495049505</v>
      </c>
      <c r="R2719" s="23"/>
      <c r="S2719" s="173"/>
      <c r="T2719" s="30"/>
      <c r="U2719" s="264"/>
      <c r="V2719" s="463"/>
      <c r="W2719" s="421"/>
      <c r="X2719" s="463"/>
      <c r="Y2719" s="421"/>
      <c r="Z2719" s="421"/>
      <c r="AA2719" s="421"/>
      <c r="AB2719" s="421"/>
      <c r="AC2719" s="421"/>
      <c r="AD2719" s="421"/>
    </row>
    <row r="2720" spans="1:30" s="361" customFormat="1" x14ac:dyDescent="0.4">
      <c r="A2720" s="212">
        <v>46097</v>
      </c>
      <c r="B2720" s="139" t="s">
        <v>131</v>
      </c>
      <c r="C2720" s="30" t="str">
        <f>VLOOKUP(B2720,'112年全品項生產鍋數'!A:H,2,0)</f>
        <v>花生醬(1*18KG)</v>
      </c>
      <c r="D2720" s="296">
        <v>40</v>
      </c>
      <c r="E2720" s="48">
        <f>VLOOKUP(B2720,'112年全品項生產鍋數'!A:H,3,0)</f>
        <v>18</v>
      </c>
      <c r="F2720" s="142">
        <f>VLOOKUP(B2720,'112年全品項生產鍋數'!A:H,7,0)</f>
        <v>6.9</v>
      </c>
      <c r="G2720" s="143">
        <f t="shared" si="418"/>
        <v>276</v>
      </c>
      <c r="H2720" s="156">
        <v>278</v>
      </c>
      <c r="I2720" s="23">
        <f t="shared" si="419"/>
        <v>5004</v>
      </c>
      <c r="J2720" s="100">
        <f t="shared" si="420"/>
        <v>1.0072463768115942</v>
      </c>
      <c r="K2720" s="51">
        <f>VLOOKUP(B:B,'生產達成率(目標)'!A:C,3,0)</f>
        <v>1</v>
      </c>
      <c r="L2720" s="20">
        <f t="shared" si="421"/>
        <v>7.0000000000000001E-3</v>
      </c>
      <c r="M2720" s="137" t="str">
        <f>工時!R1904</f>
        <v>360</v>
      </c>
      <c r="N2720" s="144"/>
      <c r="O2720" s="144">
        <f t="shared" si="422"/>
        <v>0</v>
      </c>
      <c r="P2720" s="156">
        <v>278</v>
      </c>
      <c r="Q2720" s="98">
        <f t="shared" si="423"/>
        <v>1</v>
      </c>
      <c r="R2720" s="23"/>
      <c r="S2720" s="173"/>
      <c r="T2720" s="30" t="s">
        <v>1153</v>
      </c>
      <c r="U2720" s="264"/>
      <c r="V2720" s="463"/>
      <c r="W2720" s="421"/>
      <c r="X2720" s="463"/>
      <c r="Y2720" s="421"/>
      <c r="Z2720" s="421"/>
      <c r="AA2720" s="421"/>
      <c r="AB2720" s="421"/>
      <c r="AC2720" s="421"/>
      <c r="AD2720" s="421"/>
    </row>
    <row r="2721" spans="1:30" s="361" customFormat="1" x14ac:dyDescent="0.4">
      <c r="A2721" s="212">
        <v>46097</v>
      </c>
      <c r="B2721" s="139" t="s">
        <v>66</v>
      </c>
      <c r="C2721" s="30" t="str">
        <f>VLOOKUP(B2721,'112年全品項生產鍋數'!A:H,2,0)</f>
        <v>＃2花生(1*800g)</v>
      </c>
      <c r="D2721" s="296">
        <v>16</v>
      </c>
      <c r="E2721" s="48">
        <f>VLOOKUP(B2721,'112年全品項生產鍋數'!A:H,3,0)</f>
        <v>0.8</v>
      </c>
      <c r="F2721" s="142">
        <f>VLOOKUP(B2721,'112年全品項生產鍋數'!A:H,7,0)</f>
        <v>157.69999999999999</v>
      </c>
      <c r="G2721" s="143">
        <f t="shared" si="418"/>
        <v>2523.1999999999998</v>
      </c>
      <c r="H2721" s="156">
        <v>2519</v>
      </c>
      <c r="I2721" s="23">
        <f t="shared" si="419"/>
        <v>2015.2</v>
      </c>
      <c r="J2721" s="100">
        <f t="shared" si="420"/>
        <v>0.99833544705136346</v>
      </c>
      <c r="K2721" s="51">
        <f>VLOOKUP(B:B,'生產達成率(目標)'!A:C,3,0)</f>
        <v>1</v>
      </c>
      <c r="L2721" s="20">
        <f t="shared" si="421"/>
        <v>-2E-3</v>
      </c>
      <c r="M2721" s="137" t="str">
        <f>工時!R1905</f>
        <v>240</v>
      </c>
      <c r="N2721" s="144"/>
      <c r="O2721" s="144">
        <f t="shared" si="422"/>
        <v>2</v>
      </c>
      <c r="P2721" s="156">
        <v>2517</v>
      </c>
      <c r="Q2721" s="98">
        <f t="shared" si="423"/>
        <v>0.999206034140532</v>
      </c>
      <c r="R2721" s="23"/>
      <c r="S2721" s="173"/>
      <c r="T2721" s="30"/>
      <c r="U2721" s="264"/>
      <c r="V2721" s="463"/>
      <c r="W2721" s="421"/>
      <c r="X2721" s="463"/>
      <c r="Y2721" s="421"/>
      <c r="Z2721" s="421"/>
      <c r="AA2721" s="421"/>
      <c r="AB2721" s="421"/>
      <c r="AC2721" s="421"/>
      <c r="AD2721" s="421"/>
    </row>
    <row r="2722" spans="1:30" s="381" customFormat="1" x14ac:dyDescent="0.4">
      <c r="A2722" s="402">
        <v>46097</v>
      </c>
      <c r="B2722" s="392" t="s">
        <v>431</v>
      </c>
      <c r="C2722" s="375" t="str">
        <f>VLOOKUP(B2722,'112年全品項生產鍋數'!A:H,2,0)</f>
        <v>文旦丁</v>
      </c>
      <c r="D2722" s="406">
        <v>1</v>
      </c>
      <c r="E2722" s="141">
        <f>VLOOKUP(B2722,'112年全品項生產鍋數'!A:H,3,0)</f>
        <v>1</v>
      </c>
      <c r="F2722" s="142">
        <f>VLOOKUP(B2722,'112年全品項生產鍋數'!A:H,7,0)</f>
        <v>243</v>
      </c>
      <c r="G2722" s="143">
        <f t="shared" si="418"/>
        <v>243</v>
      </c>
      <c r="H2722" s="156">
        <v>264</v>
      </c>
      <c r="I2722" s="374">
        <f t="shared" si="419"/>
        <v>264</v>
      </c>
      <c r="J2722" s="100">
        <f t="shared" si="420"/>
        <v>1.0864197530864197</v>
      </c>
      <c r="K2722" s="51">
        <f>VLOOKUP(B:B,'生產達成率(目標)'!A:C,3,0)</f>
        <v>1</v>
      </c>
      <c r="L2722" s="20">
        <f t="shared" si="421"/>
        <v>8.5999999999999993E-2</v>
      </c>
      <c r="M2722" s="137" t="str">
        <f>工時!R1906</f>
        <v>0</v>
      </c>
      <c r="N2722" s="374"/>
      <c r="O2722" s="374">
        <f t="shared" si="422"/>
        <v>-2</v>
      </c>
      <c r="P2722" s="156">
        <v>266</v>
      </c>
      <c r="Q2722" s="145">
        <f t="shared" si="423"/>
        <v>1.0075757575757576</v>
      </c>
      <c r="R2722" s="374"/>
      <c r="S2722" s="378"/>
      <c r="T2722" s="375" t="s">
        <v>1277</v>
      </c>
      <c r="U2722" s="398"/>
      <c r="V2722" s="464"/>
      <c r="W2722" s="421"/>
      <c r="X2722" s="464"/>
      <c r="Y2722" s="421"/>
      <c r="Z2722" s="421"/>
      <c r="AA2722" s="421"/>
      <c r="AB2722" s="421"/>
      <c r="AC2722" s="421"/>
      <c r="AD2722" s="421"/>
    </row>
    <row r="2723" spans="1:30" s="381" customFormat="1" x14ac:dyDescent="0.4">
      <c r="A2723" s="402">
        <v>46097</v>
      </c>
      <c r="B2723" s="392">
        <v>153010</v>
      </c>
      <c r="C2723" s="375" t="str">
        <f>VLOOKUP(B2723,'112年全品項生產鍋數'!A:H,2,0)</f>
        <v>蜜桔皮6m/m</v>
      </c>
      <c r="D2723" s="406">
        <v>0.5</v>
      </c>
      <c r="E2723" s="141">
        <f>VLOOKUP(B2723,'112年全品項生產鍋數'!A:H,3,0)</f>
        <v>1</v>
      </c>
      <c r="F2723" s="142">
        <f>VLOOKUP(B2723,'112年全品項生產鍋數'!A:H,7,0)</f>
        <v>591</v>
      </c>
      <c r="G2723" s="143">
        <f t="shared" si="418"/>
        <v>295.5</v>
      </c>
      <c r="H2723" s="156">
        <v>280</v>
      </c>
      <c r="I2723" s="374">
        <f t="shared" si="419"/>
        <v>280</v>
      </c>
      <c r="J2723" s="100">
        <f t="shared" si="420"/>
        <v>0.94754653130287647</v>
      </c>
      <c r="K2723" s="51">
        <f>VLOOKUP(B:B,'生產達成率(目標)'!A:C,3,0)</f>
        <v>1</v>
      </c>
      <c r="L2723" s="20">
        <f t="shared" si="421"/>
        <v>-5.1999999999999998E-2</v>
      </c>
      <c r="M2723" s="137" t="str">
        <f>工時!R1907</f>
        <v>0</v>
      </c>
      <c r="N2723" s="374"/>
      <c r="O2723" s="374">
        <f t="shared" si="422"/>
        <v>0</v>
      </c>
      <c r="P2723" s="156">
        <v>280</v>
      </c>
      <c r="Q2723" s="145">
        <f t="shared" si="423"/>
        <v>1</v>
      </c>
      <c r="R2723" s="374"/>
      <c r="S2723" s="378"/>
      <c r="T2723" s="375" t="s">
        <v>1153</v>
      </c>
      <c r="U2723" s="398"/>
      <c r="V2723" s="464"/>
      <c r="W2723" s="421"/>
      <c r="X2723" s="464"/>
      <c r="Y2723" s="421"/>
      <c r="Z2723" s="421"/>
      <c r="AA2723" s="421"/>
      <c r="AB2723" s="421"/>
      <c r="AC2723" s="421"/>
      <c r="AD2723" s="421"/>
    </row>
    <row r="2724" spans="1:30" s="361" customFormat="1" x14ac:dyDescent="0.4">
      <c r="A2724" s="212">
        <v>46098</v>
      </c>
      <c r="B2724" s="139" t="s">
        <v>63</v>
      </c>
      <c r="C2724" s="30" t="str">
        <f>VLOOKUP(B2724,'112年全品項生產鍋數'!A:H,2,0)</f>
        <v>草莓蒟蒻餡(1*6kg)</v>
      </c>
      <c r="D2724" s="296">
        <v>16</v>
      </c>
      <c r="E2724" s="48">
        <f>VLOOKUP(B2724,'112年全品項生產鍋數'!A:H,3,0)</f>
        <v>6</v>
      </c>
      <c r="F2724" s="142">
        <f>VLOOKUP(B2724,'112年全品項生產鍋數'!A:H,7,0)</f>
        <v>25.7</v>
      </c>
      <c r="G2724" s="143">
        <f t="shared" si="418"/>
        <v>411.2</v>
      </c>
      <c r="H2724" s="156">
        <f>194+217</f>
        <v>411</v>
      </c>
      <c r="I2724" s="23">
        <f t="shared" si="419"/>
        <v>2466</v>
      </c>
      <c r="J2724" s="100">
        <f t="shared" si="420"/>
        <v>0.9995136186770428</v>
      </c>
      <c r="K2724" s="51">
        <f>VLOOKUP(B:B,'生產達成率(目標)'!A:C,3,0)</f>
        <v>1</v>
      </c>
      <c r="L2724" s="20">
        <f t="shared" si="421"/>
        <v>0</v>
      </c>
      <c r="M2724" s="137" t="str">
        <f>工時!R1908</f>
        <v>210</v>
      </c>
      <c r="N2724" s="144"/>
      <c r="O2724" s="144">
        <f t="shared" si="422"/>
        <v>1</v>
      </c>
      <c r="P2724" s="156">
        <f>193+217</f>
        <v>410</v>
      </c>
      <c r="Q2724" s="98">
        <f t="shared" si="423"/>
        <v>0.9975669099756691</v>
      </c>
      <c r="R2724" s="23"/>
      <c r="S2724" s="173"/>
      <c r="T2724" s="30"/>
      <c r="U2724" s="264"/>
      <c r="V2724" s="463"/>
      <c r="W2724" s="421"/>
      <c r="X2724" s="463"/>
      <c r="Y2724" s="421"/>
      <c r="Z2724" s="421"/>
      <c r="AA2724" s="421"/>
      <c r="AB2724" s="421"/>
      <c r="AC2724" s="421"/>
      <c r="AD2724" s="421"/>
    </row>
    <row r="2725" spans="1:30" s="361" customFormat="1" x14ac:dyDescent="0.4">
      <c r="A2725" s="212">
        <v>46098</v>
      </c>
      <c r="B2725" s="139" t="s">
        <v>64</v>
      </c>
      <c r="C2725" s="30" t="str">
        <f>VLOOKUP(B2725,'112年全品項生產鍋數'!A:H,2,0)</f>
        <v>藍莓餡(1*6KG)</v>
      </c>
      <c r="D2725" s="296">
        <v>24</v>
      </c>
      <c r="E2725" s="48">
        <f>VLOOKUP(B2725,'112年全品項生產鍋數'!A:H,3,0)</f>
        <v>6</v>
      </c>
      <c r="F2725" s="142">
        <f>VLOOKUP(B2725,'112年全品項生產鍋數'!A:H,7,0)</f>
        <v>25.4</v>
      </c>
      <c r="G2725" s="143">
        <f t="shared" si="418"/>
        <v>609.59999999999991</v>
      </c>
      <c r="H2725" s="156">
        <f>299+309</f>
        <v>608</v>
      </c>
      <c r="I2725" s="23">
        <f t="shared" si="419"/>
        <v>3648</v>
      </c>
      <c r="J2725" s="100">
        <f t="shared" si="420"/>
        <v>0.99737532808398965</v>
      </c>
      <c r="K2725" s="51">
        <f>VLOOKUP(B:B,'生產達成率(目標)'!A:C,3,0)</f>
        <v>1</v>
      </c>
      <c r="L2725" s="20">
        <f t="shared" si="421"/>
        <v>-3.0000000000000001E-3</v>
      </c>
      <c r="M2725" s="137" t="str">
        <f>工時!R1909</f>
        <v>335</v>
      </c>
      <c r="N2725" s="144"/>
      <c r="O2725" s="144">
        <f t="shared" si="422"/>
        <v>1</v>
      </c>
      <c r="P2725" s="156">
        <f>298+309</f>
        <v>607</v>
      </c>
      <c r="Q2725" s="98">
        <f t="shared" si="423"/>
        <v>0.99835526315789469</v>
      </c>
      <c r="R2725" s="23"/>
      <c r="S2725" s="173"/>
      <c r="T2725" s="30"/>
      <c r="U2725" s="264"/>
      <c r="V2725" s="463"/>
      <c r="W2725" s="421"/>
      <c r="X2725" s="463"/>
      <c r="Y2725" s="421"/>
      <c r="Z2725" s="421"/>
      <c r="AA2725" s="421"/>
      <c r="AB2725" s="421"/>
      <c r="AC2725" s="421"/>
      <c r="AD2725" s="421"/>
    </row>
    <row r="2726" spans="1:30" s="361" customFormat="1" x14ac:dyDescent="0.4">
      <c r="A2726" s="212">
        <v>46098</v>
      </c>
      <c r="B2726" s="139" t="s">
        <v>110</v>
      </c>
      <c r="C2726" s="30" t="str">
        <f>VLOOKUP(B2726,'112年全品項生產鍋數'!A:H,2,0)</f>
        <v>顆粒花生醬(1*12KG)</v>
      </c>
      <c r="D2726" s="296">
        <v>21</v>
      </c>
      <c r="E2726" s="48">
        <f>VLOOKUP(B2726,'112年全品項生產鍋數'!A:H,3,0)</f>
        <v>3</v>
      </c>
      <c r="F2726" s="142">
        <f>VLOOKUP(B2726,'112年全品項生產鍋數'!A:H,7,0)</f>
        <v>30.8</v>
      </c>
      <c r="G2726" s="143">
        <f t="shared" si="418"/>
        <v>646.80000000000007</v>
      </c>
      <c r="H2726" s="156">
        <v>648</v>
      </c>
      <c r="I2726" s="23">
        <f t="shared" si="419"/>
        <v>1944</v>
      </c>
      <c r="J2726" s="100">
        <f t="shared" si="420"/>
        <v>1.0018552875695732</v>
      </c>
      <c r="K2726" s="51">
        <f>VLOOKUP(B:B,'生產達成率(目標)'!A:C,3,0)</f>
        <v>1</v>
      </c>
      <c r="L2726" s="20">
        <f t="shared" si="421"/>
        <v>2E-3</v>
      </c>
      <c r="M2726" s="137" t="str">
        <f>工時!R1910</f>
        <v>570</v>
      </c>
      <c r="N2726" s="144"/>
      <c r="O2726" s="144">
        <f t="shared" si="422"/>
        <v>0</v>
      </c>
      <c r="P2726" s="156">
        <v>648</v>
      </c>
      <c r="Q2726" s="98">
        <f t="shared" si="423"/>
        <v>1</v>
      </c>
      <c r="R2726" s="23"/>
      <c r="S2726" s="173"/>
      <c r="T2726" s="30" t="s">
        <v>1153</v>
      </c>
      <c r="U2726" s="264"/>
      <c r="V2726" s="463"/>
      <c r="W2726" s="421"/>
      <c r="X2726" s="463"/>
      <c r="Y2726" s="421"/>
      <c r="Z2726" s="421"/>
      <c r="AA2726" s="421"/>
      <c r="AB2726" s="421"/>
      <c r="AC2726" s="421"/>
      <c r="AD2726" s="421"/>
    </row>
    <row r="2727" spans="1:30" s="361" customFormat="1" x14ac:dyDescent="0.4">
      <c r="A2727" s="212">
        <v>46098</v>
      </c>
      <c r="B2727" s="139" t="s">
        <v>96</v>
      </c>
      <c r="C2727" s="30" t="str">
        <f>VLOOKUP(B2727,'112年全品項生產鍋數'!A:H,2,0)</f>
        <v>PET瓶花生(1*340g)</v>
      </c>
      <c r="D2727" s="296">
        <v>20</v>
      </c>
      <c r="E2727" s="48">
        <f>VLOOKUP(B2727,'112年全品項生產鍋數'!A:H,3,0)</f>
        <v>0.34</v>
      </c>
      <c r="F2727" s="142">
        <f>VLOOKUP(B2727,'112年全品項生產鍋數'!A:H,7,0)</f>
        <v>358.3</v>
      </c>
      <c r="G2727" s="143">
        <f t="shared" si="418"/>
        <v>7166</v>
      </c>
      <c r="H2727" s="156">
        <f>2393+4802</f>
        <v>7195</v>
      </c>
      <c r="I2727" s="23">
        <f t="shared" si="419"/>
        <v>2446.3000000000002</v>
      </c>
      <c r="J2727" s="100">
        <f t="shared" si="420"/>
        <v>1.0040468880826123</v>
      </c>
      <c r="K2727" s="51">
        <f>VLOOKUP(B:B,'生產達成率(目標)'!A:C,3,0)</f>
        <v>1</v>
      </c>
      <c r="L2727" s="20">
        <f t="shared" si="421"/>
        <v>4.0000000000000001E-3</v>
      </c>
      <c r="M2727" s="137" t="str">
        <f>工時!R1911</f>
        <v>390</v>
      </c>
      <c r="N2727" s="144"/>
      <c r="O2727" s="144">
        <f t="shared" si="422"/>
        <v>5</v>
      </c>
      <c r="P2727" s="156">
        <f>2390+4800</f>
        <v>7190</v>
      </c>
      <c r="Q2727" s="98">
        <f t="shared" si="423"/>
        <v>0.99930507296733839</v>
      </c>
      <c r="R2727" s="23"/>
      <c r="S2727" s="173"/>
      <c r="T2727" s="30" t="s">
        <v>1278</v>
      </c>
      <c r="U2727" s="264"/>
      <c r="V2727" s="463"/>
      <c r="W2727" s="421"/>
      <c r="X2727" s="463"/>
      <c r="Y2727" s="421"/>
      <c r="Z2727" s="421"/>
      <c r="AA2727" s="421"/>
      <c r="AB2727" s="421"/>
      <c r="AC2727" s="421"/>
      <c r="AD2727" s="421"/>
    </row>
    <row r="2728" spans="1:30" s="361" customFormat="1" x14ac:dyDescent="0.4">
      <c r="A2728" s="212">
        <v>46098</v>
      </c>
      <c r="B2728" s="139" t="s">
        <v>83</v>
      </c>
      <c r="C2728" s="30" t="str">
        <f>VLOOKUP(B2728,'112年全品項生產鍋數'!A:H,2,0)</f>
        <v>PET瓶花生(粒)(1*340g)</v>
      </c>
      <c r="D2728" s="296">
        <v>16</v>
      </c>
      <c r="E2728" s="48">
        <f>VLOOKUP(B2728,'112年全品項生產鍋數'!A:H,3,0)</f>
        <v>0.34</v>
      </c>
      <c r="F2728" s="142">
        <f>VLOOKUP(B2728,'112年全品項生產鍋數'!A:H,7,0)</f>
        <v>366</v>
      </c>
      <c r="G2728" s="143">
        <f t="shared" si="418"/>
        <v>5856</v>
      </c>
      <c r="H2728" s="156">
        <f>2458+3602</f>
        <v>6060</v>
      </c>
      <c r="I2728" s="23">
        <f t="shared" si="419"/>
        <v>2060.4</v>
      </c>
      <c r="J2728" s="100">
        <f t="shared" si="420"/>
        <v>1.0348360655737705</v>
      </c>
      <c r="K2728" s="51">
        <f>VLOOKUP(B:B,'生產達成率(目標)'!A:C,3,0)</f>
        <v>1</v>
      </c>
      <c r="L2728" s="20">
        <f t="shared" si="421"/>
        <v>3.5000000000000003E-2</v>
      </c>
      <c r="M2728" s="137" t="str">
        <f>工時!R1912</f>
        <v>370</v>
      </c>
      <c r="N2728" s="144"/>
      <c r="O2728" s="144">
        <f t="shared" si="422"/>
        <v>5</v>
      </c>
      <c r="P2728" s="156">
        <f>2455+3600</f>
        <v>6055</v>
      </c>
      <c r="Q2728" s="98">
        <f t="shared" si="423"/>
        <v>0.99917491749174914</v>
      </c>
      <c r="R2728" s="23"/>
      <c r="S2728" s="173"/>
      <c r="T2728" s="30" t="s">
        <v>1279</v>
      </c>
      <c r="U2728" s="264"/>
      <c r="V2728" s="463"/>
      <c r="W2728" s="421"/>
      <c r="X2728" s="463"/>
      <c r="Y2728" s="421"/>
      <c r="Z2728" s="421"/>
      <c r="AA2728" s="421"/>
      <c r="AB2728" s="421"/>
      <c r="AC2728" s="421"/>
      <c r="AD2728" s="421"/>
    </row>
    <row r="2729" spans="1:30" s="361" customFormat="1" x14ac:dyDescent="0.4">
      <c r="A2729" s="212">
        <v>46099</v>
      </c>
      <c r="B2729" s="139" t="s">
        <v>71</v>
      </c>
      <c r="C2729" s="30" t="str">
        <f>VLOOKUP(B2729,'112年全品項生產鍋數'!A:H,2,0)</f>
        <v>＃1草莓(1*3.2kg)</v>
      </c>
      <c r="D2729" s="296">
        <v>64</v>
      </c>
      <c r="E2729" s="48">
        <f>VLOOKUP(B2729,'112年全品項生產鍋數'!A:H,3,0)</f>
        <v>3.2</v>
      </c>
      <c r="F2729" s="142">
        <f>VLOOKUP(B2729,'112年全品項生產鍋數'!A:H,7,0)</f>
        <v>46.8</v>
      </c>
      <c r="G2729" s="143">
        <f t="shared" si="418"/>
        <v>2995.2</v>
      </c>
      <c r="H2729" s="156">
        <v>2951</v>
      </c>
      <c r="I2729" s="23">
        <f t="shared" si="419"/>
        <v>9443.2000000000007</v>
      </c>
      <c r="J2729" s="100">
        <f t="shared" si="420"/>
        <v>0.98524305555555558</v>
      </c>
      <c r="K2729" s="51">
        <f>VLOOKUP(B:B,'生產達成率(目標)'!A:C,3,0)</f>
        <v>1</v>
      </c>
      <c r="L2729" s="20">
        <f t="shared" si="421"/>
        <v>-1.4999999999999999E-2</v>
      </c>
      <c r="M2729" s="137" t="str">
        <f>工時!R1913</f>
        <v>480</v>
      </c>
      <c r="N2729" s="144"/>
      <c r="O2729" s="144">
        <f t="shared" si="422"/>
        <v>1</v>
      </c>
      <c r="P2729" s="156">
        <v>2950</v>
      </c>
      <c r="Q2729" s="98">
        <f t="shared" si="423"/>
        <v>0.99966113181972216</v>
      </c>
      <c r="R2729" s="23"/>
      <c r="S2729" s="173"/>
      <c r="T2729" s="30" t="s">
        <v>1153</v>
      </c>
      <c r="U2729" s="264"/>
      <c r="V2729" s="463"/>
      <c r="W2729" s="421"/>
      <c r="X2729" s="463"/>
      <c r="Y2729" s="421"/>
      <c r="Z2729" s="421"/>
      <c r="AA2729" s="421"/>
      <c r="AB2729" s="421"/>
      <c r="AC2729" s="421"/>
      <c r="AD2729" s="421"/>
    </row>
    <row r="2730" spans="1:30" s="361" customFormat="1" x14ac:dyDescent="0.4">
      <c r="A2730" s="212">
        <v>46099</v>
      </c>
      <c r="B2730" s="139" t="s">
        <v>460</v>
      </c>
      <c r="C2730" s="30" t="str">
        <f>VLOOKUP(B2730,'112年全品項生產鍋數'!A:H,2,0)</f>
        <v>＃1草莓原漿(1*3.4kg)</v>
      </c>
      <c r="D2730" s="296">
        <v>8</v>
      </c>
      <c r="E2730" s="48">
        <f>VLOOKUP(B2730,'112年全品項生產鍋數'!A:H,3,0)</f>
        <v>3.4</v>
      </c>
      <c r="F2730" s="142">
        <f>VLOOKUP(B2730,'112年全品項生產鍋數'!A:H,7,0)</f>
        <v>43</v>
      </c>
      <c r="G2730" s="143">
        <f t="shared" si="418"/>
        <v>344</v>
      </c>
      <c r="H2730" s="156">
        <v>348</v>
      </c>
      <c r="I2730" s="23">
        <f t="shared" si="419"/>
        <v>1183.2</v>
      </c>
      <c r="J2730" s="100">
        <f t="shared" si="420"/>
        <v>1.0116279069767442</v>
      </c>
      <c r="K2730" s="51">
        <f>VLOOKUP(B:B,'生產達成率(目標)'!A:C,3,0)</f>
        <v>1</v>
      </c>
      <c r="L2730" s="20">
        <f t="shared" si="421"/>
        <v>1.2E-2</v>
      </c>
      <c r="M2730" s="137" t="str">
        <f>工時!R1914</f>
        <v>145</v>
      </c>
      <c r="N2730" s="144"/>
      <c r="O2730" s="144">
        <f t="shared" si="422"/>
        <v>1</v>
      </c>
      <c r="P2730" s="156">
        <v>347</v>
      </c>
      <c r="Q2730" s="98">
        <f t="shared" si="423"/>
        <v>0.99712643678160917</v>
      </c>
      <c r="R2730" s="23"/>
      <c r="S2730" s="173"/>
      <c r="T2730" s="30" t="s">
        <v>1153</v>
      </c>
      <c r="U2730" s="264"/>
      <c r="V2730" s="463"/>
      <c r="W2730" s="421"/>
      <c r="X2730" s="463"/>
      <c r="Y2730" s="421"/>
      <c r="Z2730" s="421"/>
      <c r="AA2730" s="421"/>
      <c r="AB2730" s="421"/>
      <c r="AC2730" s="421"/>
      <c r="AD2730" s="421"/>
    </row>
    <row r="2731" spans="1:30" s="361" customFormat="1" x14ac:dyDescent="0.4">
      <c r="A2731" s="212">
        <v>46099</v>
      </c>
      <c r="B2731" s="139" t="s">
        <v>63</v>
      </c>
      <c r="C2731" s="30" t="str">
        <f>VLOOKUP(B2731,'112年全品項生產鍋數'!A:H,2,0)</f>
        <v>草莓蒟蒻餡(1*6kg)</v>
      </c>
      <c r="D2731" s="296">
        <v>24</v>
      </c>
      <c r="E2731" s="48">
        <f>VLOOKUP(B2731,'112年全品項生產鍋數'!A:H,3,0)</f>
        <v>6</v>
      </c>
      <c r="F2731" s="142">
        <f>VLOOKUP(B2731,'112年全品項生產鍋數'!A:H,7,0)</f>
        <v>25.7</v>
      </c>
      <c r="G2731" s="143">
        <f t="shared" si="418"/>
        <v>616.79999999999995</v>
      </c>
      <c r="H2731" s="156">
        <f>298+312</f>
        <v>610</v>
      </c>
      <c r="I2731" s="23">
        <f t="shared" si="419"/>
        <v>3660</v>
      </c>
      <c r="J2731" s="100">
        <f t="shared" si="420"/>
        <v>0.98897535667963687</v>
      </c>
      <c r="K2731" s="51">
        <f>VLOOKUP(B:B,'生產達成率(目標)'!A:C,3,0)</f>
        <v>1</v>
      </c>
      <c r="L2731" s="20">
        <f t="shared" si="421"/>
        <v>-1.0999999999999999E-2</v>
      </c>
      <c r="M2731" s="137" t="str">
        <f>工時!R1915</f>
        <v>360</v>
      </c>
      <c r="N2731" s="144"/>
      <c r="O2731" s="144">
        <f t="shared" si="422"/>
        <v>1</v>
      </c>
      <c r="P2731" s="156">
        <f>297+312</f>
        <v>609</v>
      </c>
      <c r="Q2731" s="98">
        <f t="shared" si="423"/>
        <v>0.99836065573770494</v>
      </c>
      <c r="R2731" s="23"/>
      <c r="S2731" s="173"/>
      <c r="T2731" s="30"/>
      <c r="U2731" s="264"/>
      <c r="V2731" s="463"/>
      <c r="W2731" s="421"/>
      <c r="X2731" s="463"/>
      <c r="Y2731" s="421"/>
      <c r="Z2731" s="421"/>
      <c r="AA2731" s="421"/>
      <c r="AB2731" s="421"/>
      <c r="AC2731" s="421"/>
      <c r="AD2731" s="421"/>
    </row>
    <row r="2732" spans="1:30" s="361" customFormat="1" x14ac:dyDescent="0.4">
      <c r="A2732" s="212">
        <v>46099</v>
      </c>
      <c r="B2732" s="139" t="s">
        <v>81</v>
      </c>
      <c r="C2732" s="30" t="str">
        <f>VLOOKUP(B2732,'112年全品項生產鍋數'!A:H,2,0)</f>
        <v>藍莓餡(1*6Kg)</v>
      </c>
      <c r="D2732" s="296">
        <v>12</v>
      </c>
      <c r="E2732" s="48">
        <f>VLOOKUP(B2732,'112年全品項生產鍋數'!A:H,3,0)</f>
        <v>6</v>
      </c>
      <c r="F2732" s="142">
        <f>VLOOKUP(B2732,'112年全品項生產鍋數'!A:H,7,0)</f>
        <v>25.1</v>
      </c>
      <c r="G2732" s="143">
        <f t="shared" si="418"/>
        <v>301.20000000000005</v>
      </c>
      <c r="H2732" s="156">
        <v>302</v>
      </c>
      <c r="I2732" s="23">
        <f t="shared" si="419"/>
        <v>1812</v>
      </c>
      <c r="J2732" s="100">
        <f t="shared" si="420"/>
        <v>1.0026560424966797</v>
      </c>
      <c r="K2732" s="51">
        <f>VLOOKUP(B:B,'生產達成率(目標)'!A:C,3,0)</f>
        <v>1</v>
      </c>
      <c r="L2732" s="20">
        <f t="shared" si="421"/>
        <v>3.0000000000000001E-3</v>
      </c>
      <c r="M2732" s="137" t="str">
        <f>工時!R1916</f>
        <v>190</v>
      </c>
      <c r="N2732" s="144"/>
      <c r="O2732" s="144">
        <f t="shared" si="422"/>
        <v>1</v>
      </c>
      <c r="P2732" s="156">
        <v>301</v>
      </c>
      <c r="Q2732" s="98">
        <f t="shared" si="423"/>
        <v>0.99668874172185429</v>
      </c>
      <c r="R2732" s="23"/>
      <c r="S2732" s="173"/>
      <c r="T2732" s="30" t="s">
        <v>1153</v>
      </c>
      <c r="U2732" s="264"/>
      <c r="V2732" s="463"/>
      <c r="W2732" s="421"/>
      <c r="X2732" s="463"/>
      <c r="Y2732" s="421"/>
      <c r="Z2732" s="421"/>
      <c r="AA2732" s="421"/>
      <c r="AB2732" s="421"/>
      <c r="AC2732" s="421"/>
      <c r="AD2732" s="421"/>
    </row>
    <row r="2733" spans="1:30" s="361" customFormat="1" x14ac:dyDescent="0.4">
      <c r="A2733" s="212">
        <v>46099</v>
      </c>
      <c r="B2733" s="139" t="s">
        <v>65</v>
      </c>
      <c r="C2733" s="30" t="str">
        <f>VLOOKUP(B2733,'112年全品項生產鍋數'!A:H,2,0)</f>
        <v>＃1花生(1*2.8kg)</v>
      </c>
      <c r="D2733" s="296">
        <v>72</v>
      </c>
      <c r="E2733" s="48">
        <f>VLOOKUP(B2733,'112年全品項生產鍋數'!A:H,3,0)</f>
        <v>2.8</v>
      </c>
      <c r="F2733" s="142">
        <f>VLOOKUP(B2733,'112年全品項生產鍋數'!A:H,7,0)</f>
        <v>44.5</v>
      </c>
      <c r="G2733" s="143">
        <f>D2733*F2733-18*60/2.8</f>
        <v>2818.2857142857142</v>
      </c>
      <c r="H2733" s="156">
        <f>2509+300</f>
        <v>2809</v>
      </c>
      <c r="I2733" s="23">
        <f t="shared" si="419"/>
        <v>7865.2</v>
      </c>
      <c r="J2733" s="100">
        <f t="shared" si="420"/>
        <v>0.99670519059205198</v>
      </c>
      <c r="K2733" s="51">
        <f>VLOOKUP(B:B,'生產達成率(目標)'!A:C,3,0)</f>
        <v>1</v>
      </c>
      <c r="L2733" s="20">
        <f t="shared" si="421"/>
        <v>-3.0000000000000001E-3</v>
      </c>
      <c r="M2733" s="137" t="str">
        <f>工時!R1917</f>
        <v>580</v>
      </c>
      <c r="N2733" s="144"/>
      <c r="O2733" s="144">
        <f t="shared" si="422"/>
        <v>1</v>
      </c>
      <c r="P2733" s="156">
        <f>2508+300</f>
        <v>2808</v>
      </c>
      <c r="Q2733" s="98">
        <f t="shared" si="423"/>
        <v>0.99964400142399434</v>
      </c>
      <c r="R2733" s="23"/>
      <c r="S2733" s="173"/>
      <c r="T2733" s="30" t="s">
        <v>1280</v>
      </c>
      <c r="U2733" s="264"/>
      <c r="V2733" s="463"/>
      <c r="W2733" s="421"/>
      <c r="X2733" s="463"/>
      <c r="Y2733" s="421"/>
      <c r="Z2733" s="421"/>
      <c r="AA2733" s="421"/>
      <c r="AB2733" s="421"/>
      <c r="AC2733" s="421"/>
      <c r="AD2733" s="421"/>
    </row>
    <row r="2734" spans="1:30" s="381" customFormat="1" x14ac:dyDescent="0.4">
      <c r="A2734" s="402">
        <v>46100</v>
      </c>
      <c r="B2734" s="392" t="s">
        <v>54</v>
      </c>
      <c r="C2734" s="375" t="str">
        <f>VLOOKUP(B2734,'112年全品項生產鍋數'!A:H,2,0)</f>
        <v>草莓醬(1*6kg)</v>
      </c>
      <c r="D2734" s="406">
        <v>32</v>
      </c>
      <c r="E2734" s="141">
        <f>VLOOKUP(B2734,'112年全品項生產鍋數'!A:H,3,0)</f>
        <v>6</v>
      </c>
      <c r="F2734" s="142">
        <f>VLOOKUP(B2734,'112年全品項生產鍋數'!A:H,7,0)</f>
        <v>26.6</v>
      </c>
      <c r="G2734" s="143">
        <f t="shared" si="418"/>
        <v>851.2</v>
      </c>
      <c r="H2734" s="156">
        <v>837</v>
      </c>
      <c r="I2734" s="374">
        <f t="shared" si="419"/>
        <v>5022</v>
      </c>
      <c r="J2734" s="100">
        <f t="shared" si="420"/>
        <v>0.98331766917293228</v>
      </c>
      <c r="K2734" s="51">
        <f>VLOOKUP(B:B,'生產達成率(目標)'!A:C,3,0)</f>
        <v>1</v>
      </c>
      <c r="L2734" s="20">
        <f t="shared" si="421"/>
        <v>-1.7000000000000001E-2</v>
      </c>
      <c r="M2734" s="137" t="str">
        <f>工時!R1918</f>
        <v>450</v>
      </c>
      <c r="N2734" s="374"/>
      <c r="O2734" s="374">
        <f t="shared" si="422"/>
        <v>1</v>
      </c>
      <c r="P2734" s="156">
        <v>836</v>
      </c>
      <c r="Q2734" s="145">
        <f t="shared" si="423"/>
        <v>0.99880525686977295</v>
      </c>
      <c r="R2734" s="374"/>
      <c r="S2734" s="378"/>
      <c r="T2734" s="375" t="s">
        <v>1153</v>
      </c>
      <c r="U2734" s="398"/>
      <c r="V2734" s="464"/>
      <c r="W2734" s="421"/>
      <c r="X2734" s="464"/>
      <c r="Y2734" s="421"/>
      <c r="Z2734" s="421"/>
      <c r="AA2734" s="421"/>
      <c r="AB2734" s="421"/>
      <c r="AC2734" s="421"/>
      <c r="AD2734" s="421"/>
    </row>
    <row r="2735" spans="1:30" s="381" customFormat="1" x14ac:dyDescent="0.4">
      <c r="A2735" s="402">
        <v>46100</v>
      </c>
      <c r="B2735" s="392" t="s">
        <v>53</v>
      </c>
      <c r="C2735" s="375" t="str">
        <f>VLOOKUP(B2735,'112年全品項生產鍋數'!A:H,2,0)</f>
        <v>鳳梨芒果百香果醬(1*6KG)</v>
      </c>
      <c r="D2735" s="406">
        <v>12</v>
      </c>
      <c r="E2735" s="141">
        <f>VLOOKUP(B2735,'112年全品項生產鍋數'!A:H,3,0)</f>
        <v>6</v>
      </c>
      <c r="F2735" s="142">
        <f>VLOOKUP(B2735,'112年全品項生產鍋數'!A:H,7,0)</f>
        <v>25.7</v>
      </c>
      <c r="G2735" s="143">
        <f t="shared" si="418"/>
        <v>308.39999999999998</v>
      </c>
      <c r="H2735" s="156">
        <v>308</v>
      </c>
      <c r="I2735" s="374">
        <f t="shared" si="419"/>
        <v>1848</v>
      </c>
      <c r="J2735" s="100">
        <f t="shared" si="420"/>
        <v>0.99870298313878092</v>
      </c>
      <c r="K2735" s="51">
        <f>VLOOKUP(B:B,'生產達成率(目標)'!A:C,3,0)</f>
        <v>1</v>
      </c>
      <c r="L2735" s="20">
        <f t="shared" si="421"/>
        <v>-1E-3</v>
      </c>
      <c r="M2735" s="137" t="str">
        <f>工時!R1919</f>
        <v>220</v>
      </c>
      <c r="N2735" s="374"/>
      <c r="O2735" s="374">
        <f t="shared" si="422"/>
        <v>2</v>
      </c>
      <c r="P2735" s="156">
        <v>306</v>
      </c>
      <c r="Q2735" s="145">
        <f t="shared" si="423"/>
        <v>0.99350649350649356</v>
      </c>
      <c r="R2735" s="374"/>
      <c r="S2735" s="378"/>
      <c r="T2735" s="375"/>
      <c r="U2735" s="398"/>
      <c r="V2735" s="464"/>
      <c r="W2735" s="421"/>
      <c r="X2735" s="464"/>
      <c r="Y2735" s="421"/>
      <c r="Z2735" s="421"/>
      <c r="AA2735" s="421"/>
      <c r="AB2735" s="421"/>
      <c r="AC2735" s="421"/>
      <c r="AD2735" s="421"/>
    </row>
    <row r="2736" spans="1:30" s="381" customFormat="1" x14ac:dyDescent="0.4">
      <c r="A2736" s="402">
        <v>46100</v>
      </c>
      <c r="B2736" s="392" t="s">
        <v>532</v>
      </c>
      <c r="C2736" s="375" t="str">
        <f>VLOOKUP(B2736,'112年全品項生產鍋數'!A:H,2,0)</f>
        <v>特殊藍莓餡(1*9.08kg)</v>
      </c>
      <c r="D2736" s="406">
        <v>12</v>
      </c>
      <c r="E2736" s="141">
        <f>VLOOKUP(B2736,'112年全品項生產鍋數'!A:H,3,0)</f>
        <v>9.08</v>
      </c>
      <c r="F2736" s="142">
        <f>VLOOKUP(B2736,'112年全品項生產鍋數'!A:H,7,0)</f>
        <v>17.5</v>
      </c>
      <c r="G2736" s="143">
        <f t="shared" si="418"/>
        <v>210</v>
      </c>
      <c r="H2736" s="156">
        <v>209</v>
      </c>
      <c r="I2736" s="374">
        <f t="shared" si="419"/>
        <v>1897.72</v>
      </c>
      <c r="J2736" s="100">
        <f t="shared" si="420"/>
        <v>0.99523809523809526</v>
      </c>
      <c r="K2736" s="51">
        <f>VLOOKUP(B:B,'生產達成率(目標)'!A:C,3,0)</f>
        <v>1</v>
      </c>
      <c r="L2736" s="20">
        <f t="shared" si="421"/>
        <v>-5.0000000000000001E-3</v>
      </c>
      <c r="M2736" s="137" t="str">
        <f>工時!R1920</f>
        <v>210</v>
      </c>
      <c r="N2736" s="374"/>
      <c r="O2736" s="374">
        <f t="shared" si="422"/>
        <v>0</v>
      </c>
      <c r="P2736" s="156">
        <v>209</v>
      </c>
      <c r="Q2736" s="145">
        <f t="shared" si="423"/>
        <v>1</v>
      </c>
      <c r="R2736" s="374"/>
      <c r="S2736" s="378"/>
      <c r="T2736" s="375" t="s">
        <v>1153</v>
      </c>
      <c r="U2736" s="398"/>
      <c r="V2736" s="464"/>
      <c r="W2736" s="421"/>
      <c r="X2736" s="464"/>
      <c r="Y2736" s="421"/>
      <c r="Z2736" s="421"/>
      <c r="AA2736" s="421"/>
      <c r="AB2736" s="421"/>
      <c r="AC2736" s="421"/>
      <c r="AD2736" s="421"/>
    </row>
    <row r="2737" spans="1:30" s="361" customFormat="1" x14ac:dyDescent="0.4">
      <c r="A2737" s="212">
        <v>46100</v>
      </c>
      <c r="B2737" s="139" t="s">
        <v>55</v>
      </c>
      <c r="C2737" s="30" t="str">
        <f>VLOOKUP(B2737,'112年全品項生產鍋數'!A:H,2,0)</f>
        <v>天天開心草莓餡4.5KG</v>
      </c>
      <c r="D2737" s="296">
        <v>24</v>
      </c>
      <c r="E2737" s="48">
        <f>VLOOKUP(B2737,'112年全品項生產鍋數'!A:H,3,0)</f>
        <v>4.5</v>
      </c>
      <c r="F2737" s="142">
        <f>VLOOKUP(B2737,'112年全品項生產鍋數'!A:H,7,0)</f>
        <v>36.299999999999997</v>
      </c>
      <c r="G2737" s="143">
        <f t="shared" si="418"/>
        <v>871.19999999999993</v>
      </c>
      <c r="H2737" s="156">
        <v>869</v>
      </c>
      <c r="I2737" s="23">
        <f t="shared" si="419"/>
        <v>3910.5</v>
      </c>
      <c r="J2737" s="100">
        <f t="shared" si="420"/>
        <v>0.99747474747474751</v>
      </c>
      <c r="K2737" s="51">
        <f>VLOOKUP(B:B,'生產達成率(目標)'!A:C,3,0)</f>
        <v>1</v>
      </c>
      <c r="L2737" s="20">
        <f t="shared" si="421"/>
        <v>-3.0000000000000001E-3</v>
      </c>
      <c r="M2737" s="137" t="str">
        <f>工時!R1921</f>
        <v>345</v>
      </c>
      <c r="N2737" s="144"/>
      <c r="O2737" s="144">
        <f t="shared" si="422"/>
        <v>0</v>
      </c>
      <c r="P2737" s="156">
        <v>869</v>
      </c>
      <c r="Q2737" s="98">
        <f t="shared" si="423"/>
        <v>1</v>
      </c>
      <c r="R2737" s="23"/>
      <c r="S2737" s="173"/>
      <c r="T2737" s="30"/>
      <c r="U2737" s="264"/>
      <c r="V2737" s="463"/>
      <c r="W2737" s="421"/>
      <c r="X2737" s="463"/>
      <c r="Y2737" s="421"/>
      <c r="Z2737" s="421"/>
      <c r="AA2737" s="421"/>
      <c r="AB2737" s="421"/>
      <c r="AC2737" s="421"/>
      <c r="AD2737" s="421"/>
    </row>
    <row r="2738" spans="1:30" s="361" customFormat="1" x14ac:dyDescent="0.4">
      <c r="A2738" s="212">
        <v>46100</v>
      </c>
      <c r="B2738" s="139" t="s">
        <v>104</v>
      </c>
      <c r="C2738" s="30" t="str">
        <f>VLOOKUP(B2738,'112年全品項生產鍋數'!A:H,2,0)</f>
        <v>＃1花生(粒)(1*2.8kg)</v>
      </c>
      <c r="D2738" s="296">
        <v>68</v>
      </c>
      <c r="E2738" s="48">
        <f>VLOOKUP(B2738,'112年全品項生產鍋數'!A:H,3,0)</f>
        <v>2.8</v>
      </c>
      <c r="F2738" s="142">
        <f>VLOOKUP(B2738,'112年全品項生產鍋數'!A:H,7,0)</f>
        <v>44.2</v>
      </c>
      <c r="G2738" s="143">
        <f t="shared" si="418"/>
        <v>3005.6000000000004</v>
      </c>
      <c r="H2738" s="156">
        <v>2988</v>
      </c>
      <c r="I2738" s="23">
        <f t="shared" si="419"/>
        <v>8366.4</v>
      </c>
      <c r="J2738" s="100">
        <f t="shared" si="420"/>
        <v>0.99414426404045764</v>
      </c>
      <c r="K2738" s="51">
        <f>VLOOKUP(B:B,'生產達成率(目標)'!A:C,3,0)</f>
        <v>1</v>
      </c>
      <c r="L2738" s="20">
        <f t="shared" si="421"/>
        <v>-6.0000000000000001E-3</v>
      </c>
      <c r="M2738" s="137" t="str">
        <f>工時!R1922</f>
        <v>500</v>
      </c>
      <c r="N2738" s="144"/>
      <c r="O2738" s="144">
        <f t="shared" si="422"/>
        <v>0</v>
      </c>
      <c r="P2738" s="156">
        <v>2988</v>
      </c>
      <c r="Q2738" s="98">
        <f t="shared" si="423"/>
        <v>1</v>
      </c>
      <c r="R2738" s="23"/>
      <c r="S2738" s="173"/>
      <c r="T2738" s="30" t="s">
        <v>1153</v>
      </c>
      <c r="U2738" s="264"/>
      <c r="V2738" s="463"/>
      <c r="W2738" s="421"/>
      <c r="X2738" s="463"/>
      <c r="Y2738" s="421"/>
      <c r="Z2738" s="421"/>
      <c r="AA2738" s="421"/>
      <c r="AB2738" s="421"/>
      <c r="AC2738" s="421"/>
      <c r="AD2738" s="421"/>
    </row>
    <row r="2739" spans="1:30" s="361" customFormat="1" x14ac:dyDescent="0.4">
      <c r="A2739" s="212">
        <v>46100</v>
      </c>
      <c r="B2739" s="139" t="s">
        <v>558</v>
      </c>
      <c r="C2739" s="30" t="str">
        <f>VLOOKUP(B2739,'112年全品項生產鍋數'!A:H,2,0)</f>
        <v>＃1花生(粒)(1*2.8kg)</v>
      </c>
      <c r="D2739" s="296">
        <v>2</v>
      </c>
      <c r="E2739" s="48">
        <f>VLOOKUP(B2739,'112年全品項生產鍋數'!A:H,3,0)</f>
        <v>2.8</v>
      </c>
      <c r="F2739" s="142">
        <f>VLOOKUP(B2739,'112年全品項生產鍋數'!A:H,7,0)</f>
        <v>44.8</v>
      </c>
      <c r="G2739" s="143">
        <f t="shared" si="418"/>
        <v>89.6</v>
      </c>
      <c r="H2739" s="156">
        <v>15</v>
      </c>
      <c r="I2739" s="23">
        <f t="shared" si="419"/>
        <v>42</v>
      </c>
      <c r="J2739" s="100">
        <f t="shared" si="420"/>
        <v>0.1674107142857143</v>
      </c>
      <c r="K2739" s="51">
        <f>VLOOKUP(B:B,'生產達成率(目標)'!A:C,3,0)</f>
        <v>1</v>
      </c>
      <c r="L2739" s="20">
        <f t="shared" si="421"/>
        <v>-0.83299999999999996</v>
      </c>
      <c r="M2739" s="137" t="str">
        <f>工時!R1923</f>
        <v>60</v>
      </c>
      <c r="N2739" s="144"/>
      <c r="O2739" s="144">
        <f t="shared" si="422"/>
        <v>15</v>
      </c>
      <c r="P2739" s="156">
        <v>0</v>
      </c>
      <c r="Q2739" s="98">
        <f t="shared" si="423"/>
        <v>0</v>
      </c>
      <c r="R2739" s="23"/>
      <c r="S2739" s="173"/>
      <c r="T2739" s="30" t="s">
        <v>1281</v>
      </c>
      <c r="U2739" s="264"/>
      <c r="V2739" s="463"/>
      <c r="W2739" s="421"/>
      <c r="X2739" s="463"/>
      <c r="Y2739" s="421"/>
      <c r="Z2739" s="421"/>
      <c r="AA2739" s="421"/>
      <c r="AB2739" s="421"/>
      <c r="AC2739" s="421"/>
      <c r="AD2739" s="421"/>
    </row>
    <row r="2740" spans="1:30" s="361" customFormat="1" x14ac:dyDescent="0.4">
      <c r="A2740" s="212">
        <v>46100</v>
      </c>
      <c r="B2740" s="139" t="s">
        <v>434</v>
      </c>
      <c r="C2740" s="30" t="str">
        <f>VLOOKUP(B2740,'112年全品項生產鍋數'!A:H,2,0)</f>
        <v>蜜桔皮</v>
      </c>
      <c r="D2740" s="296">
        <v>50</v>
      </c>
      <c r="E2740" s="48">
        <f>VLOOKUP(B2740,'112年全品項生產鍋數'!A:H,3,0)</f>
        <v>1</v>
      </c>
      <c r="F2740" s="142">
        <f>VLOOKUP(B2740,'112年全品項生產鍋數'!A:H,7,0)</f>
        <v>6</v>
      </c>
      <c r="G2740" s="143">
        <f>D2740*F2740</f>
        <v>300</v>
      </c>
      <c r="H2740" s="156">
        <v>302</v>
      </c>
      <c r="I2740" s="23">
        <f>H2740*E2740</f>
        <v>302</v>
      </c>
      <c r="J2740" s="100">
        <f>IF(G2740=0,"無法預估數據",H2740/G2740)</f>
        <v>1.0066666666666666</v>
      </c>
      <c r="K2740" s="51">
        <f>VLOOKUP(B:B,'生產達成率(目標)'!A:C,3,0)</f>
        <v>1</v>
      </c>
      <c r="L2740" s="20">
        <f>IF(G2740=0,"無法預估數據",ROUND(J2740-K2740,3))</f>
        <v>7.0000000000000001E-3</v>
      </c>
      <c r="M2740" s="137" t="str">
        <f>工時!R1924</f>
        <v>0</v>
      </c>
      <c r="N2740" s="144"/>
      <c r="O2740" s="144">
        <f>H2740-N2740-P2740</f>
        <v>0</v>
      </c>
      <c r="P2740" s="156">
        <v>302</v>
      </c>
      <c r="Q2740" s="98">
        <f>P2740/H2740</f>
        <v>1</v>
      </c>
      <c r="R2740" s="23"/>
      <c r="S2740" s="173"/>
      <c r="T2740" s="30"/>
      <c r="U2740" s="264"/>
      <c r="V2740" s="463"/>
      <c r="W2740" s="421"/>
      <c r="X2740" s="463"/>
      <c r="Y2740" s="421"/>
      <c r="Z2740" s="421"/>
      <c r="AA2740" s="421"/>
      <c r="AB2740" s="421"/>
      <c r="AC2740" s="421"/>
      <c r="AD2740" s="421"/>
    </row>
    <row r="2741" spans="1:30" s="361" customFormat="1" x14ac:dyDescent="0.4">
      <c r="A2741" s="212">
        <v>46101</v>
      </c>
      <c r="B2741" s="139" t="s">
        <v>75</v>
      </c>
      <c r="C2741" s="30" t="str">
        <f>VLOOKUP(B2741,'112年全品項生產鍋數'!A:H,2,0)</f>
        <v>草莓椰果餡(1*6Kg)</v>
      </c>
      <c r="D2741" s="296">
        <v>12</v>
      </c>
      <c r="E2741" s="48">
        <f>VLOOKUP(B2741,'112年全品項生產鍋數'!A:H,3,0)</f>
        <v>6</v>
      </c>
      <c r="F2741" s="142">
        <f>VLOOKUP(B2741,'112年全品項生產鍋數'!A:H,7,0)</f>
        <v>26.4</v>
      </c>
      <c r="G2741" s="143">
        <f t="shared" si="418"/>
        <v>316.79999999999995</v>
      </c>
      <c r="H2741" s="156">
        <v>308</v>
      </c>
      <c r="I2741" s="23">
        <f t="shared" si="419"/>
        <v>1848</v>
      </c>
      <c r="J2741" s="100">
        <f t="shared" si="420"/>
        <v>0.97222222222222232</v>
      </c>
      <c r="K2741" s="51">
        <f>VLOOKUP(B:B,'生產達成率(目標)'!A:C,3,0)</f>
        <v>1</v>
      </c>
      <c r="L2741" s="20">
        <f t="shared" si="421"/>
        <v>-2.8000000000000001E-2</v>
      </c>
      <c r="M2741" s="137" t="str">
        <f>工時!R1925</f>
        <v>210</v>
      </c>
      <c r="N2741" s="144"/>
      <c r="O2741" s="144">
        <f t="shared" si="422"/>
        <v>2</v>
      </c>
      <c r="P2741" s="156">
        <v>306</v>
      </c>
      <c r="Q2741" s="98">
        <f t="shared" si="423"/>
        <v>0.99350649350649356</v>
      </c>
      <c r="R2741" s="23"/>
      <c r="S2741" s="173"/>
      <c r="T2741" s="30" t="s">
        <v>1153</v>
      </c>
      <c r="U2741" s="264"/>
      <c r="V2741" s="463"/>
      <c r="W2741" s="421"/>
      <c r="X2741" s="463"/>
      <c r="Y2741" s="421"/>
      <c r="Z2741" s="421"/>
      <c r="AA2741" s="421"/>
      <c r="AB2741" s="421"/>
      <c r="AC2741" s="421"/>
      <c r="AD2741" s="421"/>
    </row>
    <row r="2742" spans="1:30" s="361" customFormat="1" x14ac:dyDescent="0.4">
      <c r="A2742" s="212">
        <v>46101</v>
      </c>
      <c r="B2742" s="139" t="s">
        <v>63</v>
      </c>
      <c r="C2742" s="30" t="str">
        <f>VLOOKUP(B2742,'112年全品項生產鍋數'!A:H,2,0)</f>
        <v>草莓蒟蒻餡(1*6kg)</v>
      </c>
      <c r="D2742" s="296">
        <v>24</v>
      </c>
      <c r="E2742" s="48">
        <f>VLOOKUP(B2742,'112年全品項生產鍋數'!A:H,3,0)</f>
        <v>6</v>
      </c>
      <c r="F2742" s="142">
        <f>VLOOKUP(B2742,'112年全品項生產鍋數'!A:H,7,0)</f>
        <v>25.7</v>
      </c>
      <c r="G2742" s="143">
        <f t="shared" si="418"/>
        <v>616.79999999999995</v>
      </c>
      <c r="H2742" s="156">
        <f>300+324</f>
        <v>624</v>
      </c>
      <c r="I2742" s="23">
        <f t="shared" si="419"/>
        <v>3744</v>
      </c>
      <c r="J2742" s="100">
        <f t="shared" si="420"/>
        <v>1.0116731517509729</v>
      </c>
      <c r="K2742" s="51">
        <f>VLOOKUP(B:B,'生產達成率(目標)'!A:C,3,0)</f>
        <v>1</v>
      </c>
      <c r="L2742" s="20">
        <f t="shared" si="421"/>
        <v>1.2E-2</v>
      </c>
      <c r="M2742" s="137" t="str">
        <f>工時!R1926</f>
        <v>343</v>
      </c>
      <c r="N2742" s="144"/>
      <c r="O2742" s="144">
        <f t="shared" si="422"/>
        <v>223</v>
      </c>
      <c r="P2742" s="156">
        <f>195+206</f>
        <v>401</v>
      </c>
      <c r="Q2742" s="98">
        <f t="shared" si="423"/>
        <v>0.64262820512820518</v>
      </c>
      <c r="R2742" s="23"/>
      <c r="S2742" s="173"/>
      <c r="T2742" s="30"/>
      <c r="U2742" s="264"/>
      <c r="V2742" s="463"/>
      <c r="W2742" s="421"/>
      <c r="X2742" s="463"/>
      <c r="Y2742" s="421"/>
      <c r="Z2742" s="421"/>
      <c r="AA2742" s="421"/>
      <c r="AB2742" s="421"/>
      <c r="AC2742" s="421"/>
      <c r="AD2742" s="421"/>
    </row>
    <row r="2743" spans="1:30" s="361" customFormat="1" x14ac:dyDescent="0.4">
      <c r="A2743" s="212">
        <v>46101</v>
      </c>
      <c r="B2743" s="139" t="s">
        <v>108</v>
      </c>
      <c r="C2743" s="30" t="str">
        <f>VLOOKUP(B2743,'112年全品項生產鍋數'!A:H,2,0)</f>
        <v>顆粒花生醬(1*12KG)</v>
      </c>
      <c r="D2743" s="296">
        <v>21</v>
      </c>
      <c r="E2743" s="48">
        <f>VLOOKUP(B2743,'112年全品項生產鍋數'!A:H,3,0)</f>
        <v>3</v>
      </c>
      <c r="F2743" s="142">
        <f>VLOOKUP(B2743,'112年全品項生產鍋數'!A:H,7,0)</f>
        <v>31.6</v>
      </c>
      <c r="G2743" s="143">
        <f t="shared" si="418"/>
        <v>663.6</v>
      </c>
      <c r="H2743" s="156">
        <v>664</v>
      </c>
      <c r="I2743" s="23">
        <f t="shared" si="419"/>
        <v>1992</v>
      </c>
      <c r="J2743" s="100">
        <f t="shared" si="420"/>
        <v>1.0006027727546714</v>
      </c>
      <c r="K2743" s="51">
        <f>VLOOKUP(B:B,'生產達成率(目標)'!A:C,3,0)</f>
        <v>1</v>
      </c>
      <c r="L2743" s="20">
        <f t="shared" si="421"/>
        <v>1E-3</v>
      </c>
      <c r="M2743" s="137" t="str">
        <f>工時!R1927</f>
        <v>540</v>
      </c>
      <c r="N2743" s="144"/>
      <c r="O2743" s="144">
        <f t="shared" si="422"/>
        <v>0</v>
      </c>
      <c r="P2743" s="156">
        <v>664</v>
      </c>
      <c r="Q2743" s="98">
        <f t="shared" si="423"/>
        <v>1</v>
      </c>
      <c r="R2743" s="23"/>
      <c r="S2743" s="173"/>
      <c r="T2743" s="30" t="s">
        <v>1153</v>
      </c>
      <c r="U2743" s="264"/>
      <c r="V2743" s="463"/>
      <c r="W2743" s="421"/>
      <c r="X2743" s="463"/>
      <c r="Y2743" s="421"/>
      <c r="Z2743" s="421"/>
      <c r="AA2743" s="421"/>
      <c r="AB2743" s="421"/>
      <c r="AC2743" s="421"/>
      <c r="AD2743" s="421"/>
    </row>
    <row r="2744" spans="1:30" s="381" customFormat="1" x14ac:dyDescent="0.4">
      <c r="A2744" s="402">
        <v>46101</v>
      </c>
      <c r="B2744" s="392" t="s">
        <v>82</v>
      </c>
      <c r="C2744" s="375" t="str">
        <f>VLOOKUP(B2744,'112年全品項生產鍋數'!A:H,2,0)</f>
        <v>顆粒花生醬(全)</v>
      </c>
      <c r="D2744" s="406">
        <v>40</v>
      </c>
      <c r="E2744" s="141">
        <f>VLOOKUP(B2744,'112年全品項生產鍋數'!A:H,3,0)</f>
        <v>0.34</v>
      </c>
      <c r="F2744" s="142">
        <f>VLOOKUP(B2744,'112年全品項生產鍋數'!A:H,7,0)</f>
        <v>364.6</v>
      </c>
      <c r="G2744" s="143">
        <f t="shared" si="418"/>
        <v>14584</v>
      </c>
      <c r="H2744" s="156">
        <v>14350</v>
      </c>
      <c r="I2744" s="374">
        <f t="shared" si="419"/>
        <v>4879</v>
      </c>
      <c r="J2744" s="100">
        <f t="shared" si="420"/>
        <v>0.98395501919912232</v>
      </c>
      <c r="K2744" s="51">
        <f>VLOOKUP(B:B,'生產達成率(目標)'!A:C,3,0)</f>
        <v>1</v>
      </c>
      <c r="L2744" s="20">
        <f t="shared" si="421"/>
        <v>-1.6E-2</v>
      </c>
      <c r="M2744" s="137" t="str">
        <f>工時!R1928</f>
        <v>560</v>
      </c>
      <c r="N2744" s="374"/>
      <c r="O2744" s="374">
        <f t="shared" si="422"/>
        <v>43</v>
      </c>
      <c r="P2744" s="156">
        <v>14307</v>
      </c>
      <c r="Q2744" s="145">
        <f t="shared" si="423"/>
        <v>0.99700348432055752</v>
      </c>
      <c r="R2744" s="374"/>
      <c r="S2744" s="378"/>
      <c r="T2744" s="375"/>
      <c r="U2744" s="398"/>
      <c r="V2744" s="464"/>
      <c r="W2744" s="421"/>
      <c r="X2744" s="464"/>
      <c r="Y2744" s="421"/>
      <c r="Z2744" s="421"/>
      <c r="AA2744" s="421"/>
      <c r="AB2744" s="421"/>
      <c r="AC2744" s="421"/>
      <c r="AD2744" s="421"/>
    </row>
    <row r="2745" spans="1:30" s="361" customFormat="1" x14ac:dyDescent="0.4">
      <c r="A2745" s="212">
        <v>46104</v>
      </c>
      <c r="B2745" s="139" t="s">
        <v>68</v>
      </c>
      <c r="C2745" s="30" t="str">
        <f>VLOOKUP(B2745,'112年全品項生產鍋數'!A:H,2,0)</f>
        <v>#2草莓果醬(1*900g)</v>
      </c>
      <c r="D2745" s="296">
        <v>40</v>
      </c>
      <c r="E2745" s="48">
        <f>VLOOKUP(B2745,'112年全品項生產鍋數'!A:H,3,0)</f>
        <v>0.9</v>
      </c>
      <c r="F2745" s="142">
        <f>VLOOKUP(B2745,'112年全品項生產鍋數'!A:H,7,0)</f>
        <v>160.5</v>
      </c>
      <c r="G2745" s="143">
        <f t="shared" si="418"/>
        <v>6420</v>
      </c>
      <c r="H2745" s="156">
        <v>6422</v>
      </c>
      <c r="I2745" s="23">
        <f t="shared" si="419"/>
        <v>5779.8</v>
      </c>
      <c r="J2745" s="100">
        <f t="shared" si="420"/>
        <v>1.0003115264797509</v>
      </c>
      <c r="K2745" s="51">
        <f>VLOOKUP(B:B,'生產達成率(目標)'!A:C,3,0)</f>
        <v>1</v>
      </c>
      <c r="L2745" s="20">
        <f t="shared" si="421"/>
        <v>0</v>
      </c>
      <c r="M2745" s="137" t="str">
        <f>工時!R1929</f>
        <v>540</v>
      </c>
      <c r="N2745" s="144"/>
      <c r="O2745" s="144">
        <f t="shared" si="422"/>
        <v>3</v>
      </c>
      <c r="P2745" s="156">
        <v>6419</v>
      </c>
      <c r="Q2745" s="98">
        <f t="shared" si="423"/>
        <v>0.99953285580815943</v>
      </c>
      <c r="R2745" s="23"/>
      <c r="S2745" s="173"/>
      <c r="T2745" s="30" t="s">
        <v>1153</v>
      </c>
      <c r="U2745" s="264"/>
      <c r="V2745" s="463"/>
      <c r="W2745" s="421"/>
      <c r="X2745" s="463"/>
      <c r="Y2745" s="421"/>
      <c r="Z2745" s="421"/>
      <c r="AA2745" s="421"/>
      <c r="AB2745" s="421"/>
      <c r="AC2745" s="421"/>
      <c r="AD2745" s="421"/>
    </row>
    <row r="2746" spans="1:30" s="361" customFormat="1" x14ac:dyDescent="0.4">
      <c r="A2746" s="212">
        <v>46104</v>
      </c>
      <c r="B2746" s="139" t="s">
        <v>64</v>
      </c>
      <c r="C2746" s="30" t="str">
        <f>VLOOKUP(B2746,'112年全品項生產鍋數'!A:H,2,0)</f>
        <v>藍莓餡(1*6KG)</v>
      </c>
      <c r="D2746" s="296">
        <v>16</v>
      </c>
      <c r="E2746" s="48">
        <f>VLOOKUP(B2746,'112年全品項生產鍋數'!A:H,3,0)</f>
        <v>6</v>
      </c>
      <c r="F2746" s="142">
        <f>VLOOKUP(B2746,'112年全品項生產鍋數'!A:H,7,0)</f>
        <v>25.4</v>
      </c>
      <c r="G2746" s="143">
        <f t="shared" si="418"/>
        <v>406.4</v>
      </c>
      <c r="H2746" s="156">
        <f>196+207</f>
        <v>403</v>
      </c>
      <c r="I2746" s="23">
        <f t="shared" si="419"/>
        <v>2418</v>
      </c>
      <c r="J2746" s="100">
        <f t="shared" si="420"/>
        <v>0.99163385826771655</v>
      </c>
      <c r="K2746" s="51">
        <f>VLOOKUP(B:B,'生產達成率(目標)'!A:C,3,0)</f>
        <v>1</v>
      </c>
      <c r="L2746" s="20">
        <f t="shared" si="421"/>
        <v>-8.0000000000000002E-3</v>
      </c>
      <c r="M2746" s="137" t="str">
        <f>工時!R1930</f>
        <v>260</v>
      </c>
      <c r="N2746" s="144"/>
      <c r="O2746" s="144">
        <f t="shared" si="422"/>
        <v>2</v>
      </c>
      <c r="P2746" s="156">
        <f>195+206</f>
        <v>401</v>
      </c>
      <c r="Q2746" s="98">
        <f t="shared" si="423"/>
        <v>0.99503722084367241</v>
      </c>
      <c r="R2746" s="23"/>
      <c r="S2746" s="173"/>
      <c r="T2746" s="30"/>
      <c r="U2746" s="264"/>
      <c r="V2746" s="463"/>
      <c r="W2746" s="421"/>
      <c r="X2746" s="463"/>
      <c r="Y2746" s="421"/>
      <c r="Z2746" s="421"/>
      <c r="AA2746" s="421"/>
      <c r="AB2746" s="421"/>
      <c r="AC2746" s="421"/>
      <c r="AD2746" s="421"/>
    </row>
    <row r="2747" spans="1:30" s="361" customFormat="1" x14ac:dyDescent="0.4">
      <c r="A2747" s="212">
        <v>46104</v>
      </c>
      <c r="B2747" s="139" t="s">
        <v>63</v>
      </c>
      <c r="C2747" s="30" t="str">
        <f>VLOOKUP(B2747,'112年全品項生產鍋數'!A:H,2,0)</f>
        <v>草莓蒟蒻餡(1*6kg)</v>
      </c>
      <c r="D2747" s="296">
        <v>24</v>
      </c>
      <c r="E2747" s="48">
        <f>VLOOKUP(B2747,'112年全品項生產鍋數'!A:H,3,0)</f>
        <v>6</v>
      </c>
      <c r="F2747" s="142">
        <f>VLOOKUP(B2747,'112年全品項生產鍋數'!A:H,7,0)</f>
        <v>25.7</v>
      </c>
      <c r="G2747" s="143">
        <f t="shared" si="418"/>
        <v>616.79999999999995</v>
      </c>
      <c r="H2747" s="156">
        <f>301+311</f>
        <v>612</v>
      </c>
      <c r="I2747" s="23">
        <f t="shared" si="419"/>
        <v>3672</v>
      </c>
      <c r="J2747" s="100">
        <f t="shared" si="420"/>
        <v>0.99221789883268485</v>
      </c>
      <c r="K2747" s="51">
        <f>VLOOKUP(B:B,'生產達成率(目標)'!A:C,3,0)</f>
        <v>1</v>
      </c>
      <c r="L2747" s="20">
        <f t="shared" si="421"/>
        <v>-8.0000000000000002E-3</v>
      </c>
      <c r="M2747" s="137" t="str">
        <f>工時!R1931</f>
        <v>322</v>
      </c>
      <c r="N2747" s="144"/>
      <c r="O2747" s="144">
        <f t="shared" si="422"/>
        <v>1</v>
      </c>
      <c r="P2747" s="156">
        <f>300+311</f>
        <v>611</v>
      </c>
      <c r="Q2747" s="98">
        <f t="shared" si="423"/>
        <v>0.99836601307189543</v>
      </c>
      <c r="R2747" s="23"/>
      <c r="S2747" s="173"/>
      <c r="T2747" s="30"/>
      <c r="U2747" s="264"/>
      <c r="V2747" s="463"/>
      <c r="W2747" s="421"/>
      <c r="X2747" s="463"/>
      <c r="Y2747" s="421"/>
      <c r="Z2747" s="421"/>
      <c r="AA2747" s="421"/>
      <c r="AB2747" s="421"/>
      <c r="AC2747" s="421"/>
      <c r="AD2747" s="421"/>
    </row>
    <row r="2748" spans="1:30" s="361" customFormat="1" ht="15.75" customHeight="1" x14ac:dyDescent="0.4">
      <c r="A2748" s="212">
        <v>46104</v>
      </c>
      <c r="B2748" s="139" t="s">
        <v>65</v>
      </c>
      <c r="C2748" s="30" t="str">
        <f>VLOOKUP(B2748,'112年全品項生產鍋數'!A:H,2,0)</f>
        <v>＃1花生(1*2.8kg)</v>
      </c>
      <c r="D2748" s="296">
        <v>52</v>
      </c>
      <c r="E2748" s="48">
        <f>VLOOKUP(B2748,'112年全品項生產鍋數'!A:H,3,0)</f>
        <v>2.8</v>
      </c>
      <c r="F2748" s="142">
        <f>VLOOKUP(B2748,'112年全品項生產鍋數'!A:H,7,0)</f>
        <v>44.5</v>
      </c>
      <c r="G2748" s="143">
        <f t="shared" si="418"/>
        <v>2314</v>
      </c>
      <c r="H2748" s="156">
        <v>2363</v>
      </c>
      <c r="I2748" s="23">
        <f t="shared" si="419"/>
        <v>6616.4</v>
      </c>
      <c r="J2748" s="100">
        <f t="shared" si="420"/>
        <v>1.0211754537597235</v>
      </c>
      <c r="K2748" s="51">
        <f>VLOOKUP(B:B,'生產達成率(目標)'!A:C,3,0)</f>
        <v>1</v>
      </c>
      <c r="L2748" s="20">
        <f t="shared" si="421"/>
        <v>2.1000000000000001E-2</v>
      </c>
      <c r="M2748" s="137" t="str">
        <f>工時!R1932</f>
        <v>415</v>
      </c>
      <c r="N2748" s="144"/>
      <c r="O2748" s="144">
        <f t="shared" si="422"/>
        <v>1</v>
      </c>
      <c r="P2748" s="156">
        <v>2362</v>
      </c>
      <c r="Q2748" s="98">
        <f t="shared" si="423"/>
        <v>0.99957680914092251</v>
      </c>
      <c r="R2748" s="23"/>
      <c r="S2748" s="173"/>
      <c r="T2748" s="30"/>
      <c r="U2748" s="264"/>
      <c r="V2748" s="463"/>
      <c r="W2748" s="421"/>
      <c r="X2748" s="463"/>
      <c r="Y2748" s="421"/>
      <c r="Z2748" s="421"/>
      <c r="AA2748" s="421"/>
      <c r="AB2748" s="421"/>
      <c r="AC2748" s="421"/>
      <c r="AD2748" s="421"/>
    </row>
    <row r="2749" spans="1:30" s="361" customFormat="1" x14ac:dyDescent="0.4">
      <c r="A2749" s="212">
        <v>46104</v>
      </c>
      <c r="B2749" s="139" t="s">
        <v>97</v>
      </c>
      <c r="C2749" s="30" t="str">
        <f>VLOOKUP(B2749,'112年全品項生產鍋數'!A:H,2,0)</f>
        <v>花生醬(1*18KG)</v>
      </c>
      <c r="D2749" s="296">
        <v>8</v>
      </c>
      <c r="E2749" s="48">
        <f>VLOOKUP(B2749,'112年全品項生產鍋數'!A:H,3,0)</f>
        <v>18</v>
      </c>
      <c r="F2749" s="142">
        <f>VLOOKUP(B2749,'112年全品項生產鍋數'!A:H,7,0)</f>
        <v>6.6</v>
      </c>
      <c r="G2749" s="143">
        <f t="shared" si="418"/>
        <v>52.8</v>
      </c>
      <c r="H2749" s="156">
        <v>50</v>
      </c>
      <c r="I2749" s="23">
        <f t="shared" si="419"/>
        <v>900</v>
      </c>
      <c r="J2749" s="100">
        <f t="shared" si="420"/>
        <v>0.94696969696969702</v>
      </c>
      <c r="K2749" s="51">
        <f>VLOOKUP(B:B,'生產達成率(目標)'!A:C,3,0)</f>
        <v>1</v>
      </c>
      <c r="L2749" s="20">
        <f t="shared" si="421"/>
        <v>-5.2999999999999999E-2</v>
      </c>
      <c r="M2749" s="137" t="str">
        <f>工時!R1933</f>
        <v>110</v>
      </c>
      <c r="N2749" s="144"/>
      <c r="O2749" s="144">
        <f t="shared" si="422"/>
        <v>0</v>
      </c>
      <c r="P2749" s="156">
        <v>50</v>
      </c>
      <c r="Q2749" s="98">
        <f t="shared" si="423"/>
        <v>1</v>
      </c>
      <c r="R2749" s="23"/>
      <c r="S2749" s="173"/>
      <c r="T2749" s="30"/>
      <c r="U2749" s="264"/>
      <c r="V2749" s="463"/>
      <c r="W2749" s="421"/>
      <c r="X2749" s="463"/>
      <c r="Y2749" s="421"/>
      <c r="Z2749" s="421"/>
      <c r="AA2749" s="421"/>
      <c r="AB2749" s="421"/>
      <c r="AC2749" s="421"/>
      <c r="AD2749" s="421"/>
    </row>
    <row r="2750" spans="1:30" s="381" customFormat="1" x14ac:dyDescent="0.4">
      <c r="A2750" s="402">
        <v>46104</v>
      </c>
      <c r="B2750" s="392" t="s">
        <v>431</v>
      </c>
      <c r="C2750" s="375" t="str">
        <f>VLOOKUP(B2750,'112年全品項生產鍋數'!A:H,2,0)</f>
        <v>文旦丁</v>
      </c>
      <c r="D2750" s="406">
        <v>1</v>
      </c>
      <c r="E2750" s="141">
        <f>VLOOKUP(B2750,'112年全品項生產鍋數'!A:H,3,0)</f>
        <v>1</v>
      </c>
      <c r="F2750" s="142">
        <f>VLOOKUP(B2750,'112年全品項生產鍋數'!A:H,7,0)</f>
        <v>243</v>
      </c>
      <c r="G2750" s="143">
        <f t="shared" si="418"/>
        <v>243</v>
      </c>
      <c r="H2750" s="156">
        <v>272</v>
      </c>
      <c r="I2750" s="374">
        <f t="shared" si="419"/>
        <v>272</v>
      </c>
      <c r="J2750" s="100">
        <f t="shared" si="420"/>
        <v>1.1193415637860082</v>
      </c>
      <c r="K2750" s="51">
        <f>VLOOKUP(B:B,'生產達成率(目標)'!A:C,3,0)</f>
        <v>1</v>
      </c>
      <c r="L2750" s="20">
        <f t="shared" si="421"/>
        <v>0.11899999999999999</v>
      </c>
      <c r="M2750" s="137" t="str">
        <f>工時!R1934</f>
        <v>0</v>
      </c>
      <c r="N2750" s="374"/>
      <c r="O2750" s="374">
        <f t="shared" si="422"/>
        <v>-3</v>
      </c>
      <c r="P2750" s="156">
        <v>275</v>
      </c>
      <c r="Q2750" s="145">
        <f t="shared" si="423"/>
        <v>1.0110294117647058</v>
      </c>
      <c r="R2750" s="374"/>
      <c r="S2750" s="378"/>
      <c r="T2750" s="375"/>
      <c r="U2750" s="398"/>
      <c r="V2750" s="464"/>
      <c r="W2750" s="421"/>
      <c r="X2750" s="464"/>
      <c r="Y2750" s="421"/>
      <c r="Z2750" s="421"/>
      <c r="AA2750" s="421"/>
      <c r="AB2750" s="421"/>
      <c r="AC2750" s="421"/>
      <c r="AD2750" s="421"/>
    </row>
    <row r="2751" spans="1:30" s="381" customFormat="1" x14ac:dyDescent="0.4">
      <c r="A2751" s="402">
        <v>46105</v>
      </c>
      <c r="B2751" s="392" t="s">
        <v>456</v>
      </c>
      <c r="C2751" s="375" t="str">
        <f>VLOOKUP(B2751,'112年全品項生產鍋數'!A:H,2,0)</f>
        <v>桑椹果醬(1*190g)</v>
      </c>
      <c r="D2751" s="406">
        <v>3</v>
      </c>
      <c r="E2751" s="141">
        <f>VLOOKUP(B2751,'112年全品項生產鍋數'!A:H,3,0)</f>
        <v>0.19</v>
      </c>
      <c r="F2751" s="142">
        <f>VLOOKUP(B2751,'112年全品項生產鍋數'!A:H,7,0)</f>
        <v>759.3</v>
      </c>
      <c r="G2751" s="143">
        <f t="shared" si="418"/>
        <v>2277.8999999999996</v>
      </c>
      <c r="H2751" s="156">
        <v>2235</v>
      </c>
      <c r="I2751" s="374">
        <f t="shared" si="419"/>
        <v>424.65</v>
      </c>
      <c r="J2751" s="100">
        <f t="shared" si="420"/>
        <v>0.98116686421704213</v>
      </c>
      <c r="K2751" s="51">
        <f>VLOOKUP(B:B,'生產達成率(目標)'!A:C,3,0)</f>
        <v>1</v>
      </c>
      <c r="L2751" s="20">
        <f t="shared" si="421"/>
        <v>-1.9E-2</v>
      </c>
      <c r="M2751" s="137" t="str">
        <f>工時!R1935</f>
        <v>240</v>
      </c>
      <c r="N2751" s="374"/>
      <c r="O2751" s="374">
        <f t="shared" si="422"/>
        <v>7</v>
      </c>
      <c r="P2751" s="156">
        <v>2228</v>
      </c>
      <c r="Q2751" s="145">
        <f t="shared" si="423"/>
        <v>0.99686800894854588</v>
      </c>
      <c r="R2751" s="374"/>
      <c r="S2751" s="378"/>
      <c r="T2751" s="375"/>
      <c r="U2751" s="398"/>
      <c r="V2751" s="464"/>
      <c r="W2751" s="421"/>
      <c r="X2751" s="464"/>
      <c r="Y2751" s="421"/>
      <c r="Z2751" s="421"/>
      <c r="AA2751" s="421"/>
      <c r="AB2751" s="421"/>
      <c r="AC2751" s="421"/>
      <c r="AD2751" s="421"/>
    </row>
    <row r="2752" spans="1:30" s="361" customFormat="1" x14ac:dyDescent="0.4">
      <c r="A2752" s="212">
        <v>46105</v>
      </c>
      <c r="B2752" s="139" t="s">
        <v>54</v>
      </c>
      <c r="C2752" s="30" t="str">
        <f>VLOOKUP(B2752,'112年全品項生產鍋數'!A:H,2,0)</f>
        <v>草莓醬(1*6kg)</v>
      </c>
      <c r="D2752" s="296">
        <v>28</v>
      </c>
      <c r="E2752" s="48">
        <f>VLOOKUP(B2752,'112年全品項生產鍋數'!A:H,3,0)</f>
        <v>6</v>
      </c>
      <c r="F2752" s="142">
        <f>VLOOKUP(B2752,'112年全品項生產鍋數'!A:H,7,0)</f>
        <v>26.6</v>
      </c>
      <c r="G2752" s="143">
        <f t="shared" si="418"/>
        <v>744.80000000000007</v>
      </c>
      <c r="H2752" s="156">
        <v>737</v>
      </c>
      <c r="I2752" s="23">
        <f t="shared" si="419"/>
        <v>4422</v>
      </c>
      <c r="J2752" s="100">
        <f t="shared" si="420"/>
        <v>0.98952738990332967</v>
      </c>
      <c r="K2752" s="51">
        <f>VLOOKUP(B:B,'生產達成率(目標)'!A:C,3,0)</f>
        <v>1</v>
      </c>
      <c r="L2752" s="20">
        <f t="shared" si="421"/>
        <v>-0.01</v>
      </c>
      <c r="M2752" s="137" t="str">
        <f>工時!R1936</f>
        <v>330</v>
      </c>
      <c r="N2752" s="144"/>
      <c r="O2752" s="144">
        <f t="shared" si="422"/>
        <v>2</v>
      </c>
      <c r="P2752" s="156">
        <v>735</v>
      </c>
      <c r="Q2752" s="98">
        <f t="shared" si="423"/>
        <v>0.99728629579375849</v>
      </c>
      <c r="R2752" s="23"/>
      <c r="S2752" s="173"/>
      <c r="T2752" s="30"/>
      <c r="U2752" s="264"/>
      <c r="V2752" s="463"/>
      <c r="W2752" s="421"/>
      <c r="X2752" s="463"/>
      <c r="Y2752" s="421"/>
      <c r="Z2752" s="421"/>
      <c r="AA2752" s="421"/>
      <c r="AB2752" s="421"/>
      <c r="AC2752" s="421"/>
      <c r="AD2752" s="421"/>
    </row>
    <row r="2753" spans="1:30" s="361" customFormat="1" x14ac:dyDescent="0.4">
      <c r="A2753" s="212">
        <v>46105</v>
      </c>
      <c r="B2753" s="139" t="s">
        <v>73</v>
      </c>
      <c r="C2753" s="30" t="str">
        <f>VLOOKUP(B2753,'112年全品項生產鍋數'!A:H,2,0)</f>
        <v>顆粒花生醬(1*12KG)</v>
      </c>
      <c r="D2753" s="296">
        <v>21</v>
      </c>
      <c r="E2753" s="48">
        <f>VLOOKUP(B2753,'112年全品項生產鍋數'!A:H,3,0)</f>
        <v>3</v>
      </c>
      <c r="F2753" s="142">
        <f>VLOOKUP(B2753,'112年全品項生產鍋數'!A:H,7,0)</f>
        <v>29.7</v>
      </c>
      <c r="G2753" s="143">
        <f t="shared" si="418"/>
        <v>623.69999999999993</v>
      </c>
      <c r="H2753" s="156">
        <v>632</v>
      </c>
      <c r="I2753" s="23">
        <f t="shared" si="419"/>
        <v>1896</v>
      </c>
      <c r="J2753" s="100">
        <f t="shared" si="420"/>
        <v>1.0133076799743468</v>
      </c>
      <c r="K2753" s="51">
        <f>VLOOKUP(B:B,'生產達成率(目標)'!A:C,3,0)</f>
        <v>1</v>
      </c>
      <c r="L2753" s="20">
        <f t="shared" si="421"/>
        <v>1.2999999999999999E-2</v>
      </c>
      <c r="M2753" s="137" t="str">
        <f>工時!R1937</f>
        <v>510</v>
      </c>
      <c r="N2753" s="144"/>
      <c r="O2753" s="144">
        <f t="shared" si="422"/>
        <v>0</v>
      </c>
      <c r="P2753" s="156">
        <v>632</v>
      </c>
      <c r="Q2753" s="98">
        <f t="shared" si="423"/>
        <v>1</v>
      </c>
      <c r="R2753" s="23"/>
      <c r="S2753" s="173"/>
      <c r="T2753" s="30"/>
      <c r="U2753" s="264"/>
      <c r="V2753" s="463"/>
      <c r="W2753" s="421"/>
      <c r="X2753" s="463"/>
      <c r="Y2753" s="421"/>
      <c r="Z2753" s="421"/>
      <c r="AA2753" s="421"/>
      <c r="AB2753" s="421"/>
      <c r="AC2753" s="421"/>
      <c r="AD2753" s="421"/>
    </row>
    <row r="2754" spans="1:30" s="361" customFormat="1" x14ac:dyDescent="0.4">
      <c r="A2754" s="212">
        <v>46105</v>
      </c>
      <c r="B2754" s="139" t="s">
        <v>65</v>
      </c>
      <c r="C2754" s="30" t="str">
        <f>VLOOKUP(B2754,'112年全品項生產鍋數'!A:H,2,0)</f>
        <v>＃1花生(1*2.8kg)</v>
      </c>
      <c r="D2754" s="296">
        <v>60</v>
      </c>
      <c r="E2754" s="48">
        <f>VLOOKUP(B2754,'112年全品項生產鍋數'!A:H,3,0)</f>
        <v>2.8</v>
      </c>
      <c r="F2754" s="142">
        <f>VLOOKUP(B2754,'112年全品項生產鍋數'!A:H,7,0)</f>
        <v>44.5</v>
      </c>
      <c r="G2754" s="143">
        <f t="shared" ref="G2754:G2758" si="424">D2754*F2754</f>
        <v>2670</v>
      </c>
      <c r="H2754" s="156">
        <v>2667</v>
      </c>
      <c r="I2754" s="23">
        <f t="shared" ref="I2754:I2758" si="425">H2754*E2754</f>
        <v>7467.5999999999995</v>
      </c>
      <c r="J2754" s="100">
        <f t="shared" ref="J2754:J2758" si="426">IF(G2754=0,"無法預估數據",H2754/G2754)</f>
        <v>0.99887640449438198</v>
      </c>
      <c r="K2754" s="51">
        <f>VLOOKUP(B:B,'生產達成率(目標)'!A:C,3,0)</f>
        <v>1</v>
      </c>
      <c r="L2754" s="20">
        <f t="shared" ref="L2754:L2758" si="427">IF(G2754=0,"無法預估數據",ROUND(J2754-K2754,3))</f>
        <v>-1E-3</v>
      </c>
      <c r="M2754" s="137" t="str">
        <f>工時!R1938</f>
        <v>465</v>
      </c>
      <c r="N2754" s="144"/>
      <c r="O2754" s="144">
        <f t="shared" ref="O2754:O2758" si="428">H2754-N2754-P2754</f>
        <v>1</v>
      </c>
      <c r="P2754" s="156">
        <v>2666</v>
      </c>
      <c r="Q2754" s="98">
        <f t="shared" ref="Q2754:Q2758" si="429">P2754/H2754</f>
        <v>0.99962504686914133</v>
      </c>
      <c r="R2754" s="23"/>
      <c r="S2754" s="173"/>
      <c r="T2754" s="30"/>
      <c r="U2754" s="264"/>
      <c r="V2754" s="463"/>
      <c r="W2754" s="421"/>
      <c r="X2754" s="463"/>
      <c r="Y2754" s="421"/>
      <c r="Z2754" s="421"/>
      <c r="AA2754" s="421"/>
      <c r="AB2754" s="421"/>
      <c r="AC2754" s="421"/>
      <c r="AD2754" s="421"/>
    </row>
    <row r="2755" spans="1:30" s="361" customFormat="1" x14ac:dyDescent="0.4">
      <c r="A2755" s="212">
        <v>46106</v>
      </c>
      <c r="B2755" s="139" t="s">
        <v>71</v>
      </c>
      <c r="C2755" s="30" t="str">
        <f>VLOOKUP(B2755,'112年全品項生產鍋數'!A:H,2,0)</f>
        <v>＃1草莓(1*3.2kg)</v>
      </c>
      <c r="D2755" s="296">
        <v>72</v>
      </c>
      <c r="E2755" s="48">
        <f>VLOOKUP(B2755,'112年全品項生產鍋數'!A:H,3,0)</f>
        <v>3.2</v>
      </c>
      <c r="F2755" s="142">
        <f>VLOOKUP(B2755,'112年全品項生產鍋數'!A:H,7,0)</f>
        <v>46.8</v>
      </c>
      <c r="G2755" s="143">
        <f t="shared" si="424"/>
        <v>3369.6</v>
      </c>
      <c r="H2755" s="156">
        <v>3327</v>
      </c>
      <c r="I2755" s="23">
        <f t="shared" si="425"/>
        <v>10646.400000000001</v>
      </c>
      <c r="J2755" s="100">
        <f t="shared" si="426"/>
        <v>0.98735754985754987</v>
      </c>
      <c r="K2755" s="51">
        <f>VLOOKUP(B:B,'生產達成率(目標)'!A:C,3,0)</f>
        <v>1</v>
      </c>
      <c r="L2755" s="20">
        <f t="shared" si="427"/>
        <v>-1.2999999999999999E-2</v>
      </c>
      <c r="M2755" s="137" t="str">
        <f>工時!R1939</f>
        <v>590</v>
      </c>
      <c r="N2755" s="144"/>
      <c r="O2755" s="144">
        <f t="shared" si="428"/>
        <v>1</v>
      </c>
      <c r="P2755" s="156">
        <v>3326</v>
      </c>
      <c r="Q2755" s="98">
        <f t="shared" si="429"/>
        <v>0.99969942891493835</v>
      </c>
      <c r="R2755" s="23"/>
      <c r="S2755" s="173"/>
      <c r="T2755" s="30"/>
      <c r="U2755" s="264"/>
      <c r="V2755" s="463"/>
      <c r="W2755" s="421"/>
      <c r="X2755" s="463"/>
      <c r="Y2755" s="421"/>
      <c r="Z2755" s="421"/>
      <c r="AA2755" s="421"/>
      <c r="AB2755" s="421"/>
      <c r="AC2755" s="421"/>
      <c r="AD2755" s="421"/>
    </row>
    <row r="2756" spans="1:30" s="361" customFormat="1" x14ac:dyDescent="0.4">
      <c r="A2756" s="212">
        <v>46106</v>
      </c>
      <c r="B2756" s="139" t="s">
        <v>72</v>
      </c>
      <c r="C2756" s="30" t="str">
        <f>VLOOKUP(B2756,'112年全品項生產鍋數'!A:H,2,0)</f>
        <v>草莓餡45%(1*6Kg)</v>
      </c>
      <c r="D2756" s="296">
        <v>20</v>
      </c>
      <c r="E2756" s="48">
        <f>VLOOKUP(B2756,'112年全品項生產鍋數'!A:H,3,0)</f>
        <v>6</v>
      </c>
      <c r="F2756" s="142">
        <f>VLOOKUP(B2756,'112年全品項生產鍋數'!A:H,7,0)</f>
        <v>26.1</v>
      </c>
      <c r="G2756" s="143">
        <f t="shared" si="424"/>
        <v>522</v>
      </c>
      <c r="H2756" s="156">
        <v>524</v>
      </c>
      <c r="I2756" s="23">
        <f t="shared" si="425"/>
        <v>3144</v>
      </c>
      <c r="J2756" s="100">
        <f t="shared" si="426"/>
        <v>1.0038314176245211</v>
      </c>
      <c r="K2756" s="51">
        <f>VLOOKUP(B:B,'生產達成率(目標)'!A:C,3,0)</f>
        <v>1</v>
      </c>
      <c r="L2756" s="20">
        <f t="shared" si="427"/>
        <v>4.0000000000000001E-3</v>
      </c>
      <c r="M2756" s="137" t="str">
        <f>工時!R1940</f>
        <v>270</v>
      </c>
      <c r="N2756" s="144"/>
      <c r="O2756" s="144">
        <f t="shared" si="428"/>
        <v>4</v>
      </c>
      <c r="P2756" s="156">
        <v>520</v>
      </c>
      <c r="Q2756" s="98">
        <f t="shared" si="429"/>
        <v>0.99236641221374045</v>
      </c>
      <c r="R2756" s="23"/>
      <c r="S2756" s="173"/>
      <c r="T2756" s="30"/>
      <c r="U2756" s="264"/>
      <c r="V2756" s="463"/>
      <c r="W2756" s="421"/>
      <c r="X2756" s="463"/>
      <c r="Y2756" s="421"/>
      <c r="Z2756" s="421"/>
      <c r="AA2756" s="421"/>
      <c r="AB2756" s="421"/>
      <c r="AC2756" s="421"/>
      <c r="AD2756" s="421"/>
    </row>
    <row r="2757" spans="1:30" s="361" customFormat="1" x14ac:dyDescent="0.4">
      <c r="A2757" s="212">
        <v>46106</v>
      </c>
      <c r="B2757" s="139" t="s">
        <v>63</v>
      </c>
      <c r="C2757" s="30" t="str">
        <f>VLOOKUP(B2757,'112年全品項生產鍋數'!A:H,2,0)</f>
        <v>草莓蒟蒻餡(1*6kg)</v>
      </c>
      <c r="D2757" s="296">
        <v>20</v>
      </c>
      <c r="E2757" s="48">
        <f>VLOOKUP(B2757,'112年全品項生產鍋數'!A:H,3,0)</f>
        <v>6</v>
      </c>
      <c r="F2757" s="142">
        <f>VLOOKUP(B2757,'112年全品項生產鍋數'!A:H,7,0)</f>
        <v>25.7</v>
      </c>
      <c r="G2757" s="143">
        <f t="shared" si="424"/>
        <v>514</v>
      </c>
      <c r="H2757" s="156">
        <f>304+207</f>
        <v>511</v>
      </c>
      <c r="I2757" s="23">
        <f t="shared" si="425"/>
        <v>3066</v>
      </c>
      <c r="J2757" s="100">
        <f t="shared" si="426"/>
        <v>0.99416342412451364</v>
      </c>
      <c r="K2757" s="51">
        <f>VLOOKUP(B:B,'生產達成率(目標)'!A:C,3,0)</f>
        <v>1</v>
      </c>
      <c r="L2757" s="20">
        <f t="shared" si="427"/>
        <v>-6.0000000000000001E-3</v>
      </c>
      <c r="M2757" s="137" t="str">
        <f>工時!R1941</f>
        <v>275</v>
      </c>
      <c r="N2757" s="144"/>
      <c r="O2757" s="144">
        <f t="shared" si="428"/>
        <v>1</v>
      </c>
      <c r="P2757" s="156">
        <f>303+207</f>
        <v>510</v>
      </c>
      <c r="Q2757" s="98">
        <f t="shared" si="429"/>
        <v>0.99804305283757333</v>
      </c>
      <c r="R2757" s="23"/>
      <c r="S2757" s="173"/>
      <c r="T2757" s="30"/>
      <c r="U2757" s="264"/>
      <c r="V2757" s="463"/>
      <c r="W2757" s="421"/>
      <c r="X2757" s="463"/>
      <c r="Y2757" s="421"/>
      <c r="Z2757" s="421"/>
      <c r="AA2757" s="421"/>
      <c r="AB2757" s="421"/>
      <c r="AC2757" s="421"/>
      <c r="AD2757" s="421"/>
    </row>
    <row r="2758" spans="1:30" s="361" customFormat="1" x14ac:dyDescent="0.4">
      <c r="A2758" s="212">
        <v>46106</v>
      </c>
      <c r="B2758" s="139" t="s">
        <v>65</v>
      </c>
      <c r="C2758" s="30" t="str">
        <f>VLOOKUP(B2758,'112年全品項生產鍋數'!A:H,2,0)</f>
        <v>＃1花生(1*2.8kg)</v>
      </c>
      <c r="D2758" s="296">
        <v>60</v>
      </c>
      <c r="E2758" s="48">
        <f>VLOOKUP(B2758,'112年全品項生產鍋數'!A:H,3,0)</f>
        <v>2.8</v>
      </c>
      <c r="F2758" s="142">
        <f>VLOOKUP(B2758,'112年全品項生產鍋數'!A:H,7,0)</f>
        <v>44.5</v>
      </c>
      <c r="G2758" s="143">
        <f t="shared" si="424"/>
        <v>2670</v>
      </c>
      <c r="H2758" s="156">
        <v>2671</v>
      </c>
      <c r="I2758" s="23">
        <f t="shared" si="425"/>
        <v>7478.7999999999993</v>
      </c>
      <c r="J2758" s="100">
        <f t="shared" si="426"/>
        <v>1.000374531835206</v>
      </c>
      <c r="K2758" s="51">
        <f>VLOOKUP(B:B,'生產達成率(目標)'!A:C,3,0)</f>
        <v>1</v>
      </c>
      <c r="L2758" s="20">
        <f t="shared" si="427"/>
        <v>0</v>
      </c>
      <c r="M2758" s="137" t="str">
        <f>工時!R1942</f>
        <v>465</v>
      </c>
      <c r="N2758" s="144"/>
      <c r="O2758" s="144">
        <f t="shared" si="428"/>
        <v>3</v>
      </c>
      <c r="P2758" s="156">
        <v>2668</v>
      </c>
      <c r="Q2758" s="98">
        <f t="shared" si="429"/>
        <v>0.99887682515911647</v>
      </c>
      <c r="R2758" s="23"/>
      <c r="S2758" s="173"/>
      <c r="T2758" s="30"/>
      <c r="U2758" s="264"/>
      <c r="V2758" s="463"/>
      <c r="W2758" s="421"/>
      <c r="X2758" s="463"/>
      <c r="Y2758" s="421"/>
      <c r="Z2758" s="421"/>
      <c r="AA2758" s="421"/>
      <c r="AB2758" s="421"/>
      <c r="AC2758" s="421"/>
      <c r="AD2758" s="421"/>
    </row>
    <row r="2759" spans="1:30" s="381" customFormat="1" x14ac:dyDescent="0.4">
      <c r="A2759" s="402">
        <v>46107</v>
      </c>
      <c r="B2759" s="392" t="s">
        <v>61</v>
      </c>
      <c r="C2759" s="375" t="str">
        <f>VLOOKUP(B2759,'112年全品項生產鍋數'!A:H,2,0)</f>
        <v>大圓草莓-新</v>
      </c>
      <c r="D2759" s="406">
        <v>40</v>
      </c>
      <c r="E2759" s="141">
        <f>VLOOKUP(B2759,'112年全品項生產鍋數'!A:H,3,0)</f>
        <v>0.44</v>
      </c>
      <c r="F2759" s="142">
        <f>VLOOKUP(B2759,'112年全品項生產鍋數'!A:H,7,0)</f>
        <v>344</v>
      </c>
      <c r="G2759" s="143">
        <f t="shared" ref="G2759:G2798" si="430">D2759*F2759</f>
        <v>13760</v>
      </c>
      <c r="H2759" s="156">
        <v>13543</v>
      </c>
      <c r="I2759" s="374">
        <f t="shared" ref="I2759:I2798" si="431">H2759*E2759</f>
        <v>5958.92</v>
      </c>
      <c r="J2759" s="100">
        <f t="shared" ref="J2759:J2798" si="432">IF(G2759=0,"無法預估數據",H2759/G2759)</f>
        <v>0.98422965116279071</v>
      </c>
      <c r="K2759" s="51">
        <f>VLOOKUP(B:B,'生產達成率(目標)'!A:C,3,0)</f>
        <v>1</v>
      </c>
      <c r="L2759" s="20">
        <f t="shared" ref="L2759:L2798" si="433">IF(G2759=0,"無法預估數據",ROUND(J2759-K2759,3))</f>
        <v>-1.6E-2</v>
      </c>
      <c r="M2759" s="137" t="str">
        <f>工時!R1943</f>
        <v>540</v>
      </c>
      <c r="N2759" s="374"/>
      <c r="O2759" s="374">
        <f t="shared" ref="O2759:O2798" si="434">H2759-N2759-P2759</f>
        <v>6</v>
      </c>
      <c r="P2759" s="156">
        <v>13537</v>
      </c>
      <c r="Q2759" s="145">
        <f t="shared" ref="Q2759:Q2798" si="435">P2759/H2759</f>
        <v>0.99955696669866356</v>
      </c>
      <c r="R2759" s="374"/>
      <c r="S2759" s="378"/>
      <c r="T2759" s="375"/>
      <c r="U2759" s="398"/>
      <c r="V2759" s="464"/>
      <c r="W2759" s="421"/>
      <c r="X2759" s="464"/>
      <c r="Y2759" s="421"/>
      <c r="Z2759" s="421"/>
      <c r="AA2759" s="421"/>
      <c r="AB2759" s="421"/>
      <c r="AC2759" s="421"/>
      <c r="AD2759" s="421"/>
    </row>
    <row r="2760" spans="1:30" x14ac:dyDescent="0.4">
      <c r="A2760" s="402">
        <v>46107</v>
      </c>
      <c r="B2760" s="392" t="s">
        <v>109</v>
      </c>
      <c r="C2760" s="364" t="str">
        <f>VLOOKUP(B2760,'112年全品項生產鍋數'!A:H,2,0)</f>
        <v>蔓越莓醬(1*6KG)</v>
      </c>
      <c r="D2760" s="404">
        <v>20</v>
      </c>
      <c r="E2760" s="48">
        <f>VLOOKUP(B2760,'112年全品項生產鍋數'!A:H,3,0)</f>
        <v>6</v>
      </c>
      <c r="F2760" s="142">
        <f>VLOOKUP(B2760,'112年全品項生產鍋數'!A:H,7,0)</f>
        <v>25.6</v>
      </c>
      <c r="G2760" s="143">
        <f t="shared" si="430"/>
        <v>512</v>
      </c>
      <c r="H2760" s="156">
        <v>515</v>
      </c>
      <c r="I2760" s="371">
        <f t="shared" si="431"/>
        <v>3090</v>
      </c>
      <c r="J2760" s="100">
        <f t="shared" si="432"/>
        <v>1.005859375</v>
      </c>
      <c r="K2760" s="51">
        <f>VLOOKUP(B:B,'生產達成率(目標)'!A:C,3,0)</f>
        <v>1</v>
      </c>
      <c r="L2760" s="20">
        <f t="shared" si="433"/>
        <v>6.0000000000000001E-3</v>
      </c>
      <c r="M2760" s="137" t="str">
        <f>工時!R1944</f>
        <v>480</v>
      </c>
      <c r="N2760" s="374"/>
      <c r="O2760" s="374">
        <f t="shared" si="434"/>
        <v>2</v>
      </c>
      <c r="P2760" s="156">
        <v>513</v>
      </c>
      <c r="Q2760" s="98">
        <f t="shared" si="435"/>
        <v>0.99611650485436898</v>
      </c>
      <c r="R2760" s="371"/>
      <c r="S2760" s="372"/>
      <c r="T2760" s="364"/>
      <c r="U2760" s="264"/>
      <c r="V2760" s="463"/>
      <c r="X2760" s="463"/>
    </row>
    <row r="2761" spans="1:30" x14ac:dyDescent="0.4">
      <c r="A2761" s="402">
        <v>46107</v>
      </c>
      <c r="B2761" s="392" t="s">
        <v>51</v>
      </c>
      <c r="C2761" s="364" t="str">
        <f>VLOOKUP(B2761,'112年全品項生產鍋數'!A:H,2,0)</f>
        <v>藍莓醬(1*6kg)</v>
      </c>
      <c r="D2761" s="404">
        <v>24</v>
      </c>
      <c r="E2761" s="48">
        <f>VLOOKUP(B2761,'112年全品項生產鍋數'!A:H,3,0)</f>
        <v>6</v>
      </c>
      <c r="F2761" s="142">
        <f>VLOOKUP(B2761,'112年全品項生產鍋數'!A:H,7,0)</f>
        <v>25.5</v>
      </c>
      <c r="G2761" s="143">
        <f t="shared" si="430"/>
        <v>612</v>
      </c>
      <c r="H2761" s="156">
        <v>607</v>
      </c>
      <c r="I2761" s="371">
        <f t="shared" si="431"/>
        <v>3642</v>
      </c>
      <c r="J2761" s="100">
        <f t="shared" si="432"/>
        <v>0.99183006535947715</v>
      </c>
      <c r="K2761" s="51">
        <f>VLOOKUP(B:B,'生產達成率(目標)'!A:C,3,0)</f>
        <v>1</v>
      </c>
      <c r="L2761" s="20">
        <f t="shared" si="433"/>
        <v>-8.0000000000000002E-3</v>
      </c>
      <c r="M2761" s="137" t="str">
        <f>工時!R1945</f>
        <v>540</v>
      </c>
      <c r="N2761" s="374"/>
      <c r="O2761" s="374">
        <f t="shared" si="434"/>
        <v>1</v>
      </c>
      <c r="P2761" s="156">
        <v>606</v>
      </c>
      <c r="Q2761" s="98">
        <f t="shared" si="435"/>
        <v>0.99835255354200991</v>
      </c>
      <c r="R2761" s="371"/>
      <c r="S2761" s="372"/>
      <c r="T2761" s="364"/>
      <c r="U2761" s="264"/>
      <c r="V2761" s="463"/>
      <c r="X2761" s="463"/>
    </row>
    <row r="2762" spans="1:30" x14ac:dyDescent="0.4">
      <c r="A2762" s="402">
        <v>46107</v>
      </c>
      <c r="B2762" s="392" t="s">
        <v>65</v>
      </c>
      <c r="C2762" s="364" t="str">
        <f>VLOOKUP(B2762,'112年全品項生產鍋數'!A:H,2,0)</f>
        <v>＃1花生(1*2.8kg)</v>
      </c>
      <c r="D2762" s="404">
        <v>60</v>
      </c>
      <c r="E2762" s="48">
        <f>VLOOKUP(B2762,'112年全品項生產鍋數'!A:H,3,0)</f>
        <v>2.8</v>
      </c>
      <c r="F2762" s="142">
        <f>VLOOKUP(B2762,'112年全品項生產鍋數'!A:H,7,0)</f>
        <v>44.5</v>
      </c>
      <c r="G2762" s="143">
        <f t="shared" si="430"/>
        <v>2670</v>
      </c>
      <c r="H2762" s="156">
        <v>2677</v>
      </c>
      <c r="I2762" s="371">
        <f t="shared" si="431"/>
        <v>7495.5999999999995</v>
      </c>
      <c r="J2762" s="100">
        <f t="shared" si="432"/>
        <v>1.002621722846442</v>
      </c>
      <c r="K2762" s="51">
        <f>VLOOKUP(B:B,'生產達成率(目標)'!A:C,3,0)</f>
        <v>1</v>
      </c>
      <c r="L2762" s="20">
        <f t="shared" si="433"/>
        <v>3.0000000000000001E-3</v>
      </c>
      <c r="M2762" s="137" t="str">
        <f>工時!R1946</f>
        <v>440</v>
      </c>
      <c r="N2762" s="374"/>
      <c r="O2762" s="374">
        <f t="shared" si="434"/>
        <v>1</v>
      </c>
      <c r="P2762" s="156">
        <v>2676</v>
      </c>
      <c r="Q2762" s="98">
        <f t="shared" si="435"/>
        <v>0.99962644751587593</v>
      </c>
      <c r="R2762" s="371"/>
      <c r="S2762" s="372"/>
      <c r="T2762" s="364"/>
      <c r="U2762" s="264"/>
      <c r="V2762" s="463"/>
      <c r="X2762" s="463"/>
    </row>
    <row r="2763" spans="1:30" s="381" customFormat="1" ht="15.75" customHeight="1" x14ac:dyDescent="0.4">
      <c r="A2763" s="402">
        <v>46108</v>
      </c>
      <c r="B2763" s="392" t="s">
        <v>71</v>
      </c>
      <c r="C2763" s="375" t="str">
        <f>VLOOKUP(B2763,'112年全品項生產鍋數'!A:H,2,0)</f>
        <v>＃1草莓(1*3.2kg)</v>
      </c>
      <c r="D2763" s="406">
        <v>72</v>
      </c>
      <c r="E2763" s="141">
        <f>VLOOKUP(B2763,'112年全品項生產鍋數'!A:H,3,0)</f>
        <v>3.2</v>
      </c>
      <c r="F2763" s="142">
        <f>VLOOKUP(B2763,'112年全品項生產鍋數'!A:H,7,0)</f>
        <v>46.8</v>
      </c>
      <c r="G2763" s="143">
        <f t="shared" si="430"/>
        <v>3369.6</v>
      </c>
      <c r="H2763" s="156">
        <v>3326</v>
      </c>
      <c r="I2763" s="374">
        <f t="shared" si="431"/>
        <v>10643.2</v>
      </c>
      <c r="J2763" s="100">
        <f t="shared" si="432"/>
        <v>0.98706077872744546</v>
      </c>
      <c r="K2763" s="51">
        <f>VLOOKUP(B:B,'生產達成率(目標)'!A:C,3,0)</f>
        <v>1</v>
      </c>
      <c r="L2763" s="20">
        <f t="shared" si="433"/>
        <v>-1.2999999999999999E-2</v>
      </c>
      <c r="M2763" s="137" t="str">
        <f>工時!R1947</f>
        <v>570</v>
      </c>
      <c r="N2763" s="374"/>
      <c r="O2763" s="374">
        <f t="shared" si="434"/>
        <v>1</v>
      </c>
      <c r="P2763" s="156">
        <v>3325</v>
      </c>
      <c r="Q2763" s="145">
        <f t="shared" si="435"/>
        <v>0.99969933854479853</v>
      </c>
      <c r="R2763" s="374"/>
      <c r="S2763" s="378"/>
      <c r="T2763" s="375"/>
      <c r="U2763" s="398"/>
      <c r="V2763" s="464"/>
      <c r="W2763" s="421"/>
      <c r="X2763" s="464"/>
      <c r="Y2763" s="421"/>
      <c r="Z2763" s="421"/>
      <c r="AA2763" s="421"/>
      <c r="AB2763" s="421"/>
      <c r="AC2763" s="421"/>
      <c r="AD2763" s="421"/>
    </row>
    <row r="2764" spans="1:30" x14ac:dyDescent="0.4">
      <c r="A2764" s="402">
        <v>46108</v>
      </c>
      <c r="B2764" s="392" t="s">
        <v>75</v>
      </c>
      <c r="C2764" s="364" t="str">
        <f>VLOOKUP(B2764,'112年全品項生產鍋數'!A:H,2,0)</f>
        <v>草莓椰果餡(1*6Kg)</v>
      </c>
      <c r="D2764" s="404">
        <v>16</v>
      </c>
      <c r="E2764" s="48">
        <f>VLOOKUP(B2764,'112年全品項生產鍋數'!A:H,3,0)</f>
        <v>6</v>
      </c>
      <c r="F2764" s="142">
        <f>VLOOKUP(B2764,'112年全品項生產鍋數'!A:H,7,0)</f>
        <v>26.4</v>
      </c>
      <c r="G2764" s="143">
        <f t="shared" si="430"/>
        <v>422.4</v>
      </c>
      <c r="H2764" s="156">
        <v>428</v>
      </c>
      <c r="I2764" s="371">
        <f t="shared" si="431"/>
        <v>2568</v>
      </c>
      <c r="J2764" s="100">
        <f t="shared" si="432"/>
        <v>1.0132575757575759</v>
      </c>
      <c r="K2764" s="51">
        <f>VLOOKUP(B:B,'生產達成率(目標)'!A:C,3,0)</f>
        <v>1</v>
      </c>
      <c r="L2764" s="20">
        <f t="shared" si="433"/>
        <v>1.2999999999999999E-2</v>
      </c>
      <c r="M2764" s="137" t="str">
        <f>工時!R1948</f>
        <v>220</v>
      </c>
      <c r="N2764" s="374"/>
      <c r="O2764" s="374">
        <f t="shared" si="434"/>
        <v>1</v>
      </c>
      <c r="P2764" s="156">
        <v>427</v>
      </c>
      <c r="Q2764" s="98">
        <f t="shared" si="435"/>
        <v>0.99766355140186913</v>
      </c>
      <c r="R2764" s="371"/>
      <c r="S2764" s="372"/>
      <c r="T2764" s="364"/>
      <c r="U2764" s="264"/>
      <c r="V2764" s="463"/>
      <c r="X2764" s="463"/>
    </row>
    <row r="2765" spans="1:30" x14ac:dyDescent="0.4">
      <c r="A2765" s="402">
        <v>46108</v>
      </c>
      <c r="B2765" s="392" t="s">
        <v>63</v>
      </c>
      <c r="C2765" s="364" t="str">
        <f>VLOOKUP(B2765,'112年全品項生產鍋數'!A:H,2,0)</f>
        <v>草莓蒟蒻餡(1*6kg)</v>
      </c>
      <c r="D2765" s="404">
        <v>24</v>
      </c>
      <c r="E2765" s="48">
        <f>VLOOKUP(B2765,'112年全品項生產鍋數'!A:H,3,0)</f>
        <v>6</v>
      </c>
      <c r="F2765" s="142">
        <f>VLOOKUP(B2765,'112年全品項生產鍋數'!A:H,7,0)</f>
        <v>25.7</v>
      </c>
      <c r="G2765" s="143">
        <f t="shared" si="430"/>
        <v>616.79999999999995</v>
      </c>
      <c r="H2765" s="156">
        <f>300+310</f>
        <v>610</v>
      </c>
      <c r="I2765" s="371">
        <f t="shared" si="431"/>
        <v>3660</v>
      </c>
      <c r="J2765" s="100">
        <f t="shared" si="432"/>
        <v>0.98897535667963687</v>
      </c>
      <c r="K2765" s="51">
        <f>VLOOKUP(B:B,'生產達成率(目標)'!A:C,3,0)</f>
        <v>1</v>
      </c>
      <c r="L2765" s="20">
        <f t="shared" si="433"/>
        <v>-1.0999999999999999E-2</v>
      </c>
      <c r="M2765" s="137" t="str">
        <f>工時!R1949</f>
        <v>322</v>
      </c>
      <c r="N2765" s="374"/>
      <c r="O2765" s="374">
        <f t="shared" si="434"/>
        <v>1</v>
      </c>
      <c r="P2765" s="156">
        <f>299+310</f>
        <v>609</v>
      </c>
      <c r="Q2765" s="98">
        <f t="shared" si="435"/>
        <v>0.99836065573770494</v>
      </c>
      <c r="R2765" s="371"/>
      <c r="S2765" s="372"/>
      <c r="T2765" s="364"/>
      <c r="U2765" s="264"/>
      <c r="V2765" s="463"/>
      <c r="X2765" s="463"/>
    </row>
    <row r="2766" spans="1:30" x14ac:dyDescent="0.4">
      <c r="A2766" s="402">
        <v>46108</v>
      </c>
      <c r="B2766" s="392" t="s">
        <v>104</v>
      </c>
      <c r="C2766" s="364" t="str">
        <f>VLOOKUP(B2766,'112年全品項生產鍋數'!A:H,2,0)</f>
        <v>＃1花生(粒)(1*2.8kg)</v>
      </c>
      <c r="D2766" s="404">
        <v>60</v>
      </c>
      <c r="E2766" s="48">
        <f>VLOOKUP(B2766,'112年全品項生產鍋數'!A:H,3,0)</f>
        <v>2.8</v>
      </c>
      <c r="F2766" s="142">
        <f>VLOOKUP(B2766,'112年全品項生產鍋數'!A:H,7,0)</f>
        <v>44.2</v>
      </c>
      <c r="G2766" s="143">
        <f t="shared" si="430"/>
        <v>2652</v>
      </c>
      <c r="H2766" s="156">
        <v>2621</v>
      </c>
      <c r="I2766" s="371">
        <f t="shared" si="431"/>
        <v>7338.7999999999993</v>
      </c>
      <c r="J2766" s="100">
        <f t="shared" si="432"/>
        <v>0.98831070889894423</v>
      </c>
      <c r="K2766" s="51">
        <f>VLOOKUP(B:B,'生產達成率(目標)'!A:C,3,0)</f>
        <v>1</v>
      </c>
      <c r="L2766" s="20">
        <f t="shared" si="433"/>
        <v>-1.2E-2</v>
      </c>
      <c r="M2766" s="137" t="str">
        <f>工時!R1950</f>
        <v>515</v>
      </c>
      <c r="N2766" s="374"/>
      <c r="O2766" s="374">
        <f t="shared" si="434"/>
        <v>1</v>
      </c>
      <c r="P2766" s="156">
        <v>2620</v>
      </c>
      <c r="Q2766" s="98">
        <f t="shared" si="435"/>
        <v>0.99961846623426176</v>
      </c>
      <c r="R2766" s="371"/>
      <c r="S2766" s="372"/>
      <c r="T2766" s="364"/>
      <c r="U2766" s="264"/>
      <c r="V2766" s="463"/>
      <c r="X2766" s="463"/>
    </row>
    <row r="2767" spans="1:30" s="381" customFormat="1" x14ac:dyDescent="0.4">
      <c r="A2767" s="402">
        <v>46111</v>
      </c>
      <c r="B2767" s="392" t="s">
        <v>86</v>
      </c>
      <c r="C2767" s="375" t="str">
        <f>VLOOKUP(B2767,'112年全品項生產鍋數'!A:H,2,0)</f>
        <v>＃2藍莓(1*900g)</v>
      </c>
      <c r="D2767" s="406">
        <v>20</v>
      </c>
      <c r="E2767" s="141">
        <f>VLOOKUP(B2767,'112年全品項生產鍋數'!A:H,3,0)</f>
        <v>0.9</v>
      </c>
      <c r="F2767" s="142">
        <f>VLOOKUP(B2767,'112年全品項生產鍋數'!A:H,7,0)</f>
        <v>163</v>
      </c>
      <c r="G2767" s="143">
        <f t="shared" si="430"/>
        <v>3260</v>
      </c>
      <c r="H2767" s="156">
        <v>3223</v>
      </c>
      <c r="I2767" s="374">
        <f t="shared" si="431"/>
        <v>2900.7000000000003</v>
      </c>
      <c r="J2767" s="100">
        <f t="shared" si="432"/>
        <v>0.98865030674846621</v>
      </c>
      <c r="K2767" s="51">
        <f>VLOOKUP(B:B,'生產達成率(目標)'!A:C,3,0)</f>
        <v>1</v>
      </c>
      <c r="L2767" s="20">
        <f t="shared" si="433"/>
        <v>-1.0999999999999999E-2</v>
      </c>
      <c r="M2767" s="137" t="str">
        <f>工時!R1951</f>
        <v>330</v>
      </c>
      <c r="N2767" s="374"/>
      <c r="O2767" s="374">
        <f t="shared" si="434"/>
        <v>3</v>
      </c>
      <c r="P2767" s="156">
        <v>3220</v>
      </c>
      <c r="Q2767" s="145">
        <f t="shared" si="435"/>
        <v>0.99906919019547002</v>
      </c>
      <c r="R2767" s="374"/>
      <c r="S2767" s="378"/>
      <c r="T2767" s="375"/>
      <c r="U2767" s="398"/>
      <c r="V2767" s="464"/>
      <c r="W2767" s="421"/>
      <c r="X2767" s="464"/>
      <c r="Y2767" s="421"/>
      <c r="Z2767" s="421"/>
      <c r="AA2767" s="421"/>
      <c r="AB2767" s="421"/>
      <c r="AC2767" s="421"/>
      <c r="AD2767" s="421"/>
    </row>
    <row r="2768" spans="1:30" x14ac:dyDescent="0.4">
      <c r="A2768" s="402">
        <v>46111</v>
      </c>
      <c r="B2768" s="392" t="s">
        <v>106</v>
      </c>
      <c r="C2768" s="364" t="str">
        <f>VLOOKUP(B2768,'112年全品項生產鍋數'!A:H,2,0)</f>
        <v>小藍莓1*260G</v>
      </c>
      <c r="D2768" s="404">
        <v>16</v>
      </c>
      <c r="E2768" s="48">
        <f>VLOOKUP(B2768,'112年全品項生產鍋數'!A:H,3,0)</f>
        <v>0.26</v>
      </c>
      <c r="F2768" s="142">
        <f>VLOOKUP(B2768,'112年全品項生產鍋數'!A:H,7,0)</f>
        <v>584.29999999999995</v>
      </c>
      <c r="G2768" s="143">
        <f t="shared" si="430"/>
        <v>9348.7999999999993</v>
      </c>
      <c r="H2768" s="156">
        <v>9238</v>
      </c>
      <c r="I2768" s="371">
        <f t="shared" si="431"/>
        <v>2401.88</v>
      </c>
      <c r="J2768" s="100">
        <f t="shared" si="432"/>
        <v>0.98814821153517041</v>
      </c>
      <c r="K2768" s="51">
        <f>VLOOKUP(B:B,'生產達成率(目標)'!A:C,3,0)</f>
        <v>1</v>
      </c>
      <c r="L2768" s="20">
        <f t="shared" si="433"/>
        <v>-1.2E-2</v>
      </c>
      <c r="M2768" s="137" t="str">
        <f>工時!R1952</f>
        <v>300</v>
      </c>
      <c r="N2768" s="374"/>
      <c r="O2768" s="374">
        <f t="shared" si="434"/>
        <v>13</v>
      </c>
      <c r="P2768" s="156">
        <v>9225</v>
      </c>
      <c r="Q2768" s="98">
        <f t="shared" si="435"/>
        <v>0.99859276899761851</v>
      </c>
      <c r="R2768" s="371"/>
      <c r="S2768" s="372"/>
      <c r="T2768" s="364" t="s">
        <v>1153</v>
      </c>
      <c r="U2768" s="264"/>
      <c r="V2768" s="463"/>
      <c r="X2768" s="463"/>
    </row>
    <row r="2769" spans="1:30" x14ac:dyDescent="0.4">
      <c r="A2769" s="402">
        <v>46111</v>
      </c>
      <c r="B2769" s="392" t="s">
        <v>965</v>
      </c>
      <c r="C2769" s="364" t="str">
        <f>VLOOKUP(B2769,'112年全品項生產鍋數'!A:H,2,0)</f>
        <v>草莓餡°(1*6KG)</v>
      </c>
      <c r="D2769" s="404">
        <v>12</v>
      </c>
      <c r="E2769" s="48">
        <f>VLOOKUP(B2769,'112年全品項生產鍋數'!A:H,3,0)</f>
        <v>6</v>
      </c>
      <c r="F2769" s="142">
        <f>VLOOKUP(B2769,'112年全品項生產鍋數'!A:H,7,0)</f>
        <v>0</v>
      </c>
      <c r="G2769" s="143">
        <f t="shared" si="430"/>
        <v>0</v>
      </c>
      <c r="H2769" s="156">
        <v>300</v>
      </c>
      <c r="I2769" s="371">
        <f t="shared" si="431"/>
        <v>1800</v>
      </c>
      <c r="J2769" s="100" t="str">
        <f t="shared" si="432"/>
        <v>無法預估數據</v>
      </c>
      <c r="K2769" s="51">
        <f>VLOOKUP(B:B,'生產達成率(目標)'!A:C,3,0)</f>
        <v>1</v>
      </c>
      <c r="L2769" s="20" t="str">
        <f t="shared" si="433"/>
        <v>無法預估數據</v>
      </c>
      <c r="M2769" s="137" t="str">
        <f>工時!R1953</f>
        <v>180</v>
      </c>
      <c r="N2769" s="374"/>
      <c r="O2769" s="374">
        <f t="shared" si="434"/>
        <v>1</v>
      </c>
      <c r="P2769" s="156">
        <v>299</v>
      </c>
      <c r="Q2769" s="98">
        <f t="shared" si="435"/>
        <v>0.9966666666666667</v>
      </c>
      <c r="R2769" s="371"/>
      <c r="S2769" s="372"/>
      <c r="T2769" s="364" t="s">
        <v>1188</v>
      </c>
      <c r="U2769" s="264"/>
      <c r="V2769" s="463"/>
      <c r="X2769" s="463"/>
    </row>
    <row r="2770" spans="1:30" x14ac:dyDescent="0.4">
      <c r="A2770" s="402">
        <v>46111</v>
      </c>
      <c r="B2770" s="392" t="s">
        <v>63</v>
      </c>
      <c r="C2770" s="364" t="str">
        <f>VLOOKUP(B2770,'112年全品項生產鍋數'!A:H,2,0)</f>
        <v>草莓蒟蒻餡(1*6kg)</v>
      </c>
      <c r="D2770" s="404">
        <v>20</v>
      </c>
      <c r="E2770" s="48">
        <f>VLOOKUP(B2770,'112年全品項生產鍋數'!A:H,3,0)</f>
        <v>6</v>
      </c>
      <c r="F2770" s="142">
        <f>VLOOKUP(B2770,'112年全品項生產鍋數'!A:H,7,0)</f>
        <v>25.7</v>
      </c>
      <c r="G2770" s="143">
        <f t="shared" si="430"/>
        <v>514</v>
      </c>
      <c r="H2770" s="156">
        <f>304+210</f>
        <v>514</v>
      </c>
      <c r="I2770" s="371">
        <f t="shared" si="431"/>
        <v>3084</v>
      </c>
      <c r="J2770" s="100">
        <f t="shared" si="432"/>
        <v>1</v>
      </c>
      <c r="K2770" s="51">
        <f>VLOOKUP(B:B,'生產達成率(目標)'!A:C,3,0)</f>
        <v>1</v>
      </c>
      <c r="L2770" s="20">
        <f t="shared" si="433"/>
        <v>0</v>
      </c>
      <c r="M2770" s="137" t="str">
        <f>工時!R1954</f>
        <v>277</v>
      </c>
      <c r="N2770" s="374"/>
      <c r="O2770" s="374">
        <f t="shared" si="434"/>
        <v>1</v>
      </c>
      <c r="P2770" s="156">
        <f>303+210</f>
        <v>513</v>
      </c>
      <c r="Q2770" s="98">
        <f t="shared" si="435"/>
        <v>0.99805447470817121</v>
      </c>
      <c r="R2770" s="371"/>
      <c r="S2770" s="372"/>
      <c r="T2770" s="364" t="s">
        <v>1153</v>
      </c>
      <c r="U2770" s="264"/>
      <c r="V2770" s="463"/>
      <c r="X2770" s="463"/>
    </row>
    <row r="2771" spans="1:30" x14ac:dyDescent="0.4">
      <c r="A2771" s="402">
        <v>46111</v>
      </c>
      <c r="B2771" s="392" t="s">
        <v>81</v>
      </c>
      <c r="C2771" s="364" t="str">
        <f>VLOOKUP(B2771,'112年全品項生產鍋數'!A:H,2,0)</f>
        <v>藍莓餡(1*6Kg)</v>
      </c>
      <c r="D2771" s="404">
        <v>8</v>
      </c>
      <c r="E2771" s="48">
        <f>VLOOKUP(B2771,'112年全品項生產鍋數'!A:H,3,0)</f>
        <v>6</v>
      </c>
      <c r="F2771" s="142">
        <f>VLOOKUP(B2771,'112年全品項生產鍋數'!A:H,7,0)</f>
        <v>25.1</v>
      </c>
      <c r="G2771" s="143">
        <f t="shared" si="430"/>
        <v>200.8</v>
      </c>
      <c r="H2771" s="156">
        <v>201</v>
      </c>
      <c r="I2771" s="371">
        <f t="shared" si="431"/>
        <v>1206</v>
      </c>
      <c r="J2771" s="100">
        <f t="shared" si="432"/>
        <v>1.000996015936255</v>
      </c>
      <c r="K2771" s="51">
        <f>VLOOKUP(B:B,'生產達成率(目標)'!A:C,3,0)</f>
        <v>1</v>
      </c>
      <c r="L2771" s="20">
        <f t="shared" si="433"/>
        <v>1E-3</v>
      </c>
      <c r="M2771" s="137" t="str">
        <f>工時!R1955</f>
        <v>129</v>
      </c>
      <c r="N2771" s="374"/>
      <c r="O2771" s="374">
        <f t="shared" si="434"/>
        <v>1</v>
      </c>
      <c r="P2771" s="156">
        <v>200</v>
      </c>
      <c r="Q2771" s="98">
        <f t="shared" si="435"/>
        <v>0.99502487562189057</v>
      </c>
      <c r="R2771" s="371"/>
      <c r="S2771" s="372"/>
      <c r="T2771" s="364" t="s">
        <v>1275</v>
      </c>
      <c r="U2771" s="264"/>
      <c r="V2771" s="463"/>
      <c r="X2771" s="463"/>
    </row>
    <row r="2772" spans="1:30" s="381" customFormat="1" x14ac:dyDescent="0.4">
      <c r="A2772" s="402">
        <v>46111</v>
      </c>
      <c r="B2772" s="392" t="s">
        <v>110</v>
      </c>
      <c r="C2772" s="375" t="str">
        <f>VLOOKUP(B2772,'112年全品項生產鍋數'!A:H,2,0)</f>
        <v>顆粒花生醬(1*12KG)</v>
      </c>
      <c r="D2772" s="406">
        <v>21</v>
      </c>
      <c r="E2772" s="141">
        <f>VLOOKUP(B2772,'112年全品項生產鍋數'!A:H,3,0)</f>
        <v>3</v>
      </c>
      <c r="F2772" s="142">
        <f>VLOOKUP(B2772,'112年全品項生產鍋數'!A:H,7,0)</f>
        <v>30.8</v>
      </c>
      <c r="G2772" s="143">
        <f t="shared" si="430"/>
        <v>646.80000000000007</v>
      </c>
      <c r="H2772" s="156">
        <v>648</v>
      </c>
      <c r="I2772" s="374">
        <f t="shared" si="431"/>
        <v>1944</v>
      </c>
      <c r="J2772" s="100">
        <f t="shared" si="432"/>
        <v>1.0018552875695732</v>
      </c>
      <c r="K2772" s="51">
        <f>VLOOKUP(B:B,'生產達成率(目標)'!A:C,3,0)</f>
        <v>1</v>
      </c>
      <c r="L2772" s="20">
        <f t="shared" si="433"/>
        <v>2E-3</v>
      </c>
      <c r="M2772" s="137" t="str">
        <f>工時!R1956</f>
        <v>540</v>
      </c>
      <c r="N2772" s="374"/>
      <c r="O2772" s="374">
        <f t="shared" si="434"/>
        <v>0</v>
      </c>
      <c r="P2772" s="156">
        <v>648</v>
      </c>
      <c r="Q2772" s="145">
        <f t="shared" si="435"/>
        <v>1</v>
      </c>
      <c r="R2772" s="374"/>
      <c r="S2772" s="378"/>
      <c r="T2772" s="375" t="s">
        <v>1153</v>
      </c>
      <c r="U2772" s="398"/>
      <c r="V2772" s="464"/>
      <c r="W2772" s="421"/>
      <c r="X2772" s="464"/>
      <c r="Y2772" s="421"/>
      <c r="Z2772" s="421"/>
      <c r="AA2772" s="421"/>
      <c r="AB2772" s="421"/>
      <c r="AC2772" s="421"/>
      <c r="AD2772" s="421"/>
    </row>
    <row r="2773" spans="1:30" s="381" customFormat="1" x14ac:dyDescent="0.4">
      <c r="A2773" s="402">
        <v>46111</v>
      </c>
      <c r="B2773" s="392" t="s">
        <v>431</v>
      </c>
      <c r="C2773" s="375" t="str">
        <f>VLOOKUP(B2773,'112年全品項生產鍋數'!A:H,2,0)</f>
        <v>文旦丁</v>
      </c>
      <c r="D2773" s="406">
        <v>1</v>
      </c>
      <c r="E2773" s="141">
        <f>VLOOKUP(B2773,'112年全品項生產鍋數'!A:H,3,0)</f>
        <v>1</v>
      </c>
      <c r="F2773" s="142">
        <f>VLOOKUP(B2773,'112年全品項生產鍋數'!A:H,7,0)</f>
        <v>243</v>
      </c>
      <c r="G2773" s="143">
        <f t="shared" si="430"/>
        <v>243</v>
      </c>
      <c r="H2773" s="156">
        <v>270</v>
      </c>
      <c r="I2773" s="374">
        <f t="shared" si="431"/>
        <v>270</v>
      </c>
      <c r="J2773" s="100">
        <f t="shared" si="432"/>
        <v>1.1111111111111112</v>
      </c>
      <c r="K2773" s="51">
        <f>VLOOKUP(B:B,'生產達成率(目標)'!A:C,3,0)</f>
        <v>1</v>
      </c>
      <c r="L2773" s="20">
        <f t="shared" si="433"/>
        <v>0.111</v>
      </c>
      <c r="M2773" s="137" t="str">
        <f>工時!R1957</f>
        <v>0</v>
      </c>
      <c r="N2773" s="374"/>
      <c r="O2773" s="374">
        <f t="shared" si="434"/>
        <v>-8</v>
      </c>
      <c r="P2773" s="156">
        <v>278</v>
      </c>
      <c r="Q2773" s="145">
        <f t="shared" si="435"/>
        <v>1.0296296296296297</v>
      </c>
      <c r="R2773" s="374"/>
      <c r="S2773" s="378"/>
      <c r="T2773" s="375" t="s">
        <v>1153</v>
      </c>
      <c r="U2773" s="398"/>
      <c r="V2773" s="464"/>
      <c r="W2773" s="421"/>
      <c r="X2773" s="464"/>
      <c r="Y2773" s="421"/>
      <c r="Z2773" s="421"/>
      <c r="AA2773" s="421"/>
      <c r="AB2773" s="421"/>
      <c r="AC2773" s="421"/>
      <c r="AD2773" s="421"/>
    </row>
    <row r="2774" spans="1:30" x14ac:dyDescent="0.4">
      <c r="A2774" s="402">
        <v>46112</v>
      </c>
      <c r="B2774" s="392" t="s">
        <v>71</v>
      </c>
      <c r="C2774" s="364" t="str">
        <f>VLOOKUP(B2774,'112年全品項生產鍋數'!A:H,2,0)</f>
        <v>＃1草莓(1*3.2kg)</v>
      </c>
      <c r="D2774" s="404">
        <v>36</v>
      </c>
      <c r="E2774" s="48">
        <f>VLOOKUP(B2774,'112年全品項生產鍋數'!A:H,3,0)</f>
        <v>3.2</v>
      </c>
      <c r="F2774" s="142">
        <f>VLOOKUP(B2774,'112年全品項生產鍋數'!A:H,7,0)</f>
        <v>46.8</v>
      </c>
      <c r="G2774" s="143">
        <f t="shared" si="430"/>
        <v>1684.8</v>
      </c>
      <c r="H2774" s="156">
        <v>1657</v>
      </c>
      <c r="I2774" s="371">
        <f t="shared" si="431"/>
        <v>5302.4000000000005</v>
      </c>
      <c r="J2774" s="100">
        <f t="shared" si="432"/>
        <v>0.98349952516619188</v>
      </c>
      <c r="K2774" s="51">
        <f>VLOOKUP(B:B,'生產達成率(目標)'!A:C,3,0)</f>
        <v>1</v>
      </c>
      <c r="L2774" s="20">
        <f t="shared" si="433"/>
        <v>-1.7000000000000001E-2</v>
      </c>
      <c r="M2774" s="137" t="str">
        <f>工時!R1958</f>
        <v>300</v>
      </c>
      <c r="N2774" s="374"/>
      <c r="O2774" s="374">
        <f t="shared" si="434"/>
        <v>1</v>
      </c>
      <c r="P2774" s="156">
        <v>1656</v>
      </c>
      <c r="Q2774" s="98">
        <f t="shared" si="435"/>
        <v>0.99939649969824984</v>
      </c>
      <c r="R2774" s="371"/>
      <c r="S2774" s="372"/>
      <c r="T2774" s="364" t="s">
        <v>1153</v>
      </c>
      <c r="U2774" s="264"/>
      <c r="V2774" s="463"/>
      <c r="X2774" s="463"/>
    </row>
    <row r="2775" spans="1:30" x14ac:dyDescent="0.4">
      <c r="A2775" s="402">
        <v>46112</v>
      </c>
      <c r="B2775" s="392" t="s">
        <v>87</v>
      </c>
      <c r="C2775" s="364" t="str">
        <f>VLOOKUP(B2775,'112年全品項生產鍋數'!A:H,2,0)</f>
        <v>＃1藍莓(1*3.2kg)</v>
      </c>
      <c r="D2775" s="404">
        <v>36</v>
      </c>
      <c r="E2775" s="48">
        <f>VLOOKUP(B2775,'112年全品項生產鍋數'!A:H,3,0)</f>
        <v>3.2</v>
      </c>
      <c r="F2775" s="142">
        <f>VLOOKUP(B2775,'112年全品項生產鍋數'!A:H,7,0)</f>
        <v>47.5</v>
      </c>
      <c r="G2775" s="143">
        <f t="shared" si="430"/>
        <v>1710</v>
      </c>
      <c r="H2775" s="156">
        <v>1662</v>
      </c>
      <c r="I2775" s="371">
        <f t="shared" si="431"/>
        <v>5318.4000000000005</v>
      </c>
      <c r="J2775" s="100">
        <f t="shared" si="432"/>
        <v>0.97192982456140353</v>
      </c>
      <c r="K2775" s="51">
        <f>VLOOKUP(B:B,'生產達成率(目標)'!A:C,3,0)</f>
        <v>1</v>
      </c>
      <c r="L2775" s="20">
        <f t="shared" si="433"/>
        <v>-2.8000000000000001E-2</v>
      </c>
      <c r="M2775" s="137" t="str">
        <f>工時!R1959</f>
        <v>270</v>
      </c>
      <c r="N2775" s="374"/>
      <c r="O2775" s="374">
        <f t="shared" si="434"/>
        <v>1</v>
      </c>
      <c r="P2775" s="156">
        <v>1661</v>
      </c>
      <c r="Q2775" s="98">
        <f t="shared" si="435"/>
        <v>0.99939831528279177</v>
      </c>
      <c r="R2775" s="371"/>
      <c r="S2775" s="372"/>
      <c r="T2775" s="364" t="s">
        <v>1153</v>
      </c>
      <c r="U2775" s="264"/>
      <c r="V2775" s="463"/>
      <c r="X2775" s="463"/>
    </row>
    <row r="2776" spans="1:30" x14ac:dyDescent="0.4">
      <c r="A2776" s="402">
        <v>46112</v>
      </c>
      <c r="B2776" s="392" t="s">
        <v>55</v>
      </c>
      <c r="C2776" s="364" t="str">
        <f>VLOOKUP(B2776,'112年全品項生產鍋數'!A:H,2,0)</f>
        <v>天天開心草莓餡4.5KG</v>
      </c>
      <c r="D2776" s="404">
        <v>40</v>
      </c>
      <c r="E2776" s="48">
        <f>VLOOKUP(B2776,'112年全品項生產鍋數'!A:H,3,0)</f>
        <v>4.5</v>
      </c>
      <c r="F2776" s="142">
        <f>VLOOKUP(B2776,'112年全品項生產鍋數'!A:H,7,0)</f>
        <v>36.299999999999997</v>
      </c>
      <c r="G2776" s="143">
        <f t="shared" si="430"/>
        <v>1452</v>
      </c>
      <c r="H2776" s="156">
        <v>1452</v>
      </c>
      <c r="I2776" s="371">
        <f t="shared" si="431"/>
        <v>6534</v>
      </c>
      <c r="J2776" s="100">
        <f t="shared" si="432"/>
        <v>1</v>
      </c>
      <c r="K2776" s="51">
        <f>VLOOKUP(B:B,'生產達成率(目標)'!A:C,3,0)</f>
        <v>1</v>
      </c>
      <c r="L2776" s="20">
        <f t="shared" si="433"/>
        <v>0</v>
      </c>
      <c r="M2776" s="137" t="str">
        <f>工時!R1960</f>
        <v>570</v>
      </c>
      <c r="N2776" s="374"/>
      <c r="O2776" s="374">
        <f t="shared" si="434"/>
        <v>0</v>
      </c>
      <c r="P2776" s="156">
        <v>1452</v>
      </c>
      <c r="Q2776" s="98">
        <f t="shared" si="435"/>
        <v>1</v>
      </c>
      <c r="R2776" s="371"/>
      <c r="S2776" s="372"/>
      <c r="T2776" s="364" t="s">
        <v>1153</v>
      </c>
      <c r="U2776" s="264"/>
      <c r="V2776" s="463"/>
      <c r="X2776" s="463"/>
    </row>
    <row r="2777" spans="1:30" x14ac:dyDescent="0.4">
      <c r="A2777" s="402">
        <v>46112</v>
      </c>
      <c r="B2777" s="392" t="s">
        <v>58</v>
      </c>
      <c r="C2777" s="364" t="str">
        <f>VLOOKUP(B2777,'112年全品項生產鍋數'!A:H,2,0)</f>
        <v>PET大花生(1*400g)</v>
      </c>
      <c r="D2777" s="404">
        <v>20</v>
      </c>
      <c r="E2777" s="48">
        <f>VLOOKUP(B2777,'112年全品項生產鍋數'!A:H,3,0)</f>
        <v>0.4</v>
      </c>
      <c r="F2777" s="142">
        <f>VLOOKUP(B2777,'112年全品項生產鍋數'!A:H,7,0)</f>
        <v>309.2</v>
      </c>
      <c r="G2777" s="143">
        <f t="shared" si="430"/>
        <v>6184</v>
      </c>
      <c r="H2777" s="156">
        <v>6097</v>
      </c>
      <c r="I2777" s="371">
        <f t="shared" si="431"/>
        <v>2438.8000000000002</v>
      </c>
      <c r="J2777" s="100">
        <f t="shared" si="432"/>
        <v>0.98593143596377752</v>
      </c>
      <c r="K2777" s="51">
        <f>VLOOKUP(B:B,'生產達成率(目標)'!A:C,3,0)</f>
        <v>1</v>
      </c>
      <c r="L2777" s="20">
        <f t="shared" si="433"/>
        <v>-1.4E-2</v>
      </c>
      <c r="M2777" s="137" t="str">
        <f>工時!R1961</f>
        <v>255</v>
      </c>
      <c r="N2777" s="374"/>
      <c r="O2777" s="374">
        <f t="shared" si="434"/>
        <v>3</v>
      </c>
      <c r="P2777" s="156">
        <v>6094</v>
      </c>
      <c r="Q2777" s="98">
        <f t="shared" si="435"/>
        <v>0.99950795473183529</v>
      </c>
      <c r="R2777" s="371"/>
      <c r="S2777" s="372"/>
      <c r="T2777" s="364" t="s">
        <v>1197</v>
      </c>
      <c r="U2777" s="264"/>
      <c r="V2777" s="463"/>
      <c r="X2777" s="463"/>
    </row>
    <row r="2778" spans="1:30" x14ac:dyDescent="0.4">
      <c r="A2778" s="402">
        <v>46112</v>
      </c>
      <c r="B2778" s="392" t="s">
        <v>66</v>
      </c>
      <c r="C2778" s="364" t="str">
        <f>VLOOKUP(B2778,'112年全品項生產鍋數'!A:H,2,0)</f>
        <v>＃2花生(1*800g)</v>
      </c>
      <c r="D2778" s="404">
        <v>20</v>
      </c>
      <c r="E2778" s="48">
        <f>VLOOKUP(B2778,'112年全品項生產鍋數'!A:H,3,0)</f>
        <v>0.8</v>
      </c>
      <c r="F2778" s="142">
        <f>VLOOKUP(B2778,'112年全品項生產鍋數'!A:H,7,0)</f>
        <v>157.69999999999999</v>
      </c>
      <c r="G2778" s="143">
        <f t="shared" si="430"/>
        <v>3154</v>
      </c>
      <c r="H2778" s="156">
        <v>3109</v>
      </c>
      <c r="I2778" s="371">
        <f t="shared" si="431"/>
        <v>2487.2000000000003</v>
      </c>
      <c r="J2778" s="100">
        <f t="shared" si="432"/>
        <v>0.98573240329740008</v>
      </c>
      <c r="K2778" s="51">
        <f>VLOOKUP(B:B,'生產達成率(目標)'!A:C,3,0)</f>
        <v>1</v>
      </c>
      <c r="L2778" s="20">
        <f t="shared" si="433"/>
        <v>-1.4E-2</v>
      </c>
      <c r="M2778" s="137" t="str">
        <f>工時!R1962</f>
        <v>345</v>
      </c>
      <c r="N2778" s="374"/>
      <c r="O2778" s="374">
        <f t="shared" si="434"/>
        <v>2</v>
      </c>
      <c r="P2778" s="156">
        <v>3107</v>
      </c>
      <c r="Q2778" s="98">
        <f t="shared" si="435"/>
        <v>0.99935670633644258</v>
      </c>
      <c r="R2778" s="371"/>
      <c r="S2778" s="372"/>
      <c r="T2778" s="364" t="s">
        <v>1153</v>
      </c>
      <c r="U2778" s="264"/>
      <c r="V2778" s="463"/>
      <c r="X2778" s="463"/>
    </row>
    <row r="2779" spans="1:30" x14ac:dyDescent="0.4">
      <c r="A2779" s="402">
        <v>46113</v>
      </c>
      <c r="B2779" s="392" t="s">
        <v>54</v>
      </c>
      <c r="C2779" s="364" t="str">
        <f>VLOOKUP(B2779,'112年全品項生產鍋數'!A:H,2,0)</f>
        <v>草莓醬(1*6kg)</v>
      </c>
      <c r="D2779" s="404">
        <v>30</v>
      </c>
      <c r="E2779" s="48">
        <f>VLOOKUP(B2779,'112年全品項生產鍋數'!A:H,3,0)</f>
        <v>6</v>
      </c>
      <c r="F2779" s="142">
        <f>VLOOKUP(B2779,'112年全品項生產鍋數'!A:H,7,0)</f>
        <v>26.6</v>
      </c>
      <c r="G2779" s="143">
        <f t="shared" si="430"/>
        <v>798</v>
      </c>
      <c r="H2779" s="156">
        <v>784</v>
      </c>
      <c r="I2779" s="371">
        <f t="shared" si="431"/>
        <v>4704</v>
      </c>
      <c r="J2779" s="100">
        <f t="shared" si="432"/>
        <v>0.98245614035087714</v>
      </c>
      <c r="K2779" s="51">
        <f>VLOOKUP(B:B,'生產達成率(目標)'!A:C,3,0)</f>
        <v>1</v>
      </c>
      <c r="L2779" s="20">
        <f t="shared" si="433"/>
        <v>-1.7999999999999999E-2</v>
      </c>
      <c r="M2779" s="137" t="str">
        <f>工時!R1963</f>
        <v>358</v>
      </c>
      <c r="N2779" s="374"/>
      <c r="O2779" s="374">
        <f t="shared" si="434"/>
        <v>12</v>
      </c>
      <c r="P2779" s="156">
        <v>772</v>
      </c>
      <c r="Q2779" s="98">
        <f t="shared" si="435"/>
        <v>0.98469387755102045</v>
      </c>
      <c r="R2779" s="371"/>
      <c r="S2779" s="372"/>
      <c r="T2779" s="364" t="s">
        <v>1153</v>
      </c>
      <c r="U2779" s="264"/>
      <c r="V2779" s="463"/>
      <c r="X2779" s="463"/>
    </row>
    <row r="2780" spans="1:30" x14ac:dyDescent="0.4">
      <c r="A2780" s="402">
        <v>46113</v>
      </c>
      <c r="B2780" s="392" t="s">
        <v>99</v>
      </c>
      <c r="C2780" s="364" t="str">
        <f>VLOOKUP(B2780,'112年全品項生產鍋數'!A:H,2,0)</f>
        <v>葡萄奇異果醬(1*6kg)</v>
      </c>
      <c r="D2780" s="404">
        <v>6</v>
      </c>
      <c r="E2780" s="48">
        <f>VLOOKUP(B2780,'112年全品項生產鍋數'!A:H,3,0)</f>
        <v>6</v>
      </c>
      <c r="F2780" s="142">
        <f>VLOOKUP(B2780,'112年全品項生產鍋數'!A:H,7,0)</f>
        <v>24.3</v>
      </c>
      <c r="G2780" s="143">
        <f t="shared" si="430"/>
        <v>145.80000000000001</v>
      </c>
      <c r="H2780" s="156">
        <v>171</v>
      </c>
      <c r="I2780" s="371">
        <f t="shared" si="431"/>
        <v>1026</v>
      </c>
      <c r="J2780" s="100">
        <f t="shared" si="432"/>
        <v>1.1728395061728394</v>
      </c>
      <c r="K2780" s="51">
        <f>VLOOKUP(B:B,'生產達成率(目標)'!A:C,3,0)</f>
        <v>1</v>
      </c>
      <c r="L2780" s="20">
        <f t="shared" si="433"/>
        <v>0.17299999999999999</v>
      </c>
      <c r="M2780" s="137" t="str">
        <f>工時!R1964</f>
        <v>125</v>
      </c>
      <c r="N2780" s="374"/>
      <c r="O2780" s="374">
        <f t="shared" si="434"/>
        <v>6</v>
      </c>
      <c r="P2780" s="156">
        <v>165</v>
      </c>
      <c r="Q2780" s="98">
        <f t="shared" si="435"/>
        <v>0.96491228070175439</v>
      </c>
      <c r="R2780" s="371" t="s">
        <v>1179</v>
      </c>
      <c r="S2780" s="372">
        <f>36*6</f>
        <v>216</v>
      </c>
      <c r="T2780" s="364" t="s">
        <v>1153</v>
      </c>
      <c r="U2780" s="264"/>
      <c r="V2780" s="463"/>
      <c r="X2780" s="463"/>
    </row>
    <row r="2781" spans="1:30" x14ac:dyDescent="0.4">
      <c r="A2781" s="402">
        <v>46113</v>
      </c>
      <c r="B2781" s="392" t="s">
        <v>451</v>
      </c>
      <c r="C2781" s="364" t="str">
        <f>VLOOKUP(B2781,'112年全品項生產鍋數'!A:H,2,0)</f>
        <v>水蜜桃醬(1*6kg)</v>
      </c>
      <c r="D2781" s="404">
        <v>6</v>
      </c>
      <c r="E2781" s="48">
        <f>VLOOKUP(B2781,'112年全品項生產鍋數'!A:H,3,0)</f>
        <v>6</v>
      </c>
      <c r="F2781" s="142">
        <f>VLOOKUP(B2781,'112年全品項生產鍋數'!A:H,7,0)</f>
        <v>24.5</v>
      </c>
      <c r="G2781" s="143">
        <f t="shared" si="430"/>
        <v>147</v>
      </c>
      <c r="H2781" s="156">
        <v>143</v>
      </c>
      <c r="I2781" s="371">
        <f t="shared" si="431"/>
        <v>858</v>
      </c>
      <c r="J2781" s="100">
        <f t="shared" si="432"/>
        <v>0.97278911564625847</v>
      </c>
      <c r="K2781" s="51">
        <f>VLOOKUP(B:B,'生產達成率(目標)'!A:C,3,0)</f>
        <v>1</v>
      </c>
      <c r="L2781" s="20">
        <f t="shared" si="433"/>
        <v>-2.7E-2</v>
      </c>
      <c r="M2781" s="137" t="str">
        <f>工時!R1965</f>
        <v>150</v>
      </c>
      <c r="N2781" s="374"/>
      <c r="O2781" s="374">
        <f t="shared" si="434"/>
        <v>2</v>
      </c>
      <c r="P2781" s="156">
        <v>141</v>
      </c>
      <c r="Q2781" s="98">
        <f t="shared" si="435"/>
        <v>0.98601398601398604</v>
      </c>
      <c r="R2781" s="371"/>
      <c r="S2781" s="372"/>
      <c r="T2781" s="364" t="s">
        <v>1153</v>
      </c>
      <c r="U2781" s="264"/>
      <c r="V2781" s="463"/>
      <c r="X2781" s="463"/>
    </row>
    <row r="2782" spans="1:30" s="381" customFormat="1" x14ac:dyDescent="0.4">
      <c r="A2782" s="402">
        <v>46113</v>
      </c>
      <c r="B2782" s="392" t="s">
        <v>108</v>
      </c>
      <c r="C2782" s="375" t="str">
        <f>VLOOKUP(B2782,'112年全品項生產鍋數'!A:H,2,0)</f>
        <v>顆粒花生醬(1*12KG)</v>
      </c>
      <c r="D2782" s="406">
        <v>21</v>
      </c>
      <c r="E2782" s="141">
        <f>VLOOKUP(B2782,'112年全品項生產鍋數'!A:H,3,0)</f>
        <v>3</v>
      </c>
      <c r="F2782" s="142">
        <f>VLOOKUP(B2782,'112年全品項生產鍋數'!A:H,7,0)</f>
        <v>31.6</v>
      </c>
      <c r="G2782" s="143">
        <f t="shared" si="430"/>
        <v>663.6</v>
      </c>
      <c r="H2782" s="156">
        <v>668</v>
      </c>
      <c r="I2782" s="374">
        <f t="shared" si="431"/>
        <v>2004</v>
      </c>
      <c r="J2782" s="100">
        <f t="shared" si="432"/>
        <v>1.0066305003013862</v>
      </c>
      <c r="K2782" s="51">
        <f>VLOOKUP(B:B,'生產達成率(目標)'!A:C,3,0)</f>
        <v>1</v>
      </c>
      <c r="L2782" s="20">
        <f t="shared" si="433"/>
        <v>7.0000000000000001E-3</v>
      </c>
      <c r="M2782" s="137" t="str">
        <f>工時!R1966</f>
        <v>540</v>
      </c>
      <c r="N2782" s="374"/>
      <c r="O2782" s="374">
        <f t="shared" si="434"/>
        <v>0</v>
      </c>
      <c r="P2782" s="156">
        <v>668</v>
      </c>
      <c r="Q2782" s="145">
        <f t="shared" si="435"/>
        <v>1</v>
      </c>
      <c r="R2782" s="374"/>
      <c r="S2782" s="378"/>
      <c r="T2782" s="375" t="s">
        <v>1153</v>
      </c>
      <c r="U2782" s="398"/>
      <c r="V2782" s="464"/>
      <c r="W2782" s="421"/>
      <c r="X2782" s="464"/>
      <c r="Y2782" s="421"/>
      <c r="Z2782" s="421"/>
      <c r="AA2782" s="421"/>
      <c r="AB2782" s="421"/>
      <c r="AC2782" s="421"/>
      <c r="AD2782" s="421"/>
    </row>
    <row r="2783" spans="1:30" s="381" customFormat="1" x14ac:dyDescent="0.4">
      <c r="A2783" s="402">
        <v>46113</v>
      </c>
      <c r="B2783" s="392" t="s">
        <v>104</v>
      </c>
      <c r="C2783" s="375" t="str">
        <f>VLOOKUP(B2783,'112年全品項生產鍋數'!A:H,2,0)</f>
        <v>＃1花生(粒)(1*2.8kg)</v>
      </c>
      <c r="D2783" s="406">
        <v>72</v>
      </c>
      <c r="E2783" s="141">
        <f>VLOOKUP(B2783,'112年全品項生產鍋數'!A:H,3,0)</f>
        <v>2.8</v>
      </c>
      <c r="F2783" s="142">
        <f>VLOOKUP(B2783,'112年全品項生產鍋數'!A:H,7,0)</f>
        <v>44.2</v>
      </c>
      <c r="G2783" s="143">
        <f t="shared" si="430"/>
        <v>3182.4</v>
      </c>
      <c r="H2783" s="156">
        <v>3139</v>
      </c>
      <c r="I2783" s="374">
        <f t="shared" si="431"/>
        <v>8789.1999999999989</v>
      </c>
      <c r="J2783" s="100">
        <f t="shared" si="432"/>
        <v>0.98636249371543483</v>
      </c>
      <c r="K2783" s="51">
        <f>VLOOKUP(B:B,'生產達成率(目標)'!A:C,3,0)</f>
        <v>1</v>
      </c>
      <c r="L2783" s="20">
        <f t="shared" si="433"/>
        <v>-1.4E-2</v>
      </c>
      <c r="M2783" s="137" t="str">
        <f>工時!R1967</f>
        <v>555</v>
      </c>
      <c r="N2783" s="374"/>
      <c r="O2783" s="374">
        <f t="shared" si="434"/>
        <v>1</v>
      </c>
      <c r="P2783" s="156">
        <v>3138</v>
      </c>
      <c r="Q2783" s="145">
        <f t="shared" si="435"/>
        <v>0.99968142720611664</v>
      </c>
      <c r="R2783" s="374"/>
      <c r="S2783" s="378"/>
      <c r="T2783" s="375" t="s">
        <v>1153</v>
      </c>
      <c r="U2783" s="398"/>
      <c r="V2783" s="464"/>
      <c r="W2783" s="421"/>
      <c r="X2783" s="464"/>
      <c r="Y2783" s="421"/>
      <c r="Z2783" s="421"/>
      <c r="AA2783" s="421"/>
      <c r="AB2783" s="421"/>
      <c r="AC2783" s="421"/>
      <c r="AD2783" s="421"/>
    </row>
    <row r="2784" spans="1:30" s="381" customFormat="1" x14ac:dyDescent="0.4">
      <c r="A2784" s="402">
        <v>46114</v>
      </c>
      <c r="B2784" s="392" t="s">
        <v>114</v>
      </c>
      <c r="C2784" s="375" t="str">
        <f>VLOOKUP(B2784,'112年全品項生產鍋數'!A:H,2,0)</f>
        <v>開心草莓果醬(1*430g)</v>
      </c>
      <c r="D2784" s="406">
        <v>18</v>
      </c>
      <c r="E2784" s="141">
        <f>VLOOKUP(B2784,'112年全品項生產鍋數'!A:H,3,0)</f>
        <v>0.43</v>
      </c>
      <c r="F2784" s="142">
        <f>VLOOKUP(B2784,'112年全品項生產鍋數'!A:H,7,0)</f>
        <v>364</v>
      </c>
      <c r="G2784" s="143">
        <f t="shared" si="430"/>
        <v>6552</v>
      </c>
      <c r="H2784" s="156">
        <v>6659</v>
      </c>
      <c r="I2784" s="374">
        <f t="shared" si="431"/>
        <v>2863.37</v>
      </c>
      <c r="J2784" s="100">
        <f t="shared" si="432"/>
        <v>1.0163308913308913</v>
      </c>
      <c r="K2784" s="51">
        <f>VLOOKUP(B:B,'生產達成率(目標)'!A:C,3,0)</f>
        <v>1</v>
      </c>
      <c r="L2784" s="20">
        <f t="shared" si="433"/>
        <v>1.6E-2</v>
      </c>
      <c r="M2784" s="137" t="str">
        <f>工時!R1968</f>
        <v>470</v>
      </c>
      <c r="N2784" s="374"/>
      <c r="O2784" s="374">
        <f t="shared" si="434"/>
        <v>13</v>
      </c>
      <c r="P2784" s="156">
        <v>6646</v>
      </c>
      <c r="Q2784" s="145">
        <f t="shared" si="435"/>
        <v>0.99804775491815589</v>
      </c>
      <c r="R2784" s="374"/>
      <c r="S2784" s="378"/>
      <c r="T2784" s="375" t="s">
        <v>1153</v>
      </c>
      <c r="U2784" s="398"/>
      <c r="V2784" s="464"/>
      <c r="W2784" s="421"/>
      <c r="X2784" s="464"/>
      <c r="Y2784" s="421"/>
      <c r="Z2784" s="421"/>
      <c r="AA2784" s="421"/>
      <c r="AB2784" s="421"/>
      <c r="AC2784" s="421"/>
      <c r="AD2784" s="421"/>
    </row>
    <row r="2785" spans="1:30" s="381" customFormat="1" x14ac:dyDescent="0.4">
      <c r="A2785" s="402">
        <v>46114</v>
      </c>
      <c r="B2785" s="392" t="s">
        <v>1282</v>
      </c>
      <c r="C2785" s="375" t="str">
        <f>VLOOKUP(B2785,'112年全品項生產鍋數'!A:H,2,0)</f>
        <v>桔光抹醬(1*190g)</v>
      </c>
      <c r="D2785" s="406">
        <v>3</v>
      </c>
      <c r="E2785" s="141">
        <f>VLOOKUP(B2785,'112年全品項生產鍋數'!A:H,3,0)</f>
        <v>0.19</v>
      </c>
      <c r="F2785" s="142">
        <f>VLOOKUP(B2785,'112年全品項生產鍋數'!A:H,7,0)</f>
        <v>0</v>
      </c>
      <c r="G2785" s="143">
        <f t="shared" si="430"/>
        <v>0</v>
      </c>
      <c r="H2785" s="156">
        <v>2345</v>
      </c>
      <c r="I2785" s="374">
        <f t="shared" si="431"/>
        <v>445.55</v>
      </c>
      <c r="J2785" s="100" t="str">
        <f t="shared" si="432"/>
        <v>無法預估數據</v>
      </c>
      <c r="K2785" s="51">
        <f>VLOOKUP(B:B,'生產達成率(目標)'!A:C,3,0)</f>
        <v>1</v>
      </c>
      <c r="L2785" s="20" t="str">
        <f t="shared" si="433"/>
        <v>無法預估數據</v>
      </c>
      <c r="M2785" s="137" t="str">
        <f>工時!R1969</f>
        <v>147</v>
      </c>
      <c r="N2785" s="374"/>
      <c r="O2785" s="374">
        <f t="shared" si="434"/>
        <v>8</v>
      </c>
      <c r="P2785" s="156">
        <v>2337</v>
      </c>
      <c r="Q2785" s="145">
        <f t="shared" si="435"/>
        <v>0.99658848614072493</v>
      </c>
      <c r="R2785" s="374"/>
      <c r="S2785" s="378"/>
      <c r="T2785" s="375" t="s">
        <v>1267</v>
      </c>
      <c r="U2785" s="398"/>
      <c r="V2785" s="464"/>
      <c r="W2785" s="421"/>
      <c r="X2785" s="464"/>
      <c r="Y2785" s="421"/>
      <c r="Z2785" s="421"/>
      <c r="AA2785" s="421"/>
      <c r="AB2785" s="421"/>
      <c r="AC2785" s="421"/>
      <c r="AD2785" s="421"/>
    </row>
    <row r="2786" spans="1:30" s="381" customFormat="1" x14ac:dyDescent="0.4">
      <c r="A2786" s="402">
        <v>46114</v>
      </c>
      <c r="B2786" s="392" t="s">
        <v>115</v>
      </c>
      <c r="C2786" s="375" t="str">
        <f>VLOOKUP(B2786,'112年全品項生產鍋數'!A:H,2,0)</f>
        <v>天天開心藍莓餡4.5KG</v>
      </c>
      <c r="D2786" s="406">
        <v>12</v>
      </c>
      <c r="E2786" s="141">
        <f>VLOOKUP(B2786,'112年全品項生產鍋數'!A:H,3,0)</f>
        <v>4.5</v>
      </c>
      <c r="F2786" s="142">
        <f>VLOOKUP(B2786,'112年全品項生產鍋數'!A:H,7,0)</f>
        <v>36.799999999999997</v>
      </c>
      <c r="G2786" s="143">
        <f t="shared" si="430"/>
        <v>441.59999999999997</v>
      </c>
      <c r="H2786" s="156">
        <v>447</v>
      </c>
      <c r="I2786" s="374">
        <f t="shared" si="431"/>
        <v>2011.5</v>
      </c>
      <c r="J2786" s="100">
        <f t="shared" si="432"/>
        <v>1.0122282608695652</v>
      </c>
      <c r="K2786" s="51">
        <f>VLOOKUP(B:B,'生產達成率(目標)'!A:C,3,0)</f>
        <v>1</v>
      </c>
      <c r="L2786" s="20">
        <f t="shared" si="433"/>
        <v>1.2E-2</v>
      </c>
      <c r="M2786" s="137" t="str">
        <f>工時!R1970</f>
        <v>275</v>
      </c>
      <c r="N2786" s="374"/>
      <c r="O2786" s="374">
        <f t="shared" si="434"/>
        <v>0</v>
      </c>
      <c r="P2786" s="156">
        <v>447</v>
      </c>
      <c r="Q2786" s="145">
        <f t="shared" si="435"/>
        <v>1</v>
      </c>
      <c r="R2786" s="374"/>
      <c r="S2786" s="378"/>
      <c r="T2786" s="375" t="s">
        <v>1153</v>
      </c>
      <c r="U2786" s="398"/>
      <c r="V2786" s="464"/>
      <c r="W2786" s="421"/>
      <c r="X2786" s="464"/>
      <c r="Y2786" s="421"/>
      <c r="Z2786" s="421"/>
      <c r="AA2786" s="421"/>
      <c r="AB2786" s="421"/>
      <c r="AC2786" s="421"/>
      <c r="AD2786" s="421"/>
    </row>
    <row r="2787" spans="1:30" s="381" customFormat="1" x14ac:dyDescent="0.4">
      <c r="A2787" s="402">
        <v>46114</v>
      </c>
      <c r="B2787" s="392" t="s">
        <v>130</v>
      </c>
      <c r="C2787" s="375" t="str">
        <f>VLOOKUP(B2787,'112年全品項生產鍋數'!A:H,2,0)</f>
        <v>天天開心柳橙餡4.5KG</v>
      </c>
      <c r="D2787" s="406">
        <v>12</v>
      </c>
      <c r="E2787" s="141">
        <f>VLOOKUP(B2787,'112年全品項生產鍋數'!A:H,3,0)</f>
        <v>4.5</v>
      </c>
      <c r="F2787" s="142">
        <f>VLOOKUP(B2787,'112年全品項生產鍋數'!A:H,7,0)</f>
        <v>34.9</v>
      </c>
      <c r="G2787" s="143">
        <f t="shared" si="430"/>
        <v>418.79999999999995</v>
      </c>
      <c r="H2787" s="156">
        <v>425</v>
      </c>
      <c r="I2787" s="374">
        <f t="shared" si="431"/>
        <v>1912.5</v>
      </c>
      <c r="J2787" s="100">
        <f t="shared" si="432"/>
        <v>1.0148042024832857</v>
      </c>
      <c r="K2787" s="51">
        <f>VLOOKUP(B:B,'生產達成率(目標)'!A:C,3,0)</f>
        <v>1</v>
      </c>
      <c r="L2787" s="20">
        <f t="shared" si="433"/>
        <v>1.4999999999999999E-2</v>
      </c>
      <c r="M2787" s="137" t="str">
        <f>工時!R1971</f>
        <v>220</v>
      </c>
      <c r="N2787" s="374"/>
      <c r="O2787" s="374">
        <f t="shared" si="434"/>
        <v>0</v>
      </c>
      <c r="P2787" s="156">
        <v>425</v>
      </c>
      <c r="Q2787" s="145">
        <f t="shared" si="435"/>
        <v>1</v>
      </c>
      <c r="R2787" s="374"/>
      <c r="S2787" s="378"/>
      <c r="T2787" s="375" t="s">
        <v>1153</v>
      </c>
      <c r="U2787" s="398"/>
      <c r="V2787" s="464"/>
      <c r="W2787" s="421"/>
      <c r="X2787" s="464"/>
      <c r="Y2787" s="421"/>
      <c r="Z2787" s="421"/>
      <c r="AA2787" s="421"/>
      <c r="AB2787" s="421"/>
      <c r="AC2787" s="421"/>
      <c r="AD2787" s="421"/>
    </row>
    <row r="2788" spans="1:30" s="381" customFormat="1" x14ac:dyDescent="0.4">
      <c r="A2788" s="402">
        <v>46114</v>
      </c>
      <c r="B2788" s="392" t="s">
        <v>63</v>
      </c>
      <c r="C2788" s="375" t="str">
        <f>VLOOKUP(B2788,'112年全品項生產鍋數'!A:H,2,0)</f>
        <v>草莓蒟蒻餡(1*6kg)</v>
      </c>
      <c r="D2788" s="406">
        <v>16</v>
      </c>
      <c r="E2788" s="141">
        <f>VLOOKUP(B2788,'112年全品項生產鍋數'!A:H,3,0)</f>
        <v>6</v>
      </c>
      <c r="F2788" s="142">
        <f>VLOOKUP(B2788,'112年全品項生產鍋數'!A:H,7,0)</f>
        <v>25.7</v>
      </c>
      <c r="G2788" s="143">
        <f t="shared" si="430"/>
        <v>411.2</v>
      </c>
      <c r="H2788" s="156">
        <f>200+208</f>
        <v>408</v>
      </c>
      <c r="I2788" s="374">
        <f t="shared" si="431"/>
        <v>2448</v>
      </c>
      <c r="J2788" s="100">
        <f t="shared" si="432"/>
        <v>0.99221789883268485</v>
      </c>
      <c r="K2788" s="51">
        <f>VLOOKUP(B:B,'生產達成率(目標)'!A:C,3,0)</f>
        <v>1</v>
      </c>
      <c r="L2788" s="20">
        <f t="shared" si="433"/>
        <v>-8.0000000000000002E-3</v>
      </c>
      <c r="M2788" s="137" t="str">
        <f>工時!R1972</f>
        <v>266</v>
      </c>
      <c r="N2788" s="374"/>
      <c r="O2788" s="374">
        <f t="shared" si="434"/>
        <v>1</v>
      </c>
      <c r="P2788" s="156">
        <f>199+208</f>
        <v>407</v>
      </c>
      <c r="Q2788" s="145">
        <f t="shared" si="435"/>
        <v>0.99754901960784315</v>
      </c>
      <c r="R2788" s="374"/>
      <c r="S2788" s="378"/>
      <c r="T2788" s="375" t="s">
        <v>1153</v>
      </c>
      <c r="U2788" s="398"/>
      <c r="V2788" s="464"/>
      <c r="W2788" s="421"/>
      <c r="X2788" s="464"/>
      <c r="Y2788" s="421"/>
      <c r="Z2788" s="421"/>
      <c r="AA2788" s="421"/>
      <c r="AB2788" s="421"/>
      <c r="AC2788" s="421"/>
      <c r="AD2788" s="421"/>
    </row>
    <row r="2789" spans="1:30" s="381" customFormat="1" x14ac:dyDescent="0.4">
      <c r="A2789" s="402">
        <v>46114</v>
      </c>
      <c r="B2789" s="392" t="s">
        <v>65</v>
      </c>
      <c r="C2789" s="375" t="str">
        <f>VLOOKUP(B2789,'112年全品項生產鍋數'!A:H,2,0)</f>
        <v>＃1花生(1*2.8kg)</v>
      </c>
      <c r="D2789" s="406">
        <v>72</v>
      </c>
      <c r="E2789" s="141">
        <f>VLOOKUP(B2789,'112年全品項生產鍋數'!A:H,3,0)</f>
        <v>2.8</v>
      </c>
      <c r="F2789" s="142">
        <f>VLOOKUP(B2789,'112年全品項生產鍋數'!A:H,7,0)</f>
        <v>44.5</v>
      </c>
      <c r="G2789" s="143">
        <f>D2789*F2789-20*18/E2789</f>
        <v>3075.4285714285716</v>
      </c>
      <c r="H2789" s="156">
        <f>2787+300</f>
        <v>3087</v>
      </c>
      <c r="I2789" s="374">
        <f t="shared" si="431"/>
        <v>8643.5999999999985</v>
      </c>
      <c r="J2789" s="100">
        <f t="shared" si="432"/>
        <v>1.0037625418060201</v>
      </c>
      <c r="K2789" s="51">
        <f>VLOOKUP(B:B,'生產達成率(目標)'!A:C,3,0)</f>
        <v>1</v>
      </c>
      <c r="L2789" s="20">
        <f t="shared" si="433"/>
        <v>4.0000000000000001E-3</v>
      </c>
      <c r="M2789" s="137" t="str">
        <f>工時!R1973</f>
        <v>560</v>
      </c>
      <c r="N2789" s="374"/>
      <c r="O2789" s="374">
        <f t="shared" si="434"/>
        <v>307</v>
      </c>
      <c r="P2789" s="156">
        <v>2780</v>
      </c>
      <c r="Q2789" s="145">
        <f t="shared" si="435"/>
        <v>0.90055069646906383</v>
      </c>
      <c r="R2789" s="374"/>
      <c r="S2789" s="378"/>
      <c r="T2789" s="375" t="s">
        <v>1683</v>
      </c>
      <c r="U2789" s="398"/>
      <c r="V2789" s="464"/>
      <c r="W2789" s="421"/>
      <c r="X2789" s="464"/>
      <c r="Y2789" s="421"/>
      <c r="Z2789" s="421"/>
      <c r="AA2789" s="421"/>
      <c r="AB2789" s="421"/>
      <c r="AC2789" s="421"/>
      <c r="AD2789" s="421"/>
    </row>
    <row r="2790" spans="1:30" s="381" customFormat="1" x14ac:dyDescent="0.4">
      <c r="A2790" s="402">
        <v>46118</v>
      </c>
      <c r="B2790" s="392" t="s">
        <v>432</v>
      </c>
      <c r="C2790" s="375" t="str">
        <f>VLOOKUP(B2790,'112年全品項生產鍋數'!A:H,2,0)</f>
        <v>文旦丁</v>
      </c>
      <c r="D2790" s="406">
        <v>1</v>
      </c>
      <c r="E2790" s="141">
        <f>VLOOKUP(B2790,'112年全品項生產鍋數'!A:H,3,0)</f>
        <v>1</v>
      </c>
      <c r="F2790" s="142">
        <f>VLOOKUP(B2790,'112年全品項生產鍋數'!A:H,7,0)</f>
        <v>243</v>
      </c>
      <c r="G2790" s="143">
        <f t="shared" si="430"/>
        <v>243</v>
      </c>
      <c r="H2790" s="156">
        <v>268</v>
      </c>
      <c r="I2790" s="374">
        <f t="shared" si="431"/>
        <v>268</v>
      </c>
      <c r="J2790" s="100">
        <f t="shared" si="432"/>
        <v>1.1028806584362141</v>
      </c>
      <c r="K2790" s="51">
        <f>VLOOKUP(B:B,'生產達成率(目標)'!A:C,3,0)</f>
        <v>1</v>
      </c>
      <c r="L2790" s="20">
        <f t="shared" si="433"/>
        <v>0.10299999999999999</v>
      </c>
      <c r="M2790" s="137" t="str">
        <f>工時!$R$1974</f>
        <v>0</v>
      </c>
      <c r="N2790" s="374"/>
      <c r="O2790" s="374">
        <f t="shared" si="434"/>
        <v>0</v>
      </c>
      <c r="P2790" s="156">
        <v>268</v>
      </c>
      <c r="Q2790" s="145">
        <f t="shared" si="435"/>
        <v>1</v>
      </c>
      <c r="R2790" s="374"/>
      <c r="S2790" s="378"/>
      <c r="T2790" s="375"/>
      <c r="U2790" s="398"/>
      <c r="V2790" s="464"/>
      <c r="W2790" s="421"/>
      <c r="X2790" s="464"/>
      <c r="Y2790" s="421"/>
      <c r="Z2790" s="421"/>
      <c r="AA2790" s="421"/>
      <c r="AB2790" s="421"/>
      <c r="AC2790" s="421"/>
      <c r="AD2790" s="421"/>
    </row>
    <row r="2791" spans="1:30" x14ac:dyDescent="0.4">
      <c r="A2791" s="402">
        <v>46119</v>
      </c>
      <c r="B2791" s="392" t="s">
        <v>71</v>
      </c>
      <c r="C2791" s="364" t="str">
        <f>VLOOKUP(B2791,'112年全品項生產鍋數'!A:H,2,0)</f>
        <v>＃1草莓(1*3.2kg)</v>
      </c>
      <c r="D2791" s="404">
        <v>72</v>
      </c>
      <c r="E2791" s="48">
        <f>VLOOKUP(B2791,'112年全品項生產鍋數'!A:H,3,0)</f>
        <v>3.2</v>
      </c>
      <c r="F2791" s="142">
        <f>VLOOKUP(B2791,'112年全品項生產鍋數'!A:H,7,0)</f>
        <v>46.8</v>
      </c>
      <c r="G2791" s="143">
        <f t="shared" si="430"/>
        <v>3369.6</v>
      </c>
      <c r="H2791" s="156">
        <v>3446</v>
      </c>
      <c r="I2791" s="371">
        <f t="shared" si="431"/>
        <v>11027.2</v>
      </c>
      <c r="J2791" s="100">
        <f t="shared" si="432"/>
        <v>1.0226733143399811</v>
      </c>
      <c r="K2791" s="51">
        <f>VLOOKUP(B:B,'生產達成率(目標)'!A:C,3,0)</f>
        <v>1</v>
      </c>
      <c r="L2791" s="20">
        <f t="shared" si="433"/>
        <v>2.3E-2</v>
      </c>
      <c r="M2791" s="137" t="str">
        <f>工時!R1975</f>
        <v>600</v>
      </c>
      <c r="N2791" s="374"/>
      <c r="O2791" s="374">
        <f t="shared" si="434"/>
        <v>101</v>
      </c>
      <c r="P2791" s="156">
        <v>3345</v>
      </c>
      <c r="Q2791" s="98">
        <f t="shared" si="435"/>
        <v>0.97069065583284964</v>
      </c>
      <c r="R2791" s="371"/>
      <c r="S2791" s="372"/>
      <c r="T2791" s="364" t="s">
        <v>1153</v>
      </c>
      <c r="U2791" s="264"/>
      <c r="V2791" s="463"/>
      <c r="X2791" s="463"/>
    </row>
    <row r="2792" spans="1:30" x14ac:dyDescent="0.4">
      <c r="A2792" s="402">
        <v>46119</v>
      </c>
      <c r="B2792" s="392" t="s">
        <v>64</v>
      </c>
      <c r="C2792" s="364" t="str">
        <f>VLOOKUP(B2792,'112年全品項生產鍋數'!A:H,2,0)</f>
        <v>藍莓餡(1*6KG)</v>
      </c>
      <c r="D2792" s="404">
        <v>24</v>
      </c>
      <c r="E2792" s="48">
        <f>VLOOKUP(B2792,'112年全品項生產鍋數'!A:H,3,0)</f>
        <v>6</v>
      </c>
      <c r="F2792" s="142">
        <f>VLOOKUP(B2792,'112年全品項生產鍋數'!A:H,7,0)</f>
        <v>25.4</v>
      </c>
      <c r="G2792" s="143">
        <f t="shared" si="430"/>
        <v>609.59999999999991</v>
      </c>
      <c r="H2792" s="156">
        <f>300+310</f>
        <v>610</v>
      </c>
      <c r="I2792" s="371">
        <f t="shared" si="431"/>
        <v>3660</v>
      </c>
      <c r="J2792" s="100">
        <f t="shared" si="432"/>
        <v>1.0006561679790027</v>
      </c>
      <c r="K2792" s="51">
        <f>VLOOKUP(B:B,'生產達成率(目標)'!A:C,3,0)</f>
        <v>1</v>
      </c>
      <c r="L2792" s="20">
        <f t="shared" si="433"/>
        <v>1E-3</v>
      </c>
      <c r="M2792" s="137" t="str">
        <f>工時!R1976</f>
        <v>340</v>
      </c>
      <c r="N2792" s="374"/>
      <c r="O2792" s="374">
        <f t="shared" si="434"/>
        <v>3</v>
      </c>
      <c r="P2792" s="156">
        <f>298+309</f>
        <v>607</v>
      </c>
      <c r="Q2792" s="98">
        <f t="shared" si="435"/>
        <v>0.9950819672131147</v>
      </c>
      <c r="R2792" s="371"/>
      <c r="S2792" s="372"/>
      <c r="T2792" s="364"/>
      <c r="U2792" s="264"/>
      <c r="V2792" s="463"/>
      <c r="X2792" s="463"/>
    </row>
    <row r="2793" spans="1:30" x14ac:dyDescent="0.4">
      <c r="A2793" s="402">
        <v>46119</v>
      </c>
      <c r="B2793" s="392" t="s">
        <v>88</v>
      </c>
      <c r="C2793" s="364" t="str">
        <f>VLOOKUP(B2793,'112年全品項生產鍋數'!A:H,2,0)</f>
        <v>草莓餡(1*6KG)</v>
      </c>
      <c r="D2793" s="404">
        <v>16</v>
      </c>
      <c r="E2793" s="48">
        <f>VLOOKUP(B2793,'112年全品項生產鍋數'!A:H,3,0)</f>
        <v>6</v>
      </c>
      <c r="F2793" s="142">
        <f>VLOOKUP(B2793,'112年全品項生產鍋數'!A:H,7,0)</f>
        <v>25.5</v>
      </c>
      <c r="G2793" s="143">
        <f t="shared" si="430"/>
        <v>408</v>
      </c>
      <c r="H2793" s="156">
        <v>408</v>
      </c>
      <c r="I2793" s="371">
        <f t="shared" si="431"/>
        <v>2448</v>
      </c>
      <c r="J2793" s="100">
        <f t="shared" si="432"/>
        <v>1</v>
      </c>
      <c r="K2793" s="51">
        <f>VLOOKUP(B:B,'生產達成率(目標)'!A:C,3,0)</f>
        <v>1</v>
      </c>
      <c r="L2793" s="20">
        <f t="shared" si="433"/>
        <v>0</v>
      </c>
      <c r="M2793" s="137" t="str">
        <f>工時!R1977</f>
        <v>210</v>
      </c>
      <c r="N2793" s="374"/>
      <c r="O2793" s="374">
        <f t="shared" si="434"/>
        <v>1</v>
      </c>
      <c r="P2793" s="156">
        <v>407</v>
      </c>
      <c r="Q2793" s="98">
        <f t="shared" si="435"/>
        <v>0.99754901960784315</v>
      </c>
      <c r="R2793" s="371"/>
      <c r="S2793" s="372"/>
      <c r="T2793" s="364"/>
      <c r="U2793" s="264"/>
      <c r="V2793" s="463"/>
      <c r="X2793" s="463"/>
    </row>
    <row r="2794" spans="1:30" s="381" customFormat="1" ht="15.75" customHeight="1" x14ac:dyDescent="0.4">
      <c r="A2794" s="402">
        <v>46119</v>
      </c>
      <c r="B2794" s="392" t="s">
        <v>597</v>
      </c>
      <c r="C2794" s="375" t="str">
        <f>VLOOKUP(B2794,'112年全品項生產鍋數'!A:H,2,0)</f>
        <v>無加糖花生醬(1*290g)</v>
      </c>
      <c r="D2794" s="406">
        <v>8</v>
      </c>
      <c r="E2794" s="141">
        <f>VLOOKUP(B2794,'112年全品項生產鍋數'!A:H,3,0)</f>
        <v>0.28999999999999998</v>
      </c>
      <c r="F2794" s="142">
        <f>VLOOKUP(B2794,'112年全品項生產鍋數'!A:H,7,0)</f>
        <v>388</v>
      </c>
      <c r="G2794" s="143">
        <f t="shared" si="430"/>
        <v>3104</v>
      </c>
      <c r="H2794" s="156">
        <v>3231</v>
      </c>
      <c r="I2794" s="374">
        <f t="shared" si="431"/>
        <v>936.9899999999999</v>
      </c>
      <c r="J2794" s="100">
        <f t="shared" si="432"/>
        <v>1.0409149484536082</v>
      </c>
      <c r="K2794" s="51">
        <f>VLOOKUP(B:B,'生產達成率(目標)'!A:C,3,0)</f>
        <v>1</v>
      </c>
      <c r="L2794" s="20">
        <f t="shared" si="433"/>
        <v>4.1000000000000002E-2</v>
      </c>
      <c r="M2794" s="137" t="str">
        <f>工時!R1978</f>
        <v>250</v>
      </c>
      <c r="N2794" s="374"/>
      <c r="O2794" s="374">
        <f t="shared" si="434"/>
        <v>4</v>
      </c>
      <c r="P2794" s="156">
        <v>3227</v>
      </c>
      <c r="Q2794" s="145">
        <f t="shared" si="435"/>
        <v>0.99876199319096259</v>
      </c>
      <c r="R2794" s="374"/>
      <c r="S2794" s="378"/>
      <c r="T2794" s="375" t="s">
        <v>1230</v>
      </c>
      <c r="U2794" s="398"/>
      <c r="V2794" s="464"/>
      <c r="W2794" s="421"/>
      <c r="X2794" s="464"/>
      <c r="Y2794" s="421"/>
      <c r="Z2794" s="421"/>
      <c r="AA2794" s="421"/>
      <c r="AB2794" s="421"/>
      <c r="AC2794" s="421"/>
      <c r="AD2794" s="421"/>
    </row>
    <row r="2795" spans="1:30" s="381" customFormat="1" x14ac:dyDescent="0.4">
      <c r="A2795" s="402">
        <v>46119</v>
      </c>
      <c r="B2795" s="392" t="s">
        <v>123</v>
      </c>
      <c r="C2795" s="375" t="str">
        <f>VLOOKUP(B2795,'112年全品項生產鍋數'!A:H,2,0)</f>
        <v>深烤焙花生醬(1*18KG)</v>
      </c>
      <c r="D2795" s="406">
        <v>36</v>
      </c>
      <c r="E2795" s="141">
        <f>VLOOKUP(B2795,'112年全品項生產鍋數'!A:H,3,0)</f>
        <v>18</v>
      </c>
      <c r="F2795" s="142">
        <f>VLOOKUP(B2795,'112年全品項生產鍋數'!A:H,7,0)</f>
        <v>6.9</v>
      </c>
      <c r="G2795" s="143">
        <f t="shared" si="430"/>
        <v>248.4</v>
      </c>
      <c r="H2795" s="156">
        <v>255</v>
      </c>
      <c r="I2795" s="374">
        <f t="shared" si="431"/>
        <v>4590</v>
      </c>
      <c r="J2795" s="100">
        <f t="shared" si="432"/>
        <v>1.0265700483091786</v>
      </c>
      <c r="K2795" s="51">
        <f>VLOOKUP(B:B,'生產達成率(目標)'!A:C,3,0)</f>
        <v>1</v>
      </c>
      <c r="L2795" s="20">
        <f t="shared" si="433"/>
        <v>2.7E-2</v>
      </c>
      <c r="M2795" s="137" t="str">
        <f>工時!R1979</f>
        <v>450</v>
      </c>
      <c r="N2795" s="374"/>
      <c r="O2795" s="374">
        <f t="shared" si="434"/>
        <v>0</v>
      </c>
      <c r="P2795" s="156">
        <v>255</v>
      </c>
      <c r="Q2795" s="145">
        <f t="shared" si="435"/>
        <v>1</v>
      </c>
      <c r="R2795" s="374"/>
      <c r="S2795" s="378"/>
      <c r="T2795" s="375" t="s">
        <v>1153</v>
      </c>
      <c r="U2795" s="398"/>
      <c r="V2795" s="464"/>
      <c r="W2795" s="421"/>
      <c r="X2795" s="464"/>
      <c r="Y2795" s="421"/>
      <c r="Z2795" s="421"/>
      <c r="AA2795" s="421"/>
      <c r="AB2795" s="421"/>
      <c r="AC2795" s="421"/>
      <c r="AD2795" s="421"/>
    </row>
    <row r="2796" spans="1:30" s="381" customFormat="1" x14ac:dyDescent="0.4">
      <c r="A2796" s="402">
        <v>46120</v>
      </c>
      <c r="B2796" s="392" t="s">
        <v>61</v>
      </c>
      <c r="C2796" s="375" t="str">
        <f>VLOOKUP(B2796,'112年全品項生產鍋數'!A:H,2,0)</f>
        <v>大圓草莓-新</v>
      </c>
      <c r="D2796" s="406">
        <v>28</v>
      </c>
      <c r="E2796" s="141">
        <f>VLOOKUP(B2796,'112年全品項生產鍋數'!A:H,3,0)</f>
        <v>0.44</v>
      </c>
      <c r="F2796" s="142">
        <f>VLOOKUP(B2796,'112年全品項生產鍋數'!A:H,7,0)</f>
        <v>344</v>
      </c>
      <c r="G2796" s="143">
        <f t="shared" si="430"/>
        <v>9632</v>
      </c>
      <c r="H2796" s="156">
        <v>9334</v>
      </c>
      <c r="I2796" s="374">
        <f t="shared" si="431"/>
        <v>4106.96</v>
      </c>
      <c r="J2796" s="100">
        <f t="shared" si="432"/>
        <v>0.96906146179401997</v>
      </c>
      <c r="K2796" s="51">
        <f>VLOOKUP(B:B,'生產達成率(目標)'!A:C,3,0)</f>
        <v>1</v>
      </c>
      <c r="L2796" s="20">
        <f t="shared" si="433"/>
        <v>-3.1E-2</v>
      </c>
      <c r="M2796" s="137" t="str">
        <f>工時!R1980</f>
        <v>410</v>
      </c>
      <c r="N2796" s="374"/>
      <c r="O2796" s="374">
        <f t="shared" si="434"/>
        <v>5</v>
      </c>
      <c r="P2796" s="156">
        <v>9329</v>
      </c>
      <c r="Q2796" s="145">
        <f t="shared" si="435"/>
        <v>0.9994643239768588</v>
      </c>
      <c r="R2796" s="374"/>
      <c r="S2796" s="378"/>
      <c r="T2796" s="375"/>
      <c r="U2796" s="398"/>
      <c r="V2796" s="464"/>
      <c r="W2796" s="421"/>
      <c r="X2796" s="464"/>
      <c r="Y2796" s="421"/>
      <c r="Z2796" s="421"/>
      <c r="AA2796" s="421"/>
      <c r="AB2796" s="421"/>
      <c r="AC2796" s="421"/>
      <c r="AD2796" s="421"/>
    </row>
    <row r="2797" spans="1:30" s="381" customFormat="1" x14ac:dyDescent="0.4">
      <c r="A2797" s="402">
        <v>46120</v>
      </c>
      <c r="B2797" s="392" t="s">
        <v>608</v>
      </c>
      <c r="C2797" s="375" t="str">
        <f>VLOOKUP(B2797,'112年全品項生產鍋數'!A:H,2,0)</f>
        <v>紅棗醬(1*210G)</v>
      </c>
      <c r="D2797" s="406">
        <v>3</v>
      </c>
      <c r="E2797" s="141">
        <f>VLOOKUP(B2797,'112年全品項生產鍋數'!A:H,3,0)</f>
        <v>0.21</v>
      </c>
      <c r="F2797" s="142">
        <f>VLOOKUP(B2797,'112年全品項生產鍋數'!A:H,7,0)</f>
        <v>738</v>
      </c>
      <c r="G2797" s="143">
        <f t="shared" si="430"/>
        <v>2214</v>
      </c>
      <c r="H2797" s="156">
        <v>2237</v>
      </c>
      <c r="I2797" s="374">
        <f t="shared" si="431"/>
        <v>469.77</v>
      </c>
      <c r="J2797" s="100">
        <f t="shared" si="432"/>
        <v>1.0103884372177054</v>
      </c>
      <c r="K2797" s="51">
        <f>VLOOKUP(B:B,'生產達成率(目標)'!A:C,3,0)</f>
        <v>1</v>
      </c>
      <c r="L2797" s="20">
        <f t="shared" si="433"/>
        <v>0.01</v>
      </c>
      <c r="M2797" s="137" t="str">
        <f>工時!R1981</f>
        <v>210</v>
      </c>
      <c r="N2797" s="374"/>
      <c r="O2797" s="374">
        <f t="shared" si="434"/>
        <v>9</v>
      </c>
      <c r="P2797" s="156">
        <v>2228</v>
      </c>
      <c r="Q2797" s="145">
        <f t="shared" si="435"/>
        <v>0.9959767545820295</v>
      </c>
      <c r="R2797" s="374"/>
      <c r="S2797" s="378"/>
      <c r="T2797" s="375" t="s">
        <v>1153</v>
      </c>
      <c r="U2797" s="398"/>
      <c r="V2797" s="464"/>
      <c r="W2797" s="421"/>
      <c r="X2797" s="464"/>
      <c r="Y2797" s="421"/>
      <c r="Z2797" s="421"/>
      <c r="AA2797" s="421"/>
      <c r="AB2797" s="421"/>
      <c r="AC2797" s="421"/>
      <c r="AD2797" s="421"/>
    </row>
    <row r="2798" spans="1:30" x14ac:dyDescent="0.4">
      <c r="A2798" s="402">
        <v>46120</v>
      </c>
      <c r="B2798" s="392" t="s">
        <v>63</v>
      </c>
      <c r="C2798" s="364" t="str">
        <f>VLOOKUP(B2798,'112年全品項生產鍋數'!A:H,2,0)</f>
        <v>草莓蒟蒻餡(1*6kg)</v>
      </c>
      <c r="D2798" s="404">
        <v>16</v>
      </c>
      <c r="E2798" s="48">
        <f>VLOOKUP(B2798,'112年全品項生產鍋數'!A:H,3,0)</f>
        <v>6</v>
      </c>
      <c r="F2798" s="142">
        <f>VLOOKUP(B2798,'112年全品項生產鍋數'!A:H,7,0)</f>
        <v>25.7</v>
      </c>
      <c r="G2798" s="143">
        <f t="shared" si="430"/>
        <v>411.2</v>
      </c>
      <c r="H2798" s="156">
        <f>202+210</f>
        <v>412</v>
      </c>
      <c r="I2798" s="371">
        <f t="shared" si="431"/>
        <v>2472</v>
      </c>
      <c r="J2798" s="100">
        <f t="shared" si="432"/>
        <v>1.0019455252918288</v>
      </c>
      <c r="K2798" s="51">
        <f>VLOOKUP(B:B,'生產達成率(目標)'!A:C,3,0)</f>
        <v>1</v>
      </c>
      <c r="L2798" s="20">
        <f t="shared" si="433"/>
        <v>2E-3</v>
      </c>
      <c r="M2798" s="137" t="str">
        <f>工時!R1982</f>
        <v>210</v>
      </c>
      <c r="N2798" s="374"/>
      <c r="O2798" s="374">
        <f t="shared" si="434"/>
        <v>1</v>
      </c>
      <c r="P2798" s="156">
        <f>201+210</f>
        <v>411</v>
      </c>
      <c r="Q2798" s="98">
        <f t="shared" si="435"/>
        <v>0.99757281553398058</v>
      </c>
      <c r="R2798" s="371"/>
      <c r="S2798" s="372"/>
      <c r="T2798" s="364"/>
      <c r="U2798" s="264"/>
      <c r="V2798" s="463"/>
      <c r="X2798" s="463"/>
    </row>
    <row r="2799" spans="1:30" x14ac:dyDescent="0.4">
      <c r="A2799" s="402">
        <v>46120</v>
      </c>
      <c r="B2799" s="392" t="s">
        <v>72</v>
      </c>
      <c r="C2799" s="364" t="str">
        <f>VLOOKUP(B2799,'112年全品項生產鍋數'!A:H,2,0)</f>
        <v>草莓餡45%(1*6Kg)</v>
      </c>
      <c r="D2799" s="404">
        <v>12</v>
      </c>
      <c r="E2799" s="48">
        <f>VLOOKUP(B2799,'112年全品項生產鍋數'!A:H,3,0)</f>
        <v>6</v>
      </c>
      <c r="F2799" s="142">
        <f>VLOOKUP(B2799,'112年全品項生產鍋數'!A:H,7,0)</f>
        <v>26.1</v>
      </c>
      <c r="G2799" s="143">
        <f t="shared" ref="G2799:G2846" si="436">D2799*F2799</f>
        <v>313.20000000000005</v>
      </c>
      <c r="H2799" s="156">
        <v>314</v>
      </c>
      <c r="I2799" s="371">
        <f t="shared" ref="I2799:I2846" si="437">H2799*E2799</f>
        <v>1884</v>
      </c>
      <c r="J2799" s="100">
        <f t="shared" ref="J2799:J2846" si="438">IF(G2799=0,"無法預估數據",H2799/G2799)</f>
        <v>1.0025542784163473</v>
      </c>
      <c r="K2799" s="51">
        <f>VLOOKUP(B:B,'生產達成率(目標)'!A:C,3,0)</f>
        <v>1</v>
      </c>
      <c r="L2799" s="20">
        <f t="shared" ref="L2799:L2846" si="439">IF(G2799=0,"無法預估數據",ROUND(J2799-K2799,3))</f>
        <v>3.0000000000000001E-3</v>
      </c>
      <c r="M2799" s="137" t="str">
        <f>工時!R1983</f>
        <v>175</v>
      </c>
      <c r="N2799" s="374"/>
      <c r="O2799" s="374">
        <f t="shared" ref="O2799:O2846" si="440">H2799-N2799-P2799</f>
        <v>1</v>
      </c>
      <c r="P2799" s="156">
        <v>313</v>
      </c>
      <c r="Q2799" s="98">
        <f t="shared" ref="Q2799:Q2846" si="441">P2799/H2799</f>
        <v>0.99681528662420382</v>
      </c>
      <c r="R2799" s="371"/>
      <c r="S2799" s="372"/>
      <c r="T2799" s="364" t="s">
        <v>1153</v>
      </c>
      <c r="U2799" s="264"/>
      <c r="V2799" s="463"/>
      <c r="X2799" s="463"/>
    </row>
    <row r="2800" spans="1:30" x14ac:dyDescent="0.4">
      <c r="A2800" s="402">
        <v>46120</v>
      </c>
      <c r="B2800" s="392" t="s">
        <v>76</v>
      </c>
      <c r="C2800" s="364" t="str">
        <f>VLOOKUP(B2800,'112年全品項生產鍋數'!A:H,2,0)</f>
        <v>草莓餡(1*6Kg)</v>
      </c>
      <c r="D2800" s="404">
        <v>12</v>
      </c>
      <c r="E2800" s="48">
        <f>VLOOKUP(B2800,'112年全品項生產鍋數'!A:H,3,0)</f>
        <v>6</v>
      </c>
      <c r="F2800" s="142">
        <f>VLOOKUP(B2800,'112年全品項生產鍋數'!A:H,7,0)</f>
        <v>25.5</v>
      </c>
      <c r="G2800" s="143">
        <f t="shared" si="436"/>
        <v>306</v>
      </c>
      <c r="H2800" s="156">
        <v>335</v>
      </c>
      <c r="I2800" s="371">
        <f t="shared" si="437"/>
        <v>2010</v>
      </c>
      <c r="J2800" s="100">
        <f t="shared" si="438"/>
        <v>1.0947712418300655</v>
      </c>
      <c r="K2800" s="51">
        <f>VLOOKUP(B:B,'生產達成率(目標)'!A:C,3,0)</f>
        <v>1</v>
      </c>
      <c r="L2800" s="20">
        <f t="shared" si="439"/>
        <v>9.5000000000000001E-2</v>
      </c>
      <c r="M2800" s="137" t="str">
        <f>工時!R1984</f>
        <v>198</v>
      </c>
      <c r="N2800" s="374"/>
      <c r="O2800" s="374">
        <f t="shared" si="440"/>
        <v>1</v>
      </c>
      <c r="P2800" s="156">
        <v>334</v>
      </c>
      <c r="Q2800" s="98">
        <f t="shared" si="441"/>
        <v>0.9970149253731343</v>
      </c>
      <c r="R2800" s="371"/>
      <c r="S2800" s="372"/>
      <c r="T2800" s="364" t="s">
        <v>1153</v>
      </c>
      <c r="U2800" s="264"/>
      <c r="V2800" s="463"/>
      <c r="X2800" s="463"/>
    </row>
    <row r="2801" spans="1:30" x14ac:dyDescent="0.4">
      <c r="A2801" s="402">
        <v>46120</v>
      </c>
      <c r="B2801" s="392" t="s">
        <v>65</v>
      </c>
      <c r="C2801" s="364" t="str">
        <f>VLOOKUP(B2801,'112年全品項生產鍋數'!A:H,2,0)</f>
        <v>＃1花生(1*2.8kg)</v>
      </c>
      <c r="D2801" s="404">
        <v>72</v>
      </c>
      <c r="E2801" s="48">
        <f>VLOOKUP(B2801,'112年全品項生產鍋數'!A:H,3,0)</f>
        <v>2.8</v>
      </c>
      <c r="F2801" s="142">
        <f>VLOOKUP(B2801,'112年全品項生產鍋數'!A:H,7,0)</f>
        <v>44.5</v>
      </c>
      <c r="G2801" s="143">
        <f>D2801*F2801-18*25/E2801</f>
        <v>3043.2857142857142</v>
      </c>
      <c r="H2801" s="156">
        <v>3057</v>
      </c>
      <c r="I2801" s="371">
        <f t="shared" si="437"/>
        <v>8559.6</v>
      </c>
      <c r="J2801" s="100">
        <f t="shared" si="438"/>
        <v>1.0045064075482326</v>
      </c>
      <c r="K2801" s="51">
        <f>VLOOKUP(B:B,'生產達成率(目標)'!A:C,3,0)</f>
        <v>1</v>
      </c>
      <c r="L2801" s="20">
        <f t="shared" si="439"/>
        <v>5.0000000000000001E-3</v>
      </c>
      <c r="M2801" s="137" t="str">
        <f>工時!R1985</f>
        <v>560</v>
      </c>
      <c r="N2801" s="374"/>
      <c r="O2801" s="374">
        <f t="shared" si="440"/>
        <v>1</v>
      </c>
      <c r="P2801" s="156">
        <v>3056</v>
      </c>
      <c r="Q2801" s="98">
        <f t="shared" si="441"/>
        <v>0.99967288191036963</v>
      </c>
      <c r="R2801" s="371"/>
      <c r="S2801" s="372"/>
      <c r="T2801" s="364" t="s">
        <v>1284</v>
      </c>
      <c r="U2801" s="264"/>
      <c r="V2801" s="463"/>
      <c r="X2801" s="463"/>
    </row>
    <row r="2802" spans="1:30" x14ac:dyDescent="0.4">
      <c r="A2802" s="402">
        <v>46121</v>
      </c>
      <c r="B2802" s="392" t="s">
        <v>87</v>
      </c>
      <c r="C2802" s="364" t="str">
        <f>VLOOKUP(B2802,'112年全品項生產鍋數'!A:H,2,0)</f>
        <v>＃1藍莓(1*3.2kg)</v>
      </c>
      <c r="D2802" s="404">
        <v>60</v>
      </c>
      <c r="E2802" s="48">
        <f>VLOOKUP(B2802,'112年全品項生產鍋數'!A:H,3,0)</f>
        <v>3.2</v>
      </c>
      <c r="F2802" s="142">
        <f>VLOOKUP(B2802,'112年全品項生產鍋數'!A:H,7,0)</f>
        <v>47.5</v>
      </c>
      <c r="G2802" s="143">
        <f t="shared" si="436"/>
        <v>2850</v>
      </c>
      <c r="H2802" s="156">
        <v>2817</v>
      </c>
      <c r="I2802" s="371">
        <f t="shared" si="437"/>
        <v>9014.4</v>
      </c>
      <c r="J2802" s="100">
        <f t="shared" si="438"/>
        <v>0.98842105263157898</v>
      </c>
      <c r="K2802" s="51">
        <f>VLOOKUP(B:B,'生產達成率(目標)'!A:C,3,0)</f>
        <v>1</v>
      </c>
      <c r="L2802" s="20">
        <f t="shared" si="439"/>
        <v>-1.2E-2</v>
      </c>
      <c r="M2802" s="137" t="str">
        <f>工時!R1986</f>
        <v>540</v>
      </c>
      <c r="N2802" s="374"/>
      <c r="O2802" s="374">
        <f t="shared" si="440"/>
        <v>1</v>
      </c>
      <c r="P2802" s="156">
        <v>2816</v>
      </c>
      <c r="Q2802" s="98">
        <f t="shared" si="441"/>
        <v>0.99964501242456516</v>
      </c>
      <c r="R2802" s="371"/>
      <c r="S2802" s="372"/>
      <c r="T2802" s="364" t="s">
        <v>1153</v>
      </c>
      <c r="U2802" s="264"/>
      <c r="V2802" s="463"/>
      <c r="X2802" s="463"/>
    </row>
    <row r="2803" spans="1:30" x14ac:dyDescent="0.4">
      <c r="A2803" s="402">
        <v>46121</v>
      </c>
      <c r="B2803" s="392" t="s">
        <v>102</v>
      </c>
      <c r="C2803" s="364" t="str">
        <f>VLOOKUP(B2803,'112年全品項生產鍋數'!A:H,2,0)</f>
        <v>耐烤草莓餡(1*4.5KG)</v>
      </c>
      <c r="D2803" s="404">
        <v>9</v>
      </c>
      <c r="E2803" s="48">
        <f>VLOOKUP(B2803,'112年全品項生產鍋數'!A:H,3,0)</f>
        <v>4.5</v>
      </c>
      <c r="F2803" s="142">
        <f>VLOOKUP(B2803,'112年全品項生產鍋數'!A:H,7,0)</f>
        <v>36</v>
      </c>
      <c r="G2803" s="143">
        <f t="shared" si="436"/>
        <v>324</v>
      </c>
      <c r="H2803" s="156">
        <v>322</v>
      </c>
      <c r="I2803" s="371">
        <f t="shared" si="437"/>
        <v>1449</v>
      </c>
      <c r="J2803" s="100">
        <f t="shared" si="438"/>
        <v>0.99382716049382713</v>
      </c>
      <c r="K2803" s="51">
        <f>VLOOKUP(B:B,'生產達成率(目標)'!A:C,3,0)</f>
        <v>1</v>
      </c>
      <c r="L2803" s="20">
        <f t="shared" si="439"/>
        <v>-6.0000000000000001E-3</v>
      </c>
      <c r="M2803" s="137" t="str">
        <f>工時!R1987</f>
        <v>178</v>
      </c>
      <c r="N2803" s="374"/>
      <c r="O2803" s="374">
        <f t="shared" si="440"/>
        <v>0</v>
      </c>
      <c r="P2803" s="156">
        <v>322</v>
      </c>
      <c r="Q2803" s="98">
        <f t="shared" si="441"/>
        <v>1</v>
      </c>
      <c r="R2803" s="371"/>
      <c r="S2803" s="372"/>
      <c r="T2803" s="364" t="s">
        <v>1153</v>
      </c>
      <c r="U2803" s="264"/>
      <c r="V2803" s="463"/>
      <c r="X2803" s="463"/>
    </row>
    <row r="2804" spans="1:30" x14ac:dyDescent="0.4">
      <c r="A2804" s="402">
        <v>46121</v>
      </c>
      <c r="B2804" s="392" t="s">
        <v>51</v>
      </c>
      <c r="C2804" s="364" t="str">
        <f>VLOOKUP(B2804,'112年全品項生產鍋數'!A:H,2,0)</f>
        <v>藍莓醬(1*6kg)</v>
      </c>
      <c r="D2804" s="404">
        <v>16</v>
      </c>
      <c r="E2804" s="48">
        <f>VLOOKUP(B2804,'112年全品項生產鍋數'!A:H,3,0)</f>
        <v>6</v>
      </c>
      <c r="F2804" s="142">
        <f>VLOOKUP(B2804,'112年全品項生產鍋數'!A:H,7,0)</f>
        <v>25.5</v>
      </c>
      <c r="G2804" s="143">
        <f t="shared" si="436"/>
        <v>408</v>
      </c>
      <c r="H2804" s="156">
        <v>400</v>
      </c>
      <c r="I2804" s="371">
        <f t="shared" si="437"/>
        <v>2400</v>
      </c>
      <c r="J2804" s="100">
        <f t="shared" si="438"/>
        <v>0.98039215686274506</v>
      </c>
      <c r="K2804" s="51">
        <f>VLOOKUP(B:B,'生產達成率(目標)'!A:C,3,0)</f>
        <v>1</v>
      </c>
      <c r="L2804" s="20">
        <f t="shared" si="439"/>
        <v>-0.02</v>
      </c>
      <c r="M2804" s="137" t="str">
        <f>工時!R1988</f>
        <v>225</v>
      </c>
      <c r="N2804" s="374"/>
      <c r="O2804" s="374">
        <f t="shared" si="440"/>
        <v>3</v>
      </c>
      <c r="P2804" s="156">
        <v>397</v>
      </c>
      <c r="Q2804" s="98">
        <f t="shared" si="441"/>
        <v>0.99250000000000005</v>
      </c>
      <c r="R2804" s="371"/>
      <c r="S2804" s="372"/>
      <c r="T2804" s="364" t="s">
        <v>1153</v>
      </c>
      <c r="U2804" s="264"/>
      <c r="V2804" s="463"/>
      <c r="X2804" s="463"/>
    </row>
    <row r="2805" spans="1:30" x14ac:dyDescent="0.4">
      <c r="A2805" s="402">
        <v>46121</v>
      </c>
      <c r="B2805" s="392" t="s">
        <v>63</v>
      </c>
      <c r="C2805" s="364" t="str">
        <f>VLOOKUP(B2805,'112年全品項生產鍋數'!A:H,2,0)</f>
        <v>草莓蒟蒻餡(1*6kg)</v>
      </c>
      <c r="D2805" s="404">
        <v>16</v>
      </c>
      <c r="E2805" s="48">
        <f>VLOOKUP(B2805,'112年全品項生產鍋數'!A:H,3,0)</f>
        <v>6</v>
      </c>
      <c r="F2805" s="142">
        <f>VLOOKUP(B2805,'112年全品項生產鍋數'!A:H,7,0)</f>
        <v>25.7</v>
      </c>
      <c r="G2805" s="143">
        <f t="shared" si="436"/>
        <v>411.2</v>
      </c>
      <c r="H2805" s="156">
        <f>197+206</f>
        <v>403</v>
      </c>
      <c r="I2805" s="371">
        <f t="shared" si="437"/>
        <v>2418</v>
      </c>
      <c r="J2805" s="100">
        <f t="shared" si="438"/>
        <v>0.98005836575875493</v>
      </c>
      <c r="K2805" s="51">
        <f>VLOOKUP(B:B,'生產達成率(目標)'!A:C,3,0)</f>
        <v>1</v>
      </c>
      <c r="L2805" s="20">
        <f t="shared" si="439"/>
        <v>-0.02</v>
      </c>
      <c r="M2805" s="137" t="str">
        <f>工時!R1989</f>
        <v>259</v>
      </c>
      <c r="N2805" s="374"/>
      <c r="O2805" s="374">
        <f t="shared" si="440"/>
        <v>2</v>
      </c>
      <c r="P2805" s="156">
        <f>195+206</f>
        <v>401</v>
      </c>
      <c r="Q2805" s="98">
        <f t="shared" si="441"/>
        <v>0.99503722084367241</v>
      </c>
      <c r="R2805" s="371"/>
      <c r="S2805" s="372"/>
      <c r="T2805" s="364" t="s">
        <v>1263</v>
      </c>
      <c r="U2805" s="264"/>
      <c r="V2805" s="463"/>
      <c r="X2805" s="463"/>
    </row>
    <row r="2806" spans="1:30" x14ac:dyDescent="0.4">
      <c r="A2806" s="402">
        <v>46121</v>
      </c>
      <c r="B2806" s="392" t="s">
        <v>73</v>
      </c>
      <c r="C2806" s="364" t="str">
        <f>VLOOKUP(B2806,'112年全品項生產鍋數'!A:H,2,0)</f>
        <v>顆粒花生醬(1*12KG)</v>
      </c>
      <c r="D2806" s="404">
        <v>21</v>
      </c>
      <c r="E2806" s="48">
        <f>VLOOKUP(B2806,'112年全品項生產鍋數'!A:H,3,0)</f>
        <v>3</v>
      </c>
      <c r="F2806" s="142">
        <f>VLOOKUP(B2806,'112年全品項生產鍋數'!A:H,7,0)</f>
        <v>29.7</v>
      </c>
      <c r="G2806" s="143">
        <f t="shared" si="436"/>
        <v>623.69999999999993</v>
      </c>
      <c r="H2806" s="156">
        <v>624</v>
      </c>
      <c r="I2806" s="371">
        <f t="shared" si="437"/>
        <v>1872</v>
      </c>
      <c r="J2806" s="100">
        <f t="shared" si="438"/>
        <v>1.0004810004810005</v>
      </c>
      <c r="K2806" s="51">
        <f>VLOOKUP(B:B,'生產達成率(目標)'!A:C,3,0)</f>
        <v>1</v>
      </c>
      <c r="L2806" s="20">
        <f t="shared" si="439"/>
        <v>0</v>
      </c>
      <c r="M2806" s="137" t="str">
        <f>工時!R1990</f>
        <v>510</v>
      </c>
      <c r="N2806" s="374"/>
      <c r="O2806" s="374">
        <f t="shared" si="440"/>
        <v>0</v>
      </c>
      <c r="P2806" s="156">
        <v>624</v>
      </c>
      <c r="Q2806" s="98">
        <f t="shared" si="441"/>
        <v>1</v>
      </c>
      <c r="R2806" s="371"/>
      <c r="S2806" s="372"/>
      <c r="T2806" s="364" t="s">
        <v>1153</v>
      </c>
      <c r="U2806" s="264"/>
      <c r="V2806" s="463"/>
      <c r="X2806" s="463"/>
    </row>
    <row r="2807" spans="1:30" x14ac:dyDescent="0.4">
      <c r="A2807" s="402">
        <v>46122</v>
      </c>
      <c r="B2807" s="392" t="s">
        <v>54</v>
      </c>
      <c r="C2807" s="364" t="str">
        <f>VLOOKUP(B2807,'112年全品項生產鍋數'!A:H,2,0)</f>
        <v>草莓醬(1*6kg)</v>
      </c>
      <c r="D2807" s="404">
        <v>20</v>
      </c>
      <c r="E2807" s="48">
        <f>VLOOKUP(B2807,'112年全品項生產鍋數'!A:H,3,0)</f>
        <v>6</v>
      </c>
      <c r="F2807" s="142">
        <f>VLOOKUP(B2807,'112年全品項生產鍋數'!A:H,7,0)</f>
        <v>26.6</v>
      </c>
      <c r="G2807" s="143">
        <f t="shared" si="436"/>
        <v>532</v>
      </c>
      <c r="H2807" s="156">
        <v>517</v>
      </c>
      <c r="I2807" s="371">
        <f t="shared" si="437"/>
        <v>3102</v>
      </c>
      <c r="J2807" s="100">
        <f t="shared" si="438"/>
        <v>0.97180451127819545</v>
      </c>
      <c r="K2807" s="51">
        <f>VLOOKUP(B:B,'生產達成率(目標)'!A:C,3,0)</f>
        <v>1</v>
      </c>
      <c r="L2807" s="20">
        <f t="shared" si="439"/>
        <v>-2.8000000000000001E-2</v>
      </c>
      <c r="M2807" s="137" t="str">
        <f>工時!R1991</f>
        <v>300</v>
      </c>
      <c r="N2807" s="374"/>
      <c r="O2807" s="374">
        <f t="shared" si="440"/>
        <v>2</v>
      </c>
      <c r="P2807" s="156">
        <v>515</v>
      </c>
      <c r="Q2807" s="98">
        <f t="shared" si="441"/>
        <v>0.99613152804642169</v>
      </c>
      <c r="R2807" s="371"/>
      <c r="S2807" s="372"/>
      <c r="T2807" s="364" t="s">
        <v>1153</v>
      </c>
      <c r="U2807" s="264"/>
      <c r="V2807" s="463"/>
      <c r="X2807" s="463"/>
    </row>
    <row r="2808" spans="1:30" x14ac:dyDescent="0.4">
      <c r="A2808" s="402">
        <v>46122</v>
      </c>
      <c r="B2808" s="392" t="s">
        <v>109</v>
      </c>
      <c r="C2808" s="364" t="str">
        <f>VLOOKUP(B2808,'112年全品項生產鍋數'!A:H,2,0)</f>
        <v>蔓越莓醬(1*6KG)</v>
      </c>
      <c r="D2808" s="404">
        <v>24</v>
      </c>
      <c r="E2808" s="48">
        <f>VLOOKUP(B2808,'112年全品項生產鍋數'!A:H,3,0)</f>
        <v>6</v>
      </c>
      <c r="F2808" s="142">
        <f>VLOOKUP(B2808,'112年全品項生產鍋數'!A:H,7,0)</f>
        <v>25.6</v>
      </c>
      <c r="G2808" s="143">
        <f t="shared" si="436"/>
        <v>614.40000000000009</v>
      </c>
      <c r="H2808" s="156">
        <v>617</v>
      </c>
      <c r="I2808" s="371">
        <f t="shared" si="437"/>
        <v>3702</v>
      </c>
      <c r="J2808" s="100">
        <f t="shared" si="438"/>
        <v>1.0042317708333333</v>
      </c>
      <c r="K2808" s="51">
        <f>VLOOKUP(B:B,'生產達成率(目標)'!A:C,3,0)</f>
        <v>1</v>
      </c>
      <c r="L2808" s="20">
        <f t="shared" si="439"/>
        <v>4.0000000000000001E-3</v>
      </c>
      <c r="M2808" s="137" t="str">
        <f>工時!R1992</f>
        <v>270</v>
      </c>
      <c r="N2808" s="374"/>
      <c r="O2808" s="374">
        <f t="shared" si="440"/>
        <v>1</v>
      </c>
      <c r="P2808" s="156">
        <v>616</v>
      </c>
      <c r="Q2808" s="98">
        <f t="shared" si="441"/>
        <v>0.99837925445705022</v>
      </c>
      <c r="R2808" s="371"/>
      <c r="S2808" s="372"/>
      <c r="T2808" s="364" t="s">
        <v>1153</v>
      </c>
      <c r="U2808" s="264"/>
      <c r="V2808" s="463"/>
      <c r="X2808" s="463"/>
    </row>
    <row r="2809" spans="1:30" x14ac:dyDescent="0.4">
      <c r="A2809" s="402">
        <v>46122</v>
      </c>
      <c r="B2809" s="392" t="s">
        <v>116</v>
      </c>
      <c r="C2809" s="364" t="str">
        <f>VLOOKUP(B2809,'112年全品項生產鍋數'!A:H,2,0)</f>
        <v>藍莓餡（大）(1*9.08kg)</v>
      </c>
      <c r="D2809" s="404">
        <v>16</v>
      </c>
      <c r="E2809" s="48">
        <f>VLOOKUP(B2809,'112年全品項生產鍋數'!A:H,3,0)</f>
        <v>9.08</v>
      </c>
      <c r="F2809" s="142">
        <f>VLOOKUP(B2809,'112年全品項生產鍋數'!A:H,7,0)</f>
        <v>17.8</v>
      </c>
      <c r="G2809" s="143">
        <f t="shared" si="436"/>
        <v>284.8</v>
      </c>
      <c r="H2809" s="156">
        <v>283</v>
      </c>
      <c r="I2809" s="371">
        <f t="shared" si="437"/>
        <v>2569.64</v>
      </c>
      <c r="J2809" s="100">
        <f t="shared" si="438"/>
        <v>0.99367977528089879</v>
      </c>
      <c r="K2809" s="51">
        <f>VLOOKUP(B:B,'生產達成率(目標)'!A:C,3,0)</f>
        <v>1</v>
      </c>
      <c r="L2809" s="20">
        <f t="shared" si="439"/>
        <v>-6.0000000000000001E-3</v>
      </c>
      <c r="M2809" s="137" t="str">
        <f>工時!R1993</f>
        <v>226</v>
      </c>
      <c r="N2809" s="374"/>
      <c r="O2809" s="374">
        <f t="shared" si="440"/>
        <v>0</v>
      </c>
      <c r="P2809" s="156">
        <v>283</v>
      </c>
      <c r="Q2809" s="98">
        <f t="shared" si="441"/>
        <v>1</v>
      </c>
      <c r="R2809" s="371"/>
      <c r="S2809" s="372"/>
      <c r="T2809" s="364" t="s">
        <v>1153</v>
      </c>
      <c r="U2809" s="264"/>
      <c r="V2809" s="463"/>
      <c r="X2809" s="463"/>
    </row>
    <row r="2810" spans="1:30" x14ac:dyDescent="0.4">
      <c r="A2810" s="402">
        <v>46122</v>
      </c>
      <c r="B2810" s="392" t="s">
        <v>547</v>
      </c>
      <c r="C2810" s="364" t="str">
        <f>VLOOKUP(B2810,'112年全品項生產鍋數'!A:H,2,0)</f>
        <v>草莓果醬(桶)(1*9.5KG)</v>
      </c>
      <c r="D2810" s="404">
        <v>12</v>
      </c>
      <c r="E2810" s="48">
        <f>VLOOKUP(B2810,'112年全品項生產鍋數'!A:H,3,0)</f>
        <v>9.5</v>
      </c>
      <c r="F2810" s="142">
        <f>VLOOKUP(B2810,'112年全品項生產鍋數'!A:H,7,0)</f>
        <v>16.600000000000001</v>
      </c>
      <c r="G2810" s="143">
        <f t="shared" si="436"/>
        <v>199.20000000000002</v>
      </c>
      <c r="H2810" s="156">
        <v>140</v>
      </c>
      <c r="I2810" s="371">
        <f t="shared" si="437"/>
        <v>1330</v>
      </c>
      <c r="J2810" s="100">
        <f t="shared" si="438"/>
        <v>0.70281124497991965</v>
      </c>
      <c r="K2810" s="51">
        <f>VLOOKUP(B:B,'生產達成率(目標)'!A:C,3,0)</f>
        <v>1</v>
      </c>
      <c r="L2810" s="20">
        <f t="shared" si="439"/>
        <v>-0.29699999999999999</v>
      </c>
      <c r="M2810" s="137" t="str">
        <f>工時!R1994</f>
        <v>250</v>
      </c>
      <c r="N2810" s="374"/>
      <c r="O2810" s="374">
        <f t="shared" si="440"/>
        <v>0</v>
      </c>
      <c r="P2810" s="156">
        <v>140</v>
      </c>
      <c r="Q2810" s="98">
        <f t="shared" si="441"/>
        <v>1</v>
      </c>
      <c r="R2810" s="371"/>
      <c r="S2810" s="372"/>
      <c r="T2810" s="364" t="s">
        <v>1153</v>
      </c>
      <c r="U2810" s="264"/>
      <c r="V2810" s="463"/>
      <c r="X2810" s="463"/>
    </row>
    <row r="2811" spans="1:30" x14ac:dyDescent="0.4">
      <c r="A2811" s="402">
        <v>46122</v>
      </c>
      <c r="B2811" s="392" t="s">
        <v>57</v>
      </c>
      <c r="C2811" s="364" t="str">
        <f>VLOOKUP(B2811,'112年全品項生產鍋數'!A:H,2,0)</f>
        <v>蘋果藍莓餡(1*9.08kg)</v>
      </c>
      <c r="D2811" s="404">
        <v>12</v>
      </c>
      <c r="E2811" s="48">
        <f>VLOOKUP(B2811,'112年全品項生產鍋數'!A:H,3,0)</f>
        <v>9.08</v>
      </c>
      <c r="F2811" s="142">
        <f>VLOOKUP(B2811,'112年全品項生產鍋數'!A:H,7,0)</f>
        <v>17.3</v>
      </c>
      <c r="G2811" s="143">
        <f t="shared" si="436"/>
        <v>207.60000000000002</v>
      </c>
      <c r="H2811" s="156">
        <v>204</v>
      </c>
      <c r="I2811" s="371">
        <f t="shared" si="437"/>
        <v>1852.32</v>
      </c>
      <c r="J2811" s="100">
        <f t="shared" si="438"/>
        <v>0.9826589595375721</v>
      </c>
      <c r="K2811" s="51">
        <f>VLOOKUP(B:B,'生產達成率(目標)'!A:C,3,0)</f>
        <v>1</v>
      </c>
      <c r="L2811" s="20">
        <f t="shared" si="439"/>
        <v>-1.7000000000000001E-2</v>
      </c>
      <c r="M2811" s="137" t="str">
        <f>工時!R1995</f>
        <v>183</v>
      </c>
      <c r="N2811" s="374"/>
      <c r="O2811" s="374">
        <f t="shared" si="440"/>
        <v>0</v>
      </c>
      <c r="P2811" s="156">
        <v>204</v>
      </c>
      <c r="Q2811" s="98">
        <f t="shared" si="441"/>
        <v>1</v>
      </c>
      <c r="R2811" s="371"/>
      <c r="S2811" s="372"/>
      <c r="T2811" s="364" t="s">
        <v>1153</v>
      </c>
      <c r="U2811" s="264"/>
      <c r="V2811" s="463"/>
      <c r="X2811" s="463"/>
    </row>
    <row r="2812" spans="1:30" x14ac:dyDescent="0.4">
      <c r="A2812" s="402">
        <v>46122</v>
      </c>
      <c r="B2812" s="392" t="s">
        <v>642</v>
      </c>
      <c r="C2812" s="364" t="str">
        <f>VLOOKUP(B2812,'112年全品項生產鍋數'!A:H,2,0)</f>
        <v>＃2花生（粒）(1*800g)</v>
      </c>
      <c r="D2812" s="404">
        <v>20</v>
      </c>
      <c r="E2812" s="48">
        <f>VLOOKUP(B2812,'112年全品項生產鍋數'!A:H,3,0)</f>
        <v>0.8</v>
      </c>
      <c r="F2812" s="142">
        <f>VLOOKUP(B2812,'112年全品項生產鍋數'!A:H,7,0)</f>
        <v>155.5</v>
      </c>
      <c r="G2812" s="143">
        <f t="shared" si="436"/>
        <v>3110</v>
      </c>
      <c r="H2812" s="156">
        <v>3068</v>
      </c>
      <c r="I2812" s="371">
        <f t="shared" si="437"/>
        <v>2454.4</v>
      </c>
      <c r="J2812" s="100">
        <f t="shared" si="438"/>
        <v>0.98649517684887456</v>
      </c>
      <c r="K2812" s="51">
        <f>VLOOKUP(B:B,'生產達成率(目標)'!A:C,3,0)</f>
        <v>1</v>
      </c>
      <c r="L2812" s="20">
        <f t="shared" si="439"/>
        <v>-1.4E-2</v>
      </c>
      <c r="M2812" s="137" t="str">
        <f>工時!R1996</f>
        <v>300</v>
      </c>
      <c r="N2812" s="374"/>
      <c r="O2812" s="374">
        <f t="shared" si="440"/>
        <v>2762</v>
      </c>
      <c r="P2812" s="156">
        <v>306</v>
      </c>
      <c r="Q2812" s="98">
        <f t="shared" si="441"/>
        <v>9.9739243807040412E-2</v>
      </c>
      <c r="R2812" s="371"/>
      <c r="S2812" s="372"/>
      <c r="T2812" s="364"/>
      <c r="U2812" s="264"/>
      <c r="V2812" s="463"/>
      <c r="X2812" s="463"/>
    </row>
    <row r="2813" spans="1:30" s="361" customFormat="1" x14ac:dyDescent="0.4">
      <c r="A2813" s="402">
        <v>46122</v>
      </c>
      <c r="B2813" s="392" t="s">
        <v>1286</v>
      </c>
      <c r="C2813" s="364" t="str">
        <f>VLOOKUP(B2813,'112年全品項生產鍋數'!A:H,2,0)</f>
        <v>＃1花生(1*2.8kg)</v>
      </c>
      <c r="D2813" s="404">
        <v>36</v>
      </c>
      <c r="E2813" s="48">
        <f>VLOOKUP(B2813,'112年全品項生產鍋數'!A:H,3,0)</f>
        <v>2.8</v>
      </c>
      <c r="F2813" s="142">
        <f>VLOOKUP(B2813,'112年全品項生產鍋數'!A:H,7,0)</f>
        <v>44.5</v>
      </c>
      <c r="G2813" s="143">
        <f>D2813*F2813-30*18/E2813</f>
        <v>1409.1428571428571</v>
      </c>
      <c r="H2813" s="156">
        <v>1374</v>
      </c>
      <c r="I2813" s="371">
        <f t="shared" ref="I2813" si="442">H2813*E2813</f>
        <v>3847.2</v>
      </c>
      <c r="J2813" s="100">
        <f t="shared" ref="J2813" si="443">IF(G2813=0,"無法預估數據",H2813/G2813)</f>
        <v>0.97506082725060828</v>
      </c>
      <c r="K2813" s="51">
        <f>VLOOKUP(B:B,'生產達成率(目標)'!A:C,3,0)</f>
        <v>1</v>
      </c>
      <c r="L2813" s="20">
        <f t="shared" ref="L2813" si="444">IF(G2813=0,"無法預估數據",ROUND(J2813-K2813,3))</f>
        <v>-2.5000000000000001E-2</v>
      </c>
      <c r="M2813" s="137" t="str">
        <f>工時!R1997</f>
        <v>310</v>
      </c>
      <c r="N2813" s="374"/>
      <c r="O2813" s="374">
        <f t="shared" ref="O2813" si="445">H2813-N2813-P2813</f>
        <v>1</v>
      </c>
      <c r="P2813" s="156">
        <v>1373</v>
      </c>
      <c r="Q2813" s="98">
        <f t="shared" ref="Q2813" si="446">P2813/H2813</f>
        <v>0.99927219796215427</v>
      </c>
      <c r="R2813" s="371"/>
      <c r="S2813" s="372"/>
      <c r="T2813" s="364" t="s">
        <v>1285</v>
      </c>
      <c r="U2813" s="264"/>
      <c r="V2813" s="463"/>
      <c r="W2813" s="421"/>
      <c r="X2813" s="463"/>
      <c r="Y2813" s="421"/>
      <c r="Z2813" s="421"/>
      <c r="AA2813" s="421"/>
      <c r="AB2813" s="421"/>
      <c r="AC2813" s="421"/>
      <c r="AD2813" s="421"/>
    </row>
    <row r="2814" spans="1:30" x14ac:dyDescent="0.4">
      <c r="A2814" s="402">
        <v>46122</v>
      </c>
      <c r="B2814" s="392">
        <v>111010</v>
      </c>
      <c r="C2814" s="364" t="str">
        <f>VLOOKUP(B2814,'112年全品項生產鍋數'!A:H,2,0)</f>
        <v>糖漬桔皮絲</v>
      </c>
      <c r="D2814" s="404">
        <v>1</v>
      </c>
      <c r="E2814" s="48">
        <f>VLOOKUP(B2814,'112年全品項生產鍋數'!A:H,3,0)</f>
        <v>1</v>
      </c>
      <c r="F2814" s="142">
        <f>VLOOKUP(B2814,'112年全品項生產鍋數'!A:H,7,0)</f>
        <v>942</v>
      </c>
      <c r="G2814" s="143">
        <f t="shared" si="436"/>
        <v>942</v>
      </c>
      <c r="H2814" s="156">
        <v>720</v>
      </c>
      <c r="I2814" s="371">
        <f t="shared" si="437"/>
        <v>720</v>
      </c>
      <c r="J2814" s="100">
        <f t="shared" si="438"/>
        <v>0.76433121019108285</v>
      </c>
      <c r="K2814" s="51">
        <f>VLOOKUP(B:B,'生產達成率(目標)'!A:C,3,0)</f>
        <v>1</v>
      </c>
      <c r="L2814" s="20">
        <f t="shared" si="439"/>
        <v>-0.23599999999999999</v>
      </c>
      <c r="M2814" s="137" t="str">
        <f>工時!R1998</f>
        <v>0</v>
      </c>
      <c r="N2814" s="374"/>
      <c r="O2814" s="374">
        <f t="shared" si="440"/>
        <v>0</v>
      </c>
      <c r="P2814" s="156">
        <v>720</v>
      </c>
      <c r="Q2814" s="98">
        <f t="shared" si="441"/>
        <v>1</v>
      </c>
      <c r="R2814" s="371"/>
      <c r="S2814" s="372"/>
      <c r="T2814" s="364" t="s">
        <v>1153</v>
      </c>
      <c r="U2814" s="264"/>
      <c r="V2814" s="463"/>
      <c r="X2814" s="463"/>
    </row>
    <row r="2815" spans="1:30" x14ac:dyDescent="0.4">
      <c r="A2815" s="402">
        <v>46125</v>
      </c>
      <c r="B2815" s="392" t="s">
        <v>71</v>
      </c>
      <c r="C2815" s="364" t="str">
        <f>VLOOKUP(B2815,'112年全品項生產鍋數'!A:H,2,0)</f>
        <v>＃1草莓(1*3.2kg)</v>
      </c>
      <c r="D2815" s="404">
        <v>60</v>
      </c>
      <c r="E2815" s="48">
        <f>VLOOKUP(B2815,'112年全品項生產鍋數'!A:H,3,0)</f>
        <v>3.2</v>
      </c>
      <c r="F2815" s="142">
        <f>VLOOKUP(B2815,'112年全品項生產鍋數'!A:H,7,0)</f>
        <v>46.8</v>
      </c>
      <c r="G2815" s="143">
        <f t="shared" si="436"/>
        <v>2808</v>
      </c>
      <c r="H2815" s="156">
        <v>2768</v>
      </c>
      <c r="I2815" s="371">
        <f t="shared" si="437"/>
        <v>8857.6</v>
      </c>
      <c r="J2815" s="100">
        <f t="shared" si="438"/>
        <v>0.98575498575498577</v>
      </c>
      <c r="K2815" s="51">
        <f>VLOOKUP(B:B,'生產達成率(目標)'!A:C,3,0)</f>
        <v>1</v>
      </c>
      <c r="L2815" s="20">
        <f t="shared" si="439"/>
        <v>-1.4E-2</v>
      </c>
      <c r="M2815" s="137" t="str">
        <f>工時!R1999</f>
        <v>540</v>
      </c>
      <c r="N2815" s="374"/>
      <c r="O2815" s="374">
        <f t="shared" si="440"/>
        <v>5</v>
      </c>
      <c r="P2815" s="156">
        <v>2763</v>
      </c>
      <c r="Q2815" s="98">
        <f t="shared" si="441"/>
        <v>0.99819364161849711</v>
      </c>
      <c r="R2815" s="371"/>
      <c r="S2815" s="372"/>
      <c r="T2815" s="364" t="s">
        <v>1153</v>
      </c>
      <c r="U2815" s="264"/>
      <c r="V2815" s="463"/>
      <c r="X2815" s="463"/>
    </row>
    <row r="2816" spans="1:30" x14ac:dyDescent="0.4">
      <c r="A2816" s="402">
        <v>46125</v>
      </c>
      <c r="B2816" s="392" t="s">
        <v>1046</v>
      </c>
      <c r="C2816" s="364" t="str">
        <f>VLOOKUP(B2816,'112年全品項生產鍋數'!A:H,2,0)</f>
        <v>藍莓顆粒果醬(1*6kg)</v>
      </c>
      <c r="D2816" s="404">
        <v>18</v>
      </c>
      <c r="E2816" s="48">
        <f>VLOOKUP(B2816,'112年全品項生產鍋數'!A:H,3,0)</f>
        <v>6</v>
      </c>
      <c r="F2816" s="142">
        <f>VLOOKUP(B2816,'112年全品項生產鍋數'!A:H,7,0)</f>
        <v>0</v>
      </c>
      <c r="G2816" s="143">
        <f t="shared" si="436"/>
        <v>0</v>
      </c>
      <c r="H2816" s="156">
        <v>489</v>
      </c>
      <c r="I2816" s="371">
        <f t="shared" si="437"/>
        <v>2934</v>
      </c>
      <c r="J2816" s="100" t="str">
        <f t="shared" si="438"/>
        <v>無法預估數據</v>
      </c>
      <c r="K2816" s="51">
        <f>VLOOKUP(B:B,'生產達成率(目標)'!A:C,3,0)</f>
        <v>1</v>
      </c>
      <c r="L2816" s="20" t="str">
        <f t="shared" si="439"/>
        <v>無法預估數據</v>
      </c>
      <c r="M2816" s="137" t="str">
        <f>工時!R2000</f>
        <v>210</v>
      </c>
      <c r="N2816" s="374"/>
      <c r="O2816" s="374">
        <f t="shared" si="440"/>
        <v>4</v>
      </c>
      <c r="P2816" s="156">
        <v>485</v>
      </c>
      <c r="Q2816" s="98">
        <f t="shared" si="441"/>
        <v>0.99182004089979547</v>
      </c>
      <c r="R2816" s="371"/>
      <c r="S2816" s="372"/>
      <c r="T2816" s="364" t="s">
        <v>1153</v>
      </c>
      <c r="U2816" s="264"/>
      <c r="V2816" s="463"/>
      <c r="X2816" s="463"/>
    </row>
    <row r="2817" spans="1:30" x14ac:dyDescent="0.4">
      <c r="A2817" s="402">
        <v>46125</v>
      </c>
      <c r="B2817" s="392" t="s">
        <v>51</v>
      </c>
      <c r="C2817" s="364" t="str">
        <f>VLOOKUP(B2817,'112年全品項生產鍋數'!A:H,2,0)</f>
        <v>藍莓醬(1*6kg)</v>
      </c>
      <c r="D2817" s="404">
        <v>24</v>
      </c>
      <c r="E2817" s="48">
        <f>VLOOKUP(B2817,'112年全品項生產鍋數'!A:H,3,0)</f>
        <v>6</v>
      </c>
      <c r="F2817" s="142">
        <f>VLOOKUP(B2817,'112年全品項生產鍋數'!A:H,7,0)</f>
        <v>25.5</v>
      </c>
      <c r="G2817" s="143">
        <f t="shared" si="436"/>
        <v>612</v>
      </c>
      <c r="H2817" s="156">
        <v>606</v>
      </c>
      <c r="I2817" s="371">
        <f t="shared" si="437"/>
        <v>3636</v>
      </c>
      <c r="J2817" s="100">
        <f t="shared" si="438"/>
        <v>0.99019607843137258</v>
      </c>
      <c r="K2817" s="51">
        <f>VLOOKUP(B:B,'生產達成率(目標)'!A:C,3,0)</f>
        <v>1</v>
      </c>
      <c r="L2817" s="20">
        <f t="shared" si="439"/>
        <v>-0.01</v>
      </c>
      <c r="M2817" s="137" t="str">
        <f>工時!R2001</f>
        <v>335</v>
      </c>
      <c r="N2817" s="374"/>
      <c r="O2817" s="374">
        <f t="shared" si="440"/>
        <v>4</v>
      </c>
      <c r="P2817" s="156">
        <v>602</v>
      </c>
      <c r="Q2817" s="98">
        <f t="shared" si="441"/>
        <v>0.99339933993399343</v>
      </c>
      <c r="R2817" s="371"/>
      <c r="S2817" s="372"/>
      <c r="T2817" s="364" t="s">
        <v>1153</v>
      </c>
      <c r="U2817" s="264"/>
      <c r="V2817" s="463"/>
      <c r="X2817" s="463"/>
    </row>
    <row r="2818" spans="1:30" x14ac:dyDescent="0.4">
      <c r="A2818" s="402">
        <v>46125</v>
      </c>
      <c r="B2818" s="392" t="s">
        <v>65</v>
      </c>
      <c r="C2818" s="364" t="str">
        <f>VLOOKUP(B2818,'112年全品項生產鍋數'!A:H,2,0)</f>
        <v>＃1花生(1*2.8kg)</v>
      </c>
      <c r="D2818" s="404">
        <v>64</v>
      </c>
      <c r="E2818" s="48">
        <f>VLOOKUP(B2818,'112年全品項生產鍋數'!A:H,3,0)</f>
        <v>2.8</v>
      </c>
      <c r="F2818" s="142">
        <f>VLOOKUP(B2818,'112年全品項生產鍋數'!A:H,7,0)</f>
        <v>44.5</v>
      </c>
      <c r="G2818" s="143">
        <f t="shared" si="436"/>
        <v>2848</v>
      </c>
      <c r="H2818" s="156">
        <v>2847</v>
      </c>
      <c r="I2818" s="371">
        <f t="shared" si="437"/>
        <v>7971.5999999999995</v>
      </c>
      <c r="J2818" s="100">
        <f t="shared" si="438"/>
        <v>0.9996488764044944</v>
      </c>
      <c r="K2818" s="51">
        <f>VLOOKUP(B:B,'生產達成率(目標)'!A:C,3,0)</f>
        <v>1</v>
      </c>
      <c r="L2818" s="20">
        <f t="shared" si="439"/>
        <v>0</v>
      </c>
      <c r="M2818" s="137" t="str">
        <f>工時!R2002</f>
        <v>500</v>
      </c>
      <c r="N2818" s="374"/>
      <c r="O2818" s="374">
        <f t="shared" si="440"/>
        <v>1</v>
      </c>
      <c r="P2818" s="156">
        <v>2846</v>
      </c>
      <c r="Q2818" s="98">
        <f t="shared" si="441"/>
        <v>0.99964875307341061</v>
      </c>
      <c r="R2818" s="371"/>
      <c r="S2818" s="372"/>
      <c r="T2818" s="364" t="s">
        <v>1153</v>
      </c>
      <c r="U2818" s="264"/>
      <c r="V2818" s="463"/>
      <c r="X2818" s="463"/>
    </row>
    <row r="2819" spans="1:30" x14ac:dyDescent="0.4">
      <c r="A2819" s="402">
        <v>46126</v>
      </c>
      <c r="B2819" s="392" t="s">
        <v>61</v>
      </c>
      <c r="C2819" s="364" t="str">
        <f>VLOOKUP(B2819,'112年全品項生產鍋數'!A:H,2,0)</f>
        <v>大圓草莓-新</v>
      </c>
      <c r="D2819" s="404">
        <v>32</v>
      </c>
      <c r="E2819" s="48">
        <f>VLOOKUP(B2819,'112年全品項生產鍋數'!A:H,3,0)</f>
        <v>0.44</v>
      </c>
      <c r="F2819" s="142">
        <f>VLOOKUP(B2819,'112年全品項生產鍋數'!A:H,7,0)</f>
        <v>344</v>
      </c>
      <c r="G2819" s="143">
        <f t="shared" si="436"/>
        <v>11008</v>
      </c>
      <c r="H2819" s="156">
        <v>10707</v>
      </c>
      <c r="I2819" s="371">
        <f t="shared" si="437"/>
        <v>4711.08</v>
      </c>
      <c r="J2819" s="100">
        <f t="shared" si="438"/>
        <v>0.97265625</v>
      </c>
      <c r="K2819" s="51">
        <f>VLOOKUP(B:B,'生產達成率(目標)'!A:C,3,0)</f>
        <v>1</v>
      </c>
      <c r="L2819" s="20">
        <f t="shared" si="439"/>
        <v>-2.7E-2</v>
      </c>
      <c r="M2819" s="137" t="str">
        <f>工時!R2003</f>
        <v>420</v>
      </c>
      <c r="N2819" s="374"/>
      <c r="O2819" s="374">
        <f t="shared" si="440"/>
        <v>5</v>
      </c>
      <c r="P2819" s="156">
        <v>10702</v>
      </c>
      <c r="Q2819" s="98">
        <f t="shared" si="441"/>
        <v>0.9995330157840665</v>
      </c>
      <c r="R2819" s="371"/>
      <c r="S2819" s="372"/>
      <c r="T2819" s="364"/>
      <c r="U2819" s="264"/>
      <c r="V2819" s="463"/>
      <c r="X2819" s="463"/>
    </row>
    <row r="2820" spans="1:30" s="381" customFormat="1" x14ac:dyDescent="0.4">
      <c r="A2820" s="402">
        <v>46126</v>
      </c>
      <c r="B2820" s="392" t="s">
        <v>158</v>
      </c>
      <c r="C2820" s="375" t="str">
        <f>VLOOKUP(B2820,'112年全品項生產鍋數'!A:H,2,0)</f>
        <v>小圓草莓(1*170g)</v>
      </c>
      <c r="D2820" s="406">
        <v>4</v>
      </c>
      <c r="E2820" s="141">
        <f>VLOOKUP(B2820,'112年全品項生產鍋數'!A:H,3,0)</f>
        <v>0.17</v>
      </c>
      <c r="F2820" s="142">
        <f>VLOOKUP(B2820,'112年全品項生產鍋數'!A:H,7,0)</f>
        <v>912.6</v>
      </c>
      <c r="G2820" s="143">
        <f t="shared" si="436"/>
        <v>3650.4</v>
      </c>
      <c r="H2820" s="156">
        <v>3478</v>
      </c>
      <c r="I2820" s="374">
        <f t="shared" si="437"/>
        <v>591.26</v>
      </c>
      <c r="J2820" s="100">
        <f t="shared" si="438"/>
        <v>0.95277229892614501</v>
      </c>
      <c r="K2820" s="51">
        <f>VLOOKUP(B:B,'生產達成率(目標)'!A:C,3,0)</f>
        <v>1</v>
      </c>
      <c r="L2820" s="20">
        <f t="shared" si="439"/>
        <v>-4.7E-2</v>
      </c>
      <c r="M2820" s="137" t="str">
        <f>工時!R2004</f>
        <v>240</v>
      </c>
      <c r="N2820" s="374"/>
      <c r="O2820" s="374">
        <f t="shared" si="440"/>
        <v>5</v>
      </c>
      <c r="P2820" s="156">
        <v>3473</v>
      </c>
      <c r="Q2820" s="145">
        <f t="shared" si="441"/>
        <v>0.99856239217941345</v>
      </c>
      <c r="R2820" s="374"/>
      <c r="S2820" s="378"/>
      <c r="T2820" s="375"/>
      <c r="U2820" s="398"/>
      <c r="V2820" s="464"/>
      <c r="W2820" s="421"/>
      <c r="X2820" s="464"/>
      <c r="Y2820" s="421"/>
      <c r="Z2820" s="421"/>
      <c r="AA2820" s="421"/>
      <c r="AB2820" s="421"/>
      <c r="AC2820" s="421"/>
      <c r="AD2820" s="421"/>
    </row>
    <row r="2821" spans="1:30" x14ac:dyDescent="0.4">
      <c r="A2821" s="402">
        <v>46126</v>
      </c>
      <c r="B2821" s="392" t="s">
        <v>1287</v>
      </c>
      <c r="C2821" s="364" t="str">
        <f>VLOOKUP(B2821,'112年全品項生產鍋數'!A:H,2,0)</f>
        <v>白桃烏龍餡(1*6Kg)</v>
      </c>
      <c r="D2821" s="404">
        <v>1</v>
      </c>
      <c r="E2821" s="48">
        <f>VLOOKUP(B2821,'112年全品項生產鍋數'!A:H,3,0)</f>
        <v>6</v>
      </c>
      <c r="F2821" s="142">
        <f>VLOOKUP(B2821,'112年全品項生產鍋數'!A:H,7,0)</f>
        <v>0</v>
      </c>
      <c r="G2821" s="143">
        <f t="shared" si="436"/>
        <v>0</v>
      </c>
      <c r="H2821" s="156">
        <v>21</v>
      </c>
      <c r="I2821" s="371">
        <f t="shared" si="437"/>
        <v>126</v>
      </c>
      <c r="J2821" s="100" t="str">
        <f t="shared" si="438"/>
        <v>無法預估數據</v>
      </c>
      <c r="K2821" s="51">
        <f>VLOOKUP(B:B,'生產達成率(目標)'!A:C,3,0)</f>
        <v>1</v>
      </c>
      <c r="L2821" s="20" t="str">
        <f t="shared" si="439"/>
        <v>無法預估數據</v>
      </c>
      <c r="M2821" s="137" t="str">
        <f>工時!R2005</f>
        <v>91</v>
      </c>
      <c r="N2821" s="374"/>
      <c r="O2821" s="374">
        <f t="shared" si="440"/>
        <v>1</v>
      </c>
      <c r="P2821" s="156">
        <v>20</v>
      </c>
      <c r="Q2821" s="98">
        <f t="shared" si="441"/>
        <v>0.95238095238095233</v>
      </c>
      <c r="R2821" s="371"/>
      <c r="S2821" s="372"/>
      <c r="T2821" s="364"/>
      <c r="U2821" s="264"/>
      <c r="V2821" s="463"/>
      <c r="X2821" s="463"/>
    </row>
    <row r="2822" spans="1:30" x14ac:dyDescent="0.4">
      <c r="A2822" s="402">
        <v>46126</v>
      </c>
      <c r="B2822" s="392" t="s">
        <v>81</v>
      </c>
      <c r="C2822" s="364" t="str">
        <f>VLOOKUP(B2822,'112年全品項生產鍋數'!A:H,2,0)</f>
        <v>藍莓餡(1*6Kg)</v>
      </c>
      <c r="D2822" s="404">
        <v>12</v>
      </c>
      <c r="E2822" s="48">
        <f>VLOOKUP(B2822,'112年全品項生產鍋數'!A:H,3,0)</f>
        <v>6</v>
      </c>
      <c r="F2822" s="142">
        <f>VLOOKUP(B2822,'112年全品項生產鍋數'!A:H,7,0)</f>
        <v>25.1</v>
      </c>
      <c r="G2822" s="143">
        <f t="shared" si="436"/>
        <v>301.20000000000005</v>
      </c>
      <c r="H2822" s="156">
        <v>309</v>
      </c>
      <c r="I2822" s="371">
        <f t="shared" si="437"/>
        <v>1854</v>
      </c>
      <c r="J2822" s="100">
        <f t="shared" si="438"/>
        <v>1.0258964143426292</v>
      </c>
      <c r="K2822" s="51">
        <f>VLOOKUP(B:B,'生產達成率(目標)'!A:C,3,0)</f>
        <v>1</v>
      </c>
      <c r="L2822" s="20">
        <f t="shared" si="439"/>
        <v>2.5999999999999999E-2</v>
      </c>
      <c r="M2822" s="137" t="str">
        <f>工時!R2006</f>
        <v>171</v>
      </c>
      <c r="N2822" s="374"/>
      <c r="O2822" s="374">
        <f t="shared" si="440"/>
        <v>1</v>
      </c>
      <c r="P2822" s="156">
        <v>308</v>
      </c>
      <c r="Q2822" s="98">
        <f t="shared" si="441"/>
        <v>0.99676375404530748</v>
      </c>
      <c r="R2822" s="371"/>
      <c r="S2822" s="372"/>
      <c r="T2822" s="364" t="s">
        <v>1153</v>
      </c>
      <c r="U2822" s="264"/>
      <c r="V2822" s="463"/>
      <c r="X2822" s="463"/>
    </row>
    <row r="2823" spans="1:30" x14ac:dyDescent="0.4">
      <c r="A2823" s="402">
        <v>46126</v>
      </c>
      <c r="B2823" s="392" t="s">
        <v>1060</v>
      </c>
      <c r="C2823" s="364" t="str">
        <f>VLOOKUP(B2823,'112年全品項生產鍋數'!A:H,2,0)</f>
        <v>草莓蔓越莓餡(1*6KG)</v>
      </c>
      <c r="D2823" s="404">
        <v>6</v>
      </c>
      <c r="E2823" s="48">
        <f>VLOOKUP(B2823,'112年全品項生產鍋數'!A:H,3,0)</f>
        <v>6</v>
      </c>
      <c r="F2823" s="142">
        <f>VLOOKUP(B2823,'112年全品項生產鍋數'!A:H,7,0)</f>
        <v>25.2</v>
      </c>
      <c r="G2823" s="143">
        <f t="shared" si="436"/>
        <v>151.19999999999999</v>
      </c>
      <c r="H2823" s="156">
        <v>154</v>
      </c>
      <c r="I2823" s="371">
        <f t="shared" si="437"/>
        <v>924</v>
      </c>
      <c r="J2823" s="100">
        <f t="shared" si="438"/>
        <v>1.0185185185185186</v>
      </c>
      <c r="K2823" s="51" t="e">
        <f>VLOOKUP(B:B,'生產達成率(目標)'!A:C,3,0)</f>
        <v>#N/A</v>
      </c>
      <c r="L2823" s="20" t="e">
        <f t="shared" si="439"/>
        <v>#N/A</v>
      </c>
      <c r="M2823" s="137" t="str">
        <f>工時!R2007</f>
        <v>155</v>
      </c>
      <c r="N2823" s="374"/>
      <c r="O2823" s="374">
        <f t="shared" si="440"/>
        <v>2</v>
      </c>
      <c r="P2823" s="156">
        <v>152</v>
      </c>
      <c r="Q2823" s="98">
        <f t="shared" si="441"/>
        <v>0.98701298701298701</v>
      </c>
      <c r="R2823" s="371"/>
      <c r="S2823" s="372"/>
      <c r="T2823" s="364" t="s">
        <v>1153</v>
      </c>
      <c r="U2823" s="264"/>
      <c r="V2823" s="463"/>
      <c r="X2823" s="463"/>
    </row>
    <row r="2824" spans="1:30" x14ac:dyDescent="0.4">
      <c r="A2824" s="402">
        <v>46126</v>
      </c>
      <c r="B2824" s="392" t="s">
        <v>63</v>
      </c>
      <c r="C2824" s="364" t="str">
        <f>VLOOKUP(B2824,'112年全品項生產鍋數'!A:H,2,0)</f>
        <v>草莓蒟蒻餡(1*6kg)</v>
      </c>
      <c r="D2824" s="404">
        <v>20</v>
      </c>
      <c r="E2824" s="48">
        <f>VLOOKUP(B2824,'112年全品項生產鍋數'!A:H,3,0)</f>
        <v>6</v>
      </c>
      <c r="F2824" s="142">
        <f>VLOOKUP(B2824,'112年全品項生產鍋數'!A:H,7,0)</f>
        <v>25.7</v>
      </c>
      <c r="G2824" s="143">
        <f t="shared" si="436"/>
        <v>514</v>
      </c>
      <c r="H2824" s="156">
        <f>305+206</f>
        <v>511</v>
      </c>
      <c r="I2824" s="371">
        <f t="shared" si="437"/>
        <v>3066</v>
      </c>
      <c r="J2824" s="100">
        <f t="shared" si="438"/>
        <v>0.99416342412451364</v>
      </c>
      <c r="K2824" s="51">
        <f>VLOOKUP(B:B,'生產達成率(目標)'!A:C,3,0)</f>
        <v>1</v>
      </c>
      <c r="L2824" s="20">
        <f t="shared" si="439"/>
        <v>-6.0000000000000001E-3</v>
      </c>
      <c r="M2824" s="137" t="str">
        <f>工時!R2008</f>
        <v>210</v>
      </c>
      <c r="N2824" s="374"/>
      <c r="O2824" s="374">
        <f t="shared" si="440"/>
        <v>1</v>
      </c>
      <c r="P2824" s="156">
        <f>304+206</f>
        <v>510</v>
      </c>
      <c r="Q2824" s="98">
        <f t="shared" si="441"/>
        <v>0.99804305283757333</v>
      </c>
      <c r="R2824" s="371"/>
      <c r="S2824" s="372"/>
      <c r="T2824" s="364"/>
      <c r="U2824" s="264"/>
      <c r="V2824" s="463"/>
      <c r="X2824" s="463"/>
    </row>
    <row r="2825" spans="1:30" x14ac:dyDescent="0.4">
      <c r="A2825" s="402">
        <v>46126</v>
      </c>
      <c r="B2825" s="392" t="s">
        <v>65</v>
      </c>
      <c r="C2825" s="364" t="str">
        <f>VLOOKUP(B2825,'112年全品項生產鍋數'!A:H,2,0)</f>
        <v>＃1花生(1*2.8kg)</v>
      </c>
      <c r="D2825" s="404">
        <v>72</v>
      </c>
      <c r="E2825" s="48">
        <f>VLOOKUP(B2825,'112年全品項生產鍋數'!A:H,3,0)</f>
        <v>2.8</v>
      </c>
      <c r="F2825" s="142">
        <f>VLOOKUP(B2825,'112年全品項生產鍋數'!A:H,7,0)</f>
        <v>44.5</v>
      </c>
      <c r="G2825" s="143">
        <f t="shared" si="436"/>
        <v>3204</v>
      </c>
      <c r="H2825" s="156">
        <v>3203</v>
      </c>
      <c r="I2825" s="371">
        <f t="shared" si="437"/>
        <v>8968.4</v>
      </c>
      <c r="J2825" s="100">
        <f t="shared" si="438"/>
        <v>0.99968789013732839</v>
      </c>
      <c r="K2825" s="51">
        <f>VLOOKUP(B:B,'生產達成率(目標)'!A:C,3,0)</f>
        <v>1</v>
      </c>
      <c r="L2825" s="20">
        <f t="shared" si="439"/>
        <v>0</v>
      </c>
      <c r="M2825" s="137" t="str">
        <f>工時!R2009</f>
        <v>540</v>
      </c>
      <c r="N2825" s="374"/>
      <c r="O2825" s="374">
        <f t="shared" si="440"/>
        <v>1</v>
      </c>
      <c r="P2825" s="156">
        <v>3202</v>
      </c>
      <c r="Q2825" s="98">
        <f t="shared" si="441"/>
        <v>0.99968779269434904</v>
      </c>
      <c r="R2825" s="371"/>
      <c r="S2825" s="372"/>
      <c r="T2825" s="364" t="s">
        <v>1153</v>
      </c>
      <c r="U2825" s="264"/>
      <c r="V2825" s="463"/>
      <c r="X2825" s="463"/>
    </row>
    <row r="2826" spans="1:30" s="381" customFormat="1" x14ac:dyDescent="0.4">
      <c r="A2826" s="402">
        <v>46127</v>
      </c>
      <c r="B2826" s="392" t="s">
        <v>54</v>
      </c>
      <c r="C2826" s="375" t="str">
        <f>VLOOKUP(B2826,'112年全品項生產鍋數'!A:H,2,0)</f>
        <v>草莓醬(1*6kg)</v>
      </c>
      <c r="D2826" s="406">
        <v>40</v>
      </c>
      <c r="E2826" s="141">
        <f>VLOOKUP(B2826,'112年全品項生產鍋數'!A:H,3,0)</f>
        <v>6</v>
      </c>
      <c r="F2826" s="142">
        <f>VLOOKUP(B2826,'112年全品項生產鍋數'!A:H,7,0)</f>
        <v>26.6</v>
      </c>
      <c r="G2826" s="143">
        <f t="shared" si="436"/>
        <v>1064</v>
      </c>
      <c r="H2826" s="156">
        <v>1049</v>
      </c>
      <c r="I2826" s="374">
        <f t="shared" si="437"/>
        <v>6294</v>
      </c>
      <c r="J2826" s="100">
        <f t="shared" si="438"/>
        <v>0.98590225563909772</v>
      </c>
      <c r="K2826" s="51">
        <f>VLOOKUP(B:B,'生產達成率(目標)'!A:C,3,0)</f>
        <v>1</v>
      </c>
      <c r="L2826" s="20">
        <f t="shared" si="439"/>
        <v>-1.4E-2</v>
      </c>
      <c r="M2826" s="137" t="str">
        <f>工時!R2010</f>
        <v>510</v>
      </c>
      <c r="N2826" s="374"/>
      <c r="O2826" s="374">
        <f t="shared" si="440"/>
        <v>1</v>
      </c>
      <c r="P2826" s="156">
        <v>1048</v>
      </c>
      <c r="Q2826" s="145">
        <f t="shared" si="441"/>
        <v>0.99904671115347954</v>
      </c>
      <c r="R2826" s="374"/>
      <c r="S2826" s="378"/>
      <c r="T2826" s="375" t="s">
        <v>1153</v>
      </c>
      <c r="U2826" s="398"/>
      <c r="V2826" s="464"/>
      <c r="W2826" s="421"/>
      <c r="X2826" s="464"/>
      <c r="Y2826" s="421"/>
      <c r="Z2826" s="421"/>
      <c r="AA2826" s="421"/>
      <c r="AB2826" s="421"/>
      <c r="AC2826" s="421"/>
      <c r="AD2826" s="421"/>
    </row>
    <row r="2827" spans="1:30" x14ac:dyDescent="0.4">
      <c r="A2827" s="402">
        <v>46127</v>
      </c>
      <c r="B2827" s="392" t="s">
        <v>73</v>
      </c>
      <c r="C2827" s="364" t="str">
        <f>VLOOKUP(B2827,'112年全品項生產鍋數'!A:H,2,0)</f>
        <v>顆粒花生醬(1*12KG)</v>
      </c>
      <c r="D2827" s="404">
        <v>21</v>
      </c>
      <c r="E2827" s="48">
        <f>VLOOKUP(B2827,'112年全品項生產鍋數'!A:H,3,0)</f>
        <v>3</v>
      </c>
      <c r="F2827" s="142">
        <f>VLOOKUP(B2827,'112年全品項生產鍋數'!A:H,7,0)</f>
        <v>29.7</v>
      </c>
      <c r="G2827" s="143">
        <f t="shared" si="436"/>
        <v>623.69999999999993</v>
      </c>
      <c r="H2827" s="156">
        <v>628</v>
      </c>
      <c r="I2827" s="371">
        <f t="shared" si="437"/>
        <v>1884</v>
      </c>
      <c r="J2827" s="100">
        <f t="shared" si="438"/>
        <v>1.0068943402276738</v>
      </c>
      <c r="K2827" s="51">
        <f>VLOOKUP(B:B,'生產達成率(目標)'!A:C,3,0)</f>
        <v>1</v>
      </c>
      <c r="L2827" s="20">
        <f t="shared" si="439"/>
        <v>7.0000000000000001E-3</v>
      </c>
      <c r="M2827" s="137" t="str">
        <f>工時!R2011</f>
        <v>470</v>
      </c>
      <c r="N2827" s="374"/>
      <c r="O2827" s="374">
        <f t="shared" si="440"/>
        <v>0</v>
      </c>
      <c r="P2827" s="156">
        <v>628</v>
      </c>
      <c r="Q2827" s="98">
        <f t="shared" si="441"/>
        <v>1</v>
      </c>
      <c r="R2827" s="371"/>
      <c r="S2827" s="372"/>
      <c r="T2827" s="364" t="s">
        <v>1153</v>
      </c>
      <c r="U2827" s="264"/>
      <c r="V2827" s="463"/>
      <c r="X2827" s="463"/>
    </row>
    <row r="2828" spans="1:30" s="381" customFormat="1" x14ac:dyDescent="0.4">
      <c r="A2828" s="402">
        <v>46127</v>
      </c>
      <c r="B2828" s="392" t="s">
        <v>65</v>
      </c>
      <c r="C2828" s="375" t="str">
        <f>VLOOKUP(B2828,'112年全品項生產鍋數'!A:H,2,0)</f>
        <v>＃1花生(1*2.8kg)</v>
      </c>
      <c r="D2828" s="406">
        <v>72</v>
      </c>
      <c r="E2828" s="141">
        <f>VLOOKUP(B2828,'112年全品項生產鍋數'!A:H,3,0)</f>
        <v>2.8</v>
      </c>
      <c r="F2828" s="142">
        <f>VLOOKUP(B2828,'112年全品項生產鍋數'!A:H,7,0)</f>
        <v>44.5</v>
      </c>
      <c r="G2828" s="143">
        <f t="shared" si="436"/>
        <v>3204</v>
      </c>
      <c r="H2828" s="156">
        <f>2605+600</f>
        <v>3205</v>
      </c>
      <c r="I2828" s="374">
        <f t="shared" si="437"/>
        <v>8974</v>
      </c>
      <c r="J2828" s="100">
        <f t="shared" si="438"/>
        <v>1.0003121098626717</v>
      </c>
      <c r="K2828" s="51">
        <f>VLOOKUP(B:B,'生產達成率(目標)'!A:C,3,0)</f>
        <v>1</v>
      </c>
      <c r="L2828" s="20">
        <f t="shared" si="439"/>
        <v>0</v>
      </c>
      <c r="M2828" s="137" t="str">
        <f>工時!R2012</f>
        <v>483</v>
      </c>
      <c r="N2828" s="374"/>
      <c r="O2828" s="374">
        <f t="shared" si="440"/>
        <v>601</v>
      </c>
      <c r="P2828" s="156">
        <v>2604</v>
      </c>
      <c r="Q2828" s="145">
        <f t="shared" si="441"/>
        <v>0.81248049921996879</v>
      </c>
      <c r="R2828" s="374"/>
      <c r="S2828" s="378"/>
      <c r="T2828" s="375" t="s">
        <v>1288</v>
      </c>
      <c r="U2828" s="398"/>
      <c r="V2828" s="464"/>
      <c r="W2828" s="421"/>
      <c r="X2828" s="464"/>
      <c r="Y2828" s="421"/>
      <c r="Z2828" s="421"/>
      <c r="AA2828" s="421"/>
      <c r="AB2828" s="421"/>
      <c r="AC2828" s="421"/>
      <c r="AD2828" s="421"/>
    </row>
    <row r="2829" spans="1:30" s="381" customFormat="1" x14ac:dyDescent="0.4">
      <c r="A2829" s="402">
        <v>46128</v>
      </c>
      <c r="B2829" s="392" t="s">
        <v>71</v>
      </c>
      <c r="C2829" s="375" t="str">
        <f>VLOOKUP(B2829,'112年全品項生產鍋數'!A:H,2,0)</f>
        <v>＃1草莓(1*3.2kg)</v>
      </c>
      <c r="D2829" s="406">
        <v>60</v>
      </c>
      <c r="E2829" s="141">
        <f>VLOOKUP(B2829,'112年全品項生產鍋數'!A:H,3,0)</f>
        <v>3.2</v>
      </c>
      <c r="F2829" s="142">
        <f>VLOOKUP(B2829,'112年全品項生產鍋數'!A:H,7,0)</f>
        <v>46.8</v>
      </c>
      <c r="G2829" s="143">
        <f t="shared" si="436"/>
        <v>2808</v>
      </c>
      <c r="H2829" s="156">
        <v>2775</v>
      </c>
      <c r="I2829" s="374">
        <f t="shared" si="437"/>
        <v>8880</v>
      </c>
      <c r="J2829" s="100">
        <f t="shared" si="438"/>
        <v>0.98824786324786329</v>
      </c>
      <c r="K2829" s="51">
        <f>VLOOKUP(B:B,'生產達成率(目標)'!A:C,3,0)</f>
        <v>1</v>
      </c>
      <c r="L2829" s="20">
        <f t="shared" si="439"/>
        <v>-1.2E-2</v>
      </c>
      <c r="M2829" s="137" t="str">
        <f>工時!R2013</f>
        <v>540</v>
      </c>
      <c r="N2829" s="374"/>
      <c r="O2829" s="374">
        <f t="shared" si="440"/>
        <v>2</v>
      </c>
      <c r="P2829" s="156">
        <v>2773</v>
      </c>
      <c r="Q2829" s="145">
        <f t="shared" si="441"/>
        <v>0.99927927927927929</v>
      </c>
      <c r="R2829" s="374"/>
      <c r="S2829" s="378"/>
      <c r="T2829" s="375" t="s">
        <v>1153</v>
      </c>
      <c r="U2829" s="398"/>
      <c r="V2829" s="464"/>
      <c r="W2829" s="421"/>
      <c r="X2829" s="464"/>
      <c r="Y2829" s="421"/>
      <c r="Z2829" s="421"/>
      <c r="AA2829" s="421"/>
      <c r="AB2829" s="421"/>
      <c r="AC2829" s="421"/>
      <c r="AD2829" s="421"/>
    </row>
    <row r="2830" spans="1:30" s="381" customFormat="1" x14ac:dyDescent="0.4">
      <c r="A2830" s="402">
        <v>46128</v>
      </c>
      <c r="B2830" s="392" t="s">
        <v>1287</v>
      </c>
      <c r="C2830" s="375" t="str">
        <f>VLOOKUP(B2830,'112年全品項生產鍋數'!A:H,2,0)</f>
        <v>白桃烏龍餡(1*6Kg)</v>
      </c>
      <c r="D2830" s="406">
        <v>12</v>
      </c>
      <c r="E2830" s="141">
        <f>VLOOKUP(B2830,'112年全品項生產鍋數'!A:H,3,0)</f>
        <v>6</v>
      </c>
      <c r="F2830" s="142">
        <f>VLOOKUP(B2830,'112年全品項生產鍋數'!A:H,7,0)</f>
        <v>0</v>
      </c>
      <c r="G2830" s="143">
        <f t="shared" si="436"/>
        <v>0</v>
      </c>
      <c r="H2830" s="156">
        <v>307</v>
      </c>
      <c r="I2830" s="374">
        <f t="shared" si="437"/>
        <v>1842</v>
      </c>
      <c r="J2830" s="100" t="str">
        <f t="shared" si="438"/>
        <v>無法預估數據</v>
      </c>
      <c r="K2830" s="51">
        <f>VLOOKUP(B:B,'生產達成率(目標)'!A:C,3,0)</f>
        <v>1</v>
      </c>
      <c r="L2830" s="20" t="str">
        <f t="shared" si="439"/>
        <v>無法預估數據</v>
      </c>
      <c r="M2830" s="137" t="str">
        <f>工時!R2014</f>
        <v>210</v>
      </c>
      <c r="N2830" s="374"/>
      <c r="O2830" s="374">
        <f t="shared" si="440"/>
        <v>1</v>
      </c>
      <c r="P2830" s="156">
        <v>306</v>
      </c>
      <c r="Q2830" s="145">
        <f t="shared" si="441"/>
        <v>0.99674267100977199</v>
      </c>
      <c r="R2830" s="374"/>
      <c r="S2830" s="378"/>
      <c r="T2830" s="375"/>
      <c r="U2830" s="398"/>
      <c r="V2830" s="464"/>
      <c r="W2830" s="421"/>
      <c r="X2830" s="464"/>
      <c r="Y2830" s="421"/>
      <c r="Z2830" s="421"/>
      <c r="AA2830" s="421"/>
      <c r="AB2830" s="421"/>
      <c r="AC2830" s="421"/>
      <c r="AD2830" s="421"/>
    </row>
    <row r="2831" spans="1:30" s="381" customFormat="1" x14ac:dyDescent="0.4">
      <c r="A2831" s="402">
        <v>46128</v>
      </c>
      <c r="B2831" s="392" t="s">
        <v>965</v>
      </c>
      <c r="C2831" s="375" t="str">
        <f>VLOOKUP(B2831,'112年全品項生產鍋數'!A:H,2,0)</f>
        <v>草莓餡°(1*6KG)</v>
      </c>
      <c r="D2831" s="406">
        <v>12</v>
      </c>
      <c r="E2831" s="141">
        <f>VLOOKUP(B2831,'112年全品項生產鍋數'!A:H,3,0)</f>
        <v>6</v>
      </c>
      <c r="F2831" s="142">
        <f>VLOOKUP(B2831,'112年全品項生產鍋數'!A:H,7,0)</f>
        <v>0</v>
      </c>
      <c r="G2831" s="143">
        <f t="shared" si="436"/>
        <v>0</v>
      </c>
      <c r="H2831" s="156">
        <v>300</v>
      </c>
      <c r="I2831" s="374">
        <f t="shared" si="437"/>
        <v>1800</v>
      </c>
      <c r="J2831" s="100" t="str">
        <f t="shared" si="438"/>
        <v>無法預估數據</v>
      </c>
      <c r="K2831" s="51">
        <f>VLOOKUP(B:B,'生產達成率(目標)'!A:C,3,0)</f>
        <v>1</v>
      </c>
      <c r="L2831" s="20" t="str">
        <f t="shared" si="439"/>
        <v>無法預估數據</v>
      </c>
      <c r="M2831" s="137" t="str">
        <f>工時!R2015</f>
        <v>170</v>
      </c>
      <c r="N2831" s="374"/>
      <c r="O2831" s="374">
        <f t="shared" si="440"/>
        <v>3</v>
      </c>
      <c r="P2831" s="156">
        <v>297</v>
      </c>
      <c r="Q2831" s="145">
        <f t="shared" si="441"/>
        <v>0.99</v>
      </c>
      <c r="R2831" s="374"/>
      <c r="S2831" s="378"/>
      <c r="T2831" s="375" t="s">
        <v>1153</v>
      </c>
      <c r="U2831" s="398"/>
      <c r="V2831" s="464"/>
      <c r="W2831" s="421"/>
      <c r="X2831" s="464"/>
      <c r="Y2831" s="421"/>
      <c r="Z2831" s="421"/>
      <c r="AA2831" s="421"/>
      <c r="AB2831" s="421"/>
      <c r="AC2831" s="421"/>
      <c r="AD2831" s="421"/>
    </row>
    <row r="2832" spans="1:30" s="381" customFormat="1" x14ac:dyDescent="0.4">
      <c r="A2832" s="402">
        <v>46128</v>
      </c>
      <c r="B2832" s="392" t="s">
        <v>72</v>
      </c>
      <c r="C2832" s="375" t="str">
        <f>VLOOKUP(B2832,'112年全品項生產鍋數'!A:H,2,0)</f>
        <v>草莓餡45%(1*6Kg)</v>
      </c>
      <c r="D2832" s="406">
        <v>16</v>
      </c>
      <c r="E2832" s="141">
        <f>VLOOKUP(B2832,'112年全品項生產鍋數'!A:H,3,0)</f>
        <v>6</v>
      </c>
      <c r="F2832" s="142">
        <f>VLOOKUP(B2832,'112年全品項生產鍋數'!A:H,7,0)</f>
        <v>26.1</v>
      </c>
      <c r="G2832" s="143">
        <f t="shared" si="436"/>
        <v>417.6</v>
      </c>
      <c r="H2832" s="156">
        <v>434</v>
      </c>
      <c r="I2832" s="374">
        <f t="shared" si="437"/>
        <v>2604</v>
      </c>
      <c r="J2832" s="100">
        <f t="shared" si="438"/>
        <v>1.039272030651341</v>
      </c>
      <c r="K2832" s="51">
        <f>VLOOKUP(B:B,'生產達成率(目標)'!A:C,3,0)</f>
        <v>1</v>
      </c>
      <c r="L2832" s="20">
        <f t="shared" si="439"/>
        <v>3.9E-2</v>
      </c>
      <c r="M2832" s="137" t="str">
        <f>工時!R2016</f>
        <v>210</v>
      </c>
      <c r="N2832" s="374"/>
      <c r="O2832" s="374">
        <f t="shared" si="440"/>
        <v>3</v>
      </c>
      <c r="P2832" s="156">
        <v>431</v>
      </c>
      <c r="Q2832" s="145">
        <f t="shared" si="441"/>
        <v>0.99308755760368661</v>
      </c>
      <c r="R2832" s="374"/>
      <c r="S2832" s="378"/>
      <c r="T2832" s="375" t="s">
        <v>1153</v>
      </c>
      <c r="U2832" s="398"/>
      <c r="V2832" s="464"/>
      <c r="W2832" s="421"/>
      <c r="X2832" s="464"/>
      <c r="Y2832" s="421"/>
      <c r="Z2832" s="421"/>
      <c r="AA2832" s="421"/>
      <c r="AB2832" s="421"/>
      <c r="AC2832" s="421"/>
      <c r="AD2832" s="421"/>
    </row>
    <row r="2833" spans="1:30" s="381" customFormat="1" x14ac:dyDescent="0.4">
      <c r="A2833" s="402">
        <v>46128</v>
      </c>
      <c r="B2833" s="392" t="s">
        <v>96</v>
      </c>
      <c r="C2833" s="375" t="str">
        <f>VLOOKUP(B2833,'112年全品項生產鍋數'!A:H,2,0)</f>
        <v>PET瓶花生(1*340g)</v>
      </c>
      <c r="D2833" s="406">
        <v>20</v>
      </c>
      <c r="E2833" s="141">
        <f>VLOOKUP(B2833,'112年全品項生產鍋數'!A:H,3,0)</f>
        <v>0.34</v>
      </c>
      <c r="F2833" s="142">
        <f>VLOOKUP(B2833,'112年全品項生產鍋數'!A:H,7,0)</f>
        <v>358.3</v>
      </c>
      <c r="G2833" s="143">
        <f t="shared" si="436"/>
        <v>7166</v>
      </c>
      <c r="H2833" s="156">
        <v>7238</v>
      </c>
      <c r="I2833" s="374">
        <f t="shared" si="437"/>
        <v>2460.92</v>
      </c>
      <c r="J2833" s="100">
        <f t="shared" si="438"/>
        <v>1.0100474462740721</v>
      </c>
      <c r="K2833" s="51">
        <f>VLOOKUP(B:B,'生產達成率(目標)'!A:C,3,0)</f>
        <v>1</v>
      </c>
      <c r="L2833" s="20">
        <f t="shared" si="439"/>
        <v>0.01</v>
      </c>
      <c r="M2833" s="137" t="str">
        <f>工時!R2017</f>
        <v>285</v>
      </c>
      <c r="N2833" s="374"/>
      <c r="O2833" s="374">
        <f t="shared" si="440"/>
        <v>3</v>
      </c>
      <c r="P2833" s="156">
        <v>7235</v>
      </c>
      <c r="Q2833" s="145">
        <f t="shared" si="441"/>
        <v>0.99958552086211661</v>
      </c>
      <c r="R2833" s="374"/>
      <c r="S2833" s="378"/>
      <c r="T2833" s="375"/>
      <c r="U2833" s="398"/>
      <c r="V2833" s="464"/>
      <c r="W2833" s="421"/>
      <c r="X2833" s="464"/>
      <c r="Y2833" s="421"/>
      <c r="Z2833" s="421"/>
      <c r="AA2833" s="421"/>
      <c r="AB2833" s="421"/>
      <c r="AC2833" s="421"/>
      <c r="AD2833" s="421"/>
    </row>
    <row r="2834" spans="1:30" s="381" customFormat="1" x14ac:dyDescent="0.4">
      <c r="A2834" s="402">
        <v>46128</v>
      </c>
      <c r="B2834" s="392" t="s">
        <v>83</v>
      </c>
      <c r="C2834" s="375" t="str">
        <f>VLOOKUP(B2834,'112年全品項生產鍋數'!A:H,2,0)</f>
        <v>PET瓶花生(粒)(1*340g)</v>
      </c>
      <c r="D2834" s="406">
        <v>16</v>
      </c>
      <c r="E2834" s="141">
        <f>VLOOKUP(B2834,'112年全品項生產鍋數'!A:H,3,0)</f>
        <v>0.34</v>
      </c>
      <c r="F2834" s="142">
        <f>VLOOKUP(B2834,'112年全品項生產鍋數'!A:H,7,0)</f>
        <v>366</v>
      </c>
      <c r="G2834" s="143">
        <f t="shared" si="436"/>
        <v>5856</v>
      </c>
      <c r="H2834" s="156">
        <v>6125</v>
      </c>
      <c r="I2834" s="374">
        <f t="shared" si="437"/>
        <v>2082.5</v>
      </c>
      <c r="J2834" s="100">
        <f t="shared" si="438"/>
        <v>1.0459357923497268</v>
      </c>
      <c r="K2834" s="51">
        <f>VLOOKUP(B:B,'生產達成率(目標)'!A:C,3,0)</f>
        <v>1</v>
      </c>
      <c r="L2834" s="20">
        <f t="shared" si="439"/>
        <v>4.5999999999999999E-2</v>
      </c>
      <c r="M2834" s="137" t="str">
        <f>工時!R2018</f>
        <v>330</v>
      </c>
      <c r="N2834" s="374"/>
      <c r="O2834" s="374">
        <f t="shared" si="440"/>
        <v>203</v>
      </c>
      <c r="P2834" s="156">
        <v>5922</v>
      </c>
      <c r="Q2834" s="145">
        <f t="shared" si="441"/>
        <v>0.96685714285714286</v>
      </c>
      <c r="R2834" s="374"/>
      <c r="S2834" s="378"/>
      <c r="T2834" s="375"/>
      <c r="U2834" s="398"/>
      <c r="V2834" s="464"/>
      <c r="W2834" s="421"/>
      <c r="X2834" s="464"/>
      <c r="Y2834" s="421"/>
      <c r="Z2834" s="421"/>
      <c r="AA2834" s="421"/>
      <c r="AB2834" s="421"/>
      <c r="AC2834" s="421"/>
      <c r="AD2834" s="421"/>
    </row>
    <row r="2835" spans="1:30" ht="17.25" customHeight="1" x14ac:dyDescent="0.4">
      <c r="A2835" s="402">
        <v>46128</v>
      </c>
      <c r="B2835" s="392" t="s">
        <v>434</v>
      </c>
      <c r="C2835" s="364" t="str">
        <f>VLOOKUP(B2835,'112年全品項生產鍋數'!A:H,2,0)</f>
        <v>蜜桔皮</v>
      </c>
      <c r="D2835" s="404">
        <v>30</v>
      </c>
      <c r="E2835" s="48">
        <f>VLOOKUP(B2835,'112年全品項生產鍋數'!A:H,3,0)</f>
        <v>1</v>
      </c>
      <c r="F2835" s="142">
        <f>VLOOKUP(B2835,'112年全品項生產鍋數'!A:H,7,0)</f>
        <v>6</v>
      </c>
      <c r="G2835" s="143">
        <f>D2835*F2835</f>
        <v>180</v>
      </c>
      <c r="H2835" s="156">
        <v>183</v>
      </c>
      <c r="I2835" s="371">
        <f>H2835*E2835</f>
        <v>183</v>
      </c>
      <c r="J2835" s="100">
        <f>IF(G2835=0,"無法預估數據",H2835/G2835)</f>
        <v>1.0166666666666666</v>
      </c>
      <c r="K2835" s="51">
        <f>VLOOKUP(B:B,'生產達成率(目標)'!A:C,3,0)</f>
        <v>1</v>
      </c>
      <c r="L2835" s="20">
        <f>IF(G2835=0,"無法預估數據",ROUND(J2835-K2835,3))</f>
        <v>1.7000000000000001E-2</v>
      </c>
      <c r="M2835" s="137" t="str">
        <f>工時!R2019</f>
        <v>0</v>
      </c>
      <c r="N2835" s="374"/>
      <c r="O2835" s="374">
        <f>H2835-N2835-P2835</f>
        <v>0</v>
      </c>
      <c r="P2835" s="156">
        <v>183</v>
      </c>
      <c r="Q2835" s="98">
        <f>P2835/H2835</f>
        <v>1</v>
      </c>
      <c r="R2835" s="371"/>
      <c r="S2835" s="372"/>
      <c r="T2835" s="364"/>
      <c r="U2835" s="264"/>
      <c r="V2835" s="463"/>
      <c r="X2835" s="463"/>
    </row>
    <row r="2836" spans="1:30" x14ac:dyDescent="0.4">
      <c r="A2836" s="402">
        <v>46128</v>
      </c>
      <c r="B2836" s="392" t="s">
        <v>500</v>
      </c>
      <c r="C2836" s="364" t="str">
        <f>VLOOKUP(B2836,'112年全品項生產鍋數'!A:H,2,0)</f>
        <v>蜜餞水果(1*1kg)</v>
      </c>
      <c r="D2836" s="404">
        <v>25</v>
      </c>
      <c r="E2836" s="48">
        <f>VLOOKUP(B2836,'112年全品項生產鍋數'!A:H,3,0)</f>
        <v>1</v>
      </c>
      <c r="F2836" s="142">
        <f>VLOOKUP(B2836,'112年全品項生產鍋數'!A:H,7,0)</f>
        <v>5.7</v>
      </c>
      <c r="G2836" s="143">
        <f>D2836*F2836</f>
        <v>142.5</v>
      </c>
      <c r="H2836" s="156">
        <v>146</v>
      </c>
      <c r="I2836" s="371">
        <f>H2836*E2836</f>
        <v>146</v>
      </c>
      <c r="J2836" s="100">
        <f>IF(G2836=0,"無法預估數據",H2836/G2836)</f>
        <v>1.024561403508772</v>
      </c>
      <c r="K2836" s="51">
        <f>VLOOKUP(B:B,'生產達成率(目標)'!A:C,3,0)</f>
        <v>1</v>
      </c>
      <c r="L2836" s="20">
        <f>IF(G2836=0,"無法預估數據",ROUND(J2836-K2836,3))</f>
        <v>2.5000000000000001E-2</v>
      </c>
      <c r="M2836" s="137" t="str">
        <f>工時!R2020</f>
        <v>0</v>
      </c>
      <c r="N2836" s="374"/>
      <c r="O2836" s="374">
        <f>H2836-N2836-P2836</f>
        <v>0</v>
      </c>
      <c r="P2836" s="156">
        <v>146</v>
      </c>
      <c r="Q2836" s="98">
        <f>P2836/H2836</f>
        <v>1</v>
      </c>
      <c r="R2836" s="371"/>
      <c r="S2836" s="372"/>
      <c r="T2836" s="364"/>
      <c r="U2836" s="264"/>
      <c r="V2836" s="463"/>
      <c r="X2836" s="463"/>
    </row>
    <row r="2837" spans="1:30" s="381" customFormat="1" x14ac:dyDescent="0.4">
      <c r="A2837" s="402">
        <v>46129</v>
      </c>
      <c r="B2837" s="392" t="s">
        <v>91</v>
      </c>
      <c r="C2837" s="375" t="str">
        <f>VLOOKUP(B2837,'112年全品項生產鍋數'!A:H,2,0)</f>
        <v>梨山草莓果醬(1*430g)</v>
      </c>
      <c r="D2837" s="406">
        <v>16</v>
      </c>
      <c r="E2837" s="141">
        <f>VLOOKUP(B2837,'112年全品項生產鍋數'!A:H,3,0)</f>
        <v>0.43</v>
      </c>
      <c r="F2837" s="142">
        <f>VLOOKUP(B2837,'112年全品項生產鍋數'!A:H,7,0)</f>
        <v>340.4</v>
      </c>
      <c r="G2837" s="143">
        <f t="shared" si="436"/>
        <v>5446.4</v>
      </c>
      <c r="H2837" s="156">
        <f>3278+2160</f>
        <v>5438</v>
      </c>
      <c r="I2837" s="374">
        <f t="shared" si="437"/>
        <v>2338.34</v>
      </c>
      <c r="J2837" s="100">
        <f t="shared" si="438"/>
        <v>0.99845769682726215</v>
      </c>
      <c r="K2837" s="51">
        <f>VLOOKUP(B:B,'生產達成率(目標)'!A:C,3,0)</f>
        <v>1</v>
      </c>
      <c r="L2837" s="20">
        <f t="shared" si="439"/>
        <v>-2E-3</v>
      </c>
      <c r="M2837" s="137" t="str">
        <f>工時!R2021</f>
        <v>270</v>
      </c>
      <c r="N2837" s="374"/>
      <c r="O2837" s="374">
        <f t="shared" si="440"/>
        <v>12</v>
      </c>
      <c r="P2837" s="156">
        <f>3266+2160</f>
        <v>5426</v>
      </c>
      <c r="Q2837" s="145">
        <f t="shared" si="441"/>
        <v>0.9977933063626333</v>
      </c>
      <c r="R2837" s="374"/>
      <c r="S2837" s="378"/>
      <c r="T2837" s="375" t="s">
        <v>1289</v>
      </c>
      <c r="U2837" s="398"/>
      <c r="V2837" s="464"/>
      <c r="W2837" s="421"/>
      <c r="X2837" s="464"/>
      <c r="Y2837" s="421"/>
      <c r="Z2837" s="421"/>
      <c r="AA2837" s="421"/>
      <c r="AB2837" s="421"/>
      <c r="AC2837" s="421"/>
      <c r="AD2837" s="421"/>
    </row>
    <row r="2838" spans="1:30" s="381" customFormat="1" x14ac:dyDescent="0.4">
      <c r="A2838" s="402">
        <v>46129</v>
      </c>
      <c r="B2838" s="392" t="s">
        <v>61</v>
      </c>
      <c r="C2838" s="375" t="str">
        <f>VLOOKUP(B2838,'112年全品項生產鍋數'!A:H,2,0)</f>
        <v>大圓草莓-新</v>
      </c>
      <c r="D2838" s="406">
        <v>20</v>
      </c>
      <c r="E2838" s="141">
        <f>VLOOKUP(B2838,'112年全品項生產鍋數'!A:H,3,0)</f>
        <v>0.44</v>
      </c>
      <c r="F2838" s="142">
        <f>VLOOKUP(B2838,'112年全品項生產鍋數'!A:H,7,0)</f>
        <v>344</v>
      </c>
      <c r="G2838" s="143">
        <f t="shared" si="436"/>
        <v>6880</v>
      </c>
      <c r="H2838" s="156">
        <v>6709</v>
      </c>
      <c r="I2838" s="374">
        <f t="shared" si="437"/>
        <v>2951.96</v>
      </c>
      <c r="J2838" s="100">
        <f t="shared" si="438"/>
        <v>0.97514534883720927</v>
      </c>
      <c r="K2838" s="51">
        <f>VLOOKUP(B:B,'生產達成率(目標)'!A:C,3,0)</f>
        <v>1</v>
      </c>
      <c r="L2838" s="20">
        <f t="shared" si="439"/>
        <v>-2.5000000000000001E-2</v>
      </c>
      <c r="M2838" s="137" t="str">
        <f>工時!R2022</f>
        <v>300</v>
      </c>
      <c r="N2838" s="374"/>
      <c r="O2838" s="374">
        <f t="shared" si="440"/>
        <v>5</v>
      </c>
      <c r="P2838" s="156">
        <v>6704</v>
      </c>
      <c r="Q2838" s="145">
        <f t="shared" si="441"/>
        <v>0.99925473244894913</v>
      </c>
      <c r="R2838" s="374"/>
      <c r="S2838" s="378"/>
      <c r="T2838" s="375"/>
      <c r="U2838" s="398"/>
      <c r="V2838" s="464"/>
      <c r="W2838" s="421"/>
      <c r="X2838" s="464"/>
      <c r="Y2838" s="421"/>
      <c r="Z2838" s="421"/>
      <c r="AA2838" s="421"/>
      <c r="AB2838" s="421"/>
      <c r="AC2838" s="421"/>
      <c r="AD2838" s="421"/>
    </row>
    <row r="2839" spans="1:30" s="381" customFormat="1" x14ac:dyDescent="0.4">
      <c r="A2839" s="402">
        <v>46129</v>
      </c>
      <c r="B2839" s="392" t="s">
        <v>63</v>
      </c>
      <c r="C2839" s="375" t="str">
        <f>VLOOKUP(B2839,'112年全品項生產鍋數'!A:H,2,0)</f>
        <v>草莓蒟蒻餡(1*6kg)</v>
      </c>
      <c r="D2839" s="406">
        <v>20</v>
      </c>
      <c r="E2839" s="141">
        <f>VLOOKUP(B2839,'112年全品項生產鍋數'!A:H,3,0)</f>
        <v>6</v>
      </c>
      <c r="F2839" s="142">
        <f>VLOOKUP(B2839,'112年全品項生產鍋數'!A:H,7,0)</f>
        <v>25.7</v>
      </c>
      <c r="G2839" s="143">
        <f t="shared" si="436"/>
        <v>514</v>
      </c>
      <c r="H2839" s="156">
        <f>298+210</f>
        <v>508</v>
      </c>
      <c r="I2839" s="374">
        <f t="shared" si="437"/>
        <v>3048</v>
      </c>
      <c r="J2839" s="100">
        <f t="shared" si="438"/>
        <v>0.98832684824902728</v>
      </c>
      <c r="K2839" s="51">
        <f>VLOOKUP(B:B,'生產達成率(目標)'!A:C,3,0)</f>
        <v>1</v>
      </c>
      <c r="L2839" s="20">
        <f t="shared" si="439"/>
        <v>-1.2E-2</v>
      </c>
      <c r="M2839" s="137" t="str">
        <f>工時!R2023</f>
        <v>210</v>
      </c>
      <c r="N2839" s="374"/>
      <c r="O2839" s="374">
        <f t="shared" si="440"/>
        <v>1</v>
      </c>
      <c r="P2839" s="156">
        <f>297+210</f>
        <v>507</v>
      </c>
      <c r="Q2839" s="145">
        <f t="shared" si="441"/>
        <v>0.99803149606299213</v>
      </c>
      <c r="R2839" s="374"/>
      <c r="S2839" s="378"/>
      <c r="T2839" s="375"/>
      <c r="U2839" s="398"/>
      <c r="V2839" s="464"/>
      <c r="W2839" s="421"/>
      <c r="X2839" s="464"/>
      <c r="Y2839" s="421"/>
      <c r="Z2839" s="421"/>
      <c r="AA2839" s="421"/>
      <c r="AB2839" s="421"/>
      <c r="AC2839" s="421"/>
      <c r="AD2839" s="421"/>
    </row>
    <row r="2840" spans="1:30" s="381" customFormat="1" x14ac:dyDescent="0.4">
      <c r="A2840" s="402">
        <v>46129</v>
      </c>
      <c r="B2840" s="392" t="s">
        <v>55</v>
      </c>
      <c r="C2840" s="375" t="str">
        <f>VLOOKUP(B2840,'112年全品項生產鍋數'!A:H,2,0)</f>
        <v>天天開心草莓餡4.5KG</v>
      </c>
      <c r="D2840" s="406">
        <v>20</v>
      </c>
      <c r="E2840" s="141">
        <f>VLOOKUP(B2840,'112年全品項生產鍋數'!A:H,3,0)</f>
        <v>4.5</v>
      </c>
      <c r="F2840" s="142">
        <f>VLOOKUP(B2840,'112年全品項生產鍋數'!A:H,7,0)</f>
        <v>36.299999999999997</v>
      </c>
      <c r="G2840" s="143">
        <f t="shared" si="436"/>
        <v>726</v>
      </c>
      <c r="H2840" s="156">
        <v>720</v>
      </c>
      <c r="I2840" s="374">
        <f t="shared" si="437"/>
        <v>3240</v>
      </c>
      <c r="J2840" s="100">
        <f t="shared" si="438"/>
        <v>0.99173553719008267</v>
      </c>
      <c r="K2840" s="51">
        <f>VLOOKUP(B:B,'生產達成率(目標)'!A:C,3,0)</f>
        <v>1</v>
      </c>
      <c r="L2840" s="20">
        <f t="shared" si="439"/>
        <v>-8.0000000000000002E-3</v>
      </c>
      <c r="M2840" s="137" t="str">
        <f>工時!R2024</f>
        <v>300</v>
      </c>
      <c r="N2840" s="374"/>
      <c r="O2840" s="374">
        <f t="shared" si="440"/>
        <v>0</v>
      </c>
      <c r="P2840" s="156">
        <v>720</v>
      </c>
      <c r="Q2840" s="145">
        <f t="shared" si="441"/>
        <v>1</v>
      </c>
      <c r="R2840" s="374"/>
      <c r="S2840" s="378"/>
      <c r="T2840" s="375"/>
      <c r="U2840" s="398"/>
      <c r="V2840" s="464"/>
      <c r="W2840" s="421"/>
      <c r="X2840" s="464"/>
      <c r="Y2840" s="421"/>
      <c r="Z2840" s="421"/>
      <c r="AA2840" s="421"/>
      <c r="AB2840" s="421"/>
      <c r="AC2840" s="421"/>
      <c r="AD2840" s="421"/>
    </row>
    <row r="2841" spans="1:30" s="381" customFormat="1" x14ac:dyDescent="0.4">
      <c r="A2841" s="402">
        <v>46129</v>
      </c>
      <c r="B2841" s="392" t="s">
        <v>104</v>
      </c>
      <c r="C2841" s="375" t="str">
        <f>VLOOKUP(B2841,'112年全品項生產鍋數'!A:H,2,0)</f>
        <v>＃1花生(粒)(1*2.8kg)</v>
      </c>
      <c r="D2841" s="406">
        <v>60</v>
      </c>
      <c r="E2841" s="141">
        <f>VLOOKUP(B2841,'112年全品項生產鍋數'!A:H,3,0)</f>
        <v>2.8</v>
      </c>
      <c r="F2841" s="142">
        <f>VLOOKUP(B2841,'112年全品項生產鍋數'!A:H,7,0)</f>
        <v>44.2</v>
      </c>
      <c r="G2841" s="143">
        <f>D2841*F2841-10*18/2.8</f>
        <v>2587.7142857142858</v>
      </c>
      <c r="H2841" s="156">
        <v>2578</v>
      </c>
      <c r="I2841" s="374">
        <f t="shared" si="437"/>
        <v>7218.4</v>
      </c>
      <c r="J2841" s="100">
        <f t="shared" si="438"/>
        <v>0.99624599757093957</v>
      </c>
      <c r="K2841" s="51">
        <f>VLOOKUP(B:B,'生產達成率(目標)'!A:C,3,0)</f>
        <v>1</v>
      </c>
      <c r="L2841" s="20">
        <f t="shared" si="439"/>
        <v>-4.0000000000000001E-3</v>
      </c>
      <c r="M2841" s="137" t="str">
        <f>工時!R2025</f>
        <v>490</v>
      </c>
      <c r="N2841" s="374"/>
      <c r="O2841" s="374">
        <f t="shared" si="440"/>
        <v>2</v>
      </c>
      <c r="P2841" s="156">
        <v>2576</v>
      </c>
      <c r="Q2841" s="145">
        <f t="shared" si="441"/>
        <v>0.99922420480993013</v>
      </c>
      <c r="R2841" s="374"/>
      <c r="S2841" s="378"/>
      <c r="T2841" s="375" t="s">
        <v>1290</v>
      </c>
      <c r="U2841" s="398"/>
      <c r="V2841" s="464"/>
      <c r="W2841" s="421"/>
      <c r="X2841" s="464"/>
      <c r="Y2841" s="421"/>
      <c r="Z2841" s="421"/>
      <c r="AA2841" s="421"/>
      <c r="AB2841" s="421"/>
      <c r="AC2841" s="421"/>
      <c r="AD2841" s="421"/>
    </row>
    <row r="2842" spans="1:30" s="381" customFormat="1" x14ac:dyDescent="0.4">
      <c r="A2842" s="402">
        <v>46129</v>
      </c>
      <c r="B2842" s="392" t="s">
        <v>558</v>
      </c>
      <c r="C2842" s="375" t="str">
        <f>VLOOKUP(B2842,'112年全品項生產鍋數'!A:H,2,0)</f>
        <v>＃1花生(粒)(1*2.8kg)</v>
      </c>
      <c r="D2842" s="406">
        <v>4</v>
      </c>
      <c r="E2842" s="141">
        <f>VLOOKUP(B2842,'112年全品項生產鍋數'!A:H,3,0)</f>
        <v>2.8</v>
      </c>
      <c r="F2842" s="142">
        <f>VLOOKUP(B2842,'112年全品項生產鍋數'!A:H,7,0)</f>
        <v>44.8</v>
      </c>
      <c r="G2842" s="143">
        <f t="shared" si="436"/>
        <v>179.2</v>
      </c>
      <c r="H2842" s="156">
        <v>163</v>
      </c>
      <c r="I2842" s="374">
        <f t="shared" si="437"/>
        <v>456.4</v>
      </c>
      <c r="J2842" s="100">
        <f t="shared" si="438"/>
        <v>0.9095982142857143</v>
      </c>
      <c r="K2842" s="51">
        <f>VLOOKUP(B:B,'生產達成率(目標)'!A:C,3,0)</f>
        <v>1</v>
      </c>
      <c r="L2842" s="20">
        <f t="shared" si="439"/>
        <v>-0.09</v>
      </c>
      <c r="M2842" s="137" t="str">
        <f>工時!R2026</f>
        <v>145</v>
      </c>
      <c r="N2842" s="374"/>
      <c r="O2842" s="374">
        <f t="shared" si="440"/>
        <v>2</v>
      </c>
      <c r="P2842" s="156">
        <v>161</v>
      </c>
      <c r="Q2842" s="145">
        <f t="shared" si="441"/>
        <v>0.98773006134969321</v>
      </c>
      <c r="R2842" s="374"/>
      <c r="S2842" s="378"/>
      <c r="T2842" s="375" t="s">
        <v>1168</v>
      </c>
      <c r="U2842" s="398"/>
      <c r="V2842" s="464"/>
      <c r="W2842" s="421"/>
      <c r="X2842" s="464"/>
      <c r="Y2842" s="421"/>
      <c r="Z2842" s="421"/>
      <c r="AA2842" s="421"/>
      <c r="AB2842" s="421"/>
      <c r="AC2842" s="421"/>
      <c r="AD2842" s="421"/>
    </row>
    <row r="2843" spans="1:30" x14ac:dyDescent="0.4">
      <c r="A2843" s="402">
        <v>46132</v>
      </c>
      <c r="B2843" s="392" t="s">
        <v>71</v>
      </c>
      <c r="C2843" s="364" t="str">
        <f>VLOOKUP(B2843,'112年全品項生產鍋數'!A:H,2,0)</f>
        <v>＃1草莓(1*3.2kg)</v>
      </c>
      <c r="D2843" s="404">
        <v>72</v>
      </c>
      <c r="E2843" s="48">
        <f>VLOOKUP(B2843,'112年全品項生產鍋數'!A:H,3,0)</f>
        <v>3.2</v>
      </c>
      <c r="F2843" s="142">
        <f>VLOOKUP(B2843,'112年全品項生產鍋數'!A:H,7,0)</f>
        <v>46.8</v>
      </c>
      <c r="G2843" s="143">
        <f t="shared" si="436"/>
        <v>3369.6</v>
      </c>
      <c r="H2843" s="156">
        <v>3376</v>
      </c>
      <c r="I2843" s="371">
        <f t="shared" si="437"/>
        <v>10803.2</v>
      </c>
      <c r="J2843" s="100">
        <f t="shared" si="438"/>
        <v>1.0018993352326686</v>
      </c>
      <c r="K2843" s="51">
        <f>VLOOKUP(B:B,'生產達成率(目標)'!A:C,3,0)</f>
        <v>1</v>
      </c>
      <c r="L2843" s="20">
        <f t="shared" si="439"/>
        <v>2E-3</v>
      </c>
      <c r="M2843" s="137" t="str">
        <f>工時!R2027</f>
        <v>540</v>
      </c>
      <c r="N2843" s="374"/>
      <c r="O2843" s="374">
        <f t="shared" si="440"/>
        <v>4</v>
      </c>
      <c r="P2843" s="156">
        <v>3372</v>
      </c>
      <c r="Q2843" s="98">
        <f t="shared" si="441"/>
        <v>0.99881516587677721</v>
      </c>
      <c r="R2843" s="371"/>
      <c r="S2843" s="372"/>
      <c r="T2843" s="364" t="s">
        <v>1153</v>
      </c>
      <c r="U2843" s="264"/>
      <c r="V2843" s="463"/>
      <c r="X2843" s="463"/>
    </row>
    <row r="2844" spans="1:30" x14ac:dyDescent="0.4">
      <c r="A2844" s="402">
        <v>46132</v>
      </c>
      <c r="B2844" s="392" t="s">
        <v>88</v>
      </c>
      <c r="C2844" s="364" t="str">
        <f>VLOOKUP(B2844,'112年全品項生產鍋數'!A:H,2,0)</f>
        <v>草莓餡(1*6KG)</v>
      </c>
      <c r="D2844" s="404">
        <v>16</v>
      </c>
      <c r="E2844" s="48">
        <f>VLOOKUP(B2844,'112年全品項生產鍋數'!A:H,3,0)</f>
        <v>6</v>
      </c>
      <c r="F2844" s="142">
        <f>VLOOKUP(B2844,'112年全品項生產鍋數'!A:H,7,0)</f>
        <v>25.5</v>
      </c>
      <c r="G2844" s="143">
        <f t="shared" si="436"/>
        <v>408</v>
      </c>
      <c r="H2844" s="156">
        <v>403</v>
      </c>
      <c r="I2844" s="371">
        <f t="shared" si="437"/>
        <v>2418</v>
      </c>
      <c r="J2844" s="100">
        <f t="shared" si="438"/>
        <v>0.98774509803921573</v>
      </c>
      <c r="K2844" s="51">
        <f>VLOOKUP(B:B,'生產達成率(目標)'!A:C,3,0)</f>
        <v>1</v>
      </c>
      <c r="L2844" s="20">
        <f t="shared" si="439"/>
        <v>-1.2E-2</v>
      </c>
      <c r="M2844" s="137" t="str">
        <f>工時!R2028</f>
        <v>510</v>
      </c>
      <c r="N2844" s="374"/>
      <c r="O2844" s="374">
        <f t="shared" si="440"/>
        <v>1</v>
      </c>
      <c r="P2844" s="156">
        <v>402</v>
      </c>
      <c r="Q2844" s="98">
        <f t="shared" si="441"/>
        <v>0.9975186104218362</v>
      </c>
      <c r="R2844" s="371"/>
      <c r="S2844" s="372"/>
      <c r="T2844" s="364"/>
      <c r="U2844" s="264"/>
      <c r="V2844" s="463"/>
      <c r="X2844" s="463"/>
    </row>
    <row r="2845" spans="1:30" x14ac:dyDescent="0.4">
      <c r="A2845" s="402">
        <v>46132</v>
      </c>
      <c r="B2845" s="392" t="s">
        <v>63</v>
      </c>
      <c r="C2845" s="364" t="str">
        <f>VLOOKUP(B2845,'112年全品項生產鍋數'!A:H,2,0)</f>
        <v>草莓蒟蒻餡(1*6kg)</v>
      </c>
      <c r="D2845" s="404">
        <v>24</v>
      </c>
      <c r="E2845" s="48">
        <f>VLOOKUP(B2845,'112年全品項生產鍋數'!A:H,3,0)</f>
        <v>6</v>
      </c>
      <c r="F2845" s="142">
        <f>VLOOKUP(B2845,'112年全品項生產鍋數'!A:H,7,0)</f>
        <v>25.7</v>
      </c>
      <c r="G2845" s="143">
        <f t="shared" si="436"/>
        <v>616.79999999999995</v>
      </c>
      <c r="H2845" s="156">
        <f>297+314</f>
        <v>611</v>
      </c>
      <c r="I2845" s="371">
        <f t="shared" si="437"/>
        <v>3666</v>
      </c>
      <c r="J2845" s="100">
        <f t="shared" si="438"/>
        <v>0.99059662775616086</v>
      </c>
      <c r="K2845" s="51">
        <f>VLOOKUP(B:B,'生產達成率(目標)'!A:C,3,0)</f>
        <v>1</v>
      </c>
      <c r="L2845" s="20">
        <f t="shared" si="439"/>
        <v>-8.9999999999999993E-3</v>
      </c>
      <c r="M2845" s="137" t="str">
        <f>工時!R2029</f>
        <v>450</v>
      </c>
      <c r="N2845" s="374"/>
      <c r="O2845" s="374">
        <f t="shared" si="440"/>
        <v>1</v>
      </c>
      <c r="P2845" s="156">
        <f>296+314</f>
        <v>610</v>
      </c>
      <c r="Q2845" s="98">
        <f t="shared" si="441"/>
        <v>0.99836333878887074</v>
      </c>
      <c r="R2845" s="371"/>
      <c r="S2845" s="372"/>
      <c r="T2845" s="364"/>
      <c r="U2845" s="264"/>
      <c r="V2845" s="463"/>
      <c r="X2845" s="463"/>
    </row>
    <row r="2846" spans="1:30" x14ac:dyDescent="0.4">
      <c r="A2846" s="402">
        <v>46132</v>
      </c>
      <c r="B2846" s="392" t="s">
        <v>58</v>
      </c>
      <c r="C2846" s="364" t="str">
        <f>VLOOKUP(B2846,'112年全品項生產鍋數'!A:H,2,0)</f>
        <v>PET大花生(1*400g)</v>
      </c>
      <c r="D2846" s="404">
        <v>20</v>
      </c>
      <c r="E2846" s="48">
        <f>VLOOKUP(B2846,'112年全品項生產鍋數'!A:H,3,0)</f>
        <v>0.4</v>
      </c>
      <c r="F2846" s="142">
        <f>VLOOKUP(B2846,'112年全品項生產鍋數'!A:H,7,0)</f>
        <v>309.2</v>
      </c>
      <c r="G2846" s="143">
        <f t="shared" si="436"/>
        <v>6184</v>
      </c>
      <c r="H2846" s="156">
        <v>6000</v>
      </c>
      <c r="I2846" s="371">
        <f t="shared" si="437"/>
        <v>2400</v>
      </c>
      <c r="J2846" s="100">
        <f t="shared" si="438"/>
        <v>0.97024579560155244</v>
      </c>
      <c r="K2846" s="51">
        <f>VLOOKUP(B:B,'生產達成率(目標)'!A:C,3,0)</f>
        <v>1</v>
      </c>
      <c r="L2846" s="20">
        <f t="shared" si="439"/>
        <v>-0.03</v>
      </c>
      <c r="M2846" s="137" t="str">
        <f>工時!R2030</f>
        <v>250</v>
      </c>
      <c r="N2846" s="374"/>
      <c r="O2846" s="374">
        <f t="shared" si="440"/>
        <v>3</v>
      </c>
      <c r="P2846" s="156">
        <v>5997</v>
      </c>
      <c r="Q2846" s="98">
        <f t="shared" si="441"/>
        <v>0.99950000000000006</v>
      </c>
      <c r="R2846" s="371"/>
      <c r="S2846" s="372"/>
      <c r="T2846" s="364"/>
      <c r="U2846" s="264"/>
      <c r="V2846" s="463"/>
      <c r="X2846" s="463"/>
    </row>
    <row r="2847" spans="1:30" x14ac:dyDescent="0.4">
      <c r="A2847" s="402">
        <v>46132</v>
      </c>
      <c r="B2847" s="392" t="s">
        <v>65</v>
      </c>
      <c r="C2847" s="364" t="str">
        <f>VLOOKUP(B2847,'112年全品項生產鍋數'!A:H,2,0)</f>
        <v>＃1花生(1*2.8kg)</v>
      </c>
      <c r="D2847" s="404">
        <v>32</v>
      </c>
      <c r="E2847" s="48">
        <f>VLOOKUP(B2847,'112年全品項生產鍋數'!A:H,3,0)</f>
        <v>2.8</v>
      </c>
      <c r="F2847" s="142">
        <f>VLOOKUP(B2847,'112年全品項生產鍋數'!A:H,7,0)</f>
        <v>44.5</v>
      </c>
      <c r="G2847" s="143">
        <f t="shared" ref="G2847:G2895" si="447">D2847*F2847</f>
        <v>1424</v>
      </c>
      <c r="H2847" s="156">
        <v>1434</v>
      </c>
      <c r="I2847" s="371">
        <f t="shared" ref="I2847:I2895" si="448">H2847*E2847</f>
        <v>4015.2</v>
      </c>
      <c r="J2847" s="100">
        <f t="shared" ref="J2847:J2895" si="449">IF(G2847=0,"無法預估數據",H2847/G2847)</f>
        <v>1.0070224719101124</v>
      </c>
      <c r="K2847" s="51">
        <f>VLOOKUP(B:B,'生產達成率(目標)'!A:C,3,0)</f>
        <v>1</v>
      </c>
      <c r="L2847" s="20">
        <f t="shared" ref="L2847:L2895" si="450">IF(G2847=0,"無法預估數據",ROUND(J2847-K2847,3))</f>
        <v>7.0000000000000001E-3</v>
      </c>
      <c r="M2847" s="137" t="str">
        <f>工時!R2031</f>
        <v>330</v>
      </c>
      <c r="N2847" s="374"/>
      <c r="O2847" s="374">
        <f t="shared" ref="O2847:O2895" si="451">H2847-N2847-P2847</f>
        <v>1</v>
      </c>
      <c r="P2847" s="156">
        <v>1433</v>
      </c>
      <c r="Q2847" s="98">
        <f t="shared" ref="Q2847:Q2895" si="452">P2847/H2847</f>
        <v>0.99930264993026496</v>
      </c>
      <c r="R2847" s="371"/>
      <c r="S2847" s="372"/>
      <c r="T2847" s="364"/>
      <c r="U2847" s="264"/>
      <c r="V2847" s="463"/>
      <c r="X2847" s="463"/>
    </row>
    <row r="2848" spans="1:30" x14ac:dyDescent="0.4">
      <c r="A2848" s="402">
        <v>46133</v>
      </c>
      <c r="B2848" s="392" t="s">
        <v>75</v>
      </c>
      <c r="C2848" s="364" t="str">
        <f>VLOOKUP(B2848,'112年全品項生產鍋數'!A:H,2,0)</f>
        <v>草莓椰果餡(1*6Kg)</v>
      </c>
      <c r="D2848" s="404">
        <v>12</v>
      </c>
      <c r="E2848" s="48">
        <f>VLOOKUP(B2848,'112年全品項生產鍋數'!A:H,3,0)</f>
        <v>6</v>
      </c>
      <c r="F2848" s="142">
        <f>VLOOKUP(B2848,'112年全品項生產鍋數'!A:H,7,0)</f>
        <v>26.4</v>
      </c>
      <c r="G2848" s="143">
        <f t="shared" si="447"/>
        <v>316.79999999999995</v>
      </c>
      <c r="H2848" s="156">
        <v>313</v>
      </c>
      <c r="I2848" s="371">
        <f t="shared" si="448"/>
        <v>1878</v>
      </c>
      <c r="J2848" s="100">
        <f t="shared" si="449"/>
        <v>0.98800505050505061</v>
      </c>
      <c r="K2848" s="51">
        <f>VLOOKUP(B:B,'生產達成率(目標)'!A:C,3,0)</f>
        <v>1</v>
      </c>
      <c r="L2848" s="20">
        <f t="shared" si="450"/>
        <v>-1.2E-2</v>
      </c>
      <c r="M2848" s="137" t="str">
        <f>工時!R2032</f>
        <v>160</v>
      </c>
      <c r="N2848" s="374"/>
      <c r="O2848" s="374">
        <f t="shared" si="451"/>
        <v>1</v>
      </c>
      <c r="P2848" s="156">
        <v>312</v>
      </c>
      <c r="Q2848" s="98">
        <f t="shared" si="452"/>
        <v>0.99680511182108622</v>
      </c>
      <c r="R2848" s="371"/>
      <c r="S2848" s="372"/>
      <c r="T2848" s="364"/>
      <c r="U2848" s="264"/>
      <c r="V2848" s="463"/>
      <c r="X2848" s="463"/>
    </row>
    <row r="2849" spans="1:30" x14ac:dyDescent="0.4">
      <c r="A2849" s="402">
        <v>46133</v>
      </c>
      <c r="B2849" s="392" t="s">
        <v>1045</v>
      </c>
      <c r="C2849" s="364" t="str">
        <f>VLOOKUP(B2849,'112年全品項生產鍋數'!A:H,2,0)</f>
        <v>芒果蜜桃醬(含桃丁)</v>
      </c>
      <c r="D2849" s="404">
        <v>12</v>
      </c>
      <c r="E2849" s="48">
        <f>VLOOKUP(B2849,'112年全品項生產鍋數'!A:H,3,0)</f>
        <v>6</v>
      </c>
      <c r="F2849" s="142">
        <f>VLOOKUP(B2849,'112年全品項生產鍋數'!A:H,7,0)</f>
        <v>0</v>
      </c>
      <c r="G2849" s="143">
        <f t="shared" si="447"/>
        <v>0</v>
      </c>
      <c r="H2849" s="156">
        <v>292</v>
      </c>
      <c r="I2849" s="371">
        <f t="shared" si="448"/>
        <v>1752</v>
      </c>
      <c r="J2849" s="100" t="str">
        <f t="shared" si="449"/>
        <v>無法預估數據</v>
      </c>
      <c r="K2849" s="51">
        <f>VLOOKUP(B:B,'生產達成率(目標)'!A:C,3,0)</f>
        <v>1</v>
      </c>
      <c r="L2849" s="20" t="str">
        <f t="shared" si="450"/>
        <v>無法預估數據</v>
      </c>
      <c r="M2849" s="137" t="str">
        <f>工時!R2033</f>
        <v>205</v>
      </c>
      <c r="N2849" s="374"/>
      <c r="O2849" s="374">
        <f t="shared" si="451"/>
        <v>2</v>
      </c>
      <c r="P2849" s="156">
        <v>290</v>
      </c>
      <c r="Q2849" s="98">
        <f t="shared" si="452"/>
        <v>0.99315068493150682</v>
      </c>
      <c r="R2849" s="371"/>
      <c r="S2849" s="372"/>
      <c r="T2849" s="364"/>
      <c r="U2849" s="264"/>
      <c r="V2849" s="463"/>
      <c r="X2849" s="463"/>
    </row>
    <row r="2850" spans="1:30" x14ac:dyDescent="0.4">
      <c r="A2850" s="402">
        <v>46133</v>
      </c>
      <c r="B2850" s="392" t="s">
        <v>63</v>
      </c>
      <c r="C2850" s="364" t="str">
        <f>VLOOKUP(B2850,'112年全品項生產鍋數'!A:H,2,0)</f>
        <v>草莓蒟蒻餡(1*6kg)</v>
      </c>
      <c r="D2850" s="404">
        <v>16</v>
      </c>
      <c r="E2850" s="48">
        <f>VLOOKUP(B2850,'112年全品項生產鍋數'!A:H,3,0)</f>
        <v>6</v>
      </c>
      <c r="F2850" s="142">
        <f>VLOOKUP(B2850,'112年全品項生產鍋數'!A:H,7,0)</f>
        <v>25.7</v>
      </c>
      <c r="G2850" s="143">
        <f t="shared" si="447"/>
        <v>411.2</v>
      </c>
      <c r="H2850" s="156">
        <f>198+210</f>
        <v>408</v>
      </c>
      <c r="I2850" s="371">
        <f t="shared" si="448"/>
        <v>2448</v>
      </c>
      <c r="J2850" s="100">
        <f t="shared" si="449"/>
        <v>0.99221789883268485</v>
      </c>
      <c r="K2850" s="51">
        <f>VLOOKUP(B:B,'生產達成率(目標)'!A:C,3,0)</f>
        <v>1</v>
      </c>
      <c r="L2850" s="20">
        <f t="shared" si="450"/>
        <v>-8.0000000000000002E-3</v>
      </c>
      <c r="M2850" s="137" t="str">
        <f>工時!R2034</f>
        <v>210</v>
      </c>
      <c r="N2850" s="374"/>
      <c r="O2850" s="374">
        <f t="shared" si="451"/>
        <v>1</v>
      </c>
      <c r="P2850" s="156">
        <f>197+210</f>
        <v>407</v>
      </c>
      <c r="Q2850" s="98">
        <f t="shared" si="452"/>
        <v>0.99754901960784315</v>
      </c>
      <c r="R2850" s="371"/>
      <c r="S2850" s="372"/>
      <c r="T2850" s="364"/>
      <c r="U2850" s="264"/>
      <c r="V2850" s="463"/>
      <c r="X2850" s="463"/>
    </row>
    <row r="2851" spans="1:30" x14ac:dyDescent="0.4">
      <c r="A2851" s="402">
        <v>46133</v>
      </c>
      <c r="B2851" s="392" t="s">
        <v>110</v>
      </c>
      <c r="C2851" s="364" t="str">
        <f>VLOOKUP(B2851,'112年全品項生產鍋數'!A:H,2,0)</f>
        <v>顆粒花生醬(1*12KG)</v>
      </c>
      <c r="D2851" s="404">
        <v>21</v>
      </c>
      <c r="E2851" s="48">
        <f>VLOOKUP(B2851,'112年全品項生產鍋數'!A:H,3,0)</f>
        <v>3</v>
      </c>
      <c r="F2851" s="142">
        <f>VLOOKUP(B2851,'112年全品項生產鍋數'!A:H,7,0)</f>
        <v>30.8</v>
      </c>
      <c r="G2851" s="143">
        <f t="shared" si="447"/>
        <v>646.80000000000007</v>
      </c>
      <c r="H2851" s="156">
        <v>660</v>
      </c>
      <c r="I2851" s="371">
        <f t="shared" si="448"/>
        <v>1980</v>
      </c>
      <c r="J2851" s="100">
        <f t="shared" si="449"/>
        <v>1.0204081632653059</v>
      </c>
      <c r="K2851" s="51">
        <f>VLOOKUP(B:B,'生產達成率(目標)'!A:C,3,0)</f>
        <v>1</v>
      </c>
      <c r="L2851" s="20">
        <f t="shared" si="450"/>
        <v>0.02</v>
      </c>
      <c r="M2851" s="137" t="str">
        <f>工時!R2035</f>
        <v>540</v>
      </c>
      <c r="N2851" s="374"/>
      <c r="O2851" s="374">
        <f t="shared" si="451"/>
        <v>0</v>
      </c>
      <c r="P2851" s="156">
        <v>660</v>
      </c>
      <c r="Q2851" s="98">
        <f t="shared" si="452"/>
        <v>1</v>
      </c>
      <c r="R2851" s="371" t="s">
        <v>1677</v>
      </c>
      <c r="S2851" s="372"/>
      <c r="T2851" s="364" t="s">
        <v>1678</v>
      </c>
      <c r="U2851" s="264"/>
      <c r="V2851" s="463"/>
      <c r="X2851" s="463"/>
    </row>
    <row r="2852" spans="1:30" x14ac:dyDescent="0.4">
      <c r="A2852" s="402">
        <v>46133</v>
      </c>
      <c r="B2852" s="392" t="s">
        <v>65</v>
      </c>
      <c r="C2852" s="364" t="str">
        <f>VLOOKUP(B2852,'112年全品項生產鍋數'!A:H,2,0)</f>
        <v>＃1花生(1*2.8kg)</v>
      </c>
      <c r="D2852" s="404">
        <v>68</v>
      </c>
      <c r="E2852" s="48">
        <f>VLOOKUP(B2852,'112年全品項生產鍋數'!A:H,3,0)</f>
        <v>2.8</v>
      </c>
      <c r="F2852" s="142">
        <f>VLOOKUP(B2852,'112年全品項生產鍋數'!A:H,7,0)</f>
        <v>44.5</v>
      </c>
      <c r="G2852" s="143">
        <f>D2852*F2852-25*18/2.8</f>
        <v>2865.2857142857142</v>
      </c>
      <c r="H2852" s="156">
        <v>2873</v>
      </c>
      <c r="I2852" s="371">
        <f t="shared" si="448"/>
        <v>8044.4</v>
      </c>
      <c r="J2852" s="100">
        <f t="shared" si="449"/>
        <v>1.0026923268684249</v>
      </c>
      <c r="K2852" s="51">
        <f>VLOOKUP(B:B,'生產達成率(目標)'!A:C,3,0)</f>
        <v>1</v>
      </c>
      <c r="L2852" s="20">
        <f t="shared" si="450"/>
        <v>3.0000000000000001E-3</v>
      </c>
      <c r="M2852" s="137" t="str">
        <f>工時!R2036</f>
        <v>520</v>
      </c>
      <c r="N2852" s="374"/>
      <c r="O2852" s="374">
        <f t="shared" si="451"/>
        <v>1</v>
      </c>
      <c r="P2852" s="156">
        <v>2872</v>
      </c>
      <c r="Q2852" s="98">
        <f t="shared" si="452"/>
        <v>0.99965193177862866</v>
      </c>
      <c r="R2852" s="371"/>
      <c r="S2852" s="372"/>
      <c r="T2852" s="364" t="s">
        <v>1183</v>
      </c>
      <c r="U2852" s="264"/>
      <c r="V2852" s="463"/>
      <c r="X2852" s="463"/>
    </row>
    <row r="2853" spans="1:30" x14ac:dyDescent="0.4">
      <c r="A2853" s="402">
        <v>46134</v>
      </c>
      <c r="B2853" s="392" t="s">
        <v>68</v>
      </c>
      <c r="C2853" s="364" t="str">
        <f>VLOOKUP(B2853,'112年全品項生產鍋數'!A:H,2,0)</f>
        <v>#2草莓果醬(1*900g)</v>
      </c>
      <c r="D2853" s="404">
        <v>40</v>
      </c>
      <c r="E2853" s="48">
        <f>VLOOKUP(B2853,'112年全品項生產鍋數'!A:H,3,0)</f>
        <v>0.9</v>
      </c>
      <c r="F2853" s="142">
        <f>VLOOKUP(B2853,'112年全品項生產鍋數'!A:H,7,0)</f>
        <v>160.5</v>
      </c>
      <c r="G2853" s="143">
        <f t="shared" si="447"/>
        <v>6420</v>
      </c>
      <c r="H2853" s="156">
        <f>5906+600</f>
        <v>6506</v>
      </c>
      <c r="I2853" s="371">
        <f t="shared" si="448"/>
        <v>5855.4000000000005</v>
      </c>
      <c r="J2853" s="100">
        <f t="shared" si="449"/>
        <v>1.0133956386292835</v>
      </c>
      <c r="K2853" s="51">
        <f>VLOOKUP(B:B,'生產達成率(目標)'!A:C,3,0)</f>
        <v>1</v>
      </c>
      <c r="L2853" s="20">
        <f t="shared" si="450"/>
        <v>1.2999999999999999E-2</v>
      </c>
      <c r="M2853" s="137" t="str">
        <f>工時!R2037</f>
        <v>540</v>
      </c>
      <c r="N2853" s="374"/>
      <c r="O2853" s="374">
        <f t="shared" si="451"/>
        <v>2</v>
      </c>
      <c r="P2853" s="156">
        <f>5904+600</f>
        <v>6504</v>
      </c>
      <c r="Q2853" s="98">
        <f t="shared" si="452"/>
        <v>0.99969259145404243</v>
      </c>
      <c r="R2853" s="371"/>
      <c r="S2853" s="372"/>
      <c r="T2853" s="364" t="s">
        <v>1671</v>
      </c>
      <c r="U2853" s="264"/>
      <c r="V2853" s="463"/>
      <c r="X2853" s="463"/>
    </row>
    <row r="2854" spans="1:30" x14ac:dyDescent="0.4">
      <c r="A2854" s="402">
        <v>46134</v>
      </c>
      <c r="B2854" s="392" t="s">
        <v>115</v>
      </c>
      <c r="C2854" s="364" t="str">
        <f>VLOOKUP(B2854,'112年全品項生產鍋數'!A:H,2,0)</f>
        <v>天天開心藍莓餡4.5KG</v>
      </c>
      <c r="D2854" s="404">
        <v>16</v>
      </c>
      <c r="E2854" s="48">
        <f>VLOOKUP(B2854,'112年全品項生產鍋數'!A:H,3,0)</f>
        <v>4.5</v>
      </c>
      <c r="F2854" s="142">
        <f>VLOOKUP(B2854,'112年全品項生產鍋數'!A:H,7,0)</f>
        <v>36.799999999999997</v>
      </c>
      <c r="G2854" s="143">
        <f t="shared" si="447"/>
        <v>588.79999999999995</v>
      </c>
      <c r="H2854" s="156">
        <v>590</v>
      </c>
      <c r="I2854" s="371">
        <f t="shared" si="448"/>
        <v>2655</v>
      </c>
      <c r="J2854" s="100">
        <f t="shared" si="449"/>
        <v>1.002038043478261</v>
      </c>
      <c r="K2854" s="51">
        <f>VLOOKUP(B:B,'生產達成率(目標)'!A:C,3,0)</f>
        <v>1</v>
      </c>
      <c r="L2854" s="20">
        <f t="shared" si="450"/>
        <v>2E-3</v>
      </c>
      <c r="M2854" s="137" t="str">
        <f>工時!R2038</f>
        <v>270</v>
      </c>
      <c r="N2854" s="374"/>
      <c r="O2854" s="374">
        <f t="shared" si="451"/>
        <v>0</v>
      </c>
      <c r="P2854" s="156">
        <v>590</v>
      </c>
      <c r="Q2854" s="98">
        <f t="shared" si="452"/>
        <v>1</v>
      </c>
      <c r="R2854" s="371"/>
      <c r="S2854" s="372"/>
      <c r="T2854" s="364" t="s">
        <v>1153</v>
      </c>
      <c r="U2854" s="264"/>
      <c r="V2854" s="463"/>
      <c r="X2854" s="463"/>
    </row>
    <row r="2855" spans="1:30" x14ac:dyDescent="0.4">
      <c r="A2855" s="402">
        <v>46134</v>
      </c>
      <c r="B2855" s="392" t="s">
        <v>130</v>
      </c>
      <c r="C2855" s="364" t="str">
        <f>VLOOKUP(B2855,'112年全品項生產鍋數'!A:H,2,0)</f>
        <v>天天開心柳橙餡4.5KG</v>
      </c>
      <c r="D2855" s="404">
        <v>12</v>
      </c>
      <c r="E2855" s="48">
        <f>VLOOKUP(B2855,'112年全品項生產鍋數'!A:H,3,0)</f>
        <v>4.5</v>
      </c>
      <c r="F2855" s="142">
        <f>VLOOKUP(B2855,'112年全品項生產鍋數'!A:H,7,0)</f>
        <v>34.9</v>
      </c>
      <c r="G2855" s="143">
        <f t="shared" si="447"/>
        <v>418.79999999999995</v>
      </c>
      <c r="H2855" s="156">
        <v>421</v>
      </c>
      <c r="I2855" s="371">
        <f t="shared" si="448"/>
        <v>1894.5</v>
      </c>
      <c r="J2855" s="100">
        <f t="shared" si="449"/>
        <v>1.0052531041069723</v>
      </c>
      <c r="K2855" s="51">
        <f>VLOOKUP(B:B,'生產達成率(目標)'!A:C,3,0)</f>
        <v>1</v>
      </c>
      <c r="L2855" s="20">
        <f t="shared" si="450"/>
        <v>5.0000000000000001E-3</v>
      </c>
      <c r="M2855" s="137" t="str">
        <f>工時!R2039</f>
        <v>213</v>
      </c>
      <c r="N2855" s="374"/>
      <c r="O2855" s="374">
        <f t="shared" si="451"/>
        <v>0</v>
      </c>
      <c r="P2855" s="156">
        <v>421</v>
      </c>
      <c r="Q2855" s="98">
        <f t="shared" si="452"/>
        <v>1</v>
      </c>
      <c r="R2855" s="371"/>
      <c r="S2855" s="372"/>
      <c r="T2855" s="364" t="s">
        <v>1153</v>
      </c>
      <c r="U2855" s="264"/>
      <c r="V2855" s="463"/>
      <c r="X2855" s="463"/>
    </row>
    <row r="2856" spans="1:30" x14ac:dyDescent="0.4">
      <c r="A2856" s="402">
        <v>46134</v>
      </c>
      <c r="B2856" s="392" t="s">
        <v>117</v>
      </c>
      <c r="C2856" s="364" t="str">
        <f>VLOOKUP(B2856,'112年全品項生產鍋數'!A:H,2,0)</f>
        <v>草莓餡(1*4.5Kg)</v>
      </c>
      <c r="D2856" s="404">
        <v>8</v>
      </c>
      <c r="E2856" s="48">
        <f>VLOOKUP(B2856,'112年全品項生產鍋數'!A:H,3,0)</f>
        <v>4.5</v>
      </c>
      <c r="F2856" s="142">
        <f>VLOOKUP(B2856,'112年全品項生產鍋數'!A:H,7,0)</f>
        <v>35.6</v>
      </c>
      <c r="G2856" s="143">
        <f t="shared" si="447"/>
        <v>284.8</v>
      </c>
      <c r="H2856" s="156">
        <v>274</v>
      </c>
      <c r="I2856" s="371">
        <f t="shared" si="448"/>
        <v>1233</v>
      </c>
      <c r="J2856" s="100">
        <f t="shared" si="449"/>
        <v>0.96207865168539319</v>
      </c>
      <c r="K2856" s="51">
        <f>VLOOKUP(B:B,'生產達成率(目標)'!A:C,3,0)</f>
        <v>1</v>
      </c>
      <c r="L2856" s="20">
        <f t="shared" si="450"/>
        <v>-3.7999999999999999E-2</v>
      </c>
      <c r="M2856" s="137" t="str">
        <f>工時!R2040</f>
        <v>190</v>
      </c>
      <c r="N2856" s="374"/>
      <c r="O2856" s="374">
        <f t="shared" si="451"/>
        <v>0</v>
      </c>
      <c r="P2856" s="156">
        <v>274</v>
      </c>
      <c r="Q2856" s="98">
        <f t="shared" si="452"/>
        <v>1</v>
      </c>
      <c r="R2856" s="371"/>
      <c r="S2856" s="372"/>
      <c r="T2856" s="364" t="s">
        <v>1153</v>
      </c>
      <c r="U2856" s="264"/>
      <c r="V2856" s="463"/>
      <c r="X2856" s="463"/>
    </row>
    <row r="2857" spans="1:30" x14ac:dyDescent="0.4">
      <c r="A2857" s="402">
        <v>46134</v>
      </c>
      <c r="B2857" s="392" t="s">
        <v>65</v>
      </c>
      <c r="C2857" s="364" t="str">
        <f>VLOOKUP(B2857,'112年全品項生產鍋數'!A:H,2,0)</f>
        <v>＃1花生(1*2.8kg)</v>
      </c>
      <c r="D2857" s="404">
        <v>68</v>
      </c>
      <c r="E2857" s="48">
        <f>VLOOKUP(B2857,'112年全品項生產鍋數'!A:H,3,0)</f>
        <v>2.8</v>
      </c>
      <c r="F2857" s="142">
        <f>VLOOKUP(B2857,'112年全品項生產鍋數'!A:H,7,0)</f>
        <v>44.5</v>
      </c>
      <c r="G2857" s="143">
        <f t="shared" si="447"/>
        <v>3026</v>
      </c>
      <c r="H2857" s="156">
        <v>3032</v>
      </c>
      <c r="I2857" s="371">
        <f t="shared" si="448"/>
        <v>8489.6</v>
      </c>
      <c r="J2857" s="100">
        <f t="shared" si="449"/>
        <v>1.0019828155981494</v>
      </c>
      <c r="K2857" s="51">
        <f>VLOOKUP(B:B,'生產達成率(目標)'!A:C,3,0)</f>
        <v>1</v>
      </c>
      <c r="L2857" s="20">
        <f t="shared" si="450"/>
        <v>2E-3</v>
      </c>
      <c r="M2857" s="137" t="str">
        <f>工時!R2041</f>
        <v>500</v>
      </c>
      <c r="N2857" s="374"/>
      <c r="O2857" s="374">
        <f t="shared" si="451"/>
        <v>1</v>
      </c>
      <c r="P2857" s="156">
        <v>3031</v>
      </c>
      <c r="Q2857" s="98">
        <f t="shared" si="452"/>
        <v>0.99967018469656987</v>
      </c>
      <c r="R2857" s="371"/>
      <c r="S2857" s="372"/>
      <c r="T2857" s="364" t="s">
        <v>1153</v>
      </c>
      <c r="U2857" s="264"/>
      <c r="V2857" s="463"/>
      <c r="X2857" s="463"/>
    </row>
    <row r="2858" spans="1:30" x14ac:dyDescent="0.4">
      <c r="A2858" s="402">
        <v>46135</v>
      </c>
      <c r="B2858" s="392" t="s">
        <v>109</v>
      </c>
      <c r="C2858" s="364" t="str">
        <f>VLOOKUP(B2858,'112年全品項生產鍋數'!A:H,2,0)</f>
        <v>蔓越莓醬(1*6KG)</v>
      </c>
      <c r="D2858" s="404">
        <v>12</v>
      </c>
      <c r="E2858" s="48">
        <f>VLOOKUP(B2858,'112年全品項生產鍋數'!A:H,3,0)</f>
        <v>6</v>
      </c>
      <c r="F2858" s="142">
        <f>VLOOKUP(B2858,'112年全品項生產鍋數'!A:H,7,0)</f>
        <v>25.6</v>
      </c>
      <c r="G2858" s="143">
        <f t="shared" si="447"/>
        <v>307.20000000000005</v>
      </c>
      <c r="H2858" s="156">
        <v>307</v>
      </c>
      <c r="I2858" s="371">
        <f t="shared" si="448"/>
        <v>1842</v>
      </c>
      <c r="J2858" s="100">
        <f t="shared" si="449"/>
        <v>0.99934895833333315</v>
      </c>
      <c r="K2858" s="51">
        <f>VLOOKUP(B:B,'生產達成率(目標)'!A:C,3,0)</f>
        <v>1</v>
      </c>
      <c r="L2858" s="20">
        <f t="shared" si="450"/>
        <v>-1E-3</v>
      </c>
      <c r="M2858" s="137" t="str">
        <f>工時!R2042</f>
        <v>125</v>
      </c>
      <c r="N2858" s="374"/>
      <c r="O2858" s="374">
        <f t="shared" si="451"/>
        <v>1</v>
      </c>
      <c r="P2858" s="156">
        <v>306</v>
      </c>
      <c r="Q2858" s="98">
        <f t="shared" si="452"/>
        <v>0.99674267100977199</v>
      </c>
      <c r="R2858" s="371"/>
      <c r="S2858" s="372"/>
      <c r="T2858" s="364" t="s">
        <v>1153</v>
      </c>
      <c r="U2858" s="264"/>
      <c r="V2858" s="463"/>
      <c r="X2858" s="463"/>
    </row>
    <row r="2859" spans="1:30" x14ac:dyDescent="0.4">
      <c r="A2859" s="402">
        <v>46135</v>
      </c>
      <c r="B2859" s="392" t="s">
        <v>54</v>
      </c>
      <c r="C2859" s="364" t="str">
        <f>VLOOKUP(B2859,'112年全品項生產鍋數'!A:H,2,0)</f>
        <v>草莓醬(1*6kg)</v>
      </c>
      <c r="D2859" s="404">
        <v>28</v>
      </c>
      <c r="E2859" s="48">
        <f>VLOOKUP(B2859,'112年全品項生產鍋數'!A:H,3,0)</f>
        <v>6</v>
      </c>
      <c r="F2859" s="142">
        <f>VLOOKUP(B2859,'112年全品項生產鍋數'!A:H,7,0)</f>
        <v>26.6</v>
      </c>
      <c r="G2859" s="143">
        <f t="shared" si="447"/>
        <v>744.80000000000007</v>
      </c>
      <c r="H2859" s="156">
        <v>722</v>
      </c>
      <c r="I2859" s="371">
        <f t="shared" si="448"/>
        <v>4332</v>
      </c>
      <c r="J2859" s="100">
        <f t="shared" si="449"/>
        <v>0.96938775510204078</v>
      </c>
      <c r="K2859" s="51">
        <f>VLOOKUP(B:B,'生產達成率(目標)'!A:C,3,0)</f>
        <v>1</v>
      </c>
      <c r="L2859" s="20">
        <f t="shared" si="450"/>
        <v>-3.1E-2</v>
      </c>
      <c r="M2859" s="137" t="str">
        <f>工時!R2043</f>
        <v>400</v>
      </c>
      <c r="N2859" s="374"/>
      <c r="O2859" s="374">
        <f t="shared" si="451"/>
        <v>1</v>
      </c>
      <c r="P2859" s="156">
        <v>721</v>
      </c>
      <c r="Q2859" s="98">
        <f t="shared" si="452"/>
        <v>0.99861495844875348</v>
      </c>
      <c r="R2859" s="371"/>
      <c r="S2859" s="372"/>
      <c r="T2859" s="364" t="s">
        <v>1153</v>
      </c>
      <c r="U2859" s="264"/>
      <c r="V2859" s="463"/>
      <c r="X2859" s="463"/>
    </row>
    <row r="2860" spans="1:30" x14ac:dyDescent="0.4">
      <c r="A2860" s="402">
        <v>46135</v>
      </c>
      <c r="B2860" s="392" t="s">
        <v>101</v>
      </c>
      <c r="C2860" s="364" t="str">
        <f>VLOOKUP(B2860,'112年全品項生產鍋數'!A:H,2,0)</f>
        <v>上好佳綜合莓餡4.5KG</v>
      </c>
      <c r="D2860" s="404">
        <v>3</v>
      </c>
      <c r="E2860" s="48">
        <f>VLOOKUP(B2860,'112年全品項生產鍋數'!A:H,3,0)</f>
        <v>4.5</v>
      </c>
      <c r="F2860" s="142">
        <f>VLOOKUP(B2860,'112年全品項生產鍋數'!A:H,7,0)</f>
        <v>32.799999999999997</v>
      </c>
      <c r="G2860" s="143">
        <f t="shared" si="447"/>
        <v>98.399999999999991</v>
      </c>
      <c r="H2860" s="156">
        <v>96</v>
      </c>
      <c r="I2860" s="371">
        <f t="shared" si="448"/>
        <v>432</v>
      </c>
      <c r="J2860" s="100">
        <f t="shared" si="449"/>
        <v>0.97560975609756106</v>
      </c>
      <c r="K2860" s="51">
        <f>VLOOKUP(B:B,'生產達成率(目標)'!A:C,3,0)</f>
        <v>1</v>
      </c>
      <c r="L2860" s="20">
        <f t="shared" si="450"/>
        <v>-2.4E-2</v>
      </c>
      <c r="M2860" s="137" t="str">
        <f>工時!R2044</f>
        <v>165</v>
      </c>
      <c r="N2860" s="374"/>
      <c r="O2860" s="374">
        <f t="shared" si="451"/>
        <v>0</v>
      </c>
      <c r="P2860" s="156">
        <v>96</v>
      </c>
      <c r="Q2860" s="98">
        <f t="shared" si="452"/>
        <v>1</v>
      </c>
      <c r="R2860" s="371"/>
      <c r="S2860" s="372"/>
      <c r="T2860" s="364" t="s">
        <v>1153</v>
      </c>
      <c r="U2860" s="264"/>
      <c r="V2860" s="463"/>
      <c r="X2860" s="463"/>
    </row>
    <row r="2861" spans="1:30" x14ac:dyDescent="0.4">
      <c r="A2861" s="402">
        <v>46135</v>
      </c>
      <c r="B2861" s="392" t="s">
        <v>55</v>
      </c>
      <c r="C2861" s="364" t="str">
        <f>VLOOKUP(B2861,'112年全品項生產鍋數'!A:H,2,0)</f>
        <v>天天開心草莓餡4.5KG</v>
      </c>
      <c r="D2861" s="404">
        <v>32</v>
      </c>
      <c r="E2861" s="48">
        <f>VLOOKUP(B2861,'112年全品項生產鍋數'!A:H,3,0)</f>
        <v>4.5</v>
      </c>
      <c r="F2861" s="142">
        <f>VLOOKUP(B2861,'112年全品項生產鍋數'!A:H,7,0)</f>
        <v>36.299999999999997</v>
      </c>
      <c r="G2861" s="143">
        <f t="shared" si="447"/>
        <v>1161.5999999999999</v>
      </c>
      <c r="H2861" s="156">
        <v>1157</v>
      </c>
      <c r="I2861" s="371">
        <f t="shared" si="448"/>
        <v>5206.5</v>
      </c>
      <c r="J2861" s="100">
        <f t="shared" si="449"/>
        <v>0.99603994490358139</v>
      </c>
      <c r="K2861" s="51">
        <f>VLOOKUP(B:B,'生產達成率(目標)'!A:C,3,0)</f>
        <v>1</v>
      </c>
      <c r="L2861" s="20">
        <f t="shared" si="450"/>
        <v>-4.0000000000000001E-3</v>
      </c>
      <c r="M2861" s="137" t="str">
        <f>工時!R2045</f>
        <v>460</v>
      </c>
      <c r="N2861" s="374"/>
      <c r="O2861" s="374">
        <f t="shared" si="451"/>
        <v>0</v>
      </c>
      <c r="P2861" s="156">
        <v>1157</v>
      </c>
      <c r="Q2861" s="98">
        <f t="shared" si="452"/>
        <v>1</v>
      </c>
      <c r="R2861" s="371"/>
      <c r="S2861" s="372"/>
      <c r="T2861" s="364"/>
      <c r="U2861" s="264"/>
      <c r="V2861" s="463"/>
      <c r="X2861" s="463"/>
    </row>
    <row r="2862" spans="1:30" x14ac:dyDescent="0.4">
      <c r="A2862" s="402">
        <v>46135</v>
      </c>
      <c r="B2862" s="392" t="s">
        <v>65</v>
      </c>
      <c r="C2862" s="364" t="str">
        <f>VLOOKUP(B2862,'112年全品項生產鍋數'!A:H,2,0)</f>
        <v>＃1花生(1*2.8kg)</v>
      </c>
      <c r="D2862" s="404">
        <v>68</v>
      </c>
      <c r="E2862" s="48">
        <f>VLOOKUP(B2862,'112年全品項生產鍋數'!A:H,3,0)</f>
        <v>2.8</v>
      </c>
      <c r="F2862" s="142">
        <f>VLOOKUP(B2862,'112年全品項生產鍋數'!A:H,7,0)</f>
        <v>44.5</v>
      </c>
      <c r="G2862" s="143">
        <f t="shared" si="447"/>
        <v>3026</v>
      </c>
      <c r="H2862" s="156">
        <v>3030</v>
      </c>
      <c r="I2862" s="371">
        <f t="shared" si="448"/>
        <v>8484</v>
      </c>
      <c r="J2862" s="100">
        <f t="shared" si="449"/>
        <v>1.0013218770654329</v>
      </c>
      <c r="K2862" s="51">
        <f>VLOOKUP(B:B,'生產達成率(目標)'!A:C,3,0)</f>
        <v>1</v>
      </c>
      <c r="L2862" s="20">
        <f t="shared" si="450"/>
        <v>1E-3</v>
      </c>
      <c r="M2862" s="137" t="str">
        <f>工時!R2046</f>
        <v>490</v>
      </c>
      <c r="N2862" s="374"/>
      <c r="O2862" s="374">
        <f t="shared" si="451"/>
        <v>1</v>
      </c>
      <c r="P2862" s="156">
        <v>3029</v>
      </c>
      <c r="Q2862" s="98">
        <f t="shared" si="452"/>
        <v>0.99966996699669963</v>
      </c>
      <c r="R2862" s="371"/>
      <c r="S2862" s="372"/>
      <c r="T2862" s="364" t="s">
        <v>1153</v>
      </c>
      <c r="U2862" s="264"/>
      <c r="V2862" s="463"/>
      <c r="X2862" s="463"/>
    </row>
    <row r="2863" spans="1:30" s="381" customFormat="1" x14ac:dyDescent="0.4">
      <c r="A2863" s="402">
        <v>46136</v>
      </c>
      <c r="B2863" s="392" t="s">
        <v>71</v>
      </c>
      <c r="C2863" s="375" t="str">
        <f>VLOOKUP(B2863,'112年全品項生產鍋數'!A:H,2,0)</f>
        <v>＃1草莓(1*3.2kg)</v>
      </c>
      <c r="D2863" s="406">
        <v>72</v>
      </c>
      <c r="E2863" s="141">
        <f>VLOOKUP(B2863,'112年全品項生產鍋數'!A:H,3,0)</f>
        <v>3.2</v>
      </c>
      <c r="F2863" s="142">
        <f>VLOOKUP(B2863,'112年全品項生產鍋數'!A:H,7,0)</f>
        <v>46.8</v>
      </c>
      <c r="G2863" s="143">
        <f t="shared" si="447"/>
        <v>3369.6</v>
      </c>
      <c r="H2863" s="156">
        <v>3390</v>
      </c>
      <c r="I2863" s="374">
        <f t="shared" si="448"/>
        <v>10848</v>
      </c>
      <c r="J2863" s="100">
        <f t="shared" si="449"/>
        <v>1.0060541310541311</v>
      </c>
      <c r="K2863" s="51">
        <f>VLOOKUP(B:B,'生產達成率(目標)'!A:C,3,0)</f>
        <v>1</v>
      </c>
      <c r="L2863" s="20">
        <f t="shared" si="450"/>
        <v>6.0000000000000001E-3</v>
      </c>
      <c r="M2863" s="137" t="str">
        <f>工時!R2047</f>
        <v>540</v>
      </c>
      <c r="N2863" s="374"/>
      <c r="O2863" s="374">
        <f t="shared" si="451"/>
        <v>2</v>
      </c>
      <c r="P2863" s="156">
        <v>3388</v>
      </c>
      <c r="Q2863" s="145">
        <f t="shared" si="452"/>
        <v>0.99941002949852509</v>
      </c>
      <c r="R2863" s="374"/>
      <c r="S2863" s="378"/>
      <c r="T2863" s="375" t="s">
        <v>1153</v>
      </c>
      <c r="U2863" s="398"/>
      <c r="V2863" s="464"/>
      <c r="W2863" s="421"/>
      <c r="X2863" s="464"/>
      <c r="Y2863" s="421"/>
      <c r="Z2863" s="421"/>
      <c r="AA2863" s="421"/>
      <c r="AB2863" s="421"/>
      <c r="AC2863" s="421"/>
      <c r="AD2863" s="421"/>
    </row>
    <row r="2864" spans="1:30" s="381" customFormat="1" x14ac:dyDescent="0.4">
      <c r="A2864" s="402">
        <v>46136</v>
      </c>
      <c r="B2864" s="392" t="s">
        <v>63</v>
      </c>
      <c r="C2864" s="375" t="str">
        <f>VLOOKUP(B2864,'112年全品項生產鍋數'!A:H,2,0)</f>
        <v>草莓蒟蒻餡(1*6kg)</v>
      </c>
      <c r="D2864" s="406">
        <v>20</v>
      </c>
      <c r="E2864" s="141">
        <f>VLOOKUP(B2864,'112年全品項生產鍋數'!A:H,3,0)</f>
        <v>6</v>
      </c>
      <c r="F2864" s="142">
        <f>VLOOKUP(B2864,'112年全品項生產鍋數'!A:H,7,0)</f>
        <v>25.7</v>
      </c>
      <c r="G2864" s="143">
        <f t="shared" si="447"/>
        <v>514</v>
      </c>
      <c r="H2864" s="156">
        <f>305+207</f>
        <v>512</v>
      </c>
      <c r="I2864" s="374">
        <f t="shared" si="448"/>
        <v>3072</v>
      </c>
      <c r="J2864" s="100">
        <f t="shared" si="449"/>
        <v>0.99610894941634243</v>
      </c>
      <c r="K2864" s="51">
        <f>VLOOKUP(B:B,'生產達成率(目標)'!A:C,3,0)</f>
        <v>1</v>
      </c>
      <c r="L2864" s="20">
        <f t="shared" si="450"/>
        <v>-4.0000000000000001E-3</v>
      </c>
      <c r="M2864" s="137" t="str">
        <f>工時!R2048</f>
        <v>275</v>
      </c>
      <c r="N2864" s="374"/>
      <c r="O2864" s="374">
        <f t="shared" si="451"/>
        <v>1</v>
      </c>
      <c r="P2864" s="156">
        <f>304+207</f>
        <v>511</v>
      </c>
      <c r="Q2864" s="145">
        <f t="shared" si="452"/>
        <v>0.998046875</v>
      </c>
      <c r="R2864" s="374"/>
      <c r="S2864" s="378"/>
      <c r="T2864" s="375"/>
      <c r="U2864" s="398"/>
      <c r="V2864" s="464"/>
      <c r="W2864" s="421"/>
      <c r="X2864" s="464"/>
      <c r="Y2864" s="421"/>
      <c r="Z2864" s="421"/>
      <c r="AA2864" s="421"/>
      <c r="AB2864" s="421"/>
      <c r="AC2864" s="421"/>
      <c r="AD2864" s="421"/>
    </row>
    <row r="2865" spans="1:30" s="381" customFormat="1" x14ac:dyDescent="0.4">
      <c r="A2865" s="402">
        <v>46136</v>
      </c>
      <c r="B2865" s="392" t="s">
        <v>64</v>
      </c>
      <c r="C2865" s="375" t="str">
        <f>VLOOKUP(B2865,'112年全品項生產鍋數'!A:H,2,0)</f>
        <v>藍莓餡(1*6KG)</v>
      </c>
      <c r="D2865" s="406">
        <v>18</v>
      </c>
      <c r="E2865" s="141">
        <f>VLOOKUP(B2865,'112年全品項生產鍋數'!A:H,3,0)</f>
        <v>6</v>
      </c>
      <c r="F2865" s="142">
        <f>VLOOKUP(B2865,'112年全品項生產鍋數'!A:H,7,0)</f>
        <v>25.4</v>
      </c>
      <c r="G2865" s="143">
        <f t="shared" si="447"/>
        <v>457.2</v>
      </c>
      <c r="H2865" s="156">
        <f>294+161</f>
        <v>455</v>
      </c>
      <c r="I2865" s="374">
        <f t="shared" si="448"/>
        <v>2730</v>
      </c>
      <c r="J2865" s="100">
        <f t="shared" si="449"/>
        <v>0.99518810148731407</v>
      </c>
      <c r="K2865" s="51">
        <f>VLOOKUP(B:B,'生產達成率(目標)'!A:C,3,0)</f>
        <v>1</v>
      </c>
      <c r="L2865" s="20">
        <f t="shared" si="450"/>
        <v>-5.0000000000000001E-3</v>
      </c>
      <c r="M2865" s="137" t="str">
        <f>工時!R2049</f>
        <v>265</v>
      </c>
      <c r="N2865" s="374"/>
      <c r="O2865" s="374">
        <f t="shared" si="451"/>
        <v>1</v>
      </c>
      <c r="P2865" s="156">
        <f>293+161</f>
        <v>454</v>
      </c>
      <c r="Q2865" s="145">
        <f t="shared" si="452"/>
        <v>0.99780219780219781</v>
      </c>
      <c r="R2865" s="374"/>
      <c r="S2865" s="378"/>
      <c r="T2865" s="375"/>
      <c r="U2865" s="398"/>
      <c r="V2865" s="464"/>
      <c r="W2865" s="421"/>
      <c r="X2865" s="464"/>
      <c r="Y2865" s="421"/>
      <c r="Z2865" s="421"/>
      <c r="AA2865" s="421"/>
      <c r="AB2865" s="421"/>
      <c r="AC2865" s="421"/>
      <c r="AD2865" s="421"/>
    </row>
    <row r="2866" spans="1:30" s="381" customFormat="1" x14ac:dyDescent="0.4">
      <c r="A2866" s="402">
        <v>46136</v>
      </c>
      <c r="B2866" s="392" t="s">
        <v>66</v>
      </c>
      <c r="C2866" s="375" t="str">
        <f>VLOOKUP(B2866,'112年全品項生產鍋數'!A:H,2,0)</f>
        <v>＃2花生(1*800g)</v>
      </c>
      <c r="D2866" s="406">
        <v>20</v>
      </c>
      <c r="E2866" s="141">
        <f>VLOOKUP(B2866,'112年全品項生產鍋數'!A:H,3,0)</f>
        <v>0.8</v>
      </c>
      <c r="F2866" s="142">
        <f>VLOOKUP(B2866,'112年全品項生產鍋數'!A:H,7,0)</f>
        <v>157.69999999999999</v>
      </c>
      <c r="G2866" s="143">
        <f t="shared" si="447"/>
        <v>3154</v>
      </c>
      <c r="H2866" s="156">
        <v>3126</v>
      </c>
      <c r="I2866" s="374">
        <f t="shared" si="448"/>
        <v>2500.8000000000002</v>
      </c>
      <c r="J2866" s="100">
        <f t="shared" si="449"/>
        <v>0.99112238427393784</v>
      </c>
      <c r="K2866" s="51">
        <f>VLOOKUP(B:B,'生產達成率(目標)'!A:C,3,0)</f>
        <v>1</v>
      </c>
      <c r="L2866" s="20">
        <f t="shared" si="450"/>
        <v>-8.9999999999999993E-3</v>
      </c>
      <c r="M2866" s="137" t="str">
        <f>工時!R2050</f>
        <v>285</v>
      </c>
      <c r="N2866" s="374"/>
      <c r="O2866" s="374">
        <f t="shared" si="451"/>
        <v>2</v>
      </c>
      <c r="P2866" s="156">
        <v>3124</v>
      </c>
      <c r="Q2866" s="145">
        <f t="shared" si="452"/>
        <v>0.99936020473448495</v>
      </c>
      <c r="R2866" s="374"/>
      <c r="S2866" s="378"/>
      <c r="T2866" s="375" t="s">
        <v>1153</v>
      </c>
      <c r="U2866" s="398"/>
      <c r="V2866" s="464"/>
      <c r="W2866" s="421"/>
      <c r="X2866" s="464"/>
      <c r="Y2866" s="421"/>
      <c r="Z2866" s="421"/>
      <c r="AA2866" s="421"/>
      <c r="AB2866" s="421"/>
      <c r="AC2866" s="421"/>
      <c r="AD2866" s="421"/>
    </row>
    <row r="2867" spans="1:30" x14ac:dyDescent="0.4">
      <c r="A2867" s="402">
        <v>46136</v>
      </c>
      <c r="B2867" s="392" t="s">
        <v>536</v>
      </c>
      <c r="C2867" s="364" t="str">
        <f>VLOOKUP(B2867,'112年全品項生產鍋數'!A:H,2,0)</f>
        <v>花生醬(1*3.5KG)</v>
      </c>
      <c r="D2867" s="404">
        <v>3</v>
      </c>
      <c r="E2867" s="48">
        <f>VLOOKUP(B2867,'112年全品項生產鍋數'!A:H,3,0)</f>
        <v>3.5</v>
      </c>
      <c r="F2867" s="142">
        <f>VLOOKUP(B2867,'112年全品項生產鍋數'!A:H,7,0)</f>
        <v>25.4</v>
      </c>
      <c r="G2867" s="143">
        <f t="shared" si="447"/>
        <v>76.199999999999989</v>
      </c>
      <c r="H2867" s="156">
        <v>99</v>
      </c>
      <c r="I2867" s="371">
        <f t="shared" si="448"/>
        <v>346.5</v>
      </c>
      <c r="J2867" s="100">
        <f t="shared" si="449"/>
        <v>1.299212598425197</v>
      </c>
      <c r="K2867" s="51">
        <f>VLOOKUP(B:B,'生產達成率(目標)'!A:C,3,0)</f>
        <v>1</v>
      </c>
      <c r="L2867" s="20">
        <f t="shared" si="450"/>
        <v>0.29899999999999999</v>
      </c>
      <c r="M2867" s="137" t="str">
        <f>工時!R2051</f>
        <v>300</v>
      </c>
      <c r="N2867" s="374"/>
      <c r="O2867" s="374">
        <f t="shared" si="451"/>
        <v>0</v>
      </c>
      <c r="P2867" s="156">
        <v>99</v>
      </c>
      <c r="Q2867" s="98">
        <f t="shared" si="452"/>
        <v>1</v>
      </c>
      <c r="R2867" s="371"/>
      <c r="S2867" s="372"/>
      <c r="T2867" s="364" t="s">
        <v>1153</v>
      </c>
      <c r="U2867" s="264"/>
      <c r="V2867" s="463"/>
      <c r="X2867" s="463"/>
    </row>
    <row r="2868" spans="1:30" x14ac:dyDescent="0.4">
      <c r="A2868" s="402">
        <v>46136</v>
      </c>
      <c r="B2868" s="392" t="s">
        <v>1669</v>
      </c>
      <c r="C2868" s="364" t="str">
        <f>VLOOKUP(B2868,'112年全品項生產鍋數'!A:H,2,0)</f>
        <v>花生醬(1*3.5KG)</v>
      </c>
      <c r="D2868" s="404">
        <v>3</v>
      </c>
      <c r="E2868" s="48">
        <f>VLOOKUP(B2868,'112年全品項生產鍋數'!A:H,3,0)</f>
        <v>3.5</v>
      </c>
      <c r="F2868" s="142">
        <f>VLOOKUP(B2868,'112年全品項生產鍋數'!A:H,7,0)</f>
        <v>25.4</v>
      </c>
      <c r="G2868" s="143">
        <f t="shared" si="447"/>
        <v>76.199999999999989</v>
      </c>
      <c r="H2868" s="156">
        <v>51</v>
      </c>
      <c r="I2868" s="371">
        <f t="shared" si="448"/>
        <v>178.5</v>
      </c>
      <c r="J2868" s="100">
        <f t="shared" si="449"/>
        <v>0.66929133858267731</v>
      </c>
      <c r="K2868" s="51" t="e">
        <f>VLOOKUP(B:B,'生產達成率(目標)'!A:C,3,0)</f>
        <v>#N/A</v>
      </c>
      <c r="L2868" s="20" t="e">
        <f t="shared" si="450"/>
        <v>#N/A</v>
      </c>
      <c r="M2868" s="137" t="str">
        <f>工時!R2052</f>
        <v>240</v>
      </c>
      <c r="N2868" s="374"/>
      <c r="O2868" s="374">
        <f t="shared" si="451"/>
        <v>0</v>
      </c>
      <c r="P2868" s="156">
        <v>51</v>
      </c>
      <c r="Q2868" s="98">
        <f t="shared" si="452"/>
        <v>1</v>
      </c>
      <c r="R2868" s="371"/>
      <c r="S2868" s="372"/>
      <c r="T2868" s="364" t="s">
        <v>1670</v>
      </c>
      <c r="U2868" s="264"/>
      <c r="V2868" s="463"/>
      <c r="X2868" s="463"/>
    </row>
    <row r="2869" spans="1:30" x14ac:dyDescent="0.4">
      <c r="A2869" s="402">
        <v>46139</v>
      </c>
      <c r="B2869" s="392" t="s">
        <v>106</v>
      </c>
      <c r="C2869" s="364" t="str">
        <f>VLOOKUP(B2869,'112年全品項生產鍋數'!A:H,2,0)</f>
        <v>小藍莓1*260G</v>
      </c>
      <c r="D2869" s="418">
        <v>8</v>
      </c>
      <c r="E2869" s="48">
        <f>VLOOKUP(B2869,'112年全品項生產鍋數'!A:H,3,0)</f>
        <v>0.26</v>
      </c>
      <c r="F2869" s="142">
        <f>VLOOKUP(B2869,'112年全品項生產鍋數'!A:H,7,0)</f>
        <v>584.29999999999995</v>
      </c>
      <c r="G2869" s="143">
        <f t="shared" si="447"/>
        <v>4674.3999999999996</v>
      </c>
      <c r="H2869" s="156">
        <v>4535</v>
      </c>
      <c r="I2869" s="371">
        <f t="shared" si="448"/>
        <v>1179.1000000000001</v>
      </c>
      <c r="J2869" s="100">
        <f t="shared" si="449"/>
        <v>0.97017799075817224</v>
      </c>
      <c r="K2869" s="51">
        <f>VLOOKUP(B:B,'生產達成率(目標)'!A:C,3,0)</f>
        <v>1</v>
      </c>
      <c r="L2869" s="20">
        <f t="shared" si="450"/>
        <v>-0.03</v>
      </c>
      <c r="M2869" s="137" t="str">
        <f>工時!R2053</f>
        <v>540</v>
      </c>
      <c r="N2869" s="374"/>
      <c r="O2869" s="374">
        <f t="shared" si="451"/>
        <v>4</v>
      </c>
      <c r="P2869" s="156">
        <v>4531</v>
      </c>
      <c r="Q2869" s="98">
        <f t="shared" si="452"/>
        <v>0.99911797133406832</v>
      </c>
      <c r="R2869" s="371" t="s">
        <v>1675</v>
      </c>
      <c r="S2869" s="372"/>
      <c r="T2869" s="364" t="s">
        <v>1676</v>
      </c>
      <c r="U2869" s="264"/>
      <c r="V2869" s="463"/>
      <c r="X2869" s="463"/>
    </row>
    <row r="2870" spans="1:30" x14ac:dyDescent="0.4">
      <c r="A2870" s="402">
        <v>46139</v>
      </c>
      <c r="B2870" s="392" t="s">
        <v>53</v>
      </c>
      <c r="C2870" s="364" t="str">
        <f>VLOOKUP(B2870,'112年全品項生產鍋數'!A:H,2,0)</f>
        <v>鳳梨芒果百香果醬(1*6KG)</v>
      </c>
      <c r="D2870" s="404">
        <v>6</v>
      </c>
      <c r="E2870" s="48">
        <f>VLOOKUP(B2870,'112年全品項生產鍋數'!A:H,3,0)</f>
        <v>6</v>
      </c>
      <c r="F2870" s="142">
        <f>VLOOKUP(B2870,'112年全品項生產鍋數'!A:H,7,0)</f>
        <v>25.7</v>
      </c>
      <c r="G2870" s="143">
        <f t="shared" si="447"/>
        <v>154.19999999999999</v>
      </c>
      <c r="H2870" s="156">
        <v>152</v>
      </c>
      <c r="I2870" s="371">
        <f t="shared" si="448"/>
        <v>912</v>
      </c>
      <c r="J2870" s="100">
        <f t="shared" si="449"/>
        <v>0.9857328145265889</v>
      </c>
      <c r="K2870" s="51">
        <f>VLOOKUP(B:B,'生產達成率(目標)'!A:C,3,0)</f>
        <v>1</v>
      </c>
      <c r="L2870" s="20">
        <f t="shared" si="450"/>
        <v>-1.4E-2</v>
      </c>
      <c r="M2870" s="137" t="str">
        <f>工時!R2054</f>
        <v>90</v>
      </c>
      <c r="N2870" s="374"/>
      <c r="O2870" s="374">
        <f t="shared" si="451"/>
        <v>2</v>
      </c>
      <c r="P2870" s="156">
        <v>150</v>
      </c>
      <c r="Q2870" s="98">
        <f t="shared" si="452"/>
        <v>0.98684210526315785</v>
      </c>
      <c r="R2870" s="371"/>
      <c r="S2870" s="372"/>
      <c r="T2870" s="364"/>
      <c r="U2870" s="264"/>
      <c r="V2870" s="463"/>
      <c r="X2870" s="463"/>
    </row>
    <row r="2871" spans="1:30" x14ac:dyDescent="0.4">
      <c r="A2871" s="402">
        <v>46139</v>
      </c>
      <c r="B2871" s="392" t="s">
        <v>451</v>
      </c>
      <c r="C2871" s="364" t="str">
        <f>VLOOKUP(B2871,'112年全品項生產鍋數'!A:H,2,0)</f>
        <v>水蜜桃醬(1*6kg)</v>
      </c>
      <c r="D2871" s="404">
        <v>6</v>
      </c>
      <c r="E2871" s="48">
        <f>VLOOKUP(B2871,'112年全品項生產鍋數'!A:H,3,0)</f>
        <v>6</v>
      </c>
      <c r="F2871" s="142">
        <f>VLOOKUP(B2871,'112年全品項生產鍋數'!A:H,7,0)</f>
        <v>24.5</v>
      </c>
      <c r="G2871" s="143">
        <f t="shared" si="447"/>
        <v>147</v>
      </c>
      <c r="H2871" s="156">
        <v>142</v>
      </c>
      <c r="I2871" s="371">
        <f t="shared" si="448"/>
        <v>852</v>
      </c>
      <c r="J2871" s="100">
        <f t="shared" si="449"/>
        <v>0.96598639455782309</v>
      </c>
      <c r="K2871" s="51">
        <f>VLOOKUP(B:B,'生產達成率(目標)'!A:C,3,0)</f>
        <v>1</v>
      </c>
      <c r="L2871" s="20">
        <f t="shared" si="450"/>
        <v>-3.4000000000000002E-2</v>
      </c>
      <c r="M2871" s="137" t="str">
        <f>工時!R2055</f>
        <v>260</v>
      </c>
      <c r="N2871" s="374"/>
      <c r="O2871" s="374">
        <f t="shared" si="451"/>
        <v>1</v>
      </c>
      <c r="P2871" s="156">
        <v>141</v>
      </c>
      <c r="Q2871" s="98">
        <f t="shared" si="452"/>
        <v>0.99295774647887325</v>
      </c>
      <c r="R2871" s="371"/>
      <c r="S2871" s="372"/>
      <c r="T2871" s="364"/>
      <c r="U2871" s="264"/>
      <c r="V2871" s="463"/>
      <c r="X2871" s="463"/>
    </row>
    <row r="2872" spans="1:30" x14ac:dyDescent="0.4">
      <c r="A2872" s="402">
        <v>46139</v>
      </c>
      <c r="B2872" s="392" t="s">
        <v>1062</v>
      </c>
      <c r="C2872" s="364" t="str">
        <f>VLOOKUP(B2872,'112年全品項生產鍋數'!A:H,2,0)</f>
        <v>上好佳芒果餡(大)4.5KG</v>
      </c>
      <c r="D2872" s="404">
        <v>24</v>
      </c>
      <c r="E2872" s="48">
        <f>VLOOKUP(B2872,'112年全品項生產鍋數'!A:H,3,0)</f>
        <v>4.5</v>
      </c>
      <c r="F2872" s="142">
        <f>VLOOKUP(B2872,'112年全品項生產鍋數'!A:H,7,0)</f>
        <v>33.200000000000003</v>
      </c>
      <c r="G2872" s="143">
        <f t="shared" si="447"/>
        <v>796.80000000000007</v>
      </c>
      <c r="H2872" s="156">
        <v>834</v>
      </c>
      <c r="I2872" s="371">
        <f t="shared" si="448"/>
        <v>3753</v>
      </c>
      <c r="J2872" s="100">
        <f t="shared" si="449"/>
        <v>1.0466867469879517</v>
      </c>
      <c r="K2872" s="51" t="e">
        <f>VLOOKUP(B:B,'生產達成率(目標)'!A:C,3,0)</f>
        <v>#N/A</v>
      </c>
      <c r="L2872" s="20" t="e">
        <f t="shared" si="450"/>
        <v>#N/A</v>
      </c>
      <c r="M2872" s="137" t="str">
        <f>工時!R2056</f>
        <v>345</v>
      </c>
      <c r="N2872" s="374"/>
      <c r="O2872" s="374">
        <f t="shared" si="451"/>
        <v>0</v>
      </c>
      <c r="P2872" s="156">
        <v>834</v>
      </c>
      <c r="Q2872" s="98">
        <f t="shared" si="452"/>
        <v>1</v>
      </c>
      <c r="R2872" s="371"/>
      <c r="S2872" s="372"/>
      <c r="T2872" s="364"/>
      <c r="U2872" s="264"/>
      <c r="V2872" s="463"/>
      <c r="X2872" s="463"/>
    </row>
    <row r="2873" spans="1:30" x14ac:dyDescent="0.4">
      <c r="A2873" s="402">
        <v>46139</v>
      </c>
      <c r="B2873" s="392" t="s">
        <v>72</v>
      </c>
      <c r="C2873" s="364" t="str">
        <f>VLOOKUP(B2873,'112年全品項生產鍋數'!A:H,2,0)</f>
        <v>草莓餡45%(1*6Kg)</v>
      </c>
      <c r="D2873" s="404">
        <v>16</v>
      </c>
      <c r="E2873" s="48">
        <f>VLOOKUP(B2873,'112年全品項生產鍋數'!A:H,3,0)</f>
        <v>6</v>
      </c>
      <c r="F2873" s="142">
        <f>VLOOKUP(B2873,'112年全品項生產鍋數'!A:H,7,0)</f>
        <v>26.1</v>
      </c>
      <c r="G2873" s="143">
        <f t="shared" si="447"/>
        <v>417.6</v>
      </c>
      <c r="H2873" s="156">
        <v>422</v>
      </c>
      <c r="I2873" s="371">
        <f t="shared" si="448"/>
        <v>2532</v>
      </c>
      <c r="J2873" s="100">
        <f t="shared" si="449"/>
        <v>1.0105363984674329</v>
      </c>
      <c r="K2873" s="51">
        <f>VLOOKUP(B:B,'生產達成率(目標)'!A:C,3,0)</f>
        <v>1</v>
      </c>
      <c r="L2873" s="20">
        <f t="shared" si="450"/>
        <v>1.0999999999999999E-2</v>
      </c>
      <c r="M2873" s="137" t="str">
        <f>工時!R2057</f>
        <v>230</v>
      </c>
      <c r="N2873" s="374"/>
      <c r="O2873" s="374">
        <f t="shared" si="451"/>
        <v>6</v>
      </c>
      <c r="P2873" s="156">
        <v>416</v>
      </c>
      <c r="Q2873" s="98">
        <f t="shared" si="452"/>
        <v>0.98578199052132698</v>
      </c>
      <c r="R2873" s="371"/>
      <c r="S2873" s="372"/>
      <c r="T2873" s="364"/>
      <c r="U2873" s="264"/>
      <c r="V2873" s="463"/>
      <c r="X2873" s="463"/>
    </row>
    <row r="2874" spans="1:30" x14ac:dyDescent="0.4">
      <c r="A2874" s="402">
        <v>46139</v>
      </c>
      <c r="B2874" s="392" t="s">
        <v>110</v>
      </c>
      <c r="C2874" s="364" t="str">
        <f>VLOOKUP(B2874,'112年全品項生產鍋數'!A:H,2,0)</f>
        <v>顆粒花生醬(1*12KG)</v>
      </c>
      <c r="D2874" s="404">
        <v>21</v>
      </c>
      <c r="E2874" s="48">
        <f>VLOOKUP(B2874,'112年全品項生產鍋數'!A:H,3,0)</f>
        <v>3</v>
      </c>
      <c r="F2874" s="142">
        <f>VLOOKUP(B2874,'112年全品項生產鍋數'!A:H,7,0)</f>
        <v>30.8</v>
      </c>
      <c r="G2874" s="143">
        <f t="shared" si="447"/>
        <v>646.80000000000007</v>
      </c>
      <c r="H2874" s="156">
        <v>648</v>
      </c>
      <c r="I2874" s="371">
        <f t="shared" si="448"/>
        <v>1944</v>
      </c>
      <c r="J2874" s="100">
        <f t="shared" si="449"/>
        <v>1.0018552875695732</v>
      </c>
      <c r="K2874" s="51">
        <f>VLOOKUP(B:B,'生產達成率(目標)'!A:C,3,0)</f>
        <v>1</v>
      </c>
      <c r="L2874" s="20">
        <f t="shared" si="450"/>
        <v>2E-3</v>
      </c>
      <c r="M2874" s="137" t="str">
        <f>工時!R2058</f>
        <v>540</v>
      </c>
      <c r="N2874" s="374"/>
      <c r="O2874" s="374">
        <f t="shared" si="451"/>
        <v>0</v>
      </c>
      <c r="P2874" s="156">
        <v>648</v>
      </c>
      <c r="Q2874" s="98">
        <f t="shared" si="452"/>
        <v>1</v>
      </c>
      <c r="R2874" s="371"/>
      <c r="S2874" s="372"/>
      <c r="T2874" s="364"/>
      <c r="U2874" s="264"/>
      <c r="V2874" s="463"/>
      <c r="X2874" s="463"/>
    </row>
    <row r="2875" spans="1:30" x14ac:dyDescent="0.4">
      <c r="A2875" s="402">
        <v>46140</v>
      </c>
      <c r="B2875" s="392" t="s">
        <v>64</v>
      </c>
      <c r="C2875" s="364" t="str">
        <f>VLOOKUP(B2875,'112年全品項生產鍋數'!A:H,2,0)</f>
        <v>藍莓餡(1*6KG)</v>
      </c>
      <c r="D2875" s="404">
        <v>30</v>
      </c>
      <c r="E2875" s="48">
        <f>VLOOKUP(B2875,'112年全品項生產鍋數'!A:H,3,0)</f>
        <v>6</v>
      </c>
      <c r="F2875" s="142">
        <f>VLOOKUP(B2875,'112年全品項生產鍋數'!A:H,7,0)</f>
        <v>25.4</v>
      </c>
      <c r="G2875" s="143">
        <f t="shared" si="447"/>
        <v>762</v>
      </c>
      <c r="H2875" s="156">
        <f>403+361</f>
        <v>764</v>
      </c>
      <c r="I2875" s="371">
        <f t="shared" si="448"/>
        <v>4584</v>
      </c>
      <c r="J2875" s="100">
        <f t="shared" si="449"/>
        <v>1.0026246719160106</v>
      </c>
      <c r="K2875" s="51">
        <f>VLOOKUP(B:B,'生產達成率(目標)'!A:C,3,0)</f>
        <v>1</v>
      </c>
      <c r="L2875" s="20">
        <f t="shared" si="450"/>
        <v>3.0000000000000001E-3</v>
      </c>
      <c r="M2875" s="137" t="str">
        <f>工時!R2059</f>
        <v>380</v>
      </c>
      <c r="N2875" s="374"/>
      <c r="O2875" s="374">
        <f t="shared" si="451"/>
        <v>2</v>
      </c>
      <c r="P2875" s="156">
        <f>402+360</f>
        <v>762</v>
      </c>
      <c r="Q2875" s="98">
        <f t="shared" si="452"/>
        <v>0.99738219895287961</v>
      </c>
      <c r="R2875" s="371"/>
      <c r="S2875" s="372"/>
      <c r="T2875" s="364"/>
      <c r="U2875" s="264"/>
      <c r="V2875" s="463"/>
      <c r="X2875" s="463"/>
    </row>
    <row r="2876" spans="1:30" x14ac:dyDescent="0.4">
      <c r="A2876" s="402">
        <v>46140</v>
      </c>
      <c r="B2876" s="392" t="s">
        <v>75</v>
      </c>
      <c r="C2876" s="364" t="str">
        <f>VLOOKUP(B2876,'112年全品項生產鍋數'!A:H,2,0)</f>
        <v>草莓椰果餡(1*6Kg)</v>
      </c>
      <c r="D2876" s="404">
        <v>12</v>
      </c>
      <c r="E2876" s="48">
        <f>VLOOKUP(B2876,'112年全品項生產鍋數'!A:H,3,0)</f>
        <v>6</v>
      </c>
      <c r="F2876" s="142">
        <f>VLOOKUP(B2876,'112年全品項生產鍋數'!A:H,7,0)</f>
        <v>26.4</v>
      </c>
      <c r="G2876" s="143">
        <f t="shared" si="447"/>
        <v>316.79999999999995</v>
      </c>
      <c r="H2876" s="156">
        <v>320</v>
      </c>
      <c r="I2876" s="371">
        <f t="shared" si="448"/>
        <v>1920</v>
      </c>
      <c r="J2876" s="100">
        <f t="shared" si="449"/>
        <v>1.0101010101010102</v>
      </c>
      <c r="K2876" s="51">
        <f>VLOOKUP(B:B,'生產達成率(目標)'!A:C,3,0)</f>
        <v>1</v>
      </c>
      <c r="L2876" s="20">
        <f t="shared" si="450"/>
        <v>0.01</v>
      </c>
      <c r="M2876" s="137" t="str">
        <f>工時!R2060</f>
        <v>205</v>
      </c>
      <c r="N2876" s="374"/>
      <c r="O2876" s="374">
        <f t="shared" si="451"/>
        <v>4</v>
      </c>
      <c r="P2876" s="156">
        <v>316</v>
      </c>
      <c r="Q2876" s="98">
        <f t="shared" si="452"/>
        <v>0.98750000000000004</v>
      </c>
      <c r="R2876" s="371"/>
      <c r="S2876" s="372"/>
      <c r="T2876" s="364"/>
      <c r="U2876" s="264"/>
      <c r="V2876" s="463"/>
      <c r="X2876" s="463"/>
    </row>
    <row r="2877" spans="1:30" x14ac:dyDescent="0.4">
      <c r="A2877" s="402">
        <v>46140</v>
      </c>
      <c r="B2877" s="392" t="s">
        <v>108</v>
      </c>
      <c r="C2877" s="364" t="str">
        <f>VLOOKUP(B2877,'112年全品項生產鍋數'!A:H,2,0)</f>
        <v>顆粒花生醬(1*12KG)</v>
      </c>
      <c r="D2877" s="404">
        <v>21</v>
      </c>
      <c r="E2877" s="48">
        <f>VLOOKUP(B2877,'112年全品項生產鍋數'!A:H,3,0)</f>
        <v>3</v>
      </c>
      <c r="F2877" s="142">
        <f>VLOOKUP(B2877,'112年全品項生產鍋數'!A:H,7,0)</f>
        <v>31.6</v>
      </c>
      <c r="G2877" s="143">
        <f t="shared" si="447"/>
        <v>663.6</v>
      </c>
      <c r="H2877" s="156">
        <v>668</v>
      </c>
      <c r="I2877" s="371">
        <f t="shared" si="448"/>
        <v>2004</v>
      </c>
      <c r="J2877" s="100">
        <f t="shared" si="449"/>
        <v>1.0066305003013862</v>
      </c>
      <c r="K2877" s="51">
        <f>VLOOKUP(B:B,'生產達成率(目標)'!A:C,3,0)</f>
        <v>1</v>
      </c>
      <c r="L2877" s="20">
        <f t="shared" si="450"/>
        <v>7.0000000000000001E-3</v>
      </c>
      <c r="M2877" s="137" t="str">
        <f>工時!R2061</f>
        <v>540</v>
      </c>
      <c r="N2877" s="374"/>
      <c r="O2877" s="374">
        <f t="shared" si="451"/>
        <v>0</v>
      </c>
      <c r="P2877" s="156">
        <v>668</v>
      </c>
      <c r="Q2877" s="98">
        <f t="shared" si="452"/>
        <v>1</v>
      </c>
      <c r="R2877" s="371"/>
      <c r="S2877" s="372"/>
      <c r="T2877" s="364"/>
      <c r="U2877" s="264"/>
      <c r="V2877" s="463"/>
      <c r="X2877" s="463"/>
    </row>
    <row r="2878" spans="1:30" x14ac:dyDescent="0.4">
      <c r="A2878" s="402">
        <v>46140</v>
      </c>
      <c r="B2878" s="392" t="s">
        <v>65</v>
      </c>
      <c r="C2878" s="364" t="str">
        <f>VLOOKUP(B2878,'112年全品項生產鍋數'!A:H,2,0)</f>
        <v>＃1花生(1*2.8kg)</v>
      </c>
      <c r="D2878" s="404">
        <v>68</v>
      </c>
      <c r="E2878" s="48">
        <f>VLOOKUP(B2878,'112年全品項生產鍋數'!A:H,3,0)</f>
        <v>2.8</v>
      </c>
      <c r="F2878" s="142">
        <f>VLOOKUP(B2878,'112年全品項生產鍋數'!A:H,7,0)</f>
        <v>44.5</v>
      </c>
      <c r="G2878" s="143">
        <f>D2878*F2878-80*18/2.8</f>
        <v>2511.7142857142858</v>
      </c>
      <c r="H2878" s="156">
        <v>2658</v>
      </c>
      <c r="I2878" s="371">
        <f t="shared" si="448"/>
        <v>7442.4</v>
      </c>
      <c r="J2878" s="100">
        <f t="shared" si="449"/>
        <v>1.0582413832328517</v>
      </c>
      <c r="K2878" s="51">
        <f>VLOOKUP(B:B,'生產達成率(目標)'!A:C,3,0)</f>
        <v>1</v>
      </c>
      <c r="L2878" s="20">
        <f t="shared" si="450"/>
        <v>5.8000000000000003E-2</v>
      </c>
      <c r="M2878" s="137" t="str">
        <f>工時!R2062</f>
        <v>540</v>
      </c>
      <c r="N2878" s="374"/>
      <c r="O2878" s="374">
        <f t="shared" si="451"/>
        <v>1</v>
      </c>
      <c r="P2878" s="156">
        <v>2657</v>
      </c>
      <c r="Q2878" s="98">
        <f t="shared" si="452"/>
        <v>0.99962377727614748</v>
      </c>
      <c r="R2878" s="371"/>
      <c r="S2878" s="372"/>
      <c r="T2878" s="364"/>
      <c r="U2878" s="264"/>
      <c r="V2878" s="463"/>
      <c r="X2878" s="463"/>
    </row>
    <row r="2879" spans="1:30" x14ac:dyDescent="0.4">
      <c r="A2879" s="402">
        <v>46140</v>
      </c>
      <c r="B2879" s="392">
        <v>151010</v>
      </c>
      <c r="C2879" s="364" t="str">
        <f>VLOOKUP(B2879,'112年全品項生產鍋數'!A:H,2,0)</f>
        <v>蜜紅果6m/m</v>
      </c>
      <c r="D2879" s="404">
        <v>1</v>
      </c>
      <c r="E2879" s="48">
        <f>VLOOKUP(B2879,'112年全品項生產鍋數'!A:H,3,0)</f>
        <v>1</v>
      </c>
      <c r="F2879" s="142">
        <f>VLOOKUP(B2879,'112年全品項生產鍋數'!A:H,7,0)</f>
        <v>142</v>
      </c>
      <c r="G2879" s="143">
        <f t="shared" si="447"/>
        <v>142</v>
      </c>
      <c r="H2879" s="156">
        <v>160</v>
      </c>
      <c r="I2879" s="371">
        <f t="shared" si="448"/>
        <v>160</v>
      </c>
      <c r="J2879" s="100">
        <f t="shared" si="449"/>
        <v>1.1267605633802817</v>
      </c>
      <c r="K2879" s="51">
        <f>VLOOKUP(B:B,'生產達成率(目標)'!A:C,3,0)</f>
        <v>1</v>
      </c>
      <c r="L2879" s="20">
        <f t="shared" si="450"/>
        <v>0.127</v>
      </c>
      <c r="M2879" s="137" t="str">
        <f>工時!R2063</f>
        <v>0</v>
      </c>
      <c r="N2879" s="374"/>
      <c r="O2879" s="374">
        <f t="shared" si="451"/>
        <v>0</v>
      </c>
      <c r="P2879" s="156">
        <v>160</v>
      </c>
      <c r="Q2879" s="98">
        <f t="shared" si="452"/>
        <v>1</v>
      </c>
      <c r="R2879" s="371"/>
      <c r="S2879" s="372"/>
      <c r="T2879" s="364"/>
      <c r="U2879" s="264"/>
      <c r="V2879" s="463"/>
      <c r="X2879" s="463"/>
    </row>
    <row r="2880" spans="1:30" x14ac:dyDescent="0.4">
      <c r="A2880" s="402">
        <v>46140</v>
      </c>
      <c r="B2880" s="392" t="s">
        <v>434</v>
      </c>
      <c r="C2880" s="364" t="str">
        <f>VLOOKUP(B2880,'112年全品項生產鍋數'!A:H,2,0)</f>
        <v>蜜桔皮</v>
      </c>
      <c r="D2880" s="404">
        <v>30</v>
      </c>
      <c r="E2880" s="48">
        <f>VLOOKUP(B2880,'112年全品項生產鍋數'!A:H,3,0)</f>
        <v>1</v>
      </c>
      <c r="F2880" s="142">
        <f>VLOOKUP(B2880,'112年全品項生產鍋數'!A:H,7,0)</f>
        <v>6</v>
      </c>
      <c r="G2880" s="143">
        <f>D2880*F2880</f>
        <v>180</v>
      </c>
      <c r="H2880" s="156">
        <v>183</v>
      </c>
      <c r="I2880" s="371">
        <f>H2880*E2880</f>
        <v>183</v>
      </c>
      <c r="J2880" s="100">
        <f>IF(G2880=0,"無法預估數據",H2880/G2880)</f>
        <v>1.0166666666666666</v>
      </c>
      <c r="K2880" s="51">
        <f>VLOOKUP(B:B,'生產達成率(目標)'!A:C,3,0)</f>
        <v>1</v>
      </c>
      <c r="L2880" s="20">
        <f>IF(G2880=0,"無法預估數據",ROUND(J2880-K2880,3))</f>
        <v>1.7000000000000001E-2</v>
      </c>
      <c r="M2880" s="137" t="str">
        <f>工時!R2064</f>
        <v>0</v>
      </c>
      <c r="N2880" s="374"/>
      <c r="O2880" s="374">
        <f>H2880-N2880-P2880</f>
        <v>0</v>
      </c>
      <c r="P2880" s="156">
        <v>183</v>
      </c>
      <c r="Q2880" s="98">
        <f>P2880/H2880</f>
        <v>1</v>
      </c>
      <c r="R2880" s="371"/>
      <c r="S2880" s="372"/>
      <c r="T2880" s="364"/>
      <c r="U2880" s="264"/>
      <c r="V2880" s="463"/>
      <c r="X2880" s="463"/>
    </row>
    <row r="2881" spans="1:30" x14ac:dyDescent="0.4">
      <c r="A2881" s="402">
        <v>46140</v>
      </c>
      <c r="B2881" s="392" t="s">
        <v>500</v>
      </c>
      <c r="C2881" s="364" t="str">
        <f>VLOOKUP(B2881,'112年全品項生產鍋數'!A:H,2,0)</f>
        <v>蜜餞水果(1*1kg)</v>
      </c>
      <c r="D2881" s="404">
        <v>25</v>
      </c>
      <c r="E2881" s="48">
        <f>VLOOKUP(B2881,'112年全品項生產鍋數'!A:H,3,0)</f>
        <v>1</v>
      </c>
      <c r="F2881" s="142">
        <f>VLOOKUP(B2881,'112年全品項生產鍋數'!A:H,7,0)</f>
        <v>5.7</v>
      </c>
      <c r="G2881" s="143">
        <f>D2881*F2881</f>
        <v>142.5</v>
      </c>
      <c r="H2881" s="156">
        <v>143</v>
      </c>
      <c r="I2881" s="371">
        <f>H2881*E2881</f>
        <v>143</v>
      </c>
      <c r="J2881" s="100">
        <f>IF(G2881=0,"無法預估數據",H2881/G2881)</f>
        <v>1.0035087719298246</v>
      </c>
      <c r="K2881" s="51">
        <f>VLOOKUP(B:B,'生產達成率(目標)'!A:C,3,0)</f>
        <v>1</v>
      </c>
      <c r="L2881" s="20">
        <f>IF(G2881=0,"無法預估數據",ROUND(J2881-K2881,3))</f>
        <v>4.0000000000000001E-3</v>
      </c>
      <c r="M2881" s="137" t="str">
        <f>工時!R2065</f>
        <v>0</v>
      </c>
      <c r="N2881" s="374"/>
      <c r="O2881" s="374">
        <f>H2881-N2881-P2881</f>
        <v>0</v>
      </c>
      <c r="P2881" s="156">
        <v>143</v>
      </c>
      <c r="Q2881" s="98">
        <f>P2881/H2881</f>
        <v>1</v>
      </c>
      <c r="R2881" s="371"/>
      <c r="S2881" s="372"/>
      <c r="T2881" s="364"/>
      <c r="U2881" s="264"/>
      <c r="V2881" s="463"/>
      <c r="X2881" s="463"/>
    </row>
    <row r="2882" spans="1:30" x14ac:dyDescent="0.4">
      <c r="A2882" s="402">
        <v>46141</v>
      </c>
      <c r="B2882" s="392" t="s">
        <v>80</v>
      </c>
      <c r="C2882" s="364" t="str">
        <f>VLOOKUP(B2882,'112年全品項生產鍋數'!A:H,2,0)</f>
        <v>＃1桔子(1*3.2kg)</v>
      </c>
      <c r="D2882" s="404">
        <v>36</v>
      </c>
      <c r="E2882" s="48">
        <f>VLOOKUP(B2882,'112年全品項生產鍋數'!A:H,3,0)</f>
        <v>3.2</v>
      </c>
      <c r="F2882" s="142">
        <f>VLOOKUP(B2882,'112年全品項生產鍋數'!A:H,7,0)</f>
        <v>46.4</v>
      </c>
      <c r="G2882" s="143">
        <f t="shared" si="447"/>
        <v>1670.3999999999999</v>
      </c>
      <c r="H2882" s="156">
        <v>1643</v>
      </c>
      <c r="I2882" s="371">
        <f t="shared" si="448"/>
        <v>5257.6</v>
      </c>
      <c r="J2882" s="100">
        <f t="shared" si="449"/>
        <v>0.98359674329501923</v>
      </c>
      <c r="K2882" s="51">
        <f>VLOOKUP(B:B,'生產達成率(目標)'!A:C,3,0)</f>
        <v>1</v>
      </c>
      <c r="L2882" s="20">
        <f t="shared" si="450"/>
        <v>-1.6E-2</v>
      </c>
      <c r="M2882" s="137" t="str">
        <f>工時!R2066</f>
        <v>300</v>
      </c>
      <c r="N2882" s="374"/>
      <c r="O2882" s="374">
        <f t="shared" si="451"/>
        <v>3</v>
      </c>
      <c r="P2882" s="156">
        <v>1640</v>
      </c>
      <c r="Q2882" s="98">
        <f t="shared" si="452"/>
        <v>0.99817407181984175</v>
      </c>
      <c r="R2882" s="371"/>
      <c r="S2882" s="372"/>
      <c r="T2882" s="364"/>
      <c r="U2882" s="264"/>
      <c r="V2882" s="463"/>
      <c r="X2882" s="463"/>
    </row>
    <row r="2883" spans="1:30" x14ac:dyDescent="0.4">
      <c r="A2883" s="402">
        <v>46141</v>
      </c>
      <c r="B2883" s="392" t="s">
        <v>86</v>
      </c>
      <c r="C2883" s="364" t="str">
        <f>VLOOKUP(B2883,'112年全品項生產鍋數'!A:H,2,0)</f>
        <v>＃2藍莓(1*900g)</v>
      </c>
      <c r="D2883" s="404">
        <v>20</v>
      </c>
      <c r="E2883" s="48">
        <f>VLOOKUP(B2883,'112年全品項生產鍋數'!A:H,3,0)</f>
        <v>0.9</v>
      </c>
      <c r="F2883" s="142">
        <f>VLOOKUP(B2883,'112年全品項生產鍋數'!A:H,7,0)</f>
        <v>163</v>
      </c>
      <c r="G2883" s="143">
        <f t="shared" si="447"/>
        <v>3260</v>
      </c>
      <c r="H2883" s="156">
        <v>3237</v>
      </c>
      <c r="I2883" s="371">
        <f t="shared" si="448"/>
        <v>2913.3</v>
      </c>
      <c r="J2883" s="100">
        <f t="shared" si="449"/>
        <v>0.99294478527607366</v>
      </c>
      <c r="K2883" s="51">
        <f>VLOOKUP(B:B,'生產達成率(目標)'!A:C,3,0)</f>
        <v>1</v>
      </c>
      <c r="L2883" s="20">
        <f t="shared" si="450"/>
        <v>-7.0000000000000001E-3</v>
      </c>
      <c r="M2883" s="137" t="str">
        <f>工時!R2067</f>
        <v>240</v>
      </c>
      <c r="N2883" s="374"/>
      <c r="O2883" s="374">
        <f t="shared" si="451"/>
        <v>2</v>
      </c>
      <c r="P2883" s="156">
        <v>3235</v>
      </c>
      <c r="Q2883" s="98">
        <f t="shared" si="452"/>
        <v>0.99938214396045721</v>
      </c>
      <c r="R2883" s="371"/>
      <c r="S2883" s="372"/>
      <c r="T2883" s="364"/>
      <c r="U2883" s="264"/>
      <c r="V2883" s="463"/>
      <c r="X2883" s="463"/>
    </row>
    <row r="2884" spans="1:30" x14ac:dyDescent="0.4">
      <c r="A2884" s="402">
        <v>46141</v>
      </c>
      <c r="B2884" s="392" t="s">
        <v>63</v>
      </c>
      <c r="C2884" s="364" t="str">
        <f>VLOOKUP(B2884,'112年全品項生產鍋數'!A:H,2,0)</f>
        <v>草莓蒟蒻餡(1*6kg)</v>
      </c>
      <c r="D2884" s="404">
        <v>24</v>
      </c>
      <c r="E2884" s="48">
        <f>VLOOKUP(B2884,'112年全品項生產鍋數'!A:H,3,0)</f>
        <v>6</v>
      </c>
      <c r="F2884" s="142">
        <f>VLOOKUP(B2884,'112年全品項生產鍋數'!A:H,7,0)</f>
        <v>25.7</v>
      </c>
      <c r="G2884" s="143">
        <f t="shared" si="447"/>
        <v>616.79999999999995</v>
      </c>
      <c r="H2884" s="156">
        <f>299+305</f>
        <v>604</v>
      </c>
      <c r="I2884" s="371">
        <f t="shared" si="448"/>
        <v>3624</v>
      </c>
      <c r="J2884" s="100">
        <f t="shared" si="449"/>
        <v>0.97924773022049294</v>
      </c>
      <c r="K2884" s="51">
        <f>VLOOKUP(B:B,'生產達成率(目標)'!A:C,3,0)</f>
        <v>1</v>
      </c>
      <c r="L2884" s="20">
        <f t="shared" si="450"/>
        <v>-2.1000000000000001E-2</v>
      </c>
      <c r="M2884" s="137" t="str">
        <f>工時!R2068</f>
        <v>325</v>
      </c>
      <c r="N2884" s="374"/>
      <c r="O2884" s="374">
        <f t="shared" si="451"/>
        <v>1</v>
      </c>
      <c r="P2884" s="156">
        <f>298+305</f>
        <v>603</v>
      </c>
      <c r="Q2884" s="98">
        <f t="shared" si="452"/>
        <v>0.9983443708609272</v>
      </c>
      <c r="R2884" s="371"/>
      <c r="S2884" s="372"/>
      <c r="T2884" s="364"/>
      <c r="U2884" s="264"/>
      <c r="V2884" s="463"/>
      <c r="X2884" s="463"/>
    </row>
    <row r="2885" spans="1:30" x14ac:dyDescent="0.4">
      <c r="A2885" s="402">
        <v>46141</v>
      </c>
      <c r="B2885" s="392" t="s">
        <v>81</v>
      </c>
      <c r="C2885" s="364" t="str">
        <f>VLOOKUP(B2885,'112年全品項生產鍋數'!A:H,2,0)</f>
        <v>藍莓餡(1*6Kg)</v>
      </c>
      <c r="D2885" s="404">
        <v>12</v>
      </c>
      <c r="E2885" s="48">
        <f>VLOOKUP(B2885,'112年全品項生產鍋數'!A:H,3,0)</f>
        <v>6</v>
      </c>
      <c r="F2885" s="142">
        <f>VLOOKUP(B2885,'112年全品項生產鍋數'!A:H,7,0)</f>
        <v>25.1</v>
      </c>
      <c r="G2885" s="143">
        <f t="shared" si="447"/>
        <v>301.20000000000005</v>
      </c>
      <c r="H2885" s="156">
        <v>298</v>
      </c>
      <c r="I2885" s="371">
        <f t="shared" si="448"/>
        <v>1788</v>
      </c>
      <c r="J2885" s="100">
        <f t="shared" si="449"/>
        <v>0.98937583001328011</v>
      </c>
      <c r="K2885" s="51">
        <f>VLOOKUP(B:B,'生產達成率(目標)'!A:C,3,0)</f>
        <v>1</v>
      </c>
      <c r="L2885" s="20">
        <f t="shared" si="450"/>
        <v>-1.0999999999999999E-2</v>
      </c>
      <c r="M2885" s="137" t="str">
        <f>工時!R2069</f>
        <v>180</v>
      </c>
      <c r="N2885" s="374"/>
      <c r="O2885" s="374">
        <f t="shared" si="451"/>
        <v>1</v>
      </c>
      <c r="P2885" s="156">
        <v>297</v>
      </c>
      <c r="Q2885" s="98">
        <f t="shared" si="452"/>
        <v>0.99664429530201337</v>
      </c>
      <c r="R2885" s="371"/>
      <c r="S2885" s="372"/>
      <c r="T2885" s="364"/>
      <c r="U2885" s="264"/>
      <c r="V2885" s="463"/>
      <c r="X2885" s="463"/>
    </row>
    <row r="2886" spans="1:30" x14ac:dyDescent="0.4">
      <c r="A2886" s="402">
        <v>46141</v>
      </c>
      <c r="B2886" s="392" t="s">
        <v>1673</v>
      </c>
      <c r="C2886" s="364" t="str">
        <f>VLOOKUP(B2886,'112年全品項生產鍋數'!A:H,2,0)</f>
        <v>藍莓餡(1*6Kg)</v>
      </c>
      <c r="D2886" s="404">
        <v>4</v>
      </c>
      <c r="E2886" s="48">
        <f>VLOOKUP(B2886,'112年全品項生產鍋數'!A:H,3,0)</f>
        <v>6</v>
      </c>
      <c r="F2886" s="142">
        <f>VLOOKUP(B2886,'112年全品項生產鍋數'!A:H,7,0)</f>
        <v>0</v>
      </c>
      <c r="G2886" s="143">
        <f t="shared" si="447"/>
        <v>0</v>
      </c>
      <c r="H2886" s="156">
        <v>108</v>
      </c>
      <c r="I2886" s="371">
        <f t="shared" si="448"/>
        <v>648</v>
      </c>
      <c r="J2886" s="100" t="str">
        <f t="shared" si="449"/>
        <v>無法預估數據</v>
      </c>
      <c r="K2886" s="51">
        <f>VLOOKUP(B:B,'生產達成率(目標)'!A:C,3,0)</f>
        <v>1</v>
      </c>
      <c r="L2886" s="20" t="str">
        <f t="shared" si="450"/>
        <v>無法預估數據</v>
      </c>
      <c r="M2886" s="137" t="str">
        <f>工時!R2070</f>
        <v>115</v>
      </c>
      <c r="N2886" s="374"/>
      <c r="O2886" s="374">
        <f t="shared" si="451"/>
        <v>1</v>
      </c>
      <c r="P2886" s="156">
        <v>107</v>
      </c>
      <c r="Q2886" s="98">
        <f t="shared" si="452"/>
        <v>0.9907407407407407</v>
      </c>
      <c r="R2886" s="371"/>
      <c r="S2886" s="372"/>
      <c r="T2886" s="364"/>
      <c r="U2886" s="264"/>
      <c r="V2886" s="463"/>
      <c r="X2886" s="463"/>
    </row>
    <row r="2887" spans="1:30" x14ac:dyDescent="0.4">
      <c r="A2887" s="402">
        <v>46141</v>
      </c>
      <c r="B2887" s="392" t="s">
        <v>97</v>
      </c>
      <c r="C2887" s="364" t="str">
        <f>VLOOKUP(B2887,'112年全品項生產鍋數'!A:H,2,0)</f>
        <v>花生醬(1*18KG)</v>
      </c>
      <c r="D2887" s="404">
        <v>8</v>
      </c>
      <c r="E2887" s="48">
        <f>VLOOKUP(B2887,'112年全品項生產鍋數'!A:H,3,0)</f>
        <v>18</v>
      </c>
      <c r="F2887" s="142">
        <f>VLOOKUP(B2887,'112年全品項生產鍋數'!A:H,7,0)</f>
        <v>6.6</v>
      </c>
      <c r="G2887" s="143">
        <f t="shared" si="447"/>
        <v>52.8</v>
      </c>
      <c r="H2887" s="156">
        <v>51</v>
      </c>
      <c r="I2887" s="371">
        <f t="shared" si="448"/>
        <v>918</v>
      </c>
      <c r="J2887" s="100">
        <f t="shared" si="449"/>
        <v>0.96590909090909094</v>
      </c>
      <c r="K2887" s="51">
        <f>VLOOKUP(B:B,'生產達成率(目標)'!A:C,3,0)</f>
        <v>1</v>
      </c>
      <c r="L2887" s="20">
        <f t="shared" si="450"/>
        <v>-3.4000000000000002E-2</v>
      </c>
      <c r="M2887" s="137" t="str">
        <f>工時!R2071</f>
        <v>110</v>
      </c>
      <c r="N2887" s="374"/>
      <c r="O2887" s="374">
        <f t="shared" si="451"/>
        <v>0</v>
      </c>
      <c r="P2887" s="156">
        <v>51</v>
      </c>
      <c r="Q2887" s="98">
        <f t="shared" si="452"/>
        <v>1</v>
      </c>
      <c r="R2887" s="371"/>
      <c r="S2887" s="372"/>
      <c r="T2887" s="364"/>
      <c r="U2887" s="264"/>
      <c r="V2887" s="463"/>
      <c r="X2887" s="463"/>
    </row>
    <row r="2888" spans="1:30" x14ac:dyDescent="0.4">
      <c r="A2888" s="402">
        <v>46141</v>
      </c>
      <c r="B2888" s="392" t="s">
        <v>131</v>
      </c>
      <c r="C2888" s="364" t="str">
        <f>VLOOKUP(B2888,'112年全品項生產鍋數'!A:H,2,0)</f>
        <v>花生醬(1*18KG)</v>
      </c>
      <c r="D2888" s="404">
        <v>24</v>
      </c>
      <c r="E2888" s="48">
        <f>VLOOKUP(B2888,'112年全品項生產鍋數'!A:H,3,0)</f>
        <v>18</v>
      </c>
      <c r="F2888" s="142">
        <f>VLOOKUP(B2888,'112年全品項生產鍋數'!A:H,7,0)</f>
        <v>6.9</v>
      </c>
      <c r="G2888" s="143">
        <f t="shared" si="447"/>
        <v>165.60000000000002</v>
      </c>
      <c r="H2888" s="156">
        <v>171</v>
      </c>
      <c r="I2888" s="371">
        <f t="shared" si="448"/>
        <v>3078</v>
      </c>
      <c r="J2888" s="100">
        <f t="shared" si="449"/>
        <v>1.0326086956521738</v>
      </c>
      <c r="K2888" s="51">
        <f>VLOOKUP(B:B,'生產達成率(目標)'!A:C,3,0)</f>
        <v>1</v>
      </c>
      <c r="L2888" s="20">
        <f t="shared" si="450"/>
        <v>3.3000000000000002E-2</v>
      </c>
      <c r="M2888" s="137" t="str">
        <f>工時!R2072</f>
        <v>215</v>
      </c>
      <c r="N2888" s="374"/>
      <c r="O2888" s="374">
        <f t="shared" si="451"/>
        <v>0</v>
      </c>
      <c r="P2888" s="156">
        <v>171</v>
      </c>
      <c r="Q2888" s="98">
        <f t="shared" si="452"/>
        <v>1</v>
      </c>
      <c r="R2888" s="371"/>
      <c r="S2888" s="372"/>
      <c r="T2888" s="364"/>
      <c r="U2888" s="264"/>
      <c r="V2888" s="463"/>
      <c r="X2888" s="463"/>
    </row>
    <row r="2889" spans="1:30" x14ac:dyDescent="0.4">
      <c r="A2889" s="402">
        <v>46141</v>
      </c>
      <c r="B2889" s="392" t="s">
        <v>123</v>
      </c>
      <c r="C2889" s="364" t="str">
        <f>VLOOKUP(B2889,'112年全品項生產鍋數'!A:H,2,0)</f>
        <v>深烤焙花生醬(1*18KG)</v>
      </c>
      <c r="D2889" s="404">
        <v>32</v>
      </c>
      <c r="E2889" s="48">
        <f>VLOOKUP(B2889,'112年全品項生產鍋數'!A:H,3,0)</f>
        <v>18</v>
      </c>
      <c r="F2889" s="142">
        <f>VLOOKUP(B2889,'112年全品項生產鍋數'!A:H,7,0)</f>
        <v>6.9</v>
      </c>
      <c r="G2889" s="143">
        <f t="shared" si="447"/>
        <v>220.8</v>
      </c>
      <c r="H2889" s="156">
        <v>229</v>
      </c>
      <c r="I2889" s="371">
        <f t="shared" si="448"/>
        <v>4122</v>
      </c>
      <c r="J2889" s="100">
        <f t="shared" si="449"/>
        <v>1.0371376811594202</v>
      </c>
      <c r="K2889" s="51">
        <f>VLOOKUP(B:B,'生產達成率(目標)'!A:C,3,0)</f>
        <v>1</v>
      </c>
      <c r="L2889" s="20">
        <f t="shared" si="450"/>
        <v>3.6999999999999998E-2</v>
      </c>
      <c r="M2889" s="137" t="str">
        <f>工時!R2073</f>
        <v>280</v>
      </c>
      <c r="N2889" s="374"/>
      <c r="O2889" s="374">
        <f t="shared" si="451"/>
        <v>0</v>
      </c>
      <c r="P2889" s="156">
        <v>229</v>
      </c>
      <c r="Q2889" s="98">
        <f t="shared" si="452"/>
        <v>1</v>
      </c>
      <c r="R2889" s="371"/>
      <c r="S2889" s="372"/>
      <c r="T2889" s="364"/>
      <c r="U2889" s="264"/>
      <c r="V2889" s="463"/>
      <c r="X2889" s="463"/>
    </row>
    <row r="2890" spans="1:30" x14ac:dyDescent="0.4">
      <c r="A2890" s="402">
        <v>46142</v>
      </c>
      <c r="B2890" s="392" t="s">
        <v>965</v>
      </c>
      <c r="C2890" s="364" t="str">
        <f>VLOOKUP(B2890,'112年全品項生產鍋數'!A:H,2,0)</f>
        <v>草莓餡°(1*6KG)</v>
      </c>
      <c r="D2890" s="404">
        <v>16</v>
      </c>
      <c r="E2890" s="48">
        <f>VLOOKUP(B2890,'112年全品項生產鍋數'!A:H,3,0)</f>
        <v>6</v>
      </c>
      <c r="F2890" s="142">
        <f>VLOOKUP(B2890,'112年全品項生產鍋數'!A:H,7,0)</f>
        <v>0</v>
      </c>
      <c r="G2890" s="143">
        <f t="shared" si="447"/>
        <v>0</v>
      </c>
      <c r="H2890" s="156">
        <v>403</v>
      </c>
      <c r="I2890" s="371">
        <f t="shared" si="448"/>
        <v>2418</v>
      </c>
      <c r="J2890" s="100" t="str">
        <f t="shared" si="449"/>
        <v>無法預估數據</v>
      </c>
      <c r="K2890" s="51">
        <f>VLOOKUP(B:B,'生產達成率(目標)'!A:C,3,0)</f>
        <v>1</v>
      </c>
      <c r="L2890" s="20" t="str">
        <f t="shared" si="450"/>
        <v>無法預估數據</v>
      </c>
      <c r="M2890" s="137" t="str">
        <f>工時!R2074</f>
        <v>210</v>
      </c>
      <c r="N2890" s="374"/>
      <c r="O2890" s="374">
        <f t="shared" si="451"/>
        <v>6</v>
      </c>
      <c r="P2890" s="156">
        <v>397</v>
      </c>
      <c r="Q2890" s="98">
        <f t="shared" si="452"/>
        <v>0.98511166253101734</v>
      </c>
      <c r="R2890" s="371"/>
      <c r="S2890" s="372"/>
      <c r="T2890" s="364"/>
      <c r="U2890" s="264"/>
      <c r="V2890" s="463"/>
      <c r="X2890" s="463"/>
    </row>
    <row r="2891" spans="1:30" x14ac:dyDescent="0.4">
      <c r="A2891" s="402">
        <v>46142</v>
      </c>
      <c r="B2891" s="392" t="s">
        <v>63</v>
      </c>
      <c r="C2891" s="364" t="str">
        <f>VLOOKUP(B2891,'112年全品項生產鍋數'!A:H,2,0)</f>
        <v>草莓蒟蒻餡(1*6kg)</v>
      </c>
      <c r="D2891" s="404">
        <v>24</v>
      </c>
      <c r="E2891" s="48">
        <f>VLOOKUP(B2891,'112年全品項生產鍋數'!A:H,3,0)</f>
        <v>6</v>
      </c>
      <c r="F2891" s="142">
        <f>VLOOKUP(B2891,'112年全品項生產鍋數'!A:H,7,0)</f>
        <v>25.7</v>
      </c>
      <c r="G2891" s="143">
        <f t="shared" si="447"/>
        <v>616.79999999999995</v>
      </c>
      <c r="H2891" s="156">
        <f>308+317</f>
        <v>625</v>
      </c>
      <c r="I2891" s="371">
        <f t="shared" si="448"/>
        <v>3750</v>
      </c>
      <c r="J2891" s="100">
        <f t="shared" si="449"/>
        <v>1.0132944228274969</v>
      </c>
      <c r="K2891" s="51">
        <f>VLOOKUP(B:B,'生產達成率(目標)'!A:C,3,0)</f>
        <v>1</v>
      </c>
      <c r="L2891" s="20">
        <f t="shared" si="450"/>
        <v>1.2999999999999999E-2</v>
      </c>
      <c r="M2891" s="137" t="str">
        <f>工時!R2075</f>
        <v>340</v>
      </c>
      <c r="N2891" s="374"/>
      <c r="O2891" s="374">
        <f t="shared" si="451"/>
        <v>2</v>
      </c>
      <c r="P2891" s="156">
        <f>307+316</f>
        <v>623</v>
      </c>
      <c r="Q2891" s="98">
        <f t="shared" si="452"/>
        <v>0.99680000000000002</v>
      </c>
      <c r="R2891" s="371"/>
      <c r="S2891" s="372"/>
      <c r="T2891" s="364"/>
      <c r="U2891" s="264"/>
      <c r="V2891" s="463"/>
      <c r="X2891" s="463"/>
    </row>
    <row r="2892" spans="1:30" x14ac:dyDescent="0.4">
      <c r="A2892" s="402">
        <v>46142</v>
      </c>
      <c r="B2892" s="392" t="s">
        <v>73</v>
      </c>
      <c r="C2892" s="364" t="str">
        <f>VLOOKUP(B2892,'112年全品項生產鍋數'!A:H,2,0)</f>
        <v>顆粒花生醬(1*12KG)</v>
      </c>
      <c r="D2892" s="404">
        <v>21</v>
      </c>
      <c r="E2892" s="48">
        <f>VLOOKUP(B2892,'112年全品項生產鍋數'!A:H,3,0)</f>
        <v>3</v>
      </c>
      <c r="F2892" s="142">
        <f>VLOOKUP(B2892,'112年全品項生產鍋數'!A:H,7,0)</f>
        <v>29.7</v>
      </c>
      <c r="G2892" s="143">
        <f t="shared" si="447"/>
        <v>623.69999999999993</v>
      </c>
      <c r="H2892" s="156">
        <v>624</v>
      </c>
      <c r="I2892" s="371">
        <f t="shared" si="448"/>
        <v>1872</v>
      </c>
      <c r="J2892" s="100">
        <f t="shared" si="449"/>
        <v>1.0004810004810005</v>
      </c>
      <c r="K2892" s="51">
        <f>VLOOKUP(B:B,'生產達成率(目標)'!A:C,3,0)</f>
        <v>1</v>
      </c>
      <c r="L2892" s="20">
        <f t="shared" si="450"/>
        <v>0</v>
      </c>
      <c r="M2892" s="137" t="str">
        <f>工時!R2076</f>
        <v>540</v>
      </c>
      <c r="N2892" s="374"/>
      <c r="O2892" s="374">
        <f t="shared" si="451"/>
        <v>0</v>
      </c>
      <c r="P2892" s="156">
        <v>624</v>
      </c>
      <c r="Q2892" s="98">
        <f t="shared" si="452"/>
        <v>1</v>
      </c>
      <c r="R2892" s="371"/>
      <c r="S2892" s="372"/>
      <c r="T2892" s="364"/>
      <c r="U2892" s="264"/>
      <c r="V2892" s="463"/>
      <c r="X2892" s="463"/>
    </row>
    <row r="2893" spans="1:30" s="381" customFormat="1" x14ac:dyDescent="0.4">
      <c r="A2893" s="402">
        <v>46142</v>
      </c>
      <c r="B2893" s="392" t="s">
        <v>82</v>
      </c>
      <c r="C2893" s="375" t="str">
        <f>VLOOKUP(B2893,'112年全品項生產鍋數'!A:H,2,0)</f>
        <v>顆粒花生醬(全)</v>
      </c>
      <c r="D2893" s="406">
        <v>16</v>
      </c>
      <c r="E2893" s="141">
        <f>VLOOKUP(B2893,'112年全品項生產鍋數'!A:H,3,0)</f>
        <v>0.34</v>
      </c>
      <c r="F2893" s="142">
        <f>VLOOKUP(B2893,'112年全品項生產鍋數'!A:H,7,0)</f>
        <v>364.6</v>
      </c>
      <c r="G2893" s="143">
        <f t="shared" si="447"/>
        <v>5833.6</v>
      </c>
      <c r="H2893" s="156">
        <v>5829</v>
      </c>
      <c r="I2893" s="374">
        <f t="shared" si="448"/>
        <v>1981.8600000000001</v>
      </c>
      <c r="J2893" s="100">
        <f t="shared" si="449"/>
        <v>0.9992114646187602</v>
      </c>
      <c r="K2893" s="51">
        <f>VLOOKUP(B:B,'生產達成率(目標)'!A:C,3,0)</f>
        <v>1</v>
      </c>
      <c r="L2893" s="20">
        <f t="shared" si="450"/>
        <v>-1E-3</v>
      </c>
      <c r="M2893" s="137" t="str">
        <f>工時!R2077</f>
        <v>260</v>
      </c>
      <c r="N2893" s="374"/>
      <c r="O2893" s="374">
        <f t="shared" si="451"/>
        <v>3</v>
      </c>
      <c r="P2893" s="156">
        <v>5826</v>
      </c>
      <c r="Q2893" s="145">
        <f t="shared" si="452"/>
        <v>0.99948533196088518</v>
      </c>
      <c r="R2893" s="374"/>
      <c r="S2893" s="378"/>
      <c r="T2893" s="375"/>
      <c r="U2893" s="398"/>
      <c r="V2893" s="464"/>
      <c r="W2893" s="421"/>
      <c r="X2893" s="464"/>
      <c r="Y2893" s="421"/>
      <c r="Z2893" s="421"/>
      <c r="AA2893" s="421"/>
      <c r="AB2893" s="421"/>
      <c r="AC2893" s="421"/>
      <c r="AD2893" s="421"/>
    </row>
    <row r="2894" spans="1:30" x14ac:dyDescent="0.4">
      <c r="A2894" s="402">
        <v>46142</v>
      </c>
      <c r="B2894" s="392" t="s">
        <v>104</v>
      </c>
      <c r="C2894" s="364" t="str">
        <f>VLOOKUP(B2894,'112年全品項生產鍋數'!A:H,2,0)</f>
        <v>＃1花生(粒)(1*2.8kg)</v>
      </c>
      <c r="D2894" s="404">
        <v>28</v>
      </c>
      <c r="E2894" s="48">
        <f>VLOOKUP(B2894,'112年全品項生產鍋數'!A:H,3,0)</f>
        <v>2.8</v>
      </c>
      <c r="F2894" s="142">
        <f>VLOOKUP(B2894,'112年全品項生產鍋數'!A:H,7,0)</f>
        <v>44.2</v>
      </c>
      <c r="G2894" s="143">
        <f>D2894*F2894-10*18/2.8</f>
        <v>1173.3142857142859</v>
      </c>
      <c r="H2894" s="156">
        <v>1229</v>
      </c>
      <c r="I2894" s="371">
        <f t="shared" si="448"/>
        <v>3441.2</v>
      </c>
      <c r="J2894" s="100">
        <f t="shared" si="449"/>
        <v>1.047460186041981</v>
      </c>
      <c r="K2894" s="51">
        <f>VLOOKUP(B:B,'生產達成率(目標)'!A:C,3,0)</f>
        <v>1</v>
      </c>
      <c r="L2894" s="20">
        <f t="shared" si="450"/>
        <v>4.7E-2</v>
      </c>
      <c r="M2894" s="137" t="str">
        <f>工時!R2078</f>
        <v>350</v>
      </c>
      <c r="N2894" s="374"/>
      <c r="O2894" s="374">
        <f t="shared" si="451"/>
        <v>1</v>
      </c>
      <c r="P2894" s="156">
        <v>1228</v>
      </c>
      <c r="Q2894" s="98">
        <f t="shared" si="452"/>
        <v>0.99918633034987792</v>
      </c>
      <c r="R2894" s="371"/>
      <c r="S2894" s="372"/>
      <c r="T2894" s="364"/>
      <c r="U2894" s="264"/>
      <c r="V2894" s="463"/>
      <c r="X2894" s="463"/>
    </row>
    <row r="2895" spans="1:30" x14ac:dyDescent="0.4">
      <c r="A2895" s="402">
        <v>46142</v>
      </c>
      <c r="B2895" s="392" t="s">
        <v>558</v>
      </c>
      <c r="C2895" s="364" t="str">
        <f>VLOOKUP(B2895,'112年全品項生產鍋數'!A:H,2,0)</f>
        <v>＃1花生(粒)(1*2.8kg)</v>
      </c>
      <c r="D2895" s="404">
        <v>4</v>
      </c>
      <c r="E2895" s="48">
        <f>VLOOKUP(B2895,'112年全品項生產鍋數'!A:H,3,0)</f>
        <v>2.8</v>
      </c>
      <c r="F2895" s="142">
        <f>VLOOKUP(B2895,'112年全品項生產鍋數'!A:H,7,0)</f>
        <v>44.8</v>
      </c>
      <c r="G2895" s="143">
        <f t="shared" si="447"/>
        <v>179.2</v>
      </c>
      <c r="H2895" s="156">
        <v>0</v>
      </c>
      <c r="I2895" s="371">
        <f t="shared" si="448"/>
        <v>0</v>
      </c>
      <c r="J2895" s="100">
        <f t="shared" si="449"/>
        <v>0</v>
      </c>
      <c r="K2895" s="51">
        <f>VLOOKUP(B:B,'生產達成率(目標)'!A:C,3,0)</f>
        <v>1</v>
      </c>
      <c r="L2895" s="20">
        <f t="shared" si="450"/>
        <v>-1</v>
      </c>
      <c r="M2895" s="137" t="str">
        <f>工時!R2079</f>
        <v>125</v>
      </c>
      <c r="N2895" s="374"/>
      <c r="O2895" s="374">
        <f t="shared" si="451"/>
        <v>0</v>
      </c>
      <c r="P2895" s="156">
        <v>0</v>
      </c>
      <c r="Q2895" s="98" t="e">
        <f t="shared" si="452"/>
        <v>#DIV/0!</v>
      </c>
      <c r="R2895" s="371" t="s">
        <v>1679</v>
      </c>
      <c r="S2895" s="372"/>
      <c r="T2895" s="364" t="s">
        <v>1680</v>
      </c>
      <c r="U2895" s="264"/>
      <c r="V2895" s="463"/>
      <c r="X2895" s="463"/>
    </row>
    <row r="2896" spans="1:30" x14ac:dyDescent="0.4">
      <c r="A2896" s="402">
        <v>46142</v>
      </c>
      <c r="B2896" s="392">
        <v>111010</v>
      </c>
      <c r="C2896" s="364" t="str">
        <f>VLOOKUP(B2896,'112年全品項生產鍋數'!A:H,2,0)</f>
        <v>糖漬桔皮絲</v>
      </c>
      <c r="D2896" s="404">
        <v>1</v>
      </c>
      <c r="E2896" s="48">
        <f>VLOOKUP(B2896,'112年全品項生產鍋數'!A:H,3,0)</f>
        <v>1</v>
      </c>
      <c r="F2896" s="142">
        <f>VLOOKUP(B2896,'112年全品項生產鍋數'!A:H,7,0)</f>
        <v>942</v>
      </c>
      <c r="G2896" s="143">
        <f t="shared" ref="G2896:G2949" si="453">D2896*F2896</f>
        <v>942</v>
      </c>
      <c r="H2896" s="156">
        <v>800</v>
      </c>
      <c r="I2896" s="371">
        <f t="shared" ref="I2896:I2949" si="454">H2896*E2896</f>
        <v>800</v>
      </c>
      <c r="J2896" s="100">
        <f t="shared" ref="J2896:J2949" si="455">IF(G2896=0,"無法預估數據",H2896/G2896)</f>
        <v>0.84925690021231426</v>
      </c>
      <c r="K2896" s="51">
        <f>VLOOKUP(B:B,'生產達成率(目標)'!A:C,3,0)</f>
        <v>1</v>
      </c>
      <c r="L2896" s="20">
        <f t="shared" ref="L2896:L2949" si="456">IF(G2896=0,"無法預估數據",ROUND(J2896-K2896,3))</f>
        <v>-0.151</v>
      </c>
      <c r="M2896" s="137" t="str">
        <f>工時!R2080</f>
        <v>0</v>
      </c>
      <c r="N2896" s="374"/>
      <c r="O2896" s="374">
        <f t="shared" ref="O2896:O2949" si="457">H2896-N2896-P2896</f>
        <v>0</v>
      </c>
      <c r="P2896" s="156">
        <v>800</v>
      </c>
      <c r="Q2896" s="98">
        <f t="shared" ref="Q2896:Q2949" si="458">P2896/H2896</f>
        <v>1</v>
      </c>
      <c r="R2896" s="371"/>
      <c r="S2896" s="372"/>
      <c r="T2896" s="364"/>
      <c r="U2896" s="264"/>
      <c r="V2896" s="463"/>
      <c r="X2896" s="463"/>
    </row>
    <row r="2897" spans="1:30" x14ac:dyDescent="0.4">
      <c r="A2897" s="402">
        <v>46146</v>
      </c>
      <c r="B2897" s="392" t="s">
        <v>71</v>
      </c>
      <c r="C2897" s="364" t="str">
        <f>VLOOKUP(B2897,'112年全品項生產鍋數'!A:H,2,0)</f>
        <v>＃1草莓(1*3.2kg)</v>
      </c>
      <c r="D2897" s="404">
        <v>68</v>
      </c>
      <c r="E2897" s="48">
        <f>VLOOKUP(B2897,'112年全品項生產鍋數'!A:H,3,0)</f>
        <v>3.2</v>
      </c>
      <c r="F2897" s="142">
        <f>VLOOKUP(B2897,'112年全品項生產鍋數'!A:H,7,0)</f>
        <v>46.8</v>
      </c>
      <c r="G2897" s="143">
        <f t="shared" si="453"/>
        <v>3182.3999999999996</v>
      </c>
      <c r="H2897" s="156">
        <v>3156</v>
      </c>
      <c r="I2897" s="371">
        <f t="shared" si="454"/>
        <v>10099.200000000001</v>
      </c>
      <c r="J2897" s="100">
        <f t="shared" si="455"/>
        <v>0.99170437405731537</v>
      </c>
      <c r="K2897" s="51">
        <f>VLOOKUP(B:B,'生產達成率(目標)'!A:C,3,0)</f>
        <v>1</v>
      </c>
      <c r="L2897" s="20">
        <f t="shared" si="456"/>
        <v>-8.0000000000000002E-3</v>
      </c>
      <c r="M2897" s="137" t="str">
        <f>工時!R2081</f>
        <v>540</v>
      </c>
      <c r="N2897" s="374"/>
      <c r="O2897" s="374">
        <f t="shared" si="457"/>
        <v>2</v>
      </c>
      <c r="P2897" s="156">
        <v>3154</v>
      </c>
      <c r="Q2897" s="98">
        <f t="shared" si="458"/>
        <v>0.99936628643852976</v>
      </c>
      <c r="R2897" s="371"/>
      <c r="S2897" s="372"/>
      <c r="T2897" s="364" t="s">
        <v>1153</v>
      </c>
      <c r="U2897" s="264"/>
      <c r="V2897" s="463"/>
      <c r="X2897" s="463"/>
    </row>
    <row r="2898" spans="1:30" x14ac:dyDescent="0.4">
      <c r="A2898" s="402">
        <v>46146</v>
      </c>
      <c r="B2898" s="392" t="s">
        <v>77</v>
      </c>
      <c r="C2898" s="364" t="str">
        <f>VLOOKUP(B2898,'112年全品項生產鍋數'!A:H,2,0)</f>
        <v>草莓餡50°(1*6Kg)</v>
      </c>
      <c r="D2898" s="404">
        <v>8</v>
      </c>
      <c r="E2898" s="48">
        <f>VLOOKUP(B2898,'112年全品項生產鍋數'!A:H,3,0)</f>
        <v>6</v>
      </c>
      <c r="F2898" s="142">
        <f>VLOOKUP(B2898,'112年全品項生產鍋數'!A:H,7,0)</f>
        <v>25</v>
      </c>
      <c r="G2898" s="143">
        <f t="shared" si="453"/>
        <v>200</v>
      </c>
      <c r="H2898" s="156">
        <v>199</v>
      </c>
      <c r="I2898" s="371">
        <f t="shared" si="454"/>
        <v>1194</v>
      </c>
      <c r="J2898" s="100">
        <f t="shared" si="455"/>
        <v>0.995</v>
      </c>
      <c r="K2898" s="51">
        <f>VLOOKUP(B:B,'生產達成率(目標)'!A:C,3,0)</f>
        <v>1</v>
      </c>
      <c r="L2898" s="20">
        <f t="shared" si="456"/>
        <v>-5.0000000000000001E-3</v>
      </c>
      <c r="M2898" s="137" t="str">
        <f>工時!R2082</f>
        <v>170</v>
      </c>
      <c r="N2898" s="374"/>
      <c r="O2898" s="374">
        <f t="shared" si="457"/>
        <v>1</v>
      </c>
      <c r="P2898" s="156">
        <v>198</v>
      </c>
      <c r="Q2898" s="98">
        <f t="shared" si="458"/>
        <v>0.99497487437185927</v>
      </c>
      <c r="R2898" s="371"/>
      <c r="S2898" s="372"/>
      <c r="T2898" s="364" t="s">
        <v>1153</v>
      </c>
      <c r="U2898" s="264"/>
      <c r="V2898" s="463"/>
      <c r="X2898" s="463"/>
    </row>
    <row r="2899" spans="1:30" x14ac:dyDescent="0.4">
      <c r="A2899" s="402">
        <v>46146</v>
      </c>
      <c r="B2899" s="392" t="s">
        <v>63</v>
      </c>
      <c r="C2899" s="364" t="str">
        <f>VLOOKUP(B2899,'112年全品項生產鍋數'!A:H,2,0)</f>
        <v>草莓蒟蒻餡(1*6kg)</v>
      </c>
      <c r="D2899" s="404">
        <v>24</v>
      </c>
      <c r="E2899" s="48">
        <f>VLOOKUP(B2899,'112年全品項生產鍋數'!A:H,3,0)</f>
        <v>6</v>
      </c>
      <c r="F2899" s="142">
        <f>VLOOKUP(B2899,'112年全品項生產鍋數'!A:H,7,0)</f>
        <v>25.7</v>
      </c>
      <c r="G2899" s="143">
        <f t="shared" si="453"/>
        <v>616.79999999999995</v>
      </c>
      <c r="H2899" s="156">
        <f>304+312</f>
        <v>616</v>
      </c>
      <c r="I2899" s="371">
        <f t="shared" si="454"/>
        <v>3696</v>
      </c>
      <c r="J2899" s="100">
        <f t="shared" si="455"/>
        <v>0.99870298313878092</v>
      </c>
      <c r="K2899" s="51">
        <f>VLOOKUP(B:B,'生產達成率(目標)'!A:C,3,0)</f>
        <v>1</v>
      </c>
      <c r="L2899" s="20">
        <f t="shared" si="456"/>
        <v>-1E-3</v>
      </c>
      <c r="M2899" s="137" t="str">
        <f>工時!R2083</f>
        <v>320</v>
      </c>
      <c r="N2899" s="374"/>
      <c r="O2899" s="374">
        <f t="shared" si="457"/>
        <v>1</v>
      </c>
      <c r="P2899" s="156">
        <f>303+312</f>
        <v>615</v>
      </c>
      <c r="Q2899" s="98">
        <f t="shared" si="458"/>
        <v>0.99837662337662336</v>
      </c>
      <c r="R2899" s="371"/>
      <c r="S2899" s="372"/>
      <c r="T2899" s="364"/>
      <c r="U2899" s="264"/>
      <c r="V2899" s="463"/>
      <c r="X2899" s="463"/>
    </row>
    <row r="2900" spans="1:30" x14ac:dyDescent="0.4">
      <c r="A2900" s="402">
        <v>46146</v>
      </c>
      <c r="B2900" s="392" t="s">
        <v>128</v>
      </c>
      <c r="C2900" s="364" t="str">
        <f>VLOOKUP(B2900,'112年全品項生產鍋數'!A:H,2,0)</f>
        <v>草莓椰果漿(1*6KG)</v>
      </c>
      <c r="D2900" s="404">
        <v>8</v>
      </c>
      <c r="E2900" s="48">
        <f>VLOOKUP(B2900,'112年全品項生產鍋數'!A:H,3,0)</f>
        <v>6</v>
      </c>
      <c r="F2900" s="142">
        <f>VLOOKUP(B2900,'112年全品項生產鍋數'!A:H,7,0)</f>
        <v>25.7</v>
      </c>
      <c r="G2900" s="143">
        <f t="shared" si="453"/>
        <v>205.6</v>
      </c>
      <c r="H2900" s="156">
        <v>208</v>
      </c>
      <c r="I2900" s="371">
        <f t="shared" si="454"/>
        <v>1248</v>
      </c>
      <c r="J2900" s="100">
        <f t="shared" si="455"/>
        <v>1.0116731517509727</v>
      </c>
      <c r="K2900" s="51">
        <f>VLOOKUP(B:B,'生產達成率(目標)'!A:C,3,0)</f>
        <v>1</v>
      </c>
      <c r="L2900" s="20">
        <f t="shared" si="456"/>
        <v>1.2E-2</v>
      </c>
      <c r="M2900" s="137" t="str">
        <f>工時!R2084</f>
        <v>170</v>
      </c>
      <c r="N2900" s="374"/>
      <c r="O2900" s="374">
        <f t="shared" si="457"/>
        <v>4</v>
      </c>
      <c r="P2900" s="156">
        <v>204</v>
      </c>
      <c r="Q2900" s="98">
        <f t="shared" si="458"/>
        <v>0.98076923076923073</v>
      </c>
      <c r="R2900" s="371"/>
      <c r="S2900" s="372"/>
      <c r="T2900" s="364"/>
      <c r="U2900" s="264"/>
      <c r="V2900" s="463"/>
      <c r="X2900" s="463"/>
    </row>
    <row r="2901" spans="1:30" x14ac:dyDescent="0.4">
      <c r="A2901" s="402">
        <v>46146</v>
      </c>
      <c r="B2901" s="392" t="s">
        <v>65</v>
      </c>
      <c r="C2901" s="364" t="str">
        <f>VLOOKUP(B2901,'112年全品項生產鍋數'!A:H,2,0)</f>
        <v>＃1花生(1*2.8kg)</v>
      </c>
      <c r="D2901" s="404">
        <v>60</v>
      </c>
      <c r="E2901" s="48">
        <f>VLOOKUP(B2901,'112年全品項生產鍋數'!A:H,3,0)</f>
        <v>2.8</v>
      </c>
      <c r="F2901" s="142">
        <f>VLOOKUP(B2901,'112年全品項生產鍋數'!A:H,7,0)</f>
        <v>44.5</v>
      </c>
      <c r="G2901" s="143">
        <f t="shared" si="453"/>
        <v>2670</v>
      </c>
      <c r="H2901" s="156">
        <v>2763</v>
      </c>
      <c r="I2901" s="371">
        <f t="shared" si="454"/>
        <v>7736.4</v>
      </c>
      <c r="J2901" s="100">
        <f t="shared" si="455"/>
        <v>1.0348314606741573</v>
      </c>
      <c r="K2901" s="51">
        <f>VLOOKUP(B:B,'生產達成率(目標)'!A:C,3,0)</f>
        <v>1</v>
      </c>
      <c r="L2901" s="20">
        <f t="shared" si="456"/>
        <v>3.5000000000000003E-2</v>
      </c>
      <c r="M2901" s="137" t="str">
        <f>工時!R2085</f>
        <v>490</v>
      </c>
      <c r="N2901" s="374"/>
      <c r="O2901" s="374">
        <f t="shared" si="457"/>
        <v>1</v>
      </c>
      <c r="P2901" s="156">
        <v>2762</v>
      </c>
      <c r="Q2901" s="98">
        <f t="shared" si="458"/>
        <v>0.99963807455664133</v>
      </c>
      <c r="R2901" s="371"/>
      <c r="S2901" s="372"/>
      <c r="T2901" s="364"/>
      <c r="U2901" s="264"/>
      <c r="V2901" s="463"/>
      <c r="X2901" s="463"/>
    </row>
    <row r="2902" spans="1:30" s="381" customFormat="1" x14ac:dyDescent="0.4">
      <c r="A2902" s="402">
        <v>46146</v>
      </c>
      <c r="B2902" s="392">
        <v>153010</v>
      </c>
      <c r="C2902" s="375" t="str">
        <f>VLOOKUP(B2902,'112年全品項生產鍋數'!A:H,2,0)</f>
        <v>蜜桔皮6m/m</v>
      </c>
      <c r="D2902" s="406">
        <v>0.5</v>
      </c>
      <c r="E2902" s="141">
        <f>VLOOKUP(B2902,'112年全品項生產鍋數'!A:H,3,0)</f>
        <v>1</v>
      </c>
      <c r="F2902" s="142">
        <f>VLOOKUP(B2902,'112年全品項生產鍋數'!A:H,7,0)</f>
        <v>591</v>
      </c>
      <c r="G2902" s="143">
        <f t="shared" si="453"/>
        <v>295.5</v>
      </c>
      <c r="H2902" s="156">
        <v>288</v>
      </c>
      <c r="I2902" s="374">
        <f t="shared" si="454"/>
        <v>288</v>
      </c>
      <c r="J2902" s="100">
        <f t="shared" si="455"/>
        <v>0.97461928934010156</v>
      </c>
      <c r="K2902" s="51">
        <f>VLOOKUP(B:B,'生產達成率(目標)'!A:C,3,0)</f>
        <v>1</v>
      </c>
      <c r="L2902" s="20">
        <f t="shared" si="456"/>
        <v>-2.5000000000000001E-2</v>
      </c>
      <c r="M2902" s="137" t="str">
        <f>工時!R2086</f>
        <v>0</v>
      </c>
      <c r="N2902" s="374"/>
      <c r="O2902" s="374">
        <f t="shared" si="457"/>
        <v>0</v>
      </c>
      <c r="P2902" s="156">
        <v>288</v>
      </c>
      <c r="Q2902" s="145">
        <f t="shared" si="458"/>
        <v>1</v>
      </c>
      <c r="R2902" s="374"/>
      <c r="S2902" s="378"/>
      <c r="T2902" s="375"/>
      <c r="U2902" s="398"/>
      <c r="V2902" s="464"/>
      <c r="W2902" s="421"/>
      <c r="X2902" s="464"/>
      <c r="Y2902" s="421"/>
      <c r="Z2902" s="421"/>
      <c r="AA2902" s="421"/>
      <c r="AB2902" s="421"/>
      <c r="AC2902" s="421"/>
      <c r="AD2902" s="421"/>
    </row>
    <row r="2903" spans="1:30" s="381" customFormat="1" x14ac:dyDescent="0.4">
      <c r="A2903" s="402">
        <v>46147</v>
      </c>
      <c r="B2903" s="392" t="s">
        <v>61</v>
      </c>
      <c r="C2903" s="375" t="str">
        <f>VLOOKUP(B2903,'112年全品項生產鍋數'!A:H,2,0)</f>
        <v>大圓草莓-新</v>
      </c>
      <c r="D2903" s="406">
        <v>40</v>
      </c>
      <c r="E2903" s="141">
        <f>VLOOKUP(B2903,'112年全品項生產鍋數'!A:H,3,0)</f>
        <v>0.44</v>
      </c>
      <c r="F2903" s="142">
        <f>VLOOKUP(B2903,'112年全品項生產鍋數'!A:H,7,0)</f>
        <v>344</v>
      </c>
      <c r="G2903" s="143">
        <f t="shared" si="453"/>
        <v>13760</v>
      </c>
      <c r="H2903" s="156">
        <v>13386</v>
      </c>
      <c r="I2903" s="374">
        <f t="shared" si="454"/>
        <v>5889.84</v>
      </c>
      <c r="J2903" s="100">
        <f t="shared" si="455"/>
        <v>0.97281976744186049</v>
      </c>
      <c r="K2903" s="51">
        <f>VLOOKUP(B:B,'生產達成率(目標)'!A:C,3,0)</f>
        <v>1</v>
      </c>
      <c r="L2903" s="20">
        <f t="shared" si="456"/>
        <v>-2.7E-2</v>
      </c>
      <c r="M2903" s="137" t="str">
        <f>工時!R2087</f>
        <v>540</v>
      </c>
      <c r="N2903" s="374"/>
      <c r="O2903" s="374">
        <f t="shared" si="457"/>
        <v>18</v>
      </c>
      <c r="P2903" s="156">
        <v>13368</v>
      </c>
      <c r="Q2903" s="145">
        <f t="shared" si="458"/>
        <v>0.99865531151949793</v>
      </c>
      <c r="R2903" s="374"/>
      <c r="S2903" s="378"/>
      <c r="T2903" s="375"/>
      <c r="U2903" s="398"/>
      <c r="V2903" s="464"/>
      <c r="W2903" s="421"/>
      <c r="X2903" s="464"/>
      <c r="Y2903" s="421"/>
      <c r="Z2903" s="421"/>
      <c r="AA2903" s="421"/>
      <c r="AB2903" s="421"/>
      <c r="AC2903" s="421"/>
      <c r="AD2903" s="421"/>
    </row>
    <row r="2904" spans="1:30" x14ac:dyDescent="0.4">
      <c r="A2904" s="402">
        <v>46147</v>
      </c>
      <c r="B2904" s="392" t="s">
        <v>64</v>
      </c>
      <c r="C2904" s="364" t="str">
        <f>VLOOKUP(B2904,'112年全品項生產鍋數'!A:H,2,0)</f>
        <v>藍莓餡(1*6KG)</v>
      </c>
      <c r="D2904" s="404">
        <v>28</v>
      </c>
      <c r="E2904" s="48">
        <f>VLOOKUP(B2904,'112年全品項生產鍋數'!A:H,3,0)</f>
        <v>6</v>
      </c>
      <c r="F2904" s="142">
        <f>VLOOKUP(B2904,'112年全品項生產鍋數'!A:H,7,0)</f>
        <v>25.4</v>
      </c>
      <c r="G2904" s="143">
        <f t="shared" si="453"/>
        <v>711.19999999999993</v>
      </c>
      <c r="H2904" s="156">
        <f>411+311</f>
        <v>722</v>
      </c>
      <c r="I2904" s="371">
        <f t="shared" si="454"/>
        <v>4332</v>
      </c>
      <c r="J2904" s="100">
        <f t="shared" si="455"/>
        <v>1.0151856017997751</v>
      </c>
      <c r="K2904" s="51">
        <f>VLOOKUP(B:B,'生產達成率(目標)'!A:C,3,0)</f>
        <v>1</v>
      </c>
      <c r="L2904" s="20">
        <f t="shared" si="456"/>
        <v>1.4999999999999999E-2</v>
      </c>
      <c r="M2904" s="137" t="str">
        <f>工時!R2088</f>
        <v>357</v>
      </c>
      <c r="N2904" s="374"/>
      <c r="O2904" s="374">
        <f t="shared" si="457"/>
        <v>1</v>
      </c>
      <c r="P2904" s="156">
        <f>410+311</f>
        <v>721</v>
      </c>
      <c r="Q2904" s="98">
        <f t="shared" si="458"/>
        <v>0.99861495844875348</v>
      </c>
      <c r="R2904" s="371"/>
      <c r="S2904" s="372"/>
      <c r="T2904" s="364"/>
      <c r="U2904" s="264"/>
      <c r="V2904" s="463"/>
      <c r="X2904" s="463"/>
    </row>
    <row r="2905" spans="1:30" x14ac:dyDescent="0.4">
      <c r="A2905" s="402">
        <v>46147</v>
      </c>
      <c r="B2905" s="392" t="s">
        <v>133</v>
      </c>
      <c r="C2905" s="364" t="str">
        <f>VLOOKUP(B2905,'112年全品項生產鍋數'!A:H,2,0)</f>
        <v>藍莓餡(1*6KG)</v>
      </c>
      <c r="D2905" s="404">
        <v>6</v>
      </c>
      <c r="E2905" s="48">
        <f>VLOOKUP(B2905,'112年全品項生產鍋數'!A:H,3,0)</f>
        <v>6</v>
      </c>
      <c r="F2905" s="142">
        <f>VLOOKUP(B2905,'112年全品項生產鍋數'!A:H,7,0)</f>
        <v>25.5</v>
      </c>
      <c r="G2905" s="143">
        <f t="shared" si="453"/>
        <v>153</v>
      </c>
      <c r="H2905" s="156">
        <v>152</v>
      </c>
      <c r="I2905" s="371">
        <f t="shared" si="454"/>
        <v>912</v>
      </c>
      <c r="J2905" s="100">
        <f t="shared" si="455"/>
        <v>0.99346405228758172</v>
      </c>
      <c r="K2905" s="51">
        <f>VLOOKUP(B:B,'生產達成率(目標)'!A:C,3,0)</f>
        <v>1</v>
      </c>
      <c r="L2905" s="20">
        <f t="shared" si="456"/>
        <v>-7.0000000000000001E-3</v>
      </c>
      <c r="M2905" s="137" t="str">
        <f>工時!R2089</f>
        <v>114</v>
      </c>
      <c r="N2905" s="374"/>
      <c r="O2905" s="374">
        <f t="shared" si="457"/>
        <v>1</v>
      </c>
      <c r="P2905" s="156">
        <v>151</v>
      </c>
      <c r="Q2905" s="98">
        <f t="shared" si="458"/>
        <v>0.99342105263157898</v>
      </c>
      <c r="R2905" s="371"/>
      <c r="S2905" s="372"/>
      <c r="T2905" s="364" t="s">
        <v>1153</v>
      </c>
      <c r="U2905" s="264"/>
      <c r="V2905" s="463"/>
      <c r="X2905" s="463"/>
    </row>
    <row r="2906" spans="1:30" x14ac:dyDescent="0.4">
      <c r="A2906" s="402">
        <v>46147</v>
      </c>
      <c r="B2906" s="392" t="s">
        <v>1060</v>
      </c>
      <c r="C2906" s="364" t="str">
        <f>VLOOKUP(B2906,'112年全品項生產鍋數'!A:H,2,0)</f>
        <v>草莓蔓越莓餡(1*6KG)</v>
      </c>
      <c r="D2906" s="404">
        <v>4</v>
      </c>
      <c r="E2906" s="48">
        <f>VLOOKUP(B2906,'112年全品項生產鍋數'!A:H,3,0)</f>
        <v>6</v>
      </c>
      <c r="F2906" s="142">
        <f>VLOOKUP(B2906,'112年全品項生產鍋數'!A:H,7,0)</f>
        <v>25.2</v>
      </c>
      <c r="G2906" s="143">
        <f t="shared" si="453"/>
        <v>100.8</v>
      </c>
      <c r="H2906" s="156">
        <v>101</v>
      </c>
      <c r="I2906" s="371">
        <f t="shared" si="454"/>
        <v>606</v>
      </c>
      <c r="J2906" s="100">
        <f t="shared" si="455"/>
        <v>1.001984126984127</v>
      </c>
      <c r="K2906" s="51" t="e">
        <f>VLOOKUP(B:B,'生產達成率(目標)'!A:C,3,0)</f>
        <v>#N/A</v>
      </c>
      <c r="L2906" s="20" t="e">
        <f t="shared" si="456"/>
        <v>#N/A</v>
      </c>
      <c r="M2906" s="137" t="str">
        <f>工時!R2090</f>
        <v>120</v>
      </c>
      <c r="N2906" s="374"/>
      <c r="O2906" s="374">
        <f t="shared" si="457"/>
        <v>3</v>
      </c>
      <c r="P2906" s="156">
        <v>98</v>
      </c>
      <c r="Q2906" s="98">
        <f t="shared" si="458"/>
        <v>0.97029702970297027</v>
      </c>
      <c r="R2906" s="371"/>
      <c r="S2906" s="372"/>
      <c r="T2906" s="364" t="s">
        <v>1153</v>
      </c>
      <c r="U2906" s="264"/>
      <c r="V2906" s="463"/>
      <c r="X2906" s="463"/>
    </row>
    <row r="2907" spans="1:30" x14ac:dyDescent="0.4">
      <c r="A2907" s="402">
        <v>46147</v>
      </c>
      <c r="B2907" s="392" t="s">
        <v>65</v>
      </c>
      <c r="C2907" s="364" t="str">
        <f>VLOOKUP(B2907,'112年全品項生產鍋數'!A:H,2,0)</f>
        <v>＃1花生(1*2.8kg)</v>
      </c>
      <c r="D2907" s="404">
        <v>60</v>
      </c>
      <c r="E2907" s="48">
        <f>VLOOKUP(B2907,'112年全品項生產鍋數'!A:H,3,0)</f>
        <v>2.8</v>
      </c>
      <c r="F2907" s="142">
        <f>VLOOKUP(B2907,'112年全品項生產鍋數'!A:H,7,0)</f>
        <v>44.5</v>
      </c>
      <c r="G2907" s="143">
        <f t="shared" si="453"/>
        <v>2670</v>
      </c>
      <c r="H2907" s="156">
        <v>2784</v>
      </c>
      <c r="I2907" s="371">
        <f t="shared" si="454"/>
        <v>7795.2</v>
      </c>
      <c r="J2907" s="100">
        <f t="shared" si="455"/>
        <v>1.0426966292134832</v>
      </c>
      <c r="K2907" s="51">
        <f>VLOOKUP(B:B,'生產達成率(目標)'!A:C,3,0)</f>
        <v>1</v>
      </c>
      <c r="L2907" s="20">
        <f t="shared" si="456"/>
        <v>4.2999999999999997E-2</v>
      </c>
      <c r="M2907" s="137" t="str">
        <f>工時!R2091</f>
        <v>470</v>
      </c>
      <c r="N2907" s="374"/>
      <c r="O2907" s="374">
        <f t="shared" si="457"/>
        <v>2</v>
      </c>
      <c r="P2907" s="156">
        <v>2782</v>
      </c>
      <c r="Q2907" s="98">
        <f t="shared" si="458"/>
        <v>0.99928160919540232</v>
      </c>
      <c r="R2907" s="371"/>
      <c r="S2907" s="372"/>
      <c r="T2907" s="364" t="s">
        <v>1153</v>
      </c>
      <c r="U2907" s="264"/>
      <c r="V2907" s="463"/>
      <c r="X2907" s="463"/>
    </row>
    <row r="2908" spans="1:30" x14ac:dyDescent="0.4">
      <c r="A2908" s="402">
        <v>46147</v>
      </c>
      <c r="B2908" s="392">
        <v>152010</v>
      </c>
      <c r="C2908" s="364" t="str">
        <f>VLOOKUP(B2908,'112年全品項生產鍋數'!A:H,2,0)</f>
        <v>蜜綠果6m/m</v>
      </c>
      <c r="D2908" s="404">
        <v>1</v>
      </c>
      <c r="E2908" s="48">
        <f>VLOOKUP(B2908,'112年全品項生產鍋數'!A:H,3,0)</f>
        <v>1</v>
      </c>
      <c r="F2908" s="142">
        <f>VLOOKUP(B2908,'112年全品項生產鍋數'!A:H,7,0)</f>
        <v>139</v>
      </c>
      <c r="G2908" s="143">
        <f t="shared" si="453"/>
        <v>139</v>
      </c>
      <c r="H2908" s="156">
        <v>156</v>
      </c>
      <c r="I2908" s="371">
        <f t="shared" si="454"/>
        <v>156</v>
      </c>
      <c r="J2908" s="100">
        <f t="shared" si="455"/>
        <v>1.1223021582733812</v>
      </c>
      <c r="K2908" s="51">
        <f>VLOOKUP(B:B,'生產達成率(目標)'!A:C,3,0)</f>
        <v>1</v>
      </c>
      <c r="L2908" s="20">
        <f t="shared" si="456"/>
        <v>0.122</v>
      </c>
      <c r="M2908" s="137" t="str">
        <f>工時!R2092</f>
        <v>0</v>
      </c>
      <c r="N2908" s="374"/>
      <c r="O2908" s="374">
        <f t="shared" si="457"/>
        <v>0</v>
      </c>
      <c r="P2908" s="156">
        <v>156</v>
      </c>
      <c r="Q2908" s="98">
        <f t="shared" si="458"/>
        <v>1</v>
      </c>
      <c r="R2908" s="371"/>
      <c r="S2908" s="372"/>
      <c r="T2908" s="364" t="s">
        <v>1153</v>
      </c>
      <c r="U2908" s="264"/>
      <c r="V2908" s="463"/>
      <c r="X2908" s="463"/>
    </row>
    <row r="2909" spans="1:30" x14ac:dyDescent="0.4">
      <c r="A2909" s="402">
        <v>46148</v>
      </c>
      <c r="B2909" s="392" t="s">
        <v>87</v>
      </c>
      <c r="C2909" s="364" t="str">
        <f>VLOOKUP(B2909,'112年全品項生產鍋數'!A:H,2,0)</f>
        <v>＃1藍莓(1*3.2kg)</v>
      </c>
      <c r="D2909" s="404">
        <v>32</v>
      </c>
      <c r="E2909" s="48">
        <f>VLOOKUP(B2909,'112年全品項生產鍋數'!A:H,3,0)</f>
        <v>3.2</v>
      </c>
      <c r="F2909" s="142">
        <f>VLOOKUP(B2909,'112年全品項生產鍋數'!A:H,7,0)</f>
        <v>47.5</v>
      </c>
      <c r="G2909" s="143">
        <f t="shared" si="453"/>
        <v>1520</v>
      </c>
      <c r="H2909" s="156">
        <v>1470</v>
      </c>
      <c r="I2909" s="371">
        <f t="shared" si="454"/>
        <v>4704</v>
      </c>
      <c r="J2909" s="100">
        <f t="shared" si="455"/>
        <v>0.96710526315789469</v>
      </c>
      <c r="K2909" s="51">
        <f>VLOOKUP(B:B,'生產達成率(目標)'!A:C,3,0)</f>
        <v>1</v>
      </c>
      <c r="L2909" s="20">
        <f t="shared" si="456"/>
        <v>-3.3000000000000002E-2</v>
      </c>
      <c r="M2909" s="137" t="str">
        <f>工時!R2093</f>
        <v>270</v>
      </c>
      <c r="N2909" s="374"/>
      <c r="O2909" s="374">
        <f t="shared" si="457"/>
        <v>2</v>
      </c>
      <c r="P2909" s="156">
        <v>1468</v>
      </c>
      <c r="Q2909" s="98">
        <f t="shared" si="458"/>
        <v>0.99863945578231295</v>
      </c>
      <c r="R2909" s="371"/>
      <c r="S2909" s="372"/>
      <c r="T2909" s="364" t="s">
        <v>1153</v>
      </c>
      <c r="U2909" s="264"/>
      <c r="V2909" s="463"/>
      <c r="X2909" s="463"/>
    </row>
    <row r="2910" spans="1:30" x14ac:dyDescent="0.4">
      <c r="A2910" s="402">
        <v>46148</v>
      </c>
      <c r="B2910" s="392" t="s">
        <v>68</v>
      </c>
      <c r="C2910" s="364" t="str">
        <f>VLOOKUP(B2910,'112年全品項生產鍋數'!A:H,2,0)</f>
        <v>#2草莓果醬(1*900g)</v>
      </c>
      <c r="D2910" s="404">
        <v>20</v>
      </c>
      <c r="E2910" s="48">
        <f>VLOOKUP(B2910,'112年全品項生產鍋數'!A:H,3,0)</f>
        <v>0.9</v>
      </c>
      <c r="F2910" s="142">
        <f>VLOOKUP(B2910,'112年全品項生產鍋數'!A:H,7,0)</f>
        <v>160.5</v>
      </c>
      <c r="G2910" s="143">
        <f t="shared" si="453"/>
        <v>3210</v>
      </c>
      <c r="H2910" s="156">
        <v>3173</v>
      </c>
      <c r="I2910" s="371">
        <f t="shared" si="454"/>
        <v>2855.7000000000003</v>
      </c>
      <c r="J2910" s="100">
        <f t="shared" si="455"/>
        <v>0.98847352024922119</v>
      </c>
      <c r="K2910" s="51">
        <f>VLOOKUP(B:B,'生產達成率(目標)'!A:C,3,0)</f>
        <v>1</v>
      </c>
      <c r="L2910" s="20">
        <f t="shared" si="456"/>
        <v>-1.2E-2</v>
      </c>
      <c r="M2910" s="137" t="str">
        <f>工時!R2094</f>
        <v>300</v>
      </c>
      <c r="N2910" s="374"/>
      <c r="O2910" s="374">
        <f t="shared" si="457"/>
        <v>2</v>
      </c>
      <c r="P2910" s="156">
        <v>3171</v>
      </c>
      <c r="Q2910" s="98">
        <f t="shared" si="458"/>
        <v>0.99936968168925311</v>
      </c>
      <c r="R2910" s="371"/>
      <c r="S2910" s="372"/>
      <c r="T2910" s="364" t="s">
        <v>1153</v>
      </c>
      <c r="U2910" s="264"/>
      <c r="V2910" s="463"/>
      <c r="X2910" s="463"/>
    </row>
    <row r="2911" spans="1:30" x14ac:dyDescent="0.4">
      <c r="A2911" s="402">
        <v>46148</v>
      </c>
      <c r="B2911" s="392" t="s">
        <v>54</v>
      </c>
      <c r="C2911" s="364" t="str">
        <f>VLOOKUP(B2911,'112年全品項生產鍋數'!A:H,2,0)</f>
        <v>草莓醬(1*6kg)</v>
      </c>
      <c r="D2911" s="404">
        <v>30</v>
      </c>
      <c r="E2911" s="48">
        <f>VLOOKUP(B2911,'112年全品項生產鍋數'!A:H,3,0)</f>
        <v>6</v>
      </c>
      <c r="F2911" s="142">
        <f>VLOOKUP(B2911,'112年全品項生產鍋數'!A:H,7,0)</f>
        <v>26.6</v>
      </c>
      <c r="G2911" s="143">
        <f t="shared" si="453"/>
        <v>798</v>
      </c>
      <c r="H2911" s="156">
        <v>789</v>
      </c>
      <c r="I2911" s="371">
        <f t="shared" si="454"/>
        <v>4734</v>
      </c>
      <c r="J2911" s="100">
        <f t="shared" si="455"/>
        <v>0.98872180451127822</v>
      </c>
      <c r="K2911" s="51">
        <f>VLOOKUP(B:B,'生產達成率(目標)'!A:C,3,0)</f>
        <v>1</v>
      </c>
      <c r="L2911" s="20">
        <f t="shared" si="456"/>
        <v>-1.0999999999999999E-2</v>
      </c>
      <c r="M2911" s="137" t="str">
        <f>工時!R2095</f>
        <v>325</v>
      </c>
      <c r="N2911" s="374"/>
      <c r="O2911" s="374">
        <f t="shared" si="457"/>
        <v>1</v>
      </c>
      <c r="P2911" s="156">
        <v>788</v>
      </c>
      <c r="Q2911" s="98">
        <f t="shared" si="458"/>
        <v>0.99873257287705952</v>
      </c>
      <c r="R2911" s="371"/>
      <c r="S2911" s="372"/>
      <c r="T2911" s="364" t="s">
        <v>1153</v>
      </c>
      <c r="U2911" s="264"/>
      <c r="V2911" s="463"/>
      <c r="X2911" s="463"/>
    </row>
    <row r="2912" spans="1:30" x14ac:dyDescent="0.4">
      <c r="A2912" s="402">
        <v>46148</v>
      </c>
      <c r="B2912" s="392" t="s">
        <v>63</v>
      </c>
      <c r="C2912" s="364" t="str">
        <f>VLOOKUP(B2912,'112年全品項生產鍋數'!A:H,2,0)</f>
        <v>草莓蒟蒻餡(1*6kg)</v>
      </c>
      <c r="D2912" s="404">
        <v>16</v>
      </c>
      <c r="E2912" s="48">
        <f>VLOOKUP(B2912,'112年全品項生產鍋數'!A:H,3,0)</f>
        <v>6</v>
      </c>
      <c r="F2912" s="142">
        <f>VLOOKUP(B2912,'112年全品項生產鍋數'!A:H,7,0)</f>
        <v>25.7</v>
      </c>
      <c r="G2912" s="143">
        <f t="shared" si="453"/>
        <v>411.2</v>
      </c>
      <c r="H2912" s="156">
        <f>195+210</f>
        <v>405</v>
      </c>
      <c r="I2912" s="371">
        <f t="shared" si="454"/>
        <v>2430</v>
      </c>
      <c r="J2912" s="100">
        <f t="shared" si="455"/>
        <v>0.9849221789883269</v>
      </c>
      <c r="K2912" s="51">
        <f>VLOOKUP(B:B,'生產達成率(目標)'!A:C,3,0)</f>
        <v>1</v>
      </c>
      <c r="L2912" s="20">
        <f t="shared" si="456"/>
        <v>-1.4999999999999999E-2</v>
      </c>
      <c r="M2912" s="137" t="str">
        <f>工時!R2096</f>
        <v>210</v>
      </c>
      <c r="N2912" s="374"/>
      <c r="O2912" s="374">
        <f t="shared" si="457"/>
        <v>2</v>
      </c>
      <c r="P2912" s="156">
        <f>193+210</f>
        <v>403</v>
      </c>
      <c r="Q2912" s="98">
        <f t="shared" si="458"/>
        <v>0.99506172839506168</v>
      </c>
      <c r="R2912" s="371"/>
      <c r="S2912" s="372"/>
      <c r="T2912" s="364"/>
      <c r="U2912" s="264"/>
      <c r="V2912" s="463"/>
      <c r="X2912" s="463"/>
    </row>
    <row r="2913" spans="1:30" s="381" customFormat="1" x14ac:dyDescent="0.4">
      <c r="A2913" s="402">
        <v>46148</v>
      </c>
      <c r="B2913" s="392" t="s">
        <v>58</v>
      </c>
      <c r="C2913" s="375" t="str">
        <f>VLOOKUP(B2913,'112年全品項生產鍋數'!A:H,2,0)</f>
        <v>PET大花生(1*400g)</v>
      </c>
      <c r="D2913" s="406">
        <v>24</v>
      </c>
      <c r="E2913" s="141">
        <f>VLOOKUP(B2913,'112年全品項生產鍋數'!A:H,3,0)</f>
        <v>0.4</v>
      </c>
      <c r="F2913" s="142">
        <f>VLOOKUP(B2913,'112年全品項生產鍋數'!A:H,7,0)</f>
        <v>309.2</v>
      </c>
      <c r="G2913" s="143">
        <f t="shared" si="453"/>
        <v>7420.7999999999993</v>
      </c>
      <c r="H2913" s="156">
        <v>7580</v>
      </c>
      <c r="I2913" s="374">
        <f t="shared" si="454"/>
        <v>3032</v>
      </c>
      <c r="J2913" s="100">
        <f t="shared" si="455"/>
        <v>1.0214532125916345</v>
      </c>
      <c r="K2913" s="51">
        <f>VLOOKUP(B:B,'生產達成率(目標)'!A:C,3,0)</f>
        <v>1</v>
      </c>
      <c r="L2913" s="20">
        <f t="shared" si="456"/>
        <v>2.1000000000000001E-2</v>
      </c>
      <c r="M2913" s="137" t="str">
        <f>工時!R2097</f>
        <v>345</v>
      </c>
      <c r="N2913" s="374"/>
      <c r="O2913" s="374">
        <f t="shared" si="457"/>
        <v>3</v>
      </c>
      <c r="P2913" s="156">
        <v>7577</v>
      </c>
      <c r="Q2913" s="145">
        <f t="shared" si="458"/>
        <v>0.99960422163588392</v>
      </c>
      <c r="R2913" s="374"/>
      <c r="S2913" s="378"/>
      <c r="T2913" s="375" t="s">
        <v>1153</v>
      </c>
      <c r="U2913" s="398"/>
      <c r="V2913" s="464"/>
      <c r="W2913" s="421"/>
      <c r="X2913" s="464"/>
      <c r="Y2913" s="421"/>
      <c r="Z2913" s="421"/>
      <c r="AA2913" s="421"/>
      <c r="AB2913" s="421"/>
      <c r="AC2913" s="421"/>
      <c r="AD2913" s="421"/>
    </row>
    <row r="2914" spans="1:30" s="381" customFormat="1" x14ac:dyDescent="0.4">
      <c r="A2914" s="402">
        <v>46148</v>
      </c>
      <c r="B2914" s="392" t="s">
        <v>96</v>
      </c>
      <c r="C2914" s="375" t="str">
        <f>VLOOKUP(B2914,'112年全品項生產鍋數'!A:H,2,0)</f>
        <v>PET瓶花生(1*340g)</v>
      </c>
      <c r="D2914" s="406">
        <v>12</v>
      </c>
      <c r="E2914" s="141">
        <f>VLOOKUP(B2914,'112年全品項生產鍋數'!A:H,3,0)</f>
        <v>0.34</v>
      </c>
      <c r="F2914" s="142">
        <f>VLOOKUP(B2914,'112年全品項生產鍋數'!A:H,7,0)</f>
        <v>358.3</v>
      </c>
      <c r="G2914" s="143">
        <f t="shared" si="453"/>
        <v>4299.6000000000004</v>
      </c>
      <c r="H2914" s="156">
        <f>1820+2400</f>
        <v>4220</v>
      </c>
      <c r="I2914" s="374">
        <f t="shared" si="454"/>
        <v>1434.8000000000002</v>
      </c>
      <c r="J2914" s="100">
        <f t="shared" si="455"/>
        <v>0.98148664992092283</v>
      </c>
      <c r="K2914" s="51">
        <f>VLOOKUP(B:B,'生產達成率(目標)'!A:C,3,0)</f>
        <v>1</v>
      </c>
      <c r="L2914" s="20">
        <f t="shared" si="456"/>
        <v>-1.9E-2</v>
      </c>
      <c r="M2914" s="137" t="str">
        <f>工時!R2098</f>
        <v>170</v>
      </c>
      <c r="N2914" s="374"/>
      <c r="O2914" s="374">
        <f t="shared" si="457"/>
        <v>3</v>
      </c>
      <c r="P2914" s="156">
        <f>2400+1817</f>
        <v>4217</v>
      </c>
      <c r="Q2914" s="145">
        <f t="shared" si="458"/>
        <v>0.99928909952606637</v>
      </c>
      <c r="R2914" s="374"/>
      <c r="S2914" s="378"/>
      <c r="T2914" s="375" t="s">
        <v>1686</v>
      </c>
      <c r="U2914" s="398"/>
      <c r="V2914" s="464"/>
      <c r="W2914" s="421"/>
      <c r="X2914" s="464"/>
      <c r="Y2914" s="421"/>
      <c r="Z2914" s="421"/>
      <c r="AA2914" s="421"/>
      <c r="AB2914" s="421"/>
      <c r="AC2914" s="421"/>
      <c r="AD2914" s="421"/>
    </row>
    <row r="2915" spans="1:30" s="381" customFormat="1" x14ac:dyDescent="0.4">
      <c r="A2915" s="402">
        <v>46149</v>
      </c>
      <c r="B2915" s="392" t="s">
        <v>114</v>
      </c>
      <c r="C2915" s="375" t="str">
        <f>VLOOKUP(B2915,'112年全品項生產鍋數'!A:H,2,0)</f>
        <v>開心草莓果醬(1*430g)</v>
      </c>
      <c r="D2915" s="406">
        <v>15</v>
      </c>
      <c r="E2915" s="141">
        <f>VLOOKUP(B2915,'112年全品項生產鍋數'!A:H,3,0)</f>
        <v>0.43</v>
      </c>
      <c r="F2915" s="142">
        <f>VLOOKUP(B2915,'112年全品項生產鍋數'!A:H,7,0)</f>
        <v>364</v>
      </c>
      <c r="G2915" s="143">
        <f t="shared" si="453"/>
        <v>5460</v>
      </c>
      <c r="H2915" s="156">
        <v>5471</v>
      </c>
      <c r="I2915" s="374">
        <f t="shared" si="454"/>
        <v>2352.5299999999997</v>
      </c>
      <c r="J2915" s="100">
        <f t="shared" si="455"/>
        <v>1.002014652014652</v>
      </c>
      <c r="K2915" s="51">
        <f>VLOOKUP(B:B,'生產達成率(目標)'!A:C,3,0)</f>
        <v>1</v>
      </c>
      <c r="L2915" s="20">
        <f t="shared" si="456"/>
        <v>2E-3</v>
      </c>
      <c r="M2915" s="137" t="str">
        <f>工時!R2099</f>
        <v>300</v>
      </c>
      <c r="N2915" s="374"/>
      <c r="O2915" s="374">
        <f t="shared" si="457"/>
        <v>11</v>
      </c>
      <c r="P2915" s="156">
        <v>5460</v>
      </c>
      <c r="Q2915" s="145">
        <f t="shared" si="458"/>
        <v>0.99798939864741365</v>
      </c>
      <c r="R2915" s="374"/>
      <c r="S2915" s="378"/>
      <c r="T2915" s="375"/>
      <c r="U2915" s="398"/>
      <c r="V2915" s="464"/>
      <c r="W2915" s="421"/>
      <c r="X2915" s="464"/>
      <c r="Y2915" s="421"/>
      <c r="Z2915" s="421"/>
      <c r="AA2915" s="421"/>
      <c r="AB2915" s="421"/>
      <c r="AC2915" s="421"/>
      <c r="AD2915" s="421"/>
    </row>
    <row r="2916" spans="1:30" s="381" customFormat="1" x14ac:dyDescent="0.4">
      <c r="A2916" s="402">
        <v>46149</v>
      </c>
      <c r="B2916" s="392" t="s">
        <v>106</v>
      </c>
      <c r="C2916" s="375" t="str">
        <f>VLOOKUP(B2916,'112年全品項生產鍋數'!A:H,2,0)</f>
        <v>小藍莓1*260G</v>
      </c>
      <c r="D2916" s="406">
        <v>16</v>
      </c>
      <c r="E2916" s="141">
        <f>VLOOKUP(B2916,'112年全品項生產鍋數'!A:H,3,0)</f>
        <v>0.26</v>
      </c>
      <c r="F2916" s="142">
        <f>VLOOKUP(B2916,'112年全品項生產鍋數'!A:H,7,0)</f>
        <v>584.29999999999995</v>
      </c>
      <c r="G2916" s="143">
        <f t="shared" si="453"/>
        <v>9348.7999999999993</v>
      </c>
      <c r="H2916" s="156">
        <v>9360</v>
      </c>
      <c r="I2916" s="374">
        <f t="shared" si="454"/>
        <v>2433.6</v>
      </c>
      <c r="J2916" s="100">
        <f t="shared" si="455"/>
        <v>1.0011980147184667</v>
      </c>
      <c r="K2916" s="51">
        <f>VLOOKUP(B:B,'生產達成率(目標)'!A:C,3,0)</f>
        <v>1</v>
      </c>
      <c r="L2916" s="20">
        <f t="shared" si="456"/>
        <v>1E-3</v>
      </c>
      <c r="M2916" s="137" t="str">
        <f>工時!R2100</f>
        <v>330</v>
      </c>
      <c r="N2916" s="374"/>
      <c r="O2916" s="374">
        <f t="shared" si="457"/>
        <v>11</v>
      </c>
      <c r="P2916" s="156">
        <v>9349</v>
      </c>
      <c r="Q2916" s="145">
        <f t="shared" si="458"/>
        <v>0.99882478632478633</v>
      </c>
      <c r="R2916" s="374"/>
      <c r="S2916" s="378"/>
      <c r="T2916" s="375" t="s">
        <v>1684</v>
      </c>
      <c r="U2916" s="398"/>
      <c r="V2916" s="464"/>
      <c r="W2916" s="421"/>
      <c r="X2916" s="464"/>
      <c r="Y2916" s="421"/>
      <c r="Z2916" s="421"/>
      <c r="AA2916" s="421"/>
      <c r="AB2916" s="421"/>
      <c r="AC2916" s="421"/>
      <c r="AD2916" s="421"/>
    </row>
    <row r="2917" spans="1:30" x14ac:dyDescent="0.4">
      <c r="A2917" s="402">
        <v>46149</v>
      </c>
      <c r="B2917" s="392" t="s">
        <v>1287</v>
      </c>
      <c r="C2917" s="364" t="str">
        <f>VLOOKUP(B2917,'112年全品項生產鍋數'!A:H,2,0)</f>
        <v>白桃烏龍餡(1*6Kg)</v>
      </c>
      <c r="D2917" s="404">
        <v>12</v>
      </c>
      <c r="E2917" s="48">
        <f>VLOOKUP(B2917,'112年全品項生產鍋數'!A:H,3,0)</f>
        <v>6</v>
      </c>
      <c r="F2917" s="142">
        <f>VLOOKUP(B2917,'112年全品項生產鍋數'!A:H,7,0)</f>
        <v>0</v>
      </c>
      <c r="G2917" s="143">
        <f t="shared" si="453"/>
        <v>0</v>
      </c>
      <c r="H2917" s="156">
        <v>309</v>
      </c>
      <c r="I2917" s="371">
        <f t="shared" si="454"/>
        <v>1854</v>
      </c>
      <c r="J2917" s="100" t="str">
        <f t="shared" si="455"/>
        <v>無法預估數據</v>
      </c>
      <c r="K2917" s="51">
        <f>VLOOKUP(B:B,'生產達成率(目標)'!A:C,3,0)</f>
        <v>1</v>
      </c>
      <c r="L2917" s="20" t="str">
        <f t="shared" si="456"/>
        <v>無法預估數據</v>
      </c>
      <c r="M2917" s="137" t="str">
        <f>工時!R2101</f>
        <v>365</v>
      </c>
      <c r="N2917" s="374"/>
      <c r="O2917" s="374">
        <f t="shared" si="457"/>
        <v>1</v>
      </c>
      <c r="P2917" s="156">
        <v>308</v>
      </c>
      <c r="Q2917" s="98">
        <f t="shared" si="458"/>
        <v>0.99676375404530748</v>
      </c>
      <c r="R2917" s="371"/>
      <c r="S2917" s="372"/>
      <c r="T2917" s="364" t="s">
        <v>1153</v>
      </c>
      <c r="U2917" s="264"/>
      <c r="V2917" s="463"/>
      <c r="X2917" s="463"/>
    </row>
    <row r="2918" spans="1:30" x14ac:dyDescent="0.4">
      <c r="A2918" s="402">
        <v>46149</v>
      </c>
      <c r="B2918" s="392" t="s">
        <v>63</v>
      </c>
      <c r="C2918" s="364" t="str">
        <f>VLOOKUP(B2918,'112年全品項生產鍋數'!A:H,2,0)</f>
        <v>草莓蒟蒻餡(1*6kg)</v>
      </c>
      <c r="D2918" s="404">
        <v>16</v>
      </c>
      <c r="E2918" s="48">
        <f>VLOOKUP(B2918,'112年全品項生產鍋數'!A:H,3,0)</f>
        <v>6</v>
      </c>
      <c r="F2918" s="142">
        <f>VLOOKUP(B2918,'112年全品項生產鍋數'!A:H,7,0)</f>
        <v>25.7</v>
      </c>
      <c r="G2918" s="143">
        <f t="shared" si="453"/>
        <v>411.2</v>
      </c>
      <c r="H2918" s="156">
        <f>198+209</f>
        <v>407</v>
      </c>
      <c r="I2918" s="371">
        <f t="shared" si="454"/>
        <v>2442</v>
      </c>
      <c r="J2918" s="100">
        <f t="shared" si="455"/>
        <v>0.98978599221789887</v>
      </c>
      <c r="K2918" s="51">
        <f>VLOOKUP(B:B,'生產達成率(目標)'!A:C,3,0)</f>
        <v>1</v>
      </c>
      <c r="L2918" s="20">
        <f t="shared" si="456"/>
        <v>-0.01</v>
      </c>
      <c r="M2918" s="137" t="str">
        <f>工時!R2102</f>
        <v>399</v>
      </c>
      <c r="N2918" s="374"/>
      <c r="O2918" s="374">
        <f t="shared" si="457"/>
        <v>2</v>
      </c>
      <c r="P2918" s="156">
        <f>196+209</f>
        <v>405</v>
      </c>
      <c r="Q2918" s="98">
        <f t="shared" si="458"/>
        <v>0.99508599508599505</v>
      </c>
      <c r="R2918" s="371"/>
      <c r="S2918" s="372"/>
      <c r="T2918" s="364"/>
      <c r="U2918" s="264"/>
      <c r="V2918" s="463"/>
      <c r="X2918" s="463"/>
    </row>
    <row r="2919" spans="1:30" x14ac:dyDescent="0.4">
      <c r="A2919" s="402">
        <v>46149</v>
      </c>
      <c r="B2919" s="392" t="s">
        <v>72</v>
      </c>
      <c r="C2919" s="364" t="str">
        <f>VLOOKUP(B2919,'112年全品項生產鍋數'!A:H,2,0)</f>
        <v>草莓餡45%(1*6Kg)</v>
      </c>
      <c r="D2919" s="404">
        <v>12</v>
      </c>
      <c r="E2919" s="48">
        <f>VLOOKUP(B2919,'112年全品項生產鍋數'!A:H,3,0)</f>
        <v>6</v>
      </c>
      <c r="F2919" s="142">
        <f>VLOOKUP(B2919,'112年全品項生產鍋數'!A:H,7,0)</f>
        <v>26.1</v>
      </c>
      <c r="G2919" s="143">
        <f t="shared" si="453"/>
        <v>313.20000000000005</v>
      </c>
      <c r="H2919" s="156">
        <v>319</v>
      </c>
      <c r="I2919" s="371">
        <f t="shared" si="454"/>
        <v>1914</v>
      </c>
      <c r="J2919" s="100">
        <f t="shared" si="455"/>
        <v>1.0185185185185184</v>
      </c>
      <c r="K2919" s="51">
        <f>VLOOKUP(B:B,'生產達成率(目標)'!A:C,3,0)</f>
        <v>1</v>
      </c>
      <c r="L2919" s="20">
        <f t="shared" si="456"/>
        <v>1.9E-2</v>
      </c>
      <c r="M2919" s="137" t="str">
        <f>工時!R2103</f>
        <v>175</v>
      </c>
      <c r="N2919" s="374"/>
      <c r="O2919" s="374">
        <f t="shared" si="457"/>
        <v>7</v>
      </c>
      <c r="P2919" s="156">
        <v>312</v>
      </c>
      <c r="Q2919" s="98">
        <f t="shared" si="458"/>
        <v>0.9780564263322884</v>
      </c>
      <c r="R2919" s="371"/>
      <c r="S2919" s="372"/>
      <c r="T2919" s="364" t="s">
        <v>1153</v>
      </c>
      <c r="U2919" s="264"/>
      <c r="V2919" s="463"/>
      <c r="X2919" s="463"/>
    </row>
    <row r="2920" spans="1:30" x14ac:dyDescent="0.4">
      <c r="A2920" s="402">
        <v>46149</v>
      </c>
      <c r="B2920" s="392" t="s">
        <v>65</v>
      </c>
      <c r="C2920" s="364" t="str">
        <f>VLOOKUP(B2920,'112年全品項生產鍋數'!A:H,2,0)</f>
        <v>＃1花生(1*2.8kg)</v>
      </c>
      <c r="D2920" s="404">
        <v>56</v>
      </c>
      <c r="E2920" s="48">
        <f>VLOOKUP(B2920,'112年全品項生產鍋數'!A:H,3,0)</f>
        <v>2.8</v>
      </c>
      <c r="F2920" s="142">
        <f>VLOOKUP(B2920,'112年全品項生產鍋數'!A:H,7,0)</f>
        <v>44.5</v>
      </c>
      <c r="G2920" s="143">
        <f t="shared" si="453"/>
        <v>2492</v>
      </c>
      <c r="H2920" s="156">
        <v>2592</v>
      </c>
      <c r="I2920" s="371">
        <f t="shared" si="454"/>
        <v>7257.5999999999995</v>
      </c>
      <c r="J2920" s="100">
        <f t="shared" si="455"/>
        <v>1.0401284109149278</v>
      </c>
      <c r="K2920" s="51">
        <f>VLOOKUP(B:B,'生產達成率(目標)'!A:C,3,0)</f>
        <v>1</v>
      </c>
      <c r="L2920" s="20">
        <f t="shared" si="456"/>
        <v>0.04</v>
      </c>
      <c r="M2920" s="137" t="str">
        <f>工時!R2104</f>
        <v>455</v>
      </c>
      <c r="N2920" s="374"/>
      <c r="O2920" s="374">
        <f t="shared" si="457"/>
        <v>1</v>
      </c>
      <c r="P2920" s="156">
        <v>2591</v>
      </c>
      <c r="Q2920" s="98">
        <f t="shared" si="458"/>
        <v>0.99961419753086422</v>
      </c>
      <c r="R2920" s="371"/>
      <c r="S2920" s="372"/>
      <c r="T2920" s="364" t="s">
        <v>1153</v>
      </c>
      <c r="U2920" s="264"/>
      <c r="V2920" s="463"/>
      <c r="X2920" s="463"/>
    </row>
    <row r="2921" spans="1:30" x14ac:dyDescent="0.4">
      <c r="A2921" s="402">
        <v>46149</v>
      </c>
      <c r="B2921" s="392" t="s">
        <v>558</v>
      </c>
      <c r="C2921" s="364" t="str">
        <f>VLOOKUP(B2921,'112年全品項生產鍋數'!A:H,2,0)</f>
        <v>＃1花生(粒)(1*2.8kg)</v>
      </c>
      <c r="D2921" s="404">
        <v>4</v>
      </c>
      <c r="E2921" s="48">
        <f>VLOOKUP(B2921,'112年全品項生產鍋數'!A:H,3,0)</f>
        <v>2.8</v>
      </c>
      <c r="F2921" s="142">
        <f>VLOOKUP(B2921,'112年全品項生產鍋數'!A:H,7,0)</f>
        <v>44.8</v>
      </c>
      <c r="G2921" s="143">
        <f t="shared" si="453"/>
        <v>179.2</v>
      </c>
      <c r="H2921" s="156">
        <v>173</v>
      </c>
      <c r="I2921" s="371">
        <f t="shared" si="454"/>
        <v>484.4</v>
      </c>
      <c r="J2921" s="100">
        <f t="shared" si="455"/>
        <v>0.96540178571428581</v>
      </c>
      <c r="K2921" s="51">
        <f>VLOOKUP(B:B,'生產達成率(目標)'!A:C,3,0)</f>
        <v>1</v>
      </c>
      <c r="L2921" s="20">
        <f t="shared" si="456"/>
        <v>-3.5000000000000003E-2</v>
      </c>
      <c r="M2921" s="137" t="str">
        <f>工時!R2105</f>
        <v>125</v>
      </c>
      <c r="N2921" s="374"/>
      <c r="O2921" s="374">
        <f t="shared" si="457"/>
        <v>1</v>
      </c>
      <c r="P2921" s="156">
        <v>172</v>
      </c>
      <c r="Q2921" s="98">
        <f t="shared" si="458"/>
        <v>0.9942196531791907</v>
      </c>
      <c r="R2921" s="371"/>
      <c r="S2921" s="372"/>
      <c r="T2921" s="364" t="s">
        <v>1153</v>
      </c>
      <c r="U2921" s="264"/>
      <c r="V2921" s="463"/>
      <c r="X2921" s="463"/>
    </row>
    <row r="2922" spans="1:30" x14ac:dyDescent="0.4">
      <c r="A2922" s="402">
        <v>46150</v>
      </c>
      <c r="B2922" s="392" t="s">
        <v>71</v>
      </c>
      <c r="C2922" s="364" t="str">
        <f>VLOOKUP(B2922,'112年全品項生產鍋數'!A:H,2,0)</f>
        <v>＃1草莓(1*3.2kg)</v>
      </c>
      <c r="D2922" s="404">
        <v>68</v>
      </c>
      <c r="E2922" s="48">
        <f>VLOOKUP(B2922,'112年全品項生產鍋數'!A:H,3,0)</f>
        <v>3.2</v>
      </c>
      <c r="F2922" s="142">
        <f>VLOOKUP(B2922,'112年全品項生產鍋數'!A:H,7,0)</f>
        <v>46.8</v>
      </c>
      <c r="G2922" s="143">
        <f t="shared" si="453"/>
        <v>3182.3999999999996</v>
      </c>
      <c r="H2922" s="156">
        <v>3143</v>
      </c>
      <c r="I2922" s="371">
        <f t="shared" si="454"/>
        <v>10057.6</v>
      </c>
      <c r="J2922" s="100">
        <f t="shared" si="455"/>
        <v>0.98761940673705395</v>
      </c>
      <c r="K2922" s="51">
        <f>VLOOKUP(B:B,'生產達成率(目標)'!A:C,3,0)</f>
        <v>1</v>
      </c>
      <c r="L2922" s="20">
        <f t="shared" si="456"/>
        <v>-1.2E-2</v>
      </c>
      <c r="M2922" s="137" t="str">
        <f>工時!R2106</f>
        <v>540</v>
      </c>
      <c r="N2922" s="374"/>
      <c r="O2922" s="374">
        <f t="shared" si="457"/>
        <v>5</v>
      </c>
      <c r="P2922" s="156">
        <v>3138</v>
      </c>
      <c r="Q2922" s="98">
        <f t="shared" si="458"/>
        <v>0.99840916321985362</v>
      </c>
      <c r="R2922" s="371"/>
      <c r="S2922" s="372"/>
      <c r="T2922" s="364" t="s">
        <v>1153</v>
      </c>
      <c r="U2922" s="264"/>
      <c r="V2922" s="463"/>
      <c r="X2922" s="463"/>
    </row>
    <row r="2923" spans="1:30" s="381" customFormat="1" x14ac:dyDescent="0.4">
      <c r="A2923" s="402">
        <v>46150</v>
      </c>
      <c r="B2923" s="392" t="s">
        <v>51</v>
      </c>
      <c r="C2923" s="375" t="str">
        <f>VLOOKUP(B2923,'112年全品項生產鍋數'!A:H,2,0)</f>
        <v>藍莓醬(1*6kg)</v>
      </c>
      <c r="D2923" s="406">
        <v>30</v>
      </c>
      <c r="E2923" s="141">
        <f>VLOOKUP(B2923,'112年全品項生產鍋數'!A:H,3,0)</f>
        <v>6</v>
      </c>
      <c r="F2923" s="142">
        <f>VLOOKUP(B2923,'112年全品項生產鍋數'!A:H,7,0)</f>
        <v>25.5</v>
      </c>
      <c r="G2923" s="143">
        <f t="shared" si="453"/>
        <v>765</v>
      </c>
      <c r="H2923" s="156">
        <v>761</v>
      </c>
      <c r="I2923" s="374">
        <f t="shared" si="454"/>
        <v>4566</v>
      </c>
      <c r="J2923" s="100">
        <f t="shared" si="455"/>
        <v>0.99477124183006538</v>
      </c>
      <c r="K2923" s="51">
        <f>VLOOKUP(B:B,'生產達成率(目標)'!A:C,3,0)</f>
        <v>1</v>
      </c>
      <c r="L2923" s="20">
        <f t="shared" si="456"/>
        <v>-5.0000000000000001E-3</v>
      </c>
      <c r="M2923" s="137" t="str">
        <f>工時!R2107</f>
        <v>375</v>
      </c>
      <c r="N2923" s="374"/>
      <c r="O2923" s="374">
        <f t="shared" si="457"/>
        <v>14</v>
      </c>
      <c r="P2923" s="156">
        <v>747</v>
      </c>
      <c r="Q2923" s="145">
        <f t="shared" si="458"/>
        <v>0.98160315374507223</v>
      </c>
      <c r="R2923" s="374"/>
      <c r="S2923" s="378"/>
      <c r="T2923" s="375" t="s">
        <v>1153</v>
      </c>
      <c r="U2923" s="398"/>
      <c r="V2923" s="464"/>
      <c r="W2923" s="421"/>
      <c r="X2923" s="464"/>
      <c r="Y2923" s="421"/>
      <c r="Z2923" s="421"/>
      <c r="AA2923" s="421"/>
      <c r="AB2923" s="421"/>
      <c r="AC2923" s="421"/>
      <c r="AD2923" s="421"/>
    </row>
    <row r="2924" spans="1:30" x14ac:dyDescent="0.4">
      <c r="A2924" s="402">
        <v>46150</v>
      </c>
      <c r="B2924" s="392" t="s">
        <v>451</v>
      </c>
      <c r="C2924" s="364" t="str">
        <f>VLOOKUP(B2924,'112年全品項生產鍋數'!A:H,2,0)</f>
        <v>水蜜桃醬(1*6kg)</v>
      </c>
      <c r="D2924" s="404">
        <v>6</v>
      </c>
      <c r="E2924" s="48">
        <f>VLOOKUP(B2924,'112年全品項生產鍋數'!A:H,3,0)</f>
        <v>6</v>
      </c>
      <c r="F2924" s="142">
        <f>VLOOKUP(B2924,'112年全品項生產鍋數'!A:H,7,0)</f>
        <v>24.5</v>
      </c>
      <c r="G2924" s="143">
        <f t="shared" si="453"/>
        <v>147</v>
      </c>
      <c r="H2924" s="156">
        <v>151</v>
      </c>
      <c r="I2924" s="371">
        <f t="shared" si="454"/>
        <v>906</v>
      </c>
      <c r="J2924" s="100">
        <f t="shared" si="455"/>
        <v>1.0272108843537415</v>
      </c>
      <c r="K2924" s="51">
        <f>VLOOKUP(B:B,'生產達成率(目標)'!A:C,3,0)</f>
        <v>1</v>
      </c>
      <c r="L2924" s="20">
        <f t="shared" si="456"/>
        <v>2.7E-2</v>
      </c>
      <c r="M2924" s="137" t="str">
        <f>工時!R2108</f>
        <v>103</v>
      </c>
      <c r="N2924" s="374"/>
      <c r="O2924" s="374">
        <f t="shared" si="457"/>
        <v>1</v>
      </c>
      <c r="P2924" s="156">
        <v>150</v>
      </c>
      <c r="Q2924" s="98">
        <f t="shared" si="458"/>
        <v>0.99337748344370858</v>
      </c>
      <c r="R2924" s="371"/>
      <c r="S2924" s="372"/>
      <c r="T2924" s="364" t="s">
        <v>1153</v>
      </c>
      <c r="U2924" s="264"/>
      <c r="V2924" s="463"/>
      <c r="X2924" s="463"/>
    </row>
    <row r="2925" spans="1:30" x14ac:dyDescent="0.4">
      <c r="A2925" s="402">
        <v>46150</v>
      </c>
      <c r="B2925" s="392" t="s">
        <v>99</v>
      </c>
      <c r="C2925" s="364" t="str">
        <f>VLOOKUP(B2925,'112年全品項生產鍋數'!A:H,2,0)</f>
        <v>葡萄奇異果醬(1*6kg)</v>
      </c>
      <c r="D2925" s="404">
        <v>6</v>
      </c>
      <c r="E2925" s="48">
        <f>VLOOKUP(B2925,'112年全品項生產鍋數'!A:H,3,0)</f>
        <v>6</v>
      </c>
      <c r="F2925" s="142">
        <f>VLOOKUP(B2925,'112年全品項生產鍋數'!A:H,7,0)</f>
        <v>24.3</v>
      </c>
      <c r="G2925" s="143">
        <f t="shared" si="453"/>
        <v>145.80000000000001</v>
      </c>
      <c r="H2925" s="156">
        <v>182</v>
      </c>
      <c r="I2925" s="371">
        <f t="shared" si="454"/>
        <v>1092</v>
      </c>
      <c r="J2925" s="100">
        <f t="shared" si="455"/>
        <v>1.2482853223593964</v>
      </c>
      <c r="K2925" s="51">
        <f>VLOOKUP(B:B,'生產達成率(目標)'!A:C,3,0)</f>
        <v>1</v>
      </c>
      <c r="L2925" s="20">
        <f t="shared" si="456"/>
        <v>0.248</v>
      </c>
      <c r="M2925" s="137" t="str">
        <f>工時!R2109</f>
        <v>93</v>
      </c>
      <c r="N2925" s="374"/>
      <c r="O2925" s="374">
        <f t="shared" si="457"/>
        <v>6</v>
      </c>
      <c r="P2925" s="156">
        <v>176</v>
      </c>
      <c r="Q2925" s="98">
        <f t="shared" si="458"/>
        <v>0.96703296703296704</v>
      </c>
      <c r="R2925" s="371" t="s">
        <v>1179</v>
      </c>
      <c r="S2925" s="372">
        <f>36*6</f>
        <v>216</v>
      </c>
      <c r="T2925" s="364" t="s">
        <v>1153</v>
      </c>
      <c r="U2925" s="264"/>
      <c r="V2925" s="463"/>
      <c r="X2925" s="463"/>
    </row>
    <row r="2926" spans="1:30" s="381" customFormat="1" x14ac:dyDescent="0.4">
      <c r="A2926" s="402">
        <v>46150</v>
      </c>
      <c r="B2926" s="392" t="s">
        <v>597</v>
      </c>
      <c r="C2926" s="375" t="str">
        <f>VLOOKUP(B2926,'112年全品項生產鍋數'!A:H,2,0)</f>
        <v>無加糖花生醬(1*290g)</v>
      </c>
      <c r="D2926" s="406">
        <v>3</v>
      </c>
      <c r="E2926" s="141">
        <f>VLOOKUP(B2926,'112年全品項生產鍋數'!A:H,3,0)</f>
        <v>0.28999999999999998</v>
      </c>
      <c r="F2926" s="142">
        <f>VLOOKUP(B2926,'112年全品項生產鍋數'!A:H,7,0)</f>
        <v>388</v>
      </c>
      <c r="G2926" s="143">
        <f t="shared" si="453"/>
        <v>1164</v>
      </c>
      <c r="H2926" s="156">
        <v>1146</v>
      </c>
      <c r="I2926" s="374">
        <f t="shared" si="454"/>
        <v>332.34</v>
      </c>
      <c r="J2926" s="100">
        <f t="shared" si="455"/>
        <v>0.98453608247422686</v>
      </c>
      <c r="K2926" s="51">
        <f>VLOOKUP(B:B,'生產達成率(目標)'!A:C,3,0)</f>
        <v>1</v>
      </c>
      <c r="L2926" s="20">
        <f t="shared" si="456"/>
        <v>-1.4999999999999999E-2</v>
      </c>
      <c r="M2926" s="137" t="str">
        <f>工時!R2110</f>
        <v>210</v>
      </c>
      <c r="N2926" s="374"/>
      <c r="O2926" s="374">
        <f t="shared" si="457"/>
        <v>11</v>
      </c>
      <c r="P2926" s="156">
        <v>1135</v>
      </c>
      <c r="Q2926" s="145">
        <f t="shared" si="458"/>
        <v>0.99040139616055844</v>
      </c>
      <c r="R2926" s="374"/>
      <c r="S2926" s="378"/>
      <c r="T2926" s="375" t="s">
        <v>1685</v>
      </c>
      <c r="U2926" s="398"/>
      <c r="V2926" s="464"/>
      <c r="W2926" s="421"/>
      <c r="X2926" s="464"/>
      <c r="Y2926" s="421"/>
      <c r="Z2926" s="421"/>
      <c r="AA2926" s="421"/>
      <c r="AB2926" s="421"/>
      <c r="AC2926" s="421"/>
      <c r="AD2926" s="421"/>
    </row>
    <row r="2927" spans="1:30" x14ac:dyDescent="0.4">
      <c r="A2927" s="402">
        <v>46150</v>
      </c>
      <c r="B2927" s="392" t="s">
        <v>65</v>
      </c>
      <c r="C2927" s="364" t="str">
        <f>VLOOKUP(B2927,'112年全品項生產鍋數'!A:H,2,0)</f>
        <v>＃1花生(1*2.8kg)</v>
      </c>
      <c r="D2927" s="404">
        <v>40</v>
      </c>
      <c r="E2927" s="48">
        <f>VLOOKUP(B2927,'112年全品項生產鍋數'!A:H,3,0)</f>
        <v>2.8</v>
      </c>
      <c r="F2927" s="142">
        <f>VLOOKUP(B2927,'112年全品項生產鍋數'!A:H,7,0)</f>
        <v>44.5</v>
      </c>
      <c r="G2927" s="143">
        <f t="shared" si="453"/>
        <v>1780</v>
      </c>
      <c r="H2927" s="156">
        <v>1883</v>
      </c>
      <c r="I2927" s="371">
        <f t="shared" si="454"/>
        <v>5272.4</v>
      </c>
      <c r="J2927" s="100">
        <f t="shared" si="455"/>
        <v>1.0578651685393259</v>
      </c>
      <c r="K2927" s="51">
        <f>VLOOKUP(B:B,'生產達成率(目標)'!A:C,3,0)</f>
        <v>1</v>
      </c>
      <c r="L2927" s="20">
        <f t="shared" si="456"/>
        <v>5.8000000000000003E-2</v>
      </c>
      <c r="M2927" s="137" t="str">
        <f>工時!R2111</f>
        <v>465</v>
      </c>
      <c r="N2927" s="374"/>
      <c r="O2927" s="374">
        <f t="shared" si="457"/>
        <v>1</v>
      </c>
      <c r="P2927" s="156">
        <v>1882</v>
      </c>
      <c r="Q2927" s="98">
        <f t="shared" si="458"/>
        <v>0.99946893255443436</v>
      </c>
      <c r="R2927" s="371"/>
      <c r="S2927" s="372"/>
      <c r="T2927" s="364" t="s">
        <v>1153</v>
      </c>
      <c r="U2927" s="264"/>
      <c r="V2927" s="463"/>
      <c r="X2927" s="463"/>
    </row>
    <row r="2928" spans="1:30" x14ac:dyDescent="0.4">
      <c r="A2928" s="402">
        <v>46153</v>
      </c>
      <c r="B2928" s="392" t="s">
        <v>64</v>
      </c>
      <c r="C2928" s="364" t="str">
        <f>VLOOKUP(B2928,'112年全品項生產鍋數'!A:H,2,0)</f>
        <v>藍莓餡(1*6KG)</v>
      </c>
      <c r="D2928" s="404">
        <v>20</v>
      </c>
      <c r="E2928" s="48">
        <f>VLOOKUP(B2928,'112年全品項生產鍋數'!A:H,3,0)</f>
        <v>6</v>
      </c>
      <c r="F2928" s="142">
        <f>VLOOKUP(B2928,'112年全品項生產鍋數'!A:H,7,0)</f>
        <v>25.4</v>
      </c>
      <c r="G2928" s="143">
        <f t="shared" si="453"/>
        <v>508</v>
      </c>
      <c r="H2928" s="156">
        <f>296+207</f>
        <v>503</v>
      </c>
      <c r="I2928" s="371">
        <f t="shared" si="454"/>
        <v>3018</v>
      </c>
      <c r="J2928" s="100">
        <f t="shared" si="455"/>
        <v>0.99015748031496065</v>
      </c>
      <c r="K2928" s="51">
        <f>VLOOKUP(B:B,'生產達成率(目標)'!A:C,3,0)</f>
        <v>1</v>
      </c>
      <c r="L2928" s="20">
        <f t="shared" si="456"/>
        <v>-0.01</v>
      </c>
      <c r="M2928" s="137" t="str">
        <f>工時!R2112</f>
        <v>275</v>
      </c>
      <c r="N2928" s="374"/>
      <c r="O2928" s="374">
        <f t="shared" si="457"/>
        <v>1</v>
      </c>
      <c r="P2928" s="156">
        <f>295+207</f>
        <v>502</v>
      </c>
      <c r="Q2928" s="98">
        <f t="shared" si="458"/>
        <v>0.99801192842942343</v>
      </c>
      <c r="R2928" s="371"/>
      <c r="S2928" s="372"/>
      <c r="T2928" s="364"/>
      <c r="U2928" s="264"/>
      <c r="V2928" s="463"/>
      <c r="X2928" s="463"/>
    </row>
    <row r="2929" spans="1:30" x14ac:dyDescent="0.4">
      <c r="A2929" s="402">
        <v>46153</v>
      </c>
      <c r="B2929" s="392" t="s">
        <v>63</v>
      </c>
      <c r="C2929" s="364" t="str">
        <f>VLOOKUP(B2929,'112年全品項生產鍋數'!A:H,2,0)</f>
        <v>草莓蒟蒻餡(1*6kg)</v>
      </c>
      <c r="D2929" s="404">
        <v>20</v>
      </c>
      <c r="E2929" s="48">
        <f>VLOOKUP(B2929,'112年全品項生產鍋數'!A:H,3,0)</f>
        <v>6</v>
      </c>
      <c r="F2929" s="142">
        <f>VLOOKUP(B2929,'112年全品項生產鍋數'!A:H,7,0)</f>
        <v>25.7</v>
      </c>
      <c r="G2929" s="143">
        <f t="shared" si="453"/>
        <v>514</v>
      </c>
      <c r="H2929" s="156">
        <f>301+213</f>
        <v>514</v>
      </c>
      <c r="I2929" s="371">
        <f t="shared" si="454"/>
        <v>3084</v>
      </c>
      <c r="J2929" s="100">
        <f t="shared" si="455"/>
        <v>1</v>
      </c>
      <c r="K2929" s="51">
        <f>VLOOKUP(B:B,'生產達成率(目標)'!A:C,3,0)</f>
        <v>1</v>
      </c>
      <c r="L2929" s="20">
        <f t="shared" si="456"/>
        <v>0</v>
      </c>
      <c r="M2929" s="137" t="str">
        <f>工時!R2113</f>
        <v>285</v>
      </c>
      <c r="N2929" s="374"/>
      <c r="O2929" s="374">
        <f t="shared" si="457"/>
        <v>1</v>
      </c>
      <c r="P2929" s="156">
        <f>300+213</f>
        <v>513</v>
      </c>
      <c r="Q2929" s="98">
        <f t="shared" si="458"/>
        <v>0.99805447470817121</v>
      </c>
      <c r="R2929" s="371"/>
      <c r="S2929" s="372"/>
      <c r="T2929" s="364"/>
      <c r="U2929" s="264"/>
      <c r="V2929" s="463"/>
      <c r="X2929" s="463"/>
    </row>
    <row r="2930" spans="1:30" x14ac:dyDescent="0.4">
      <c r="A2930" s="402">
        <v>46153</v>
      </c>
      <c r="B2930" s="392" t="s">
        <v>110</v>
      </c>
      <c r="C2930" s="364" t="str">
        <f>VLOOKUP(B2930,'112年全品項生產鍋數'!A:H,2,0)</f>
        <v>顆粒花生醬(1*12KG)</v>
      </c>
      <c r="D2930" s="404">
        <v>21</v>
      </c>
      <c r="E2930" s="48">
        <f>VLOOKUP(B2930,'112年全品項生產鍋數'!A:H,3,0)</f>
        <v>3</v>
      </c>
      <c r="F2930" s="142">
        <f>VLOOKUP(B2930,'112年全品項生產鍋數'!A:H,7,0)</f>
        <v>30.8</v>
      </c>
      <c r="G2930" s="143">
        <f t="shared" si="453"/>
        <v>646.80000000000007</v>
      </c>
      <c r="H2930" s="156">
        <v>648</v>
      </c>
      <c r="I2930" s="371">
        <f t="shared" si="454"/>
        <v>1944</v>
      </c>
      <c r="J2930" s="100">
        <f t="shared" si="455"/>
        <v>1.0018552875695732</v>
      </c>
      <c r="K2930" s="51">
        <f>VLOOKUP(B:B,'生產達成率(目標)'!A:C,3,0)</f>
        <v>1</v>
      </c>
      <c r="L2930" s="20">
        <f t="shared" si="456"/>
        <v>2E-3</v>
      </c>
      <c r="M2930" s="137" t="str">
        <f>工時!R2114</f>
        <v>540</v>
      </c>
      <c r="N2930" s="374"/>
      <c r="O2930" s="374">
        <f t="shared" si="457"/>
        <v>0</v>
      </c>
      <c r="P2930" s="156">
        <v>648</v>
      </c>
      <c r="Q2930" s="98">
        <f t="shared" si="458"/>
        <v>1</v>
      </c>
      <c r="R2930" s="371"/>
      <c r="S2930" s="372"/>
      <c r="T2930" s="364"/>
      <c r="U2930" s="264"/>
      <c r="V2930" s="463"/>
      <c r="X2930" s="463"/>
    </row>
    <row r="2931" spans="1:30" x14ac:dyDescent="0.4">
      <c r="A2931" s="402">
        <v>46153</v>
      </c>
      <c r="B2931" s="392" t="s">
        <v>131</v>
      </c>
      <c r="C2931" s="364" t="str">
        <f>VLOOKUP(B2931,'112年全品項生產鍋數'!A:H,2,0)</f>
        <v>花生醬(1*18KG)</v>
      </c>
      <c r="D2931" s="404">
        <v>24</v>
      </c>
      <c r="E2931" s="48">
        <f>VLOOKUP(B2931,'112年全品項生產鍋數'!A:H,3,0)</f>
        <v>18</v>
      </c>
      <c r="F2931" s="142">
        <f>VLOOKUP(B2931,'112年全品項生產鍋數'!A:H,7,0)</f>
        <v>6.9</v>
      </c>
      <c r="G2931" s="143">
        <f t="shared" si="453"/>
        <v>165.60000000000002</v>
      </c>
      <c r="H2931" s="156">
        <v>167</v>
      </c>
      <c r="I2931" s="371">
        <f t="shared" si="454"/>
        <v>3006</v>
      </c>
      <c r="J2931" s="100">
        <f t="shared" si="455"/>
        <v>1.0084541062801931</v>
      </c>
      <c r="K2931" s="51">
        <f>VLOOKUP(B:B,'生產達成率(目標)'!A:C,3,0)</f>
        <v>1</v>
      </c>
      <c r="L2931" s="20">
        <f t="shared" si="456"/>
        <v>8.0000000000000002E-3</v>
      </c>
      <c r="M2931" s="137" t="str">
        <f>工時!R2115</f>
        <v>230</v>
      </c>
      <c r="N2931" s="374"/>
      <c r="O2931" s="374">
        <f t="shared" si="457"/>
        <v>0</v>
      </c>
      <c r="P2931" s="156">
        <v>167</v>
      </c>
      <c r="Q2931" s="98">
        <f t="shared" si="458"/>
        <v>1</v>
      </c>
      <c r="R2931" s="371"/>
      <c r="S2931" s="372"/>
      <c r="T2931" s="364"/>
      <c r="U2931" s="264"/>
      <c r="V2931" s="463"/>
      <c r="X2931" s="463"/>
    </row>
    <row r="2932" spans="1:30" x14ac:dyDescent="0.4">
      <c r="A2932" s="402">
        <v>46153</v>
      </c>
      <c r="B2932" s="392" t="s">
        <v>123</v>
      </c>
      <c r="C2932" s="364" t="str">
        <f>VLOOKUP(B2932,'112年全品項生產鍋數'!A:H,2,0)</f>
        <v>深烤焙花生醬(1*18KG)</v>
      </c>
      <c r="D2932" s="404">
        <v>32</v>
      </c>
      <c r="E2932" s="48">
        <f>VLOOKUP(B2932,'112年全品項生產鍋數'!A:H,3,0)</f>
        <v>18</v>
      </c>
      <c r="F2932" s="142">
        <f>VLOOKUP(B2932,'112年全品項生產鍋數'!A:H,7,0)</f>
        <v>6.9</v>
      </c>
      <c r="G2932" s="143">
        <f t="shared" si="453"/>
        <v>220.8</v>
      </c>
      <c r="H2932" s="156">
        <v>227</v>
      </c>
      <c r="I2932" s="371">
        <f t="shared" si="454"/>
        <v>4086</v>
      </c>
      <c r="J2932" s="100">
        <f t="shared" si="455"/>
        <v>1.0280797101449275</v>
      </c>
      <c r="K2932" s="51">
        <f>VLOOKUP(B:B,'生產達成率(目標)'!A:C,3,0)</f>
        <v>1</v>
      </c>
      <c r="L2932" s="20">
        <f t="shared" si="456"/>
        <v>2.8000000000000001E-2</v>
      </c>
      <c r="M2932" s="137" t="str">
        <f>工時!R2116</f>
        <v>310</v>
      </c>
      <c r="N2932" s="374"/>
      <c r="O2932" s="374">
        <f t="shared" si="457"/>
        <v>0</v>
      </c>
      <c r="P2932" s="156">
        <v>227</v>
      </c>
      <c r="Q2932" s="98">
        <f t="shared" si="458"/>
        <v>1</v>
      </c>
      <c r="R2932" s="371"/>
      <c r="S2932" s="372"/>
      <c r="T2932" s="364"/>
      <c r="U2932" s="264"/>
      <c r="V2932" s="463"/>
      <c r="X2932" s="463"/>
    </row>
    <row r="2933" spans="1:30" x14ac:dyDescent="0.4">
      <c r="A2933" s="402">
        <v>46153</v>
      </c>
      <c r="B2933" s="392" t="s">
        <v>434</v>
      </c>
      <c r="C2933" s="364" t="str">
        <f>VLOOKUP(B2933,'112年全品項生產鍋數'!A:H,2,0)</f>
        <v>蜜桔皮</v>
      </c>
      <c r="D2933" s="404">
        <v>30</v>
      </c>
      <c r="E2933" s="48">
        <f>VLOOKUP(B2933,'112年全品項生產鍋數'!A:H,3,0)</f>
        <v>1</v>
      </c>
      <c r="F2933" s="142">
        <f>VLOOKUP(B2933,'112年全品項生產鍋數'!A:H,7,0)</f>
        <v>6</v>
      </c>
      <c r="G2933" s="143">
        <f>D2933*F2933</f>
        <v>180</v>
      </c>
      <c r="H2933" s="156">
        <v>185</v>
      </c>
      <c r="I2933" s="371">
        <f>H2933*E2933</f>
        <v>185</v>
      </c>
      <c r="J2933" s="100">
        <f>IF(G2933=0,"無法預估數據",H2933/G2933)</f>
        <v>1.0277777777777777</v>
      </c>
      <c r="K2933" s="51">
        <f>VLOOKUP(B:B,'生產達成率(目標)'!A:C,3,0)</f>
        <v>1</v>
      </c>
      <c r="L2933" s="20">
        <f>IF(G2933=0,"無法預估數據",ROUND(J2933-K2933,3))</f>
        <v>2.8000000000000001E-2</v>
      </c>
      <c r="M2933" s="137" t="str">
        <f>工時!R2117</f>
        <v>0</v>
      </c>
      <c r="N2933" s="374"/>
      <c r="O2933" s="374">
        <f>H2933-N2933-P2933</f>
        <v>0</v>
      </c>
      <c r="P2933" s="156">
        <v>185</v>
      </c>
      <c r="Q2933" s="98">
        <f>P2933/H2933</f>
        <v>1</v>
      </c>
      <c r="R2933" s="371"/>
      <c r="S2933" s="372"/>
      <c r="T2933" s="364"/>
      <c r="U2933" s="264"/>
      <c r="V2933" s="463"/>
      <c r="X2933" s="463"/>
    </row>
    <row r="2934" spans="1:30" x14ac:dyDescent="0.4">
      <c r="A2934" s="402">
        <v>46153</v>
      </c>
      <c r="B2934" s="392" t="s">
        <v>500</v>
      </c>
      <c r="C2934" s="364" t="str">
        <f>VLOOKUP(B2934,'112年全品項生產鍋數'!A:H,2,0)</f>
        <v>蜜餞水果(1*1kg)</v>
      </c>
      <c r="D2934" s="404">
        <v>25</v>
      </c>
      <c r="E2934" s="48">
        <f>VLOOKUP(B2934,'112年全品項生產鍋數'!A:H,3,0)</f>
        <v>1</v>
      </c>
      <c r="F2934" s="142">
        <f>VLOOKUP(B2934,'112年全品項生產鍋數'!A:H,7,0)</f>
        <v>5.7</v>
      </c>
      <c r="G2934" s="143">
        <f>D2934*F2934</f>
        <v>142.5</v>
      </c>
      <c r="H2934" s="156">
        <v>143</v>
      </c>
      <c r="I2934" s="371">
        <f>H2934*E2934</f>
        <v>143</v>
      </c>
      <c r="J2934" s="100">
        <f>IF(G2934=0,"無法預估數據",H2934/G2934)</f>
        <v>1.0035087719298246</v>
      </c>
      <c r="K2934" s="51">
        <f>VLOOKUP(B:B,'生產達成率(目標)'!A:C,3,0)</f>
        <v>1</v>
      </c>
      <c r="L2934" s="20">
        <f>IF(G2934=0,"無法預估數據",ROUND(J2934-K2934,3))</f>
        <v>4.0000000000000001E-3</v>
      </c>
      <c r="M2934" s="137" t="str">
        <f>工時!R2118</f>
        <v>0</v>
      </c>
      <c r="N2934" s="374"/>
      <c r="O2934" s="374">
        <f>H2934-N2934-P2934</f>
        <v>0</v>
      </c>
      <c r="P2934" s="156">
        <v>143</v>
      </c>
      <c r="Q2934" s="98">
        <f>P2934/H2934</f>
        <v>1</v>
      </c>
      <c r="R2934" s="371"/>
      <c r="S2934" s="372"/>
      <c r="T2934" s="364"/>
      <c r="U2934" s="264"/>
      <c r="V2934" s="463"/>
      <c r="X2934" s="463"/>
    </row>
    <row r="2935" spans="1:30" x14ac:dyDescent="0.4">
      <c r="A2935" s="402">
        <v>46154</v>
      </c>
      <c r="B2935" s="392" t="s">
        <v>51</v>
      </c>
      <c r="C2935" s="364" t="str">
        <f>VLOOKUP(B2935,'112年全品項生產鍋數'!A:H,2,0)</f>
        <v>藍莓醬(1*6kg)</v>
      </c>
      <c r="D2935" s="404">
        <v>20</v>
      </c>
      <c r="E2935" s="48">
        <f>VLOOKUP(B2935,'112年全品項生產鍋數'!A:H,3,0)</f>
        <v>6</v>
      </c>
      <c r="F2935" s="142">
        <f>VLOOKUP(B2935,'112年全品項生產鍋數'!A:H,7,0)</f>
        <v>25.5</v>
      </c>
      <c r="G2935" s="143">
        <f t="shared" si="453"/>
        <v>510</v>
      </c>
      <c r="H2935" s="156">
        <v>496</v>
      </c>
      <c r="I2935" s="371">
        <f t="shared" si="454"/>
        <v>2976</v>
      </c>
      <c r="J2935" s="100">
        <f t="shared" si="455"/>
        <v>0.97254901960784312</v>
      </c>
      <c r="K2935" s="51">
        <f>VLOOKUP(B:B,'生產達成率(目標)'!A:C,3,0)</f>
        <v>1</v>
      </c>
      <c r="L2935" s="20">
        <f t="shared" si="456"/>
        <v>-2.7E-2</v>
      </c>
      <c r="M2935" s="137" t="str">
        <f>工時!R2119</f>
        <v>315</v>
      </c>
      <c r="N2935" s="374"/>
      <c r="O2935" s="374">
        <f t="shared" si="457"/>
        <v>1</v>
      </c>
      <c r="P2935" s="156">
        <v>495</v>
      </c>
      <c r="Q2935" s="98">
        <f t="shared" si="458"/>
        <v>0.99798387096774188</v>
      </c>
      <c r="R2935" s="371"/>
      <c r="S2935" s="372"/>
      <c r="T2935" s="364"/>
      <c r="U2935" s="264"/>
      <c r="V2935" s="463"/>
      <c r="X2935" s="463"/>
    </row>
    <row r="2936" spans="1:30" x14ac:dyDescent="0.4">
      <c r="A2936" s="402">
        <v>46154</v>
      </c>
      <c r="B2936" s="392" t="s">
        <v>109</v>
      </c>
      <c r="C2936" s="364" t="str">
        <f>VLOOKUP(B2936,'112年全品項生產鍋數'!A:H,2,0)</f>
        <v>蔓越莓醬(1*6KG)</v>
      </c>
      <c r="D2936" s="404">
        <v>12</v>
      </c>
      <c r="E2936" s="48">
        <f>VLOOKUP(B2936,'112年全品項生產鍋數'!A:H,3,0)</f>
        <v>6</v>
      </c>
      <c r="F2936" s="142">
        <f>VLOOKUP(B2936,'112年全品項生產鍋數'!A:H,7,0)</f>
        <v>25.6</v>
      </c>
      <c r="G2936" s="143">
        <f t="shared" si="453"/>
        <v>307.20000000000005</v>
      </c>
      <c r="H2936" s="156">
        <v>301</v>
      </c>
      <c r="I2936" s="371">
        <f t="shared" si="454"/>
        <v>1806</v>
      </c>
      <c r="J2936" s="100">
        <f t="shared" si="455"/>
        <v>0.97981770833333315</v>
      </c>
      <c r="K2936" s="51">
        <f>VLOOKUP(B:B,'生產達成率(目標)'!A:C,3,0)</f>
        <v>1</v>
      </c>
      <c r="L2936" s="20">
        <f t="shared" si="456"/>
        <v>-0.02</v>
      </c>
      <c r="M2936" s="137" t="str">
        <f>工時!R2120</f>
        <v>174</v>
      </c>
      <c r="N2936" s="374"/>
      <c r="O2936" s="374">
        <f t="shared" si="457"/>
        <v>1</v>
      </c>
      <c r="P2936" s="156">
        <v>300</v>
      </c>
      <c r="Q2936" s="98">
        <f t="shared" si="458"/>
        <v>0.99667774086378735</v>
      </c>
      <c r="R2936" s="371"/>
      <c r="S2936" s="372"/>
      <c r="T2936" s="364"/>
      <c r="U2936" s="264"/>
      <c r="V2936" s="463"/>
      <c r="X2936" s="463"/>
    </row>
    <row r="2937" spans="1:30" x14ac:dyDescent="0.4">
      <c r="A2937" s="402">
        <v>46154</v>
      </c>
      <c r="B2937" s="392" t="s">
        <v>53</v>
      </c>
      <c r="C2937" s="364" t="str">
        <f>VLOOKUP(B2937,'112年全品項生產鍋數'!A:H,2,0)</f>
        <v>鳳梨芒果百香果醬(1*6KG)</v>
      </c>
      <c r="D2937" s="404">
        <v>6</v>
      </c>
      <c r="E2937" s="48">
        <f>VLOOKUP(B2937,'112年全品項生產鍋數'!A:H,3,0)</f>
        <v>6</v>
      </c>
      <c r="F2937" s="142">
        <f>VLOOKUP(B2937,'112年全品項生產鍋數'!A:H,7,0)</f>
        <v>25.7</v>
      </c>
      <c r="G2937" s="143">
        <f t="shared" si="453"/>
        <v>154.19999999999999</v>
      </c>
      <c r="H2937" s="156">
        <v>152</v>
      </c>
      <c r="I2937" s="371">
        <f t="shared" si="454"/>
        <v>912</v>
      </c>
      <c r="J2937" s="100">
        <f t="shared" si="455"/>
        <v>0.9857328145265889</v>
      </c>
      <c r="K2937" s="51">
        <f>VLOOKUP(B:B,'生產達成率(目標)'!A:C,3,0)</f>
        <v>1</v>
      </c>
      <c r="L2937" s="20">
        <f t="shared" si="456"/>
        <v>-1.4E-2</v>
      </c>
      <c r="M2937" s="137" t="str">
        <f>工時!R2121</f>
        <v>150</v>
      </c>
      <c r="N2937" s="374"/>
      <c r="O2937" s="374">
        <f t="shared" si="457"/>
        <v>1</v>
      </c>
      <c r="P2937" s="156">
        <v>151</v>
      </c>
      <c r="Q2937" s="98">
        <f t="shared" si="458"/>
        <v>0.99342105263157898</v>
      </c>
      <c r="R2937" s="371"/>
      <c r="S2937" s="372"/>
      <c r="T2937" s="364"/>
      <c r="U2937" s="264"/>
      <c r="V2937" s="463"/>
      <c r="X2937" s="463"/>
    </row>
    <row r="2938" spans="1:30" x14ac:dyDescent="0.4">
      <c r="A2938" s="402">
        <v>46154</v>
      </c>
      <c r="B2938" s="392" t="s">
        <v>118</v>
      </c>
      <c r="C2938" s="364" t="str">
        <f>VLOOKUP(B2938,'112年全品項生產鍋數'!A:H,2,0)</f>
        <v>草莓餡(1*4.5kg)</v>
      </c>
      <c r="D2938" s="404">
        <v>8</v>
      </c>
      <c r="E2938" s="48">
        <f>VLOOKUP(B2938,'112年全品項生產鍋數'!A:H,3,0)</f>
        <v>4.5</v>
      </c>
      <c r="F2938" s="142">
        <f>VLOOKUP(B2938,'112年全品項生產鍋數'!A:H,7,0)</f>
        <v>34.5</v>
      </c>
      <c r="G2938" s="143">
        <f t="shared" si="453"/>
        <v>276</v>
      </c>
      <c r="H2938" s="156">
        <v>280</v>
      </c>
      <c r="I2938" s="371">
        <f t="shared" si="454"/>
        <v>1260</v>
      </c>
      <c r="J2938" s="100">
        <f t="shared" si="455"/>
        <v>1.0144927536231885</v>
      </c>
      <c r="K2938" s="51">
        <f>VLOOKUP(B:B,'生產達成率(目標)'!A:C,3,0)</f>
        <v>1</v>
      </c>
      <c r="L2938" s="20">
        <f t="shared" si="456"/>
        <v>1.4E-2</v>
      </c>
      <c r="M2938" s="137" t="str">
        <f>工時!R2122</f>
        <v>190</v>
      </c>
      <c r="N2938" s="374"/>
      <c r="O2938" s="374">
        <f t="shared" si="457"/>
        <v>0</v>
      </c>
      <c r="P2938" s="156">
        <v>280</v>
      </c>
      <c r="Q2938" s="98">
        <f t="shared" si="458"/>
        <v>1</v>
      </c>
      <c r="R2938" s="371"/>
      <c r="S2938" s="372"/>
      <c r="T2938" s="364" t="s">
        <v>1153</v>
      </c>
      <c r="U2938" s="264"/>
      <c r="V2938" s="463"/>
      <c r="X2938" s="463"/>
    </row>
    <row r="2939" spans="1:30" x14ac:dyDescent="0.4">
      <c r="A2939" s="402">
        <v>46154</v>
      </c>
      <c r="B2939" s="392" t="s">
        <v>548</v>
      </c>
      <c r="C2939" s="364" t="str">
        <f>VLOOKUP(B2939,'112年全品項生產鍋數'!A:H,2,0)</f>
        <v>天天開心芒果餡4.5KG</v>
      </c>
      <c r="D2939" s="404">
        <v>12</v>
      </c>
      <c r="E2939" s="48">
        <f>VLOOKUP(B2939,'112年全品項生產鍋數'!A:H,3,0)</f>
        <v>4.5</v>
      </c>
      <c r="F2939" s="142">
        <f>VLOOKUP(B2939,'112年全品項生產鍋數'!A:H,7,0)</f>
        <v>33.200000000000003</v>
      </c>
      <c r="G2939" s="143">
        <f t="shared" si="453"/>
        <v>398.40000000000003</v>
      </c>
      <c r="H2939" s="156">
        <v>427</v>
      </c>
      <c r="I2939" s="371">
        <f t="shared" si="454"/>
        <v>1921.5</v>
      </c>
      <c r="J2939" s="100">
        <f t="shared" si="455"/>
        <v>1.0717871485943775</v>
      </c>
      <c r="K2939" s="51">
        <f>VLOOKUP(B:B,'生產達成率(目標)'!A:C,3,0)</f>
        <v>1</v>
      </c>
      <c r="L2939" s="20">
        <f t="shared" si="456"/>
        <v>7.1999999999999995E-2</v>
      </c>
      <c r="M2939" s="137" t="str">
        <f>工時!R2123</f>
        <v>210</v>
      </c>
      <c r="N2939" s="374"/>
      <c r="O2939" s="374">
        <f t="shared" si="457"/>
        <v>0</v>
      </c>
      <c r="P2939" s="156">
        <v>427</v>
      </c>
      <c r="Q2939" s="98">
        <f t="shared" si="458"/>
        <v>1</v>
      </c>
      <c r="R2939" s="371"/>
      <c r="S2939" s="372"/>
      <c r="T2939" s="364"/>
      <c r="U2939" s="264"/>
      <c r="V2939" s="463"/>
      <c r="X2939" s="463"/>
    </row>
    <row r="2940" spans="1:30" x14ac:dyDescent="0.4">
      <c r="A2940" s="402">
        <v>46154</v>
      </c>
      <c r="B2940" s="392" t="s">
        <v>56</v>
      </c>
      <c r="C2940" s="364" t="str">
        <f>VLOOKUP(B2940,'112年全品項生產鍋數'!A:H,2,0)</f>
        <v>天天熱帶水果餡 4.5KG</v>
      </c>
      <c r="D2940" s="404">
        <v>12</v>
      </c>
      <c r="E2940" s="48">
        <f>VLOOKUP(B2940,'112年全品項生產鍋數'!A:H,3,0)</f>
        <v>4.5</v>
      </c>
      <c r="F2940" s="142">
        <f>VLOOKUP(B2940,'112年全品項生產鍋數'!A:H,7,0)</f>
        <v>34.5</v>
      </c>
      <c r="G2940" s="143">
        <f t="shared" si="453"/>
        <v>414</v>
      </c>
      <c r="H2940" s="156">
        <v>430</v>
      </c>
      <c r="I2940" s="371">
        <f t="shared" si="454"/>
        <v>1935</v>
      </c>
      <c r="J2940" s="100">
        <f t="shared" si="455"/>
        <v>1.038647342995169</v>
      </c>
      <c r="K2940" s="51">
        <f>VLOOKUP(B:B,'生產達成率(目標)'!A:C,3,0)</f>
        <v>1</v>
      </c>
      <c r="L2940" s="20">
        <f t="shared" si="456"/>
        <v>3.9E-2</v>
      </c>
      <c r="M2940" s="137" t="str">
        <f>工時!R2124</f>
        <v>212</v>
      </c>
      <c r="N2940" s="374"/>
      <c r="O2940" s="374">
        <f t="shared" si="457"/>
        <v>0</v>
      </c>
      <c r="P2940" s="156">
        <v>430</v>
      </c>
      <c r="Q2940" s="98">
        <f t="shared" si="458"/>
        <v>1</v>
      </c>
      <c r="R2940" s="371"/>
      <c r="S2940" s="372"/>
      <c r="T2940" s="364" t="s">
        <v>1153</v>
      </c>
      <c r="U2940" s="264"/>
      <c r="V2940" s="463"/>
      <c r="X2940" s="463"/>
    </row>
    <row r="2941" spans="1:30" s="381" customFormat="1" x14ac:dyDescent="0.4">
      <c r="A2941" s="402">
        <v>46154</v>
      </c>
      <c r="B2941" s="392" t="s">
        <v>96</v>
      </c>
      <c r="C2941" s="375" t="str">
        <f>VLOOKUP(B2941,'112年全品項生產鍋數'!A:H,2,0)</f>
        <v>PET瓶花生(1*340g)</v>
      </c>
      <c r="D2941" s="406">
        <v>12</v>
      </c>
      <c r="E2941" s="141">
        <f>VLOOKUP(B2941,'112年全品項生產鍋數'!A:H,3,0)</f>
        <v>0.34</v>
      </c>
      <c r="F2941" s="142">
        <f>VLOOKUP(B2941,'112年全品項生產鍋數'!A:H,7,0)</f>
        <v>358.3</v>
      </c>
      <c r="G2941" s="143">
        <f t="shared" si="453"/>
        <v>4299.6000000000004</v>
      </c>
      <c r="H2941" s="156">
        <f>2989+1200</f>
        <v>4189</v>
      </c>
      <c r="I2941" s="374">
        <f t="shared" si="454"/>
        <v>1424.26</v>
      </c>
      <c r="J2941" s="100">
        <f t="shared" si="455"/>
        <v>0.97427667690017672</v>
      </c>
      <c r="K2941" s="51">
        <f>VLOOKUP(B:B,'生產達成率(目標)'!A:C,3,0)</f>
        <v>1</v>
      </c>
      <c r="L2941" s="20">
        <f t="shared" si="456"/>
        <v>-2.5999999999999999E-2</v>
      </c>
      <c r="M2941" s="137" t="str">
        <f>工時!R2125</f>
        <v>205</v>
      </c>
      <c r="N2941" s="374"/>
      <c r="O2941" s="374">
        <f t="shared" si="457"/>
        <v>3</v>
      </c>
      <c r="P2941" s="156">
        <f>2986+1200</f>
        <v>4186</v>
      </c>
      <c r="Q2941" s="145">
        <f t="shared" si="458"/>
        <v>0.99928383862497017</v>
      </c>
      <c r="R2941" s="374"/>
      <c r="S2941" s="378"/>
      <c r="T2941" s="375" t="s">
        <v>1687</v>
      </c>
      <c r="U2941" s="398"/>
      <c r="V2941" s="464"/>
      <c r="W2941" s="421"/>
      <c r="X2941" s="464"/>
      <c r="Y2941" s="421"/>
      <c r="Z2941" s="421"/>
      <c r="AA2941" s="421"/>
      <c r="AB2941" s="421"/>
      <c r="AC2941" s="421"/>
      <c r="AD2941" s="421"/>
    </row>
    <row r="2942" spans="1:30" s="381" customFormat="1" x14ac:dyDescent="0.4">
      <c r="A2942" s="402">
        <v>46154</v>
      </c>
      <c r="B2942" s="392" t="s">
        <v>82</v>
      </c>
      <c r="C2942" s="375" t="str">
        <f>VLOOKUP(B2942,'112年全品項生產鍋數'!A:H,2,0)</f>
        <v>顆粒花生醬(全)</v>
      </c>
      <c r="D2942" s="406">
        <v>12</v>
      </c>
      <c r="E2942" s="141">
        <f>VLOOKUP(B2942,'112年全品項生產鍋數'!A:H,3,0)</f>
        <v>0.34</v>
      </c>
      <c r="F2942" s="142">
        <f>VLOOKUP(B2942,'112年全品項生產鍋數'!A:H,7,0)</f>
        <v>364.6</v>
      </c>
      <c r="G2942" s="143">
        <f>D2942*F2942</f>
        <v>4375.2000000000007</v>
      </c>
      <c r="H2942" s="156">
        <f>4320</f>
        <v>4320</v>
      </c>
      <c r="I2942" s="374">
        <f>H2942*E2942</f>
        <v>1468.8000000000002</v>
      </c>
      <c r="J2942" s="100">
        <f>IF(G2942=0,"無法預估數據",H2942/G2942)</f>
        <v>0.98738343390016436</v>
      </c>
      <c r="K2942" s="51">
        <f>VLOOKUP(B:B,'生產達成率(目標)'!A:C,3,0)</f>
        <v>1</v>
      </c>
      <c r="L2942" s="20">
        <f>IF(G2942=0,"無法預估數據",ROUND(J2942-K2942,3))</f>
        <v>-1.2999999999999999E-2</v>
      </c>
      <c r="M2942" s="137" t="str">
        <f>工時!R2126</f>
        <v>235</v>
      </c>
      <c r="N2942" s="374"/>
      <c r="O2942" s="374">
        <f>H2942-N2942-P2942</f>
        <v>3</v>
      </c>
      <c r="P2942" s="156">
        <v>4317</v>
      </c>
      <c r="Q2942" s="145">
        <f>P2942/H2942</f>
        <v>0.99930555555555556</v>
      </c>
      <c r="R2942" s="374"/>
      <c r="S2942" s="378"/>
      <c r="T2942" s="375"/>
      <c r="U2942" s="398"/>
      <c r="V2942" s="464"/>
      <c r="W2942" s="421"/>
      <c r="X2942" s="464"/>
      <c r="Y2942" s="421"/>
      <c r="Z2942" s="421"/>
      <c r="AA2942" s="421"/>
      <c r="AB2942" s="421"/>
      <c r="AC2942" s="421"/>
      <c r="AD2942" s="421"/>
    </row>
    <row r="2943" spans="1:30" s="381" customFormat="1" x14ac:dyDescent="0.4">
      <c r="A2943" s="402">
        <v>46154</v>
      </c>
      <c r="B2943" s="392" t="s">
        <v>83</v>
      </c>
      <c r="C2943" s="375" t="str">
        <f>VLOOKUP(B2943,'112年全品項生產鍋數'!A:H,2,0)</f>
        <v>PET瓶花生(粒)(1*340g)</v>
      </c>
      <c r="D2943" s="406">
        <v>12</v>
      </c>
      <c r="E2943" s="141">
        <f>VLOOKUP(B2943,'112年全品項生產鍋數'!A:H,3,0)</f>
        <v>0.34</v>
      </c>
      <c r="F2943" s="142">
        <f>VLOOKUP(B2943,'112年全品項生產鍋數'!A:H,7,0)</f>
        <v>366</v>
      </c>
      <c r="G2943" s="143">
        <f t="shared" si="453"/>
        <v>4392</v>
      </c>
      <c r="H2943" s="156">
        <f>835+3600</f>
        <v>4435</v>
      </c>
      <c r="I2943" s="374">
        <f t="shared" si="454"/>
        <v>1507.9</v>
      </c>
      <c r="J2943" s="100">
        <f t="shared" si="455"/>
        <v>1.0097905282331512</v>
      </c>
      <c r="K2943" s="51">
        <f>VLOOKUP(B:B,'生產達成率(目標)'!A:C,3,0)</f>
        <v>1</v>
      </c>
      <c r="L2943" s="20">
        <f t="shared" si="456"/>
        <v>0.01</v>
      </c>
      <c r="M2943" s="137" t="str">
        <f>工時!R2127</f>
        <v>295</v>
      </c>
      <c r="N2943" s="374"/>
      <c r="O2943" s="374">
        <f t="shared" si="457"/>
        <v>3</v>
      </c>
      <c r="P2943" s="156">
        <f>3600+832</f>
        <v>4432</v>
      </c>
      <c r="Q2943" s="145">
        <f t="shared" si="458"/>
        <v>0.99932356257046229</v>
      </c>
      <c r="R2943" s="374"/>
      <c r="S2943" s="378"/>
      <c r="T2943" s="375" t="s">
        <v>1688</v>
      </c>
      <c r="U2943" s="398"/>
      <c r="V2943" s="464"/>
      <c r="W2943" s="421"/>
      <c r="X2943" s="464"/>
      <c r="Y2943" s="421"/>
      <c r="Z2943" s="421"/>
      <c r="AA2943" s="421"/>
      <c r="AB2943" s="421"/>
      <c r="AC2943" s="421"/>
      <c r="AD2943" s="421"/>
    </row>
    <row r="2944" spans="1:30" x14ac:dyDescent="0.4">
      <c r="A2944" s="402">
        <v>46155</v>
      </c>
      <c r="B2944" s="392" t="s">
        <v>158</v>
      </c>
      <c r="C2944" s="364" t="str">
        <f>VLOOKUP(B2944,'112年全品項生產鍋數'!A:H,2,0)</f>
        <v>小圓草莓(1*170g)</v>
      </c>
      <c r="D2944" s="404">
        <v>4</v>
      </c>
      <c r="E2944" s="48">
        <f>VLOOKUP(B2944,'112年全品項生產鍋數'!A:H,3,0)</f>
        <v>0.17</v>
      </c>
      <c r="F2944" s="142">
        <f>VLOOKUP(B2944,'112年全品項生產鍋數'!A:H,7,0)</f>
        <v>912.6</v>
      </c>
      <c r="G2944" s="143">
        <f t="shared" si="453"/>
        <v>3650.4</v>
      </c>
      <c r="H2944" s="156">
        <v>3552</v>
      </c>
      <c r="I2944" s="371">
        <f t="shared" si="454"/>
        <v>603.84</v>
      </c>
      <c r="J2944" s="100">
        <f t="shared" si="455"/>
        <v>0.9730440499671269</v>
      </c>
      <c r="K2944" s="51">
        <f>VLOOKUP(B:B,'生產達成率(目標)'!A:C,3,0)</f>
        <v>1</v>
      </c>
      <c r="L2944" s="20">
        <f t="shared" si="456"/>
        <v>-2.7E-2</v>
      </c>
      <c r="M2944" s="137" t="str">
        <f>工時!R2128</f>
        <v>180</v>
      </c>
      <c r="N2944" s="374"/>
      <c r="O2944" s="374">
        <f t="shared" si="457"/>
        <v>3</v>
      </c>
      <c r="P2944" s="156">
        <v>3549</v>
      </c>
      <c r="Q2944" s="98">
        <f t="shared" si="458"/>
        <v>0.99915540540540537</v>
      </c>
      <c r="R2944" s="371"/>
      <c r="S2944" s="372"/>
      <c r="T2944" s="364"/>
      <c r="U2944" s="264"/>
      <c r="V2944" s="463"/>
      <c r="X2944" s="463"/>
    </row>
    <row r="2945" spans="1:30" s="381" customFormat="1" x14ac:dyDescent="0.4">
      <c r="A2945" s="402">
        <v>46155</v>
      </c>
      <c r="B2945" s="392" t="s">
        <v>91</v>
      </c>
      <c r="C2945" s="375" t="str">
        <f>VLOOKUP(B2945,'112年全品項生產鍋數'!A:H,2,0)</f>
        <v>梨山草莓果醬(1*430g)</v>
      </c>
      <c r="D2945" s="406">
        <v>8</v>
      </c>
      <c r="E2945" s="141">
        <f>VLOOKUP(B2945,'112年全品項生產鍋數'!A:H,3,0)</f>
        <v>0.43</v>
      </c>
      <c r="F2945" s="142">
        <f>VLOOKUP(B2945,'112年全品項生產鍋數'!A:H,7,0)</f>
        <v>340.4</v>
      </c>
      <c r="G2945" s="143">
        <f t="shared" si="453"/>
        <v>2723.2</v>
      </c>
      <c r="H2945" s="156">
        <v>2670</v>
      </c>
      <c r="I2945" s="374">
        <f t="shared" si="454"/>
        <v>1148.0999999999999</v>
      </c>
      <c r="J2945" s="100">
        <f t="shared" si="455"/>
        <v>0.98046415981198598</v>
      </c>
      <c r="K2945" s="51">
        <f>VLOOKUP(B:B,'生產達成率(目標)'!A:C,3,0)</f>
        <v>1</v>
      </c>
      <c r="L2945" s="20">
        <f t="shared" si="456"/>
        <v>-0.02</v>
      </c>
      <c r="M2945" s="137" t="str">
        <f>工時!R2129</f>
        <v>205</v>
      </c>
      <c r="N2945" s="374"/>
      <c r="O2945" s="374">
        <f t="shared" si="457"/>
        <v>7</v>
      </c>
      <c r="P2945" s="156">
        <v>2663</v>
      </c>
      <c r="Q2945" s="145">
        <f t="shared" si="458"/>
        <v>0.99737827715355809</v>
      </c>
      <c r="R2945" s="374"/>
      <c r="S2945" s="378"/>
      <c r="T2945" s="375"/>
      <c r="U2945" s="398"/>
      <c r="V2945" s="464"/>
      <c r="W2945" s="421"/>
      <c r="X2945" s="464"/>
      <c r="Y2945" s="421"/>
      <c r="Z2945" s="421"/>
      <c r="AA2945" s="421"/>
      <c r="AB2945" s="421"/>
      <c r="AC2945" s="421"/>
      <c r="AD2945" s="421"/>
    </row>
    <row r="2946" spans="1:30" x14ac:dyDescent="0.4">
      <c r="A2946" s="402">
        <v>46155</v>
      </c>
      <c r="B2946" s="392" t="s">
        <v>86</v>
      </c>
      <c r="C2946" s="364" t="str">
        <f>VLOOKUP(B2946,'112年全品項生產鍋數'!A:H,2,0)</f>
        <v>＃2藍莓(1*900g)</v>
      </c>
      <c r="D2946" s="404">
        <v>20</v>
      </c>
      <c r="E2946" s="48">
        <f>VLOOKUP(B2946,'112年全品項生產鍋數'!A:H,3,0)</f>
        <v>0.9</v>
      </c>
      <c r="F2946" s="142">
        <f>VLOOKUP(B2946,'112年全品項生產鍋數'!A:H,7,0)</f>
        <v>163</v>
      </c>
      <c r="G2946" s="143">
        <f t="shared" si="453"/>
        <v>3260</v>
      </c>
      <c r="H2946" s="156">
        <v>3182</v>
      </c>
      <c r="I2946" s="371">
        <f t="shared" si="454"/>
        <v>2863.8</v>
      </c>
      <c r="J2946" s="100">
        <f t="shared" si="455"/>
        <v>0.97607361963190187</v>
      </c>
      <c r="K2946" s="51">
        <f>VLOOKUP(B:B,'生產達成率(目標)'!A:C,3,0)</f>
        <v>1</v>
      </c>
      <c r="L2946" s="20">
        <f t="shared" si="456"/>
        <v>-2.4E-2</v>
      </c>
      <c r="M2946" s="137" t="str">
        <f>工時!R2130</f>
        <v>330</v>
      </c>
      <c r="N2946" s="374"/>
      <c r="O2946" s="374">
        <f t="shared" si="457"/>
        <v>2</v>
      </c>
      <c r="P2946" s="156">
        <v>3180</v>
      </c>
      <c r="Q2946" s="98">
        <f t="shared" si="458"/>
        <v>0.99937146448774361</v>
      </c>
      <c r="R2946" s="371"/>
      <c r="S2946" s="372"/>
      <c r="T2946" s="364" t="s">
        <v>1153</v>
      </c>
      <c r="U2946" s="264"/>
      <c r="V2946" s="463"/>
      <c r="X2946" s="463"/>
    </row>
    <row r="2947" spans="1:30" x14ac:dyDescent="0.4">
      <c r="A2947" s="402">
        <v>46155</v>
      </c>
      <c r="B2947" s="392" t="s">
        <v>75</v>
      </c>
      <c r="C2947" s="364" t="str">
        <f>VLOOKUP(B2947,'112年全品項生產鍋數'!A:H,2,0)</f>
        <v>草莓椰果餡(1*6Kg)</v>
      </c>
      <c r="D2947" s="404">
        <v>16</v>
      </c>
      <c r="E2947" s="48">
        <f>VLOOKUP(B2947,'112年全品項生產鍋數'!A:H,3,0)</f>
        <v>6</v>
      </c>
      <c r="F2947" s="142">
        <f>VLOOKUP(B2947,'112年全品項生產鍋數'!A:H,7,0)</f>
        <v>26.4</v>
      </c>
      <c r="G2947" s="143">
        <f t="shared" si="453"/>
        <v>422.4</v>
      </c>
      <c r="H2947" s="156">
        <v>434</v>
      </c>
      <c r="I2947" s="371">
        <f t="shared" si="454"/>
        <v>2604</v>
      </c>
      <c r="J2947" s="100">
        <f t="shared" si="455"/>
        <v>1.0274621212121213</v>
      </c>
      <c r="K2947" s="51">
        <f>VLOOKUP(B:B,'生產達成率(目標)'!A:C,3,0)</f>
        <v>1</v>
      </c>
      <c r="L2947" s="20">
        <f t="shared" si="456"/>
        <v>2.7E-2</v>
      </c>
      <c r="M2947" s="137" t="str">
        <f>工時!R2131</f>
        <v>230</v>
      </c>
      <c r="N2947" s="374"/>
      <c r="O2947" s="374">
        <f t="shared" si="457"/>
        <v>3</v>
      </c>
      <c r="P2947" s="156">
        <v>431</v>
      </c>
      <c r="Q2947" s="98">
        <f t="shared" si="458"/>
        <v>0.99308755760368661</v>
      </c>
      <c r="R2947" s="371"/>
      <c r="S2947" s="372"/>
      <c r="T2947" s="364" t="s">
        <v>1153</v>
      </c>
      <c r="U2947" s="264"/>
      <c r="V2947" s="463"/>
      <c r="X2947" s="463"/>
    </row>
    <row r="2948" spans="1:30" s="381" customFormat="1" x14ac:dyDescent="0.4">
      <c r="A2948" s="402">
        <v>46155</v>
      </c>
      <c r="B2948" s="392" t="s">
        <v>63</v>
      </c>
      <c r="C2948" s="375" t="str">
        <f>VLOOKUP(B2948,'112年全品項生產鍋數'!A:H,2,0)</f>
        <v>草莓蒟蒻餡(1*6kg)</v>
      </c>
      <c r="D2948" s="406">
        <v>24</v>
      </c>
      <c r="E2948" s="141">
        <f>VLOOKUP(B2948,'112年全品項生產鍋數'!A:H,3,0)</f>
        <v>6</v>
      </c>
      <c r="F2948" s="142">
        <f>VLOOKUP(B2948,'112年全品項生產鍋數'!A:H,7,0)</f>
        <v>25.7</v>
      </c>
      <c r="G2948" s="143">
        <f t="shared" si="453"/>
        <v>616.79999999999995</v>
      </c>
      <c r="H2948" s="156">
        <f>300+315</f>
        <v>615</v>
      </c>
      <c r="I2948" s="374">
        <f t="shared" si="454"/>
        <v>3690</v>
      </c>
      <c r="J2948" s="100">
        <f t="shared" si="455"/>
        <v>0.99708171206225693</v>
      </c>
      <c r="K2948" s="51">
        <f>VLOOKUP(B:B,'生產達成率(目標)'!A:C,3,0)</f>
        <v>1</v>
      </c>
      <c r="L2948" s="20">
        <f t="shared" si="456"/>
        <v>-3.0000000000000001E-3</v>
      </c>
      <c r="M2948" s="137" t="str">
        <f>工時!R2132</f>
        <v>321</v>
      </c>
      <c r="N2948" s="374"/>
      <c r="O2948" s="374">
        <f t="shared" si="457"/>
        <v>1</v>
      </c>
      <c r="P2948" s="156">
        <f>299+315</f>
        <v>614</v>
      </c>
      <c r="Q2948" s="145">
        <f t="shared" si="458"/>
        <v>0.99837398373983743</v>
      </c>
      <c r="R2948" s="374"/>
      <c r="S2948" s="378"/>
      <c r="T2948" s="375"/>
      <c r="U2948" s="398"/>
      <c r="V2948" s="464"/>
      <c r="W2948" s="421"/>
      <c r="X2948" s="464"/>
      <c r="Y2948" s="421"/>
      <c r="Z2948" s="421"/>
      <c r="AA2948" s="421"/>
      <c r="AB2948" s="421"/>
      <c r="AC2948" s="421"/>
      <c r="AD2948" s="421"/>
    </row>
    <row r="2949" spans="1:30" s="381" customFormat="1" x14ac:dyDescent="0.4">
      <c r="A2949" s="402">
        <v>46155</v>
      </c>
      <c r="B2949" s="392" t="s">
        <v>558</v>
      </c>
      <c r="C2949" s="375" t="str">
        <f>VLOOKUP(B2949,'112年全品項生產鍋數'!A:H,2,0)</f>
        <v>＃1花生(粒)(1*2.8kg)</v>
      </c>
      <c r="D2949" s="406">
        <v>60</v>
      </c>
      <c r="E2949" s="141">
        <f>VLOOKUP(B2949,'112年全品項生產鍋數'!A:H,3,0)</f>
        <v>2.8</v>
      </c>
      <c r="F2949" s="142">
        <f>VLOOKUP(B2949,'112年全品項生產鍋數'!A:H,7,0)</f>
        <v>44.8</v>
      </c>
      <c r="G2949" s="143">
        <f t="shared" si="453"/>
        <v>2688</v>
      </c>
      <c r="H2949" s="156">
        <v>2644</v>
      </c>
      <c r="I2949" s="374">
        <f t="shared" si="454"/>
        <v>7403.2</v>
      </c>
      <c r="J2949" s="100">
        <f t="shared" si="455"/>
        <v>0.98363095238095233</v>
      </c>
      <c r="K2949" s="51">
        <f>VLOOKUP(B:B,'生產達成率(目標)'!A:C,3,0)</f>
        <v>1</v>
      </c>
      <c r="L2949" s="20">
        <f t="shared" si="456"/>
        <v>-1.6E-2</v>
      </c>
      <c r="M2949" s="137" t="str">
        <f>工時!R2133</f>
        <v>500</v>
      </c>
      <c r="N2949" s="374"/>
      <c r="O2949" s="374">
        <f t="shared" si="457"/>
        <v>1</v>
      </c>
      <c r="P2949" s="156">
        <v>2643</v>
      </c>
      <c r="Q2949" s="145">
        <f t="shared" si="458"/>
        <v>0.99962178517397882</v>
      </c>
      <c r="R2949" s="374"/>
      <c r="S2949" s="378"/>
      <c r="T2949" s="375" t="s">
        <v>1153</v>
      </c>
      <c r="U2949" s="398"/>
      <c r="V2949" s="464"/>
      <c r="W2949" s="421"/>
      <c r="X2949" s="464"/>
      <c r="Y2949" s="421"/>
      <c r="Z2949" s="421"/>
      <c r="AA2949" s="421"/>
      <c r="AB2949" s="421"/>
      <c r="AC2949" s="421"/>
      <c r="AD2949" s="421"/>
    </row>
    <row r="2950" spans="1:30" s="381" customFormat="1" x14ac:dyDescent="0.4">
      <c r="A2950" s="402">
        <v>46156</v>
      </c>
      <c r="B2950" s="392" t="s">
        <v>71</v>
      </c>
      <c r="C2950" s="375" t="str">
        <f>VLOOKUP(B2950,'112年全品項生產鍋數'!A:H,2,0)</f>
        <v>＃1草莓(1*3.2kg)</v>
      </c>
      <c r="D2950" s="406">
        <v>68</v>
      </c>
      <c r="E2950" s="141">
        <f>VLOOKUP(B2950,'112年全品項生產鍋數'!A:H,3,0)</f>
        <v>3.2</v>
      </c>
      <c r="F2950" s="142">
        <f>VLOOKUP(B2950,'112年全品項生產鍋數'!A:H,7,0)</f>
        <v>46.8</v>
      </c>
      <c r="G2950" s="143">
        <f t="shared" ref="G2950:G2989" si="459">D2950*F2950</f>
        <v>3182.3999999999996</v>
      </c>
      <c r="H2950" s="156">
        <v>3128</v>
      </c>
      <c r="I2950" s="374">
        <f t="shared" ref="I2950:I2989" si="460">H2950*E2950</f>
        <v>10009.6</v>
      </c>
      <c r="J2950" s="100">
        <f t="shared" ref="J2950:J2989" si="461">IF(G2950=0,"無法預估數據",H2950/G2950)</f>
        <v>0.98290598290598297</v>
      </c>
      <c r="K2950" s="51">
        <f>VLOOKUP(B:B,'生產達成率(目標)'!A:C,3,0)</f>
        <v>1</v>
      </c>
      <c r="L2950" s="20">
        <f t="shared" ref="L2950:L2989" si="462">IF(G2950=0,"無法預估數據",ROUND(J2950-K2950,3))</f>
        <v>-1.7000000000000001E-2</v>
      </c>
      <c r="M2950" s="137" t="str">
        <f>工時!R2134</f>
        <v>540</v>
      </c>
      <c r="N2950" s="374"/>
      <c r="O2950" s="374">
        <f t="shared" ref="O2950:O2989" si="463">H2950-N2950-P2950</f>
        <v>4</v>
      </c>
      <c r="P2950" s="156">
        <v>3124</v>
      </c>
      <c r="Q2950" s="145">
        <f t="shared" ref="Q2950:Q2989" si="464">P2950/H2950</f>
        <v>0.99872122762148341</v>
      </c>
      <c r="R2950" s="374"/>
      <c r="S2950" s="378"/>
      <c r="T2950" s="375" t="s">
        <v>1153</v>
      </c>
      <c r="U2950" s="398"/>
      <c r="V2950" s="464"/>
      <c r="W2950" s="421"/>
      <c r="X2950" s="464"/>
      <c r="Y2950" s="421"/>
      <c r="Z2950" s="421"/>
      <c r="AA2950" s="421"/>
      <c r="AB2950" s="421"/>
      <c r="AC2950" s="421"/>
      <c r="AD2950" s="421"/>
    </row>
    <row r="2951" spans="1:30" s="381" customFormat="1" x14ac:dyDescent="0.4">
      <c r="A2951" s="402">
        <v>46156</v>
      </c>
      <c r="B2951" s="392" t="s">
        <v>76</v>
      </c>
      <c r="C2951" s="375" t="str">
        <f>VLOOKUP(B2951,'112年全品項生產鍋數'!A:H,2,0)</f>
        <v>草莓餡(1*6Kg)</v>
      </c>
      <c r="D2951" s="406">
        <v>12</v>
      </c>
      <c r="E2951" s="141">
        <f>VLOOKUP(B2951,'112年全品項生產鍋數'!A:H,3,0)</f>
        <v>6</v>
      </c>
      <c r="F2951" s="142">
        <f>VLOOKUP(B2951,'112年全品項生產鍋數'!A:H,7,0)</f>
        <v>25.5</v>
      </c>
      <c r="G2951" s="143">
        <f t="shared" si="459"/>
        <v>306</v>
      </c>
      <c r="H2951" s="156">
        <v>332</v>
      </c>
      <c r="I2951" s="374">
        <f t="shared" si="460"/>
        <v>1992</v>
      </c>
      <c r="J2951" s="100">
        <f t="shared" si="461"/>
        <v>1.0849673202614378</v>
      </c>
      <c r="K2951" s="51">
        <f>VLOOKUP(B:B,'生產達成率(目標)'!A:C,3,0)</f>
        <v>1</v>
      </c>
      <c r="L2951" s="20">
        <f t="shared" si="462"/>
        <v>8.5000000000000006E-2</v>
      </c>
      <c r="M2951" s="137" t="str">
        <f>工時!R2135</f>
        <v>185</v>
      </c>
      <c r="N2951" s="374"/>
      <c r="O2951" s="374">
        <f t="shared" si="463"/>
        <v>2</v>
      </c>
      <c r="P2951" s="156">
        <v>330</v>
      </c>
      <c r="Q2951" s="145">
        <f t="shared" si="464"/>
        <v>0.99397590361445787</v>
      </c>
      <c r="R2951" s="374"/>
      <c r="S2951" s="378"/>
      <c r="T2951" s="375" t="s">
        <v>1153</v>
      </c>
      <c r="U2951" s="398"/>
      <c r="V2951" s="464"/>
      <c r="W2951" s="421"/>
      <c r="X2951" s="464"/>
      <c r="Y2951" s="421"/>
      <c r="Z2951" s="421"/>
      <c r="AA2951" s="421"/>
      <c r="AB2951" s="421"/>
      <c r="AC2951" s="421"/>
      <c r="AD2951" s="421"/>
    </row>
    <row r="2952" spans="1:30" s="381" customFormat="1" x14ac:dyDescent="0.4">
      <c r="A2952" s="402">
        <v>46156</v>
      </c>
      <c r="B2952" s="392" t="s">
        <v>72</v>
      </c>
      <c r="C2952" s="375" t="str">
        <f>VLOOKUP(B2952,'112年全品項生產鍋數'!A:H,2,0)</f>
        <v>草莓餡45%(1*6Kg)</v>
      </c>
      <c r="D2952" s="406">
        <v>12</v>
      </c>
      <c r="E2952" s="141">
        <f>VLOOKUP(B2952,'112年全品項生產鍋數'!A:H,3,0)</f>
        <v>6</v>
      </c>
      <c r="F2952" s="142">
        <f>VLOOKUP(B2952,'112年全品項生產鍋數'!A:H,7,0)</f>
        <v>26.1</v>
      </c>
      <c r="G2952" s="143">
        <f t="shared" si="459"/>
        <v>313.20000000000005</v>
      </c>
      <c r="H2952" s="156">
        <v>326</v>
      </c>
      <c r="I2952" s="374">
        <f t="shared" si="460"/>
        <v>1956</v>
      </c>
      <c r="J2952" s="100">
        <f t="shared" si="461"/>
        <v>1.0408684546615579</v>
      </c>
      <c r="K2952" s="51">
        <f>VLOOKUP(B:B,'生產達成率(目標)'!A:C,3,0)</f>
        <v>1</v>
      </c>
      <c r="L2952" s="20">
        <f t="shared" si="462"/>
        <v>4.1000000000000002E-2</v>
      </c>
      <c r="M2952" s="137" t="str">
        <f>工時!R2136</f>
        <v>188</v>
      </c>
      <c r="N2952" s="374"/>
      <c r="O2952" s="374">
        <f t="shared" si="463"/>
        <v>6</v>
      </c>
      <c r="P2952" s="156">
        <v>320</v>
      </c>
      <c r="Q2952" s="145">
        <f t="shared" si="464"/>
        <v>0.98159509202453987</v>
      </c>
      <c r="R2952" s="374"/>
      <c r="S2952" s="378"/>
      <c r="T2952" s="375" t="s">
        <v>1153</v>
      </c>
      <c r="U2952" s="398"/>
      <c r="V2952" s="464"/>
      <c r="W2952" s="421"/>
      <c r="X2952" s="464"/>
      <c r="Y2952" s="421"/>
      <c r="Z2952" s="421"/>
      <c r="AA2952" s="421"/>
      <c r="AB2952" s="421"/>
      <c r="AC2952" s="421"/>
      <c r="AD2952" s="421"/>
    </row>
    <row r="2953" spans="1:30" s="381" customFormat="1" x14ac:dyDescent="0.4">
      <c r="A2953" s="402">
        <v>46156</v>
      </c>
      <c r="B2953" s="392" t="s">
        <v>63</v>
      </c>
      <c r="C2953" s="375" t="str">
        <f>VLOOKUP(B2953,'112年全品項生產鍋數'!A:H,2,0)</f>
        <v>草莓蒟蒻餡(1*6kg)</v>
      </c>
      <c r="D2953" s="406">
        <v>16</v>
      </c>
      <c r="E2953" s="141">
        <f>VLOOKUP(B2953,'112年全品項生產鍋數'!A:H,3,0)</f>
        <v>6</v>
      </c>
      <c r="F2953" s="142">
        <f>VLOOKUP(B2953,'112年全品項生產鍋數'!A:H,7,0)</f>
        <v>25.7</v>
      </c>
      <c r="G2953" s="143">
        <f t="shared" si="459"/>
        <v>411.2</v>
      </c>
      <c r="H2953" s="156">
        <f>201+209</f>
        <v>410</v>
      </c>
      <c r="I2953" s="374">
        <f t="shared" si="460"/>
        <v>2460</v>
      </c>
      <c r="J2953" s="100">
        <f t="shared" si="461"/>
        <v>0.99708171206225682</v>
      </c>
      <c r="K2953" s="51">
        <f>VLOOKUP(B:B,'生產達成率(目標)'!A:C,3,0)</f>
        <v>1</v>
      </c>
      <c r="L2953" s="20">
        <f t="shared" si="462"/>
        <v>-3.0000000000000001E-3</v>
      </c>
      <c r="M2953" s="137" t="str">
        <f>工時!R2137</f>
        <v>180</v>
      </c>
      <c r="N2953" s="374"/>
      <c r="O2953" s="374">
        <f t="shared" si="463"/>
        <v>1</v>
      </c>
      <c r="P2953" s="156">
        <f>200+209</f>
        <v>409</v>
      </c>
      <c r="Q2953" s="145">
        <f t="shared" si="464"/>
        <v>0.9975609756097561</v>
      </c>
      <c r="R2953" s="374"/>
      <c r="S2953" s="378"/>
      <c r="T2953" s="375"/>
      <c r="U2953" s="398"/>
      <c r="V2953" s="464"/>
      <c r="W2953" s="421"/>
      <c r="X2953" s="464"/>
      <c r="Y2953" s="421"/>
      <c r="Z2953" s="421"/>
      <c r="AA2953" s="421"/>
      <c r="AB2953" s="421"/>
      <c r="AC2953" s="421"/>
      <c r="AD2953" s="421"/>
    </row>
    <row r="2954" spans="1:30" s="381" customFormat="1" x14ac:dyDescent="0.4">
      <c r="A2954" s="402">
        <v>46156</v>
      </c>
      <c r="B2954" s="392" t="s">
        <v>65</v>
      </c>
      <c r="C2954" s="375" t="str">
        <f>VLOOKUP(B2954,'112年全品項生產鍋數'!A:H,2,0)</f>
        <v>＃1花生(1*2.8kg)</v>
      </c>
      <c r="D2954" s="406">
        <v>60</v>
      </c>
      <c r="E2954" s="141">
        <f>VLOOKUP(B2954,'112年全品項生產鍋數'!A:H,3,0)</f>
        <v>2.8</v>
      </c>
      <c r="F2954" s="142">
        <f>VLOOKUP(B2954,'112年全品項生產鍋數'!A:H,7,0)</f>
        <v>44.5</v>
      </c>
      <c r="G2954" s="143">
        <f>D2954*F2954-55*18/2.8</f>
        <v>2316.4285714285716</v>
      </c>
      <c r="H2954" s="156">
        <v>2360</v>
      </c>
      <c r="I2954" s="374">
        <f t="shared" si="460"/>
        <v>6608</v>
      </c>
      <c r="J2954" s="100">
        <f t="shared" si="461"/>
        <v>1.0188097440641382</v>
      </c>
      <c r="K2954" s="51">
        <f>VLOOKUP(B:B,'生產達成率(目標)'!A:C,3,0)</f>
        <v>1</v>
      </c>
      <c r="L2954" s="20">
        <f t="shared" si="462"/>
        <v>1.9E-2</v>
      </c>
      <c r="M2954" s="137" t="str">
        <f>工時!R2138</f>
        <v>500</v>
      </c>
      <c r="N2954" s="374"/>
      <c r="O2954" s="374">
        <f t="shared" si="463"/>
        <v>1</v>
      </c>
      <c r="P2954" s="156">
        <v>2359</v>
      </c>
      <c r="Q2954" s="145">
        <f t="shared" si="464"/>
        <v>0.99957627118644066</v>
      </c>
      <c r="R2954" s="374"/>
      <c r="S2954" s="378"/>
      <c r="T2954" s="375" t="s">
        <v>1689</v>
      </c>
      <c r="U2954" s="398"/>
      <c r="V2954" s="464"/>
      <c r="W2954" s="421"/>
      <c r="X2954" s="464"/>
      <c r="Y2954" s="421"/>
      <c r="Z2954" s="421"/>
      <c r="AA2954" s="421"/>
      <c r="AB2954" s="421"/>
      <c r="AC2954" s="421"/>
      <c r="AD2954" s="421"/>
    </row>
    <row r="2955" spans="1:30" s="381" customFormat="1" x14ac:dyDescent="0.4">
      <c r="A2955" s="402">
        <v>46157</v>
      </c>
      <c r="B2955" s="392" t="s">
        <v>54</v>
      </c>
      <c r="C2955" s="375" t="str">
        <f>VLOOKUP(B2955,'112年全品項生產鍋數'!A:H,2,0)</f>
        <v>草莓醬(1*6kg)</v>
      </c>
      <c r="D2955" s="406">
        <v>36</v>
      </c>
      <c r="E2955" s="141">
        <f>VLOOKUP(B2955,'112年全品項生產鍋數'!A:H,3,0)</f>
        <v>6</v>
      </c>
      <c r="F2955" s="142">
        <f>VLOOKUP(B2955,'112年全品項生產鍋數'!A:H,7,0)</f>
        <v>26.6</v>
      </c>
      <c r="G2955" s="143">
        <f t="shared" si="459"/>
        <v>957.6</v>
      </c>
      <c r="H2955" s="156">
        <v>930</v>
      </c>
      <c r="I2955" s="374">
        <f t="shared" si="460"/>
        <v>5580</v>
      </c>
      <c r="J2955" s="100">
        <f t="shared" si="461"/>
        <v>0.97117794486215536</v>
      </c>
      <c r="K2955" s="51">
        <f>VLOOKUP(B:B,'生產達成率(目標)'!A:C,3,0)</f>
        <v>1</v>
      </c>
      <c r="L2955" s="20">
        <f t="shared" si="462"/>
        <v>-2.9000000000000001E-2</v>
      </c>
      <c r="M2955" s="137" t="str">
        <f>工時!R2139</f>
        <v>510</v>
      </c>
      <c r="N2955" s="374"/>
      <c r="O2955" s="374">
        <f t="shared" si="463"/>
        <v>2</v>
      </c>
      <c r="P2955" s="156">
        <v>928</v>
      </c>
      <c r="Q2955" s="145">
        <f t="shared" si="464"/>
        <v>0.99784946236559136</v>
      </c>
      <c r="R2955" s="374"/>
      <c r="S2955" s="378"/>
      <c r="T2955" s="375" t="s">
        <v>1153</v>
      </c>
      <c r="U2955" s="398"/>
      <c r="V2955" s="464"/>
      <c r="W2955" s="421"/>
      <c r="X2955" s="464"/>
      <c r="Y2955" s="421"/>
      <c r="Z2955" s="421"/>
      <c r="AA2955" s="421"/>
      <c r="AB2955" s="421"/>
      <c r="AC2955" s="421"/>
      <c r="AD2955" s="421"/>
    </row>
    <row r="2956" spans="1:30" s="381" customFormat="1" x14ac:dyDescent="0.4">
      <c r="A2956" s="402">
        <v>46157</v>
      </c>
      <c r="B2956" s="392" t="s">
        <v>646</v>
      </c>
      <c r="C2956" s="375" t="str">
        <f>VLOOKUP(B2956,'112年全品項生產鍋數'!A:H,2,0)</f>
        <v>玫瑰洛神餡(1*4.5KG)</v>
      </c>
      <c r="D2956" s="406">
        <v>3</v>
      </c>
      <c r="E2956" s="141">
        <f>VLOOKUP(B2956,'112年全品項生產鍋數'!A:H,3,0)</f>
        <v>4.5</v>
      </c>
      <c r="F2956" s="142">
        <f>VLOOKUP(B2956,'112年全品項生產鍋數'!A:H,7,0)</f>
        <v>32.9</v>
      </c>
      <c r="G2956" s="143">
        <f t="shared" si="459"/>
        <v>98.699999999999989</v>
      </c>
      <c r="H2956" s="156">
        <v>101</v>
      </c>
      <c r="I2956" s="374">
        <f t="shared" si="460"/>
        <v>454.5</v>
      </c>
      <c r="J2956" s="100">
        <f t="shared" si="461"/>
        <v>1.0233029381965553</v>
      </c>
      <c r="K2956" s="51">
        <f>VLOOKUP(B:B,'生產達成率(目標)'!A:C,3,0)</f>
        <v>1</v>
      </c>
      <c r="L2956" s="20">
        <f t="shared" si="462"/>
        <v>2.3E-2</v>
      </c>
      <c r="M2956" s="137" t="str">
        <f>工時!R2140</f>
        <v>125</v>
      </c>
      <c r="N2956" s="374"/>
      <c r="O2956" s="374">
        <f t="shared" si="463"/>
        <v>0</v>
      </c>
      <c r="P2956" s="156">
        <v>101</v>
      </c>
      <c r="Q2956" s="145">
        <f t="shared" si="464"/>
        <v>1</v>
      </c>
      <c r="R2956" s="374"/>
      <c r="S2956" s="378"/>
      <c r="T2956" s="375" t="s">
        <v>1153</v>
      </c>
      <c r="U2956" s="398"/>
      <c r="V2956" s="464"/>
      <c r="W2956" s="421"/>
      <c r="X2956" s="464"/>
      <c r="Y2956" s="421"/>
      <c r="Z2956" s="421"/>
      <c r="AA2956" s="421"/>
      <c r="AB2956" s="421"/>
      <c r="AC2956" s="421"/>
      <c r="AD2956" s="421"/>
    </row>
    <row r="2957" spans="1:30" s="381" customFormat="1" x14ac:dyDescent="0.4">
      <c r="A2957" s="402">
        <v>46157</v>
      </c>
      <c r="B2957" s="392" t="s">
        <v>547</v>
      </c>
      <c r="C2957" s="375" t="str">
        <f>VLOOKUP(B2957,'112年全品項生產鍋數'!A:H,2,0)</f>
        <v>草莓果醬(桶)(1*9.5KG)</v>
      </c>
      <c r="D2957" s="406">
        <v>12</v>
      </c>
      <c r="E2957" s="141">
        <f>VLOOKUP(B2957,'112年全品項生產鍋數'!A:H,3,0)</f>
        <v>9.5</v>
      </c>
      <c r="F2957" s="142">
        <f>VLOOKUP(B2957,'112年全品項生產鍋數'!A:H,7,0)</f>
        <v>16.600000000000001</v>
      </c>
      <c r="G2957" s="143">
        <f t="shared" si="459"/>
        <v>199.20000000000002</v>
      </c>
      <c r="H2957" s="156">
        <v>195</v>
      </c>
      <c r="I2957" s="374">
        <f t="shared" si="460"/>
        <v>1852.5</v>
      </c>
      <c r="J2957" s="100">
        <f t="shared" si="461"/>
        <v>0.97891566265060237</v>
      </c>
      <c r="K2957" s="51">
        <f>VLOOKUP(B:B,'生產達成率(目標)'!A:C,3,0)</f>
        <v>1</v>
      </c>
      <c r="L2957" s="20">
        <f t="shared" si="462"/>
        <v>-2.1000000000000001E-2</v>
      </c>
      <c r="M2957" s="137" t="str">
        <f>工時!R2141</f>
        <v>209</v>
      </c>
      <c r="N2957" s="374"/>
      <c r="O2957" s="374">
        <f t="shared" si="463"/>
        <v>0</v>
      </c>
      <c r="P2957" s="156">
        <v>195</v>
      </c>
      <c r="Q2957" s="145">
        <f t="shared" si="464"/>
        <v>1</v>
      </c>
      <c r="R2957" s="374"/>
      <c r="S2957" s="378"/>
      <c r="T2957" s="375" t="s">
        <v>1153</v>
      </c>
      <c r="U2957" s="398"/>
      <c r="V2957" s="464"/>
      <c r="W2957" s="421"/>
      <c r="X2957" s="464"/>
      <c r="Y2957" s="421"/>
      <c r="Z2957" s="421"/>
      <c r="AA2957" s="421"/>
      <c r="AB2957" s="421"/>
      <c r="AC2957" s="421"/>
      <c r="AD2957" s="421"/>
    </row>
    <row r="2958" spans="1:30" s="381" customFormat="1" x14ac:dyDescent="0.4">
      <c r="A2958" s="402">
        <v>46157</v>
      </c>
      <c r="B2958" s="392" t="s">
        <v>63</v>
      </c>
      <c r="C2958" s="375" t="str">
        <f>VLOOKUP(B2958,'112年全品項生產鍋數'!A:H,2,0)</f>
        <v>草莓蒟蒻餡(1*6kg)</v>
      </c>
      <c r="D2958" s="406">
        <v>20</v>
      </c>
      <c r="E2958" s="141">
        <f>VLOOKUP(B2958,'112年全品項生產鍋數'!A:H,3,0)</f>
        <v>6</v>
      </c>
      <c r="F2958" s="142">
        <f>VLOOKUP(B2958,'112年全品項生產鍋數'!A:H,7,0)</f>
        <v>25.7</v>
      </c>
      <c r="G2958" s="143">
        <f t="shared" si="459"/>
        <v>514</v>
      </c>
      <c r="H2958" s="156">
        <f>301+208</f>
        <v>509</v>
      </c>
      <c r="I2958" s="374">
        <f t="shared" si="460"/>
        <v>3054</v>
      </c>
      <c r="J2958" s="100">
        <f t="shared" si="461"/>
        <v>0.99027237354085607</v>
      </c>
      <c r="K2958" s="51">
        <f>VLOOKUP(B:B,'生產達成率(目標)'!A:C,3,0)</f>
        <v>1</v>
      </c>
      <c r="L2958" s="20">
        <f t="shared" si="462"/>
        <v>-0.01</v>
      </c>
      <c r="M2958" s="137" t="str">
        <f>工時!R2142</f>
        <v>291</v>
      </c>
      <c r="N2958" s="374"/>
      <c r="O2958" s="374">
        <f t="shared" si="463"/>
        <v>1</v>
      </c>
      <c r="P2958" s="156">
        <f>300+208</f>
        <v>508</v>
      </c>
      <c r="Q2958" s="145">
        <f t="shared" si="464"/>
        <v>0.99803536345776034</v>
      </c>
      <c r="R2958" s="374"/>
      <c r="S2958" s="378"/>
      <c r="T2958" s="375"/>
      <c r="U2958" s="398"/>
      <c r="V2958" s="464"/>
      <c r="W2958" s="421"/>
      <c r="X2958" s="464"/>
      <c r="Y2958" s="421"/>
      <c r="Z2958" s="421"/>
      <c r="AA2958" s="421"/>
      <c r="AB2958" s="421"/>
      <c r="AC2958" s="421"/>
      <c r="AD2958" s="421"/>
    </row>
    <row r="2959" spans="1:30" x14ac:dyDescent="0.4">
      <c r="A2959" s="402">
        <v>46157</v>
      </c>
      <c r="B2959" s="392" t="s">
        <v>73</v>
      </c>
      <c r="C2959" s="364" t="str">
        <f>VLOOKUP(B2959,'112年全品項生產鍋數'!A:H,2,0)</f>
        <v>顆粒花生醬(1*12KG)</v>
      </c>
      <c r="D2959" s="404">
        <v>21</v>
      </c>
      <c r="E2959" s="48">
        <f>VLOOKUP(B2959,'112年全品項生產鍋數'!A:H,3,0)</f>
        <v>3</v>
      </c>
      <c r="F2959" s="142">
        <f>VLOOKUP(B2959,'112年全品項生產鍋數'!A:H,7,0)</f>
        <v>29.7</v>
      </c>
      <c r="G2959" s="143">
        <f t="shared" si="459"/>
        <v>623.69999999999993</v>
      </c>
      <c r="H2959" s="156">
        <v>628</v>
      </c>
      <c r="I2959" s="371">
        <f t="shared" si="460"/>
        <v>1884</v>
      </c>
      <c r="J2959" s="100">
        <f t="shared" si="461"/>
        <v>1.0068943402276738</v>
      </c>
      <c r="K2959" s="51">
        <f>VLOOKUP(B:B,'生產達成率(目標)'!A:C,3,0)</f>
        <v>1</v>
      </c>
      <c r="L2959" s="20">
        <f t="shared" si="462"/>
        <v>7.0000000000000001E-3</v>
      </c>
      <c r="M2959" s="137" t="str">
        <f>工時!R2143</f>
        <v>510</v>
      </c>
      <c r="N2959" s="374"/>
      <c r="O2959" s="374">
        <f t="shared" si="463"/>
        <v>0</v>
      </c>
      <c r="P2959" s="156">
        <v>628</v>
      </c>
      <c r="Q2959" s="98">
        <f t="shared" si="464"/>
        <v>1</v>
      </c>
      <c r="R2959" s="371"/>
      <c r="S2959" s="372"/>
      <c r="T2959" s="364" t="s">
        <v>1153</v>
      </c>
      <c r="U2959" s="264"/>
      <c r="V2959" s="463"/>
      <c r="X2959" s="463"/>
    </row>
    <row r="2960" spans="1:30" x14ac:dyDescent="0.4">
      <c r="A2960" s="402">
        <v>46160</v>
      </c>
      <c r="B2960" s="392" t="s">
        <v>71</v>
      </c>
      <c r="C2960" s="364" t="str">
        <f>VLOOKUP(B2960,'112年全品項生產鍋數'!A:H,2,0)</f>
        <v>＃1草莓(1*3.2kg)</v>
      </c>
      <c r="D2960" s="404">
        <v>68</v>
      </c>
      <c r="E2960" s="48">
        <f>VLOOKUP(B2960,'112年全品項生產鍋數'!A:H,3,0)</f>
        <v>3.2</v>
      </c>
      <c r="F2960" s="142">
        <f>VLOOKUP(B2960,'112年全品項生產鍋數'!A:H,7,0)</f>
        <v>46.8</v>
      </c>
      <c r="G2960" s="143">
        <f t="shared" si="459"/>
        <v>3182.3999999999996</v>
      </c>
      <c r="H2960" s="156">
        <v>3150</v>
      </c>
      <c r="I2960" s="371">
        <f t="shared" si="460"/>
        <v>10080</v>
      </c>
      <c r="J2960" s="100">
        <f t="shared" si="461"/>
        <v>0.98981900452488703</v>
      </c>
      <c r="K2960" s="51">
        <f>VLOOKUP(B:B,'生產達成率(目標)'!A:C,3,0)</f>
        <v>1</v>
      </c>
      <c r="L2960" s="20">
        <f t="shared" si="462"/>
        <v>-0.01</v>
      </c>
      <c r="M2960" s="137" t="str">
        <f>工時!R2144</f>
        <v>540</v>
      </c>
      <c r="N2960" s="374"/>
      <c r="O2960" s="374">
        <f t="shared" si="463"/>
        <v>2</v>
      </c>
      <c r="P2960" s="156">
        <v>3148</v>
      </c>
      <c r="Q2960" s="98">
        <f t="shared" si="464"/>
        <v>0.99936507936507935</v>
      </c>
      <c r="R2960" s="371"/>
      <c r="S2960" s="372"/>
      <c r="T2960" s="364" t="s">
        <v>1153</v>
      </c>
      <c r="U2960" s="264"/>
      <c r="V2960" s="463"/>
      <c r="X2960" s="463"/>
    </row>
    <row r="2961" spans="1:24" x14ac:dyDescent="0.4">
      <c r="A2961" s="402">
        <v>46160</v>
      </c>
      <c r="B2961" s="392" t="s">
        <v>115</v>
      </c>
      <c r="C2961" s="364" t="str">
        <f>VLOOKUP(B2961,'112年全品項生產鍋數'!A:H,2,0)</f>
        <v>天天開心藍莓餡4.5KG</v>
      </c>
      <c r="D2961" s="404">
        <v>12</v>
      </c>
      <c r="E2961" s="48">
        <f>VLOOKUP(B2961,'112年全品項生產鍋數'!A:H,3,0)</f>
        <v>4.5</v>
      </c>
      <c r="F2961" s="142">
        <f>VLOOKUP(B2961,'112年全品項生產鍋數'!A:H,7,0)</f>
        <v>36.799999999999997</v>
      </c>
      <c r="G2961" s="143">
        <f t="shared" si="459"/>
        <v>441.59999999999997</v>
      </c>
      <c r="H2961" s="156">
        <v>451</v>
      </c>
      <c r="I2961" s="371">
        <f t="shared" si="460"/>
        <v>2029.5</v>
      </c>
      <c r="J2961" s="100">
        <f t="shared" si="461"/>
        <v>1.0212862318840581</v>
      </c>
      <c r="K2961" s="51">
        <f>VLOOKUP(B:B,'生產達成率(目標)'!A:C,3,0)</f>
        <v>1</v>
      </c>
      <c r="L2961" s="20">
        <f t="shared" si="462"/>
        <v>2.1000000000000001E-2</v>
      </c>
      <c r="M2961" s="137" t="str">
        <f>工時!R2145</f>
        <v>258</v>
      </c>
      <c r="N2961" s="374"/>
      <c r="O2961" s="374">
        <f t="shared" si="463"/>
        <v>0</v>
      </c>
      <c r="P2961" s="156">
        <v>451</v>
      </c>
      <c r="Q2961" s="98">
        <f t="shared" si="464"/>
        <v>1</v>
      </c>
      <c r="R2961" s="371"/>
      <c r="S2961" s="372"/>
      <c r="T2961" s="364" t="s">
        <v>1153</v>
      </c>
      <c r="U2961" s="264"/>
      <c r="V2961" s="463"/>
      <c r="X2961" s="463"/>
    </row>
    <row r="2962" spans="1:24" x14ac:dyDescent="0.4">
      <c r="A2962" s="402">
        <v>46160</v>
      </c>
      <c r="B2962" s="392" t="s">
        <v>116</v>
      </c>
      <c r="C2962" s="364" t="str">
        <f>VLOOKUP(B2962,'112年全品項生產鍋數'!A:H,2,0)</f>
        <v>藍莓餡（大）(1*9.08kg)</v>
      </c>
      <c r="D2962" s="404">
        <v>12</v>
      </c>
      <c r="E2962" s="48">
        <f>VLOOKUP(B2962,'112年全品項生產鍋數'!A:H,3,0)</f>
        <v>9.08</v>
      </c>
      <c r="F2962" s="142">
        <f>VLOOKUP(B2962,'112年全品項生產鍋數'!A:H,7,0)</f>
        <v>17.8</v>
      </c>
      <c r="G2962" s="143">
        <f t="shared" si="459"/>
        <v>213.60000000000002</v>
      </c>
      <c r="H2962" s="156">
        <v>212</v>
      </c>
      <c r="I2962" s="371">
        <f t="shared" si="460"/>
        <v>1924.96</v>
      </c>
      <c r="J2962" s="100">
        <f t="shared" si="461"/>
        <v>0.99250936329588002</v>
      </c>
      <c r="K2962" s="51">
        <f>VLOOKUP(B:B,'生產達成率(目標)'!A:C,3,0)</f>
        <v>1</v>
      </c>
      <c r="L2962" s="20">
        <f t="shared" si="462"/>
        <v>-7.0000000000000001E-3</v>
      </c>
      <c r="M2962" s="137" t="str">
        <f>工時!R2146</f>
        <v>204</v>
      </c>
      <c r="N2962" s="374"/>
      <c r="O2962" s="374">
        <f t="shared" si="463"/>
        <v>0</v>
      </c>
      <c r="P2962" s="156">
        <v>212</v>
      </c>
      <c r="Q2962" s="98">
        <f t="shared" si="464"/>
        <v>1</v>
      </c>
      <c r="R2962" s="371"/>
      <c r="S2962" s="372"/>
      <c r="T2962" s="364" t="s">
        <v>1153</v>
      </c>
      <c r="U2962" s="264"/>
      <c r="V2962" s="463"/>
      <c r="X2962" s="463"/>
    </row>
    <row r="2963" spans="1:24" x14ac:dyDescent="0.4">
      <c r="A2963" s="402">
        <v>46160</v>
      </c>
      <c r="B2963" s="392" t="s">
        <v>81</v>
      </c>
      <c r="C2963" s="364" t="str">
        <f>VLOOKUP(B2963,'112年全品項生產鍋數'!A:H,2,0)</f>
        <v>藍莓餡(1*6Kg)</v>
      </c>
      <c r="D2963" s="404">
        <v>12</v>
      </c>
      <c r="E2963" s="48">
        <f>VLOOKUP(B2963,'112年全品項生產鍋數'!A:H,3,0)</f>
        <v>6</v>
      </c>
      <c r="F2963" s="142">
        <f>VLOOKUP(B2963,'112年全品項生產鍋數'!A:H,7,0)</f>
        <v>25.1</v>
      </c>
      <c r="G2963" s="143">
        <f t="shared" si="459"/>
        <v>301.20000000000005</v>
      </c>
      <c r="H2963" s="156">
        <v>304</v>
      </c>
      <c r="I2963" s="371">
        <f t="shared" si="460"/>
        <v>1824</v>
      </c>
      <c r="J2963" s="100">
        <f t="shared" si="461"/>
        <v>1.0092961487383796</v>
      </c>
      <c r="K2963" s="51">
        <f>VLOOKUP(B:B,'生產達成率(目標)'!A:C,3,0)</f>
        <v>1</v>
      </c>
      <c r="L2963" s="20">
        <f t="shared" si="462"/>
        <v>8.9999999999999993E-3</v>
      </c>
      <c r="M2963" s="137" t="str">
        <f>工時!R2147</f>
        <v>190</v>
      </c>
      <c r="N2963" s="374"/>
      <c r="O2963" s="374">
        <f t="shared" si="463"/>
        <v>3</v>
      </c>
      <c r="P2963" s="156">
        <v>301</v>
      </c>
      <c r="Q2963" s="98">
        <f t="shared" si="464"/>
        <v>0.99013157894736847</v>
      </c>
      <c r="R2963" s="371"/>
      <c r="S2963" s="372"/>
      <c r="T2963" s="364" t="s">
        <v>1153</v>
      </c>
      <c r="U2963" s="264"/>
      <c r="V2963" s="463"/>
      <c r="X2963" s="463"/>
    </row>
    <row r="2964" spans="1:24" x14ac:dyDescent="0.4">
      <c r="A2964" s="402">
        <v>46160</v>
      </c>
      <c r="B2964" s="392" t="s">
        <v>65</v>
      </c>
      <c r="C2964" s="364" t="str">
        <f>VLOOKUP(B2964,'112年全品項生產鍋數'!A:H,2,0)</f>
        <v>＃1花生(1*2.8kg)</v>
      </c>
      <c r="D2964" s="404">
        <v>60</v>
      </c>
      <c r="E2964" s="48">
        <f>VLOOKUP(B2964,'112年全品項生產鍋數'!A:H,3,0)</f>
        <v>2.8</v>
      </c>
      <c r="F2964" s="142">
        <f>VLOOKUP(B2964,'112年全品項生產鍋數'!A:H,7,0)</f>
        <v>44.5</v>
      </c>
      <c r="G2964" s="143">
        <f>D2964*F2964-110*18/2.8</f>
        <v>1962.8571428571427</v>
      </c>
      <c r="H2964" s="156">
        <f>1067+900</f>
        <v>1967</v>
      </c>
      <c r="I2964" s="371">
        <f t="shared" si="460"/>
        <v>5507.5999999999995</v>
      </c>
      <c r="J2964" s="100">
        <f t="shared" si="461"/>
        <v>1.0021106259097528</v>
      </c>
      <c r="K2964" s="51">
        <f>VLOOKUP(B:B,'生產達成率(目標)'!A:C,3,0)</f>
        <v>1</v>
      </c>
      <c r="L2964" s="20">
        <f t="shared" si="462"/>
        <v>2E-3</v>
      </c>
      <c r="M2964" s="137" t="str">
        <f>工時!R2148</f>
        <v>470</v>
      </c>
      <c r="N2964" s="374"/>
      <c r="O2964" s="374">
        <f t="shared" si="463"/>
        <v>1</v>
      </c>
      <c r="P2964" s="156">
        <f>1066+900</f>
        <v>1966</v>
      </c>
      <c r="Q2964" s="98">
        <f t="shared" si="464"/>
        <v>0.99949161159125577</v>
      </c>
      <c r="R2964" s="371"/>
      <c r="S2964" s="372"/>
      <c r="T2964" s="364" t="s">
        <v>1691</v>
      </c>
      <c r="U2964" s="264"/>
      <c r="V2964" s="463"/>
      <c r="X2964" s="463"/>
    </row>
    <row r="2965" spans="1:24" x14ac:dyDescent="0.4">
      <c r="A2965" s="402">
        <v>46161</v>
      </c>
      <c r="B2965" s="392" t="s">
        <v>106</v>
      </c>
      <c r="C2965" s="364" t="str">
        <f>VLOOKUP(B2965,'112年全品項生產鍋數'!A:H,2,0)</f>
        <v>小藍莓1*260G</v>
      </c>
      <c r="D2965" s="404">
        <v>20</v>
      </c>
      <c r="E2965" s="48">
        <f>VLOOKUP(B2965,'112年全品項生產鍋數'!A:H,3,0)</f>
        <v>0.26</v>
      </c>
      <c r="F2965" s="142">
        <f>VLOOKUP(B2965,'112年全品項生產鍋數'!A:H,7,0)</f>
        <v>584.29999999999995</v>
      </c>
      <c r="G2965" s="143">
        <f t="shared" si="459"/>
        <v>11686</v>
      </c>
      <c r="H2965" s="186">
        <v>11545</v>
      </c>
      <c r="I2965" s="371">
        <f t="shared" si="460"/>
        <v>3001.7000000000003</v>
      </c>
      <c r="J2965" s="100">
        <f t="shared" si="461"/>
        <v>0.98793428033544417</v>
      </c>
      <c r="K2965" s="51">
        <f>VLOOKUP(B:B,'生產達成率(目標)'!A:C,3,0)</f>
        <v>1</v>
      </c>
      <c r="L2965" s="20">
        <f t="shared" si="462"/>
        <v>-1.2E-2</v>
      </c>
      <c r="M2965" s="137" t="str">
        <f>工時!R2149</f>
        <v>402</v>
      </c>
      <c r="N2965" s="374"/>
      <c r="O2965" s="374">
        <f t="shared" si="463"/>
        <v>4</v>
      </c>
      <c r="P2965" s="156">
        <v>11541</v>
      </c>
      <c r="Q2965" s="98">
        <f t="shared" si="464"/>
        <v>0.99965352966652232</v>
      </c>
      <c r="R2965" s="371"/>
      <c r="S2965" s="372"/>
      <c r="T2965" s="364"/>
      <c r="U2965" s="264"/>
      <c r="V2965" s="463"/>
      <c r="X2965" s="463"/>
    </row>
    <row r="2966" spans="1:24" x14ac:dyDescent="0.4">
      <c r="A2966" s="402">
        <v>46161</v>
      </c>
      <c r="B2966" s="392" t="s">
        <v>91</v>
      </c>
      <c r="C2966" s="364" t="str">
        <f>VLOOKUP(B2966,'112年全品項生產鍋數'!A:H,2,0)</f>
        <v>梨山草莓果醬(1*430g)</v>
      </c>
      <c r="D2966" s="404">
        <v>8</v>
      </c>
      <c r="E2966" s="48">
        <f>VLOOKUP(B2966,'112年全品項生產鍋數'!A:H,3,0)</f>
        <v>0.43</v>
      </c>
      <c r="F2966" s="142">
        <f>VLOOKUP(B2966,'112年全品項生產鍋數'!A:H,7,0)</f>
        <v>340.4</v>
      </c>
      <c r="G2966" s="143">
        <f t="shared" si="459"/>
        <v>2723.2</v>
      </c>
      <c r="H2966" s="156">
        <f>2162+449</f>
        <v>2611</v>
      </c>
      <c r="I2966" s="371">
        <f t="shared" si="460"/>
        <v>1122.73</v>
      </c>
      <c r="J2966" s="100">
        <f t="shared" si="461"/>
        <v>0.95879847238542892</v>
      </c>
      <c r="K2966" s="51">
        <f>VLOOKUP(B:B,'生產達成率(目標)'!A:C,3,0)</f>
        <v>1</v>
      </c>
      <c r="L2966" s="20">
        <f t="shared" si="462"/>
        <v>-4.1000000000000002E-2</v>
      </c>
      <c r="M2966" s="137" t="str">
        <f>工時!R2150</f>
        <v>180</v>
      </c>
      <c r="N2966" s="374"/>
      <c r="O2966" s="374">
        <f t="shared" si="463"/>
        <v>6</v>
      </c>
      <c r="P2966" s="156">
        <f>2160+445</f>
        <v>2605</v>
      </c>
      <c r="Q2966" s="98">
        <f t="shared" si="464"/>
        <v>0.99770202987361167</v>
      </c>
      <c r="R2966" s="371"/>
      <c r="S2966" s="372"/>
      <c r="T2966" s="364" t="s">
        <v>1690</v>
      </c>
      <c r="U2966" s="264"/>
      <c r="V2966" s="463"/>
      <c r="X2966" s="463"/>
    </row>
    <row r="2967" spans="1:24" x14ac:dyDescent="0.4">
      <c r="A2967" s="402">
        <v>46161</v>
      </c>
      <c r="B2967" s="392" t="s">
        <v>63</v>
      </c>
      <c r="C2967" s="364" t="str">
        <f>VLOOKUP(B2967,'112年全品項生產鍋數'!A:H,2,0)</f>
        <v>草莓蒟蒻餡(1*6kg)</v>
      </c>
      <c r="D2967" s="404">
        <v>20</v>
      </c>
      <c r="E2967" s="48">
        <f>VLOOKUP(B2967,'112年全品項生產鍋數'!A:H,3,0)</f>
        <v>6</v>
      </c>
      <c r="F2967" s="142">
        <f>VLOOKUP(B2967,'112年全品項生產鍋數'!A:H,7,0)</f>
        <v>25.7</v>
      </c>
      <c r="G2967" s="143">
        <f t="shared" si="459"/>
        <v>514</v>
      </c>
      <c r="H2967" s="156">
        <f>304+211</f>
        <v>515</v>
      </c>
      <c r="I2967" s="371">
        <f t="shared" si="460"/>
        <v>3090</v>
      </c>
      <c r="J2967" s="100">
        <f t="shared" si="461"/>
        <v>1.0019455252918288</v>
      </c>
      <c r="K2967" s="51">
        <f>VLOOKUP(B:B,'生產達成率(目標)'!A:C,3,0)</f>
        <v>1</v>
      </c>
      <c r="L2967" s="20">
        <f t="shared" si="462"/>
        <v>2E-3</v>
      </c>
      <c r="M2967" s="137" t="str">
        <f>工時!R2151</f>
        <v>334</v>
      </c>
      <c r="N2967" s="374"/>
      <c r="O2967" s="374">
        <f t="shared" si="463"/>
        <v>1</v>
      </c>
      <c r="P2967" s="156">
        <f>303+211</f>
        <v>514</v>
      </c>
      <c r="Q2967" s="98">
        <f t="shared" si="464"/>
        <v>0.99805825242718449</v>
      </c>
      <c r="R2967" s="371"/>
      <c r="S2967" s="372"/>
      <c r="T2967" s="364"/>
      <c r="U2967" s="264"/>
      <c r="V2967" s="463"/>
      <c r="X2967" s="463"/>
    </row>
    <row r="2968" spans="1:24" x14ac:dyDescent="0.4">
      <c r="A2968" s="402">
        <v>46161</v>
      </c>
      <c r="B2968" s="392" t="s">
        <v>965</v>
      </c>
      <c r="C2968" s="364" t="str">
        <f>VLOOKUP(B2968,'112年全品項生產鍋數'!A:H,2,0)</f>
        <v>草莓餡°(1*6KG)</v>
      </c>
      <c r="D2968" s="404">
        <v>16</v>
      </c>
      <c r="E2968" s="48">
        <f>VLOOKUP(B2968,'112年全品項生產鍋數'!A:H,3,0)</f>
        <v>6</v>
      </c>
      <c r="F2968" s="142">
        <f>VLOOKUP(B2968,'112年全品項生產鍋數'!A:H,7,0)</f>
        <v>0</v>
      </c>
      <c r="G2968" s="143">
        <f t="shared" si="459"/>
        <v>0</v>
      </c>
      <c r="H2968" s="156">
        <v>409</v>
      </c>
      <c r="I2968" s="371">
        <f t="shared" si="460"/>
        <v>2454</v>
      </c>
      <c r="J2968" s="100" t="str">
        <f t="shared" si="461"/>
        <v>無法預估數據</v>
      </c>
      <c r="K2968" s="51">
        <f>VLOOKUP(B:B,'生產達成率(目標)'!A:C,3,0)</f>
        <v>1</v>
      </c>
      <c r="L2968" s="20" t="str">
        <f t="shared" si="462"/>
        <v>無法預估數據</v>
      </c>
      <c r="M2968" s="137" t="str">
        <f>工時!R2152</f>
        <v>215</v>
      </c>
      <c r="N2968" s="374"/>
      <c r="O2968" s="374">
        <f t="shared" si="463"/>
        <v>2</v>
      </c>
      <c r="P2968" s="156">
        <v>407</v>
      </c>
      <c r="Q2968" s="98">
        <f t="shared" si="464"/>
        <v>0.99511002444987773</v>
      </c>
      <c r="R2968" s="371"/>
      <c r="S2968" s="372"/>
      <c r="T2968" s="364" t="s">
        <v>1153</v>
      </c>
      <c r="U2968" s="264"/>
      <c r="V2968" s="463"/>
      <c r="X2968" s="463"/>
    </row>
    <row r="2969" spans="1:24" x14ac:dyDescent="0.4">
      <c r="A2969" s="402">
        <v>46161</v>
      </c>
      <c r="B2969" s="392" t="s">
        <v>108</v>
      </c>
      <c r="C2969" s="364" t="str">
        <f>VLOOKUP(B2969,'112年全品項生產鍋數'!A:H,2,0)</f>
        <v>顆粒花生醬(1*12KG)</v>
      </c>
      <c r="D2969" s="404">
        <v>21</v>
      </c>
      <c r="E2969" s="48">
        <f>VLOOKUP(B2969,'112年全品項生產鍋數'!A:H,3,0)</f>
        <v>3</v>
      </c>
      <c r="F2969" s="142">
        <f>VLOOKUP(B2969,'112年全品項生產鍋數'!A:H,7,0)</f>
        <v>31.6</v>
      </c>
      <c r="G2969" s="143">
        <f t="shared" si="459"/>
        <v>663.6</v>
      </c>
      <c r="H2969" s="156">
        <v>668</v>
      </c>
      <c r="I2969" s="371">
        <f t="shared" si="460"/>
        <v>2004</v>
      </c>
      <c r="J2969" s="100">
        <f t="shared" si="461"/>
        <v>1.0066305003013862</v>
      </c>
      <c r="K2969" s="51">
        <f>VLOOKUP(B:B,'生產達成率(目標)'!A:C,3,0)</f>
        <v>1</v>
      </c>
      <c r="L2969" s="20">
        <f t="shared" si="462"/>
        <v>7.0000000000000001E-3</v>
      </c>
      <c r="M2969" s="137" t="str">
        <f>工時!R2153</f>
        <v>570</v>
      </c>
      <c r="N2969" s="374"/>
      <c r="O2969" s="374">
        <f t="shared" si="463"/>
        <v>0</v>
      </c>
      <c r="P2969" s="156">
        <v>668</v>
      </c>
      <c r="Q2969" s="98">
        <f t="shared" si="464"/>
        <v>1</v>
      </c>
      <c r="R2969" s="371"/>
      <c r="S2969" s="372"/>
      <c r="T2969" s="364" t="s">
        <v>1153</v>
      </c>
      <c r="U2969" s="264"/>
      <c r="V2969" s="463"/>
      <c r="X2969" s="463"/>
    </row>
    <row r="2970" spans="1:24" x14ac:dyDescent="0.4">
      <c r="A2970" s="402">
        <v>46162</v>
      </c>
      <c r="B2970" s="392" t="s">
        <v>87</v>
      </c>
      <c r="C2970" s="364" t="str">
        <f>VLOOKUP(B2970,'112年全品項生產鍋數'!A:H,2,0)</f>
        <v>＃1藍莓(1*3.2kg)</v>
      </c>
      <c r="D2970" s="404">
        <v>68</v>
      </c>
      <c r="E2970" s="48">
        <f>VLOOKUP(B2970,'112年全品項生產鍋數'!A:H,3,0)</f>
        <v>3.2</v>
      </c>
      <c r="F2970" s="142">
        <f>VLOOKUP(B2970,'112年全品項生產鍋數'!A:H,7,0)</f>
        <v>47.5</v>
      </c>
      <c r="G2970" s="143">
        <f t="shared" si="459"/>
        <v>3230</v>
      </c>
      <c r="H2970" s="156">
        <v>3137</v>
      </c>
      <c r="I2970" s="371">
        <f t="shared" si="460"/>
        <v>10038.400000000001</v>
      </c>
      <c r="J2970" s="100">
        <f t="shared" si="461"/>
        <v>0.97120743034055723</v>
      </c>
      <c r="K2970" s="51">
        <f>VLOOKUP(B:B,'生產達成率(目標)'!A:C,3,0)</f>
        <v>1</v>
      </c>
      <c r="L2970" s="20">
        <f t="shared" si="462"/>
        <v>-2.9000000000000001E-2</v>
      </c>
      <c r="M2970" s="137" t="str">
        <f>工時!R2154</f>
        <v>540</v>
      </c>
      <c r="N2970" s="374"/>
      <c r="O2970" s="374">
        <f t="shared" si="463"/>
        <v>2</v>
      </c>
      <c r="P2970" s="156">
        <v>3135</v>
      </c>
      <c r="Q2970" s="98">
        <f t="shared" si="464"/>
        <v>0.99936244819891618</v>
      </c>
      <c r="R2970" s="371"/>
      <c r="S2970" s="372"/>
      <c r="T2970" s="364" t="s">
        <v>1153</v>
      </c>
      <c r="U2970" s="264"/>
      <c r="V2970" s="463"/>
      <c r="X2970" s="463"/>
    </row>
    <row r="2971" spans="1:24" x14ac:dyDescent="0.4">
      <c r="A2971" s="402">
        <v>46162</v>
      </c>
      <c r="B2971" s="392" t="s">
        <v>107</v>
      </c>
      <c r="C2971" s="364" t="str">
        <f>VLOOKUP(B2971,'112年全品項生產鍋數'!A:H,2,0)</f>
        <v>藍莓餡(1*6kg)</v>
      </c>
      <c r="D2971" s="404">
        <v>8</v>
      </c>
      <c r="E2971" s="48">
        <f>VLOOKUP(B2971,'112年全品項生產鍋數'!A:H,3,0)</f>
        <v>6</v>
      </c>
      <c r="F2971" s="142">
        <f>VLOOKUP(B2971,'112年全品項生產鍋數'!A:H,7,0)</f>
        <v>26.4</v>
      </c>
      <c r="G2971" s="143">
        <f t="shared" si="459"/>
        <v>211.2</v>
      </c>
      <c r="H2971" s="156">
        <v>203</v>
      </c>
      <c r="I2971" s="371">
        <f t="shared" si="460"/>
        <v>1218</v>
      </c>
      <c r="J2971" s="100">
        <f t="shared" si="461"/>
        <v>0.96117424242424243</v>
      </c>
      <c r="K2971" s="51">
        <f>VLOOKUP(B:B,'生產達成率(目標)'!A:C,3,0)</f>
        <v>1</v>
      </c>
      <c r="L2971" s="20">
        <f t="shared" si="462"/>
        <v>-3.9E-2</v>
      </c>
      <c r="M2971" s="137" t="str">
        <f>工時!R2155</f>
        <v>182</v>
      </c>
      <c r="N2971" s="374"/>
      <c r="O2971" s="374">
        <f t="shared" si="463"/>
        <v>1</v>
      </c>
      <c r="P2971" s="156">
        <v>202</v>
      </c>
      <c r="Q2971" s="98">
        <f t="shared" si="464"/>
        <v>0.99507389162561577</v>
      </c>
      <c r="R2971" s="371"/>
      <c r="S2971" s="372"/>
      <c r="T2971" s="364" t="s">
        <v>1153</v>
      </c>
      <c r="U2971" s="264"/>
      <c r="V2971" s="463"/>
      <c r="X2971" s="463"/>
    </row>
    <row r="2972" spans="1:24" x14ac:dyDescent="0.4">
      <c r="A2972" s="402">
        <v>46162</v>
      </c>
      <c r="B2972" s="392" t="s">
        <v>63</v>
      </c>
      <c r="C2972" s="364" t="str">
        <f>VLOOKUP(B2972,'112年全品項生產鍋數'!A:H,2,0)</f>
        <v>草莓蒟蒻餡(1*6kg)</v>
      </c>
      <c r="D2972" s="404">
        <v>16</v>
      </c>
      <c r="E2972" s="48">
        <f>VLOOKUP(B2972,'112年全品項生產鍋數'!A:H,3,0)</f>
        <v>6</v>
      </c>
      <c r="F2972" s="142">
        <f>VLOOKUP(B2972,'112年全品項生產鍋數'!A:H,7,0)</f>
        <v>25.7</v>
      </c>
      <c r="G2972" s="143">
        <f t="shared" si="459"/>
        <v>411.2</v>
      </c>
      <c r="H2972" s="156">
        <f>198+209</f>
        <v>407</v>
      </c>
      <c r="I2972" s="371">
        <f t="shared" si="460"/>
        <v>2442</v>
      </c>
      <c r="J2972" s="100">
        <f t="shared" si="461"/>
        <v>0.98978599221789887</v>
      </c>
      <c r="K2972" s="51">
        <f>VLOOKUP(B:B,'生產達成率(目標)'!A:C,3,0)</f>
        <v>1</v>
      </c>
      <c r="L2972" s="20">
        <f t="shared" si="462"/>
        <v>-0.01</v>
      </c>
      <c r="M2972" s="137" t="str">
        <f>工時!R2156</f>
        <v>210</v>
      </c>
      <c r="N2972" s="374"/>
      <c r="O2972" s="374">
        <f t="shared" si="463"/>
        <v>1</v>
      </c>
      <c r="P2972" s="156">
        <f>197+209</f>
        <v>406</v>
      </c>
      <c r="Q2972" s="98">
        <f t="shared" si="464"/>
        <v>0.99754299754299758</v>
      </c>
      <c r="R2972" s="371"/>
      <c r="S2972" s="372"/>
      <c r="T2972" s="364"/>
      <c r="U2972" s="264"/>
      <c r="V2972" s="463"/>
      <c r="X2972" s="463"/>
    </row>
    <row r="2973" spans="1:24" x14ac:dyDescent="0.4">
      <c r="A2973" s="402">
        <v>46162</v>
      </c>
      <c r="B2973" s="392" t="s">
        <v>64</v>
      </c>
      <c r="C2973" s="364" t="str">
        <f>VLOOKUP(B2973,'112年全品項生產鍋數'!A:H,2,0)</f>
        <v>藍莓餡(1*6KG)</v>
      </c>
      <c r="D2973" s="404">
        <v>12</v>
      </c>
      <c r="E2973" s="48">
        <f>VLOOKUP(B2973,'112年全品項生產鍋數'!A:H,3,0)</f>
        <v>6</v>
      </c>
      <c r="F2973" s="142">
        <f>VLOOKUP(B2973,'112年全品項生產鍋數'!A:H,7,0)</f>
        <v>25.4</v>
      </c>
      <c r="G2973" s="143">
        <f t="shared" si="459"/>
        <v>304.79999999999995</v>
      </c>
      <c r="H2973" s="156">
        <v>303</v>
      </c>
      <c r="I2973" s="371">
        <f t="shared" si="460"/>
        <v>1818</v>
      </c>
      <c r="J2973" s="100">
        <f t="shared" si="461"/>
        <v>0.9940944881889765</v>
      </c>
      <c r="K2973" s="51">
        <f>VLOOKUP(B:B,'生產達成率(目標)'!A:C,3,0)</f>
        <v>1</v>
      </c>
      <c r="L2973" s="20">
        <f t="shared" si="462"/>
        <v>-6.0000000000000001E-3</v>
      </c>
      <c r="M2973" s="137" t="str">
        <f>工時!R2157</f>
        <v>185</v>
      </c>
      <c r="N2973" s="374"/>
      <c r="O2973" s="374">
        <f t="shared" si="463"/>
        <v>1</v>
      </c>
      <c r="P2973" s="156">
        <v>302</v>
      </c>
      <c r="Q2973" s="98">
        <f t="shared" si="464"/>
        <v>0.99669966996699666</v>
      </c>
      <c r="R2973" s="371"/>
      <c r="S2973" s="372"/>
      <c r="T2973" s="364"/>
      <c r="U2973" s="264"/>
      <c r="V2973" s="463"/>
      <c r="X2973" s="463"/>
    </row>
    <row r="2974" spans="1:24" x14ac:dyDescent="0.4">
      <c r="A2974" s="402">
        <v>46162</v>
      </c>
      <c r="B2974" s="392" t="s">
        <v>65</v>
      </c>
      <c r="C2974" s="364" t="str">
        <f>VLOOKUP(B2974,'112年全品項生產鍋數'!A:H,2,0)</f>
        <v>＃1花生(1*2.8kg)</v>
      </c>
      <c r="D2974" s="404">
        <v>28</v>
      </c>
      <c r="E2974" s="48">
        <f>VLOOKUP(B2974,'112年全品項生產鍋數'!A:H,3,0)</f>
        <v>2.8</v>
      </c>
      <c r="F2974" s="142">
        <f>VLOOKUP(B2974,'112年全品項生產鍋數'!A:H,7,0)</f>
        <v>44.5</v>
      </c>
      <c r="G2974" s="143">
        <f t="shared" si="459"/>
        <v>1246</v>
      </c>
      <c r="H2974" s="156">
        <v>1281</v>
      </c>
      <c r="I2974" s="371">
        <f t="shared" si="460"/>
        <v>3586.7999999999997</v>
      </c>
      <c r="J2974" s="100">
        <f t="shared" si="461"/>
        <v>1.0280898876404494</v>
      </c>
      <c r="K2974" s="51">
        <f>VLOOKUP(B:B,'生產達成率(目標)'!A:C,3,0)</f>
        <v>1</v>
      </c>
      <c r="L2974" s="20">
        <f t="shared" si="462"/>
        <v>2.8000000000000001E-2</v>
      </c>
      <c r="M2974" s="137" t="str">
        <f>工時!R2158</f>
        <v>250</v>
      </c>
      <c r="N2974" s="374"/>
      <c r="O2974" s="374">
        <f t="shared" si="463"/>
        <v>1</v>
      </c>
      <c r="P2974" s="156">
        <v>1280</v>
      </c>
      <c r="Q2974" s="98">
        <f t="shared" si="464"/>
        <v>0.99921935987509758</v>
      </c>
      <c r="R2974" s="371"/>
      <c r="S2974" s="372"/>
      <c r="T2974" s="364" t="s">
        <v>1153</v>
      </c>
      <c r="U2974" s="264"/>
      <c r="V2974" s="463"/>
      <c r="X2974" s="463"/>
    </row>
    <row r="2975" spans="1:24" x14ac:dyDescent="0.4">
      <c r="A2975" s="402">
        <v>46162</v>
      </c>
      <c r="B2975" s="392" t="s">
        <v>558</v>
      </c>
      <c r="C2975" s="364" t="str">
        <f>VLOOKUP(B2975,'112年全品項生產鍋數'!A:H,2,0)</f>
        <v>＃1花生(粒)(1*2.8kg)</v>
      </c>
      <c r="D2975" s="404">
        <v>28</v>
      </c>
      <c r="E2975" s="48">
        <f>VLOOKUP(B2975,'112年全品項生產鍋數'!A:H,3,0)</f>
        <v>2.8</v>
      </c>
      <c r="F2975" s="142">
        <f>VLOOKUP(B2975,'112年全品項生產鍋數'!A:H,7,0)</f>
        <v>44.8</v>
      </c>
      <c r="G2975" s="143">
        <f t="shared" si="459"/>
        <v>1254.3999999999999</v>
      </c>
      <c r="H2975" s="156">
        <v>1281</v>
      </c>
      <c r="I2975" s="371">
        <f t="shared" si="460"/>
        <v>3586.7999999999997</v>
      </c>
      <c r="J2975" s="100">
        <f t="shared" si="461"/>
        <v>1.0212053571428572</v>
      </c>
      <c r="K2975" s="51">
        <f>VLOOKUP(B:B,'生產達成率(目標)'!A:C,3,0)</f>
        <v>1</v>
      </c>
      <c r="L2975" s="20">
        <f t="shared" si="462"/>
        <v>2.1000000000000001E-2</v>
      </c>
      <c r="M2975" s="137" t="str">
        <f>工時!R2159</f>
        <v>280</v>
      </c>
      <c r="N2975" s="374"/>
      <c r="O2975" s="374">
        <f t="shared" si="463"/>
        <v>1</v>
      </c>
      <c r="P2975" s="156">
        <v>1280</v>
      </c>
      <c r="Q2975" s="98">
        <f t="shared" si="464"/>
        <v>0.99921935987509758</v>
      </c>
      <c r="R2975" s="371"/>
      <c r="S2975" s="372"/>
      <c r="T2975" s="364" t="s">
        <v>1153</v>
      </c>
      <c r="U2975" s="264"/>
      <c r="V2975" s="463"/>
      <c r="X2975" s="463"/>
    </row>
    <row r="2976" spans="1:24" x14ac:dyDescent="0.4">
      <c r="A2976" s="417">
        <v>46163</v>
      </c>
      <c r="B2976" s="373" t="s">
        <v>72</v>
      </c>
      <c r="C2976" s="364" t="str">
        <f>VLOOKUP(B2976,'112年全品項生產鍋數'!A:H,2,0)</f>
        <v>草莓餡45%(1*6Kg)</v>
      </c>
      <c r="D2976" s="404">
        <v>16</v>
      </c>
      <c r="E2976" s="48">
        <f>VLOOKUP(B2976,'112年全品項生產鍋數'!A:H,3,0)</f>
        <v>6</v>
      </c>
      <c r="F2976" s="142">
        <f>VLOOKUP(B2976,'112年全品項生產鍋數'!A:H,7,0)</f>
        <v>26.1</v>
      </c>
      <c r="G2976" s="143">
        <f t="shared" si="459"/>
        <v>417.6</v>
      </c>
      <c r="H2976" s="156">
        <v>432</v>
      </c>
      <c r="I2976" s="371">
        <f t="shared" si="460"/>
        <v>2592</v>
      </c>
      <c r="J2976" s="100">
        <f t="shared" si="461"/>
        <v>1.0344827586206895</v>
      </c>
      <c r="K2976" s="51">
        <f>VLOOKUP(B:B,'生產達成率(目標)'!A:C,3,0)</f>
        <v>1</v>
      </c>
      <c r="L2976" s="20">
        <f t="shared" si="462"/>
        <v>3.4000000000000002E-2</v>
      </c>
      <c r="M2976" s="137" t="str">
        <f>工時!R2160</f>
        <v>220</v>
      </c>
      <c r="N2976" s="374"/>
      <c r="O2976" s="374">
        <f t="shared" si="463"/>
        <v>8</v>
      </c>
      <c r="P2976" s="156">
        <v>424</v>
      </c>
      <c r="Q2976" s="98">
        <f t="shared" si="464"/>
        <v>0.98148148148148151</v>
      </c>
      <c r="R2976" s="371"/>
      <c r="S2976" s="372"/>
      <c r="T2976" s="364" t="s">
        <v>1153</v>
      </c>
      <c r="U2976" s="264"/>
      <c r="V2976" s="463"/>
      <c r="X2976" s="463"/>
    </row>
    <row r="2977" spans="1:30" x14ac:dyDescent="0.4">
      <c r="A2977" s="402">
        <v>46163</v>
      </c>
      <c r="B2977" s="392" t="s">
        <v>63</v>
      </c>
      <c r="C2977" s="364" t="str">
        <f>VLOOKUP(B2977,'112年全品項生產鍋數'!A:H,2,0)</f>
        <v>草莓蒟蒻餡(1*6kg)</v>
      </c>
      <c r="D2977" s="404">
        <v>20</v>
      </c>
      <c r="E2977" s="48">
        <f>VLOOKUP(B2977,'112年全品項生產鍋數'!A:H,3,0)</f>
        <v>6</v>
      </c>
      <c r="F2977" s="142">
        <f>VLOOKUP(B2977,'112年全品項生產鍋數'!A:H,7,0)</f>
        <v>25.7</v>
      </c>
      <c r="G2977" s="143">
        <f t="shared" si="459"/>
        <v>514</v>
      </c>
      <c r="H2977" s="156">
        <f>311+211</f>
        <v>522</v>
      </c>
      <c r="I2977" s="371">
        <f t="shared" si="460"/>
        <v>3132</v>
      </c>
      <c r="J2977" s="100">
        <f t="shared" si="461"/>
        <v>1.0155642023346303</v>
      </c>
      <c r="K2977" s="51">
        <f>VLOOKUP(B:B,'生產達成率(目標)'!A:C,3,0)</f>
        <v>1</v>
      </c>
      <c r="L2977" s="20">
        <f t="shared" si="462"/>
        <v>1.6E-2</v>
      </c>
      <c r="M2977" s="137" t="str">
        <f>工時!R2161</f>
        <v>325</v>
      </c>
      <c r="N2977" s="374"/>
      <c r="O2977" s="374">
        <f t="shared" si="463"/>
        <v>1</v>
      </c>
      <c r="P2977" s="156">
        <f>310+211</f>
        <v>521</v>
      </c>
      <c r="Q2977" s="98">
        <f t="shared" si="464"/>
        <v>0.99808429118773945</v>
      </c>
      <c r="R2977" s="371"/>
      <c r="S2977" s="372"/>
      <c r="T2977" s="364"/>
      <c r="U2977" s="264"/>
      <c r="V2977" s="463"/>
      <c r="X2977" s="463"/>
    </row>
    <row r="2978" spans="1:30" x14ac:dyDescent="0.4">
      <c r="A2978" s="402">
        <v>46163</v>
      </c>
      <c r="B2978" s="392" t="s">
        <v>73</v>
      </c>
      <c r="C2978" s="364" t="str">
        <f>VLOOKUP(B2978,'112年全品項生產鍋數'!A:H,2,0)</f>
        <v>顆粒花生醬(1*12KG)</v>
      </c>
      <c r="D2978" s="404">
        <v>21</v>
      </c>
      <c r="E2978" s="48">
        <f>VLOOKUP(B2978,'112年全品項生產鍋數'!A:H,3,0)</f>
        <v>3</v>
      </c>
      <c r="F2978" s="142">
        <f>VLOOKUP(B2978,'112年全品項生產鍋數'!A:H,7,0)</f>
        <v>29.7</v>
      </c>
      <c r="G2978" s="143">
        <f t="shared" si="459"/>
        <v>623.69999999999993</v>
      </c>
      <c r="H2978" s="156">
        <v>628</v>
      </c>
      <c r="I2978" s="371">
        <f t="shared" si="460"/>
        <v>1884</v>
      </c>
      <c r="J2978" s="100">
        <f t="shared" si="461"/>
        <v>1.0068943402276738</v>
      </c>
      <c r="K2978" s="51">
        <f>VLOOKUP(B:B,'生產達成率(目標)'!A:C,3,0)</f>
        <v>1</v>
      </c>
      <c r="L2978" s="20">
        <f t="shared" si="462"/>
        <v>7.0000000000000001E-3</v>
      </c>
      <c r="M2978" s="137" t="str">
        <f>工時!R2162</f>
        <v>510</v>
      </c>
      <c r="N2978" s="374"/>
      <c r="O2978" s="374">
        <f t="shared" si="463"/>
        <v>0</v>
      </c>
      <c r="P2978" s="156">
        <v>628</v>
      </c>
      <c r="Q2978" s="98">
        <f t="shared" si="464"/>
        <v>1</v>
      </c>
      <c r="R2978" s="371"/>
      <c r="S2978" s="372"/>
      <c r="T2978" s="364" t="s">
        <v>1153</v>
      </c>
      <c r="U2978" s="264"/>
      <c r="V2978" s="463"/>
      <c r="X2978" s="463"/>
    </row>
    <row r="2979" spans="1:30" s="381" customFormat="1" x14ac:dyDescent="0.4">
      <c r="A2979" s="402">
        <v>46163</v>
      </c>
      <c r="B2979" s="392" t="s">
        <v>558</v>
      </c>
      <c r="C2979" s="375" t="str">
        <f>VLOOKUP(B2979,'112年全品項生產鍋數'!A:H,2,0)</f>
        <v>＃1花生(粒)(1*2.8kg)</v>
      </c>
      <c r="D2979" s="406">
        <v>60</v>
      </c>
      <c r="E2979" s="141">
        <f>VLOOKUP(B2979,'112年全品項生產鍋數'!A:H,3,0)</f>
        <v>2.8</v>
      </c>
      <c r="F2979" s="142">
        <f>VLOOKUP(B2979,'112年全品項生產鍋數'!A:H,7,0)</f>
        <v>44.8</v>
      </c>
      <c r="G2979" s="143">
        <f t="shared" si="459"/>
        <v>2688</v>
      </c>
      <c r="H2979" s="186">
        <v>2708</v>
      </c>
      <c r="I2979" s="374">
        <f t="shared" si="460"/>
        <v>7582.4</v>
      </c>
      <c r="J2979" s="100">
        <f t="shared" si="461"/>
        <v>1.0074404761904763</v>
      </c>
      <c r="K2979" s="51">
        <f>VLOOKUP(B:B,'生產達成率(目標)'!A:C,3,0)</f>
        <v>1</v>
      </c>
      <c r="L2979" s="20">
        <f t="shared" si="462"/>
        <v>7.0000000000000001E-3</v>
      </c>
      <c r="M2979" s="137" t="str">
        <f>工時!R2163</f>
        <v>535</v>
      </c>
      <c r="N2979" s="374"/>
      <c r="O2979" s="374">
        <f t="shared" si="463"/>
        <v>1</v>
      </c>
      <c r="P2979" s="156">
        <v>2707</v>
      </c>
      <c r="Q2979" s="145">
        <f t="shared" si="464"/>
        <v>0.99963072378138851</v>
      </c>
      <c r="R2979" s="374"/>
      <c r="S2979" s="378"/>
      <c r="T2979" s="375" t="s">
        <v>1153</v>
      </c>
      <c r="U2979" s="398"/>
      <c r="V2979" s="464"/>
      <c r="W2979" s="421"/>
      <c r="X2979" s="464"/>
      <c r="Y2979" s="421"/>
      <c r="Z2979" s="421"/>
      <c r="AA2979" s="421"/>
      <c r="AB2979" s="421"/>
      <c r="AC2979" s="421"/>
      <c r="AD2979" s="421"/>
    </row>
    <row r="2980" spans="1:30" s="381" customFormat="1" x14ac:dyDescent="0.4">
      <c r="A2980" s="402">
        <v>46163</v>
      </c>
      <c r="B2980" s="392" t="s">
        <v>434</v>
      </c>
      <c r="C2980" s="375" t="str">
        <f>VLOOKUP(B2980,'112年全品項生產鍋數'!A:H,2,0)</f>
        <v>蜜桔皮</v>
      </c>
      <c r="D2980" s="406">
        <v>50</v>
      </c>
      <c r="E2980" s="141">
        <f>VLOOKUP(B2980,'112年全品項生產鍋數'!A:H,3,0)</f>
        <v>1</v>
      </c>
      <c r="F2980" s="142">
        <f>VLOOKUP(B2980,'112年全品項生產鍋數'!A:H,7,0)</f>
        <v>6</v>
      </c>
      <c r="G2980" s="143">
        <f>D2980*F2980</f>
        <v>300</v>
      </c>
      <c r="H2980" s="156">
        <v>302</v>
      </c>
      <c r="I2980" s="374">
        <f>H2980*E2980</f>
        <v>302</v>
      </c>
      <c r="J2980" s="100">
        <f>IF(G2980=0,"無法預估數據",H2980/G2980)</f>
        <v>1.0066666666666666</v>
      </c>
      <c r="K2980" s="51">
        <f>VLOOKUP(B:B,'生產達成率(目標)'!A:C,3,0)</f>
        <v>1</v>
      </c>
      <c r="L2980" s="20">
        <f>IF(G2980=0,"無法預估數據",ROUND(J2980-K2980,3))</f>
        <v>7.0000000000000001E-3</v>
      </c>
      <c r="M2980" s="137" t="str">
        <f>工時!R2164</f>
        <v>0</v>
      </c>
      <c r="N2980" s="374"/>
      <c r="O2980" s="374">
        <f>H2980-N2980-P2980</f>
        <v>0</v>
      </c>
      <c r="P2980" s="156">
        <v>302</v>
      </c>
      <c r="Q2980" s="145">
        <f>P2980/H2980</f>
        <v>1</v>
      </c>
      <c r="R2980" s="374"/>
      <c r="S2980" s="378"/>
      <c r="T2980" s="375"/>
      <c r="U2980" s="398"/>
      <c r="V2980" s="464"/>
      <c r="W2980" s="421"/>
      <c r="X2980" s="464"/>
      <c r="Y2980" s="421"/>
      <c r="Z2980" s="421"/>
      <c r="AA2980" s="421"/>
      <c r="AB2980" s="421"/>
      <c r="AC2980" s="421"/>
      <c r="AD2980" s="421"/>
    </row>
    <row r="2981" spans="1:30" s="381" customFormat="1" x14ac:dyDescent="0.4">
      <c r="A2981" s="402">
        <v>46164</v>
      </c>
      <c r="B2981" s="392" t="s">
        <v>80</v>
      </c>
      <c r="C2981" s="375" t="str">
        <f>VLOOKUP(B2981,'112年全品項生產鍋數'!A:H,2,0)</f>
        <v>＃1桔子(1*3.2kg)</v>
      </c>
      <c r="D2981" s="419">
        <v>28</v>
      </c>
      <c r="E2981" s="141">
        <f>VLOOKUP(B2981,'112年全品項生產鍋數'!A:H,3,0)</f>
        <v>3.2</v>
      </c>
      <c r="F2981" s="142">
        <f>VLOOKUP(B2981,'112年全品項生產鍋數'!A:H,7,0)</f>
        <v>46.4</v>
      </c>
      <c r="G2981" s="143">
        <f t="shared" si="459"/>
        <v>1299.2</v>
      </c>
      <c r="H2981" s="156">
        <v>1263</v>
      </c>
      <c r="I2981" s="374">
        <f t="shared" si="460"/>
        <v>4041.6000000000004</v>
      </c>
      <c r="J2981" s="100">
        <f t="shared" si="461"/>
        <v>0.97213669950738912</v>
      </c>
      <c r="K2981" s="51">
        <f>VLOOKUP(B:B,'生產達成率(目標)'!A:C,3,0)</f>
        <v>1</v>
      </c>
      <c r="L2981" s="20">
        <f t="shared" si="462"/>
        <v>-2.8000000000000001E-2</v>
      </c>
      <c r="M2981" s="137" t="str">
        <f>工時!R2165</f>
        <v>300</v>
      </c>
      <c r="N2981" s="374"/>
      <c r="O2981" s="374">
        <f t="shared" si="463"/>
        <v>1</v>
      </c>
      <c r="P2981" s="156">
        <v>1262</v>
      </c>
      <c r="Q2981" s="145">
        <f t="shared" si="464"/>
        <v>0.99920823436262862</v>
      </c>
      <c r="R2981" s="374"/>
      <c r="S2981" s="378"/>
      <c r="T2981" s="375" t="s">
        <v>1153</v>
      </c>
      <c r="U2981" s="398"/>
      <c r="V2981" s="464"/>
      <c r="W2981" s="421"/>
      <c r="X2981" s="464"/>
      <c r="Y2981" s="421"/>
      <c r="Z2981" s="421"/>
      <c r="AA2981" s="421"/>
      <c r="AB2981" s="421"/>
      <c r="AC2981" s="421"/>
      <c r="AD2981" s="421"/>
    </row>
    <row r="2982" spans="1:30" s="381" customFormat="1" x14ac:dyDescent="0.4">
      <c r="A2982" s="417">
        <v>46164</v>
      </c>
      <c r="B2982" s="373" t="s">
        <v>54</v>
      </c>
      <c r="C2982" s="375" t="str">
        <f>VLOOKUP(B2982,'112年全品項生產鍋數'!A:H,2,0)</f>
        <v>草莓醬(1*6kg)</v>
      </c>
      <c r="D2982" s="419">
        <v>20</v>
      </c>
      <c r="E2982" s="141">
        <f>VLOOKUP(B2982,'112年全品項生產鍋數'!A:H,3,0)</f>
        <v>6</v>
      </c>
      <c r="F2982" s="142">
        <f>VLOOKUP(B2982,'112年全品項生產鍋數'!A:H,7,0)</f>
        <v>26.6</v>
      </c>
      <c r="G2982" s="143">
        <f t="shared" si="459"/>
        <v>532</v>
      </c>
      <c r="H2982" s="156">
        <v>520</v>
      </c>
      <c r="I2982" s="374">
        <f t="shared" si="460"/>
        <v>3120</v>
      </c>
      <c r="J2982" s="100">
        <f t="shared" si="461"/>
        <v>0.97744360902255634</v>
      </c>
      <c r="K2982" s="51">
        <f>VLOOKUP(B:B,'生產達成率(目標)'!A:C,3,0)</f>
        <v>1</v>
      </c>
      <c r="L2982" s="20">
        <f t="shared" si="462"/>
        <v>-2.3E-2</v>
      </c>
      <c r="M2982" s="137" t="str">
        <f>工時!R2166</f>
        <v>300</v>
      </c>
      <c r="N2982" s="374"/>
      <c r="O2982" s="374">
        <f t="shared" si="463"/>
        <v>4</v>
      </c>
      <c r="P2982" s="156">
        <v>516</v>
      </c>
      <c r="Q2982" s="145">
        <f t="shared" si="464"/>
        <v>0.99230769230769234</v>
      </c>
      <c r="R2982" s="374"/>
      <c r="S2982" s="378"/>
      <c r="T2982" s="375" t="s">
        <v>1153</v>
      </c>
      <c r="U2982" s="398"/>
      <c r="V2982" s="464"/>
      <c r="W2982" s="421"/>
      <c r="X2982" s="464"/>
      <c r="Y2982" s="421"/>
      <c r="Z2982" s="421"/>
      <c r="AA2982" s="421"/>
      <c r="AB2982" s="421"/>
      <c r="AC2982" s="421"/>
      <c r="AD2982" s="421"/>
    </row>
    <row r="2983" spans="1:30" s="381" customFormat="1" x14ac:dyDescent="0.4">
      <c r="A2983" s="402">
        <v>46164</v>
      </c>
      <c r="B2983" s="392" t="s">
        <v>65</v>
      </c>
      <c r="C2983" s="375" t="str">
        <f>VLOOKUP(B2983,'112年全品項生產鍋數'!A:H,2,0)</f>
        <v>＃1花生(1*2.8kg)</v>
      </c>
      <c r="D2983" s="419">
        <v>24</v>
      </c>
      <c r="E2983" s="141">
        <f>VLOOKUP(B2983,'112年全品項生產鍋數'!A:H,3,0)</f>
        <v>2.8</v>
      </c>
      <c r="F2983" s="142">
        <f>VLOOKUP(B2983,'112年全品項生產鍋數'!A:H,7,0)</f>
        <v>44.5</v>
      </c>
      <c r="G2983" s="143">
        <f t="shared" si="459"/>
        <v>1068</v>
      </c>
      <c r="H2983" s="156">
        <v>1036</v>
      </c>
      <c r="I2983" s="374">
        <f t="shared" si="460"/>
        <v>2900.7999999999997</v>
      </c>
      <c r="J2983" s="100">
        <f t="shared" si="461"/>
        <v>0.97003745318352064</v>
      </c>
      <c r="K2983" s="51">
        <f>VLOOKUP(B:B,'生產達成率(目標)'!A:C,3,0)</f>
        <v>1</v>
      </c>
      <c r="L2983" s="20">
        <f t="shared" si="462"/>
        <v>-0.03</v>
      </c>
      <c r="M2983" s="137" t="str">
        <f>工時!R2167</f>
        <v>235</v>
      </c>
      <c r="N2983" s="374"/>
      <c r="O2983" s="374">
        <f t="shared" si="463"/>
        <v>1</v>
      </c>
      <c r="P2983" s="156">
        <v>1035</v>
      </c>
      <c r="Q2983" s="145">
        <f t="shared" si="464"/>
        <v>0.99903474903474898</v>
      </c>
      <c r="R2983" s="374"/>
      <c r="S2983" s="378"/>
      <c r="T2983" s="375" t="s">
        <v>1153</v>
      </c>
      <c r="U2983" s="398"/>
      <c r="V2983" s="464"/>
      <c r="W2983" s="421"/>
      <c r="X2983" s="464"/>
      <c r="Y2983" s="421"/>
      <c r="Z2983" s="421"/>
      <c r="AA2983" s="421"/>
      <c r="AB2983" s="421"/>
      <c r="AC2983" s="421"/>
      <c r="AD2983" s="421"/>
    </row>
    <row r="2984" spans="1:30" x14ac:dyDescent="0.4">
      <c r="A2984" s="402">
        <v>46167</v>
      </c>
      <c r="B2984" s="392" t="s">
        <v>71</v>
      </c>
      <c r="C2984" s="364" t="str">
        <f>VLOOKUP(B2984,'112年全品項生產鍋數'!A:H,2,0)</f>
        <v>＃1草莓(1*3.2kg)</v>
      </c>
      <c r="D2984" s="404">
        <v>68</v>
      </c>
      <c r="E2984" s="48">
        <f>VLOOKUP(B2984,'112年全品項生產鍋數'!A:H,3,0)</f>
        <v>3.2</v>
      </c>
      <c r="F2984" s="142">
        <f>VLOOKUP(B2984,'112年全品項生產鍋數'!A:H,7,0)</f>
        <v>46.8</v>
      </c>
      <c r="G2984" s="143">
        <f t="shared" si="459"/>
        <v>3182.3999999999996</v>
      </c>
      <c r="H2984" s="156">
        <v>3151</v>
      </c>
      <c r="I2984" s="371">
        <f t="shared" si="460"/>
        <v>10083.200000000001</v>
      </c>
      <c r="J2984" s="100">
        <f t="shared" si="461"/>
        <v>0.99013323278029175</v>
      </c>
      <c r="K2984" s="51">
        <f>VLOOKUP(B:B,'生產達成率(目標)'!A:C,3,0)</f>
        <v>1</v>
      </c>
      <c r="L2984" s="20">
        <f t="shared" si="462"/>
        <v>-0.01</v>
      </c>
      <c r="M2984" s="137" t="str">
        <f>工時!R2168</f>
        <v>540</v>
      </c>
      <c r="N2984" s="374"/>
      <c r="O2984" s="374">
        <f t="shared" si="463"/>
        <v>2</v>
      </c>
      <c r="P2984" s="156">
        <v>3149</v>
      </c>
      <c r="Q2984" s="98">
        <f t="shared" si="464"/>
        <v>0.99936528086321808</v>
      </c>
      <c r="R2984" s="371"/>
      <c r="S2984" s="372"/>
      <c r="T2984" s="364" t="s">
        <v>1153</v>
      </c>
      <c r="U2984" s="264"/>
      <c r="V2984" s="463"/>
      <c r="X2984" s="463"/>
    </row>
    <row r="2985" spans="1:30" x14ac:dyDescent="0.4">
      <c r="A2985" s="402">
        <v>46167</v>
      </c>
      <c r="B2985" s="392" t="s">
        <v>63</v>
      </c>
      <c r="C2985" s="364" t="str">
        <f>VLOOKUP(B2985,'112年全品項生產鍋數'!A:H,2,0)</f>
        <v>草莓蒟蒻餡(1*6kg)</v>
      </c>
      <c r="D2985" s="404">
        <v>20</v>
      </c>
      <c r="E2985" s="48">
        <f>VLOOKUP(B2985,'112年全品項生產鍋數'!A:H,3,0)</f>
        <v>6</v>
      </c>
      <c r="F2985" s="142">
        <f>VLOOKUP(B2985,'112年全品項生產鍋數'!A:H,7,0)</f>
        <v>25.7</v>
      </c>
      <c r="G2985" s="143">
        <f t="shared" si="459"/>
        <v>514</v>
      </c>
      <c r="H2985" s="156">
        <f>300+209</f>
        <v>509</v>
      </c>
      <c r="I2985" s="371">
        <f t="shared" si="460"/>
        <v>3054</v>
      </c>
      <c r="J2985" s="100">
        <f t="shared" si="461"/>
        <v>0.99027237354085607</v>
      </c>
      <c r="K2985" s="51">
        <f>VLOOKUP(B:B,'生產達成率(目標)'!A:C,3,0)</f>
        <v>1</v>
      </c>
      <c r="L2985" s="20">
        <f t="shared" si="462"/>
        <v>-0.01</v>
      </c>
      <c r="M2985" s="137" t="str">
        <f>工時!R2169</f>
        <v>275</v>
      </c>
      <c r="N2985" s="374"/>
      <c r="O2985" s="374">
        <f t="shared" si="463"/>
        <v>1</v>
      </c>
      <c r="P2985" s="156">
        <f>299+209</f>
        <v>508</v>
      </c>
      <c r="Q2985" s="98">
        <f t="shared" si="464"/>
        <v>0.99803536345776034</v>
      </c>
      <c r="R2985" s="371"/>
      <c r="S2985" s="372"/>
      <c r="T2985" s="364"/>
      <c r="U2985" s="264"/>
      <c r="V2985" s="463"/>
      <c r="X2985" s="463"/>
    </row>
    <row r="2986" spans="1:30" x14ac:dyDescent="0.4">
      <c r="A2986" s="432">
        <v>46167</v>
      </c>
      <c r="B2986" s="433" t="s">
        <v>54</v>
      </c>
      <c r="C2986" s="364" t="str">
        <f>VLOOKUP(B2986,'112年全品項生產鍋數'!A:H,2,0)</f>
        <v>草莓醬(1*6kg)</v>
      </c>
      <c r="D2986" s="404">
        <v>12</v>
      </c>
      <c r="E2986" s="48">
        <f>VLOOKUP(B2986,'112年全品項生產鍋數'!A:H,3,0)</f>
        <v>6</v>
      </c>
      <c r="F2986" s="142">
        <f>VLOOKUP(B2986,'112年全品項生產鍋數'!A:H,7,0)</f>
        <v>26.6</v>
      </c>
      <c r="G2986" s="143">
        <f t="shared" si="459"/>
        <v>319.20000000000005</v>
      </c>
      <c r="H2986" s="156">
        <v>313</v>
      </c>
      <c r="I2986" s="371">
        <f t="shared" si="460"/>
        <v>1878</v>
      </c>
      <c r="J2986" s="100">
        <f t="shared" si="461"/>
        <v>0.98057644110275677</v>
      </c>
      <c r="K2986" s="51">
        <f>VLOOKUP(B:B,'生產達成率(目標)'!A:C,3,0)</f>
        <v>1</v>
      </c>
      <c r="L2986" s="20">
        <f t="shared" si="462"/>
        <v>-1.9E-2</v>
      </c>
      <c r="M2986" s="137" t="str">
        <f>工時!R2170</f>
        <v>160</v>
      </c>
      <c r="N2986" s="374"/>
      <c r="O2986" s="374">
        <f t="shared" si="463"/>
        <v>2</v>
      </c>
      <c r="P2986" s="156">
        <v>311</v>
      </c>
      <c r="Q2986" s="98">
        <f t="shared" si="464"/>
        <v>0.99361022364217255</v>
      </c>
      <c r="R2986" s="371"/>
      <c r="S2986" s="372"/>
      <c r="T2986" s="364"/>
      <c r="U2986" s="264"/>
      <c r="V2986" s="463"/>
      <c r="X2986" s="463"/>
    </row>
    <row r="2987" spans="1:30" x14ac:dyDescent="0.4">
      <c r="A2987" s="402">
        <v>46167</v>
      </c>
      <c r="B2987" s="392" t="s">
        <v>1046</v>
      </c>
      <c r="C2987" s="364" t="str">
        <f>VLOOKUP(B2987,'112年全品項生產鍋數'!A:H,2,0)</f>
        <v>藍莓顆粒果醬(1*6kg)</v>
      </c>
      <c r="D2987" s="404">
        <v>6</v>
      </c>
      <c r="E2987" s="48">
        <f>VLOOKUP(B2987,'112年全品項生產鍋數'!A:H,3,0)</f>
        <v>6</v>
      </c>
      <c r="F2987" s="142">
        <f>VLOOKUP(B2987,'112年全品項生產鍋數'!A:H,7,0)</f>
        <v>0</v>
      </c>
      <c r="G2987" s="143">
        <f t="shared" si="459"/>
        <v>0</v>
      </c>
      <c r="H2987" s="156">
        <v>157</v>
      </c>
      <c r="I2987" s="371">
        <f t="shared" si="460"/>
        <v>942</v>
      </c>
      <c r="J2987" s="100" t="str">
        <f t="shared" si="461"/>
        <v>無法預估數據</v>
      </c>
      <c r="K2987" s="51">
        <f>VLOOKUP(B:B,'生產達成率(目標)'!A:C,3,0)</f>
        <v>1</v>
      </c>
      <c r="L2987" s="20" t="str">
        <f t="shared" si="462"/>
        <v>無法預估數據</v>
      </c>
      <c r="M2987" s="137" t="str">
        <f>工時!R2171</f>
        <v>150</v>
      </c>
      <c r="N2987" s="374"/>
      <c r="O2987" s="374">
        <f t="shared" si="463"/>
        <v>2</v>
      </c>
      <c r="P2987" s="156">
        <v>155</v>
      </c>
      <c r="Q2987" s="98">
        <f t="shared" si="464"/>
        <v>0.98726114649681529</v>
      </c>
      <c r="R2987" s="371"/>
      <c r="S2987" s="372"/>
      <c r="T2987" s="364"/>
      <c r="U2987" s="264"/>
      <c r="V2987" s="463"/>
      <c r="X2987" s="463"/>
    </row>
    <row r="2988" spans="1:30" x14ac:dyDescent="0.4">
      <c r="A2988" s="402">
        <v>46167</v>
      </c>
      <c r="B2988" s="392" t="s">
        <v>58</v>
      </c>
      <c r="C2988" s="364" t="str">
        <f>VLOOKUP(B2988,'112年全品項生產鍋數'!A:H,2,0)</f>
        <v>PET大花生(1*400g)</v>
      </c>
      <c r="D2988" s="404">
        <v>36</v>
      </c>
      <c r="E2988" s="48">
        <f>VLOOKUP(B2988,'112年全品項生產鍋數'!A:H,3,0)</f>
        <v>0.4</v>
      </c>
      <c r="F2988" s="142">
        <f>VLOOKUP(B2988,'112年全品項生產鍋數'!A:H,7,0)</f>
        <v>309.2</v>
      </c>
      <c r="G2988" s="143">
        <f t="shared" si="459"/>
        <v>11131.199999999999</v>
      </c>
      <c r="H2988" s="156">
        <v>11031</v>
      </c>
      <c r="I2988" s="371">
        <f t="shared" si="460"/>
        <v>4412.4000000000005</v>
      </c>
      <c r="J2988" s="100">
        <f t="shared" si="461"/>
        <v>0.99099827511858574</v>
      </c>
      <c r="K2988" s="51">
        <f>VLOOKUP(B:B,'生產達成率(目標)'!A:C,3,0)</f>
        <v>1</v>
      </c>
      <c r="L2988" s="20">
        <f t="shared" si="462"/>
        <v>-8.9999999999999993E-3</v>
      </c>
      <c r="M2988" s="137" t="str">
        <f>工時!R2172</f>
        <v>500</v>
      </c>
      <c r="N2988" s="374"/>
      <c r="O2988" s="374">
        <f t="shared" si="463"/>
        <v>3</v>
      </c>
      <c r="P2988" s="156">
        <v>11028</v>
      </c>
      <c r="Q2988" s="98">
        <f t="shared" si="464"/>
        <v>0.99972803916236064</v>
      </c>
      <c r="R2988" s="371"/>
      <c r="S2988" s="372"/>
      <c r="T2988" s="364"/>
      <c r="U2988" s="264"/>
      <c r="V2988" s="463"/>
      <c r="X2988" s="463"/>
    </row>
    <row r="2989" spans="1:30" s="381" customFormat="1" x14ac:dyDescent="0.4">
      <c r="A2989" s="402">
        <v>46167</v>
      </c>
      <c r="B2989" s="392">
        <v>153010</v>
      </c>
      <c r="C2989" s="375" t="str">
        <f>VLOOKUP(B2989,'112年全品項生產鍋數'!A:H,2,0)</f>
        <v>蜜桔皮6m/m</v>
      </c>
      <c r="D2989" s="406">
        <v>1</v>
      </c>
      <c r="E2989" s="141">
        <f>VLOOKUP(B2989,'112年全品項生產鍋數'!A:H,3,0)</f>
        <v>1</v>
      </c>
      <c r="F2989" s="142">
        <f>VLOOKUP(B2989,'112年全品項生產鍋數'!A:H,7,0)</f>
        <v>591</v>
      </c>
      <c r="G2989" s="143">
        <f t="shared" si="459"/>
        <v>591</v>
      </c>
      <c r="H2989" s="156">
        <v>607</v>
      </c>
      <c r="I2989" s="374">
        <f t="shared" si="460"/>
        <v>607</v>
      </c>
      <c r="J2989" s="100">
        <f t="shared" si="461"/>
        <v>1.027072758037225</v>
      </c>
      <c r="K2989" s="51">
        <f>VLOOKUP(B:B,'生產達成率(目標)'!A:C,3,0)</f>
        <v>1</v>
      </c>
      <c r="L2989" s="20">
        <f t="shared" si="462"/>
        <v>2.7E-2</v>
      </c>
      <c r="M2989" s="137" t="str">
        <f>工時!R2173</f>
        <v>0</v>
      </c>
      <c r="N2989" s="374"/>
      <c r="O2989" s="374">
        <f t="shared" si="463"/>
        <v>0</v>
      </c>
      <c r="P2989" s="156">
        <v>607</v>
      </c>
      <c r="Q2989" s="145">
        <f t="shared" si="464"/>
        <v>1</v>
      </c>
      <c r="R2989" s="374"/>
      <c r="S2989" s="378"/>
      <c r="T2989" s="375"/>
      <c r="U2989" s="398"/>
      <c r="V2989" s="464"/>
      <c r="W2989" s="421"/>
      <c r="X2989" s="464"/>
      <c r="Y2989" s="421"/>
      <c r="Z2989" s="421"/>
      <c r="AA2989" s="421"/>
      <c r="AB2989" s="421"/>
      <c r="AC2989" s="421"/>
      <c r="AD2989" s="421"/>
    </row>
    <row r="2990" spans="1:30" x14ac:dyDescent="0.4">
      <c r="A2990" s="402">
        <v>46168</v>
      </c>
      <c r="B2990" s="392" t="s">
        <v>61</v>
      </c>
      <c r="C2990" s="364" t="str">
        <f>VLOOKUP(B2990,'112年全品項生產鍋數'!A:H,2,0)</f>
        <v>大圓草莓-新</v>
      </c>
      <c r="D2990" s="404">
        <v>28</v>
      </c>
      <c r="E2990" s="48">
        <f>VLOOKUP(B2990,'112年全品項生產鍋數'!A:H,3,0)</f>
        <v>0.44</v>
      </c>
      <c r="F2990" s="142">
        <f>VLOOKUP(B2990,'112年全品項生產鍋數'!A:H,7,0)</f>
        <v>344</v>
      </c>
      <c r="G2990" s="143">
        <f t="shared" ref="G2990:G3014" si="465">D2990*F2990</f>
        <v>9632</v>
      </c>
      <c r="H2990" s="156">
        <v>9425</v>
      </c>
      <c r="I2990" s="371">
        <f t="shared" ref="I2990:I3014" si="466">H2990*E2990</f>
        <v>4147</v>
      </c>
      <c r="J2990" s="100">
        <f t="shared" ref="J2990:J3014" si="467">IF(G2990=0,"無法預估數據",H2990/G2990)</f>
        <v>0.97850913621262459</v>
      </c>
      <c r="K2990" s="51">
        <f>VLOOKUP(B:B,'生產達成率(目標)'!A:C,3,0)</f>
        <v>1</v>
      </c>
      <c r="L2990" s="20">
        <f t="shared" ref="L2990:L3014" si="468">IF(G2990=0,"無法預估數據",ROUND(J2990-K2990,3))</f>
        <v>-2.1000000000000001E-2</v>
      </c>
      <c r="M2990" s="137" t="str">
        <f>工時!R2174</f>
        <v>420</v>
      </c>
      <c r="N2990" s="374"/>
      <c r="O2990" s="374">
        <f t="shared" ref="O2990:O3014" si="469">H2990-N2990-P2990</f>
        <v>7</v>
      </c>
      <c r="P2990" s="156">
        <v>9418</v>
      </c>
      <c r="Q2990" s="98">
        <f t="shared" ref="Q2990:Q3014" si="470">P2990/H2990</f>
        <v>0.99925729442970823</v>
      </c>
      <c r="R2990" s="371"/>
      <c r="S2990" s="372"/>
      <c r="T2990" s="364"/>
      <c r="U2990" s="264"/>
      <c r="V2990" s="463"/>
      <c r="X2990" s="463"/>
    </row>
    <row r="2991" spans="1:30" s="381" customFormat="1" x14ac:dyDescent="0.4">
      <c r="A2991" s="402">
        <v>46168</v>
      </c>
      <c r="B2991" s="392" t="s">
        <v>473</v>
      </c>
      <c r="C2991" s="375" t="str">
        <f>VLOOKUP(B2991,'112年全品項生產鍋數'!A:H,2,0)</f>
        <v>桑椹果粒茶(1*400G)</v>
      </c>
      <c r="D2991" s="406">
        <v>6</v>
      </c>
      <c r="E2991" s="141">
        <f>VLOOKUP(B2991,'112年全品項生產鍋數'!A:H,3,0)</f>
        <v>0.4</v>
      </c>
      <c r="F2991" s="142">
        <f>VLOOKUP(B2991,'112年全品項生產鍋數'!A:H,7,0)</f>
        <v>366.4</v>
      </c>
      <c r="G2991" s="143">
        <f t="shared" si="465"/>
        <v>2198.3999999999996</v>
      </c>
      <c r="H2991" s="156">
        <v>2200</v>
      </c>
      <c r="I2991" s="374">
        <f t="shared" si="466"/>
        <v>880</v>
      </c>
      <c r="J2991" s="100">
        <f t="shared" si="467"/>
        <v>1.0007278020378458</v>
      </c>
      <c r="K2991" s="51">
        <f>VLOOKUP(B:B,'生產達成率(目標)'!A:C,3,0)</f>
        <v>1</v>
      </c>
      <c r="L2991" s="20">
        <f t="shared" si="468"/>
        <v>1E-3</v>
      </c>
      <c r="M2991" s="137" t="str">
        <f>工時!R2175</f>
        <v>220</v>
      </c>
      <c r="N2991" s="374"/>
      <c r="O2991" s="374">
        <f t="shared" si="469"/>
        <v>5</v>
      </c>
      <c r="P2991" s="156">
        <v>2195</v>
      </c>
      <c r="Q2991" s="145">
        <f t="shared" si="470"/>
        <v>0.99772727272727268</v>
      </c>
      <c r="R2991" s="374"/>
      <c r="S2991" s="378"/>
      <c r="T2991" s="375"/>
      <c r="U2991" s="398"/>
      <c r="V2991" s="464"/>
      <c r="W2991" s="421"/>
      <c r="X2991" s="464"/>
      <c r="Y2991" s="421"/>
      <c r="Z2991" s="421"/>
      <c r="AA2991" s="421"/>
      <c r="AB2991" s="421"/>
      <c r="AC2991" s="421"/>
      <c r="AD2991" s="421"/>
    </row>
    <row r="2992" spans="1:30" x14ac:dyDescent="0.4">
      <c r="A2992" s="402">
        <v>46168</v>
      </c>
      <c r="B2992" s="392" t="s">
        <v>57</v>
      </c>
      <c r="C2992" s="364" t="str">
        <f>VLOOKUP(B2992,'112年全品項生產鍋數'!A:H,2,0)</f>
        <v>蘋果藍莓餡(1*9.08kg)</v>
      </c>
      <c r="D2992" s="404">
        <v>12</v>
      </c>
      <c r="E2992" s="48">
        <f>VLOOKUP(B2992,'112年全品項生產鍋數'!A:H,3,0)</f>
        <v>9.08</v>
      </c>
      <c r="F2992" s="142">
        <f>VLOOKUP(B2992,'112年全品項生產鍋數'!A:H,7,0)</f>
        <v>17.3</v>
      </c>
      <c r="G2992" s="143">
        <f t="shared" si="465"/>
        <v>207.60000000000002</v>
      </c>
      <c r="H2992" s="156">
        <v>205</v>
      </c>
      <c r="I2992" s="371">
        <f t="shared" si="466"/>
        <v>1861.4</v>
      </c>
      <c r="J2992" s="100">
        <f t="shared" si="467"/>
        <v>0.98747591522157985</v>
      </c>
      <c r="K2992" s="51">
        <f>VLOOKUP(B:B,'生產達成率(目標)'!A:C,3,0)</f>
        <v>1</v>
      </c>
      <c r="L2992" s="20">
        <f t="shared" si="468"/>
        <v>-1.2999999999999999E-2</v>
      </c>
      <c r="M2992" s="137" t="str">
        <f>工時!R2176</f>
        <v>210</v>
      </c>
      <c r="N2992" s="374"/>
      <c r="O2992" s="374">
        <f t="shared" si="469"/>
        <v>0</v>
      </c>
      <c r="P2992" s="156">
        <v>205</v>
      </c>
      <c r="Q2992" s="98">
        <f t="shared" si="470"/>
        <v>1</v>
      </c>
      <c r="R2992" s="371"/>
      <c r="S2992" s="372"/>
      <c r="T2992" s="364"/>
      <c r="U2992" s="264"/>
      <c r="V2992" s="463"/>
      <c r="X2992" s="463"/>
    </row>
    <row r="2993" spans="1:30" x14ac:dyDescent="0.4">
      <c r="A2993" s="402">
        <v>46168</v>
      </c>
      <c r="B2993" s="392" t="s">
        <v>63</v>
      </c>
      <c r="C2993" s="364" t="str">
        <f>VLOOKUP(B2993,'112年全品項生產鍋數'!A:H,2,0)</f>
        <v>草莓蒟蒻餡(1*6kg)</v>
      </c>
      <c r="D2993" s="404">
        <v>12</v>
      </c>
      <c r="E2993" s="48">
        <f>VLOOKUP(B2993,'112年全品項生產鍋數'!A:H,3,0)</f>
        <v>6</v>
      </c>
      <c r="F2993" s="142">
        <f>VLOOKUP(B2993,'112年全品項生產鍋數'!A:H,7,0)</f>
        <v>25.7</v>
      </c>
      <c r="G2993" s="143">
        <f t="shared" si="465"/>
        <v>308.39999999999998</v>
      </c>
      <c r="H2993" s="156">
        <v>306</v>
      </c>
      <c r="I2993" s="371">
        <f t="shared" si="466"/>
        <v>1836</v>
      </c>
      <c r="J2993" s="100">
        <f t="shared" si="467"/>
        <v>0.99221789883268485</v>
      </c>
      <c r="K2993" s="51">
        <f>VLOOKUP(B:B,'生產達成率(目標)'!A:C,3,0)</f>
        <v>1</v>
      </c>
      <c r="L2993" s="20">
        <f t="shared" si="468"/>
        <v>-8.0000000000000002E-3</v>
      </c>
      <c r="M2993" s="137" t="str">
        <f>工時!R2177</f>
        <v>196</v>
      </c>
      <c r="N2993" s="374"/>
      <c r="O2993" s="374">
        <f t="shared" si="469"/>
        <v>1</v>
      </c>
      <c r="P2993" s="156">
        <v>305</v>
      </c>
      <c r="Q2993" s="98">
        <f t="shared" si="470"/>
        <v>0.99673202614379086</v>
      </c>
      <c r="R2993" s="371"/>
      <c r="S2993" s="372"/>
      <c r="T2993" s="364"/>
      <c r="U2993" s="264"/>
      <c r="V2993" s="463"/>
      <c r="X2993" s="463"/>
    </row>
    <row r="2994" spans="1:30" x14ac:dyDescent="0.4">
      <c r="A2994" s="402">
        <v>46168</v>
      </c>
      <c r="B2994" s="392" t="s">
        <v>76</v>
      </c>
      <c r="C2994" s="364" t="str">
        <f>VLOOKUP(B2994,'112年全品項生產鍋數'!A:H,2,0)</f>
        <v>草莓餡(1*6Kg)</v>
      </c>
      <c r="D2994" s="404">
        <v>12</v>
      </c>
      <c r="E2994" s="48">
        <f>VLOOKUP(B2994,'112年全品項生產鍋數'!A:H,3,0)</f>
        <v>6</v>
      </c>
      <c r="F2994" s="142">
        <f>VLOOKUP(B2994,'112年全品項生產鍋數'!A:H,7,0)</f>
        <v>25.5</v>
      </c>
      <c r="G2994" s="143">
        <f t="shared" si="465"/>
        <v>306</v>
      </c>
      <c r="H2994" s="156">
        <v>333</v>
      </c>
      <c r="I2994" s="371">
        <f t="shared" si="466"/>
        <v>1998</v>
      </c>
      <c r="J2994" s="100">
        <f t="shared" si="467"/>
        <v>1.088235294117647</v>
      </c>
      <c r="K2994" s="51">
        <f>VLOOKUP(B:B,'生產達成率(目標)'!A:C,3,0)</f>
        <v>1</v>
      </c>
      <c r="L2994" s="20">
        <f t="shared" si="468"/>
        <v>8.7999999999999995E-2</v>
      </c>
      <c r="M2994" s="137" t="str">
        <f>工時!R2178</f>
        <v>175</v>
      </c>
      <c r="N2994" s="374"/>
      <c r="O2994" s="374">
        <f t="shared" si="469"/>
        <v>1</v>
      </c>
      <c r="P2994" s="156">
        <v>332</v>
      </c>
      <c r="Q2994" s="98">
        <f t="shared" si="470"/>
        <v>0.99699699699699695</v>
      </c>
      <c r="R2994" s="371"/>
      <c r="S2994" s="372"/>
      <c r="T2994" s="364"/>
      <c r="U2994" s="264"/>
      <c r="V2994" s="463"/>
      <c r="X2994" s="463"/>
    </row>
    <row r="2995" spans="1:30" x14ac:dyDescent="0.4">
      <c r="A2995" s="402">
        <v>46168</v>
      </c>
      <c r="B2995" s="392" t="s">
        <v>66</v>
      </c>
      <c r="C2995" s="364" t="str">
        <f>VLOOKUP(B2995,'112年全品項生產鍋數'!A:H,2,0)</f>
        <v>＃2花生(1*800g)</v>
      </c>
      <c r="D2995" s="404">
        <v>20</v>
      </c>
      <c r="E2995" s="48">
        <f>VLOOKUP(B2995,'112年全品項生產鍋數'!A:H,3,0)</f>
        <v>0.8</v>
      </c>
      <c r="F2995" s="142">
        <f>VLOOKUP(B2995,'112年全品項生產鍋數'!A:H,7,0)</f>
        <v>157.69999999999999</v>
      </c>
      <c r="G2995" s="143">
        <f t="shared" si="465"/>
        <v>3154</v>
      </c>
      <c r="H2995" s="156">
        <v>3163</v>
      </c>
      <c r="I2995" s="371">
        <f t="shared" si="466"/>
        <v>2530.4</v>
      </c>
      <c r="J2995" s="100">
        <f t="shared" si="467"/>
        <v>1.0028535193405199</v>
      </c>
      <c r="K2995" s="51">
        <f>VLOOKUP(B:B,'生產達成率(目標)'!A:C,3,0)</f>
        <v>1</v>
      </c>
      <c r="L2995" s="20">
        <f t="shared" si="468"/>
        <v>3.0000000000000001E-3</v>
      </c>
      <c r="M2995" s="137" t="str">
        <f>工時!R2179</f>
        <v>300</v>
      </c>
      <c r="N2995" s="374"/>
      <c r="O2995" s="374">
        <f t="shared" si="469"/>
        <v>2</v>
      </c>
      <c r="P2995" s="156">
        <v>3161</v>
      </c>
      <c r="Q2995" s="98">
        <f t="shared" si="470"/>
        <v>0.99936768890294025</v>
      </c>
      <c r="R2995" s="371"/>
      <c r="S2995" s="372"/>
      <c r="T2995" s="364" t="s">
        <v>1153</v>
      </c>
      <c r="U2995" s="264"/>
      <c r="V2995" s="463"/>
      <c r="X2995" s="463"/>
    </row>
    <row r="2996" spans="1:30" x14ac:dyDescent="0.4">
      <c r="A2996" s="402">
        <v>46168</v>
      </c>
      <c r="B2996" s="392" t="s">
        <v>131</v>
      </c>
      <c r="C2996" s="364" t="str">
        <f>VLOOKUP(B2996,'112年全品項生產鍋數'!A:H,2,0)</f>
        <v>花生醬(1*18KG)</v>
      </c>
      <c r="D2996" s="404">
        <v>28</v>
      </c>
      <c r="E2996" s="48">
        <f>VLOOKUP(B2996,'112年全品項生產鍋數'!A:H,3,0)</f>
        <v>18</v>
      </c>
      <c r="F2996" s="142">
        <f>VLOOKUP(B2996,'112年全品項生產鍋數'!A:H,7,0)</f>
        <v>6.9</v>
      </c>
      <c r="G2996" s="143">
        <f t="shared" si="465"/>
        <v>193.20000000000002</v>
      </c>
      <c r="H2996" s="156">
        <v>197</v>
      </c>
      <c r="I2996" s="371">
        <f t="shared" si="466"/>
        <v>3546</v>
      </c>
      <c r="J2996" s="100">
        <f t="shared" si="467"/>
        <v>1.0196687370600412</v>
      </c>
      <c r="K2996" s="51">
        <f>VLOOKUP(B:B,'生產達成率(目標)'!A:C,3,0)</f>
        <v>1</v>
      </c>
      <c r="L2996" s="20">
        <f t="shared" si="468"/>
        <v>0.02</v>
      </c>
      <c r="M2996" s="137" t="str">
        <f>工時!R2180</f>
        <v>250</v>
      </c>
      <c r="N2996" s="374"/>
      <c r="O2996" s="374">
        <f t="shared" si="469"/>
        <v>0</v>
      </c>
      <c r="P2996" s="156">
        <v>197</v>
      </c>
      <c r="Q2996" s="98">
        <f t="shared" si="470"/>
        <v>1</v>
      </c>
      <c r="R2996" s="371"/>
      <c r="S2996" s="372"/>
      <c r="T2996" s="364" t="s">
        <v>1153</v>
      </c>
      <c r="U2996" s="264"/>
      <c r="V2996" s="463"/>
      <c r="X2996" s="463"/>
    </row>
    <row r="2997" spans="1:30" x14ac:dyDescent="0.4">
      <c r="A2997" s="402">
        <v>46169</v>
      </c>
      <c r="B2997" s="392" t="s">
        <v>68</v>
      </c>
      <c r="C2997" s="364" t="str">
        <f>VLOOKUP(B2997,'112年全品項生產鍋數'!A:H,2,0)</f>
        <v>#2草莓果醬(1*900g)</v>
      </c>
      <c r="D2997" s="404">
        <v>36</v>
      </c>
      <c r="E2997" s="48">
        <f>VLOOKUP(B2997,'112年全品項生產鍋數'!A:H,3,0)</f>
        <v>0.9</v>
      </c>
      <c r="F2997" s="142">
        <f>VLOOKUP(B2997,'112年全品項生產鍋數'!A:H,7,0)</f>
        <v>160.5</v>
      </c>
      <c r="G2997" s="143">
        <f t="shared" si="465"/>
        <v>5778</v>
      </c>
      <c r="H2997" s="156">
        <f>5189+600</f>
        <v>5789</v>
      </c>
      <c r="I2997" s="371">
        <f t="shared" si="466"/>
        <v>5210.1000000000004</v>
      </c>
      <c r="J2997" s="100">
        <f t="shared" si="467"/>
        <v>1.0019037729318103</v>
      </c>
      <c r="K2997" s="51">
        <f>VLOOKUP(B:B,'生產達成率(目標)'!A:C,3,0)</f>
        <v>1</v>
      </c>
      <c r="L2997" s="20">
        <f t="shared" si="468"/>
        <v>2E-3</v>
      </c>
      <c r="M2997" s="137" t="str">
        <f>工時!R2181</f>
        <v>540</v>
      </c>
      <c r="N2997" s="374"/>
      <c r="O2997" s="374">
        <f t="shared" si="469"/>
        <v>2</v>
      </c>
      <c r="P2997" s="156">
        <f>5187+600</f>
        <v>5787</v>
      </c>
      <c r="Q2997" s="98">
        <f t="shared" si="470"/>
        <v>0.99965451718776988</v>
      </c>
      <c r="R2997" s="371"/>
      <c r="S2997" s="372"/>
      <c r="T2997" s="364" t="s">
        <v>1692</v>
      </c>
      <c r="U2997" s="264"/>
      <c r="V2997" s="463"/>
      <c r="X2997" s="463"/>
    </row>
    <row r="2998" spans="1:30" x14ac:dyDescent="0.4">
      <c r="A2998" s="402">
        <v>46169</v>
      </c>
      <c r="B2998" s="392" t="s">
        <v>75</v>
      </c>
      <c r="C2998" s="364" t="str">
        <f>VLOOKUP(B2998,'112年全品項生產鍋數'!A:H,2,0)</f>
        <v>草莓椰果餡(1*6Kg)</v>
      </c>
      <c r="D2998" s="404">
        <v>16</v>
      </c>
      <c r="E2998" s="48">
        <f>VLOOKUP(B2998,'112年全品項生產鍋數'!A:H,3,0)</f>
        <v>6</v>
      </c>
      <c r="F2998" s="142">
        <f>VLOOKUP(B2998,'112年全品項生產鍋數'!A:H,7,0)</f>
        <v>26.4</v>
      </c>
      <c r="G2998" s="143">
        <f t="shared" si="465"/>
        <v>422.4</v>
      </c>
      <c r="H2998" s="156">
        <v>431</v>
      </c>
      <c r="I2998" s="371">
        <f t="shared" si="466"/>
        <v>2586</v>
      </c>
      <c r="J2998" s="100">
        <f t="shared" si="467"/>
        <v>1.0203598484848486</v>
      </c>
      <c r="K2998" s="51">
        <f>VLOOKUP(B:B,'生產達成率(目標)'!A:C,3,0)</f>
        <v>1</v>
      </c>
      <c r="L2998" s="20">
        <f t="shared" si="468"/>
        <v>0.02</v>
      </c>
      <c r="M2998" s="137" t="str">
        <f>工時!R2182</f>
        <v>303</v>
      </c>
      <c r="N2998" s="374"/>
      <c r="O2998" s="374">
        <f t="shared" si="469"/>
        <v>1</v>
      </c>
      <c r="P2998" s="156">
        <v>430</v>
      </c>
      <c r="Q2998" s="98">
        <f t="shared" si="470"/>
        <v>0.99767981438515085</v>
      </c>
      <c r="R2998" s="371"/>
      <c r="S2998" s="372"/>
      <c r="T2998" s="364" t="s">
        <v>1153</v>
      </c>
      <c r="U2998" s="264"/>
      <c r="V2998" s="463"/>
      <c r="X2998" s="463"/>
    </row>
    <row r="2999" spans="1:30" x14ac:dyDescent="0.4">
      <c r="A2999" s="417">
        <v>46169</v>
      </c>
      <c r="B2999" s="373" t="s">
        <v>72</v>
      </c>
      <c r="C2999" s="364" t="str">
        <f>VLOOKUP(B2999,'112年全品項生產鍋數'!A:H,2,0)</f>
        <v>草莓餡45%(1*6Kg)</v>
      </c>
      <c r="D2999" s="404">
        <v>16</v>
      </c>
      <c r="E2999" s="48">
        <f>VLOOKUP(B2999,'112年全品項生產鍋數'!A:H,3,0)</f>
        <v>6</v>
      </c>
      <c r="F2999" s="142">
        <f>VLOOKUP(B2999,'112年全品項生產鍋數'!A:H,7,0)</f>
        <v>26.1</v>
      </c>
      <c r="G2999" s="143">
        <f t="shared" si="465"/>
        <v>417.6</v>
      </c>
      <c r="H2999" s="156">
        <v>424</v>
      </c>
      <c r="I2999" s="371">
        <f t="shared" si="466"/>
        <v>2544</v>
      </c>
      <c r="J2999" s="100">
        <f t="shared" si="467"/>
        <v>1.0153256704980842</v>
      </c>
      <c r="K2999" s="51">
        <f>VLOOKUP(B:B,'生產達成率(目標)'!A:C,3,0)</f>
        <v>1</v>
      </c>
      <c r="L2999" s="20">
        <f t="shared" si="468"/>
        <v>1.4999999999999999E-2</v>
      </c>
      <c r="M2999" s="137" t="str">
        <f>工時!R2183</f>
        <v>255</v>
      </c>
      <c r="N2999" s="374"/>
      <c r="O2999" s="374">
        <f t="shared" si="469"/>
        <v>3</v>
      </c>
      <c r="P2999" s="156">
        <v>421</v>
      </c>
      <c r="Q2999" s="98">
        <f t="shared" si="470"/>
        <v>0.99292452830188682</v>
      </c>
      <c r="R2999" s="371"/>
      <c r="S2999" s="372"/>
      <c r="T2999" s="364" t="s">
        <v>1153</v>
      </c>
      <c r="U2999" s="264"/>
      <c r="V2999" s="463"/>
      <c r="X2999" s="463"/>
    </row>
    <row r="3000" spans="1:30" s="381" customFormat="1" x14ac:dyDescent="0.4">
      <c r="A3000" s="402">
        <v>46169</v>
      </c>
      <c r="B3000" s="392" t="s">
        <v>82</v>
      </c>
      <c r="C3000" s="375" t="str">
        <f>VLOOKUP(B3000,'112年全品項生產鍋數'!A:H,2,0)</f>
        <v>顆粒花生醬(全)</v>
      </c>
      <c r="D3000" s="406">
        <v>32</v>
      </c>
      <c r="E3000" s="141">
        <f>VLOOKUP(B3000,'112年全品項生產鍋數'!A:H,3,0)</f>
        <v>0.34</v>
      </c>
      <c r="F3000" s="142">
        <f>VLOOKUP(B3000,'112年全品項生產鍋數'!A:H,7,0)</f>
        <v>364.6</v>
      </c>
      <c r="G3000" s="143">
        <f t="shared" si="465"/>
        <v>11667.2</v>
      </c>
      <c r="H3000" s="156">
        <v>11342</v>
      </c>
      <c r="I3000" s="374">
        <f t="shared" si="466"/>
        <v>3856.28</v>
      </c>
      <c r="J3000" s="100">
        <f t="shared" si="467"/>
        <v>0.97212698848052659</v>
      </c>
      <c r="K3000" s="51">
        <f>VLOOKUP(B:B,'生產達成率(目標)'!A:C,3,0)</f>
        <v>1</v>
      </c>
      <c r="L3000" s="20">
        <f t="shared" si="468"/>
        <v>-2.8000000000000001E-2</v>
      </c>
      <c r="M3000" s="137" t="str">
        <f>工時!R2184</f>
        <v>460</v>
      </c>
      <c r="N3000" s="374"/>
      <c r="O3000" s="374">
        <f t="shared" si="469"/>
        <v>3</v>
      </c>
      <c r="P3000" s="156">
        <v>11339</v>
      </c>
      <c r="Q3000" s="145">
        <f t="shared" si="470"/>
        <v>0.99973549638511727</v>
      </c>
      <c r="R3000" s="374"/>
      <c r="S3000" s="378"/>
      <c r="T3000" s="375"/>
      <c r="U3000" s="398"/>
      <c r="V3000" s="464"/>
      <c r="W3000" s="421"/>
      <c r="X3000" s="464"/>
      <c r="Y3000" s="421"/>
      <c r="Z3000" s="421"/>
      <c r="AA3000" s="421"/>
      <c r="AB3000" s="421"/>
      <c r="AC3000" s="421"/>
      <c r="AD3000" s="421"/>
    </row>
    <row r="3001" spans="1:30" s="381" customFormat="1" x14ac:dyDescent="0.4">
      <c r="A3001" s="402">
        <v>46170</v>
      </c>
      <c r="B3001" s="392" t="s">
        <v>456</v>
      </c>
      <c r="C3001" s="375" t="str">
        <f>VLOOKUP(B3001,'112年全品項生產鍋數'!A:H,2,0)</f>
        <v>桑椹果醬(1*190g)</v>
      </c>
      <c r="D3001" s="406">
        <v>3</v>
      </c>
      <c r="E3001" s="141">
        <f>VLOOKUP(B3001,'112年全品項生產鍋數'!A:H,3,0)</f>
        <v>0.19</v>
      </c>
      <c r="F3001" s="142">
        <f>VLOOKUP(B3001,'112年全品項生產鍋數'!A:H,7,0)</f>
        <v>759.3</v>
      </c>
      <c r="G3001" s="143">
        <f t="shared" si="465"/>
        <v>2277.8999999999996</v>
      </c>
      <c r="H3001" s="156">
        <v>2248</v>
      </c>
      <c r="I3001" s="374">
        <f t="shared" si="466"/>
        <v>427.12</v>
      </c>
      <c r="J3001" s="100">
        <f t="shared" si="467"/>
        <v>0.98687387506036273</v>
      </c>
      <c r="K3001" s="51">
        <f>VLOOKUP(B:B,'生產達成率(目標)'!A:C,3,0)</f>
        <v>1</v>
      </c>
      <c r="L3001" s="20">
        <f t="shared" si="468"/>
        <v>-1.2999999999999999E-2</v>
      </c>
      <c r="M3001" s="137" t="str">
        <f>工時!R2185</f>
        <v>210</v>
      </c>
      <c r="N3001" s="374"/>
      <c r="O3001" s="374">
        <f t="shared" si="469"/>
        <v>7</v>
      </c>
      <c r="P3001" s="156">
        <v>2241</v>
      </c>
      <c r="Q3001" s="145">
        <f t="shared" si="470"/>
        <v>0.99688612099644125</v>
      </c>
      <c r="R3001" s="374"/>
      <c r="S3001" s="378"/>
      <c r="T3001" s="375" t="s">
        <v>1153</v>
      </c>
      <c r="U3001" s="398"/>
      <c r="V3001" s="464"/>
      <c r="W3001" s="421"/>
      <c r="X3001" s="464"/>
      <c r="Y3001" s="421"/>
      <c r="Z3001" s="421"/>
      <c r="AA3001" s="421"/>
      <c r="AB3001" s="421"/>
      <c r="AC3001" s="421"/>
      <c r="AD3001" s="421"/>
    </row>
    <row r="3002" spans="1:30" s="381" customFormat="1" x14ac:dyDescent="0.4">
      <c r="A3002" s="402">
        <v>46170</v>
      </c>
      <c r="B3002" s="392" t="s">
        <v>91</v>
      </c>
      <c r="C3002" s="375" t="str">
        <f>VLOOKUP(B3002,'112年全品項生產鍋數'!A:H,2,0)</f>
        <v>梨山草莓果醬(1*430g)</v>
      </c>
      <c r="D3002" s="406">
        <v>16</v>
      </c>
      <c r="E3002" s="141">
        <f>VLOOKUP(B3002,'112年全品項生產鍋數'!A:H,3,0)</f>
        <v>0.43</v>
      </c>
      <c r="F3002" s="142">
        <f>VLOOKUP(B3002,'112年全品項生產鍋數'!A:H,7,0)</f>
        <v>340.4</v>
      </c>
      <c r="G3002" s="143">
        <f t="shared" si="465"/>
        <v>5446.4</v>
      </c>
      <c r="H3002" s="156">
        <f>935+4322</f>
        <v>5257</v>
      </c>
      <c r="I3002" s="374">
        <f t="shared" si="466"/>
        <v>2260.5099999999998</v>
      </c>
      <c r="J3002" s="100">
        <f t="shared" si="467"/>
        <v>0.96522473560517041</v>
      </c>
      <c r="K3002" s="51">
        <f>VLOOKUP(B:B,'生產達成率(目標)'!A:C,3,0)</f>
        <v>1</v>
      </c>
      <c r="L3002" s="20">
        <f t="shared" si="468"/>
        <v>-3.5000000000000003E-2</v>
      </c>
      <c r="M3002" s="137" t="str">
        <f>工時!R2186</f>
        <v>300</v>
      </c>
      <c r="N3002" s="374"/>
      <c r="O3002" s="374">
        <f t="shared" si="469"/>
        <v>10</v>
      </c>
      <c r="P3002" s="156">
        <f>4320+927</f>
        <v>5247</v>
      </c>
      <c r="Q3002" s="145">
        <f t="shared" si="470"/>
        <v>0.99809777439604341</v>
      </c>
      <c r="R3002" s="374"/>
      <c r="S3002" s="378"/>
      <c r="T3002" s="375" t="s">
        <v>1693</v>
      </c>
      <c r="U3002" s="398"/>
      <c r="V3002" s="464"/>
      <c r="W3002" s="421"/>
      <c r="X3002" s="464"/>
      <c r="Y3002" s="421"/>
      <c r="Z3002" s="421"/>
      <c r="AA3002" s="421"/>
      <c r="AB3002" s="421"/>
      <c r="AC3002" s="421"/>
      <c r="AD3002" s="421"/>
    </row>
    <row r="3003" spans="1:30" s="381" customFormat="1" x14ac:dyDescent="0.4">
      <c r="A3003" s="402">
        <v>46170</v>
      </c>
      <c r="B3003" s="392" t="s">
        <v>123</v>
      </c>
      <c r="C3003" s="375" t="str">
        <f>VLOOKUP(B3003,'112年全品項生產鍋數'!A:H,2,0)</f>
        <v>深烤焙花生醬(1*18KG)</v>
      </c>
      <c r="D3003" s="406">
        <v>56</v>
      </c>
      <c r="E3003" s="141">
        <f>VLOOKUP(B3003,'112年全品項生產鍋數'!A:H,3,0)</f>
        <v>18</v>
      </c>
      <c r="F3003" s="142">
        <f>VLOOKUP(B3003,'112年全品項生產鍋數'!A:H,7,0)</f>
        <v>6.9</v>
      </c>
      <c r="G3003" s="143">
        <f t="shared" si="465"/>
        <v>386.40000000000003</v>
      </c>
      <c r="H3003" s="156">
        <v>389</v>
      </c>
      <c r="I3003" s="374">
        <f t="shared" si="466"/>
        <v>7002</v>
      </c>
      <c r="J3003" s="100">
        <f t="shared" si="467"/>
        <v>1.0067287784679089</v>
      </c>
      <c r="K3003" s="51">
        <f>VLOOKUP(B:B,'生產達成率(目標)'!A:C,3,0)</f>
        <v>1</v>
      </c>
      <c r="L3003" s="20">
        <f t="shared" si="468"/>
        <v>7.0000000000000001E-3</v>
      </c>
      <c r="M3003" s="137" t="str">
        <f>工時!R2187</f>
        <v>475</v>
      </c>
      <c r="N3003" s="374"/>
      <c r="O3003" s="374">
        <f t="shared" si="469"/>
        <v>2</v>
      </c>
      <c r="P3003" s="156">
        <v>387</v>
      </c>
      <c r="Q3003" s="145">
        <f t="shared" si="470"/>
        <v>0.99485861182519275</v>
      </c>
      <c r="R3003" s="374"/>
      <c r="S3003" s="378"/>
      <c r="T3003" s="375" t="s">
        <v>1153</v>
      </c>
      <c r="U3003" s="398"/>
      <c r="V3003" s="464"/>
      <c r="W3003" s="421"/>
      <c r="X3003" s="464"/>
      <c r="Y3003" s="421"/>
      <c r="Z3003" s="421"/>
      <c r="AA3003" s="421"/>
      <c r="AB3003" s="421"/>
      <c r="AC3003" s="421"/>
      <c r="AD3003" s="421"/>
    </row>
    <row r="3004" spans="1:30" s="381" customFormat="1" x14ac:dyDescent="0.4">
      <c r="A3004" s="402">
        <v>46171</v>
      </c>
      <c r="B3004" s="392" t="s">
        <v>71</v>
      </c>
      <c r="C3004" s="375" t="str">
        <f>VLOOKUP(B3004,'112年全品項生產鍋數'!A:H,2,0)</f>
        <v>＃1草莓(1*3.2kg)</v>
      </c>
      <c r="D3004" s="406">
        <v>68</v>
      </c>
      <c r="E3004" s="141">
        <f>VLOOKUP(B3004,'112年全品項生產鍋數'!A:H,3,0)</f>
        <v>3.2</v>
      </c>
      <c r="F3004" s="142">
        <f>VLOOKUP(B3004,'112年全品項生產鍋數'!A:H,7,0)</f>
        <v>46.8</v>
      </c>
      <c r="G3004" s="143">
        <f t="shared" si="465"/>
        <v>3182.3999999999996</v>
      </c>
      <c r="H3004" s="156">
        <v>3146</v>
      </c>
      <c r="I3004" s="374">
        <f t="shared" si="466"/>
        <v>10067.200000000001</v>
      </c>
      <c r="J3004" s="100">
        <f t="shared" si="467"/>
        <v>0.98856209150326813</v>
      </c>
      <c r="K3004" s="51">
        <f>VLOOKUP(B:B,'生產達成率(目標)'!A:C,3,0)</f>
        <v>1</v>
      </c>
      <c r="L3004" s="20">
        <f t="shared" si="468"/>
        <v>-1.0999999999999999E-2</v>
      </c>
      <c r="M3004" s="137" t="str">
        <f>工時!R2188</f>
        <v>540</v>
      </c>
      <c r="N3004" s="374"/>
      <c r="O3004" s="374">
        <f t="shared" si="469"/>
        <v>2</v>
      </c>
      <c r="P3004" s="156">
        <v>3144</v>
      </c>
      <c r="Q3004" s="145">
        <f t="shared" si="470"/>
        <v>0.99936427209154477</v>
      </c>
      <c r="R3004" s="374"/>
      <c r="S3004" s="378"/>
      <c r="T3004" s="375" t="s">
        <v>1153</v>
      </c>
      <c r="U3004" s="398"/>
      <c r="V3004" s="464"/>
      <c r="W3004" s="421"/>
      <c r="X3004" s="464"/>
      <c r="Y3004" s="421"/>
      <c r="Z3004" s="421"/>
      <c r="AA3004" s="421"/>
      <c r="AB3004" s="421"/>
      <c r="AC3004" s="421"/>
      <c r="AD3004" s="421"/>
    </row>
    <row r="3005" spans="1:30" s="381" customFormat="1" x14ac:dyDescent="0.4">
      <c r="A3005" s="417">
        <v>46171</v>
      </c>
      <c r="B3005" s="373" t="s">
        <v>54</v>
      </c>
      <c r="C3005" s="375" t="str">
        <f>VLOOKUP(B3005,'112年全品項生產鍋數'!A:H,2,0)</f>
        <v>草莓醬(1*6kg)</v>
      </c>
      <c r="D3005" s="406">
        <v>20</v>
      </c>
      <c r="E3005" s="141">
        <f>VLOOKUP(B3005,'112年全品項生產鍋數'!A:H,3,0)</f>
        <v>6</v>
      </c>
      <c r="F3005" s="142">
        <f>VLOOKUP(B3005,'112年全品項生產鍋數'!A:H,7,0)</f>
        <v>26.6</v>
      </c>
      <c r="G3005" s="143">
        <f t="shared" si="465"/>
        <v>532</v>
      </c>
      <c r="H3005" s="156">
        <v>524</v>
      </c>
      <c r="I3005" s="374">
        <f t="shared" si="466"/>
        <v>3144</v>
      </c>
      <c r="J3005" s="100">
        <f t="shared" si="467"/>
        <v>0.98496240601503759</v>
      </c>
      <c r="K3005" s="51">
        <f>VLOOKUP(B:B,'生產達成率(目標)'!A:C,3,0)</f>
        <v>1</v>
      </c>
      <c r="L3005" s="20">
        <f t="shared" si="468"/>
        <v>-1.4999999999999999E-2</v>
      </c>
      <c r="M3005" s="137" t="str">
        <f>工時!R2189</f>
        <v>250</v>
      </c>
      <c r="N3005" s="374"/>
      <c r="O3005" s="374">
        <f t="shared" si="469"/>
        <v>4</v>
      </c>
      <c r="P3005" s="156">
        <v>520</v>
      </c>
      <c r="Q3005" s="145">
        <f t="shared" si="470"/>
        <v>0.99236641221374045</v>
      </c>
      <c r="R3005" s="374"/>
      <c r="S3005" s="378"/>
      <c r="T3005" s="375" t="s">
        <v>1153</v>
      </c>
      <c r="U3005" s="398"/>
      <c r="V3005" s="464"/>
      <c r="W3005" s="421"/>
      <c r="X3005" s="464"/>
      <c r="Y3005" s="421"/>
      <c r="Z3005" s="421"/>
      <c r="AA3005" s="421"/>
      <c r="AB3005" s="421"/>
      <c r="AC3005" s="421"/>
      <c r="AD3005" s="421"/>
    </row>
    <row r="3006" spans="1:30" s="381" customFormat="1" x14ac:dyDescent="0.4">
      <c r="A3006" s="402">
        <v>46171</v>
      </c>
      <c r="B3006" s="392" t="s">
        <v>51</v>
      </c>
      <c r="C3006" s="375" t="str">
        <f>VLOOKUP(B3006,'112年全品項生產鍋數'!A:H,2,0)</f>
        <v>藍莓醬(1*6kg)</v>
      </c>
      <c r="D3006" s="406">
        <v>16</v>
      </c>
      <c r="E3006" s="141">
        <f>VLOOKUP(B3006,'112年全品項生產鍋數'!A:H,3,0)</f>
        <v>6</v>
      </c>
      <c r="F3006" s="142">
        <f>VLOOKUP(B3006,'112年全品項生產鍋數'!A:H,7,0)</f>
        <v>25.5</v>
      </c>
      <c r="G3006" s="143">
        <f t="shared" si="465"/>
        <v>408</v>
      </c>
      <c r="H3006" s="156">
        <v>413</v>
      </c>
      <c r="I3006" s="374">
        <f t="shared" si="466"/>
        <v>2478</v>
      </c>
      <c r="J3006" s="100">
        <f t="shared" si="467"/>
        <v>1.0122549019607843</v>
      </c>
      <c r="K3006" s="51">
        <f>VLOOKUP(B:B,'生產達成率(目標)'!A:C,3,0)</f>
        <v>1</v>
      </c>
      <c r="L3006" s="20">
        <f t="shared" si="468"/>
        <v>1.2E-2</v>
      </c>
      <c r="M3006" s="137" t="str">
        <f>工時!R2190</f>
        <v>340</v>
      </c>
      <c r="N3006" s="374"/>
      <c r="O3006" s="374">
        <f t="shared" si="469"/>
        <v>3</v>
      </c>
      <c r="P3006" s="156">
        <v>410</v>
      </c>
      <c r="Q3006" s="145">
        <f t="shared" si="470"/>
        <v>0.99273607748184023</v>
      </c>
      <c r="R3006" s="374"/>
      <c r="S3006" s="378"/>
      <c r="T3006" s="375" t="s">
        <v>1153</v>
      </c>
      <c r="U3006" s="398"/>
      <c r="V3006" s="464"/>
      <c r="W3006" s="421"/>
      <c r="X3006" s="464"/>
      <c r="Y3006" s="421"/>
      <c r="Z3006" s="421"/>
      <c r="AA3006" s="421"/>
      <c r="AB3006" s="421"/>
      <c r="AC3006" s="421"/>
      <c r="AD3006" s="421"/>
    </row>
    <row r="3007" spans="1:30" s="381" customFormat="1" x14ac:dyDescent="0.4">
      <c r="A3007" s="402">
        <v>46171</v>
      </c>
      <c r="B3007" s="392" t="s">
        <v>597</v>
      </c>
      <c r="C3007" s="375" t="str">
        <f>VLOOKUP(B3007,'112年全品項生產鍋數'!A:H,2,0)</f>
        <v>無加糖花生醬(1*290g)</v>
      </c>
      <c r="D3007" s="406">
        <v>8</v>
      </c>
      <c r="E3007" s="141">
        <f>VLOOKUP(B3007,'112年全品項生產鍋數'!A:H,3,0)</f>
        <v>0.28999999999999998</v>
      </c>
      <c r="F3007" s="142">
        <f>VLOOKUP(B3007,'112年全品項生產鍋數'!A:H,7,0)</f>
        <v>388</v>
      </c>
      <c r="G3007" s="143">
        <f t="shared" si="465"/>
        <v>3104</v>
      </c>
      <c r="H3007" s="156">
        <v>3345</v>
      </c>
      <c r="I3007" s="374">
        <f t="shared" si="466"/>
        <v>970.05</v>
      </c>
      <c r="J3007" s="100">
        <f t="shared" si="467"/>
        <v>1.0776417525773196</v>
      </c>
      <c r="K3007" s="51">
        <f>VLOOKUP(B:B,'生產達成率(目標)'!A:C,3,0)</f>
        <v>1</v>
      </c>
      <c r="L3007" s="20">
        <f t="shared" si="468"/>
        <v>7.8E-2</v>
      </c>
      <c r="M3007" s="137" t="str">
        <f>工時!R2191</f>
        <v>235</v>
      </c>
      <c r="N3007" s="374"/>
      <c r="O3007" s="374">
        <f t="shared" si="469"/>
        <v>4</v>
      </c>
      <c r="P3007" s="156">
        <v>3341</v>
      </c>
      <c r="Q3007" s="145">
        <f t="shared" si="470"/>
        <v>0.99880418535127058</v>
      </c>
      <c r="R3007" s="374"/>
      <c r="S3007" s="378"/>
      <c r="T3007" s="375"/>
      <c r="U3007" s="398"/>
      <c r="V3007" s="464"/>
      <c r="W3007" s="421"/>
      <c r="X3007" s="464"/>
      <c r="Y3007" s="421"/>
      <c r="Z3007" s="421"/>
      <c r="AA3007" s="421"/>
      <c r="AB3007" s="421"/>
      <c r="AC3007" s="421"/>
      <c r="AD3007" s="421"/>
    </row>
    <row r="3008" spans="1:30" s="381" customFormat="1" x14ac:dyDescent="0.4">
      <c r="A3008" s="402">
        <v>46171</v>
      </c>
      <c r="B3008" s="392" t="s">
        <v>471</v>
      </c>
      <c r="C3008" s="375" t="str">
        <f>VLOOKUP(B3008,'112年全品項生產鍋數'!A:H,2,0)</f>
        <v>花生醬(1*290g)</v>
      </c>
      <c r="D3008" s="406">
        <v>8</v>
      </c>
      <c r="E3008" s="141">
        <f>VLOOKUP(B3008,'112年全品項生產鍋數'!A:H,3,0)</f>
        <v>0.28999999999999998</v>
      </c>
      <c r="F3008" s="142">
        <f>VLOOKUP(B3008,'112年全品項生產鍋數'!A:H,7,0)</f>
        <v>412.6</v>
      </c>
      <c r="G3008" s="143">
        <f t="shared" si="465"/>
        <v>3300.8</v>
      </c>
      <c r="H3008" s="156">
        <v>3462</v>
      </c>
      <c r="I3008" s="374">
        <f t="shared" si="466"/>
        <v>1003.9799999999999</v>
      </c>
      <c r="J3008" s="100">
        <f t="shared" si="467"/>
        <v>1.0488366456616578</v>
      </c>
      <c r="K3008" s="51">
        <f>VLOOKUP(B:B,'生產達成率(目標)'!A:C,3,0)</f>
        <v>1</v>
      </c>
      <c r="L3008" s="20">
        <f t="shared" si="468"/>
        <v>4.9000000000000002E-2</v>
      </c>
      <c r="M3008" s="137" t="str">
        <f>工時!R2192</f>
        <v>385</v>
      </c>
      <c r="N3008" s="374"/>
      <c r="O3008" s="374">
        <f t="shared" si="469"/>
        <v>11</v>
      </c>
      <c r="P3008" s="156">
        <v>3451</v>
      </c>
      <c r="Q3008" s="145">
        <f t="shared" si="470"/>
        <v>0.99682264586943958</v>
      </c>
      <c r="R3008" s="374"/>
      <c r="S3008" s="378"/>
      <c r="T3008" s="375"/>
      <c r="U3008" s="398"/>
      <c r="V3008" s="464"/>
      <c r="W3008" s="421"/>
      <c r="X3008" s="464"/>
      <c r="Y3008" s="421"/>
      <c r="Z3008" s="421"/>
      <c r="AA3008" s="421"/>
      <c r="AB3008" s="421"/>
      <c r="AC3008" s="421"/>
      <c r="AD3008" s="421"/>
    </row>
    <row r="3009" spans="1:30" s="381" customFormat="1" x14ac:dyDescent="0.4">
      <c r="A3009" s="402">
        <v>46174</v>
      </c>
      <c r="B3009" s="392" t="s">
        <v>1694</v>
      </c>
      <c r="C3009" s="375" t="str">
        <f>VLOOKUP(B3009,'112年全品項生產鍋數'!A:H,2,0)</f>
        <v>文旦丁</v>
      </c>
      <c r="D3009" s="406">
        <v>2</v>
      </c>
      <c r="E3009" s="141">
        <f>VLOOKUP(B3009,'112年全品項生產鍋數'!A:H,3,0)</f>
        <v>1</v>
      </c>
      <c r="F3009" s="142">
        <f>VLOOKUP(B3009,'112年全品項生產鍋數'!A:H,7,0)</f>
        <v>243</v>
      </c>
      <c r="G3009" s="143">
        <f>D3009*F3009</f>
        <v>486</v>
      </c>
      <c r="H3009" s="156">
        <v>403</v>
      </c>
      <c r="I3009" s="374">
        <f>H3009*E3009</f>
        <v>403</v>
      </c>
      <c r="J3009" s="100">
        <f>IF(G3009=0,"無法預估數據",H3009/G3009)</f>
        <v>0.82921810699588472</v>
      </c>
      <c r="K3009" s="51">
        <f>VLOOKUP(B:B,'生產達成率(目標)'!A:C,3,0)</f>
        <v>1</v>
      </c>
      <c r="L3009" s="20">
        <f>IF(G3009=0,"無法預估數據",ROUND(J3009-K3009,3))</f>
        <v>-0.17100000000000001</v>
      </c>
      <c r="M3009" s="137" t="str">
        <f>工時!R2193</f>
        <v>0</v>
      </c>
      <c r="N3009" s="374"/>
      <c r="O3009" s="374">
        <f>H3009-N3009-P3009</f>
        <v>33</v>
      </c>
      <c r="P3009" s="156">
        <v>370</v>
      </c>
      <c r="Q3009" s="145">
        <f>P3009/H3009</f>
        <v>0.91811414392059554</v>
      </c>
      <c r="R3009" s="374"/>
      <c r="S3009" s="378"/>
      <c r="T3009" s="375" t="s">
        <v>1153</v>
      </c>
      <c r="U3009" s="398"/>
      <c r="V3009" s="464"/>
      <c r="W3009" s="423"/>
      <c r="X3009" s="464"/>
      <c r="Y3009" s="423"/>
      <c r="Z3009" s="423"/>
      <c r="AA3009" s="423"/>
      <c r="AB3009" s="423"/>
      <c r="AC3009" s="423"/>
      <c r="AD3009" s="423"/>
    </row>
    <row r="3010" spans="1:30" x14ac:dyDescent="0.4">
      <c r="A3010" s="402">
        <v>46175</v>
      </c>
      <c r="B3010" s="392" t="s">
        <v>1062</v>
      </c>
      <c r="C3010" s="364" t="str">
        <f>VLOOKUP(B3010,'112年全品項生產鍋數'!A:H,2,0)</f>
        <v>上好佳芒果餡(大)4.5KG</v>
      </c>
      <c r="D3010" s="404">
        <v>24</v>
      </c>
      <c r="E3010" s="48">
        <f>VLOOKUP(B3010,'112年全品項生產鍋數'!A:H,3,0)</f>
        <v>4.5</v>
      </c>
      <c r="F3010" s="142">
        <f>VLOOKUP(B3010,'112年全品項生產鍋數'!A:H,7,0)</f>
        <v>33.200000000000003</v>
      </c>
      <c r="G3010" s="143">
        <f t="shared" si="465"/>
        <v>796.80000000000007</v>
      </c>
      <c r="H3010" s="156">
        <v>846</v>
      </c>
      <c r="I3010" s="371">
        <f t="shared" si="466"/>
        <v>3807</v>
      </c>
      <c r="J3010" s="100">
        <f t="shared" si="467"/>
        <v>1.0617469879518071</v>
      </c>
      <c r="K3010" s="51" t="e">
        <f>VLOOKUP(B:B,'生產達成率(目標)'!A:C,3,0)</f>
        <v>#N/A</v>
      </c>
      <c r="L3010" s="20" t="e">
        <f t="shared" si="468"/>
        <v>#N/A</v>
      </c>
      <c r="M3010" s="137" t="str">
        <f>工時!R2194</f>
        <v>435</v>
      </c>
      <c r="N3010" s="374"/>
      <c r="O3010" s="374">
        <f t="shared" si="469"/>
        <v>0</v>
      </c>
      <c r="P3010" s="156">
        <v>846</v>
      </c>
      <c r="Q3010" s="98">
        <f t="shared" si="470"/>
        <v>1</v>
      </c>
      <c r="R3010" s="371"/>
      <c r="S3010" s="372"/>
      <c r="T3010" s="364" t="s">
        <v>1153</v>
      </c>
      <c r="U3010" s="264"/>
      <c r="V3010" s="463"/>
      <c r="X3010" s="463"/>
    </row>
    <row r="3011" spans="1:30" x14ac:dyDescent="0.4">
      <c r="A3011" s="402">
        <v>46175</v>
      </c>
      <c r="B3011" s="392" t="s">
        <v>53</v>
      </c>
      <c r="C3011" s="364" t="str">
        <f>VLOOKUP(B3011,'112年全品項生產鍋數'!A:H,2,0)</f>
        <v>鳳梨芒果百香果醬(1*6KG)</v>
      </c>
      <c r="D3011" s="404">
        <v>6</v>
      </c>
      <c r="E3011" s="48">
        <f>VLOOKUP(B3011,'112年全品項生產鍋數'!A:H,3,0)</f>
        <v>6</v>
      </c>
      <c r="F3011" s="142">
        <f>VLOOKUP(B3011,'112年全品項生產鍋數'!A:H,7,0)</f>
        <v>25.7</v>
      </c>
      <c r="G3011" s="143">
        <f t="shared" si="465"/>
        <v>154.19999999999999</v>
      </c>
      <c r="H3011" s="156">
        <v>153</v>
      </c>
      <c r="I3011" s="371">
        <f t="shared" si="466"/>
        <v>918</v>
      </c>
      <c r="J3011" s="100">
        <f t="shared" si="467"/>
        <v>0.99221789883268485</v>
      </c>
      <c r="K3011" s="51">
        <f>VLOOKUP(B:B,'生產達成率(目標)'!A:C,3,0)</f>
        <v>1</v>
      </c>
      <c r="L3011" s="20">
        <f t="shared" si="468"/>
        <v>-8.0000000000000002E-3</v>
      </c>
      <c r="M3011" s="137" t="str">
        <f>工時!R2195</f>
        <v>176</v>
      </c>
      <c r="N3011" s="374"/>
      <c r="O3011" s="374">
        <f t="shared" si="469"/>
        <v>3</v>
      </c>
      <c r="P3011" s="156">
        <v>150</v>
      </c>
      <c r="Q3011" s="98">
        <f t="shared" si="470"/>
        <v>0.98039215686274506</v>
      </c>
      <c r="R3011" s="371"/>
      <c r="S3011" s="372"/>
      <c r="T3011" s="364" t="s">
        <v>1153</v>
      </c>
      <c r="U3011" s="264"/>
      <c r="V3011" s="463"/>
      <c r="X3011" s="463"/>
    </row>
    <row r="3012" spans="1:30" x14ac:dyDescent="0.4">
      <c r="A3012" s="402">
        <v>46175</v>
      </c>
      <c r="B3012" s="392" t="s">
        <v>99</v>
      </c>
      <c r="C3012" s="364" t="str">
        <f>VLOOKUP(B3012,'112年全品項生產鍋數'!A:H,2,0)</f>
        <v>葡萄奇異果醬(1*6kg)</v>
      </c>
      <c r="D3012" s="404">
        <v>6</v>
      </c>
      <c r="E3012" s="48">
        <f>VLOOKUP(B3012,'112年全品項生產鍋數'!A:H,3,0)</f>
        <v>6</v>
      </c>
      <c r="F3012" s="142">
        <f>VLOOKUP(B3012,'112年全品項生產鍋數'!A:H,7,0)</f>
        <v>24.3</v>
      </c>
      <c r="G3012" s="143">
        <f t="shared" si="465"/>
        <v>145.80000000000001</v>
      </c>
      <c r="H3012" s="156">
        <v>150</v>
      </c>
      <c r="I3012" s="371">
        <f t="shared" si="466"/>
        <v>900</v>
      </c>
      <c r="J3012" s="100">
        <f t="shared" si="467"/>
        <v>1.0288065843621399</v>
      </c>
      <c r="K3012" s="51">
        <f>VLOOKUP(B:B,'生產達成率(目標)'!A:C,3,0)</f>
        <v>1</v>
      </c>
      <c r="L3012" s="20">
        <f t="shared" si="468"/>
        <v>2.9000000000000001E-2</v>
      </c>
      <c r="M3012" s="137" t="str">
        <f>工時!R2196</f>
        <v>85</v>
      </c>
      <c r="N3012" s="374"/>
      <c r="O3012" s="374">
        <f t="shared" si="469"/>
        <v>2</v>
      </c>
      <c r="P3012" s="156">
        <v>148</v>
      </c>
      <c r="Q3012" s="98">
        <f t="shared" si="470"/>
        <v>0.98666666666666669</v>
      </c>
      <c r="R3012" s="371"/>
      <c r="S3012" s="372"/>
      <c r="T3012" s="364" t="s">
        <v>1153</v>
      </c>
      <c r="U3012" s="264"/>
      <c r="V3012" s="463"/>
      <c r="X3012" s="463"/>
    </row>
    <row r="3013" spans="1:30" x14ac:dyDescent="0.4">
      <c r="A3013" s="402">
        <v>46175</v>
      </c>
      <c r="B3013" s="392" t="s">
        <v>110</v>
      </c>
      <c r="C3013" s="364" t="str">
        <f>VLOOKUP(B3013,'112年全品項生產鍋數'!A:H,2,0)</f>
        <v>顆粒花生醬(1*12KG)</v>
      </c>
      <c r="D3013" s="404">
        <v>21</v>
      </c>
      <c r="E3013" s="48">
        <f>VLOOKUP(B3013,'112年全品項生產鍋數'!A:H,3,0)</f>
        <v>3</v>
      </c>
      <c r="F3013" s="142">
        <f>VLOOKUP(B3013,'112年全品項生產鍋數'!A:H,7,0)</f>
        <v>30.8</v>
      </c>
      <c r="G3013" s="143">
        <f t="shared" si="465"/>
        <v>646.80000000000007</v>
      </c>
      <c r="H3013" s="156">
        <v>648</v>
      </c>
      <c r="I3013" s="371">
        <f t="shared" si="466"/>
        <v>1944</v>
      </c>
      <c r="J3013" s="100">
        <f t="shared" si="467"/>
        <v>1.0018552875695732</v>
      </c>
      <c r="K3013" s="51">
        <f>VLOOKUP(B:B,'生產達成率(目標)'!A:C,3,0)</f>
        <v>1</v>
      </c>
      <c r="L3013" s="20">
        <f t="shared" si="468"/>
        <v>2E-3</v>
      </c>
      <c r="M3013" s="137" t="str">
        <f>工時!R2197</f>
        <v>540</v>
      </c>
      <c r="N3013" s="374"/>
      <c r="O3013" s="374">
        <f t="shared" si="469"/>
        <v>0</v>
      </c>
      <c r="P3013" s="156">
        <v>648</v>
      </c>
      <c r="Q3013" s="98">
        <f t="shared" si="470"/>
        <v>1</v>
      </c>
      <c r="R3013" s="371"/>
      <c r="S3013" s="372"/>
      <c r="T3013" s="364" t="s">
        <v>1153</v>
      </c>
      <c r="U3013" s="264"/>
      <c r="V3013" s="463"/>
      <c r="X3013" s="463"/>
    </row>
    <row r="3014" spans="1:30" x14ac:dyDescent="0.4">
      <c r="A3014" s="402">
        <v>46175</v>
      </c>
      <c r="B3014" s="392" t="s">
        <v>97</v>
      </c>
      <c r="C3014" s="364" t="str">
        <f>VLOOKUP(B3014,'112年全品項生產鍋數'!A:H,2,0)</f>
        <v>花生醬(1*18KG)</v>
      </c>
      <c r="D3014" s="404">
        <v>12</v>
      </c>
      <c r="E3014" s="48">
        <f>VLOOKUP(B3014,'112年全品項生產鍋數'!A:H,3,0)</f>
        <v>18</v>
      </c>
      <c r="F3014" s="142">
        <f>VLOOKUP(B3014,'112年全品項生產鍋數'!A:H,7,0)</f>
        <v>6.6</v>
      </c>
      <c r="G3014" s="143">
        <f t="shared" si="465"/>
        <v>79.199999999999989</v>
      </c>
      <c r="H3014" s="156">
        <v>78</v>
      </c>
      <c r="I3014" s="371">
        <f t="shared" si="466"/>
        <v>1404</v>
      </c>
      <c r="J3014" s="100">
        <f t="shared" si="467"/>
        <v>0.98484848484848497</v>
      </c>
      <c r="K3014" s="51">
        <f>VLOOKUP(B:B,'生產達成率(目標)'!A:C,3,0)</f>
        <v>1</v>
      </c>
      <c r="L3014" s="20">
        <f t="shared" si="468"/>
        <v>-1.4999999999999999E-2</v>
      </c>
      <c r="M3014" s="137" t="str">
        <f>工時!R2198</f>
        <v>150</v>
      </c>
      <c r="N3014" s="374"/>
      <c r="O3014" s="374">
        <f t="shared" si="469"/>
        <v>0</v>
      </c>
      <c r="P3014" s="156">
        <v>78</v>
      </c>
      <c r="Q3014" s="98">
        <f t="shared" si="470"/>
        <v>1</v>
      </c>
      <c r="R3014" s="371"/>
      <c r="S3014" s="372"/>
      <c r="T3014" s="364" t="s">
        <v>1153</v>
      </c>
      <c r="U3014" s="264"/>
      <c r="V3014" s="463"/>
      <c r="X3014" s="463"/>
    </row>
    <row r="3015" spans="1:30" s="361" customFormat="1" x14ac:dyDescent="0.4">
      <c r="A3015" s="402">
        <v>46175</v>
      </c>
      <c r="B3015" s="392" t="s">
        <v>65</v>
      </c>
      <c r="C3015" s="364" t="str">
        <f>VLOOKUP(B3015,'112年全品項生產鍋數'!A:H,2,0)</f>
        <v>＃1花生(1*2.8kg)</v>
      </c>
      <c r="D3015" s="404">
        <v>48</v>
      </c>
      <c r="E3015" s="48">
        <f>VLOOKUP(B3015,'112年全品項生產鍋數'!A:H,3,0)</f>
        <v>2.8</v>
      </c>
      <c r="F3015" s="142">
        <f>VLOOKUP(B3015,'112年全品項生產鍋數'!A:H,7,0)</f>
        <v>44.5</v>
      </c>
      <c r="G3015" s="143">
        <f>D3015*F3015-65*18/2.8</f>
        <v>1718.1428571428571</v>
      </c>
      <c r="H3015" s="156">
        <v>1772</v>
      </c>
      <c r="I3015" s="371">
        <f t="shared" ref="I3015:I3040" si="471">H3015*E3015</f>
        <v>4961.5999999999995</v>
      </c>
      <c r="J3015" s="100">
        <f t="shared" ref="J3015:J3040" si="472">IF(G3015=0,"無法預估數據",H3015/G3015)</f>
        <v>1.0313461378564897</v>
      </c>
      <c r="K3015" s="51">
        <f>VLOOKUP(B:B,'生產達成率(目標)'!A:C,3,0)</f>
        <v>1</v>
      </c>
      <c r="L3015" s="20">
        <f t="shared" ref="L3015:L3040" si="473">IF(G3015=0,"無法預估數據",ROUND(J3015-K3015,3))</f>
        <v>3.1E-2</v>
      </c>
      <c r="M3015" s="137" t="str">
        <f>工時!R2199</f>
        <v>395</v>
      </c>
      <c r="N3015" s="374"/>
      <c r="O3015" s="374">
        <f t="shared" ref="O3015:O3040" si="474">H3015-N3015-P3015</f>
        <v>1</v>
      </c>
      <c r="P3015" s="156">
        <v>1771</v>
      </c>
      <c r="Q3015" s="98">
        <f t="shared" ref="Q3015:Q3040" si="475">P3015/H3015</f>
        <v>0.99943566591422117</v>
      </c>
      <c r="R3015" s="371"/>
      <c r="S3015" s="372"/>
      <c r="T3015" s="364" t="s">
        <v>1695</v>
      </c>
      <c r="U3015" s="264"/>
      <c r="V3015" s="463"/>
      <c r="W3015" s="421"/>
      <c r="X3015" s="463"/>
      <c r="Y3015" s="421"/>
      <c r="Z3015" s="421"/>
      <c r="AA3015" s="421"/>
      <c r="AB3015" s="421"/>
      <c r="AC3015" s="421"/>
      <c r="AD3015" s="421"/>
    </row>
    <row r="3016" spans="1:30" s="361" customFormat="1" x14ac:dyDescent="0.4">
      <c r="A3016" s="402">
        <v>46176</v>
      </c>
      <c r="B3016" s="392" t="s">
        <v>1667</v>
      </c>
      <c r="C3016" s="364" t="str">
        <f>VLOOKUP(B3016,'112年全品項生產鍋數'!A:H,2,0)</f>
        <v>楊枝甘露餡(1*6Kg)</v>
      </c>
      <c r="D3016" s="404">
        <v>1</v>
      </c>
      <c r="E3016" s="48">
        <f>VLOOKUP(B3016,'112年全品項生產鍋數'!A:H,3,0)</f>
        <v>6</v>
      </c>
      <c r="F3016" s="142">
        <f>VLOOKUP(B3016,'112年全品項生產鍋數'!A:H,7,0)</f>
        <v>0</v>
      </c>
      <c r="G3016" s="143">
        <f t="shared" ref="G3016:G3040" si="476">D3016*F3016</f>
        <v>0</v>
      </c>
      <c r="H3016" s="156">
        <v>24</v>
      </c>
      <c r="I3016" s="371">
        <f t="shared" si="471"/>
        <v>144</v>
      </c>
      <c r="J3016" s="100" t="str">
        <f t="shared" si="472"/>
        <v>無法預估數據</v>
      </c>
      <c r="K3016" s="51">
        <f>VLOOKUP(B:B,'生產達成率(目標)'!A:C,3,0)</f>
        <v>1</v>
      </c>
      <c r="L3016" s="20" t="str">
        <f t="shared" si="473"/>
        <v>無法預估數據</v>
      </c>
      <c r="M3016" s="137" t="str">
        <f>工時!R2200</f>
        <v>100</v>
      </c>
      <c r="N3016" s="374"/>
      <c r="O3016" s="374">
        <f t="shared" si="474"/>
        <v>1</v>
      </c>
      <c r="P3016" s="156">
        <v>23</v>
      </c>
      <c r="Q3016" s="98">
        <f t="shared" si="475"/>
        <v>0.95833333333333337</v>
      </c>
      <c r="R3016" s="371"/>
      <c r="S3016" s="372"/>
      <c r="T3016" s="364" t="s">
        <v>1163</v>
      </c>
      <c r="U3016" s="264"/>
      <c r="V3016" s="463"/>
      <c r="W3016" s="421"/>
      <c r="X3016" s="463"/>
      <c r="Y3016" s="421"/>
      <c r="Z3016" s="421"/>
      <c r="AA3016" s="421"/>
      <c r="AB3016" s="421"/>
      <c r="AC3016" s="421"/>
      <c r="AD3016" s="421"/>
    </row>
    <row r="3017" spans="1:30" s="361" customFormat="1" x14ac:dyDescent="0.4">
      <c r="A3017" s="402">
        <v>46176</v>
      </c>
      <c r="B3017" s="392" t="s">
        <v>63</v>
      </c>
      <c r="C3017" s="364" t="str">
        <f>VLOOKUP(B3017,'112年全品項生產鍋數'!A:H,2,0)</f>
        <v>草莓蒟蒻餡(1*6kg)</v>
      </c>
      <c r="D3017" s="404">
        <v>16</v>
      </c>
      <c r="E3017" s="48">
        <f>VLOOKUP(B3017,'112年全品項生產鍋數'!A:H,3,0)</f>
        <v>6</v>
      </c>
      <c r="F3017" s="142">
        <f>VLOOKUP(B3017,'112年全品項生產鍋數'!A:H,7,0)</f>
        <v>25.7</v>
      </c>
      <c r="G3017" s="143">
        <f t="shared" si="476"/>
        <v>411.2</v>
      </c>
      <c r="H3017" s="156">
        <f>207+206</f>
        <v>413</v>
      </c>
      <c r="I3017" s="371">
        <f t="shared" si="471"/>
        <v>2478</v>
      </c>
      <c r="J3017" s="100">
        <f t="shared" si="472"/>
        <v>1.0043774319066148</v>
      </c>
      <c r="K3017" s="51">
        <f>VLOOKUP(B:B,'生產達成率(目標)'!A:C,3,0)</f>
        <v>1</v>
      </c>
      <c r="L3017" s="20">
        <f t="shared" si="473"/>
        <v>4.0000000000000001E-3</v>
      </c>
      <c r="M3017" s="137" t="str">
        <f>工時!R2201</f>
        <v>255</v>
      </c>
      <c r="N3017" s="374"/>
      <c r="O3017" s="374">
        <f t="shared" si="474"/>
        <v>2</v>
      </c>
      <c r="P3017" s="156">
        <f>205+206</f>
        <v>411</v>
      </c>
      <c r="Q3017" s="98">
        <f t="shared" si="475"/>
        <v>0.99515738498789341</v>
      </c>
      <c r="R3017" s="371"/>
      <c r="S3017" s="372"/>
      <c r="T3017" s="364"/>
      <c r="U3017" s="264"/>
      <c r="V3017" s="463"/>
      <c r="W3017" s="421"/>
      <c r="X3017" s="463"/>
      <c r="Y3017" s="421"/>
      <c r="Z3017" s="421"/>
      <c r="AA3017" s="421"/>
      <c r="AB3017" s="421"/>
      <c r="AC3017" s="421"/>
      <c r="AD3017" s="421"/>
    </row>
    <row r="3018" spans="1:30" s="361" customFormat="1" x14ac:dyDescent="0.4">
      <c r="A3018" s="417">
        <v>46176</v>
      </c>
      <c r="B3018" s="373" t="s">
        <v>72</v>
      </c>
      <c r="C3018" s="364" t="str">
        <f>VLOOKUP(B3018,'112年全品項生產鍋數'!A:H,2,0)</f>
        <v>草莓餡45%(1*6Kg)</v>
      </c>
      <c r="D3018" s="404">
        <v>16</v>
      </c>
      <c r="E3018" s="48">
        <f>VLOOKUP(B3018,'112年全品項生產鍋數'!A:H,3,0)</f>
        <v>6</v>
      </c>
      <c r="F3018" s="142">
        <f>VLOOKUP(B3018,'112年全品項生產鍋數'!A:H,7,0)</f>
        <v>26.1</v>
      </c>
      <c r="G3018" s="143">
        <f t="shared" si="476"/>
        <v>417.6</v>
      </c>
      <c r="H3018" s="156">
        <v>424</v>
      </c>
      <c r="I3018" s="371">
        <f t="shared" si="471"/>
        <v>2544</v>
      </c>
      <c r="J3018" s="100">
        <f t="shared" si="472"/>
        <v>1.0153256704980842</v>
      </c>
      <c r="K3018" s="51">
        <f>VLOOKUP(B:B,'生產達成率(目標)'!A:C,3,0)</f>
        <v>1</v>
      </c>
      <c r="L3018" s="20">
        <f t="shared" si="473"/>
        <v>1.4999999999999999E-2</v>
      </c>
      <c r="M3018" s="137" t="str">
        <f>工時!R2202</f>
        <v>215</v>
      </c>
      <c r="N3018" s="374"/>
      <c r="O3018" s="374">
        <f t="shared" si="474"/>
        <v>2</v>
      </c>
      <c r="P3018" s="156">
        <v>422</v>
      </c>
      <c r="Q3018" s="98">
        <f t="shared" si="475"/>
        <v>0.99528301886792447</v>
      </c>
      <c r="R3018" s="371"/>
      <c r="S3018" s="372"/>
      <c r="T3018" s="364" t="s">
        <v>1153</v>
      </c>
      <c r="U3018" s="264"/>
      <c r="V3018" s="463"/>
      <c r="W3018" s="421"/>
      <c r="X3018" s="463"/>
      <c r="Y3018" s="421"/>
      <c r="Z3018" s="421"/>
      <c r="AA3018" s="421"/>
      <c r="AB3018" s="421"/>
      <c r="AC3018" s="421"/>
      <c r="AD3018" s="421"/>
    </row>
    <row r="3019" spans="1:30" s="361" customFormat="1" x14ac:dyDescent="0.4">
      <c r="A3019" s="402">
        <v>46176</v>
      </c>
      <c r="B3019" s="392" t="s">
        <v>1162</v>
      </c>
      <c r="C3019" s="364" t="str">
        <f>VLOOKUP(B3019,'112年全品項生產鍋數'!A:H,2,0)</f>
        <v>藍莓餡(1*6KG)</v>
      </c>
      <c r="D3019" s="404">
        <v>1</v>
      </c>
      <c r="E3019" s="48">
        <f>VLOOKUP(B3019,'112年全品項生產鍋數'!A:H,3,0)</f>
        <v>6</v>
      </c>
      <c r="F3019" s="142">
        <f>VLOOKUP(B3019,'112年全品項生產鍋數'!A:H,7,0)</f>
        <v>25.4</v>
      </c>
      <c r="G3019" s="143">
        <f t="shared" si="476"/>
        <v>25.4</v>
      </c>
      <c r="H3019" s="156">
        <v>22</v>
      </c>
      <c r="I3019" s="371">
        <f t="shared" si="471"/>
        <v>132</v>
      </c>
      <c r="J3019" s="100">
        <f t="shared" si="472"/>
        <v>0.86614173228346458</v>
      </c>
      <c r="K3019" s="51" t="e">
        <f>VLOOKUP(B:B,'生產達成率(目標)'!A:C,3,0)</f>
        <v>#N/A</v>
      </c>
      <c r="L3019" s="20" t="e">
        <f t="shared" si="473"/>
        <v>#N/A</v>
      </c>
      <c r="M3019" s="137" t="str">
        <f>工時!R2203</f>
        <v>125</v>
      </c>
      <c r="N3019" s="374"/>
      <c r="O3019" s="374">
        <f t="shared" si="474"/>
        <v>1</v>
      </c>
      <c r="P3019" s="156">
        <v>21</v>
      </c>
      <c r="Q3019" s="98">
        <f t="shared" si="475"/>
        <v>0.95454545454545459</v>
      </c>
      <c r="R3019" s="371"/>
      <c r="S3019" s="372"/>
      <c r="T3019" s="364"/>
      <c r="U3019" s="264"/>
      <c r="V3019" s="463"/>
      <c r="W3019" s="421"/>
      <c r="X3019" s="463"/>
      <c r="Y3019" s="421"/>
      <c r="Z3019" s="421"/>
      <c r="AA3019" s="421"/>
      <c r="AB3019" s="421"/>
      <c r="AC3019" s="421"/>
      <c r="AD3019" s="421"/>
    </row>
    <row r="3020" spans="1:30" s="361" customFormat="1" x14ac:dyDescent="0.4">
      <c r="A3020" s="402">
        <v>46176</v>
      </c>
      <c r="B3020" s="392" t="s">
        <v>108</v>
      </c>
      <c r="C3020" s="364" t="str">
        <f>VLOOKUP(B3020,'112年全品項生產鍋數'!A:H,2,0)</f>
        <v>顆粒花生醬(1*12KG)</v>
      </c>
      <c r="D3020" s="404">
        <v>15</v>
      </c>
      <c r="E3020" s="48">
        <f>VLOOKUP(B3020,'112年全品項生產鍋數'!A:H,3,0)</f>
        <v>3</v>
      </c>
      <c r="F3020" s="142">
        <f>VLOOKUP(B3020,'112年全品項生產鍋數'!A:H,7,0)</f>
        <v>31.6</v>
      </c>
      <c r="G3020" s="143">
        <f t="shared" si="476"/>
        <v>474</v>
      </c>
      <c r="H3020" s="156">
        <v>472</v>
      </c>
      <c r="I3020" s="371">
        <f t="shared" si="471"/>
        <v>1416</v>
      </c>
      <c r="J3020" s="100">
        <f t="shared" si="472"/>
        <v>0.99578059071729963</v>
      </c>
      <c r="K3020" s="51">
        <f>VLOOKUP(B:B,'生產達成率(目標)'!A:C,3,0)</f>
        <v>1</v>
      </c>
      <c r="L3020" s="20">
        <f t="shared" si="473"/>
        <v>-4.0000000000000001E-3</v>
      </c>
      <c r="M3020" s="137" t="str">
        <f>工時!R2204</f>
        <v>540</v>
      </c>
      <c r="N3020" s="374"/>
      <c r="O3020" s="374">
        <f t="shared" si="474"/>
        <v>0</v>
      </c>
      <c r="P3020" s="156">
        <v>472</v>
      </c>
      <c r="Q3020" s="98">
        <f t="shared" si="475"/>
        <v>1</v>
      </c>
      <c r="R3020" s="371"/>
      <c r="S3020" s="372"/>
      <c r="T3020" s="364" t="s">
        <v>1153</v>
      </c>
      <c r="U3020" s="264"/>
      <c r="V3020" s="463"/>
      <c r="W3020" s="421"/>
      <c r="X3020" s="463"/>
      <c r="Y3020" s="421"/>
      <c r="Z3020" s="421"/>
      <c r="AA3020" s="421"/>
      <c r="AB3020" s="421"/>
      <c r="AC3020" s="421"/>
      <c r="AD3020" s="421"/>
    </row>
    <row r="3021" spans="1:30" s="361" customFormat="1" x14ac:dyDescent="0.4">
      <c r="A3021" s="402">
        <v>46176</v>
      </c>
      <c r="B3021" s="392" t="s">
        <v>65</v>
      </c>
      <c r="C3021" s="364" t="str">
        <f>VLOOKUP(B3021,'112年全品項生產鍋數'!A:H,2,0)</f>
        <v>＃1花生(1*2.8kg)</v>
      </c>
      <c r="D3021" s="404">
        <v>48</v>
      </c>
      <c r="E3021" s="48">
        <f>VLOOKUP(B3021,'112年全品項生產鍋數'!A:H,3,0)</f>
        <v>2.8</v>
      </c>
      <c r="F3021" s="142">
        <f>VLOOKUP(B3021,'112年全品項生產鍋數'!A:H,7,0)</f>
        <v>44.5</v>
      </c>
      <c r="G3021" s="143">
        <f t="shared" si="476"/>
        <v>2136</v>
      </c>
      <c r="H3021" s="156">
        <v>2162</v>
      </c>
      <c r="I3021" s="371">
        <f t="shared" si="471"/>
        <v>6053.5999999999995</v>
      </c>
      <c r="J3021" s="100">
        <f t="shared" si="472"/>
        <v>1.0121722846441947</v>
      </c>
      <c r="K3021" s="51">
        <f>VLOOKUP(B:B,'生產達成率(目標)'!A:C,3,0)</f>
        <v>1</v>
      </c>
      <c r="L3021" s="20">
        <f t="shared" si="473"/>
        <v>1.2E-2</v>
      </c>
      <c r="M3021" s="137" t="str">
        <f>工時!R2205</f>
        <v>660</v>
      </c>
      <c r="N3021" s="374"/>
      <c r="O3021" s="374">
        <f t="shared" si="474"/>
        <v>2</v>
      </c>
      <c r="P3021" s="156">
        <v>2160</v>
      </c>
      <c r="Q3021" s="98">
        <f t="shared" si="475"/>
        <v>0.99907493061979646</v>
      </c>
      <c r="R3021" s="371"/>
      <c r="S3021" s="372"/>
      <c r="T3021" s="364" t="s">
        <v>1153</v>
      </c>
      <c r="U3021" s="264"/>
      <c r="V3021" s="463"/>
      <c r="W3021" s="421"/>
      <c r="X3021" s="463"/>
      <c r="Y3021" s="421"/>
      <c r="Z3021" s="421"/>
      <c r="AA3021" s="421"/>
      <c r="AB3021" s="421"/>
      <c r="AC3021" s="421"/>
      <c r="AD3021" s="421"/>
    </row>
    <row r="3022" spans="1:30" s="381" customFormat="1" x14ac:dyDescent="0.4">
      <c r="A3022" s="402">
        <v>46177</v>
      </c>
      <c r="B3022" s="392" t="s">
        <v>473</v>
      </c>
      <c r="C3022" s="375" t="str">
        <f>VLOOKUP(B3022,'112年全品項生產鍋數'!A:H,2,0)</f>
        <v>桑椹果粒茶(1*400G)</v>
      </c>
      <c r="D3022" s="406">
        <v>6</v>
      </c>
      <c r="E3022" s="141">
        <f>VLOOKUP(B3022,'112年全品項生產鍋數'!A:H,3,0)</f>
        <v>0.4</v>
      </c>
      <c r="F3022" s="142">
        <f>VLOOKUP(B3022,'112年全品項生產鍋數'!A:H,7,0)</f>
        <v>366.4</v>
      </c>
      <c r="G3022" s="143">
        <f t="shared" si="476"/>
        <v>2198.3999999999996</v>
      </c>
      <c r="H3022" s="156">
        <v>2213</v>
      </c>
      <c r="I3022" s="374">
        <f t="shared" si="471"/>
        <v>885.2</v>
      </c>
      <c r="J3022" s="100">
        <f t="shared" si="472"/>
        <v>1.0066411935953423</v>
      </c>
      <c r="K3022" s="51">
        <f>VLOOKUP(B:B,'生產達成率(目標)'!A:C,3,0)</f>
        <v>1</v>
      </c>
      <c r="L3022" s="20">
        <f t="shared" si="473"/>
        <v>7.0000000000000001E-3</v>
      </c>
      <c r="M3022" s="137" t="str">
        <f>工時!R2206</f>
        <v>240</v>
      </c>
      <c r="N3022" s="374"/>
      <c r="O3022" s="374">
        <f t="shared" si="474"/>
        <v>10</v>
      </c>
      <c r="P3022" s="156">
        <v>2203</v>
      </c>
      <c r="Q3022" s="145">
        <f t="shared" si="475"/>
        <v>0.99548124717577946</v>
      </c>
      <c r="R3022" s="374"/>
      <c r="S3022" s="378"/>
      <c r="T3022" s="375" t="s">
        <v>1153</v>
      </c>
      <c r="U3022" s="398"/>
      <c r="V3022" s="464"/>
      <c r="W3022" s="423"/>
      <c r="X3022" s="464"/>
      <c r="Y3022" s="423"/>
      <c r="Z3022" s="423"/>
      <c r="AA3022" s="423"/>
      <c r="AB3022" s="423"/>
      <c r="AC3022" s="423"/>
      <c r="AD3022" s="423"/>
    </row>
    <row r="3023" spans="1:30" s="381" customFormat="1" x14ac:dyDescent="0.4">
      <c r="A3023" s="402">
        <v>46177</v>
      </c>
      <c r="B3023" s="392" t="s">
        <v>61</v>
      </c>
      <c r="C3023" s="375" t="str">
        <f>VLOOKUP(B3023,'112年全品項生產鍋數'!A:H,2,0)</f>
        <v>大圓草莓-新</v>
      </c>
      <c r="D3023" s="406">
        <v>20</v>
      </c>
      <c r="E3023" s="141">
        <f>VLOOKUP(B3023,'112年全品項生產鍋數'!A:H,3,0)</f>
        <v>0.44</v>
      </c>
      <c r="F3023" s="142">
        <f>VLOOKUP(B3023,'112年全品項生產鍋數'!A:H,7,0)</f>
        <v>344</v>
      </c>
      <c r="G3023" s="143">
        <f t="shared" si="476"/>
        <v>6880</v>
      </c>
      <c r="H3023" s="156">
        <v>6765</v>
      </c>
      <c r="I3023" s="374">
        <f t="shared" si="471"/>
        <v>2976.6</v>
      </c>
      <c r="J3023" s="100">
        <f t="shared" si="472"/>
        <v>0.98328488372093026</v>
      </c>
      <c r="K3023" s="51">
        <f>VLOOKUP(B:B,'生產達成率(目標)'!A:C,3,0)</f>
        <v>1</v>
      </c>
      <c r="L3023" s="20">
        <f t="shared" si="473"/>
        <v>-1.7000000000000001E-2</v>
      </c>
      <c r="M3023" s="137" t="str">
        <f>工時!R2207</f>
        <v>300</v>
      </c>
      <c r="N3023" s="374"/>
      <c r="O3023" s="374">
        <f t="shared" si="474"/>
        <v>7</v>
      </c>
      <c r="P3023" s="156">
        <v>6758</v>
      </c>
      <c r="Q3023" s="145">
        <f t="shared" si="475"/>
        <v>0.99896526237989658</v>
      </c>
      <c r="R3023" s="374"/>
      <c r="S3023" s="378"/>
      <c r="T3023" s="375"/>
      <c r="U3023" s="398"/>
      <c r="V3023" s="464"/>
      <c r="W3023" s="423"/>
      <c r="X3023" s="464"/>
      <c r="Y3023" s="423"/>
      <c r="Z3023" s="423"/>
      <c r="AA3023" s="423"/>
      <c r="AB3023" s="423"/>
      <c r="AC3023" s="423"/>
      <c r="AD3023" s="423"/>
    </row>
    <row r="3024" spans="1:30" s="361" customFormat="1" x14ac:dyDescent="0.4">
      <c r="A3024" s="402">
        <v>46177</v>
      </c>
      <c r="B3024" s="392" t="s">
        <v>1162</v>
      </c>
      <c r="C3024" s="364" t="str">
        <f>VLOOKUP(B3024,'112年全品項生產鍋數'!A:H,2,0)</f>
        <v>藍莓餡(1*6KG)</v>
      </c>
      <c r="D3024" s="404">
        <v>24</v>
      </c>
      <c r="E3024" s="48">
        <f>VLOOKUP(B3024,'112年全品項生產鍋數'!A:H,3,0)</f>
        <v>6</v>
      </c>
      <c r="F3024" s="142">
        <f>VLOOKUP(B3024,'112年全品項生產鍋數'!A:H,7,0)</f>
        <v>25.4</v>
      </c>
      <c r="G3024" s="143">
        <f t="shared" si="476"/>
        <v>609.59999999999991</v>
      </c>
      <c r="H3024" s="156">
        <f>313+313</f>
        <v>626</v>
      </c>
      <c r="I3024" s="371">
        <f t="shared" si="471"/>
        <v>3756</v>
      </c>
      <c r="J3024" s="100">
        <f t="shared" si="472"/>
        <v>1.0269028871391077</v>
      </c>
      <c r="K3024" s="51" t="e">
        <f>VLOOKUP(B:B,'生產達成率(目標)'!A:C,3,0)</f>
        <v>#N/A</v>
      </c>
      <c r="L3024" s="20" t="e">
        <f t="shared" si="473"/>
        <v>#N/A</v>
      </c>
      <c r="M3024" s="137" t="str">
        <f>工時!R2208</f>
        <v>390</v>
      </c>
      <c r="N3024" s="374"/>
      <c r="O3024" s="374">
        <f t="shared" si="474"/>
        <v>4</v>
      </c>
      <c r="P3024" s="156">
        <f>311+311</f>
        <v>622</v>
      </c>
      <c r="Q3024" s="98">
        <f t="shared" si="475"/>
        <v>0.99361022364217255</v>
      </c>
      <c r="R3024" s="371"/>
      <c r="S3024" s="372"/>
      <c r="T3024" s="364"/>
      <c r="U3024" s="264"/>
      <c r="V3024" s="463"/>
      <c r="W3024" s="421"/>
      <c r="X3024" s="463"/>
      <c r="Y3024" s="421"/>
      <c r="Z3024" s="421"/>
      <c r="AA3024" s="421"/>
      <c r="AB3024" s="421"/>
      <c r="AC3024" s="421"/>
      <c r="AD3024" s="421"/>
    </row>
    <row r="3025" spans="1:30" s="361" customFormat="1" x14ac:dyDescent="0.4">
      <c r="A3025" s="402">
        <v>46177</v>
      </c>
      <c r="B3025" s="392" t="s">
        <v>1667</v>
      </c>
      <c r="C3025" s="364" t="str">
        <f>VLOOKUP(B3025,'112年全品項生產鍋數'!A:H,2,0)</f>
        <v>楊枝甘露餡(1*6Kg)</v>
      </c>
      <c r="D3025" s="404">
        <v>12</v>
      </c>
      <c r="E3025" s="48">
        <f>VLOOKUP(B3025,'112年全品項生產鍋數'!A:H,3,0)</f>
        <v>6</v>
      </c>
      <c r="F3025" s="142">
        <f>VLOOKUP(B3025,'112年全品項生產鍋數'!A:H,7,0)</f>
        <v>0</v>
      </c>
      <c r="G3025" s="143">
        <f t="shared" si="476"/>
        <v>0</v>
      </c>
      <c r="H3025" s="156">
        <v>318</v>
      </c>
      <c r="I3025" s="371">
        <f t="shared" si="471"/>
        <v>1908</v>
      </c>
      <c r="J3025" s="100" t="str">
        <f t="shared" si="472"/>
        <v>無法預估數據</v>
      </c>
      <c r="K3025" s="51">
        <f>VLOOKUP(B:B,'生產達成率(目標)'!A:C,3,0)</f>
        <v>1</v>
      </c>
      <c r="L3025" s="20" t="str">
        <f t="shared" si="473"/>
        <v>無法預估數據</v>
      </c>
      <c r="M3025" s="137" t="str">
        <f>工時!R2209</f>
        <v>205</v>
      </c>
      <c r="N3025" s="374"/>
      <c r="O3025" s="374">
        <f t="shared" si="474"/>
        <v>2</v>
      </c>
      <c r="P3025" s="156">
        <v>316</v>
      </c>
      <c r="Q3025" s="98">
        <f t="shared" si="475"/>
        <v>0.99371069182389937</v>
      </c>
      <c r="R3025" s="371"/>
      <c r="S3025" s="372"/>
      <c r="T3025" s="364" t="s">
        <v>1163</v>
      </c>
      <c r="U3025" s="264"/>
      <c r="V3025" s="463"/>
      <c r="W3025" s="421"/>
      <c r="X3025" s="463"/>
      <c r="Y3025" s="421"/>
      <c r="Z3025" s="421"/>
      <c r="AA3025" s="421"/>
      <c r="AB3025" s="421"/>
      <c r="AC3025" s="421"/>
      <c r="AD3025" s="421"/>
    </row>
    <row r="3026" spans="1:30" s="361" customFormat="1" x14ac:dyDescent="0.4">
      <c r="A3026" s="402">
        <v>46177</v>
      </c>
      <c r="B3026" s="392" t="s">
        <v>108</v>
      </c>
      <c r="C3026" s="364" t="str">
        <f>VLOOKUP(B3026,'112年全品項生產鍋數'!A:H,2,0)</f>
        <v>顆粒花生醬(1*12KG)</v>
      </c>
      <c r="D3026" s="404">
        <v>6</v>
      </c>
      <c r="E3026" s="48">
        <f>VLOOKUP(B3026,'112年全品項生產鍋數'!A:H,3,0)</f>
        <v>3</v>
      </c>
      <c r="F3026" s="142">
        <f>VLOOKUP(B3026,'112年全品項生產鍋數'!A:H,7,0)</f>
        <v>31.6</v>
      </c>
      <c r="G3026" s="143">
        <f t="shared" si="476"/>
        <v>189.60000000000002</v>
      </c>
      <c r="H3026" s="156">
        <v>184</v>
      </c>
      <c r="I3026" s="371">
        <f t="shared" si="471"/>
        <v>552</v>
      </c>
      <c r="J3026" s="100">
        <f t="shared" si="472"/>
        <v>0.97046413502109696</v>
      </c>
      <c r="K3026" s="51">
        <f>VLOOKUP(B:B,'生產達成率(目標)'!A:C,3,0)</f>
        <v>1</v>
      </c>
      <c r="L3026" s="20">
        <f t="shared" si="473"/>
        <v>-0.03</v>
      </c>
      <c r="M3026" s="137" t="str">
        <f>工時!R2210</f>
        <v>240</v>
      </c>
      <c r="N3026" s="374"/>
      <c r="O3026" s="374">
        <f t="shared" si="474"/>
        <v>0</v>
      </c>
      <c r="P3026" s="156">
        <v>184</v>
      </c>
      <c r="Q3026" s="98">
        <f t="shared" si="475"/>
        <v>1</v>
      </c>
      <c r="R3026" s="371"/>
      <c r="S3026" s="372"/>
      <c r="T3026" s="364" t="s">
        <v>1153</v>
      </c>
      <c r="U3026" s="264"/>
      <c r="V3026" s="463"/>
      <c r="W3026" s="421"/>
      <c r="X3026" s="463"/>
      <c r="Y3026" s="421"/>
      <c r="Z3026" s="421"/>
      <c r="AA3026" s="421"/>
      <c r="AB3026" s="421"/>
      <c r="AC3026" s="421"/>
      <c r="AD3026" s="421"/>
    </row>
    <row r="3027" spans="1:30" s="361" customFormat="1" x14ac:dyDescent="0.4">
      <c r="A3027" s="402">
        <v>46178</v>
      </c>
      <c r="B3027" s="392" t="s">
        <v>71</v>
      </c>
      <c r="C3027" s="364" t="str">
        <f>VLOOKUP(B3027,'112年全品項生產鍋數'!A:H,2,0)</f>
        <v>＃1草莓(1*3.2kg)</v>
      </c>
      <c r="D3027" s="404">
        <v>40</v>
      </c>
      <c r="E3027" s="48">
        <f>VLOOKUP(B3027,'112年全品項生產鍋數'!A:H,3,0)</f>
        <v>3.2</v>
      </c>
      <c r="F3027" s="142">
        <f>VLOOKUP(B3027,'112年全品項生產鍋數'!A:H,7,0)</f>
        <v>46.8</v>
      </c>
      <c r="G3027" s="143">
        <f t="shared" si="476"/>
        <v>1872</v>
      </c>
      <c r="H3027" s="156">
        <v>1834</v>
      </c>
      <c r="I3027" s="371">
        <f t="shared" si="471"/>
        <v>5868.8</v>
      </c>
      <c r="J3027" s="100">
        <f t="shared" si="472"/>
        <v>0.97970085470085466</v>
      </c>
      <c r="K3027" s="51">
        <f>VLOOKUP(B:B,'生產達成率(目標)'!A:C,3,0)</f>
        <v>1</v>
      </c>
      <c r="L3027" s="20">
        <f t="shared" si="473"/>
        <v>-0.02</v>
      </c>
      <c r="M3027" s="137" t="str">
        <f>工時!R2211</f>
        <v>600</v>
      </c>
      <c r="N3027" s="374"/>
      <c r="O3027" s="374">
        <f t="shared" si="474"/>
        <v>3</v>
      </c>
      <c r="P3027" s="156">
        <v>1831</v>
      </c>
      <c r="Q3027" s="98">
        <f t="shared" si="475"/>
        <v>0.99836423118865869</v>
      </c>
      <c r="R3027" s="371"/>
      <c r="S3027" s="372"/>
      <c r="T3027" s="364" t="s">
        <v>1153</v>
      </c>
      <c r="U3027" s="264"/>
      <c r="V3027" s="463"/>
      <c r="W3027" s="421"/>
      <c r="X3027" s="463"/>
      <c r="Y3027" s="421"/>
      <c r="Z3027" s="421"/>
      <c r="AA3027" s="421"/>
      <c r="AB3027" s="421"/>
      <c r="AC3027" s="421"/>
      <c r="AD3027" s="421"/>
    </row>
    <row r="3028" spans="1:30" s="361" customFormat="1" x14ac:dyDescent="0.4">
      <c r="A3028" s="402">
        <v>46178</v>
      </c>
      <c r="B3028" s="392" t="s">
        <v>63</v>
      </c>
      <c r="C3028" s="364" t="str">
        <f>VLOOKUP(B3028,'112年全品項生產鍋數'!A:H,2,0)</f>
        <v>草莓蒟蒻餡(1*6kg)</v>
      </c>
      <c r="D3028" s="404">
        <v>20</v>
      </c>
      <c r="E3028" s="48">
        <f>VLOOKUP(B3028,'112年全品項生產鍋數'!A:H,3,0)</f>
        <v>6</v>
      </c>
      <c r="F3028" s="142">
        <f>VLOOKUP(B3028,'112年全品項生產鍋數'!A:H,7,0)</f>
        <v>25.7</v>
      </c>
      <c r="G3028" s="143">
        <f t="shared" si="476"/>
        <v>514</v>
      </c>
      <c r="H3028" s="156">
        <f>306+206</f>
        <v>512</v>
      </c>
      <c r="I3028" s="371">
        <f t="shared" si="471"/>
        <v>3072</v>
      </c>
      <c r="J3028" s="100">
        <f t="shared" si="472"/>
        <v>0.99610894941634243</v>
      </c>
      <c r="K3028" s="51">
        <f>VLOOKUP(B:B,'生產達成率(目標)'!A:C,3,0)</f>
        <v>1</v>
      </c>
      <c r="L3028" s="20">
        <f t="shared" si="473"/>
        <v>-4.0000000000000001E-3</v>
      </c>
      <c r="M3028" s="137" t="str">
        <f>工時!R2212</f>
        <v>305</v>
      </c>
      <c r="N3028" s="374"/>
      <c r="O3028" s="374">
        <f t="shared" si="474"/>
        <v>2</v>
      </c>
      <c r="P3028" s="156">
        <f>304+206</f>
        <v>510</v>
      </c>
      <c r="Q3028" s="98">
        <f t="shared" si="475"/>
        <v>0.99609375</v>
      </c>
      <c r="R3028" s="371"/>
      <c r="S3028" s="372"/>
      <c r="T3028" s="364"/>
      <c r="U3028" s="264"/>
      <c r="V3028" s="463"/>
      <c r="W3028" s="421"/>
      <c r="X3028" s="463"/>
      <c r="Y3028" s="421"/>
      <c r="Z3028" s="421"/>
      <c r="AA3028" s="421"/>
      <c r="AB3028" s="421"/>
      <c r="AC3028" s="421"/>
      <c r="AD3028" s="421"/>
    </row>
    <row r="3029" spans="1:30" s="361" customFormat="1" x14ac:dyDescent="0.4">
      <c r="A3029" s="402">
        <v>46178</v>
      </c>
      <c r="B3029" s="392" t="s">
        <v>64</v>
      </c>
      <c r="C3029" s="364" t="str">
        <f>VLOOKUP(B3029,'112年全品項生產鍋數'!A:H,2,0)</f>
        <v>藍莓餡(1*6KG)</v>
      </c>
      <c r="D3029" s="404">
        <v>16</v>
      </c>
      <c r="E3029" s="48">
        <f>VLOOKUP(B3029,'112年全品項生產鍋數'!A:H,3,0)</f>
        <v>6</v>
      </c>
      <c r="F3029" s="142">
        <f>VLOOKUP(B3029,'112年全品項生產鍋數'!A:H,7,0)</f>
        <v>25.4</v>
      </c>
      <c r="G3029" s="143">
        <f t="shared" si="476"/>
        <v>406.4</v>
      </c>
      <c r="H3029" s="156">
        <f>198+207</f>
        <v>405</v>
      </c>
      <c r="I3029" s="371">
        <f t="shared" si="471"/>
        <v>2430</v>
      </c>
      <c r="J3029" s="100">
        <f t="shared" si="472"/>
        <v>0.99655511811023623</v>
      </c>
      <c r="K3029" s="51">
        <f>VLOOKUP(B:B,'生產達成率(目標)'!A:C,3,0)</f>
        <v>1</v>
      </c>
      <c r="L3029" s="20">
        <f t="shared" si="473"/>
        <v>-3.0000000000000001E-3</v>
      </c>
      <c r="M3029" s="137" t="str">
        <f>工時!R2213</f>
        <v>255</v>
      </c>
      <c r="N3029" s="374"/>
      <c r="O3029" s="374">
        <f t="shared" si="474"/>
        <v>188</v>
      </c>
      <c r="P3029" s="156">
        <f>197+20</f>
        <v>217</v>
      </c>
      <c r="Q3029" s="98">
        <f t="shared" si="475"/>
        <v>0.53580246913580243</v>
      </c>
      <c r="R3029" s="371"/>
      <c r="S3029" s="372"/>
      <c r="T3029" s="364"/>
      <c r="U3029" s="264"/>
      <c r="V3029" s="463"/>
      <c r="W3029" s="421"/>
      <c r="X3029" s="463"/>
      <c r="Y3029" s="421"/>
      <c r="Z3029" s="421"/>
      <c r="AA3029" s="421"/>
      <c r="AB3029" s="421"/>
      <c r="AC3029" s="421"/>
      <c r="AD3029" s="421"/>
    </row>
    <row r="3030" spans="1:30" s="381" customFormat="1" x14ac:dyDescent="0.4">
      <c r="A3030" s="402">
        <v>46178</v>
      </c>
      <c r="B3030" s="392" t="s">
        <v>65</v>
      </c>
      <c r="C3030" s="375" t="str">
        <f>VLOOKUP(B3030,'112年全品項生產鍋數'!A:H,2,0)</f>
        <v>＃1花生(1*2.8kg)</v>
      </c>
      <c r="D3030" s="406">
        <v>60</v>
      </c>
      <c r="E3030" s="141">
        <f>VLOOKUP(B3030,'112年全品項生產鍋數'!A:H,3,0)</f>
        <v>2.8</v>
      </c>
      <c r="F3030" s="142">
        <f>VLOOKUP(B3030,'112年全品項生產鍋數'!A:H,7,0)</f>
        <v>44.5</v>
      </c>
      <c r="G3030" s="143">
        <f t="shared" si="476"/>
        <v>2670</v>
      </c>
      <c r="H3030" s="156">
        <v>2743</v>
      </c>
      <c r="I3030" s="374">
        <f t="shared" si="471"/>
        <v>7680.4</v>
      </c>
      <c r="J3030" s="100">
        <f t="shared" si="472"/>
        <v>1.0273408239700375</v>
      </c>
      <c r="K3030" s="51">
        <f>VLOOKUP(B:B,'生產達成率(目標)'!A:C,3,0)</f>
        <v>1</v>
      </c>
      <c r="L3030" s="20">
        <f t="shared" si="473"/>
        <v>2.7E-2</v>
      </c>
      <c r="M3030" s="137" t="str">
        <f>工時!R2214</f>
        <v>470</v>
      </c>
      <c r="N3030" s="374"/>
      <c r="O3030" s="374">
        <f t="shared" si="474"/>
        <v>1</v>
      </c>
      <c r="P3030" s="156">
        <v>2742</v>
      </c>
      <c r="Q3030" s="145">
        <f t="shared" si="475"/>
        <v>0.99963543565439295</v>
      </c>
      <c r="R3030" s="374"/>
      <c r="S3030" s="378"/>
      <c r="T3030" s="375" t="s">
        <v>1153</v>
      </c>
      <c r="U3030" s="398"/>
      <c r="V3030" s="464"/>
      <c r="W3030" s="421"/>
      <c r="X3030" s="464"/>
      <c r="Y3030" s="421"/>
      <c r="Z3030" s="421"/>
      <c r="AA3030" s="421"/>
      <c r="AB3030" s="421"/>
      <c r="AC3030" s="421"/>
      <c r="AD3030" s="421"/>
    </row>
    <row r="3031" spans="1:30" s="361" customFormat="1" x14ac:dyDescent="0.4">
      <c r="A3031" s="402">
        <v>46181</v>
      </c>
      <c r="B3031" s="392" t="s">
        <v>86</v>
      </c>
      <c r="C3031" s="364" t="str">
        <f>VLOOKUP(B3031,'112年全品項生產鍋數'!A:H,2,0)</f>
        <v>＃2藍莓(1*900g)</v>
      </c>
      <c r="D3031" s="404">
        <v>20</v>
      </c>
      <c r="E3031" s="48">
        <f>VLOOKUP(B3031,'112年全品項生產鍋數'!A:H,3,0)</f>
        <v>0.9</v>
      </c>
      <c r="F3031" s="142">
        <f>VLOOKUP(B3031,'112年全品項生產鍋數'!A:H,7,0)</f>
        <v>163</v>
      </c>
      <c r="G3031" s="143">
        <f t="shared" si="476"/>
        <v>3260</v>
      </c>
      <c r="H3031" s="156">
        <v>3336</v>
      </c>
      <c r="I3031" s="371">
        <f t="shared" si="471"/>
        <v>3002.4</v>
      </c>
      <c r="J3031" s="100">
        <f t="shared" si="472"/>
        <v>1.0233128834355829</v>
      </c>
      <c r="K3031" s="51">
        <f>VLOOKUP(B:B,'生產達成率(目標)'!A:C,3,0)</f>
        <v>1</v>
      </c>
      <c r="L3031" s="20">
        <f t="shared" si="473"/>
        <v>2.3E-2</v>
      </c>
      <c r="M3031" s="137" t="str">
        <f>工時!R2215</f>
        <v>320</v>
      </c>
      <c r="N3031" s="374"/>
      <c r="O3031" s="374">
        <f t="shared" si="474"/>
        <v>2</v>
      </c>
      <c r="P3031" s="156">
        <v>3334</v>
      </c>
      <c r="Q3031" s="98">
        <f t="shared" si="475"/>
        <v>0.99940047961630696</v>
      </c>
      <c r="R3031" s="371"/>
      <c r="S3031" s="372"/>
      <c r="T3031" s="364" t="s">
        <v>1153</v>
      </c>
      <c r="U3031" s="264"/>
      <c r="V3031" s="463"/>
      <c r="W3031" s="421"/>
      <c r="X3031" s="463"/>
      <c r="Y3031" s="421"/>
      <c r="Z3031" s="421"/>
      <c r="AA3031" s="421"/>
      <c r="AB3031" s="421"/>
      <c r="AC3031" s="421"/>
      <c r="AD3031" s="421"/>
    </row>
    <row r="3032" spans="1:30" s="361" customFormat="1" x14ac:dyDescent="0.4">
      <c r="A3032" s="402">
        <v>46181</v>
      </c>
      <c r="B3032" s="392" t="s">
        <v>87</v>
      </c>
      <c r="C3032" s="364" t="str">
        <f>VLOOKUP(B3032,'112年全品項生產鍋數'!A:H,2,0)</f>
        <v>＃1藍莓(1*3.2kg)</v>
      </c>
      <c r="D3032" s="404">
        <v>32</v>
      </c>
      <c r="E3032" s="48">
        <f>VLOOKUP(B3032,'112年全品項生產鍋數'!A:H,3,0)</f>
        <v>3.2</v>
      </c>
      <c r="F3032" s="142">
        <f>VLOOKUP(B3032,'112年全品項生產鍋數'!A:H,7,0)</f>
        <v>47.5</v>
      </c>
      <c r="G3032" s="143">
        <f t="shared" si="476"/>
        <v>1520</v>
      </c>
      <c r="H3032" s="156">
        <v>1467</v>
      </c>
      <c r="I3032" s="371">
        <f t="shared" si="471"/>
        <v>4694.4000000000005</v>
      </c>
      <c r="J3032" s="100">
        <f t="shared" si="472"/>
        <v>0.96513157894736845</v>
      </c>
      <c r="K3032" s="51">
        <f>VLOOKUP(B:B,'生產達成率(目標)'!A:C,3,0)</f>
        <v>1</v>
      </c>
      <c r="L3032" s="20">
        <f t="shared" si="473"/>
        <v>-3.5000000000000003E-2</v>
      </c>
      <c r="M3032" s="137" t="str">
        <f>工時!R2216</f>
        <v>300</v>
      </c>
      <c r="N3032" s="374"/>
      <c r="O3032" s="374">
        <f t="shared" si="474"/>
        <v>1</v>
      </c>
      <c r="P3032" s="156">
        <v>1466</v>
      </c>
      <c r="Q3032" s="98">
        <f t="shared" si="475"/>
        <v>0.9993183367416496</v>
      </c>
      <c r="R3032" s="371"/>
      <c r="S3032" s="372"/>
      <c r="T3032" s="364" t="s">
        <v>1153</v>
      </c>
      <c r="U3032" s="264"/>
      <c r="V3032" s="463"/>
      <c r="W3032" s="421"/>
      <c r="X3032" s="463"/>
      <c r="Y3032" s="421"/>
      <c r="Z3032" s="421"/>
      <c r="AA3032" s="421"/>
      <c r="AB3032" s="421"/>
      <c r="AC3032" s="421"/>
      <c r="AD3032" s="421"/>
    </row>
    <row r="3033" spans="1:30" s="361" customFormat="1" x14ac:dyDescent="0.4">
      <c r="A3033" s="402">
        <v>46181</v>
      </c>
      <c r="B3033" s="392" t="s">
        <v>63</v>
      </c>
      <c r="C3033" s="364" t="str">
        <f>VLOOKUP(B3033,'112年全品項生產鍋數'!A:H,2,0)</f>
        <v>草莓蒟蒻餡(1*6kg)</v>
      </c>
      <c r="D3033" s="404">
        <v>24</v>
      </c>
      <c r="E3033" s="48">
        <f>VLOOKUP(B3033,'112年全品項生產鍋數'!A:H,3,0)</f>
        <v>6</v>
      </c>
      <c r="F3033" s="142">
        <f>VLOOKUP(B3033,'112年全品項生產鍋數'!A:H,7,0)</f>
        <v>25.7</v>
      </c>
      <c r="G3033" s="143">
        <f t="shared" si="476"/>
        <v>616.79999999999995</v>
      </c>
      <c r="H3033" s="156">
        <f>302+316</f>
        <v>618</v>
      </c>
      <c r="I3033" s="371">
        <f t="shared" si="471"/>
        <v>3708</v>
      </c>
      <c r="J3033" s="100">
        <f t="shared" si="472"/>
        <v>1.0019455252918288</v>
      </c>
      <c r="K3033" s="51">
        <f>VLOOKUP(B:B,'生產達成率(目標)'!A:C,3,0)</f>
        <v>1</v>
      </c>
      <c r="L3033" s="20">
        <f t="shared" si="473"/>
        <v>2E-3</v>
      </c>
      <c r="M3033" s="137" t="str">
        <f>工時!R2217</f>
        <v>346</v>
      </c>
      <c r="N3033" s="374"/>
      <c r="O3033" s="374">
        <f t="shared" si="474"/>
        <v>1</v>
      </c>
      <c r="P3033" s="156">
        <f>301+316</f>
        <v>617</v>
      </c>
      <c r="Q3033" s="98">
        <f t="shared" si="475"/>
        <v>0.99838187702265369</v>
      </c>
      <c r="R3033" s="371"/>
      <c r="S3033" s="372"/>
      <c r="T3033" s="364"/>
      <c r="U3033" s="264"/>
      <c r="V3033" s="463"/>
      <c r="W3033" s="421"/>
      <c r="X3033" s="463"/>
      <c r="Y3033" s="421"/>
      <c r="Z3033" s="421"/>
      <c r="AA3033" s="421"/>
      <c r="AB3033" s="421"/>
      <c r="AC3033" s="421"/>
      <c r="AD3033" s="421"/>
    </row>
    <row r="3034" spans="1:30" s="361" customFormat="1" x14ac:dyDescent="0.4">
      <c r="A3034" s="402">
        <v>46181</v>
      </c>
      <c r="B3034" s="392" t="s">
        <v>1046</v>
      </c>
      <c r="C3034" s="364" t="str">
        <f>VLOOKUP(B3034,'112年全品項生產鍋數'!A:H,2,0)</f>
        <v>藍莓顆粒果醬(1*6kg)</v>
      </c>
      <c r="D3034" s="404">
        <v>12</v>
      </c>
      <c r="E3034" s="48">
        <f>VLOOKUP(B3034,'112年全品項生產鍋數'!A:H,3,0)</f>
        <v>6</v>
      </c>
      <c r="F3034" s="142">
        <f>VLOOKUP(B3034,'112年全品項生產鍋數'!A:H,7,0)</f>
        <v>0</v>
      </c>
      <c r="G3034" s="143">
        <f t="shared" si="476"/>
        <v>0</v>
      </c>
      <c r="H3034" s="156">
        <v>309</v>
      </c>
      <c r="I3034" s="371">
        <f t="shared" si="471"/>
        <v>1854</v>
      </c>
      <c r="J3034" s="100" t="str">
        <f t="shared" si="472"/>
        <v>無法預估數據</v>
      </c>
      <c r="K3034" s="51">
        <f>VLOOKUP(B:B,'生產達成率(目標)'!A:C,3,0)</f>
        <v>1</v>
      </c>
      <c r="L3034" s="20" t="str">
        <f t="shared" si="473"/>
        <v>無法預估數據</v>
      </c>
      <c r="M3034" s="137" t="str">
        <f>工時!R2218</f>
        <v>200</v>
      </c>
      <c r="N3034" s="374"/>
      <c r="O3034" s="374">
        <f t="shared" si="474"/>
        <v>2</v>
      </c>
      <c r="P3034" s="156">
        <v>307</v>
      </c>
      <c r="Q3034" s="98">
        <f t="shared" si="475"/>
        <v>0.99352750809061485</v>
      </c>
      <c r="R3034" s="371"/>
      <c r="S3034" s="372"/>
      <c r="T3034" s="364" t="s">
        <v>1153</v>
      </c>
      <c r="U3034" s="264"/>
      <c r="V3034" s="463"/>
      <c r="W3034" s="421"/>
      <c r="X3034" s="463"/>
      <c r="Y3034" s="421"/>
      <c r="Z3034" s="421"/>
      <c r="AA3034" s="421"/>
      <c r="AB3034" s="421"/>
      <c r="AC3034" s="421"/>
      <c r="AD3034" s="421"/>
    </row>
    <row r="3035" spans="1:30" s="361" customFormat="1" x14ac:dyDescent="0.4">
      <c r="A3035" s="402">
        <v>46181</v>
      </c>
      <c r="B3035" s="392" t="s">
        <v>65</v>
      </c>
      <c r="C3035" s="364" t="str">
        <f>VLOOKUP(B3035,'112年全品項生產鍋數'!A:H,2,0)</f>
        <v>＃1花生(1*2.8kg)</v>
      </c>
      <c r="D3035" s="404">
        <v>24</v>
      </c>
      <c r="E3035" s="48">
        <f>VLOOKUP(B3035,'112年全品項生產鍋數'!A:H,3,0)</f>
        <v>2.8</v>
      </c>
      <c r="F3035" s="142">
        <f>VLOOKUP(B3035,'112年全品項生產鍋數'!A:H,7,0)</f>
        <v>44.5</v>
      </c>
      <c r="G3035" s="143">
        <f>D3035*F3035-65*18/2.8</f>
        <v>650.14285714285711</v>
      </c>
      <c r="H3035" s="156">
        <v>685</v>
      </c>
      <c r="I3035" s="371">
        <f t="shared" si="471"/>
        <v>1917.9999999999998</v>
      </c>
      <c r="J3035" s="100">
        <f t="shared" si="472"/>
        <v>1.0536145901999561</v>
      </c>
      <c r="K3035" s="51">
        <f>VLOOKUP(B:B,'生產達成率(目標)'!A:C,3,0)</f>
        <v>1</v>
      </c>
      <c r="L3035" s="20">
        <f t="shared" si="473"/>
        <v>5.3999999999999999E-2</v>
      </c>
      <c r="M3035" s="137" t="str">
        <f>工時!R2219</f>
        <v>220</v>
      </c>
      <c r="N3035" s="374"/>
      <c r="O3035" s="374">
        <f t="shared" si="474"/>
        <v>1</v>
      </c>
      <c r="P3035" s="156">
        <v>684</v>
      </c>
      <c r="Q3035" s="98">
        <f t="shared" si="475"/>
        <v>0.99854014598540142</v>
      </c>
      <c r="R3035" s="371"/>
      <c r="S3035" s="372"/>
      <c r="T3035" s="364" t="s">
        <v>1716</v>
      </c>
      <c r="U3035" s="264"/>
      <c r="V3035" s="463"/>
      <c r="W3035" s="421"/>
      <c r="X3035" s="463"/>
      <c r="Y3035" s="421"/>
      <c r="Z3035" s="421"/>
      <c r="AA3035" s="421"/>
      <c r="AB3035" s="421"/>
      <c r="AC3035" s="421"/>
      <c r="AD3035" s="421"/>
    </row>
    <row r="3036" spans="1:30" s="381" customFormat="1" x14ac:dyDescent="0.4">
      <c r="A3036" s="402">
        <v>46181</v>
      </c>
      <c r="B3036" s="392" t="s">
        <v>96</v>
      </c>
      <c r="C3036" s="375" t="str">
        <f>VLOOKUP(B3036,'112年全品項生產鍋數'!A:H,2,0)</f>
        <v>PET瓶花生(1*340g)</v>
      </c>
      <c r="D3036" s="406">
        <v>12</v>
      </c>
      <c r="E3036" s="141">
        <f>VLOOKUP(B3036,'112年全品項生產鍋數'!A:H,3,0)</f>
        <v>0.34</v>
      </c>
      <c r="F3036" s="142">
        <f>VLOOKUP(B3036,'112年全品項生產鍋數'!A:H,7,0)</f>
        <v>358.3</v>
      </c>
      <c r="G3036" s="143">
        <f t="shared" si="476"/>
        <v>4299.6000000000004</v>
      </c>
      <c r="H3036" s="156">
        <v>4352</v>
      </c>
      <c r="I3036" s="374">
        <f t="shared" si="471"/>
        <v>1479.68</v>
      </c>
      <c r="J3036" s="100">
        <f t="shared" si="472"/>
        <v>1.0121871802028095</v>
      </c>
      <c r="K3036" s="51">
        <f>VLOOKUP(B:B,'生產達成率(目標)'!A:C,3,0)</f>
        <v>1</v>
      </c>
      <c r="L3036" s="20">
        <f t="shared" si="473"/>
        <v>1.2E-2</v>
      </c>
      <c r="M3036" s="137" t="str">
        <f>工時!R2220</f>
        <v>245</v>
      </c>
      <c r="N3036" s="374"/>
      <c r="O3036" s="374">
        <f t="shared" si="474"/>
        <v>3</v>
      </c>
      <c r="P3036" s="156">
        <v>4349</v>
      </c>
      <c r="Q3036" s="145">
        <f t="shared" si="475"/>
        <v>0.99931066176470584</v>
      </c>
      <c r="R3036" s="374"/>
      <c r="S3036" s="378"/>
      <c r="T3036" s="375"/>
      <c r="U3036" s="398"/>
      <c r="V3036" s="464"/>
      <c r="W3036" s="423"/>
      <c r="X3036" s="464"/>
      <c r="Y3036" s="423"/>
      <c r="Z3036" s="423"/>
      <c r="AA3036" s="423"/>
      <c r="AB3036" s="423"/>
      <c r="AC3036" s="423"/>
      <c r="AD3036" s="423"/>
    </row>
    <row r="3037" spans="1:30" s="361" customFormat="1" x14ac:dyDescent="0.4">
      <c r="A3037" s="402">
        <v>46181</v>
      </c>
      <c r="B3037" s="392" t="s">
        <v>431</v>
      </c>
      <c r="C3037" s="364" t="str">
        <f>VLOOKUP(B3037,'112年全品項生產鍋數'!A:H,2,0)</f>
        <v>文旦丁</v>
      </c>
      <c r="D3037" s="404">
        <v>2</v>
      </c>
      <c r="E3037" s="48">
        <f>VLOOKUP(B3037,'112年全品項生產鍋數'!A:H,3,0)</f>
        <v>1</v>
      </c>
      <c r="F3037" s="142">
        <f>VLOOKUP(B3037,'112年全品項生產鍋數'!A:H,7,0)</f>
        <v>243</v>
      </c>
      <c r="G3037" s="143">
        <f t="shared" si="476"/>
        <v>486</v>
      </c>
      <c r="H3037" s="156">
        <v>488</v>
      </c>
      <c r="I3037" s="371">
        <f t="shared" si="471"/>
        <v>488</v>
      </c>
      <c r="J3037" s="100">
        <f t="shared" si="472"/>
        <v>1.0041152263374487</v>
      </c>
      <c r="K3037" s="51">
        <f>VLOOKUP(B:B,'生產達成率(目標)'!A:C,3,0)</f>
        <v>1</v>
      </c>
      <c r="L3037" s="20">
        <f t="shared" si="473"/>
        <v>4.0000000000000001E-3</v>
      </c>
      <c r="M3037" s="137" t="str">
        <f>工時!R2221</f>
        <v>0</v>
      </c>
      <c r="N3037" s="374"/>
      <c r="O3037" s="374">
        <f t="shared" si="474"/>
        <v>1</v>
      </c>
      <c r="P3037" s="156">
        <v>487</v>
      </c>
      <c r="Q3037" s="98">
        <f t="shared" si="475"/>
        <v>0.99795081967213117</v>
      </c>
      <c r="R3037" s="371"/>
      <c r="S3037" s="372"/>
      <c r="T3037" s="364" t="s">
        <v>1153</v>
      </c>
      <c r="U3037" s="264"/>
      <c r="V3037" s="463"/>
      <c r="W3037" s="421"/>
      <c r="X3037" s="463"/>
      <c r="Y3037" s="421"/>
      <c r="Z3037" s="421"/>
      <c r="AA3037" s="421"/>
      <c r="AB3037" s="421"/>
      <c r="AC3037" s="421"/>
      <c r="AD3037" s="421"/>
    </row>
    <row r="3038" spans="1:30" s="361" customFormat="1" x14ac:dyDescent="0.4">
      <c r="A3038" s="402">
        <v>46182</v>
      </c>
      <c r="B3038" s="392" t="s">
        <v>54</v>
      </c>
      <c r="C3038" s="364" t="str">
        <f>VLOOKUP(B3038,'112年全品項生產鍋數'!A:H,2,0)</f>
        <v>草莓醬(1*6kg)</v>
      </c>
      <c r="D3038" s="404">
        <v>28</v>
      </c>
      <c r="E3038" s="48">
        <f>VLOOKUP(B3038,'112年全品項生產鍋數'!A:H,3,0)</f>
        <v>6</v>
      </c>
      <c r="F3038" s="142">
        <f>VLOOKUP(B3038,'112年全品項生產鍋數'!A:H,7,0)</f>
        <v>26.6</v>
      </c>
      <c r="G3038" s="143">
        <f t="shared" si="476"/>
        <v>744.80000000000007</v>
      </c>
      <c r="H3038" s="156">
        <v>738</v>
      </c>
      <c r="I3038" s="371">
        <f t="shared" si="471"/>
        <v>4428</v>
      </c>
      <c r="J3038" s="100">
        <f t="shared" si="472"/>
        <v>0.99087003222341563</v>
      </c>
      <c r="K3038" s="51">
        <f>VLOOKUP(B:B,'生產達成率(目標)'!A:C,3,0)</f>
        <v>1</v>
      </c>
      <c r="L3038" s="20">
        <f t="shared" si="473"/>
        <v>-8.9999999999999993E-3</v>
      </c>
      <c r="M3038" s="137" t="str">
        <f>工時!R2222</f>
        <v>390</v>
      </c>
      <c r="N3038" s="374"/>
      <c r="O3038" s="374">
        <f t="shared" si="474"/>
        <v>4</v>
      </c>
      <c r="P3038" s="156">
        <v>734</v>
      </c>
      <c r="Q3038" s="98">
        <f t="shared" si="475"/>
        <v>0.99457994579945797</v>
      </c>
      <c r="R3038" s="371"/>
      <c r="S3038" s="372"/>
      <c r="T3038" s="364" t="s">
        <v>1153</v>
      </c>
      <c r="U3038" s="264"/>
      <c r="V3038" s="463"/>
      <c r="W3038" s="421"/>
      <c r="X3038" s="463"/>
      <c r="Y3038" s="421">
        <v>46185</v>
      </c>
      <c r="Z3038" s="421"/>
      <c r="AA3038" s="421"/>
      <c r="AB3038" s="421"/>
      <c r="AC3038" s="421"/>
      <c r="AD3038" s="421"/>
    </row>
    <row r="3039" spans="1:30" s="361" customFormat="1" x14ac:dyDescent="0.4">
      <c r="A3039" s="402">
        <v>46182</v>
      </c>
      <c r="B3039" s="392" t="s">
        <v>64</v>
      </c>
      <c r="C3039" s="364" t="str">
        <f>VLOOKUP(B3039,'112年全品項生產鍋數'!A:H,2,0)</f>
        <v>藍莓餡(1*6KG)</v>
      </c>
      <c r="D3039" s="404">
        <v>8</v>
      </c>
      <c r="E3039" s="48">
        <f>VLOOKUP(B3039,'112年全品項生產鍋數'!A:H,3,0)</f>
        <v>6</v>
      </c>
      <c r="F3039" s="142">
        <f>VLOOKUP(B3039,'112年全品項生產鍋數'!A:H,7,0)</f>
        <v>25.4</v>
      </c>
      <c r="G3039" s="143">
        <f t="shared" si="476"/>
        <v>203.2</v>
      </c>
      <c r="H3039" s="156">
        <v>197</v>
      </c>
      <c r="I3039" s="371">
        <f t="shared" si="471"/>
        <v>1182</v>
      </c>
      <c r="J3039" s="100">
        <f t="shared" si="472"/>
        <v>0.96948818897637801</v>
      </c>
      <c r="K3039" s="51">
        <f>VLOOKUP(B:B,'生產達成率(目標)'!A:C,3,0)</f>
        <v>1</v>
      </c>
      <c r="L3039" s="20">
        <f t="shared" si="473"/>
        <v>-3.1E-2</v>
      </c>
      <c r="M3039" s="137" t="str">
        <f>工時!R2223</f>
        <v>162</v>
      </c>
      <c r="N3039" s="374"/>
      <c r="O3039" s="374">
        <f t="shared" si="474"/>
        <v>1</v>
      </c>
      <c r="P3039" s="156">
        <v>196</v>
      </c>
      <c r="Q3039" s="98">
        <f t="shared" si="475"/>
        <v>0.99492385786802029</v>
      </c>
      <c r="R3039" s="371"/>
      <c r="S3039" s="372"/>
      <c r="T3039" s="364"/>
      <c r="U3039" s="264"/>
      <c r="V3039" s="463"/>
      <c r="W3039" s="421"/>
      <c r="X3039" s="463"/>
      <c r="Y3039" s="421">
        <v>46185</v>
      </c>
      <c r="Z3039" s="421"/>
      <c r="AA3039" s="421"/>
      <c r="AB3039" s="421"/>
      <c r="AC3039" s="421"/>
      <c r="AD3039" s="421"/>
    </row>
    <row r="3040" spans="1:30" s="361" customFormat="1" x14ac:dyDescent="0.4">
      <c r="A3040" s="402">
        <v>46182</v>
      </c>
      <c r="B3040" s="392" t="s">
        <v>73</v>
      </c>
      <c r="C3040" s="364" t="str">
        <f>VLOOKUP(B3040,'112年全品項生產鍋數'!A:H,2,0)</f>
        <v>顆粒花生醬(1*12KG)</v>
      </c>
      <c r="D3040" s="404">
        <v>21</v>
      </c>
      <c r="E3040" s="48">
        <f>VLOOKUP(B3040,'112年全品項生產鍋數'!A:H,3,0)</f>
        <v>3</v>
      </c>
      <c r="F3040" s="142">
        <f>VLOOKUP(B3040,'112年全品項生產鍋數'!A:H,7,0)</f>
        <v>29.7</v>
      </c>
      <c r="G3040" s="143">
        <f t="shared" si="476"/>
        <v>623.69999999999993</v>
      </c>
      <c r="H3040" s="156">
        <v>628</v>
      </c>
      <c r="I3040" s="371">
        <f t="shared" si="471"/>
        <v>1884</v>
      </c>
      <c r="J3040" s="100">
        <f t="shared" si="472"/>
        <v>1.0068943402276738</v>
      </c>
      <c r="K3040" s="51">
        <f>VLOOKUP(B:B,'生產達成率(目標)'!A:C,3,0)</f>
        <v>1</v>
      </c>
      <c r="L3040" s="20">
        <f t="shared" si="473"/>
        <v>7.0000000000000001E-3</v>
      </c>
      <c r="M3040" s="137" t="str">
        <f>工時!R2224</f>
        <v>510</v>
      </c>
      <c r="N3040" s="374"/>
      <c r="O3040" s="374">
        <f t="shared" si="474"/>
        <v>0</v>
      </c>
      <c r="P3040" s="156">
        <v>628</v>
      </c>
      <c r="Q3040" s="98">
        <f t="shared" si="475"/>
        <v>1</v>
      </c>
      <c r="R3040" s="371"/>
      <c r="S3040" s="372"/>
      <c r="T3040" s="364" t="s">
        <v>1153</v>
      </c>
      <c r="U3040" s="264"/>
      <c r="V3040" s="463"/>
      <c r="W3040" s="421"/>
      <c r="X3040" s="463"/>
      <c r="Y3040" s="421"/>
      <c r="Z3040" s="421"/>
      <c r="AA3040" s="421"/>
      <c r="AB3040" s="421"/>
      <c r="AC3040" s="421"/>
      <c r="AD3040" s="421"/>
    </row>
    <row r="3041" spans="1:30" s="361" customFormat="1" x14ac:dyDescent="0.4">
      <c r="A3041" s="402">
        <v>46182</v>
      </c>
      <c r="B3041" s="392" t="s">
        <v>1697</v>
      </c>
      <c r="C3041" s="364" t="str">
        <f>VLOOKUP(B3041,'112年全品項生產鍋數'!A:H,2,0)</f>
        <v>化應子(1*2.5KG)</v>
      </c>
      <c r="D3041" s="404">
        <v>300</v>
      </c>
      <c r="E3041" s="48">
        <f>VLOOKUP(B3041,'112年全品項生產鍋數'!A:H,3,0)</f>
        <v>2.5</v>
      </c>
      <c r="F3041" s="142">
        <f>VLOOKUP(B3041,'112年全品項生產鍋數'!A:H,7,0)</f>
        <v>0</v>
      </c>
      <c r="G3041" s="143">
        <f t="shared" ref="G3041:G3099" si="477">D3041*F3041</f>
        <v>0</v>
      </c>
      <c r="H3041" s="156">
        <v>118</v>
      </c>
      <c r="I3041" s="371">
        <f t="shared" ref="I3041:I3099" si="478">H3041*E3041</f>
        <v>295</v>
      </c>
      <c r="J3041" s="100" t="str">
        <f t="shared" ref="J3041:J3099" si="479">IF(G3041=0,"無法預估數據",H3041/G3041)</f>
        <v>無法預估數據</v>
      </c>
      <c r="K3041" s="51">
        <f>VLOOKUP(B:B,'生產達成率(目標)'!A:C,3,0)</f>
        <v>1</v>
      </c>
      <c r="L3041" s="20" t="str">
        <f t="shared" ref="L3041:L3099" si="480">IF(G3041=0,"無法預估數據",ROUND(J3041-K3041,3))</f>
        <v>無法預估數據</v>
      </c>
      <c r="M3041" s="137" t="str">
        <f>工時!R2225</f>
        <v>0</v>
      </c>
      <c r="N3041" s="374"/>
      <c r="O3041" s="374">
        <f t="shared" ref="O3041:O3099" si="481">H3041-N3041-P3041</f>
        <v>0</v>
      </c>
      <c r="P3041" s="156">
        <v>118</v>
      </c>
      <c r="Q3041" s="98">
        <f t="shared" ref="Q3041:Q3099" si="482">P3041/H3041</f>
        <v>1</v>
      </c>
      <c r="R3041" s="371"/>
      <c r="S3041" s="372"/>
      <c r="T3041" s="364" t="s">
        <v>1153</v>
      </c>
      <c r="U3041" s="264"/>
      <c r="V3041" s="463"/>
      <c r="W3041" s="421"/>
      <c r="X3041" s="463"/>
      <c r="Y3041" s="421"/>
      <c r="Z3041" s="421"/>
      <c r="AA3041" s="421"/>
      <c r="AB3041" s="421"/>
      <c r="AC3041" s="421"/>
      <c r="AD3041" s="421"/>
    </row>
    <row r="3042" spans="1:30" s="361" customFormat="1" x14ac:dyDescent="0.4">
      <c r="A3042" s="402">
        <v>46182</v>
      </c>
      <c r="B3042" s="392" t="s">
        <v>500</v>
      </c>
      <c r="C3042" s="364" t="str">
        <f>VLOOKUP(B3042,'112年全品項生產鍋數'!A:H,2,0)</f>
        <v>蜜餞水果(1*1kg)</v>
      </c>
      <c r="D3042" s="404">
        <v>30</v>
      </c>
      <c r="E3042" s="48">
        <f>VLOOKUP(B3042,'112年全品項生產鍋數'!A:H,3,0)</f>
        <v>1</v>
      </c>
      <c r="F3042" s="142">
        <f>VLOOKUP(B3042,'112年全品項生產鍋數'!A:H,7,0)</f>
        <v>5.7</v>
      </c>
      <c r="G3042" s="143">
        <f>D3042*F3042</f>
        <v>171</v>
      </c>
      <c r="H3042" s="156">
        <v>142</v>
      </c>
      <c r="I3042" s="371">
        <f>H3042*E3042</f>
        <v>142</v>
      </c>
      <c r="J3042" s="100">
        <f>IF(G3042=0,"無法預估數據",H3042/G3042)</f>
        <v>0.83040935672514615</v>
      </c>
      <c r="K3042" s="51">
        <f>VLOOKUP(B:B,'生產達成率(目標)'!A:C,3,0)</f>
        <v>1</v>
      </c>
      <c r="L3042" s="20">
        <f>IF(G3042=0,"無法預估數據",ROUND(J3042-K3042,3))</f>
        <v>-0.17</v>
      </c>
      <c r="M3042" s="137" t="str">
        <f>工時!R2226</f>
        <v>0</v>
      </c>
      <c r="N3042" s="374"/>
      <c r="O3042" s="374">
        <f>H3042-N3042-P3042</f>
        <v>0</v>
      </c>
      <c r="P3042" s="156">
        <v>142</v>
      </c>
      <c r="Q3042" s="98">
        <f>P3042/H3042</f>
        <v>1</v>
      </c>
      <c r="R3042" s="371"/>
      <c r="S3042" s="372"/>
      <c r="T3042" s="364"/>
      <c r="U3042" s="264"/>
      <c r="V3042" s="463"/>
      <c r="W3042" s="421"/>
      <c r="X3042" s="463"/>
      <c r="Y3042" s="421"/>
      <c r="Z3042" s="421"/>
      <c r="AA3042" s="421"/>
      <c r="AB3042" s="421"/>
      <c r="AC3042" s="421"/>
      <c r="AD3042" s="421"/>
    </row>
    <row r="3043" spans="1:30" s="361" customFormat="1" x14ac:dyDescent="0.4">
      <c r="A3043" s="402">
        <v>46182</v>
      </c>
      <c r="B3043" s="392" t="s">
        <v>434</v>
      </c>
      <c r="C3043" s="364" t="str">
        <f>VLOOKUP(B3043,'112年全品項生產鍋數'!A:H,2,0)</f>
        <v>蜜桔皮</v>
      </c>
      <c r="D3043" s="404">
        <v>20</v>
      </c>
      <c r="E3043" s="48">
        <f>VLOOKUP(B3043,'112年全品項生產鍋數'!A:H,3,0)</f>
        <v>1</v>
      </c>
      <c r="F3043" s="142">
        <f>VLOOKUP(B3043,'112年全品項生產鍋數'!A:H,7,0)</f>
        <v>6</v>
      </c>
      <c r="G3043" s="143">
        <f>D3043*F3043</f>
        <v>120</v>
      </c>
      <c r="H3043" s="156">
        <v>121</v>
      </c>
      <c r="I3043" s="371">
        <f>H3043*E3043</f>
        <v>121</v>
      </c>
      <c r="J3043" s="100">
        <f>IF(G3043=0,"無法預估數據",H3043/G3043)</f>
        <v>1.0083333333333333</v>
      </c>
      <c r="K3043" s="51">
        <f>VLOOKUP(B:B,'生產達成率(目標)'!A:C,3,0)</f>
        <v>1</v>
      </c>
      <c r="L3043" s="20">
        <f>IF(G3043=0,"無法預估數據",ROUND(J3043-K3043,3))</f>
        <v>8.0000000000000002E-3</v>
      </c>
      <c r="M3043" s="137" t="str">
        <f>工時!R2227</f>
        <v>0</v>
      </c>
      <c r="N3043" s="374"/>
      <c r="O3043" s="374">
        <f>H3043-N3043-P3043</f>
        <v>0</v>
      </c>
      <c r="P3043" s="156">
        <v>121</v>
      </c>
      <c r="Q3043" s="98">
        <f>P3043/H3043</f>
        <v>1</v>
      </c>
      <c r="R3043" s="371"/>
      <c r="S3043" s="372"/>
      <c r="T3043" s="364"/>
      <c r="U3043" s="264"/>
      <c r="V3043" s="463"/>
      <c r="W3043" s="421"/>
      <c r="X3043" s="398"/>
      <c r="Y3043" s="421"/>
      <c r="Z3043" s="421"/>
      <c r="AA3043" s="421"/>
      <c r="AB3043" s="421"/>
      <c r="AC3043" s="421"/>
      <c r="AD3043" s="421"/>
    </row>
    <row r="3044" spans="1:30" s="361" customFormat="1" x14ac:dyDescent="0.4">
      <c r="A3044" s="402">
        <v>46183</v>
      </c>
      <c r="B3044" s="392" t="s">
        <v>81</v>
      </c>
      <c r="C3044" s="364" t="str">
        <f>VLOOKUP(B3044,'112年全品項生產鍋數'!A:H,2,0)</f>
        <v>藍莓餡(1*6Kg)</v>
      </c>
      <c r="D3044" s="404">
        <v>12</v>
      </c>
      <c r="E3044" s="48">
        <f>VLOOKUP(B3044,'112年全品項生產鍋數'!A:H,3,0)</f>
        <v>6</v>
      </c>
      <c r="F3044" s="142">
        <f>VLOOKUP(B3044,'112年全品項生產鍋數'!A:H,7,0)</f>
        <v>25.1</v>
      </c>
      <c r="G3044" s="143">
        <f t="shared" si="477"/>
        <v>301.20000000000005</v>
      </c>
      <c r="H3044" s="156">
        <v>303</v>
      </c>
      <c r="I3044" s="371">
        <f t="shared" si="478"/>
        <v>1818</v>
      </c>
      <c r="J3044" s="100">
        <f t="shared" si="479"/>
        <v>1.0059760956175297</v>
      </c>
      <c r="K3044" s="51">
        <f>VLOOKUP(B:B,'生產達成率(目標)'!A:C,3,0)</f>
        <v>1</v>
      </c>
      <c r="L3044" s="20">
        <f t="shared" si="480"/>
        <v>6.0000000000000001E-3</v>
      </c>
      <c r="M3044" s="137" t="str">
        <f>工時!R2228</f>
        <v>185</v>
      </c>
      <c r="N3044" s="374"/>
      <c r="O3044" s="374">
        <f t="shared" si="481"/>
        <v>1</v>
      </c>
      <c r="P3044" s="156">
        <v>302</v>
      </c>
      <c r="Q3044" s="98">
        <f t="shared" si="482"/>
        <v>0.99669966996699666</v>
      </c>
      <c r="R3044" s="371"/>
      <c r="S3044" s="372"/>
      <c r="T3044" s="364" t="s">
        <v>1153</v>
      </c>
      <c r="U3044" s="264"/>
      <c r="V3044" s="264" t="s">
        <v>1847</v>
      </c>
      <c r="W3044" s="424">
        <v>46185</v>
      </c>
      <c r="X3044" s="398" t="s">
        <v>1868</v>
      </c>
      <c r="Y3044" s="424">
        <v>46185</v>
      </c>
      <c r="Z3044" s="424"/>
      <c r="AA3044" s="424">
        <v>46182</v>
      </c>
      <c r="AB3044" s="424">
        <v>46184</v>
      </c>
      <c r="AC3044" s="425">
        <f t="shared" ref="AC3044:AC3059" si="483" xml:space="preserve"> IF((W3044-A3044)&lt;0,"未收到",W3044-A3044)</f>
        <v>2</v>
      </c>
      <c r="AD3044" s="425">
        <f t="shared" ref="AD3044:AD3059" si="484" xml:space="preserve"> IF((Y3044-A3044)&lt;0,"未收到",Y3044-A3044)</f>
        <v>2</v>
      </c>
    </row>
    <row r="3045" spans="1:30" s="361" customFormat="1" x14ac:dyDescent="0.4">
      <c r="A3045" s="402">
        <v>46183</v>
      </c>
      <c r="B3045" s="392" t="s">
        <v>1698</v>
      </c>
      <c r="C3045" s="364" t="str">
        <f>VLOOKUP(B3045,'112年全品項生產鍋數'!A:H,2,0)</f>
        <v>上好佳草莓餡4.5KG</v>
      </c>
      <c r="D3045" s="404">
        <v>20</v>
      </c>
      <c r="E3045" s="48">
        <f>VLOOKUP(B3045,'112年全品項生產鍋數'!A:H,3,0)</f>
        <v>4.5</v>
      </c>
      <c r="F3045" s="142">
        <f>VLOOKUP(B3045,'112年全品項生產鍋數'!A:H,7,0)</f>
        <v>36.299999999999997</v>
      </c>
      <c r="G3045" s="143">
        <f t="shared" si="477"/>
        <v>726</v>
      </c>
      <c r="H3045" s="156">
        <v>703</v>
      </c>
      <c r="I3045" s="371">
        <f t="shared" si="478"/>
        <v>3163.5</v>
      </c>
      <c r="J3045" s="100">
        <f t="shared" si="479"/>
        <v>0.9683195592286501</v>
      </c>
      <c r="K3045" s="51">
        <f>VLOOKUP(B:B,'生產達成率(目標)'!A:C,3,0)</f>
        <v>1</v>
      </c>
      <c r="L3045" s="20">
        <f t="shared" si="480"/>
        <v>-3.2000000000000001E-2</v>
      </c>
      <c r="M3045" s="137" t="str">
        <f>工時!R2229</f>
        <v>300</v>
      </c>
      <c r="N3045" s="374"/>
      <c r="O3045" s="374">
        <f t="shared" si="481"/>
        <v>0</v>
      </c>
      <c r="P3045" s="156">
        <v>703</v>
      </c>
      <c r="Q3045" s="98">
        <f t="shared" si="482"/>
        <v>1</v>
      </c>
      <c r="R3045" s="371"/>
      <c r="S3045" s="372"/>
      <c r="T3045" s="364" t="s">
        <v>1197</v>
      </c>
      <c r="U3045" s="264"/>
      <c r="V3045" s="264" t="s">
        <v>1847</v>
      </c>
      <c r="W3045" s="424">
        <v>46185</v>
      </c>
      <c r="X3045" s="398" t="s">
        <v>1868</v>
      </c>
      <c r="Y3045" s="424">
        <v>46185</v>
      </c>
      <c r="Z3045" s="424"/>
      <c r="AA3045" s="424">
        <v>46182</v>
      </c>
      <c r="AB3045" s="424">
        <v>46183</v>
      </c>
      <c r="AC3045" s="425">
        <f t="shared" si="483"/>
        <v>2</v>
      </c>
      <c r="AD3045" s="425">
        <f t="shared" si="484"/>
        <v>2</v>
      </c>
    </row>
    <row r="3046" spans="1:30" s="361" customFormat="1" x14ac:dyDescent="0.4">
      <c r="A3046" s="402">
        <v>46183</v>
      </c>
      <c r="B3046" s="392" t="s">
        <v>1699</v>
      </c>
      <c r="C3046" s="364" t="str">
        <f>VLOOKUP(B3046,'112年全品項生產鍋數'!A:H,2,0)</f>
        <v>上好佳芒果餡(大)4.5KG</v>
      </c>
      <c r="D3046" s="404">
        <v>8</v>
      </c>
      <c r="E3046" s="48">
        <f>VLOOKUP(B3046,'112年全品項生產鍋數'!A:H,3,0)</f>
        <v>4.5</v>
      </c>
      <c r="F3046" s="142">
        <f>VLOOKUP(B3046,'112年全品項生產鍋數'!A:H,7,0)</f>
        <v>33.200000000000003</v>
      </c>
      <c r="G3046" s="143">
        <f t="shared" si="477"/>
        <v>265.60000000000002</v>
      </c>
      <c r="H3046" s="156">
        <v>264</v>
      </c>
      <c r="I3046" s="371">
        <f t="shared" si="478"/>
        <v>1188</v>
      </c>
      <c r="J3046" s="100">
        <f t="shared" si="479"/>
        <v>0.99397590361445776</v>
      </c>
      <c r="K3046" s="51" t="e">
        <f>VLOOKUP(B:B,'生產達成率(目標)'!A:C,3,0)</f>
        <v>#N/A</v>
      </c>
      <c r="L3046" s="20" t="e">
        <f t="shared" si="480"/>
        <v>#N/A</v>
      </c>
      <c r="M3046" s="137" t="str">
        <f>工時!R2230</f>
        <v>115</v>
      </c>
      <c r="N3046" s="374"/>
      <c r="O3046" s="374">
        <f t="shared" si="481"/>
        <v>0</v>
      </c>
      <c r="P3046" s="156">
        <v>264</v>
      </c>
      <c r="Q3046" s="98">
        <f t="shared" si="482"/>
        <v>1</v>
      </c>
      <c r="R3046" s="371"/>
      <c r="S3046" s="372"/>
      <c r="T3046" s="364" t="s">
        <v>1153</v>
      </c>
      <c r="U3046" s="264"/>
      <c r="V3046" s="264" t="s">
        <v>1847</v>
      </c>
      <c r="W3046" s="424">
        <v>46185</v>
      </c>
      <c r="X3046" s="264" t="s">
        <v>1867</v>
      </c>
      <c r="Y3046" s="424">
        <v>46185</v>
      </c>
      <c r="Z3046" s="424"/>
      <c r="AA3046" s="424">
        <v>46182</v>
      </c>
      <c r="AB3046" s="424">
        <v>46184</v>
      </c>
      <c r="AC3046" s="425">
        <f t="shared" si="483"/>
        <v>2</v>
      </c>
      <c r="AD3046" s="425">
        <f t="shared" si="484"/>
        <v>2</v>
      </c>
    </row>
    <row r="3047" spans="1:30" s="361" customFormat="1" x14ac:dyDescent="0.4">
      <c r="A3047" s="402">
        <v>46183</v>
      </c>
      <c r="B3047" s="392" t="s">
        <v>65</v>
      </c>
      <c r="C3047" s="364" t="str">
        <f>VLOOKUP(B3047,'112年全品項生產鍋數'!A:H,2,0)</f>
        <v>＃1花生(1*2.8kg)</v>
      </c>
      <c r="D3047" s="404">
        <v>56</v>
      </c>
      <c r="E3047" s="48">
        <f>VLOOKUP(B3047,'112年全品項生產鍋數'!A:H,3,0)</f>
        <v>2.8</v>
      </c>
      <c r="F3047" s="142">
        <f>VLOOKUP(B3047,'112年全品項生產鍋數'!A:H,7,0)</f>
        <v>44.5</v>
      </c>
      <c r="G3047" s="143">
        <f t="shared" si="477"/>
        <v>2492</v>
      </c>
      <c r="H3047" s="156">
        <v>2596</v>
      </c>
      <c r="I3047" s="371">
        <f t="shared" si="478"/>
        <v>7268.7999999999993</v>
      </c>
      <c r="J3047" s="100">
        <f t="shared" si="479"/>
        <v>1.0417335473515248</v>
      </c>
      <c r="K3047" s="51">
        <f>VLOOKUP(B:B,'生產達成率(目標)'!A:C,3,0)</f>
        <v>1</v>
      </c>
      <c r="L3047" s="20">
        <f t="shared" si="480"/>
        <v>4.2000000000000003E-2</v>
      </c>
      <c r="M3047" s="137" t="str">
        <f>工時!R2231</f>
        <v>460</v>
      </c>
      <c r="N3047" s="374"/>
      <c r="O3047" s="374">
        <f t="shared" si="481"/>
        <v>1</v>
      </c>
      <c r="P3047" s="156">
        <v>2595</v>
      </c>
      <c r="Q3047" s="98">
        <f t="shared" si="482"/>
        <v>0.99961479198767333</v>
      </c>
      <c r="R3047" s="371"/>
      <c r="S3047" s="372"/>
      <c r="T3047" s="364"/>
      <c r="U3047" s="264"/>
      <c r="V3047" s="264" t="s">
        <v>1848</v>
      </c>
      <c r="W3047" s="424">
        <v>46183</v>
      </c>
      <c r="X3047" s="264" t="s">
        <v>1848</v>
      </c>
      <c r="Y3047" s="424">
        <v>46183</v>
      </c>
      <c r="Z3047" s="424"/>
      <c r="AA3047" s="424">
        <v>46182</v>
      </c>
      <c r="AB3047" s="424" t="s">
        <v>1712</v>
      </c>
      <c r="AC3047" s="425">
        <f t="shared" si="483"/>
        <v>0</v>
      </c>
      <c r="AD3047" s="425">
        <f t="shared" si="484"/>
        <v>0</v>
      </c>
    </row>
    <row r="3048" spans="1:30" s="381" customFormat="1" x14ac:dyDescent="0.4">
      <c r="A3048" s="402">
        <v>46184</v>
      </c>
      <c r="B3048" s="392" t="s">
        <v>106</v>
      </c>
      <c r="C3048" s="375" t="str">
        <f>VLOOKUP(B3048,'112年全品項生產鍋數'!A:H,2,0)</f>
        <v>小藍莓1*260G</v>
      </c>
      <c r="D3048" s="406">
        <v>16</v>
      </c>
      <c r="E3048" s="141">
        <f>VLOOKUP(B3048,'112年全品項生產鍋數'!A:H,3,0)</f>
        <v>0.26</v>
      </c>
      <c r="F3048" s="142">
        <f>VLOOKUP(B3048,'112年全品項生產鍋數'!A:H,7,0)</f>
        <v>584.29999999999995</v>
      </c>
      <c r="G3048" s="143">
        <f t="shared" si="477"/>
        <v>9348.7999999999993</v>
      </c>
      <c r="H3048" s="156">
        <v>9429</v>
      </c>
      <c r="I3048" s="374">
        <f t="shared" si="478"/>
        <v>2451.54</v>
      </c>
      <c r="J3048" s="100">
        <f t="shared" si="479"/>
        <v>1.0085786411090194</v>
      </c>
      <c r="K3048" s="51">
        <f>VLOOKUP(B:B,'生產達成率(目標)'!A:C,3,0)</f>
        <v>1</v>
      </c>
      <c r="L3048" s="20">
        <f t="shared" si="480"/>
        <v>8.9999999999999993E-3</v>
      </c>
      <c r="M3048" s="137" t="str">
        <f>工時!R2232</f>
        <v>360</v>
      </c>
      <c r="N3048" s="374"/>
      <c r="O3048" s="374">
        <f t="shared" si="481"/>
        <v>20</v>
      </c>
      <c r="P3048" s="156">
        <v>9409</v>
      </c>
      <c r="Q3048" s="145">
        <f t="shared" si="482"/>
        <v>0.9978788842931382</v>
      </c>
      <c r="R3048" s="374"/>
      <c r="S3048" s="378"/>
      <c r="T3048" s="375"/>
      <c r="U3048" s="398"/>
      <c r="V3048" s="398" t="s">
        <v>1849</v>
      </c>
      <c r="W3048" s="427">
        <v>46185</v>
      </c>
      <c r="X3048" s="264" t="s">
        <v>1867</v>
      </c>
      <c r="Y3048" s="427">
        <v>46188</v>
      </c>
      <c r="Z3048" s="427"/>
      <c r="AA3048" s="427">
        <v>46182</v>
      </c>
      <c r="AB3048" s="427">
        <v>46183</v>
      </c>
      <c r="AC3048" s="425">
        <f t="shared" si="483"/>
        <v>1</v>
      </c>
      <c r="AD3048" s="425">
        <f t="shared" si="484"/>
        <v>4</v>
      </c>
    </row>
    <row r="3049" spans="1:30" s="381" customFormat="1" x14ac:dyDescent="0.4">
      <c r="A3049" s="402">
        <v>46184</v>
      </c>
      <c r="B3049" s="392" t="s">
        <v>80</v>
      </c>
      <c r="C3049" s="375" t="str">
        <f>VLOOKUP(B3049,'112年全品項生產鍋數'!A:H,2,0)</f>
        <v>＃1桔子(1*3.2kg)</v>
      </c>
      <c r="D3049" s="406">
        <v>28</v>
      </c>
      <c r="E3049" s="141">
        <f>VLOOKUP(B3049,'112年全品項生產鍋數'!A:H,3,0)</f>
        <v>3.2</v>
      </c>
      <c r="F3049" s="142">
        <f>VLOOKUP(B3049,'112年全品項生產鍋數'!A:H,7,0)</f>
        <v>46.4</v>
      </c>
      <c r="G3049" s="143">
        <f t="shared" si="477"/>
        <v>1299.2</v>
      </c>
      <c r="H3049" s="156">
        <v>1318</v>
      </c>
      <c r="I3049" s="374">
        <f t="shared" si="478"/>
        <v>4217.6000000000004</v>
      </c>
      <c r="J3049" s="100">
        <f t="shared" si="479"/>
        <v>1.0144704433497536</v>
      </c>
      <c r="K3049" s="51">
        <f>VLOOKUP(B:B,'生產達成率(目標)'!A:C,3,0)</f>
        <v>1</v>
      </c>
      <c r="L3049" s="20">
        <f t="shared" si="480"/>
        <v>1.4E-2</v>
      </c>
      <c r="M3049" s="137" t="str">
        <f>工時!R2233</f>
        <v>300</v>
      </c>
      <c r="N3049" s="374"/>
      <c r="O3049" s="374">
        <f t="shared" si="481"/>
        <v>2</v>
      </c>
      <c r="P3049" s="156">
        <v>1316</v>
      </c>
      <c r="Q3049" s="145">
        <f t="shared" si="482"/>
        <v>0.99848254931714719</v>
      </c>
      <c r="R3049" s="374"/>
      <c r="S3049" s="378"/>
      <c r="T3049" s="375"/>
      <c r="U3049" s="398"/>
      <c r="V3049" s="398" t="s">
        <v>1849</v>
      </c>
      <c r="W3049" s="427">
        <v>46185</v>
      </c>
      <c r="X3049" s="264" t="s">
        <v>1867</v>
      </c>
      <c r="Y3049" s="427">
        <v>46188</v>
      </c>
      <c r="Z3049" s="427"/>
      <c r="AA3049" s="427">
        <v>46182</v>
      </c>
      <c r="AB3049" s="427">
        <v>46183</v>
      </c>
      <c r="AC3049" s="425">
        <f t="shared" si="483"/>
        <v>1</v>
      </c>
      <c r="AD3049" s="425">
        <f t="shared" si="484"/>
        <v>4</v>
      </c>
    </row>
    <row r="3050" spans="1:30" s="381" customFormat="1" ht="15.75" customHeight="1" x14ac:dyDescent="0.4">
      <c r="A3050" s="402">
        <v>46184</v>
      </c>
      <c r="B3050" s="392" t="s">
        <v>63</v>
      </c>
      <c r="C3050" s="375" t="str">
        <f>VLOOKUP(B3050,'112年全品項生產鍋數'!A:H,2,0)</f>
        <v>草莓蒟蒻餡(1*6kg)</v>
      </c>
      <c r="D3050" s="406">
        <v>16</v>
      </c>
      <c r="E3050" s="141">
        <f>VLOOKUP(B3050,'112年全品項生產鍋數'!A:H,3,0)</f>
        <v>6</v>
      </c>
      <c r="F3050" s="142">
        <f>VLOOKUP(B3050,'112年全品項生產鍋數'!A:H,7,0)</f>
        <v>25.7</v>
      </c>
      <c r="G3050" s="143">
        <f t="shared" si="477"/>
        <v>411.2</v>
      </c>
      <c r="H3050" s="156">
        <f>196+208</f>
        <v>404</v>
      </c>
      <c r="I3050" s="374">
        <f t="shared" si="478"/>
        <v>2424</v>
      </c>
      <c r="J3050" s="100">
        <f t="shared" si="479"/>
        <v>0.98249027237354092</v>
      </c>
      <c r="K3050" s="51">
        <f>VLOOKUP(B:B,'生產達成率(目標)'!A:C,3,0)</f>
        <v>1</v>
      </c>
      <c r="L3050" s="20">
        <f t="shared" si="480"/>
        <v>-1.7999999999999999E-2</v>
      </c>
      <c r="M3050" s="137" t="str">
        <f>工時!R2234</f>
        <v>240</v>
      </c>
      <c r="N3050" s="374"/>
      <c r="O3050" s="374">
        <f t="shared" si="481"/>
        <v>1</v>
      </c>
      <c r="P3050" s="156">
        <f>195+208</f>
        <v>403</v>
      </c>
      <c r="Q3050" s="145">
        <f t="shared" si="482"/>
        <v>0.99752475247524752</v>
      </c>
      <c r="R3050" s="374"/>
      <c r="S3050" s="378"/>
      <c r="T3050" s="375"/>
      <c r="U3050" s="398"/>
      <c r="V3050" s="398" t="s">
        <v>1847</v>
      </c>
      <c r="W3050" s="427">
        <v>46185</v>
      </c>
      <c r="X3050" s="264" t="s">
        <v>1867</v>
      </c>
      <c r="Y3050" s="427">
        <v>46185</v>
      </c>
      <c r="Z3050" s="427"/>
      <c r="AA3050" s="427">
        <v>46183</v>
      </c>
      <c r="AB3050" s="427" t="s">
        <v>1713</v>
      </c>
      <c r="AC3050" s="425">
        <f t="shared" si="483"/>
        <v>1</v>
      </c>
      <c r="AD3050" s="425">
        <f t="shared" si="484"/>
        <v>1</v>
      </c>
    </row>
    <row r="3051" spans="1:30" s="381" customFormat="1" x14ac:dyDescent="0.4">
      <c r="A3051" s="402">
        <v>46184</v>
      </c>
      <c r="B3051" s="392" t="s">
        <v>1162</v>
      </c>
      <c r="C3051" s="375" t="str">
        <f>VLOOKUP(B3051,'112年全品項生產鍋數'!A:H,2,0)</f>
        <v>藍莓餡(1*6KG)</v>
      </c>
      <c r="D3051" s="406">
        <v>20</v>
      </c>
      <c r="E3051" s="141">
        <f>VLOOKUP(B3051,'112年全品項生產鍋數'!A:H,3,0)</f>
        <v>6</v>
      </c>
      <c r="F3051" s="142">
        <f>VLOOKUP(B3051,'112年全品項生產鍋數'!A:H,7,0)</f>
        <v>25.4</v>
      </c>
      <c r="G3051" s="143">
        <f t="shared" si="477"/>
        <v>508</v>
      </c>
      <c r="H3051" s="156">
        <f>311+211</f>
        <v>522</v>
      </c>
      <c r="I3051" s="374">
        <f t="shared" si="478"/>
        <v>3132</v>
      </c>
      <c r="J3051" s="100">
        <f t="shared" si="479"/>
        <v>1.0275590551181102</v>
      </c>
      <c r="K3051" s="51" t="e">
        <f>VLOOKUP(B:B,'生產達成率(目標)'!A:C,3,0)</f>
        <v>#N/A</v>
      </c>
      <c r="L3051" s="20" t="e">
        <f t="shared" si="480"/>
        <v>#N/A</v>
      </c>
      <c r="M3051" s="137" t="str">
        <f>工時!R2235</f>
        <v>325</v>
      </c>
      <c r="N3051" s="374"/>
      <c r="O3051" s="374">
        <f t="shared" si="481"/>
        <v>2</v>
      </c>
      <c r="P3051" s="156">
        <f>309+211</f>
        <v>520</v>
      </c>
      <c r="Q3051" s="145">
        <f t="shared" si="482"/>
        <v>0.99616858237547889</v>
      </c>
      <c r="R3051" s="374"/>
      <c r="S3051" s="378"/>
      <c r="T3051" s="375"/>
      <c r="U3051" s="398"/>
      <c r="V3051" s="398" t="s">
        <v>1847</v>
      </c>
      <c r="W3051" s="427">
        <v>46185</v>
      </c>
      <c r="X3051" s="264" t="s">
        <v>1867</v>
      </c>
      <c r="Y3051" s="427">
        <v>46185</v>
      </c>
      <c r="Z3051" s="427"/>
      <c r="AA3051" s="427">
        <v>46183</v>
      </c>
      <c r="AB3051" s="427">
        <v>46184</v>
      </c>
      <c r="AC3051" s="425">
        <f t="shared" si="483"/>
        <v>1</v>
      </c>
      <c r="AD3051" s="425">
        <f t="shared" si="484"/>
        <v>1</v>
      </c>
    </row>
    <row r="3052" spans="1:30" s="381" customFormat="1" x14ac:dyDescent="0.4">
      <c r="A3052" s="402">
        <v>46185</v>
      </c>
      <c r="B3052" s="392" t="s">
        <v>71</v>
      </c>
      <c r="C3052" s="375" t="str">
        <f>VLOOKUP(B3052,'112年全品項生產鍋數'!A:H,2,0)</f>
        <v>＃1草莓(1*3.2kg)</v>
      </c>
      <c r="D3052" s="406">
        <v>68</v>
      </c>
      <c r="E3052" s="141">
        <f>VLOOKUP(B3052,'112年全品項生產鍋數'!A:H,3,0)</f>
        <v>3.2</v>
      </c>
      <c r="F3052" s="142">
        <f>VLOOKUP(B3052,'112年全品項生產鍋數'!A:H,7,0)</f>
        <v>46.8</v>
      </c>
      <c r="G3052" s="143">
        <f t="shared" si="477"/>
        <v>3182.3999999999996</v>
      </c>
      <c r="H3052" s="156">
        <v>3235</v>
      </c>
      <c r="I3052" s="374">
        <f t="shared" si="478"/>
        <v>10352</v>
      </c>
      <c r="J3052" s="100">
        <f t="shared" si="479"/>
        <v>1.0165284062342888</v>
      </c>
      <c r="K3052" s="51">
        <f>VLOOKUP(B:B,'生產達成率(目標)'!A:C,3,0)</f>
        <v>1</v>
      </c>
      <c r="L3052" s="20">
        <f t="shared" si="480"/>
        <v>1.7000000000000001E-2</v>
      </c>
      <c r="M3052" s="137" t="str">
        <f>工時!R2236</f>
        <v>540</v>
      </c>
      <c r="N3052" s="374"/>
      <c r="O3052" s="374">
        <f t="shared" si="481"/>
        <v>2</v>
      </c>
      <c r="P3052" s="156">
        <v>3233</v>
      </c>
      <c r="Q3052" s="145">
        <f t="shared" si="482"/>
        <v>0.9993817619783617</v>
      </c>
      <c r="R3052" s="374"/>
      <c r="S3052" s="378"/>
      <c r="T3052" s="375"/>
      <c r="U3052" s="398"/>
      <c r="V3052" s="398" t="s">
        <v>1849</v>
      </c>
      <c r="W3052" s="427">
        <v>46185</v>
      </c>
      <c r="X3052" s="264" t="s">
        <v>1867</v>
      </c>
      <c r="Y3052" s="427">
        <v>46188</v>
      </c>
      <c r="Z3052" s="427"/>
      <c r="AA3052" s="427">
        <v>46184</v>
      </c>
      <c r="AB3052" s="427">
        <v>46185</v>
      </c>
      <c r="AC3052" s="425">
        <f t="shared" si="483"/>
        <v>0</v>
      </c>
      <c r="AD3052" s="425">
        <f t="shared" si="484"/>
        <v>3</v>
      </c>
    </row>
    <row r="3053" spans="1:30" s="381" customFormat="1" x14ac:dyDescent="0.4">
      <c r="A3053" s="402">
        <v>46185</v>
      </c>
      <c r="B3053" s="392" t="s">
        <v>63</v>
      </c>
      <c r="C3053" s="375" t="str">
        <f>VLOOKUP(B3053,'112年全品項生產鍋數'!A:H,2,0)</f>
        <v>草莓蒟蒻餡(1*6kg)</v>
      </c>
      <c r="D3053" s="406">
        <v>20</v>
      </c>
      <c r="E3053" s="141">
        <f>VLOOKUP(B3053,'112年全品項生產鍋數'!A:H,3,0)</f>
        <v>6</v>
      </c>
      <c r="F3053" s="142">
        <f>VLOOKUP(B3053,'112年全品項生產鍋數'!A:H,7,0)</f>
        <v>25.7</v>
      </c>
      <c r="G3053" s="143">
        <f t="shared" si="477"/>
        <v>514</v>
      </c>
      <c r="H3053" s="156">
        <f>304+208</f>
        <v>512</v>
      </c>
      <c r="I3053" s="374">
        <f t="shared" si="478"/>
        <v>3072</v>
      </c>
      <c r="J3053" s="100">
        <f t="shared" si="479"/>
        <v>0.99610894941634243</v>
      </c>
      <c r="K3053" s="51">
        <f>VLOOKUP(B:B,'生產達成率(目標)'!A:C,3,0)</f>
        <v>1</v>
      </c>
      <c r="L3053" s="20">
        <f t="shared" si="480"/>
        <v>-4.0000000000000001E-3</v>
      </c>
      <c r="M3053" s="137" t="str">
        <f>工時!R2237</f>
        <v>340</v>
      </c>
      <c r="N3053" s="374"/>
      <c r="O3053" s="374">
        <f t="shared" si="481"/>
        <v>2</v>
      </c>
      <c r="P3053" s="156">
        <f>303+207</f>
        <v>510</v>
      </c>
      <c r="Q3053" s="145">
        <f t="shared" si="482"/>
        <v>0.99609375</v>
      </c>
      <c r="R3053" s="374"/>
      <c r="S3053" s="378"/>
      <c r="T3053" s="375"/>
      <c r="U3053" s="398"/>
      <c r="V3053" s="398" t="s">
        <v>1847</v>
      </c>
      <c r="W3053" s="427">
        <v>46188</v>
      </c>
      <c r="X3053" s="264" t="s">
        <v>1867</v>
      </c>
      <c r="Y3053" s="427">
        <v>46188</v>
      </c>
      <c r="Z3053" s="427"/>
      <c r="AA3053" s="427" t="s">
        <v>1714</v>
      </c>
      <c r="AB3053" s="427" t="s">
        <v>1715</v>
      </c>
      <c r="AC3053" s="425">
        <f t="shared" si="483"/>
        <v>3</v>
      </c>
      <c r="AD3053" s="425">
        <f t="shared" si="484"/>
        <v>3</v>
      </c>
    </row>
    <row r="3054" spans="1:30" s="381" customFormat="1" x14ac:dyDescent="0.4">
      <c r="A3054" s="402">
        <v>46185</v>
      </c>
      <c r="B3054" s="392" t="s">
        <v>109</v>
      </c>
      <c r="C3054" s="375" t="str">
        <f>VLOOKUP(B3054,'112年全品項生產鍋數'!A:H,2,0)</f>
        <v>蔓越莓醬(1*6KG)</v>
      </c>
      <c r="D3054" s="406">
        <v>16</v>
      </c>
      <c r="E3054" s="141">
        <f>VLOOKUP(B3054,'112年全品項生產鍋數'!A:H,3,0)</f>
        <v>6</v>
      </c>
      <c r="F3054" s="142">
        <f>VLOOKUP(B3054,'112年全品項生產鍋數'!A:H,7,0)</f>
        <v>25.6</v>
      </c>
      <c r="G3054" s="143">
        <f t="shared" si="477"/>
        <v>409.6</v>
      </c>
      <c r="H3054" s="156">
        <v>410</v>
      </c>
      <c r="I3054" s="374">
        <f t="shared" si="478"/>
        <v>2460</v>
      </c>
      <c r="J3054" s="100">
        <f t="shared" si="479"/>
        <v>1.0009765625</v>
      </c>
      <c r="K3054" s="51">
        <f>VLOOKUP(B:B,'生產達成率(目標)'!A:C,3,0)</f>
        <v>1</v>
      </c>
      <c r="L3054" s="20">
        <f t="shared" si="480"/>
        <v>1E-3</v>
      </c>
      <c r="M3054" s="137" t="str">
        <f>工時!R2238</f>
        <v>220</v>
      </c>
      <c r="N3054" s="374"/>
      <c r="O3054" s="374">
        <f t="shared" si="481"/>
        <v>1</v>
      </c>
      <c r="P3054" s="156">
        <v>409</v>
      </c>
      <c r="Q3054" s="145">
        <f t="shared" si="482"/>
        <v>0.9975609756097561</v>
      </c>
      <c r="R3054" s="374"/>
      <c r="S3054" s="378"/>
      <c r="T3054" s="375"/>
      <c r="U3054" s="398"/>
      <c r="V3054" s="398" t="s">
        <v>1847</v>
      </c>
      <c r="W3054" s="427">
        <v>46188</v>
      </c>
      <c r="X3054" s="264" t="s">
        <v>1867</v>
      </c>
      <c r="Y3054" s="427">
        <v>46188</v>
      </c>
      <c r="Z3054" s="427"/>
      <c r="AA3054" s="427">
        <v>46184</v>
      </c>
      <c r="AB3054" s="427">
        <v>46185</v>
      </c>
      <c r="AC3054" s="425">
        <f t="shared" si="483"/>
        <v>3</v>
      </c>
      <c r="AD3054" s="425">
        <f t="shared" si="484"/>
        <v>3</v>
      </c>
    </row>
    <row r="3055" spans="1:30" s="381" customFormat="1" x14ac:dyDescent="0.4">
      <c r="A3055" s="402">
        <v>46185</v>
      </c>
      <c r="B3055" s="392" t="s">
        <v>65</v>
      </c>
      <c r="C3055" s="375" t="str">
        <f>VLOOKUP(B3055,'112年全品項生產鍋數'!A:H,2,0)</f>
        <v>＃1花生(1*2.8kg)</v>
      </c>
      <c r="D3055" s="406">
        <v>56</v>
      </c>
      <c r="E3055" s="141">
        <f>VLOOKUP(B3055,'112年全品項生產鍋數'!A:H,3,0)</f>
        <v>2.8</v>
      </c>
      <c r="F3055" s="142">
        <f>VLOOKUP(B3055,'112年全品項生產鍋數'!A:H,7,0)</f>
        <v>44.5</v>
      </c>
      <c r="G3055" s="143">
        <f t="shared" si="477"/>
        <v>2492</v>
      </c>
      <c r="H3055" s="156">
        <v>2290</v>
      </c>
      <c r="I3055" s="374">
        <f t="shared" si="478"/>
        <v>6412</v>
      </c>
      <c r="J3055" s="100">
        <f t="shared" si="479"/>
        <v>0.9189406099518459</v>
      </c>
      <c r="K3055" s="51">
        <f>VLOOKUP(B:B,'生產達成率(目標)'!A:C,3,0)</f>
        <v>1</v>
      </c>
      <c r="L3055" s="20">
        <f t="shared" si="480"/>
        <v>-8.1000000000000003E-2</v>
      </c>
      <c r="M3055" s="137" t="str">
        <f>工時!R2239</f>
        <v>440</v>
      </c>
      <c r="N3055" s="374"/>
      <c r="O3055" s="374">
        <f t="shared" si="481"/>
        <v>1</v>
      </c>
      <c r="P3055" s="156">
        <v>2289</v>
      </c>
      <c r="Q3055" s="145">
        <f t="shared" si="482"/>
        <v>0.99956331877729254</v>
      </c>
      <c r="R3055" s="374"/>
      <c r="S3055" s="378"/>
      <c r="T3055" s="375" t="s">
        <v>1700</v>
      </c>
      <c r="U3055" s="398"/>
      <c r="V3055" s="398" t="s">
        <v>1848</v>
      </c>
      <c r="W3055" s="427">
        <v>46185</v>
      </c>
      <c r="X3055" s="264" t="s">
        <v>1848</v>
      </c>
      <c r="Y3055" s="427">
        <v>46185</v>
      </c>
      <c r="Z3055" s="427"/>
      <c r="AA3055" s="427">
        <v>46184</v>
      </c>
      <c r="AB3055" s="427">
        <v>46185</v>
      </c>
      <c r="AC3055" s="425">
        <f t="shared" si="483"/>
        <v>0</v>
      </c>
      <c r="AD3055" s="425">
        <f t="shared" si="484"/>
        <v>0</v>
      </c>
    </row>
    <row r="3056" spans="1:30" s="381" customFormat="1" x14ac:dyDescent="0.4">
      <c r="A3056" s="402">
        <v>46188</v>
      </c>
      <c r="B3056" s="392" t="s">
        <v>61</v>
      </c>
      <c r="C3056" s="375" t="str">
        <f>VLOOKUP(B3056,'112年全品項生產鍋數'!A:H,2,0)</f>
        <v>大圓草莓-新</v>
      </c>
      <c r="D3056" s="406">
        <v>36</v>
      </c>
      <c r="E3056" s="141">
        <f>VLOOKUP(B3056,'112年全品項生產鍋數'!A:H,3,0)</f>
        <v>0.44</v>
      </c>
      <c r="F3056" s="142">
        <f>VLOOKUP(B3056,'112年全品項生產鍋數'!A:H,7,0)</f>
        <v>344</v>
      </c>
      <c r="G3056" s="143">
        <f t="shared" ref="G3056:G3077" si="485">D3056*F3056</f>
        <v>12384</v>
      </c>
      <c r="H3056" s="156">
        <v>12103</v>
      </c>
      <c r="I3056" s="374">
        <f t="shared" ref="I3056:I3077" si="486">H3056*E3056</f>
        <v>5325.32</v>
      </c>
      <c r="J3056" s="100">
        <f t="shared" ref="J3056:J3077" si="487">IF(G3056=0,"無法預估數據",H3056/G3056)</f>
        <v>0.97730943152454786</v>
      </c>
      <c r="K3056" s="51">
        <f>VLOOKUP(B:B,'生產達成率(目標)'!A:C,3,0)</f>
        <v>1</v>
      </c>
      <c r="L3056" s="20">
        <f t="shared" ref="L3056:L3077" si="488">IF(G3056=0,"無法預估數據",ROUND(J3056-K3056,3))</f>
        <v>-2.3E-2</v>
      </c>
      <c r="M3056" s="137" t="str">
        <f>工時!R2240</f>
        <v>600</v>
      </c>
      <c r="N3056" s="374"/>
      <c r="O3056" s="374">
        <f t="shared" ref="O3056:O3077" si="489">H3056-N3056-P3056</f>
        <v>9</v>
      </c>
      <c r="P3056" s="156">
        <v>12094</v>
      </c>
      <c r="Q3056" s="145">
        <f t="shared" ref="Q3056:Q3077" si="490">P3056/H3056</f>
        <v>0.99925638271502937</v>
      </c>
      <c r="R3056" s="374"/>
      <c r="S3056" s="378"/>
      <c r="T3056" s="375"/>
      <c r="U3056" s="398"/>
      <c r="V3056" s="398" t="s">
        <v>1849</v>
      </c>
      <c r="W3056" s="427">
        <v>46188</v>
      </c>
      <c r="X3056" s="264" t="s">
        <v>1867</v>
      </c>
      <c r="Y3056" s="427">
        <v>46190</v>
      </c>
      <c r="Z3056" s="427"/>
      <c r="AA3056" s="427">
        <v>46185</v>
      </c>
      <c r="AB3056" s="427">
        <v>46188</v>
      </c>
      <c r="AC3056" s="425">
        <f t="shared" si="483"/>
        <v>0</v>
      </c>
      <c r="AD3056" s="425">
        <f t="shared" si="484"/>
        <v>2</v>
      </c>
    </row>
    <row r="3057" spans="1:30" s="361" customFormat="1" x14ac:dyDescent="0.4">
      <c r="A3057" s="402">
        <v>46188</v>
      </c>
      <c r="B3057" s="392" t="s">
        <v>63</v>
      </c>
      <c r="C3057" s="364" t="str">
        <f>VLOOKUP(B3057,'112年全品項生產鍋數'!A:H,2,0)</f>
        <v>草莓蒟蒻餡(1*6kg)</v>
      </c>
      <c r="D3057" s="404">
        <v>20</v>
      </c>
      <c r="E3057" s="48">
        <f>VLOOKUP(B3057,'112年全品項生產鍋數'!A:H,3,0)</f>
        <v>6</v>
      </c>
      <c r="F3057" s="142">
        <f>VLOOKUP(B3057,'112年全品項生產鍋數'!A:H,7,0)</f>
        <v>25.7</v>
      </c>
      <c r="G3057" s="143">
        <f t="shared" si="485"/>
        <v>514</v>
      </c>
      <c r="H3057" s="156">
        <f>305+210</f>
        <v>515</v>
      </c>
      <c r="I3057" s="371">
        <f t="shared" si="486"/>
        <v>3090</v>
      </c>
      <c r="J3057" s="100">
        <f t="shared" si="487"/>
        <v>1.0019455252918288</v>
      </c>
      <c r="K3057" s="51">
        <f>VLOOKUP(B:B,'生產達成率(目標)'!A:C,3,0)</f>
        <v>1</v>
      </c>
      <c r="L3057" s="20">
        <f t="shared" si="488"/>
        <v>2E-3</v>
      </c>
      <c r="M3057" s="137" t="str">
        <f>工時!R2241</f>
        <v>328</v>
      </c>
      <c r="N3057" s="374"/>
      <c r="O3057" s="374">
        <f t="shared" si="489"/>
        <v>1</v>
      </c>
      <c r="P3057" s="156">
        <f>304+210</f>
        <v>514</v>
      </c>
      <c r="Q3057" s="98">
        <f t="shared" si="490"/>
        <v>0.99805825242718449</v>
      </c>
      <c r="R3057" s="371"/>
      <c r="S3057" s="372"/>
      <c r="T3057" s="364"/>
      <c r="U3057" s="264"/>
      <c r="V3057" s="264" t="s">
        <v>1847</v>
      </c>
      <c r="W3057" s="424">
        <v>46189</v>
      </c>
      <c r="X3057" s="264" t="s">
        <v>1867</v>
      </c>
      <c r="Y3057" s="424">
        <v>46190</v>
      </c>
      <c r="Z3057" s="424"/>
      <c r="AA3057" s="424" t="s">
        <v>1714</v>
      </c>
      <c r="AB3057" s="424" t="s">
        <v>1711</v>
      </c>
      <c r="AC3057" s="425">
        <f t="shared" si="483"/>
        <v>1</v>
      </c>
      <c r="AD3057" s="425">
        <f t="shared" si="484"/>
        <v>2</v>
      </c>
    </row>
    <row r="3058" spans="1:30" s="361" customFormat="1" x14ac:dyDescent="0.4">
      <c r="A3058" s="432">
        <v>46188</v>
      </c>
      <c r="B3058" s="433" t="s">
        <v>72</v>
      </c>
      <c r="C3058" s="364" t="str">
        <f>VLOOKUP(B3058,'112年全品項生產鍋數'!A:H,2,0)</f>
        <v>草莓餡45%(1*6Kg)</v>
      </c>
      <c r="D3058" s="404">
        <v>16</v>
      </c>
      <c r="E3058" s="48">
        <f>VLOOKUP(B3058,'112年全品項生產鍋數'!A:H,3,0)</f>
        <v>6</v>
      </c>
      <c r="F3058" s="142">
        <f>VLOOKUP(B3058,'112年全品項生產鍋數'!A:H,7,0)</f>
        <v>26.1</v>
      </c>
      <c r="G3058" s="143">
        <f t="shared" si="485"/>
        <v>417.6</v>
      </c>
      <c r="H3058" s="156">
        <v>427</v>
      </c>
      <c r="I3058" s="371">
        <f t="shared" si="486"/>
        <v>2562</v>
      </c>
      <c r="J3058" s="100">
        <f t="shared" si="487"/>
        <v>1.0225095785440612</v>
      </c>
      <c r="K3058" s="51">
        <f>VLOOKUP(B:B,'生產達成率(目標)'!A:C,3,0)</f>
        <v>1</v>
      </c>
      <c r="L3058" s="20">
        <f t="shared" si="488"/>
        <v>2.3E-2</v>
      </c>
      <c r="M3058" s="137" t="str">
        <f>工時!R2242</f>
        <v>225</v>
      </c>
      <c r="N3058" s="374"/>
      <c r="O3058" s="374">
        <f t="shared" si="489"/>
        <v>4</v>
      </c>
      <c r="P3058" s="156">
        <v>423</v>
      </c>
      <c r="Q3058" s="98">
        <f t="shared" si="490"/>
        <v>0.99063231850117095</v>
      </c>
      <c r="R3058" s="371"/>
      <c r="S3058" s="372"/>
      <c r="T3058" s="364"/>
      <c r="U3058" s="264"/>
      <c r="V3058" s="264" t="s">
        <v>1847</v>
      </c>
      <c r="W3058" s="424">
        <v>46189</v>
      </c>
      <c r="X3058" s="264" t="s">
        <v>1867</v>
      </c>
      <c r="Y3058" s="424">
        <v>46190</v>
      </c>
      <c r="Z3058" s="424"/>
      <c r="AA3058" s="424">
        <v>46185</v>
      </c>
      <c r="AB3058" s="424">
        <v>46188</v>
      </c>
      <c r="AC3058" s="425">
        <f t="shared" si="483"/>
        <v>1</v>
      </c>
      <c r="AD3058" s="425">
        <f t="shared" si="484"/>
        <v>2</v>
      </c>
    </row>
    <row r="3059" spans="1:30" s="381" customFormat="1" x14ac:dyDescent="0.4">
      <c r="A3059" s="402">
        <v>46188</v>
      </c>
      <c r="B3059" s="392" t="s">
        <v>110</v>
      </c>
      <c r="C3059" s="375" t="str">
        <f>VLOOKUP(B3059,'112年全品項生產鍋數'!A:H,2,0)</f>
        <v>顆粒花生醬(1*12KG)</v>
      </c>
      <c r="D3059" s="406">
        <v>21</v>
      </c>
      <c r="E3059" s="141">
        <f>VLOOKUP(B3059,'112年全品項生產鍋數'!A:H,3,0)</f>
        <v>3</v>
      </c>
      <c r="F3059" s="142">
        <f>VLOOKUP(B3059,'112年全品項生產鍋數'!A:H,7,0)</f>
        <v>30.8</v>
      </c>
      <c r="G3059" s="143">
        <f t="shared" si="485"/>
        <v>646.80000000000007</v>
      </c>
      <c r="H3059" s="156">
        <v>648</v>
      </c>
      <c r="I3059" s="374">
        <f t="shared" si="486"/>
        <v>1944</v>
      </c>
      <c r="J3059" s="100">
        <f t="shared" si="487"/>
        <v>1.0018552875695732</v>
      </c>
      <c r="K3059" s="51">
        <f>VLOOKUP(B:B,'生產達成率(目標)'!A:C,3,0)</f>
        <v>1</v>
      </c>
      <c r="L3059" s="20">
        <f t="shared" si="488"/>
        <v>2E-3</v>
      </c>
      <c r="M3059" s="137" t="str">
        <f>工時!R2243</f>
        <v>540</v>
      </c>
      <c r="N3059" s="374"/>
      <c r="O3059" s="374">
        <f t="shared" si="489"/>
        <v>0</v>
      </c>
      <c r="P3059" s="156">
        <v>648</v>
      </c>
      <c r="Q3059" s="145">
        <f t="shared" si="490"/>
        <v>1</v>
      </c>
      <c r="R3059" s="374"/>
      <c r="S3059" s="378"/>
      <c r="T3059" s="375"/>
      <c r="U3059" s="398"/>
      <c r="V3059" s="398" t="s">
        <v>1848</v>
      </c>
      <c r="W3059" s="427">
        <v>46188</v>
      </c>
      <c r="X3059" s="264" t="s">
        <v>1848</v>
      </c>
      <c r="Y3059" s="427">
        <v>46188</v>
      </c>
      <c r="Z3059" s="427"/>
      <c r="AA3059" s="427">
        <v>46185</v>
      </c>
      <c r="AB3059" s="427">
        <v>46188</v>
      </c>
      <c r="AC3059" s="425">
        <f t="shared" si="483"/>
        <v>0</v>
      </c>
      <c r="AD3059" s="425">
        <f t="shared" si="484"/>
        <v>0</v>
      </c>
    </row>
    <row r="3060" spans="1:30" s="381" customFormat="1" x14ac:dyDescent="0.4">
      <c r="A3060" s="402">
        <v>46188</v>
      </c>
      <c r="B3060" s="392" t="s">
        <v>431</v>
      </c>
      <c r="C3060" s="375" t="str">
        <f>VLOOKUP(B3060,'112年全品項生產鍋數'!A:H,2,0)</f>
        <v>文旦丁</v>
      </c>
      <c r="D3060" s="406">
        <v>2</v>
      </c>
      <c r="E3060" s="141">
        <f>VLOOKUP(B3060,'112年全品項生產鍋數'!A:H,3,0)</f>
        <v>1</v>
      </c>
      <c r="F3060" s="142">
        <f>VLOOKUP(B3060,'112年全品項生產鍋數'!A:H,7,0)</f>
        <v>243</v>
      </c>
      <c r="G3060" s="143">
        <f t="shared" si="485"/>
        <v>486</v>
      </c>
      <c r="H3060" s="156">
        <v>492</v>
      </c>
      <c r="I3060" s="374">
        <f t="shared" si="486"/>
        <v>492</v>
      </c>
      <c r="J3060" s="100">
        <f t="shared" si="487"/>
        <v>1.0123456790123457</v>
      </c>
      <c r="K3060" s="51">
        <f>VLOOKUP(B:B,'生產達成率(目標)'!A:C,3,0)</f>
        <v>1</v>
      </c>
      <c r="L3060" s="20">
        <f t="shared" si="488"/>
        <v>1.2E-2</v>
      </c>
      <c r="M3060" s="137" t="str">
        <f>工時!R2244</f>
        <v>0</v>
      </c>
      <c r="N3060" s="374"/>
      <c r="O3060" s="374">
        <f t="shared" si="489"/>
        <v>-30</v>
      </c>
      <c r="P3060" s="156">
        <f>211+311</f>
        <v>522</v>
      </c>
      <c r="Q3060" s="145">
        <f t="shared" si="490"/>
        <v>1.0609756097560976</v>
      </c>
      <c r="R3060" s="374"/>
      <c r="S3060" s="378"/>
      <c r="T3060" s="375" t="s">
        <v>1763</v>
      </c>
      <c r="U3060" s="398"/>
      <c r="V3060" s="398" t="s">
        <v>1850</v>
      </c>
      <c r="W3060" s="427">
        <v>46191</v>
      </c>
      <c r="X3060" s="264" t="s">
        <v>1710</v>
      </c>
      <c r="Y3060" s="430" t="s">
        <v>1732</v>
      </c>
      <c r="Z3060" s="430"/>
      <c r="AA3060" s="427" t="s">
        <v>1711</v>
      </c>
      <c r="AB3060" s="427">
        <v>46206</v>
      </c>
      <c r="AC3060" s="429">
        <v>0</v>
      </c>
      <c r="AD3060" s="429">
        <v>0</v>
      </c>
    </row>
    <row r="3061" spans="1:30" s="361" customFormat="1" x14ac:dyDescent="0.4">
      <c r="A3061" s="402">
        <v>46189</v>
      </c>
      <c r="B3061" s="392" t="s">
        <v>51</v>
      </c>
      <c r="C3061" s="364" t="str">
        <f>VLOOKUP(B3061,'112年全品項生產鍋數'!A:H,2,0)</f>
        <v>藍莓醬(1*6kg)</v>
      </c>
      <c r="D3061" s="404">
        <v>16</v>
      </c>
      <c r="E3061" s="48">
        <f>VLOOKUP(B3061,'112年全品項生產鍋數'!A:H,3,0)</f>
        <v>6</v>
      </c>
      <c r="F3061" s="142">
        <f>VLOOKUP(B3061,'112年全品項生產鍋數'!A:H,7,0)</f>
        <v>25.5</v>
      </c>
      <c r="G3061" s="143">
        <f t="shared" si="485"/>
        <v>408</v>
      </c>
      <c r="H3061" s="156">
        <v>404</v>
      </c>
      <c r="I3061" s="371">
        <f t="shared" si="486"/>
        <v>2424</v>
      </c>
      <c r="J3061" s="100">
        <f t="shared" si="487"/>
        <v>0.99019607843137258</v>
      </c>
      <c r="K3061" s="51">
        <f>VLOOKUP(B:B,'生產達成率(目標)'!A:C,3,0)</f>
        <v>1</v>
      </c>
      <c r="L3061" s="20">
        <f t="shared" si="488"/>
        <v>-0.01</v>
      </c>
      <c r="M3061" s="137" t="str">
        <f>工時!R2245</f>
        <v>240</v>
      </c>
      <c r="N3061" s="374"/>
      <c r="O3061" s="374">
        <f t="shared" si="489"/>
        <v>4</v>
      </c>
      <c r="P3061" s="156">
        <v>400</v>
      </c>
      <c r="Q3061" s="98">
        <f t="shared" si="490"/>
        <v>0.99009900990099009</v>
      </c>
      <c r="R3061" s="371"/>
      <c r="S3061" s="372"/>
      <c r="T3061" s="364"/>
      <c r="U3061" s="264"/>
      <c r="V3061" s="264" t="s">
        <v>1849</v>
      </c>
      <c r="W3061" s="424">
        <v>46189</v>
      </c>
      <c r="X3061" s="264" t="s">
        <v>1867</v>
      </c>
      <c r="Y3061" s="424">
        <v>46190</v>
      </c>
      <c r="Z3061" s="424"/>
      <c r="AA3061" s="424">
        <v>46188</v>
      </c>
      <c r="AB3061" s="424">
        <v>46189</v>
      </c>
      <c r="AC3061" s="425">
        <f t="shared" ref="AC3061:AC3076" si="491" xml:space="preserve"> IF((W3061-A3061)&lt;0,"未收到",W3061-A3061)</f>
        <v>0</v>
      </c>
      <c r="AD3061" s="425">
        <f t="shared" ref="AD3061:AD3076" si="492" xml:space="preserve"> IF((Y3061-A3061)&lt;0,"未收到",Y3061-A3061)</f>
        <v>1</v>
      </c>
    </row>
    <row r="3062" spans="1:30" s="361" customFormat="1" x14ac:dyDescent="0.4">
      <c r="A3062" s="432">
        <v>46189</v>
      </c>
      <c r="B3062" s="433" t="s">
        <v>54</v>
      </c>
      <c r="C3062" s="364" t="str">
        <f>VLOOKUP(B3062,'112年全品項生產鍋數'!A:H,2,0)</f>
        <v>草莓醬(1*6kg)</v>
      </c>
      <c r="D3062" s="404">
        <v>20</v>
      </c>
      <c r="E3062" s="48">
        <f>VLOOKUP(B3062,'112年全品項生產鍋數'!A:H,3,0)</f>
        <v>6</v>
      </c>
      <c r="F3062" s="142">
        <f>VLOOKUP(B3062,'112年全品項生產鍋數'!A:H,7,0)</f>
        <v>26.6</v>
      </c>
      <c r="G3062" s="143">
        <f t="shared" si="485"/>
        <v>532</v>
      </c>
      <c r="H3062" s="156">
        <v>520</v>
      </c>
      <c r="I3062" s="371">
        <f t="shared" si="486"/>
        <v>3120</v>
      </c>
      <c r="J3062" s="100">
        <f t="shared" si="487"/>
        <v>0.97744360902255634</v>
      </c>
      <c r="K3062" s="51">
        <f>VLOOKUP(B:B,'生產達成率(目標)'!A:C,3,0)</f>
        <v>1</v>
      </c>
      <c r="L3062" s="20">
        <f t="shared" si="488"/>
        <v>-2.3E-2</v>
      </c>
      <c r="M3062" s="137" t="str">
        <f>工時!R2246</f>
        <v>300</v>
      </c>
      <c r="N3062" s="374"/>
      <c r="O3062" s="374">
        <f t="shared" si="489"/>
        <v>1</v>
      </c>
      <c r="P3062" s="156">
        <v>519</v>
      </c>
      <c r="Q3062" s="98">
        <f t="shared" si="490"/>
        <v>0.99807692307692308</v>
      </c>
      <c r="R3062" s="371"/>
      <c r="S3062" s="372"/>
      <c r="T3062" s="364"/>
      <c r="U3062" s="264"/>
      <c r="V3062" s="264" t="s">
        <v>1849</v>
      </c>
      <c r="W3062" s="424">
        <v>46189</v>
      </c>
      <c r="X3062" s="264" t="s">
        <v>1867</v>
      </c>
      <c r="Y3062" s="424">
        <v>46190</v>
      </c>
      <c r="Z3062" s="424"/>
      <c r="AA3062" s="424">
        <v>46188</v>
      </c>
      <c r="AB3062" s="424">
        <v>46189</v>
      </c>
      <c r="AC3062" s="425">
        <f t="shared" si="491"/>
        <v>0</v>
      </c>
      <c r="AD3062" s="425">
        <f t="shared" si="492"/>
        <v>1</v>
      </c>
    </row>
    <row r="3063" spans="1:30" s="361" customFormat="1" x14ac:dyDescent="0.4">
      <c r="A3063" s="402">
        <v>46189</v>
      </c>
      <c r="B3063" s="392" t="s">
        <v>1062</v>
      </c>
      <c r="C3063" s="364" t="str">
        <f>VLOOKUP(B3063,'112年全品項生產鍋數'!A:H,2,0)</f>
        <v>上好佳芒果餡(大)4.5KG</v>
      </c>
      <c r="D3063" s="404">
        <v>16</v>
      </c>
      <c r="E3063" s="48">
        <f>VLOOKUP(B3063,'112年全品項生產鍋數'!A:H,3,0)</f>
        <v>4.5</v>
      </c>
      <c r="F3063" s="142">
        <f>VLOOKUP(B3063,'112年全品項生產鍋數'!A:H,7,0)</f>
        <v>33.200000000000003</v>
      </c>
      <c r="G3063" s="143">
        <f t="shared" si="485"/>
        <v>531.20000000000005</v>
      </c>
      <c r="H3063" s="156">
        <v>530</v>
      </c>
      <c r="I3063" s="371">
        <f t="shared" si="486"/>
        <v>2385</v>
      </c>
      <c r="J3063" s="100">
        <f t="shared" si="487"/>
        <v>0.99774096385542155</v>
      </c>
      <c r="K3063" s="51" t="e">
        <f>VLOOKUP(B:B,'生產達成率(目標)'!A:C,3,0)</f>
        <v>#N/A</v>
      </c>
      <c r="L3063" s="20" t="e">
        <f t="shared" si="488"/>
        <v>#N/A</v>
      </c>
      <c r="M3063" s="137" t="str">
        <f>工時!R2247</f>
        <v>300</v>
      </c>
      <c r="N3063" s="374"/>
      <c r="O3063" s="374">
        <f t="shared" si="489"/>
        <v>0</v>
      </c>
      <c r="P3063" s="156">
        <v>530</v>
      </c>
      <c r="Q3063" s="98">
        <f t="shared" si="490"/>
        <v>1</v>
      </c>
      <c r="R3063" s="371"/>
      <c r="S3063" s="372"/>
      <c r="T3063" s="364"/>
      <c r="U3063" s="264"/>
      <c r="V3063" s="264" t="s">
        <v>1847</v>
      </c>
      <c r="W3063" s="424">
        <v>46190</v>
      </c>
      <c r="X3063" s="264" t="s">
        <v>1867</v>
      </c>
      <c r="Y3063" s="424">
        <v>46190</v>
      </c>
      <c r="Z3063" s="424"/>
      <c r="AA3063" s="424">
        <v>46188</v>
      </c>
      <c r="AB3063" s="424">
        <v>46189</v>
      </c>
      <c r="AC3063" s="425">
        <f t="shared" si="491"/>
        <v>1</v>
      </c>
      <c r="AD3063" s="425">
        <f t="shared" si="492"/>
        <v>1</v>
      </c>
    </row>
    <row r="3064" spans="1:30" s="361" customFormat="1" x14ac:dyDescent="0.4">
      <c r="A3064" s="402">
        <v>46189</v>
      </c>
      <c r="B3064" s="392" t="s">
        <v>117</v>
      </c>
      <c r="C3064" s="364" t="str">
        <f>VLOOKUP(B3064,'112年全品項生產鍋數'!A:H,2,0)</f>
        <v>草莓餡(1*4.5Kg)</v>
      </c>
      <c r="D3064" s="404">
        <v>8</v>
      </c>
      <c r="E3064" s="48">
        <f>VLOOKUP(B3064,'112年全品項生產鍋數'!A:H,3,0)</f>
        <v>4.5</v>
      </c>
      <c r="F3064" s="142">
        <f>VLOOKUP(B3064,'112年全品項生產鍋數'!A:H,7,0)</f>
        <v>35.6</v>
      </c>
      <c r="G3064" s="143">
        <f t="shared" si="485"/>
        <v>284.8</v>
      </c>
      <c r="H3064" s="156">
        <v>280</v>
      </c>
      <c r="I3064" s="371">
        <f t="shared" si="486"/>
        <v>1260</v>
      </c>
      <c r="J3064" s="100">
        <f t="shared" si="487"/>
        <v>0.9831460674157303</v>
      </c>
      <c r="K3064" s="51">
        <f>VLOOKUP(B:B,'生產達成率(目標)'!A:C,3,0)</f>
        <v>1</v>
      </c>
      <c r="L3064" s="20">
        <f t="shared" si="488"/>
        <v>-1.7000000000000001E-2</v>
      </c>
      <c r="M3064" s="137" t="str">
        <f>工時!R2248</f>
        <v>220</v>
      </c>
      <c r="N3064" s="374"/>
      <c r="O3064" s="374">
        <f t="shared" si="489"/>
        <v>0</v>
      </c>
      <c r="P3064" s="156">
        <v>280</v>
      </c>
      <c r="Q3064" s="98">
        <f t="shared" si="490"/>
        <v>1</v>
      </c>
      <c r="R3064" s="371"/>
      <c r="S3064" s="372"/>
      <c r="T3064" s="364"/>
      <c r="U3064" s="264"/>
      <c r="V3064" s="264" t="s">
        <v>1847</v>
      </c>
      <c r="W3064" s="424">
        <v>46190</v>
      </c>
      <c r="X3064" s="264" t="s">
        <v>1867</v>
      </c>
      <c r="Y3064" s="424">
        <v>46190</v>
      </c>
      <c r="Z3064" s="424"/>
      <c r="AA3064" s="424">
        <v>46188</v>
      </c>
      <c r="AB3064" s="424">
        <v>46189</v>
      </c>
      <c r="AC3064" s="425">
        <f t="shared" si="491"/>
        <v>1</v>
      </c>
      <c r="AD3064" s="425">
        <f t="shared" si="492"/>
        <v>1</v>
      </c>
    </row>
    <row r="3065" spans="1:30" s="361" customFormat="1" x14ac:dyDescent="0.4">
      <c r="A3065" s="402">
        <v>46189</v>
      </c>
      <c r="B3065" s="392" t="s">
        <v>1696</v>
      </c>
      <c r="C3065" s="364" t="str">
        <f>VLOOKUP(B3065,'112年全品項生產鍋數'!A:H,2,0)</f>
        <v>檸檬餡(1*6Kg)</v>
      </c>
      <c r="D3065" s="404">
        <v>4</v>
      </c>
      <c r="E3065" s="48">
        <f>VLOOKUP(B3065,'112年全品項生產鍋數'!A:H,3,0)</f>
        <v>6</v>
      </c>
      <c r="F3065" s="142">
        <f>VLOOKUP(B3065,'112年全品項生產鍋數'!A:H,7,0)</f>
        <v>0</v>
      </c>
      <c r="G3065" s="143">
        <f t="shared" si="485"/>
        <v>0</v>
      </c>
      <c r="H3065" s="156">
        <v>96</v>
      </c>
      <c r="I3065" s="371">
        <f t="shared" si="486"/>
        <v>576</v>
      </c>
      <c r="J3065" s="100" t="str">
        <f t="shared" si="487"/>
        <v>無法預估數據</v>
      </c>
      <c r="K3065" s="51">
        <f>VLOOKUP(B:B,'生產達成率(目標)'!A:C,3,0)</f>
        <v>1</v>
      </c>
      <c r="L3065" s="20" t="str">
        <f t="shared" si="488"/>
        <v>無法預估數據</v>
      </c>
      <c r="M3065" s="137" t="str">
        <f>工時!R2249</f>
        <v>175</v>
      </c>
      <c r="N3065" s="374"/>
      <c r="O3065" s="374">
        <f t="shared" si="489"/>
        <v>1</v>
      </c>
      <c r="P3065" s="156">
        <v>95</v>
      </c>
      <c r="Q3065" s="98">
        <f t="shared" si="490"/>
        <v>0.98958333333333337</v>
      </c>
      <c r="R3065" s="371"/>
      <c r="S3065" s="372"/>
      <c r="T3065" s="364"/>
      <c r="U3065" s="264"/>
      <c r="V3065" s="264" t="s">
        <v>1847</v>
      </c>
      <c r="W3065" s="424">
        <v>46190</v>
      </c>
      <c r="X3065" s="264" t="s">
        <v>1867</v>
      </c>
      <c r="Y3065" s="424">
        <v>46190</v>
      </c>
      <c r="Z3065" s="424"/>
      <c r="AA3065" s="424">
        <v>46188</v>
      </c>
      <c r="AB3065" s="424">
        <v>46190</v>
      </c>
      <c r="AC3065" s="425">
        <f t="shared" si="491"/>
        <v>1</v>
      </c>
      <c r="AD3065" s="425">
        <f t="shared" si="492"/>
        <v>1</v>
      </c>
    </row>
    <row r="3066" spans="1:30" s="381" customFormat="1" x14ac:dyDescent="0.4">
      <c r="A3066" s="402">
        <v>46189</v>
      </c>
      <c r="B3066" s="392" t="s">
        <v>58</v>
      </c>
      <c r="C3066" s="375" t="str">
        <f>VLOOKUP(B3066,'112年全品項生產鍋數'!A:H,2,0)</f>
        <v>PET大花生(1*400g)</v>
      </c>
      <c r="D3066" s="406">
        <v>24</v>
      </c>
      <c r="E3066" s="141">
        <f>VLOOKUP(B3066,'112年全品項生產鍋數'!A:H,3,0)</f>
        <v>0.4</v>
      </c>
      <c r="F3066" s="142">
        <f>VLOOKUP(B3066,'112年全品項生產鍋數'!A:H,7,0)</f>
        <v>309.2</v>
      </c>
      <c r="G3066" s="143">
        <f t="shared" si="485"/>
        <v>7420.7999999999993</v>
      </c>
      <c r="H3066" s="156">
        <v>7692</v>
      </c>
      <c r="I3066" s="374">
        <f t="shared" si="486"/>
        <v>3076.8</v>
      </c>
      <c r="J3066" s="100">
        <f t="shared" si="487"/>
        <v>1.0365459249676585</v>
      </c>
      <c r="K3066" s="51">
        <f>VLOOKUP(B:B,'生產達成率(目標)'!A:C,3,0)</f>
        <v>1</v>
      </c>
      <c r="L3066" s="20">
        <f t="shared" si="488"/>
        <v>3.6999999999999998E-2</v>
      </c>
      <c r="M3066" s="137" t="str">
        <f>工時!R2250</f>
        <v>365</v>
      </c>
      <c r="N3066" s="374"/>
      <c r="O3066" s="374">
        <f t="shared" si="489"/>
        <v>3</v>
      </c>
      <c r="P3066" s="156">
        <v>7689</v>
      </c>
      <c r="Q3066" s="145">
        <f t="shared" si="490"/>
        <v>0.99960998439937598</v>
      </c>
      <c r="R3066" s="374"/>
      <c r="S3066" s="378"/>
      <c r="T3066" s="375"/>
      <c r="U3066" s="398"/>
      <c r="V3066" s="398" t="s">
        <v>1848</v>
      </c>
      <c r="W3066" s="427">
        <v>46189</v>
      </c>
      <c r="X3066" s="264" t="s">
        <v>1848</v>
      </c>
      <c r="Y3066" s="427">
        <v>46189</v>
      </c>
      <c r="Z3066" s="427"/>
      <c r="AA3066" s="427">
        <v>46188</v>
      </c>
      <c r="AB3066" s="427">
        <v>46189</v>
      </c>
      <c r="AC3066" s="425">
        <f t="shared" si="491"/>
        <v>0</v>
      </c>
      <c r="AD3066" s="425">
        <f t="shared" si="492"/>
        <v>0</v>
      </c>
    </row>
    <row r="3067" spans="1:30" s="381" customFormat="1" x14ac:dyDescent="0.4">
      <c r="A3067" s="402">
        <v>46189</v>
      </c>
      <c r="B3067" s="392" t="s">
        <v>96</v>
      </c>
      <c r="C3067" s="375" t="str">
        <f>VLOOKUP(B3067,'112年全品項生產鍋數'!A:H,2,0)</f>
        <v>PET瓶花生(1*340g)</v>
      </c>
      <c r="D3067" s="406">
        <v>12</v>
      </c>
      <c r="E3067" s="141">
        <f>VLOOKUP(B3067,'112年全品項生產鍋數'!A:H,3,0)</f>
        <v>0.34</v>
      </c>
      <c r="F3067" s="142">
        <f>VLOOKUP(B3067,'112年全品項生產鍋數'!A:H,7,0)</f>
        <v>358.3</v>
      </c>
      <c r="G3067" s="143">
        <f t="shared" si="485"/>
        <v>4299.6000000000004</v>
      </c>
      <c r="H3067" s="156">
        <f>3602+500</f>
        <v>4102</v>
      </c>
      <c r="I3067" s="374">
        <f t="shared" si="486"/>
        <v>1394.68</v>
      </c>
      <c r="J3067" s="100">
        <f t="shared" si="487"/>
        <v>0.95404223648711495</v>
      </c>
      <c r="K3067" s="51">
        <f>VLOOKUP(B:B,'生產達成率(目標)'!A:C,3,0)</f>
        <v>1</v>
      </c>
      <c r="L3067" s="20">
        <f t="shared" si="488"/>
        <v>-4.5999999999999999E-2</v>
      </c>
      <c r="M3067" s="137" t="str">
        <f>工時!R2251</f>
        <v>190</v>
      </c>
      <c r="N3067" s="374"/>
      <c r="O3067" s="374">
        <f t="shared" si="489"/>
        <v>5</v>
      </c>
      <c r="P3067" s="156">
        <f>3600+497</f>
        <v>4097</v>
      </c>
      <c r="Q3067" s="145">
        <f t="shared" si="490"/>
        <v>0.99878108239882979</v>
      </c>
      <c r="R3067" s="374"/>
      <c r="S3067" s="378"/>
      <c r="T3067" s="375" t="s">
        <v>1701</v>
      </c>
      <c r="U3067" s="398"/>
      <c r="V3067" s="398" t="s">
        <v>1848</v>
      </c>
      <c r="W3067" s="427">
        <v>46189</v>
      </c>
      <c r="X3067" s="264" t="s">
        <v>1848</v>
      </c>
      <c r="Y3067" s="427">
        <v>46189</v>
      </c>
      <c r="Z3067" s="427"/>
      <c r="AA3067" s="427">
        <v>46188</v>
      </c>
      <c r="AB3067" s="427">
        <v>46189</v>
      </c>
      <c r="AC3067" s="425">
        <f t="shared" si="491"/>
        <v>0</v>
      </c>
      <c r="AD3067" s="425">
        <f t="shared" si="492"/>
        <v>0</v>
      </c>
    </row>
    <row r="3068" spans="1:30" s="381" customFormat="1" x14ac:dyDescent="0.4">
      <c r="A3068" s="402">
        <v>46190</v>
      </c>
      <c r="B3068" s="392" t="s">
        <v>114</v>
      </c>
      <c r="C3068" s="375" t="str">
        <f>VLOOKUP(B3068,'112年全品項生產鍋數'!A:H,2,0)</f>
        <v>開心草莓果醬(1*430g)</v>
      </c>
      <c r="D3068" s="406">
        <v>15</v>
      </c>
      <c r="E3068" s="141">
        <f>VLOOKUP(B3068,'112年全品項生產鍋數'!A:H,3,0)</f>
        <v>0.43</v>
      </c>
      <c r="F3068" s="142">
        <f>VLOOKUP(B3068,'112年全品項生產鍋數'!A:H,7,0)</f>
        <v>364</v>
      </c>
      <c r="G3068" s="143">
        <f t="shared" si="485"/>
        <v>5460</v>
      </c>
      <c r="H3068" s="156">
        <v>5567</v>
      </c>
      <c r="I3068" s="374">
        <f t="shared" si="486"/>
        <v>2393.81</v>
      </c>
      <c r="J3068" s="100">
        <f t="shared" si="487"/>
        <v>1.0195970695970695</v>
      </c>
      <c r="K3068" s="51">
        <f>VLOOKUP(B:B,'生產達成率(目標)'!A:C,3,0)</f>
        <v>1</v>
      </c>
      <c r="L3068" s="20">
        <f t="shared" si="488"/>
        <v>0.02</v>
      </c>
      <c r="M3068" s="137" t="str">
        <f>工時!R2252</f>
        <v>300</v>
      </c>
      <c r="N3068" s="374"/>
      <c r="O3068" s="374">
        <f t="shared" si="489"/>
        <v>4</v>
      </c>
      <c r="P3068" s="156">
        <v>5563</v>
      </c>
      <c r="Q3068" s="145">
        <f t="shared" si="490"/>
        <v>0.99928148015088913</v>
      </c>
      <c r="R3068" s="374"/>
      <c r="S3068" s="378"/>
      <c r="T3068" s="375"/>
      <c r="U3068" s="398"/>
      <c r="V3068" s="398" t="s">
        <v>1849</v>
      </c>
      <c r="W3068" s="427">
        <v>46190</v>
      </c>
      <c r="X3068" s="264" t="s">
        <v>1867</v>
      </c>
      <c r="Y3068" s="427">
        <v>46195</v>
      </c>
      <c r="Z3068" s="427"/>
      <c r="AA3068" s="427">
        <v>46189</v>
      </c>
      <c r="AB3068" s="427">
        <v>46190</v>
      </c>
      <c r="AC3068" s="425">
        <f t="shared" si="491"/>
        <v>0</v>
      </c>
      <c r="AD3068" s="425">
        <f t="shared" si="492"/>
        <v>5</v>
      </c>
    </row>
    <row r="3069" spans="1:30" s="381" customFormat="1" x14ac:dyDescent="0.4">
      <c r="A3069" s="402">
        <v>46190</v>
      </c>
      <c r="B3069" s="392" t="s">
        <v>158</v>
      </c>
      <c r="C3069" s="375" t="str">
        <f>VLOOKUP(B3069,'112年全品項生產鍋數'!A:H,2,0)</f>
        <v>小圓草莓(1*170g)</v>
      </c>
      <c r="D3069" s="406">
        <v>4</v>
      </c>
      <c r="E3069" s="141">
        <f>VLOOKUP(B3069,'112年全品項生產鍋數'!A:H,3,0)</f>
        <v>0.17</v>
      </c>
      <c r="F3069" s="142">
        <f>VLOOKUP(B3069,'112年全品項生產鍋數'!A:H,7,0)</f>
        <v>912.6</v>
      </c>
      <c r="G3069" s="143">
        <f t="shared" si="485"/>
        <v>3650.4</v>
      </c>
      <c r="H3069" s="156">
        <v>3542</v>
      </c>
      <c r="I3069" s="374">
        <f t="shared" si="486"/>
        <v>602.1400000000001</v>
      </c>
      <c r="J3069" s="100">
        <f t="shared" si="487"/>
        <v>0.97030462415077801</v>
      </c>
      <c r="K3069" s="51">
        <f>VLOOKUP(B:B,'生產達成率(目標)'!A:C,3,0)</f>
        <v>1</v>
      </c>
      <c r="L3069" s="20">
        <f t="shared" si="488"/>
        <v>-0.03</v>
      </c>
      <c r="M3069" s="137" t="str">
        <f>工時!R2253</f>
        <v>160</v>
      </c>
      <c r="N3069" s="374"/>
      <c r="O3069" s="374">
        <f t="shared" si="489"/>
        <v>7</v>
      </c>
      <c r="P3069" s="156">
        <v>3535</v>
      </c>
      <c r="Q3069" s="145">
        <f t="shared" si="490"/>
        <v>0.99802371541501977</v>
      </c>
      <c r="R3069" s="374"/>
      <c r="S3069" s="378"/>
      <c r="T3069" s="375"/>
      <c r="U3069" s="398"/>
      <c r="V3069" s="398" t="s">
        <v>1849</v>
      </c>
      <c r="W3069" s="427">
        <v>46195.649762499997</v>
      </c>
      <c r="X3069" s="264" t="s">
        <v>1867</v>
      </c>
      <c r="Y3069" s="427">
        <v>46195</v>
      </c>
      <c r="Z3069" s="427"/>
      <c r="AA3069" s="427">
        <v>46189</v>
      </c>
      <c r="AB3069" s="427">
        <v>46190</v>
      </c>
      <c r="AC3069" s="425">
        <f t="shared" si="491"/>
        <v>5.6497624999974505</v>
      </c>
      <c r="AD3069" s="425">
        <f t="shared" si="492"/>
        <v>5</v>
      </c>
    </row>
    <row r="3070" spans="1:30" s="381" customFormat="1" x14ac:dyDescent="0.4">
      <c r="A3070" s="402">
        <v>46190</v>
      </c>
      <c r="B3070" s="392" t="s">
        <v>887</v>
      </c>
      <c r="C3070" s="375" t="str">
        <f>VLOOKUP(B3070,'112年全品項生產鍋數'!A:H,2,0)</f>
        <v>檸檬藍莓醬1*260G</v>
      </c>
      <c r="D3070" s="406">
        <v>3</v>
      </c>
      <c r="E3070" s="141">
        <f>VLOOKUP(B3070,'112年全品項生產鍋數'!A:H,3,0)</f>
        <v>0.26</v>
      </c>
      <c r="F3070" s="142">
        <f>VLOOKUP(B3070,'112年全品項生產鍋數'!A:H,7,0)</f>
        <v>612</v>
      </c>
      <c r="G3070" s="143">
        <f t="shared" si="485"/>
        <v>1836</v>
      </c>
      <c r="H3070" s="156">
        <v>1611</v>
      </c>
      <c r="I3070" s="374">
        <f t="shared" si="486"/>
        <v>418.86</v>
      </c>
      <c r="J3070" s="100">
        <f t="shared" si="487"/>
        <v>0.87745098039215685</v>
      </c>
      <c r="K3070" s="51">
        <f>VLOOKUP(B:B,'生產達成率(目標)'!A:C,3,0)</f>
        <v>1</v>
      </c>
      <c r="L3070" s="20">
        <f t="shared" si="488"/>
        <v>-0.123</v>
      </c>
      <c r="M3070" s="137" t="str">
        <f>工時!R2254</f>
        <v>135</v>
      </c>
      <c r="N3070" s="374"/>
      <c r="O3070" s="374">
        <f t="shared" si="489"/>
        <v>4</v>
      </c>
      <c r="P3070" s="156">
        <v>1607</v>
      </c>
      <c r="Q3070" s="145">
        <f t="shared" si="490"/>
        <v>0.99751707014276847</v>
      </c>
      <c r="R3070" s="374"/>
      <c r="S3070" s="378"/>
      <c r="T3070" s="375"/>
      <c r="U3070" s="398"/>
      <c r="V3070" s="398" t="s">
        <v>1849</v>
      </c>
      <c r="W3070" s="427">
        <v>46190</v>
      </c>
      <c r="X3070" s="264" t="s">
        <v>1867</v>
      </c>
      <c r="Y3070" s="427">
        <v>46195</v>
      </c>
      <c r="Z3070" s="427"/>
      <c r="AA3070" s="427">
        <v>46189</v>
      </c>
      <c r="AB3070" s="427">
        <v>46190</v>
      </c>
      <c r="AC3070" s="425">
        <f t="shared" si="491"/>
        <v>0</v>
      </c>
      <c r="AD3070" s="425">
        <f t="shared" si="492"/>
        <v>5</v>
      </c>
    </row>
    <row r="3071" spans="1:30" s="361" customFormat="1" x14ac:dyDescent="0.4">
      <c r="A3071" s="402">
        <v>46190</v>
      </c>
      <c r="B3071" s="392" t="s">
        <v>53</v>
      </c>
      <c r="C3071" s="364" t="str">
        <f>VLOOKUP(B3071,'112年全品項生產鍋數'!A:H,2,0)</f>
        <v>鳳梨芒果百香果醬(1*6KG)</v>
      </c>
      <c r="D3071" s="404">
        <v>6</v>
      </c>
      <c r="E3071" s="48">
        <f>VLOOKUP(B3071,'112年全品項生產鍋數'!A:H,3,0)</f>
        <v>6</v>
      </c>
      <c r="F3071" s="142">
        <f>VLOOKUP(B3071,'112年全品項生產鍋數'!A:H,7,0)</f>
        <v>25.7</v>
      </c>
      <c r="G3071" s="143">
        <f t="shared" si="485"/>
        <v>154.19999999999999</v>
      </c>
      <c r="H3071" s="156">
        <v>155</v>
      </c>
      <c r="I3071" s="371">
        <f t="shared" si="486"/>
        <v>930</v>
      </c>
      <c r="J3071" s="100">
        <f t="shared" si="487"/>
        <v>1.0051880674448768</v>
      </c>
      <c r="K3071" s="51">
        <f>VLOOKUP(B:B,'生產達成率(目標)'!A:C,3,0)</f>
        <v>1</v>
      </c>
      <c r="L3071" s="20">
        <f t="shared" si="488"/>
        <v>5.0000000000000001E-3</v>
      </c>
      <c r="M3071" s="137" t="str">
        <f>工時!R2255</f>
        <v>140</v>
      </c>
      <c r="N3071" s="374"/>
      <c r="O3071" s="374">
        <f t="shared" si="489"/>
        <v>1</v>
      </c>
      <c r="P3071" s="156">
        <v>154</v>
      </c>
      <c r="Q3071" s="98">
        <f t="shared" si="490"/>
        <v>0.99354838709677418</v>
      </c>
      <c r="R3071" s="371"/>
      <c r="S3071" s="372"/>
      <c r="T3071" s="364"/>
      <c r="U3071" s="264"/>
      <c r="V3071" s="264" t="s">
        <v>1847</v>
      </c>
      <c r="W3071" s="424">
        <v>46191</v>
      </c>
      <c r="X3071" s="264" t="s">
        <v>1867</v>
      </c>
      <c r="Y3071" s="424">
        <v>46191</v>
      </c>
      <c r="Z3071" s="424"/>
      <c r="AA3071" s="424">
        <v>46189</v>
      </c>
      <c r="AB3071" s="424">
        <v>46190</v>
      </c>
      <c r="AC3071" s="425">
        <f t="shared" si="491"/>
        <v>1</v>
      </c>
      <c r="AD3071" s="425">
        <f t="shared" si="492"/>
        <v>1</v>
      </c>
    </row>
    <row r="3072" spans="1:30" s="361" customFormat="1" x14ac:dyDescent="0.4">
      <c r="A3072" s="402">
        <v>46190</v>
      </c>
      <c r="B3072" s="392" t="s">
        <v>63</v>
      </c>
      <c r="C3072" s="364" t="str">
        <f>VLOOKUP(B3072,'112年全品項生產鍋數'!A:H,2,0)</f>
        <v>草莓蒟蒻餡(1*6kg)</v>
      </c>
      <c r="D3072" s="404">
        <v>24</v>
      </c>
      <c r="E3072" s="48">
        <f>VLOOKUP(B3072,'112年全品項生產鍋數'!A:H,3,0)</f>
        <v>6</v>
      </c>
      <c r="F3072" s="142">
        <f>VLOOKUP(B3072,'112年全品項生產鍋數'!A:H,7,0)</f>
        <v>25.7</v>
      </c>
      <c r="G3072" s="143">
        <f t="shared" si="485"/>
        <v>616.79999999999995</v>
      </c>
      <c r="H3072" s="156">
        <f>302+313</f>
        <v>615</v>
      </c>
      <c r="I3072" s="371">
        <f t="shared" si="486"/>
        <v>3690</v>
      </c>
      <c r="J3072" s="100">
        <f t="shared" si="487"/>
        <v>0.99708171206225693</v>
      </c>
      <c r="K3072" s="51">
        <f>VLOOKUP(B:B,'生產達成率(目標)'!A:C,3,0)</f>
        <v>1</v>
      </c>
      <c r="L3072" s="20">
        <f t="shared" si="488"/>
        <v>-3.0000000000000001E-3</v>
      </c>
      <c r="M3072" s="137" t="str">
        <f>工時!R2256</f>
        <v>321</v>
      </c>
      <c r="N3072" s="374"/>
      <c r="O3072" s="374">
        <f t="shared" si="489"/>
        <v>1</v>
      </c>
      <c r="P3072" s="156">
        <f>301+313</f>
        <v>614</v>
      </c>
      <c r="Q3072" s="98">
        <f t="shared" si="490"/>
        <v>0.99837398373983743</v>
      </c>
      <c r="R3072" s="371"/>
      <c r="S3072" s="372"/>
      <c r="T3072" s="364"/>
      <c r="U3072" s="264"/>
      <c r="V3072" s="264" t="s">
        <v>1847</v>
      </c>
      <c r="W3072" s="424">
        <v>46191</v>
      </c>
      <c r="X3072" s="264" t="s">
        <v>1867</v>
      </c>
      <c r="Y3072" s="424">
        <v>46191</v>
      </c>
      <c r="Z3072" s="424"/>
      <c r="AA3072" s="424" t="s">
        <v>1710</v>
      </c>
      <c r="AB3072" s="424" t="s">
        <v>426</v>
      </c>
      <c r="AC3072" s="425">
        <f t="shared" si="491"/>
        <v>1</v>
      </c>
      <c r="AD3072" s="425">
        <f t="shared" si="492"/>
        <v>1</v>
      </c>
    </row>
    <row r="3073" spans="1:30" s="361" customFormat="1" x14ac:dyDescent="0.4">
      <c r="A3073" s="402">
        <v>46190</v>
      </c>
      <c r="B3073" s="392" t="s">
        <v>107</v>
      </c>
      <c r="C3073" s="364" t="str">
        <f>VLOOKUP(B3073,'112年全品項生產鍋數'!A:H,2,0)</f>
        <v>藍莓餡(1*6kg)</v>
      </c>
      <c r="D3073" s="404">
        <v>8</v>
      </c>
      <c r="E3073" s="48">
        <f>VLOOKUP(B3073,'112年全品項生產鍋數'!A:H,3,0)</f>
        <v>6</v>
      </c>
      <c r="F3073" s="142">
        <f>VLOOKUP(B3073,'112年全品項生產鍋數'!A:H,7,0)</f>
        <v>26.4</v>
      </c>
      <c r="G3073" s="143">
        <f t="shared" si="485"/>
        <v>211.2</v>
      </c>
      <c r="H3073" s="156">
        <v>199</v>
      </c>
      <c r="I3073" s="371">
        <f t="shared" si="486"/>
        <v>1194</v>
      </c>
      <c r="J3073" s="100">
        <f t="shared" si="487"/>
        <v>0.94223484848484851</v>
      </c>
      <c r="K3073" s="51">
        <f>VLOOKUP(B:B,'生產達成率(目標)'!A:C,3,0)</f>
        <v>1</v>
      </c>
      <c r="L3073" s="20">
        <f t="shared" si="488"/>
        <v>-5.8000000000000003E-2</v>
      </c>
      <c r="M3073" s="137" t="str">
        <f>工時!R2257</f>
        <v>130</v>
      </c>
      <c r="N3073" s="374"/>
      <c r="O3073" s="374">
        <f t="shared" si="489"/>
        <v>1</v>
      </c>
      <c r="P3073" s="156">
        <v>198</v>
      </c>
      <c r="Q3073" s="98">
        <f t="shared" si="490"/>
        <v>0.99497487437185927</v>
      </c>
      <c r="R3073" s="371"/>
      <c r="S3073" s="372"/>
      <c r="T3073" s="364"/>
      <c r="U3073" s="264"/>
      <c r="V3073" s="264" t="s">
        <v>1847</v>
      </c>
      <c r="W3073" s="424">
        <v>46191</v>
      </c>
      <c r="X3073" s="264" t="s">
        <v>1867</v>
      </c>
      <c r="Y3073" s="424">
        <v>46191</v>
      </c>
      <c r="Z3073" s="424"/>
      <c r="AA3073" s="424">
        <v>46189.607473263888</v>
      </c>
      <c r="AB3073" s="424">
        <v>46190</v>
      </c>
      <c r="AC3073" s="425">
        <f t="shared" si="491"/>
        <v>1</v>
      </c>
      <c r="AD3073" s="425">
        <f t="shared" si="492"/>
        <v>1</v>
      </c>
    </row>
    <row r="3074" spans="1:30" s="381" customFormat="1" x14ac:dyDescent="0.4">
      <c r="A3074" s="402">
        <v>46191</v>
      </c>
      <c r="B3074" s="392" t="s">
        <v>1162</v>
      </c>
      <c r="C3074" s="375" t="str">
        <f>VLOOKUP(B3074,'112年全品項生產鍋數'!A:H,2,0)</f>
        <v>藍莓餡(1*6KG)</v>
      </c>
      <c r="D3074" s="406">
        <v>16</v>
      </c>
      <c r="E3074" s="141">
        <f>VLOOKUP(B3074,'112年全品項生產鍋數'!A:H,3,0)</f>
        <v>6</v>
      </c>
      <c r="F3074" s="142">
        <f>VLOOKUP(B3074,'112年全品項生產鍋數'!A:H,7,0)</f>
        <v>25.4</v>
      </c>
      <c r="G3074" s="143">
        <f t="shared" si="485"/>
        <v>406.4</v>
      </c>
      <c r="H3074" s="156">
        <f>195+207</f>
        <v>402</v>
      </c>
      <c r="I3074" s="374">
        <f t="shared" si="486"/>
        <v>2412</v>
      </c>
      <c r="J3074" s="100">
        <f t="shared" si="487"/>
        <v>0.98917322834645671</v>
      </c>
      <c r="K3074" s="51" t="e">
        <f>VLOOKUP(B:B,'生產達成率(目標)'!A:C,3,0)</f>
        <v>#N/A</v>
      </c>
      <c r="L3074" s="20" t="e">
        <f t="shared" si="488"/>
        <v>#N/A</v>
      </c>
      <c r="M3074" s="137" t="str">
        <f>工時!R2258</f>
        <v>250</v>
      </c>
      <c r="N3074" s="374"/>
      <c r="O3074" s="374">
        <f t="shared" si="489"/>
        <v>2</v>
      </c>
      <c r="P3074" s="156">
        <f>194+206</f>
        <v>400</v>
      </c>
      <c r="Q3074" s="145">
        <f t="shared" si="490"/>
        <v>0.99502487562189057</v>
      </c>
      <c r="R3074" s="374"/>
      <c r="S3074" s="378"/>
      <c r="T3074" s="375"/>
      <c r="U3074" s="398"/>
      <c r="V3074" s="398" t="s">
        <v>1847</v>
      </c>
      <c r="W3074" s="427">
        <v>46191</v>
      </c>
      <c r="X3074" s="264" t="s">
        <v>1867</v>
      </c>
      <c r="Y3074" s="427">
        <v>46191</v>
      </c>
      <c r="Z3074" s="427"/>
      <c r="AA3074" s="427">
        <v>46190</v>
      </c>
      <c r="AB3074" s="427">
        <v>46191</v>
      </c>
      <c r="AC3074" s="425">
        <f t="shared" si="491"/>
        <v>0</v>
      </c>
      <c r="AD3074" s="425">
        <f t="shared" si="492"/>
        <v>0</v>
      </c>
    </row>
    <row r="3075" spans="1:30" s="381" customFormat="1" x14ac:dyDescent="0.4">
      <c r="A3075" s="402">
        <v>46191</v>
      </c>
      <c r="B3075" s="392" t="s">
        <v>63</v>
      </c>
      <c r="C3075" s="375" t="str">
        <f>VLOOKUP(B3075,'112年全品項生產鍋數'!A:H,2,0)</f>
        <v>草莓蒟蒻餡(1*6kg)</v>
      </c>
      <c r="D3075" s="406">
        <v>20</v>
      </c>
      <c r="E3075" s="141">
        <f>VLOOKUP(B3075,'112年全品項生產鍋數'!A:H,3,0)</f>
        <v>6</v>
      </c>
      <c r="F3075" s="142">
        <f>VLOOKUP(B3075,'112年全品項生產鍋數'!A:H,7,0)</f>
        <v>25.7</v>
      </c>
      <c r="G3075" s="143">
        <f t="shared" si="485"/>
        <v>514</v>
      </c>
      <c r="H3075" s="156">
        <f>149+361</f>
        <v>510</v>
      </c>
      <c r="I3075" s="374">
        <f t="shared" si="486"/>
        <v>3060</v>
      </c>
      <c r="J3075" s="100">
        <f t="shared" si="487"/>
        <v>0.99221789883268485</v>
      </c>
      <c r="K3075" s="51">
        <f>VLOOKUP(B:B,'生產達成率(目標)'!A:C,3,0)</f>
        <v>1</v>
      </c>
      <c r="L3075" s="20">
        <f t="shared" si="488"/>
        <v>-8.0000000000000002E-3</v>
      </c>
      <c r="M3075" s="137" t="str">
        <f>工時!R2259</f>
        <v>335</v>
      </c>
      <c r="N3075" s="374"/>
      <c r="O3075" s="374">
        <f t="shared" si="489"/>
        <v>2</v>
      </c>
      <c r="P3075" s="156">
        <f>148+360</f>
        <v>508</v>
      </c>
      <c r="Q3075" s="145">
        <f t="shared" si="490"/>
        <v>0.99607843137254903</v>
      </c>
      <c r="R3075" s="374"/>
      <c r="S3075" s="378"/>
      <c r="T3075" s="375"/>
      <c r="U3075" s="398"/>
      <c r="V3075" s="398" t="s">
        <v>1847</v>
      </c>
      <c r="W3075" s="427">
        <v>46191</v>
      </c>
      <c r="X3075" s="264" t="s">
        <v>1867</v>
      </c>
      <c r="Y3075" s="427">
        <v>46191</v>
      </c>
      <c r="Z3075" s="427"/>
      <c r="AA3075" s="427" t="s">
        <v>426</v>
      </c>
      <c r="AB3075" s="427" t="s">
        <v>1733</v>
      </c>
      <c r="AC3075" s="425">
        <f t="shared" si="491"/>
        <v>0</v>
      </c>
      <c r="AD3075" s="425">
        <f t="shared" si="492"/>
        <v>0</v>
      </c>
    </row>
    <row r="3076" spans="1:30" s="381" customFormat="1" x14ac:dyDescent="0.4">
      <c r="A3076" s="402">
        <v>46191</v>
      </c>
      <c r="B3076" s="392" t="s">
        <v>73</v>
      </c>
      <c r="C3076" s="375" t="str">
        <f>VLOOKUP(B3076,'112年全品項生產鍋數'!A:H,2,0)</f>
        <v>顆粒花生醬(1*12KG)</v>
      </c>
      <c r="D3076" s="406">
        <v>21</v>
      </c>
      <c r="E3076" s="141">
        <f>VLOOKUP(B3076,'112年全品項生產鍋數'!A:H,3,0)</f>
        <v>3</v>
      </c>
      <c r="F3076" s="142">
        <f>VLOOKUP(B3076,'112年全品項生產鍋數'!A:H,7,0)</f>
        <v>29.7</v>
      </c>
      <c r="G3076" s="143">
        <f t="shared" si="485"/>
        <v>623.69999999999993</v>
      </c>
      <c r="H3076" s="156">
        <v>628</v>
      </c>
      <c r="I3076" s="374">
        <f t="shared" si="486"/>
        <v>1884</v>
      </c>
      <c r="J3076" s="100">
        <f t="shared" si="487"/>
        <v>1.0068943402276738</v>
      </c>
      <c r="K3076" s="51">
        <f>VLOOKUP(B:B,'生產達成率(目標)'!A:C,3,0)</f>
        <v>1</v>
      </c>
      <c r="L3076" s="20">
        <f t="shared" si="488"/>
        <v>7.0000000000000001E-3</v>
      </c>
      <c r="M3076" s="137" t="str">
        <f>工時!R2260</f>
        <v>510</v>
      </c>
      <c r="N3076" s="374"/>
      <c r="O3076" s="374">
        <f t="shared" si="489"/>
        <v>0</v>
      </c>
      <c r="P3076" s="156">
        <v>628</v>
      </c>
      <c r="Q3076" s="145">
        <f t="shared" si="490"/>
        <v>1</v>
      </c>
      <c r="R3076" s="374"/>
      <c r="S3076" s="378"/>
      <c r="T3076" s="375"/>
      <c r="U3076" s="398"/>
      <c r="V3076" s="398" t="s">
        <v>1848</v>
      </c>
      <c r="W3076" s="427">
        <v>46191</v>
      </c>
      <c r="X3076" s="264" t="s">
        <v>1848</v>
      </c>
      <c r="Y3076" s="427">
        <v>46191</v>
      </c>
      <c r="Z3076" s="427"/>
      <c r="AA3076" s="427">
        <v>46190</v>
      </c>
      <c r="AB3076" s="427" t="s">
        <v>1733</v>
      </c>
      <c r="AC3076" s="425">
        <f t="shared" si="491"/>
        <v>0</v>
      </c>
      <c r="AD3076" s="425">
        <f t="shared" si="492"/>
        <v>0</v>
      </c>
    </row>
    <row r="3077" spans="1:30" s="361" customFormat="1" x14ac:dyDescent="0.4">
      <c r="A3077" s="402">
        <v>46191</v>
      </c>
      <c r="B3077" s="392" t="s">
        <v>1697</v>
      </c>
      <c r="C3077" s="364" t="str">
        <f>VLOOKUP(B3077,'112年全品項生產鍋數'!A:H,2,0)</f>
        <v>化應子(1*2.5KG)</v>
      </c>
      <c r="D3077" s="404">
        <v>468</v>
      </c>
      <c r="E3077" s="48">
        <f>VLOOKUP(B3077,'112年全品項生產鍋數'!A:H,3,0)</f>
        <v>2.5</v>
      </c>
      <c r="F3077" s="142">
        <f>VLOOKUP(B3077,'112年全品項生產鍋數'!A:H,7,0)</f>
        <v>0</v>
      </c>
      <c r="G3077" s="143">
        <f t="shared" si="485"/>
        <v>0</v>
      </c>
      <c r="H3077" s="156">
        <v>185</v>
      </c>
      <c r="I3077" s="371">
        <f t="shared" si="486"/>
        <v>462.5</v>
      </c>
      <c r="J3077" s="100" t="str">
        <f t="shared" si="487"/>
        <v>無法預估數據</v>
      </c>
      <c r="K3077" s="51">
        <f>VLOOKUP(B:B,'生產達成率(目標)'!A:C,3,0)</f>
        <v>1</v>
      </c>
      <c r="L3077" s="20" t="str">
        <f t="shared" si="488"/>
        <v>無法預估數據</v>
      </c>
      <c r="M3077" s="137" t="str">
        <f>工時!R2261</f>
        <v>0</v>
      </c>
      <c r="N3077" s="374"/>
      <c r="O3077" s="374">
        <f t="shared" si="489"/>
        <v>0</v>
      </c>
      <c r="P3077" s="156">
        <v>185</v>
      </c>
      <c r="Q3077" s="98">
        <f t="shared" si="490"/>
        <v>1</v>
      </c>
      <c r="R3077" s="371"/>
      <c r="S3077" s="372"/>
      <c r="T3077" s="364"/>
      <c r="U3077" s="264"/>
      <c r="V3077" s="264" t="s">
        <v>1850</v>
      </c>
      <c r="W3077" s="424" t="s">
        <v>426</v>
      </c>
      <c r="X3077" s="264" t="s">
        <v>1710</v>
      </c>
      <c r="Y3077" s="424" t="s">
        <v>426</v>
      </c>
      <c r="Z3077" s="424"/>
      <c r="AA3077" s="424" t="s">
        <v>1721</v>
      </c>
      <c r="AB3077" s="424" t="s">
        <v>426</v>
      </c>
      <c r="AC3077" s="425">
        <v>0</v>
      </c>
      <c r="AD3077" s="425">
        <v>0</v>
      </c>
    </row>
    <row r="3078" spans="1:30" s="381" customFormat="1" x14ac:dyDescent="0.4">
      <c r="A3078" s="402">
        <v>46195</v>
      </c>
      <c r="B3078" s="392" t="s">
        <v>63</v>
      </c>
      <c r="C3078" s="375" t="str">
        <f>VLOOKUP(B3078,'112年全品項生產鍋數'!A:H,2,0)</f>
        <v>草莓蒟蒻餡(1*6kg)</v>
      </c>
      <c r="D3078" s="406">
        <v>24</v>
      </c>
      <c r="E3078" s="141">
        <f>VLOOKUP(B3078,'112年全品項生產鍋數'!A:H,3,0)</f>
        <v>6</v>
      </c>
      <c r="F3078" s="142">
        <f>VLOOKUP(B3078,'112年全品項生產鍋數'!A:H,7,0)</f>
        <v>25.7</v>
      </c>
      <c r="G3078" s="143">
        <f t="shared" si="477"/>
        <v>616.79999999999995</v>
      </c>
      <c r="H3078" s="156">
        <f>280+340</f>
        <v>620</v>
      </c>
      <c r="I3078" s="374">
        <f t="shared" si="478"/>
        <v>3720</v>
      </c>
      <c r="J3078" s="100">
        <f t="shared" si="479"/>
        <v>1.0051880674448768</v>
      </c>
      <c r="K3078" s="51">
        <f>VLOOKUP(B:B,'生產達成率(目標)'!A:C,3,0)</f>
        <v>1</v>
      </c>
      <c r="L3078" s="20">
        <f t="shared" si="480"/>
        <v>5.0000000000000001E-3</v>
      </c>
      <c r="M3078" s="137" t="str">
        <f>工時!R2265</f>
        <v>370</v>
      </c>
      <c r="N3078" s="374"/>
      <c r="O3078" s="374">
        <f t="shared" si="481"/>
        <v>1</v>
      </c>
      <c r="P3078" s="156">
        <f>279+340</f>
        <v>619</v>
      </c>
      <c r="Q3078" s="145">
        <f t="shared" si="482"/>
        <v>0.99838709677419357</v>
      </c>
      <c r="R3078" s="374"/>
      <c r="S3078" s="378"/>
      <c r="T3078" s="375"/>
      <c r="U3078" s="398"/>
      <c r="V3078" s="398" t="s">
        <v>1849</v>
      </c>
      <c r="W3078" s="427">
        <v>46195</v>
      </c>
      <c r="X3078" s="264" t="s">
        <v>1867</v>
      </c>
      <c r="Y3078" s="427">
        <v>46197</v>
      </c>
      <c r="Z3078" s="427"/>
      <c r="AA3078" s="427" t="s">
        <v>1733</v>
      </c>
      <c r="AB3078" s="427">
        <v>46195</v>
      </c>
      <c r="AC3078" s="425">
        <f t="shared" ref="AC3078:AC3109" si="493" xml:space="preserve"> IF((W3078-A3078)&lt;0,"未收到",W3078-A3078)</f>
        <v>0</v>
      </c>
      <c r="AD3078" s="425">
        <f xml:space="preserve"> IF((Y3078-A3078)&lt;0,"未收到",Y3078-A3078)</f>
        <v>2</v>
      </c>
    </row>
    <row r="3079" spans="1:30" s="381" customFormat="1" x14ac:dyDescent="0.4">
      <c r="A3079" s="402">
        <v>46195</v>
      </c>
      <c r="B3079" s="392" t="s">
        <v>91</v>
      </c>
      <c r="C3079" s="375" t="str">
        <f>VLOOKUP(B3079,'112年全品項生產鍋數'!A:H,2,0)</f>
        <v>梨山草莓果醬(1*430g)</v>
      </c>
      <c r="D3079" s="406">
        <v>6</v>
      </c>
      <c r="E3079" s="141">
        <f>VLOOKUP(B3079,'112年全品項生產鍋數'!A:H,3,0)</f>
        <v>0.43</v>
      </c>
      <c r="F3079" s="142">
        <f>VLOOKUP(B3079,'112年全品項生產鍋數'!A:H,7,0)</f>
        <v>340.4</v>
      </c>
      <c r="G3079" s="143">
        <f t="shared" si="477"/>
        <v>2042.3999999999999</v>
      </c>
      <c r="H3079" s="156">
        <f>864+1082</f>
        <v>1946</v>
      </c>
      <c r="I3079" s="374">
        <f t="shared" si="478"/>
        <v>836.78</v>
      </c>
      <c r="J3079" s="100">
        <f t="shared" si="479"/>
        <v>0.95280062671367027</v>
      </c>
      <c r="K3079" s="51">
        <f>VLOOKUP(B:B,'生產達成率(目標)'!A:C,3,0)</f>
        <v>1</v>
      </c>
      <c r="L3079" s="20">
        <f t="shared" si="480"/>
        <v>-4.7E-2</v>
      </c>
      <c r="M3079" s="137" t="str">
        <f>工時!R2266</f>
        <v>240</v>
      </c>
      <c r="N3079" s="374"/>
      <c r="O3079" s="374">
        <f t="shared" si="481"/>
        <v>6</v>
      </c>
      <c r="P3079" s="156">
        <f>860+1080</f>
        <v>1940</v>
      </c>
      <c r="Q3079" s="145">
        <f t="shared" si="482"/>
        <v>0.99691675231243582</v>
      </c>
      <c r="R3079" s="374"/>
      <c r="S3079" s="378"/>
      <c r="T3079" s="375" t="s">
        <v>1723</v>
      </c>
      <c r="U3079" s="398"/>
      <c r="V3079" s="398" t="s">
        <v>1849</v>
      </c>
      <c r="W3079" s="427">
        <v>46195</v>
      </c>
      <c r="X3079" s="264" t="s">
        <v>1867</v>
      </c>
      <c r="Y3079" s="427">
        <v>46197</v>
      </c>
      <c r="Z3079" s="427"/>
      <c r="AA3079" s="427">
        <v>46191</v>
      </c>
      <c r="AB3079" s="427">
        <v>46195</v>
      </c>
      <c r="AC3079" s="425">
        <f t="shared" si="493"/>
        <v>0</v>
      </c>
      <c r="AD3079" s="425">
        <f xml:space="preserve"> IF((Y3079-A3079)&lt;0,"未收到",Y3079-A3079)</f>
        <v>2</v>
      </c>
    </row>
    <row r="3080" spans="1:30" s="361" customFormat="1" x14ac:dyDescent="0.4">
      <c r="A3080" s="402">
        <v>46195</v>
      </c>
      <c r="B3080" s="392" t="s">
        <v>73</v>
      </c>
      <c r="C3080" s="364" t="str">
        <f>VLOOKUP(B3080,'112年全品項生產鍋數'!A:H,2,0)</f>
        <v>顆粒花生醬(1*12KG)</v>
      </c>
      <c r="D3080" s="404">
        <v>21</v>
      </c>
      <c r="E3080" s="48">
        <f>VLOOKUP(B3080,'112年全品項生產鍋數'!A:H,3,0)</f>
        <v>3</v>
      </c>
      <c r="F3080" s="142">
        <f>VLOOKUP(B3080,'112年全品項生產鍋數'!A:H,7,0)</f>
        <v>29.7</v>
      </c>
      <c r="G3080" s="143">
        <f t="shared" si="477"/>
        <v>623.69999999999993</v>
      </c>
      <c r="H3080" s="156">
        <v>628</v>
      </c>
      <c r="I3080" s="371">
        <f t="shared" si="478"/>
        <v>1884</v>
      </c>
      <c r="J3080" s="100">
        <f t="shared" si="479"/>
        <v>1.0068943402276738</v>
      </c>
      <c r="K3080" s="51">
        <f>VLOOKUP(B:B,'生產達成率(目標)'!A:C,3,0)</f>
        <v>1</v>
      </c>
      <c r="L3080" s="20">
        <f t="shared" si="480"/>
        <v>7.0000000000000001E-3</v>
      </c>
      <c r="M3080" s="137" t="str">
        <f>工時!R2267</f>
        <v>510</v>
      </c>
      <c r="N3080" s="374"/>
      <c r="O3080" s="374">
        <f t="shared" si="481"/>
        <v>0</v>
      </c>
      <c r="P3080" s="156">
        <v>628</v>
      </c>
      <c r="Q3080" s="98">
        <f t="shared" si="482"/>
        <v>1</v>
      </c>
      <c r="R3080" s="371"/>
      <c r="S3080" s="372"/>
      <c r="T3080" s="364" t="s">
        <v>1153</v>
      </c>
      <c r="U3080" s="264"/>
      <c r="V3080" s="264" t="s">
        <v>1847</v>
      </c>
      <c r="W3080" s="424">
        <v>46195</v>
      </c>
      <c r="X3080" s="264" t="s">
        <v>1867</v>
      </c>
      <c r="Y3080" s="424">
        <v>46195</v>
      </c>
      <c r="Z3080" s="424"/>
      <c r="AA3080" s="424" t="s">
        <v>1733</v>
      </c>
      <c r="AB3080" s="424">
        <v>46195</v>
      </c>
      <c r="AC3080" s="425">
        <f t="shared" si="493"/>
        <v>0</v>
      </c>
      <c r="AD3080" s="425">
        <f xml:space="preserve"> IF((Y3080-A3080)&lt;0,"未收到",Y3080-A3080)</f>
        <v>0</v>
      </c>
    </row>
    <row r="3081" spans="1:30" s="361" customFormat="1" x14ac:dyDescent="0.4">
      <c r="A3081" s="402">
        <v>46195</v>
      </c>
      <c r="B3081" s="392" t="s">
        <v>83</v>
      </c>
      <c r="C3081" s="364" t="str">
        <f>VLOOKUP(B3081,'112年全品項生產鍋數'!A:H,2,0)</f>
        <v>PET瓶花生(粒)(1*340g)</v>
      </c>
      <c r="D3081" s="404">
        <v>8</v>
      </c>
      <c r="E3081" s="48">
        <f>VLOOKUP(B3081,'112年全品項生產鍋數'!A:H,3,0)</f>
        <v>0.34</v>
      </c>
      <c r="F3081" s="142">
        <f>VLOOKUP(B3081,'112年全品項生產鍋數'!A:H,7,0)</f>
        <v>366</v>
      </c>
      <c r="G3081" s="143">
        <f t="shared" si="477"/>
        <v>2928</v>
      </c>
      <c r="H3081" s="156">
        <f>2402+362</f>
        <v>2764</v>
      </c>
      <c r="I3081" s="371">
        <f t="shared" si="478"/>
        <v>939.7600000000001</v>
      </c>
      <c r="J3081" s="100">
        <f t="shared" si="479"/>
        <v>0.94398907103825136</v>
      </c>
      <c r="K3081" s="51">
        <f>VLOOKUP(B:B,'生產達成率(目標)'!A:C,3,0)</f>
        <v>1</v>
      </c>
      <c r="L3081" s="20">
        <f t="shared" si="480"/>
        <v>-5.6000000000000001E-2</v>
      </c>
      <c r="M3081" s="137" t="str">
        <f>工時!R2268</f>
        <v>160</v>
      </c>
      <c r="N3081" s="374"/>
      <c r="O3081" s="374">
        <f t="shared" si="481"/>
        <v>5</v>
      </c>
      <c r="P3081" s="156">
        <f>359+2400</f>
        <v>2759</v>
      </c>
      <c r="Q3081" s="98">
        <f t="shared" si="482"/>
        <v>0.998191027496382</v>
      </c>
      <c r="R3081" s="371"/>
      <c r="S3081" s="372"/>
      <c r="T3081" s="364" t="s">
        <v>1724</v>
      </c>
      <c r="U3081" s="264"/>
      <c r="V3081" s="264" t="s">
        <v>1848</v>
      </c>
      <c r="W3081" s="424">
        <v>46196</v>
      </c>
      <c r="X3081" s="264" t="s">
        <v>1848</v>
      </c>
      <c r="Y3081" s="424">
        <v>46196</v>
      </c>
      <c r="Z3081" s="424"/>
      <c r="AA3081" s="424">
        <v>46191</v>
      </c>
      <c r="AB3081" s="424">
        <v>46195</v>
      </c>
      <c r="AC3081" s="425">
        <f t="shared" si="493"/>
        <v>1</v>
      </c>
      <c r="AD3081" s="425">
        <f xml:space="preserve"> IF((Y3081-A3081)&lt;0,"未收到",Y3081-A3081)</f>
        <v>1</v>
      </c>
    </row>
    <row r="3082" spans="1:30" s="361" customFormat="1" x14ac:dyDescent="0.4">
      <c r="A3082" s="402">
        <v>46195</v>
      </c>
      <c r="B3082" s="392" t="s">
        <v>82</v>
      </c>
      <c r="C3082" s="364" t="str">
        <f>VLOOKUP(B3082,'112年全品項生產鍋數'!A:H,2,0)</f>
        <v>顆粒花生醬(全)</v>
      </c>
      <c r="D3082" s="404">
        <v>28</v>
      </c>
      <c r="E3082" s="48">
        <f>VLOOKUP(B3082,'112年全品項生產鍋數'!A:H,3,0)</f>
        <v>0.34</v>
      </c>
      <c r="F3082" s="142">
        <f>VLOOKUP(B3082,'112年全品項生產鍋數'!A:H,7,0)</f>
        <v>364.6</v>
      </c>
      <c r="G3082" s="143">
        <f t="shared" si="477"/>
        <v>10208.800000000001</v>
      </c>
      <c r="H3082" s="156">
        <v>10388</v>
      </c>
      <c r="I3082" s="371">
        <f t="shared" si="478"/>
        <v>3531.92</v>
      </c>
      <c r="J3082" s="100">
        <f t="shared" si="479"/>
        <v>1.0175534832693363</v>
      </c>
      <c r="K3082" s="51">
        <f>VLOOKUP(B:B,'生產達成率(目標)'!A:C,3,0)</f>
        <v>1</v>
      </c>
      <c r="L3082" s="20">
        <f t="shared" si="480"/>
        <v>1.7999999999999999E-2</v>
      </c>
      <c r="M3082" s="137" t="str">
        <f>工時!R2269</f>
        <v>440</v>
      </c>
      <c r="N3082" s="374"/>
      <c r="O3082" s="374">
        <f t="shared" si="481"/>
        <v>3</v>
      </c>
      <c r="P3082" s="156">
        <v>10385</v>
      </c>
      <c r="Q3082" s="98">
        <f t="shared" si="482"/>
        <v>0.99971120523681167</v>
      </c>
      <c r="R3082" s="371"/>
      <c r="S3082" s="372"/>
      <c r="T3082" s="364"/>
      <c r="U3082" s="264"/>
      <c r="V3082" s="264" t="s">
        <v>1848</v>
      </c>
      <c r="W3082" s="424">
        <v>46196</v>
      </c>
      <c r="X3082" s="264" t="s">
        <v>1848</v>
      </c>
      <c r="Y3082" s="424">
        <v>46196</v>
      </c>
      <c r="Z3082" s="424"/>
      <c r="AA3082" s="424">
        <v>46191</v>
      </c>
      <c r="AB3082" s="424">
        <v>46195</v>
      </c>
      <c r="AC3082" s="425">
        <f t="shared" si="493"/>
        <v>1</v>
      </c>
      <c r="AD3082" s="425">
        <f xml:space="preserve"> IF((Y3082-A3082)&lt;0,"未收到",Y3082-A3082)</f>
        <v>1</v>
      </c>
    </row>
    <row r="3083" spans="1:30" s="381" customFormat="1" x14ac:dyDescent="0.4">
      <c r="A3083" s="402">
        <v>46195</v>
      </c>
      <c r="B3083" s="392" t="s">
        <v>594</v>
      </c>
      <c r="C3083" s="375" t="str">
        <f>VLOOKUP(B3083,'112年全品項生產鍋數'!A:H,2,0)</f>
        <v>柚皮鮮果乾(100g)</v>
      </c>
      <c r="D3083" s="406">
        <v>1</v>
      </c>
      <c r="E3083" s="141">
        <f>VLOOKUP(B3083,'112年全品項生產鍋數'!A:H,3,0)</f>
        <v>0.1</v>
      </c>
      <c r="F3083" s="142">
        <f>VLOOKUP(B3083,'112年全品項生產鍋數'!A:H,7,0)</f>
        <v>1732</v>
      </c>
      <c r="G3083" s="143">
        <f t="shared" si="477"/>
        <v>1732</v>
      </c>
      <c r="H3083" s="156">
        <f>179/0.1</f>
        <v>1790</v>
      </c>
      <c r="I3083" s="374">
        <f t="shared" si="478"/>
        <v>179</v>
      </c>
      <c r="J3083" s="100">
        <f t="shared" si="479"/>
        <v>1.033487297921478</v>
      </c>
      <c r="K3083" s="51">
        <f>VLOOKUP(B:B,'生產達成率(目標)'!A:C,3,0)</f>
        <v>1</v>
      </c>
      <c r="L3083" s="20">
        <f t="shared" si="480"/>
        <v>3.3000000000000002E-2</v>
      </c>
      <c r="M3083" s="137" t="str">
        <f>工時!R2270</f>
        <v>0</v>
      </c>
      <c r="N3083" s="374"/>
      <c r="O3083" s="374">
        <f t="shared" si="481"/>
        <v>45</v>
      </c>
      <c r="P3083" s="156">
        <v>1745</v>
      </c>
      <c r="Q3083" s="145">
        <f t="shared" si="482"/>
        <v>0.97486033519553073</v>
      </c>
      <c r="R3083" s="374"/>
      <c r="S3083" s="378"/>
      <c r="T3083" s="375" t="s">
        <v>1750</v>
      </c>
      <c r="U3083" s="398"/>
      <c r="V3083" s="398" t="s">
        <v>1850</v>
      </c>
      <c r="W3083" s="427">
        <v>46198</v>
      </c>
      <c r="X3083" s="264" t="s">
        <v>1710</v>
      </c>
      <c r="Y3083" s="427" t="s">
        <v>1743</v>
      </c>
      <c r="Z3083" s="427"/>
      <c r="AA3083" s="427">
        <v>46191</v>
      </c>
      <c r="AB3083" s="427">
        <v>46206</v>
      </c>
      <c r="AC3083" s="425">
        <f t="shared" si="493"/>
        <v>3</v>
      </c>
      <c r="AD3083" s="425">
        <v>0</v>
      </c>
    </row>
    <row r="3084" spans="1:30" s="361" customFormat="1" x14ac:dyDescent="0.4">
      <c r="A3084" s="432">
        <v>46196</v>
      </c>
      <c r="B3084" s="433" t="s">
        <v>54</v>
      </c>
      <c r="C3084" s="364" t="str">
        <f>VLOOKUP(B3084,'112年全品項生產鍋數'!A:H,2,0)</f>
        <v>草莓醬(1*6kg)</v>
      </c>
      <c r="D3084" s="404">
        <v>24</v>
      </c>
      <c r="E3084" s="48">
        <f>VLOOKUP(B3084,'112年全品項生產鍋數'!A:H,3,0)</f>
        <v>6</v>
      </c>
      <c r="F3084" s="142">
        <f>VLOOKUP(B3084,'112年全品項生產鍋數'!A:H,7,0)</f>
        <v>26.6</v>
      </c>
      <c r="G3084" s="143">
        <f t="shared" si="477"/>
        <v>638.40000000000009</v>
      </c>
      <c r="H3084" s="156">
        <v>619</v>
      </c>
      <c r="I3084" s="371">
        <f t="shared" si="478"/>
        <v>3714</v>
      </c>
      <c r="J3084" s="100">
        <f t="shared" si="479"/>
        <v>0.96961152882205504</v>
      </c>
      <c r="K3084" s="51">
        <f>VLOOKUP(B:B,'生產達成率(目標)'!A:C,3,0)</f>
        <v>1</v>
      </c>
      <c r="L3084" s="20">
        <f t="shared" si="480"/>
        <v>-0.03</v>
      </c>
      <c r="M3084" s="137" t="str">
        <f>工時!R2271</f>
        <v>300</v>
      </c>
      <c r="N3084" s="374"/>
      <c r="O3084" s="374">
        <f t="shared" si="481"/>
        <v>3</v>
      </c>
      <c r="P3084" s="156">
        <v>616</v>
      </c>
      <c r="Q3084" s="98">
        <f t="shared" si="482"/>
        <v>0.99515347334410342</v>
      </c>
      <c r="R3084" s="371"/>
      <c r="S3084" s="372"/>
      <c r="T3084" s="364" t="s">
        <v>1153</v>
      </c>
      <c r="U3084" s="264"/>
      <c r="V3084" s="264" t="s">
        <v>1849</v>
      </c>
      <c r="W3084" s="424">
        <v>46196</v>
      </c>
      <c r="X3084" s="264" t="s">
        <v>1867</v>
      </c>
      <c r="Y3084" s="424">
        <v>46204</v>
      </c>
      <c r="Z3084" s="424"/>
      <c r="AA3084" s="424">
        <v>46195</v>
      </c>
      <c r="AB3084" s="424">
        <v>46196</v>
      </c>
      <c r="AC3084" s="425">
        <f t="shared" si="493"/>
        <v>0</v>
      </c>
      <c r="AD3084" s="425">
        <f t="shared" ref="AD3084:AD3102" si="494" xml:space="preserve"> IF((Y3084-A3084)&lt;0,"未收到",Y3084-A3084)</f>
        <v>8</v>
      </c>
    </row>
    <row r="3085" spans="1:30" s="361" customFormat="1" x14ac:dyDescent="0.4">
      <c r="A3085" s="402">
        <v>46196</v>
      </c>
      <c r="B3085" s="392" t="s">
        <v>51</v>
      </c>
      <c r="C3085" s="364" t="str">
        <f>VLOOKUP(B3085,'112年全品項生產鍋數'!A:H,2,0)</f>
        <v>藍莓醬(1*6kg)</v>
      </c>
      <c r="D3085" s="404">
        <v>12</v>
      </c>
      <c r="E3085" s="48">
        <f>VLOOKUP(B3085,'112年全品項生產鍋數'!A:H,3,0)</f>
        <v>6</v>
      </c>
      <c r="F3085" s="142">
        <f>VLOOKUP(B3085,'112年全品項生產鍋數'!A:H,7,0)</f>
        <v>25.5</v>
      </c>
      <c r="G3085" s="143">
        <f t="shared" si="477"/>
        <v>306</v>
      </c>
      <c r="H3085" s="156">
        <v>300</v>
      </c>
      <c r="I3085" s="371">
        <f t="shared" si="478"/>
        <v>1800</v>
      </c>
      <c r="J3085" s="100">
        <f t="shared" si="479"/>
        <v>0.98039215686274506</v>
      </c>
      <c r="K3085" s="51">
        <f>VLOOKUP(B:B,'生產達成率(目標)'!A:C,3,0)</f>
        <v>1</v>
      </c>
      <c r="L3085" s="20">
        <f t="shared" si="480"/>
        <v>-0.02</v>
      </c>
      <c r="M3085" s="137" t="str">
        <f>工時!R2272</f>
        <v>210</v>
      </c>
      <c r="N3085" s="374"/>
      <c r="O3085" s="374">
        <f t="shared" si="481"/>
        <v>1</v>
      </c>
      <c r="P3085" s="156">
        <v>299</v>
      </c>
      <c r="Q3085" s="98">
        <f t="shared" si="482"/>
        <v>0.9966666666666667</v>
      </c>
      <c r="R3085" s="371"/>
      <c r="S3085" s="372"/>
      <c r="T3085" s="364" t="s">
        <v>1153</v>
      </c>
      <c r="U3085" s="264"/>
      <c r="V3085" s="264" t="s">
        <v>1849</v>
      </c>
      <c r="W3085" s="424">
        <v>46196</v>
      </c>
      <c r="X3085" s="264" t="s">
        <v>1867</v>
      </c>
      <c r="Y3085" s="424">
        <v>46204</v>
      </c>
      <c r="Z3085" s="424"/>
      <c r="AA3085" s="424">
        <v>46195</v>
      </c>
      <c r="AB3085" s="424">
        <v>46196</v>
      </c>
      <c r="AC3085" s="425">
        <f t="shared" si="493"/>
        <v>0</v>
      </c>
      <c r="AD3085" s="425">
        <f t="shared" si="494"/>
        <v>8</v>
      </c>
    </row>
    <row r="3086" spans="1:30" s="361" customFormat="1" x14ac:dyDescent="0.4">
      <c r="A3086" s="402">
        <v>46196</v>
      </c>
      <c r="B3086" s="392" t="s">
        <v>1722</v>
      </c>
      <c r="C3086" s="364" t="str">
        <f>VLOOKUP(B3086,'112年全品項生產鍋數'!A:H,2,0)</f>
        <v>上好佳柳橙餡4.5KG</v>
      </c>
      <c r="D3086" s="404">
        <v>12</v>
      </c>
      <c r="E3086" s="48">
        <f>VLOOKUP(B3086,'112年全品項生產鍋數'!A:H,3,0)</f>
        <v>4.5</v>
      </c>
      <c r="F3086" s="142">
        <f>VLOOKUP(B3086,'112年全品項生產鍋數'!A:H,7,0)</f>
        <v>34.9</v>
      </c>
      <c r="G3086" s="143">
        <f t="shared" si="477"/>
        <v>418.79999999999995</v>
      </c>
      <c r="H3086" s="156">
        <v>415</v>
      </c>
      <c r="I3086" s="371">
        <f t="shared" si="478"/>
        <v>1867.5</v>
      </c>
      <c r="J3086" s="100">
        <f t="shared" si="479"/>
        <v>0.99092645654250244</v>
      </c>
      <c r="K3086" s="51">
        <f>VLOOKUP(B:B,'生產達成率(目標)'!A:C,3,0)</f>
        <v>1</v>
      </c>
      <c r="L3086" s="20">
        <f t="shared" si="480"/>
        <v>-8.9999999999999993E-3</v>
      </c>
      <c r="M3086" s="137" t="str">
        <f>工時!R2273</f>
        <v>280</v>
      </c>
      <c r="N3086" s="374"/>
      <c r="O3086" s="374">
        <f t="shared" si="481"/>
        <v>0</v>
      </c>
      <c r="P3086" s="156">
        <v>415</v>
      </c>
      <c r="Q3086" s="98">
        <f t="shared" si="482"/>
        <v>1</v>
      </c>
      <c r="R3086" s="371"/>
      <c r="S3086" s="372"/>
      <c r="T3086" s="364"/>
      <c r="U3086" s="264"/>
      <c r="V3086" s="264" t="s">
        <v>1847</v>
      </c>
      <c r="W3086" s="424">
        <v>46197</v>
      </c>
      <c r="X3086" s="264" t="s">
        <v>1867</v>
      </c>
      <c r="Y3086" s="424">
        <v>46198</v>
      </c>
      <c r="Z3086" s="424"/>
      <c r="AA3086" s="424">
        <v>46191</v>
      </c>
      <c r="AB3086" s="424">
        <v>46197</v>
      </c>
      <c r="AC3086" s="425">
        <f t="shared" si="493"/>
        <v>1</v>
      </c>
      <c r="AD3086" s="425">
        <f t="shared" si="494"/>
        <v>2</v>
      </c>
    </row>
    <row r="3087" spans="1:30" s="361" customFormat="1" x14ac:dyDescent="0.4">
      <c r="A3087" s="402">
        <v>46196</v>
      </c>
      <c r="B3087" s="392" t="s">
        <v>1698</v>
      </c>
      <c r="C3087" s="364" t="str">
        <f>VLOOKUP(B3087,'112年全品項生產鍋數'!A:H,2,0)</f>
        <v>上好佳草莓餡4.5KG</v>
      </c>
      <c r="D3087" s="404">
        <v>20</v>
      </c>
      <c r="E3087" s="48">
        <f>VLOOKUP(B3087,'112年全品項生產鍋數'!A:H,3,0)</f>
        <v>4.5</v>
      </c>
      <c r="F3087" s="142">
        <f>VLOOKUP(B3087,'112年全品項生產鍋數'!A:H,7,0)</f>
        <v>36.299999999999997</v>
      </c>
      <c r="G3087" s="143">
        <f t="shared" si="477"/>
        <v>726</v>
      </c>
      <c r="H3087" s="156">
        <v>710</v>
      </c>
      <c r="I3087" s="371">
        <f t="shared" si="478"/>
        <v>3195</v>
      </c>
      <c r="J3087" s="100">
        <f t="shared" si="479"/>
        <v>0.97796143250688705</v>
      </c>
      <c r="K3087" s="51">
        <f>VLOOKUP(B:B,'生產達成率(目標)'!A:C,3,0)</f>
        <v>1</v>
      </c>
      <c r="L3087" s="20">
        <f t="shared" si="480"/>
        <v>-2.1999999999999999E-2</v>
      </c>
      <c r="M3087" s="137" t="str">
        <f>工時!R2274</f>
        <v>380</v>
      </c>
      <c r="N3087" s="374"/>
      <c r="O3087" s="374">
        <f t="shared" si="481"/>
        <v>0</v>
      </c>
      <c r="P3087" s="156">
        <v>710</v>
      </c>
      <c r="Q3087" s="98">
        <f t="shared" si="482"/>
        <v>1</v>
      </c>
      <c r="R3087" s="371"/>
      <c r="S3087" s="372"/>
      <c r="T3087" s="364"/>
      <c r="U3087" s="264"/>
      <c r="V3087" s="264" t="s">
        <v>1847</v>
      </c>
      <c r="W3087" s="424">
        <v>46197</v>
      </c>
      <c r="X3087" s="264" t="s">
        <v>1867</v>
      </c>
      <c r="Y3087" s="424">
        <v>46198</v>
      </c>
      <c r="Z3087" s="424"/>
      <c r="AA3087" s="424">
        <v>46191</v>
      </c>
      <c r="AB3087" s="424">
        <v>46196</v>
      </c>
      <c r="AC3087" s="425">
        <f t="shared" si="493"/>
        <v>1</v>
      </c>
      <c r="AD3087" s="425">
        <f t="shared" si="494"/>
        <v>2</v>
      </c>
    </row>
    <row r="3088" spans="1:30" s="361" customFormat="1" x14ac:dyDescent="0.4">
      <c r="A3088" s="402">
        <v>46196</v>
      </c>
      <c r="B3088" s="392" t="s">
        <v>536</v>
      </c>
      <c r="C3088" s="364" t="str">
        <f>VLOOKUP(B3088,'112年全品項生產鍋數'!A:H,2,0)</f>
        <v>花生醬(1*3.5KG)</v>
      </c>
      <c r="D3088" s="404">
        <v>6</v>
      </c>
      <c r="E3088" s="48">
        <f>VLOOKUP(B3088,'112年全品項生產鍋數'!A:H,3,0)</f>
        <v>3.5</v>
      </c>
      <c r="F3088" s="142">
        <f>VLOOKUP(B3088,'112年全品項生產鍋數'!A:H,7,0)</f>
        <v>25.4</v>
      </c>
      <c r="G3088" s="143">
        <f t="shared" si="477"/>
        <v>152.39999999999998</v>
      </c>
      <c r="H3088" s="156">
        <v>150</v>
      </c>
      <c r="I3088" s="371">
        <f t="shared" si="478"/>
        <v>525</v>
      </c>
      <c r="J3088" s="100">
        <f t="shared" si="479"/>
        <v>0.98425196850393715</v>
      </c>
      <c r="K3088" s="51">
        <f>VLOOKUP(B:B,'生產達成率(目標)'!A:C,3,0)</f>
        <v>1</v>
      </c>
      <c r="L3088" s="20">
        <f t="shared" si="480"/>
        <v>-1.6E-2</v>
      </c>
      <c r="M3088" s="137" t="str">
        <f>工時!R2275</f>
        <v>360</v>
      </c>
      <c r="N3088" s="374"/>
      <c r="O3088" s="374">
        <f t="shared" si="481"/>
        <v>0</v>
      </c>
      <c r="P3088" s="156">
        <v>150</v>
      </c>
      <c r="Q3088" s="98">
        <f t="shared" si="482"/>
        <v>1</v>
      </c>
      <c r="R3088" s="371"/>
      <c r="S3088" s="372"/>
      <c r="T3088" s="364" t="s">
        <v>1153</v>
      </c>
      <c r="U3088" s="264"/>
      <c r="V3088" s="264" t="s">
        <v>1848</v>
      </c>
      <c r="W3088" s="424">
        <v>46197</v>
      </c>
      <c r="X3088" s="264" t="s">
        <v>1848</v>
      </c>
      <c r="Y3088" s="424">
        <v>46197</v>
      </c>
      <c r="Z3088" s="424"/>
      <c r="AA3088" s="424">
        <v>46195</v>
      </c>
      <c r="AB3088" s="424">
        <v>46196</v>
      </c>
      <c r="AC3088" s="425">
        <f t="shared" si="493"/>
        <v>1</v>
      </c>
      <c r="AD3088" s="425">
        <f t="shared" si="494"/>
        <v>1</v>
      </c>
    </row>
    <row r="3089" spans="1:30" s="361" customFormat="1" x14ac:dyDescent="0.4">
      <c r="A3089" s="402">
        <v>46196</v>
      </c>
      <c r="B3089" s="392" t="s">
        <v>597</v>
      </c>
      <c r="C3089" s="364" t="str">
        <f>VLOOKUP(B3089,'112年全品項生產鍋數'!A:H,2,0)</f>
        <v>無加糖花生醬(1*290g)</v>
      </c>
      <c r="D3089" s="404">
        <v>8</v>
      </c>
      <c r="E3089" s="48">
        <f>VLOOKUP(B3089,'112年全品項生產鍋數'!A:H,3,0)</f>
        <v>0.28999999999999998</v>
      </c>
      <c r="F3089" s="142">
        <f>VLOOKUP(B3089,'112年全品項生產鍋數'!A:H,7,0)</f>
        <v>388</v>
      </c>
      <c r="G3089" s="143">
        <f t="shared" si="477"/>
        <v>3104</v>
      </c>
      <c r="H3089" s="156">
        <v>3285</v>
      </c>
      <c r="I3089" s="371">
        <f t="shared" si="478"/>
        <v>952.65</v>
      </c>
      <c r="J3089" s="100">
        <f t="shared" si="479"/>
        <v>1.058311855670103</v>
      </c>
      <c r="K3089" s="51">
        <f>VLOOKUP(B:B,'生產達成率(目標)'!A:C,3,0)</f>
        <v>1</v>
      </c>
      <c r="L3089" s="20">
        <f t="shared" si="480"/>
        <v>5.8000000000000003E-2</v>
      </c>
      <c r="M3089" s="137" t="str">
        <f>工時!R2276</f>
        <v>260</v>
      </c>
      <c r="N3089" s="374"/>
      <c r="O3089" s="374">
        <f t="shared" si="481"/>
        <v>5</v>
      </c>
      <c r="P3089" s="156">
        <v>3280</v>
      </c>
      <c r="Q3089" s="98">
        <f t="shared" si="482"/>
        <v>0.99847792998477924</v>
      </c>
      <c r="R3089" s="371"/>
      <c r="S3089" s="372"/>
      <c r="T3089" s="364" t="s">
        <v>1725</v>
      </c>
      <c r="U3089" s="264"/>
      <c r="V3089" s="264" t="s">
        <v>1848</v>
      </c>
      <c r="W3089" s="424">
        <v>46196</v>
      </c>
      <c r="X3089" s="264" t="s">
        <v>1848</v>
      </c>
      <c r="Y3089" s="424">
        <v>46196</v>
      </c>
      <c r="Z3089" s="424"/>
      <c r="AA3089" s="424">
        <v>46195</v>
      </c>
      <c r="AB3089" s="424">
        <v>46196</v>
      </c>
      <c r="AC3089" s="425">
        <f t="shared" si="493"/>
        <v>0</v>
      </c>
      <c r="AD3089" s="425">
        <f t="shared" si="494"/>
        <v>0</v>
      </c>
    </row>
    <row r="3090" spans="1:30" s="361" customFormat="1" x14ac:dyDescent="0.4">
      <c r="A3090" s="402">
        <v>46197</v>
      </c>
      <c r="B3090" s="392" t="s">
        <v>87</v>
      </c>
      <c r="C3090" s="364" t="str">
        <f>VLOOKUP(B3090,'112年全品項生產鍋數'!A:H,2,0)</f>
        <v>＃1藍莓(1*3.2kg)</v>
      </c>
      <c r="D3090" s="404">
        <v>28</v>
      </c>
      <c r="E3090" s="48">
        <f>VLOOKUP(B3090,'112年全品項生產鍋數'!A:H,3,0)</f>
        <v>3.2</v>
      </c>
      <c r="F3090" s="142">
        <f>VLOOKUP(B3090,'112年全品項生產鍋數'!A:H,7,0)</f>
        <v>47.5</v>
      </c>
      <c r="G3090" s="143">
        <f t="shared" si="477"/>
        <v>1330</v>
      </c>
      <c r="H3090" s="156">
        <v>1279</v>
      </c>
      <c r="I3090" s="371">
        <f t="shared" si="478"/>
        <v>4092.8</v>
      </c>
      <c r="J3090" s="100">
        <f t="shared" si="479"/>
        <v>0.96165413533834587</v>
      </c>
      <c r="K3090" s="51">
        <f>VLOOKUP(B:B,'生產達成率(目標)'!A:C,3,0)</f>
        <v>1</v>
      </c>
      <c r="L3090" s="20">
        <f t="shared" si="480"/>
        <v>-3.7999999999999999E-2</v>
      </c>
      <c r="M3090" s="137" t="str">
        <f>工時!R2277</f>
        <v>240</v>
      </c>
      <c r="N3090" s="374"/>
      <c r="O3090" s="374">
        <f t="shared" si="481"/>
        <v>1</v>
      </c>
      <c r="P3090" s="156">
        <v>1278</v>
      </c>
      <c r="Q3090" s="98">
        <f t="shared" si="482"/>
        <v>0.99921813917122748</v>
      </c>
      <c r="R3090" s="371"/>
      <c r="S3090" s="372"/>
      <c r="T3090" s="364" t="s">
        <v>1153</v>
      </c>
      <c r="U3090" s="264"/>
      <c r="V3090" s="264" t="s">
        <v>1849</v>
      </c>
      <c r="W3090" s="424">
        <v>46197</v>
      </c>
      <c r="X3090" s="264" t="s">
        <v>1867</v>
      </c>
      <c r="Y3090" s="424">
        <v>46204</v>
      </c>
      <c r="Z3090" s="424"/>
      <c r="AA3090" s="424">
        <v>46196</v>
      </c>
      <c r="AB3090" s="424">
        <v>46197</v>
      </c>
      <c r="AC3090" s="425">
        <f t="shared" si="493"/>
        <v>0</v>
      </c>
      <c r="AD3090" s="425">
        <f t="shared" si="494"/>
        <v>7</v>
      </c>
    </row>
    <row r="3091" spans="1:30" s="361" customFormat="1" x14ac:dyDescent="0.4">
      <c r="A3091" s="402">
        <v>46197</v>
      </c>
      <c r="B3091" s="392" t="s">
        <v>68</v>
      </c>
      <c r="C3091" s="364" t="str">
        <f>VLOOKUP(B3091,'112年全品項生產鍋數'!A:H,2,0)</f>
        <v>#2草莓果醬(1*900g)</v>
      </c>
      <c r="D3091" s="404">
        <v>16</v>
      </c>
      <c r="E3091" s="48">
        <f>VLOOKUP(B3091,'112年全品項生產鍋數'!A:H,3,0)</f>
        <v>0.9</v>
      </c>
      <c r="F3091" s="142">
        <f>VLOOKUP(B3091,'112年全品項生產鍋數'!A:H,7,0)</f>
        <v>160.5</v>
      </c>
      <c r="G3091" s="143">
        <f t="shared" si="477"/>
        <v>2568</v>
      </c>
      <c r="H3091" s="156">
        <v>2595</v>
      </c>
      <c r="I3091" s="371">
        <f t="shared" si="478"/>
        <v>2335.5</v>
      </c>
      <c r="J3091" s="100">
        <f t="shared" si="479"/>
        <v>1.0105140186915889</v>
      </c>
      <c r="K3091" s="51">
        <f>VLOOKUP(B:B,'生產達成率(目標)'!A:C,3,0)</f>
        <v>1</v>
      </c>
      <c r="L3091" s="20">
        <f t="shared" si="480"/>
        <v>1.0999999999999999E-2</v>
      </c>
      <c r="M3091" s="137" t="str">
        <f>工時!R2278</f>
        <v>270</v>
      </c>
      <c r="N3091" s="374"/>
      <c r="O3091" s="374">
        <f t="shared" si="481"/>
        <v>2</v>
      </c>
      <c r="P3091" s="156">
        <v>2593</v>
      </c>
      <c r="Q3091" s="98">
        <f t="shared" si="482"/>
        <v>0.9992292870905588</v>
      </c>
      <c r="R3091" s="371"/>
      <c r="S3091" s="372"/>
      <c r="T3091" s="364" t="s">
        <v>1153</v>
      </c>
      <c r="U3091" s="264"/>
      <c r="V3091" s="264" t="s">
        <v>1849</v>
      </c>
      <c r="W3091" s="424">
        <v>46197</v>
      </c>
      <c r="X3091" s="264" t="s">
        <v>1867</v>
      </c>
      <c r="Y3091" s="424">
        <v>46204</v>
      </c>
      <c r="Z3091" s="424"/>
      <c r="AA3091" s="424">
        <v>46196</v>
      </c>
      <c r="AB3091" s="424">
        <v>46197</v>
      </c>
      <c r="AC3091" s="425">
        <f t="shared" si="493"/>
        <v>0</v>
      </c>
      <c r="AD3091" s="425">
        <f t="shared" si="494"/>
        <v>7</v>
      </c>
    </row>
    <row r="3092" spans="1:30" s="361" customFormat="1" x14ac:dyDescent="0.4">
      <c r="A3092" s="402">
        <v>46197</v>
      </c>
      <c r="B3092" s="392" t="s">
        <v>63</v>
      </c>
      <c r="C3092" s="364" t="str">
        <f>VLOOKUP(B3092,'112年全品項生產鍋數'!A:H,2,0)</f>
        <v>草莓蒟蒻餡(1*6kg)</v>
      </c>
      <c r="D3092" s="404">
        <v>20</v>
      </c>
      <c r="E3092" s="48">
        <f>VLOOKUP(B3092,'112年全品項生產鍋數'!A:H,3,0)</f>
        <v>6</v>
      </c>
      <c r="F3092" s="142">
        <f>VLOOKUP(B3092,'112年全品項生產鍋數'!A:H,7,0)</f>
        <v>25.7</v>
      </c>
      <c r="G3092" s="143">
        <f t="shared" si="477"/>
        <v>514</v>
      </c>
      <c r="H3092" s="156">
        <f>306+209</f>
        <v>515</v>
      </c>
      <c r="I3092" s="371">
        <f t="shared" si="478"/>
        <v>3090</v>
      </c>
      <c r="J3092" s="100">
        <f t="shared" si="479"/>
        <v>1.0019455252918288</v>
      </c>
      <c r="K3092" s="51">
        <f>VLOOKUP(B:B,'生產達成率(目標)'!A:C,3,0)</f>
        <v>1</v>
      </c>
      <c r="L3092" s="20">
        <f t="shared" si="480"/>
        <v>2E-3</v>
      </c>
      <c r="M3092" s="137" t="str">
        <f>工時!R2279</f>
        <v>308</v>
      </c>
      <c r="N3092" s="374"/>
      <c r="O3092" s="374">
        <f t="shared" si="481"/>
        <v>2</v>
      </c>
      <c r="P3092" s="156">
        <f>304+209</f>
        <v>513</v>
      </c>
      <c r="Q3092" s="98">
        <f t="shared" si="482"/>
        <v>0.99611650485436898</v>
      </c>
      <c r="R3092" s="371"/>
      <c r="S3092" s="372"/>
      <c r="T3092" s="364"/>
      <c r="U3092" s="264"/>
      <c r="V3092" s="264" t="s">
        <v>1847</v>
      </c>
      <c r="W3092" s="424">
        <v>46198</v>
      </c>
      <c r="X3092" s="264" t="s">
        <v>1867</v>
      </c>
      <c r="Y3092" s="424">
        <v>46204</v>
      </c>
      <c r="Z3092" s="424"/>
      <c r="AA3092" s="424" t="s">
        <v>1742</v>
      </c>
      <c r="AB3092" s="424" t="s">
        <v>1742</v>
      </c>
      <c r="AC3092" s="425">
        <f t="shared" si="493"/>
        <v>1</v>
      </c>
      <c r="AD3092" s="425">
        <f t="shared" si="494"/>
        <v>7</v>
      </c>
    </row>
    <row r="3093" spans="1:30" s="361" customFormat="1" x14ac:dyDescent="0.4">
      <c r="A3093" s="402">
        <v>46197</v>
      </c>
      <c r="B3093" s="392" t="s">
        <v>72</v>
      </c>
      <c r="C3093" s="364" t="str">
        <f>VLOOKUP(B3093,'112年全品項生產鍋數'!A:H,2,0)</f>
        <v>草莓餡45%(1*6Kg)</v>
      </c>
      <c r="D3093" s="404">
        <v>16</v>
      </c>
      <c r="E3093" s="48">
        <f>VLOOKUP(B3093,'112年全品項生產鍋數'!A:H,3,0)</f>
        <v>6</v>
      </c>
      <c r="F3093" s="142">
        <f>VLOOKUP(B3093,'112年全品項生產鍋數'!A:H,7,0)</f>
        <v>26.1</v>
      </c>
      <c r="G3093" s="143">
        <f t="shared" si="477"/>
        <v>417.6</v>
      </c>
      <c r="H3093" s="156">
        <v>423</v>
      </c>
      <c r="I3093" s="371">
        <f t="shared" si="478"/>
        <v>2538</v>
      </c>
      <c r="J3093" s="100">
        <f t="shared" si="479"/>
        <v>1.0129310344827587</v>
      </c>
      <c r="K3093" s="51">
        <f>VLOOKUP(B:B,'生產達成率(目標)'!A:C,3,0)</f>
        <v>1</v>
      </c>
      <c r="L3093" s="20">
        <f t="shared" si="480"/>
        <v>1.2999999999999999E-2</v>
      </c>
      <c r="M3093" s="137" t="str">
        <f>工時!R2280</f>
        <v>240</v>
      </c>
      <c r="N3093" s="374"/>
      <c r="O3093" s="374">
        <f t="shared" si="481"/>
        <v>2</v>
      </c>
      <c r="P3093" s="156">
        <v>421</v>
      </c>
      <c r="Q3093" s="98">
        <f t="shared" si="482"/>
        <v>0.99527186761229314</v>
      </c>
      <c r="R3093" s="371"/>
      <c r="S3093" s="372"/>
      <c r="T3093" s="364" t="s">
        <v>1153</v>
      </c>
      <c r="U3093" s="264"/>
      <c r="V3093" s="264" t="s">
        <v>1847</v>
      </c>
      <c r="W3093" s="424">
        <v>46197</v>
      </c>
      <c r="X3093" s="264" t="s">
        <v>1867</v>
      </c>
      <c r="Y3093" s="424">
        <v>46204</v>
      </c>
      <c r="Z3093" s="424"/>
      <c r="AA3093" s="424">
        <v>46196</v>
      </c>
      <c r="AB3093" s="424">
        <v>46197</v>
      </c>
      <c r="AC3093" s="425">
        <f t="shared" si="493"/>
        <v>0</v>
      </c>
      <c r="AD3093" s="425">
        <f t="shared" si="494"/>
        <v>7</v>
      </c>
    </row>
    <row r="3094" spans="1:30" s="361" customFormat="1" x14ac:dyDescent="0.4">
      <c r="A3094" s="402">
        <v>46197</v>
      </c>
      <c r="B3094" s="392" t="s">
        <v>104</v>
      </c>
      <c r="C3094" s="364" t="str">
        <f>VLOOKUP(B3094,'112年全品項生產鍋數'!A:H,2,0)</f>
        <v>＃1花生(粒)(1*2.8kg)</v>
      </c>
      <c r="D3094" s="404">
        <v>28</v>
      </c>
      <c r="E3094" s="48">
        <f>VLOOKUP(B3094,'112年全品項生產鍋數'!A:H,3,0)</f>
        <v>2.8</v>
      </c>
      <c r="F3094" s="142">
        <f>VLOOKUP(B3094,'112年全品項生產鍋數'!A:H,7,0)</f>
        <v>44.2</v>
      </c>
      <c r="G3094" s="143">
        <f>D3094*F3094-18*100/2.8</f>
        <v>594.74285714285725</v>
      </c>
      <c r="H3094" s="156">
        <v>616</v>
      </c>
      <c r="I3094" s="371">
        <f t="shared" si="478"/>
        <v>1724.8</v>
      </c>
      <c r="J3094" s="100">
        <f t="shared" si="479"/>
        <v>1.0357417371252882</v>
      </c>
      <c r="K3094" s="51">
        <f>VLOOKUP(B:B,'生產達成率(目標)'!A:C,3,0)</f>
        <v>1</v>
      </c>
      <c r="L3094" s="20">
        <f t="shared" si="480"/>
        <v>3.5999999999999997E-2</v>
      </c>
      <c r="M3094" s="137" t="str">
        <f>工時!R2281</f>
        <v>295</v>
      </c>
      <c r="N3094" s="374"/>
      <c r="O3094" s="374">
        <f t="shared" si="481"/>
        <v>1</v>
      </c>
      <c r="P3094" s="156">
        <v>615</v>
      </c>
      <c r="Q3094" s="98">
        <f t="shared" si="482"/>
        <v>0.99837662337662336</v>
      </c>
      <c r="R3094" s="371"/>
      <c r="S3094" s="372"/>
      <c r="T3094" s="364" t="s">
        <v>1740</v>
      </c>
      <c r="U3094" s="264"/>
      <c r="V3094" s="264" t="s">
        <v>1848</v>
      </c>
      <c r="W3094" s="424">
        <v>46197</v>
      </c>
      <c r="X3094" s="264" t="s">
        <v>1848</v>
      </c>
      <c r="Y3094" s="424">
        <v>46197</v>
      </c>
      <c r="Z3094" s="424"/>
      <c r="AA3094" s="424">
        <v>46196</v>
      </c>
      <c r="AB3094" s="424">
        <v>46197</v>
      </c>
      <c r="AC3094" s="425">
        <f t="shared" si="493"/>
        <v>0</v>
      </c>
      <c r="AD3094" s="425">
        <f t="shared" si="494"/>
        <v>0</v>
      </c>
    </row>
    <row r="3095" spans="1:30" s="361" customFormat="1" x14ac:dyDescent="0.4">
      <c r="A3095" s="402">
        <v>46197</v>
      </c>
      <c r="B3095" s="392" t="s">
        <v>65</v>
      </c>
      <c r="C3095" s="364" t="str">
        <f>VLOOKUP(B3095,'112年全品項生產鍋數'!A:H,2,0)</f>
        <v>＃1花生(1*2.8kg)</v>
      </c>
      <c r="D3095" s="404">
        <v>28</v>
      </c>
      <c r="E3095" s="48">
        <f>VLOOKUP(B3095,'112年全品項生產鍋數'!A:H,3,0)</f>
        <v>2.8</v>
      </c>
      <c r="F3095" s="142">
        <f>VLOOKUP(B3095,'112年全品項生產鍋數'!A:H,7,0)</f>
        <v>44.5</v>
      </c>
      <c r="G3095" s="143">
        <f>D3095*F3095-60*18/2.8</f>
        <v>860.28571428571422</v>
      </c>
      <c r="H3095" s="156">
        <f>600+259</f>
        <v>859</v>
      </c>
      <c r="I3095" s="371">
        <f t="shared" si="478"/>
        <v>2405.1999999999998</v>
      </c>
      <c r="J3095" s="100">
        <f t="shared" si="479"/>
        <v>0.99850547990700766</v>
      </c>
      <c r="K3095" s="51">
        <f>VLOOKUP(B:B,'生產達成率(目標)'!A:C,3,0)</f>
        <v>1</v>
      </c>
      <c r="L3095" s="20">
        <f t="shared" si="480"/>
        <v>-1E-3</v>
      </c>
      <c r="M3095" s="137" t="str">
        <f>工時!R2282</f>
        <v>430</v>
      </c>
      <c r="N3095" s="374"/>
      <c r="O3095" s="374">
        <f t="shared" si="481"/>
        <v>1</v>
      </c>
      <c r="P3095" s="156">
        <f>600+258</f>
        <v>858</v>
      </c>
      <c r="Q3095" s="98">
        <f t="shared" si="482"/>
        <v>0.99883585564610011</v>
      </c>
      <c r="R3095" s="371"/>
      <c r="S3095" s="372"/>
      <c r="T3095" s="364" t="s">
        <v>1739</v>
      </c>
      <c r="U3095" s="264"/>
      <c r="V3095" s="264" t="s">
        <v>1848</v>
      </c>
      <c r="W3095" s="424">
        <v>46197</v>
      </c>
      <c r="X3095" s="264" t="s">
        <v>1848</v>
      </c>
      <c r="Y3095" s="424">
        <v>46197</v>
      </c>
      <c r="Z3095" s="424"/>
      <c r="AA3095" s="424">
        <v>46196</v>
      </c>
      <c r="AB3095" s="424">
        <v>46197</v>
      </c>
      <c r="AC3095" s="425">
        <f t="shared" si="493"/>
        <v>0</v>
      </c>
      <c r="AD3095" s="425">
        <f t="shared" si="494"/>
        <v>0</v>
      </c>
    </row>
    <row r="3096" spans="1:30" s="361" customFormat="1" x14ac:dyDescent="0.4">
      <c r="A3096" s="402">
        <v>46198</v>
      </c>
      <c r="B3096" s="392" t="s">
        <v>1162</v>
      </c>
      <c r="C3096" s="364" t="str">
        <f>VLOOKUP(B3096,'112年全品項生產鍋數'!A:H,2,0)</f>
        <v>藍莓餡(1*6KG)</v>
      </c>
      <c r="D3096" s="404">
        <v>20</v>
      </c>
      <c r="E3096" s="48">
        <f>VLOOKUP(B3096,'112年全品項生產鍋數'!A:H,3,0)</f>
        <v>6</v>
      </c>
      <c r="F3096" s="142">
        <f>VLOOKUP(B3096,'112年全品項生產鍋數'!A:H,7,0)</f>
        <v>25.4</v>
      </c>
      <c r="G3096" s="143">
        <f t="shared" si="477"/>
        <v>508</v>
      </c>
      <c r="H3096" s="156">
        <f>311+212</f>
        <v>523</v>
      </c>
      <c r="I3096" s="371">
        <f t="shared" si="478"/>
        <v>3138</v>
      </c>
      <c r="J3096" s="100">
        <f t="shared" si="479"/>
        <v>1.0295275590551181</v>
      </c>
      <c r="K3096" s="51" t="e">
        <f>VLOOKUP(B:B,'生產達成率(目標)'!A:C,3,0)</f>
        <v>#N/A</v>
      </c>
      <c r="L3096" s="20" t="e">
        <f t="shared" si="480"/>
        <v>#N/A</v>
      </c>
      <c r="M3096" s="137" t="str">
        <f>工時!R2283</f>
        <v>300</v>
      </c>
      <c r="N3096" s="374"/>
      <c r="O3096" s="374">
        <f t="shared" si="481"/>
        <v>1</v>
      </c>
      <c r="P3096" s="156">
        <f>310+212</f>
        <v>522</v>
      </c>
      <c r="Q3096" s="98">
        <f t="shared" si="482"/>
        <v>0.99808795411089868</v>
      </c>
      <c r="R3096" s="371"/>
      <c r="S3096" s="372"/>
      <c r="T3096" s="364"/>
      <c r="U3096" s="264"/>
      <c r="V3096" s="264" t="s">
        <v>1847</v>
      </c>
      <c r="W3096" s="424">
        <v>46198</v>
      </c>
      <c r="X3096" s="264" t="s">
        <v>1867</v>
      </c>
      <c r="Y3096" s="424">
        <v>46206</v>
      </c>
      <c r="Z3096" s="424"/>
      <c r="AA3096" s="424">
        <v>46197</v>
      </c>
      <c r="AB3096" s="424">
        <v>46198</v>
      </c>
      <c r="AC3096" s="425">
        <f t="shared" si="493"/>
        <v>0</v>
      </c>
      <c r="AD3096" s="425">
        <f t="shared" si="494"/>
        <v>8</v>
      </c>
    </row>
    <row r="3097" spans="1:30" s="361" customFormat="1" x14ac:dyDescent="0.4">
      <c r="A3097" s="402">
        <v>46198</v>
      </c>
      <c r="B3097" s="392" t="s">
        <v>63</v>
      </c>
      <c r="C3097" s="364" t="str">
        <f>VLOOKUP(B3097,'112年全品項生產鍋數'!A:H,2,0)</f>
        <v>草莓蒟蒻餡(1*6kg)</v>
      </c>
      <c r="D3097" s="404">
        <v>12</v>
      </c>
      <c r="E3097" s="48">
        <f>VLOOKUP(B3097,'112年全品項生產鍋數'!A:H,3,0)</f>
        <v>6</v>
      </c>
      <c r="F3097" s="142">
        <f>VLOOKUP(B3097,'112年全品項生產鍋數'!A:H,7,0)</f>
        <v>25.7</v>
      </c>
      <c r="G3097" s="143">
        <f t="shared" si="477"/>
        <v>308.39999999999998</v>
      </c>
      <c r="H3097" s="156">
        <v>302</v>
      </c>
      <c r="I3097" s="371">
        <f t="shared" si="478"/>
        <v>1812</v>
      </c>
      <c r="J3097" s="100">
        <f t="shared" si="479"/>
        <v>0.97924773022049294</v>
      </c>
      <c r="K3097" s="51">
        <f>VLOOKUP(B:B,'生產達成率(目標)'!A:C,3,0)</f>
        <v>1</v>
      </c>
      <c r="L3097" s="20">
        <f t="shared" si="480"/>
        <v>-2.1000000000000001E-2</v>
      </c>
      <c r="M3097" s="137" t="str">
        <f>工時!R2284</f>
        <v>240</v>
      </c>
      <c r="N3097" s="374"/>
      <c r="O3097" s="374">
        <f t="shared" si="481"/>
        <v>1</v>
      </c>
      <c r="P3097" s="156">
        <v>301</v>
      </c>
      <c r="Q3097" s="98">
        <f t="shared" si="482"/>
        <v>0.99668874172185429</v>
      </c>
      <c r="R3097" s="371"/>
      <c r="S3097" s="372"/>
      <c r="T3097" s="364"/>
      <c r="U3097" s="264"/>
      <c r="V3097" s="264" t="s">
        <v>1847</v>
      </c>
      <c r="W3097" s="424">
        <v>46198</v>
      </c>
      <c r="X3097" s="264" t="s">
        <v>1867</v>
      </c>
      <c r="Y3097" s="424">
        <v>46206</v>
      </c>
      <c r="Z3097" s="424"/>
      <c r="AA3097" s="424" t="s">
        <v>1741</v>
      </c>
      <c r="AB3097" s="424" t="s">
        <v>1742</v>
      </c>
      <c r="AC3097" s="425">
        <f t="shared" si="493"/>
        <v>0</v>
      </c>
      <c r="AD3097" s="425">
        <f t="shared" si="494"/>
        <v>8</v>
      </c>
    </row>
    <row r="3098" spans="1:30" s="361" customFormat="1" x14ac:dyDescent="0.4">
      <c r="A3098" s="402">
        <v>46198</v>
      </c>
      <c r="B3098" s="392" t="s">
        <v>108</v>
      </c>
      <c r="C3098" s="364" t="str">
        <f>VLOOKUP(B3098,'112年全品項生產鍋數'!A:H,2,0)</f>
        <v>顆粒花生醬(1*12KG)</v>
      </c>
      <c r="D3098" s="404">
        <v>18</v>
      </c>
      <c r="E3098" s="48">
        <f>VLOOKUP(B3098,'112年全品項生產鍋數'!A:H,3,0)</f>
        <v>3</v>
      </c>
      <c r="F3098" s="142">
        <f>VLOOKUP(B3098,'112年全品項生產鍋數'!A:H,7,0)</f>
        <v>31.6</v>
      </c>
      <c r="G3098" s="143">
        <f t="shared" si="477"/>
        <v>568.80000000000007</v>
      </c>
      <c r="H3098" s="156">
        <v>572</v>
      </c>
      <c r="I3098" s="371">
        <f t="shared" si="478"/>
        <v>1716</v>
      </c>
      <c r="J3098" s="100">
        <f t="shared" si="479"/>
        <v>1.0056258790436003</v>
      </c>
      <c r="K3098" s="51">
        <f>VLOOKUP(B:B,'生產達成率(目標)'!A:C,3,0)</f>
        <v>1</v>
      </c>
      <c r="L3098" s="20">
        <f t="shared" si="480"/>
        <v>6.0000000000000001E-3</v>
      </c>
      <c r="M3098" s="137" t="str">
        <f>工時!R2285</f>
        <v>510</v>
      </c>
      <c r="N3098" s="374"/>
      <c r="O3098" s="374">
        <f t="shared" si="481"/>
        <v>0</v>
      </c>
      <c r="P3098" s="156">
        <v>572</v>
      </c>
      <c r="Q3098" s="98">
        <f t="shared" si="482"/>
        <v>1</v>
      </c>
      <c r="R3098" s="371"/>
      <c r="S3098" s="372"/>
      <c r="T3098" s="364" t="s">
        <v>1153</v>
      </c>
      <c r="U3098" s="264"/>
      <c r="V3098" s="264" t="s">
        <v>1848</v>
      </c>
      <c r="W3098" s="424">
        <v>46198</v>
      </c>
      <c r="X3098" s="264" t="s">
        <v>1848</v>
      </c>
      <c r="Y3098" s="424">
        <v>46198</v>
      </c>
      <c r="Z3098" s="424"/>
      <c r="AA3098" s="424">
        <v>46195</v>
      </c>
      <c r="AB3098" s="424">
        <v>46198</v>
      </c>
      <c r="AC3098" s="425">
        <f t="shared" si="493"/>
        <v>0</v>
      </c>
      <c r="AD3098" s="425">
        <f t="shared" si="494"/>
        <v>0</v>
      </c>
    </row>
    <row r="3099" spans="1:30" s="381" customFormat="1" x14ac:dyDescent="0.4">
      <c r="A3099" s="402">
        <v>46202</v>
      </c>
      <c r="B3099" s="392" t="s">
        <v>488</v>
      </c>
      <c r="C3099" s="375" t="str">
        <f>VLOOKUP(B3099,'112年全品項生產鍋數'!A:H,2,0)</f>
        <v>文旦絲(1*1KG/包)</v>
      </c>
      <c r="D3099" s="406">
        <v>1</v>
      </c>
      <c r="E3099" s="141">
        <f>VLOOKUP(B3099,'112年全品項生產鍋數'!A:H,3,0)</f>
        <v>1</v>
      </c>
      <c r="F3099" s="142">
        <f>VLOOKUP(B3099,'112年全品項生產鍋數'!A:H,7,0)</f>
        <v>670</v>
      </c>
      <c r="G3099" s="143">
        <f t="shared" si="477"/>
        <v>670</v>
      </c>
      <c r="H3099" s="156">
        <v>383</v>
      </c>
      <c r="I3099" s="374">
        <f t="shared" si="478"/>
        <v>383</v>
      </c>
      <c r="J3099" s="100">
        <f t="shared" si="479"/>
        <v>0.57164179104477608</v>
      </c>
      <c r="K3099" s="51">
        <f>VLOOKUP(B:B,'生產達成率(目標)'!A:C,3,0)</f>
        <v>1</v>
      </c>
      <c r="L3099" s="20">
        <f t="shared" si="480"/>
        <v>-0.42799999999999999</v>
      </c>
      <c r="M3099" s="137" t="str">
        <f>工時!R2286</f>
        <v>0</v>
      </c>
      <c r="N3099" s="374"/>
      <c r="O3099" s="374">
        <f t="shared" si="481"/>
        <v>0</v>
      </c>
      <c r="P3099" s="156">
        <v>383</v>
      </c>
      <c r="Q3099" s="145">
        <f t="shared" si="482"/>
        <v>1</v>
      </c>
      <c r="R3099" s="374"/>
      <c r="S3099" s="378"/>
      <c r="T3099" s="375" t="s">
        <v>1153</v>
      </c>
      <c r="U3099" s="398"/>
      <c r="V3099" s="398" t="s">
        <v>1850</v>
      </c>
      <c r="W3099" s="427">
        <v>46202</v>
      </c>
      <c r="X3099" s="264" t="s">
        <v>1850</v>
      </c>
      <c r="Y3099" s="427">
        <v>46202</v>
      </c>
      <c r="Z3099" s="427"/>
      <c r="AA3099" s="427">
        <v>46202</v>
      </c>
      <c r="AB3099" s="427">
        <v>46206</v>
      </c>
      <c r="AC3099" s="429">
        <f t="shared" si="493"/>
        <v>0</v>
      </c>
      <c r="AD3099" s="429">
        <f t="shared" si="494"/>
        <v>0</v>
      </c>
    </row>
    <row r="3100" spans="1:30" s="361" customFormat="1" x14ac:dyDescent="0.4">
      <c r="A3100" s="402">
        <v>46203</v>
      </c>
      <c r="B3100" s="392" t="s">
        <v>71</v>
      </c>
      <c r="C3100" s="364" t="str">
        <f>VLOOKUP(B3100,'112年全品項生產鍋數'!A:H,2,0)</f>
        <v>＃1草莓(1*3.2kg)</v>
      </c>
      <c r="D3100" s="404">
        <v>32</v>
      </c>
      <c r="E3100" s="48">
        <f>VLOOKUP(B3100,'112年全品項生產鍋數'!A:H,3,0)</f>
        <v>3.2</v>
      </c>
      <c r="F3100" s="142">
        <f>VLOOKUP(B3100,'112年全品項生產鍋數'!A:H,7,0)</f>
        <v>46.8</v>
      </c>
      <c r="G3100" s="143">
        <f t="shared" ref="G3100:G3144" si="495">D3100*F3100</f>
        <v>1497.6</v>
      </c>
      <c r="H3100" s="156">
        <v>1517</v>
      </c>
      <c r="I3100" s="371">
        <f t="shared" ref="I3100:I3144" si="496">H3100*E3100</f>
        <v>4854.4000000000005</v>
      </c>
      <c r="J3100" s="100">
        <f t="shared" ref="J3100:J3144" si="497">IF(G3100=0,"無法預估數據",H3100/G3100)</f>
        <v>1.0129540598290598</v>
      </c>
      <c r="K3100" s="51">
        <f>VLOOKUP(B:B,'生產達成率(目標)'!A:C,3,0)</f>
        <v>1</v>
      </c>
      <c r="L3100" s="20">
        <f t="shared" ref="L3100:L3144" si="498">IF(G3100=0,"無法預估數據",ROUND(J3100-K3100,3))</f>
        <v>1.2999999999999999E-2</v>
      </c>
      <c r="M3100" s="137" t="str">
        <f>工時!R2287</f>
        <v>300</v>
      </c>
      <c r="N3100" s="374"/>
      <c r="O3100" s="374">
        <f t="shared" ref="O3100:O3144" si="499">H3100-N3100-P3100</f>
        <v>3</v>
      </c>
      <c r="P3100" s="156">
        <v>1514</v>
      </c>
      <c r="Q3100" s="98">
        <f t="shared" ref="Q3100:Q3144" si="500">P3100/H3100</f>
        <v>0.998022412656559</v>
      </c>
      <c r="R3100" s="371"/>
      <c r="S3100" s="372"/>
      <c r="T3100" s="364" t="s">
        <v>1153</v>
      </c>
      <c r="U3100" s="264"/>
      <c r="V3100" s="264" t="s">
        <v>1849</v>
      </c>
      <c r="W3100" s="424">
        <v>46204</v>
      </c>
      <c r="X3100" s="264" t="s">
        <v>1867</v>
      </c>
      <c r="Y3100" s="424">
        <v>46204</v>
      </c>
      <c r="Z3100" s="424"/>
      <c r="AA3100" s="424">
        <v>46202</v>
      </c>
      <c r="AB3100" s="424" t="s">
        <v>1710</v>
      </c>
      <c r="AC3100" s="425">
        <f t="shared" si="493"/>
        <v>1</v>
      </c>
      <c r="AD3100" s="425">
        <f t="shared" si="494"/>
        <v>1</v>
      </c>
    </row>
    <row r="3101" spans="1:30" s="361" customFormat="1" x14ac:dyDescent="0.4">
      <c r="A3101" s="402">
        <v>46203</v>
      </c>
      <c r="B3101" s="392" t="s">
        <v>109</v>
      </c>
      <c r="C3101" s="364" t="str">
        <f>VLOOKUP(B3101,'112年全品項生產鍋數'!A:H,2,0)</f>
        <v>蔓越莓醬(1*6KG)</v>
      </c>
      <c r="D3101" s="404">
        <v>8</v>
      </c>
      <c r="E3101" s="48">
        <f>VLOOKUP(B3101,'112年全品項生產鍋數'!A:H,3,0)</f>
        <v>6</v>
      </c>
      <c r="F3101" s="142">
        <f>VLOOKUP(B3101,'112年全品項生產鍋數'!A:H,7,0)</f>
        <v>25.6</v>
      </c>
      <c r="G3101" s="143">
        <f t="shared" si="495"/>
        <v>204.8</v>
      </c>
      <c r="H3101" s="156">
        <v>207</v>
      </c>
      <c r="I3101" s="371">
        <f t="shared" si="496"/>
        <v>1242</v>
      </c>
      <c r="J3101" s="100">
        <f t="shared" si="497"/>
        <v>1.0107421875</v>
      </c>
      <c r="K3101" s="51">
        <f>VLOOKUP(B:B,'生產達成率(目標)'!A:C,3,0)</f>
        <v>1</v>
      </c>
      <c r="L3101" s="20">
        <f t="shared" si="498"/>
        <v>1.0999999999999999E-2</v>
      </c>
      <c r="M3101" s="137" t="str">
        <f>工時!R2288</f>
        <v>120</v>
      </c>
      <c r="N3101" s="374"/>
      <c r="O3101" s="374">
        <f t="shared" si="499"/>
        <v>5</v>
      </c>
      <c r="P3101" s="156">
        <v>202</v>
      </c>
      <c r="Q3101" s="98">
        <f t="shared" si="500"/>
        <v>0.97584541062801933</v>
      </c>
      <c r="R3101" s="371"/>
      <c r="S3101" s="372"/>
      <c r="T3101" s="364" t="s">
        <v>1153</v>
      </c>
      <c r="U3101" s="264"/>
      <c r="V3101" s="264" t="s">
        <v>1849</v>
      </c>
      <c r="W3101" s="424">
        <v>46204</v>
      </c>
      <c r="X3101" s="264" t="s">
        <v>1867</v>
      </c>
      <c r="Y3101" s="424">
        <v>46204</v>
      </c>
      <c r="Z3101" s="424"/>
      <c r="AA3101" s="424">
        <v>46202</v>
      </c>
      <c r="AB3101" s="424">
        <v>46206</v>
      </c>
      <c r="AC3101" s="425">
        <f t="shared" si="493"/>
        <v>1</v>
      </c>
      <c r="AD3101" s="425">
        <f t="shared" si="494"/>
        <v>1</v>
      </c>
    </row>
    <row r="3102" spans="1:30" s="361" customFormat="1" x14ac:dyDescent="0.4">
      <c r="A3102" s="402">
        <v>46203</v>
      </c>
      <c r="B3102" s="392" t="s">
        <v>1046</v>
      </c>
      <c r="C3102" s="364" t="str">
        <f>VLOOKUP(B3102,'112年全品項生產鍋數'!A:H,2,0)</f>
        <v>藍莓顆粒果醬(1*6kg)</v>
      </c>
      <c r="D3102" s="404">
        <v>6</v>
      </c>
      <c r="E3102" s="48">
        <f>VLOOKUP(B3102,'112年全品項生產鍋數'!A:H,3,0)</f>
        <v>6</v>
      </c>
      <c r="F3102" s="142">
        <f>VLOOKUP(B3102,'112年全品項生產鍋數'!A:H,7,0)</f>
        <v>0</v>
      </c>
      <c r="G3102" s="143">
        <f t="shared" si="495"/>
        <v>0</v>
      </c>
      <c r="H3102" s="156">
        <v>158</v>
      </c>
      <c r="I3102" s="371">
        <f t="shared" si="496"/>
        <v>948</v>
      </c>
      <c r="J3102" s="100" t="str">
        <f t="shared" si="497"/>
        <v>無法預估數據</v>
      </c>
      <c r="K3102" s="51">
        <f>VLOOKUP(B:B,'生產達成率(目標)'!A:C,3,0)</f>
        <v>1</v>
      </c>
      <c r="L3102" s="20" t="str">
        <f t="shared" si="498"/>
        <v>無法預估數據</v>
      </c>
      <c r="M3102" s="137" t="str">
        <f>工時!R2289</f>
        <v>150</v>
      </c>
      <c r="N3102" s="374"/>
      <c r="O3102" s="374">
        <f t="shared" si="499"/>
        <v>1</v>
      </c>
      <c r="P3102" s="156">
        <v>157</v>
      </c>
      <c r="Q3102" s="98">
        <f t="shared" si="500"/>
        <v>0.99367088607594933</v>
      </c>
      <c r="R3102" s="371"/>
      <c r="S3102" s="372"/>
      <c r="T3102" s="364" t="s">
        <v>1153</v>
      </c>
      <c r="U3102" s="264"/>
      <c r="V3102" s="264" t="s">
        <v>1849</v>
      </c>
      <c r="W3102" s="424">
        <v>46204</v>
      </c>
      <c r="X3102" s="264" t="s">
        <v>1867</v>
      </c>
      <c r="Y3102" s="424">
        <v>46204</v>
      </c>
      <c r="Z3102" s="424"/>
      <c r="AA3102" s="424">
        <v>46202</v>
      </c>
      <c r="AB3102" s="424">
        <v>46206</v>
      </c>
      <c r="AC3102" s="425">
        <f t="shared" si="493"/>
        <v>1</v>
      </c>
      <c r="AD3102" s="425">
        <f t="shared" si="494"/>
        <v>1</v>
      </c>
    </row>
    <row r="3103" spans="1:30" s="361" customFormat="1" x14ac:dyDescent="0.4">
      <c r="A3103" s="402">
        <v>46203</v>
      </c>
      <c r="B3103" s="392" t="s">
        <v>97</v>
      </c>
      <c r="C3103" s="364" t="str">
        <f>VLOOKUP(B3103,'112年全品項生產鍋數'!A:H,2,0)</f>
        <v>花生醬(1*18KG)</v>
      </c>
      <c r="D3103" s="404">
        <v>8</v>
      </c>
      <c r="E3103" s="48">
        <f>VLOOKUP(B3103,'112年全品項生產鍋數'!A:H,3,0)</f>
        <v>18</v>
      </c>
      <c r="F3103" s="142">
        <f>VLOOKUP(B3103,'112年全品項生產鍋數'!A:H,7,0)</f>
        <v>6.6</v>
      </c>
      <c r="G3103" s="143">
        <f t="shared" si="495"/>
        <v>52.8</v>
      </c>
      <c r="H3103" s="156">
        <v>49</v>
      </c>
      <c r="I3103" s="371">
        <f t="shared" si="496"/>
        <v>882</v>
      </c>
      <c r="J3103" s="100">
        <f t="shared" si="497"/>
        <v>0.92803030303030309</v>
      </c>
      <c r="K3103" s="51">
        <f>VLOOKUP(B:B,'生產達成率(目標)'!A:C,3,0)</f>
        <v>1</v>
      </c>
      <c r="L3103" s="20">
        <f t="shared" si="498"/>
        <v>-7.1999999999999995E-2</v>
      </c>
      <c r="M3103" s="137" t="str">
        <f>工時!R2290</f>
        <v>115</v>
      </c>
      <c r="N3103" s="374"/>
      <c r="O3103" s="374">
        <f t="shared" si="499"/>
        <v>0</v>
      </c>
      <c r="P3103" s="156">
        <v>49</v>
      </c>
      <c r="Q3103" s="98">
        <f t="shared" si="500"/>
        <v>1</v>
      </c>
      <c r="R3103" s="371"/>
      <c r="S3103" s="372"/>
      <c r="T3103" s="364"/>
      <c r="U3103" s="264"/>
      <c r="V3103" s="264" t="s">
        <v>1848</v>
      </c>
      <c r="W3103" s="424">
        <v>46203</v>
      </c>
      <c r="X3103" s="264" t="s">
        <v>1710</v>
      </c>
      <c r="Y3103" s="424" t="s">
        <v>1743</v>
      </c>
      <c r="Z3103" s="424"/>
      <c r="AA3103" s="424">
        <v>46197</v>
      </c>
      <c r="AB3103" s="424">
        <v>46203</v>
      </c>
      <c r="AC3103" s="425">
        <f t="shared" si="493"/>
        <v>0</v>
      </c>
      <c r="AD3103" s="425">
        <v>0</v>
      </c>
    </row>
    <row r="3104" spans="1:30" s="361" customFormat="1" x14ac:dyDescent="0.4">
      <c r="A3104" s="402">
        <v>46203</v>
      </c>
      <c r="B3104" s="392" t="s">
        <v>65</v>
      </c>
      <c r="C3104" s="364" t="str">
        <f>VLOOKUP(B3104,'112年全品項生產鍋數'!A:H,2,0)</f>
        <v>＃1花生(1*2.8kg)</v>
      </c>
      <c r="D3104" s="404">
        <v>48</v>
      </c>
      <c r="E3104" s="48">
        <f>VLOOKUP(B3104,'112年全品項生產鍋數'!A:H,3,0)</f>
        <v>2.8</v>
      </c>
      <c r="F3104" s="142">
        <f>VLOOKUP(B3104,'112年全品項生產鍋數'!A:H,7,0)</f>
        <v>44.5</v>
      </c>
      <c r="G3104" s="143">
        <f t="shared" si="495"/>
        <v>2136</v>
      </c>
      <c r="H3104" s="156">
        <v>2269</v>
      </c>
      <c r="I3104" s="371">
        <f t="shared" si="496"/>
        <v>6353.2</v>
      </c>
      <c r="J3104" s="100">
        <f t="shared" si="497"/>
        <v>1.0622659176029963</v>
      </c>
      <c r="K3104" s="51">
        <f>VLOOKUP(B:B,'生產達成率(目標)'!A:C,3,0)</f>
        <v>1</v>
      </c>
      <c r="L3104" s="20">
        <f t="shared" si="498"/>
        <v>6.2E-2</v>
      </c>
      <c r="M3104" s="137" t="str">
        <f>工時!R2291</f>
        <v>400</v>
      </c>
      <c r="N3104" s="374"/>
      <c r="O3104" s="374">
        <f t="shared" si="499"/>
        <v>1</v>
      </c>
      <c r="P3104" s="156">
        <v>2268</v>
      </c>
      <c r="Q3104" s="98">
        <f t="shared" si="500"/>
        <v>0.999559277214632</v>
      </c>
      <c r="R3104" s="371"/>
      <c r="S3104" s="372"/>
      <c r="T3104" s="364" t="s">
        <v>1738</v>
      </c>
      <c r="U3104" s="264"/>
      <c r="V3104" s="264" t="s">
        <v>1848</v>
      </c>
      <c r="W3104" s="424">
        <v>46203</v>
      </c>
      <c r="X3104" s="264" t="s">
        <v>1848</v>
      </c>
      <c r="Y3104" s="424">
        <v>46203</v>
      </c>
      <c r="Z3104" s="424"/>
      <c r="AA3104" s="424">
        <v>46197</v>
      </c>
      <c r="AB3104" s="424" t="s">
        <v>1744</v>
      </c>
      <c r="AC3104" s="425">
        <f t="shared" si="493"/>
        <v>0</v>
      </c>
      <c r="AD3104" s="425">
        <f t="shared" ref="AD3104:AD3125" si="501" xml:space="preserve"> IF((Y3104-A3104)&lt;0,"未收到",Y3104-A3104)</f>
        <v>0</v>
      </c>
    </row>
    <row r="3105" spans="1:30" s="361" customFormat="1" x14ac:dyDescent="0.4">
      <c r="A3105" s="402">
        <v>46204</v>
      </c>
      <c r="B3105" s="392" t="s">
        <v>114</v>
      </c>
      <c r="C3105" s="364" t="str">
        <f>VLOOKUP(B3105,'112年全品項生產鍋數'!A:H,2,0)</f>
        <v>開心草莓果醬(1*430g)</v>
      </c>
      <c r="D3105" s="404">
        <v>12</v>
      </c>
      <c r="E3105" s="48">
        <f>VLOOKUP(B3105,'112年全品項生產鍋數'!A:H,3,0)</f>
        <v>0.43</v>
      </c>
      <c r="F3105" s="142">
        <f>VLOOKUP(B3105,'112年全品項生產鍋數'!A:H,7,0)</f>
        <v>364</v>
      </c>
      <c r="G3105" s="143">
        <f t="shared" si="495"/>
        <v>4368</v>
      </c>
      <c r="H3105" s="156">
        <v>4394</v>
      </c>
      <c r="I3105" s="371">
        <f t="shared" si="496"/>
        <v>1889.42</v>
      </c>
      <c r="J3105" s="100">
        <f t="shared" si="497"/>
        <v>1.0059523809523809</v>
      </c>
      <c r="K3105" s="51">
        <f>VLOOKUP(B:B,'生產達成率(目標)'!A:C,3,0)</f>
        <v>1</v>
      </c>
      <c r="L3105" s="20">
        <f t="shared" si="498"/>
        <v>6.0000000000000001E-3</v>
      </c>
      <c r="M3105" s="137" t="str">
        <f>工時!R2292</f>
        <v>300</v>
      </c>
      <c r="N3105" s="374"/>
      <c r="O3105" s="374">
        <f t="shared" si="499"/>
        <v>6</v>
      </c>
      <c r="P3105" s="156">
        <v>4388</v>
      </c>
      <c r="Q3105" s="98">
        <f t="shared" si="500"/>
        <v>0.99863450159308143</v>
      </c>
      <c r="R3105" s="371"/>
      <c r="S3105" s="372"/>
      <c r="T3105" s="364"/>
      <c r="U3105" s="264"/>
      <c r="V3105" s="264" t="s">
        <v>1849</v>
      </c>
      <c r="W3105" s="424">
        <v>46205</v>
      </c>
      <c r="X3105" s="264" t="s">
        <v>1867</v>
      </c>
      <c r="Y3105" s="424">
        <v>46206</v>
      </c>
      <c r="Z3105" s="424"/>
      <c r="AA3105" s="424">
        <v>46203</v>
      </c>
      <c r="AB3105" s="424">
        <v>46206</v>
      </c>
      <c r="AC3105" s="425">
        <f t="shared" si="493"/>
        <v>1</v>
      </c>
      <c r="AD3105" s="425">
        <f t="shared" si="501"/>
        <v>2</v>
      </c>
    </row>
    <row r="3106" spans="1:30" s="361" customFormat="1" x14ac:dyDescent="0.4">
      <c r="A3106" s="402">
        <v>46204</v>
      </c>
      <c r="B3106" s="392" t="s">
        <v>53</v>
      </c>
      <c r="C3106" s="364" t="str">
        <f>VLOOKUP(B3106,'112年全品項生產鍋數'!A:H,2,0)</f>
        <v>鳳梨芒果百香果醬(1*6KG)</v>
      </c>
      <c r="D3106" s="404">
        <v>6</v>
      </c>
      <c r="E3106" s="48">
        <f>VLOOKUP(B3106,'112年全品項生產鍋數'!A:H,3,0)</f>
        <v>6</v>
      </c>
      <c r="F3106" s="142">
        <f>VLOOKUP(B3106,'112年全品項生產鍋數'!A:H,7,0)</f>
        <v>25.7</v>
      </c>
      <c r="G3106" s="143">
        <f t="shared" si="495"/>
        <v>154.19999999999999</v>
      </c>
      <c r="H3106" s="156">
        <v>151</v>
      </c>
      <c r="I3106" s="371">
        <f t="shared" si="496"/>
        <v>906</v>
      </c>
      <c r="J3106" s="100">
        <f t="shared" si="497"/>
        <v>0.97924773022049294</v>
      </c>
      <c r="K3106" s="51">
        <f>VLOOKUP(B:B,'生產達成率(目標)'!A:C,3,0)</f>
        <v>1</v>
      </c>
      <c r="L3106" s="20">
        <f t="shared" si="498"/>
        <v>-2.1000000000000001E-2</v>
      </c>
      <c r="M3106" s="137" t="str">
        <f>工時!R2293</f>
        <v>105</v>
      </c>
      <c r="N3106" s="374"/>
      <c r="O3106" s="374">
        <f t="shared" si="499"/>
        <v>2</v>
      </c>
      <c r="P3106" s="156">
        <v>149</v>
      </c>
      <c r="Q3106" s="98">
        <f t="shared" si="500"/>
        <v>0.98675496688741726</v>
      </c>
      <c r="R3106" s="371"/>
      <c r="S3106" s="372"/>
      <c r="T3106" s="364"/>
      <c r="U3106" s="264"/>
      <c r="V3106" s="264" t="s">
        <v>1847</v>
      </c>
      <c r="W3106" s="424">
        <v>46205</v>
      </c>
      <c r="X3106" s="264" t="s">
        <v>1867</v>
      </c>
      <c r="Y3106" s="424">
        <v>46206</v>
      </c>
      <c r="Z3106" s="424"/>
      <c r="AA3106" s="424">
        <v>46203</v>
      </c>
      <c r="AB3106" s="424">
        <v>46205</v>
      </c>
      <c r="AC3106" s="425">
        <f t="shared" si="493"/>
        <v>1</v>
      </c>
      <c r="AD3106" s="425">
        <f t="shared" si="501"/>
        <v>2</v>
      </c>
    </row>
    <row r="3107" spans="1:30" s="361" customFormat="1" x14ac:dyDescent="0.4">
      <c r="A3107" s="402">
        <v>46204</v>
      </c>
      <c r="B3107" s="392" t="s">
        <v>1699</v>
      </c>
      <c r="C3107" s="364" t="str">
        <f>VLOOKUP(B3107,'112年全品項生產鍋數'!A:H,2,0)</f>
        <v>上好佳芒果餡(大)4.5KG</v>
      </c>
      <c r="D3107" s="404">
        <v>8</v>
      </c>
      <c r="E3107" s="48">
        <f>VLOOKUP(B3107,'112年全品項生產鍋數'!A:H,3,0)</f>
        <v>4.5</v>
      </c>
      <c r="F3107" s="142">
        <f>VLOOKUP(B3107,'112年全品項生產鍋數'!A:H,7,0)</f>
        <v>33.200000000000003</v>
      </c>
      <c r="G3107" s="143">
        <f t="shared" si="495"/>
        <v>265.60000000000002</v>
      </c>
      <c r="H3107" s="156">
        <v>268</v>
      </c>
      <c r="I3107" s="371">
        <f t="shared" si="496"/>
        <v>1206</v>
      </c>
      <c r="J3107" s="100">
        <f t="shared" si="497"/>
        <v>1.0090361445783131</v>
      </c>
      <c r="K3107" s="51" t="e">
        <f>VLOOKUP(B:B,'生產達成率(目標)'!A:C,3,0)</f>
        <v>#N/A</v>
      </c>
      <c r="L3107" s="20" t="e">
        <f t="shared" si="498"/>
        <v>#N/A</v>
      </c>
      <c r="M3107" s="137" t="str">
        <f>工時!R2294</f>
        <v>225</v>
      </c>
      <c r="N3107" s="374"/>
      <c r="O3107" s="374">
        <f t="shared" si="499"/>
        <v>0</v>
      </c>
      <c r="P3107" s="156">
        <v>268</v>
      </c>
      <c r="Q3107" s="98">
        <f t="shared" si="500"/>
        <v>1</v>
      </c>
      <c r="R3107" s="371"/>
      <c r="S3107" s="372"/>
      <c r="T3107" s="364"/>
      <c r="U3107" s="264"/>
      <c r="V3107" s="264" t="s">
        <v>1847</v>
      </c>
      <c r="W3107" s="424">
        <v>46205</v>
      </c>
      <c r="X3107" s="264" t="s">
        <v>1867</v>
      </c>
      <c r="Y3107" s="424">
        <v>46206</v>
      </c>
      <c r="Z3107" s="424"/>
      <c r="AA3107" s="424">
        <v>46203</v>
      </c>
      <c r="AB3107" s="424">
        <v>46205</v>
      </c>
      <c r="AC3107" s="425">
        <f t="shared" si="493"/>
        <v>1</v>
      </c>
      <c r="AD3107" s="425">
        <f t="shared" si="501"/>
        <v>2</v>
      </c>
    </row>
    <row r="3108" spans="1:30" s="361" customFormat="1" x14ac:dyDescent="0.4">
      <c r="A3108" s="402">
        <v>46204</v>
      </c>
      <c r="B3108" s="392" t="s">
        <v>63</v>
      </c>
      <c r="C3108" s="364" t="str">
        <f>VLOOKUP(B3108,'112年全品項生產鍋數'!A:H,2,0)</f>
        <v>草莓蒟蒻餡(1*6kg)</v>
      </c>
      <c r="D3108" s="404">
        <v>20</v>
      </c>
      <c r="E3108" s="48">
        <f>VLOOKUP(B3108,'112年全品項生產鍋數'!A:H,3,0)</f>
        <v>6</v>
      </c>
      <c r="F3108" s="142">
        <f>VLOOKUP(B3108,'112年全品項生產鍋數'!A:H,7,0)</f>
        <v>25.7</v>
      </c>
      <c r="G3108" s="143">
        <f t="shared" si="495"/>
        <v>514</v>
      </c>
      <c r="H3108" s="156">
        <f>306+209</f>
        <v>515</v>
      </c>
      <c r="I3108" s="371">
        <f t="shared" si="496"/>
        <v>3090</v>
      </c>
      <c r="J3108" s="100">
        <f t="shared" si="497"/>
        <v>1.0019455252918288</v>
      </c>
      <c r="K3108" s="51">
        <f>VLOOKUP(B:B,'生產達成率(目標)'!A:C,3,0)</f>
        <v>1</v>
      </c>
      <c r="L3108" s="20">
        <f t="shared" si="498"/>
        <v>2E-3</v>
      </c>
      <c r="M3108" s="137" t="str">
        <f>工時!R2295</f>
        <v>220</v>
      </c>
      <c r="N3108" s="374"/>
      <c r="O3108" s="374">
        <f t="shared" si="499"/>
        <v>1</v>
      </c>
      <c r="P3108" s="156">
        <f>305+209</f>
        <v>514</v>
      </c>
      <c r="Q3108" s="98">
        <f t="shared" si="500"/>
        <v>0.99805825242718449</v>
      </c>
      <c r="R3108" s="371"/>
      <c r="S3108" s="372"/>
      <c r="T3108" s="364"/>
      <c r="U3108" s="264"/>
      <c r="V3108" s="264" t="s">
        <v>1847</v>
      </c>
      <c r="W3108" s="424">
        <v>46205</v>
      </c>
      <c r="X3108" s="264" t="s">
        <v>1867</v>
      </c>
      <c r="Y3108" s="424">
        <v>46206</v>
      </c>
      <c r="Z3108" s="424"/>
      <c r="AA3108" s="424">
        <v>46203</v>
      </c>
      <c r="AB3108" s="424" t="s">
        <v>1752</v>
      </c>
      <c r="AC3108" s="425">
        <f t="shared" si="493"/>
        <v>1</v>
      </c>
      <c r="AD3108" s="425">
        <f t="shared" si="501"/>
        <v>2</v>
      </c>
    </row>
    <row r="3109" spans="1:30" s="361" customFormat="1" x14ac:dyDescent="0.4">
      <c r="A3109" s="402">
        <v>46204</v>
      </c>
      <c r="B3109" s="392" t="s">
        <v>1746</v>
      </c>
      <c r="C3109" s="364" t="str">
        <f>VLOOKUP(B3109,'112年全品項生產鍋數'!A:H,2,0)</f>
        <v>草莓果醬(1*6KG)</v>
      </c>
      <c r="D3109" s="404">
        <v>1</v>
      </c>
      <c r="E3109" s="48">
        <f>VLOOKUP(B3109,'112年全品項生產鍋數'!A:H,3,0)</f>
        <v>6</v>
      </c>
      <c r="F3109" s="142">
        <f>VLOOKUP(B3109,'112年全品項生產鍋數'!A:H,7,0)</f>
        <v>0</v>
      </c>
      <c r="G3109" s="143">
        <f t="shared" ref="G3109" si="502">D3109*F3109</f>
        <v>0</v>
      </c>
      <c r="H3109" s="156">
        <v>22</v>
      </c>
      <c r="I3109" s="371">
        <f t="shared" ref="I3109" si="503">H3109*E3109</f>
        <v>132</v>
      </c>
      <c r="J3109" s="100" t="str">
        <f t="shared" ref="J3109" si="504">IF(G3109=0,"無法預估數據",H3109/G3109)</f>
        <v>無法預估數據</v>
      </c>
      <c r="K3109" s="51">
        <f>VLOOKUP(B:B,'生產達成率(目標)'!A:C,3,0)</f>
        <v>1</v>
      </c>
      <c r="L3109" s="20" t="str">
        <f t="shared" ref="L3109" si="505">IF(G3109=0,"無法預估數據",ROUND(J3109-K3109,3))</f>
        <v>無法預估數據</v>
      </c>
      <c r="M3109" s="137" t="str">
        <f>工時!R2296</f>
        <v>80</v>
      </c>
      <c r="N3109" s="374"/>
      <c r="O3109" s="374">
        <f t="shared" ref="O3109" si="506">H3109-N3109-P3109</f>
        <v>2</v>
      </c>
      <c r="P3109" s="156">
        <v>20</v>
      </c>
      <c r="Q3109" s="98">
        <f t="shared" ref="Q3109" si="507">P3109/H3109</f>
        <v>0.90909090909090906</v>
      </c>
      <c r="R3109" s="371"/>
      <c r="S3109" s="372"/>
      <c r="T3109" s="364"/>
      <c r="U3109" s="264"/>
      <c r="V3109" s="264" t="s">
        <v>1847</v>
      </c>
      <c r="W3109" s="424">
        <v>46205</v>
      </c>
      <c r="X3109" s="264" t="s">
        <v>1867</v>
      </c>
      <c r="Y3109" s="424">
        <v>46206</v>
      </c>
      <c r="Z3109" s="424"/>
      <c r="AA3109" s="424">
        <v>46203</v>
      </c>
      <c r="AB3109" s="424">
        <v>46206</v>
      </c>
      <c r="AC3109" s="425">
        <f t="shared" si="493"/>
        <v>1</v>
      </c>
      <c r="AD3109" s="425">
        <f t="shared" si="501"/>
        <v>2</v>
      </c>
    </row>
    <row r="3110" spans="1:30" s="361" customFormat="1" x14ac:dyDescent="0.4">
      <c r="A3110" s="402">
        <v>46205</v>
      </c>
      <c r="B3110" s="392" t="s">
        <v>71</v>
      </c>
      <c r="C3110" s="364" t="str">
        <f>VLOOKUP(B3110,'112年全品項生產鍋數'!A:H,2,0)</f>
        <v>＃1草莓(1*3.2kg)</v>
      </c>
      <c r="D3110" s="404">
        <v>68</v>
      </c>
      <c r="E3110" s="48">
        <f>VLOOKUP(B3110,'112年全品項生產鍋數'!A:H,3,0)</f>
        <v>3.2</v>
      </c>
      <c r="F3110" s="142">
        <f>VLOOKUP(B3110,'112年全品項生產鍋數'!A:H,7,0)</f>
        <v>46.8</v>
      </c>
      <c r="G3110" s="143">
        <f t="shared" si="495"/>
        <v>3182.3999999999996</v>
      </c>
      <c r="H3110" s="156">
        <v>3249</v>
      </c>
      <c r="I3110" s="371">
        <f t="shared" si="496"/>
        <v>10396.800000000001</v>
      </c>
      <c r="J3110" s="100">
        <f t="shared" si="497"/>
        <v>1.0209276018099549</v>
      </c>
      <c r="K3110" s="51">
        <f>VLOOKUP(B:B,'生產達成率(目標)'!A:C,3,0)</f>
        <v>1</v>
      </c>
      <c r="L3110" s="20">
        <f t="shared" si="498"/>
        <v>2.1000000000000001E-2</v>
      </c>
      <c r="M3110" s="137" t="str">
        <f>工時!R2297</f>
        <v>540</v>
      </c>
      <c r="N3110" s="374"/>
      <c r="O3110" s="374">
        <f t="shared" si="499"/>
        <v>3</v>
      </c>
      <c r="P3110" s="156">
        <v>3246</v>
      </c>
      <c r="Q3110" s="98">
        <f t="shared" si="500"/>
        <v>0.99907663896583565</v>
      </c>
      <c r="R3110" s="371"/>
      <c r="S3110" s="372"/>
      <c r="T3110" s="364"/>
      <c r="U3110" s="264"/>
      <c r="V3110" s="264" t="s">
        <v>1849</v>
      </c>
      <c r="W3110" s="424">
        <v>46206</v>
      </c>
      <c r="X3110" s="264" t="s">
        <v>1867</v>
      </c>
      <c r="Y3110" s="424">
        <v>46206</v>
      </c>
      <c r="Z3110" s="424"/>
      <c r="AA3110" s="424">
        <v>46204</v>
      </c>
      <c r="AB3110" s="424" t="s">
        <v>1752</v>
      </c>
      <c r="AC3110" s="425">
        <f t="shared" ref="AC3110:AC3126" si="508" xml:space="preserve"> IF((W3110-A3110)&lt;0,"未收到",W3110-A3110)</f>
        <v>1</v>
      </c>
      <c r="AD3110" s="425">
        <f t="shared" si="501"/>
        <v>1</v>
      </c>
    </row>
    <row r="3111" spans="1:30" s="361" customFormat="1" x14ac:dyDescent="0.4">
      <c r="A3111" s="402">
        <v>46205</v>
      </c>
      <c r="B3111" s="392" t="s">
        <v>1749</v>
      </c>
      <c r="C3111" s="364" t="str">
        <f>VLOOKUP(B3111,'112年全品項生產鍋數'!A:H,2,0)</f>
        <v>草莓果醬(桶)(1*9.5KG)</v>
      </c>
      <c r="D3111" s="404">
        <v>8</v>
      </c>
      <c r="E3111" s="48">
        <f>VLOOKUP(B3111,'112年全品項生產鍋數'!A:H,3,0)</f>
        <v>9.5</v>
      </c>
      <c r="F3111" s="142">
        <f>VLOOKUP(B3111,'112年全品項生產鍋數'!A:H,7,0)</f>
        <v>16.600000000000001</v>
      </c>
      <c r="G3111" s="143">
        <f t="shared" si="495"/>
        <v>132.80000000000001</v>
      </c>
      <c r="H3111" s="156">
        <v>128</v>
      </c>
      <c r="I3111" s="371">
        <f t="shared" si="496"/>
        <v>1216</v>
      </c>
      <c r="J3111" s="100">
        <f t="shared" si="497"/>
        <v>0.96385542168674687</v>
      </c>
      <c r="K3111" s="51">
        <f>VLOOKUP(B:B,'生產達成率(目標)'!A:C,3,0)</f>
        <v>1</v>
      </c>
      <c r="L3111" s="20">
        <f t="shared" si="498"/>
        <v>-3.5999999999999997E-2</v>
      </c>
      <c r="M3111" s="137" t="str">
        <f>工時!R2298</f>
        <v>135</v>
      </c>
      <c r="N3111" s="374"/>
      <c r="O3111" s="374">
        <f t="shared" si="499"/>
        <v>0</v>
      </c>
      <c r="P3111" s="156">
        <v>128</v>
      </c>
      <c r="Q3111" s="98">
        <f t="shared" si="500"/>
        <v>1</v>
      </c>
      <c r="R3111" s="371"/>
      <c r="S3111" s="372"/>
      <c r="T3111" s="364"/>
      <c r="U3111" s="264"/>
      <c r="V3111" s="264" t="s">
        <v>1847</v>
      </c>
      <c r="W3111" s="424">
        <v>46205</v>
      </c>
      <c r="X3111" s="264" t="s">
        <v>1867</v>
      </c>
      <c r="Y3111" s="424">
        <v>46206</v>
      </c>
      <c r="Z3111" s="424"/>
      <c r="AA3111" s="424">
        <v>46204</v>
      </c>
      <c r="AB3111" s="424">
        <v>46205</v>
      </c>
      <c r="AC3111" s="425">
        <f t="shared" si="508"/>
        <v>0</v>
      </c>
      <c r="AD3111" s="425">
        <f t="shared" si="501"/>
        <v>1</v>
      </c>
    </row>
    <row r="3112" spans="1:30" s="361" customFormat="1" x14ac:dyDescent="0.4">
      <c r="A3112" s="402">
        <v>46205</v>
      </c>
      <c r="B3112" s="392" t="s">
        <v>75</v>
      </c>
      <c r="C3112" s="364" t="str">
        <f>VLOOKUP(B3112,'112年全品項生產鍋數'!A:H,2,0)</f>
        <v>草莓椰果餡(1*6Kg)</v>
      </c>
      <c r="D3112" s="404">
        <v>8</v>
      </c>
      <c r="E3112" s="48">
        <f>VLOOKUP(B3112,'112年全品項生產鍋數'!A:H,3,0)</f>
        <v>6</v>
      </c>
      <c r="F3112" s="142">
        <f>VLOOKUP(B3112,'112年全品項生產鍋數'!A:H,7,0)</f>
        <v>26.4</v>
      </c>
      <c r="G3112" s="143">
        <f t="shared" si="495"/>
        <v>211.2</v>
      </c>
      <c r="H3112" s="156">
        <v>208</v>
      </c>
      <c r="I3112" s="371">
        <f t="shared" si="496"/>
        <v>1248</v>
      </c>
      <c r="J3112" s="100">
        <f t="shared" si="497"/>
        <v>0.98484848484848486</v>
      </c>
      <c r="K3112" s="51">
        <f>VLOOKUP(B:B,'生產達成率(目標)'!A:C,3,0)</f>
        <v>1</v>
      </c>
      <c r="L3112" s="20">
        <f t="shared" si="498"/>
        <v>-1.4999999999999999E-2</v>
      </c>
      <c r="M3112" s="137" t="str">
        <f>工時!R2299</f>
        <v>135</v>
      </c>
      <c r="N3112" s="374"/>
      <c r="O3112" s="374">
        <f t="shared" si="499"/>
        <v>1</v>
      </c>
      <c r="P3112" s="156">
        <v>207</v>
      </c>
      <c r="Q3112" s="98">
        <f t="shared" si="500"/>
        <v>0.99519230769230771</v>
      </c>
      <c r="R3112" s="371"/>
      <c r="S3112" s="372"/>
      <c r="T3112" s="364"/>
      <c r="U3112" s="264"/>
      <c r="V3112" s="264" t="s">
        <v>1847</v>
      </c>
      <c r="W3112" s="424">
        <v>46205</v>
      </c>
      <c r="X3112" s="264" t="s">
        <v>1867</v>
      </c>
      <c r="Y3112" s="424">
        <v>46210</v>
      </c>
      <c r="Z3112" s="424"/>
      <c r="AA3112" s="424">
        <v>46204</v>
      </c>
      <c r="AB3112" s="424">
        <v>46205</v>
      </c>
      <c r="AC3112" s="425">
        <f t="shared" si="508"/>
        <v>0</v>
      </c>
      <c r="AD3112" s="425">
        <f t="shared" si="501"/>
        <v>5</v>
      </c>
    </row>
    <row r="3113" spans="1:30" s="361" customFormat="1" x14ac:dyDescent="0.4">
      <c r="A3113" s="402">
        <v>46205</v>
      </c>
      <c r="B3113" s="392" t="s">
        <v>1162</v>
      </c>
      <c r="C3113" s="364" t="str">
        <f>VLOOKUP(B3113,'112年全品項生產鍋數'!A:H,2,0)</f>
        <v>藍莓餡(1*6KG)</v>
      </c>
      <c r="D3113" s="404">
        <v>16</v>
      </c>
      <c r="E3113" s="48">
        <f>VLOOKUP(B3113,'112年全品項生產鍋數'!A:H,3,0)</f>
        <v>6</v>
      </c>
      <c r="F3113" s="142">
        <f>VLOOKUP(B3113,'112年全品項生產鍋數'!A:H,7,0)</f>
        <v>25.4</v>
      </c>
      <c r="G3113" s="143">
        <f t="shared" si="495"/>
        <v>406.4</v>
      </c>
      <c r="H3113" s="156">
        <f>202+212</f>
        <v>414</v>
      </c>
      <c r="I3113" s="371">
        <f t="shared" si="496"/>
        <v>2484</v>
      </c>
      <c r="J3113" s="100">
        <f t="shared" si="497"/>
        <v>1.0187007874015748</v>
      </c>
      <c r="K3113" s="51" t="e">
        <f>VLOOKUP(B:B,'生產達成率(目標)'!A:C,3,0)</f>
        <v>#N/A</v>
      </c>
      <c r="L3113" s="20" t="e">
        <f t="shared" si="498"/>
        <v>#N/A</v>
      </c>
      <c r="M3113" s="137" t="str">
        <f>工時!R2300</f>
        <v>210</v>
      </c>
      <c r="N3113" s="374"/>
      <c r="O3113" s="374">
        <f t="shared" si="499"/>
        <v>1</v>
      </c>
      <c r="P3113" s="156">
        <f>201+212</f>
        <v>413</v>
      </c>
      <c r="Q3113" s="98">
        <f t="shared" si="500"/>
        <v>0.99758454106280192</v>
      </c>
      <c r="R3113" s="371"/>
      <c r="S3113" s="372"/>
      <c r="T3113" s="364"/>
      <c r="U3113" s="264"/>
      <c r="V3113" s="264" t="s">
        <v>1847</v>
      </c>
      <c r="W3113" s="424">
        <v>46206</v>
      </c>
      <c r="X3113" s="264" t="s">
        <v>1867</v>
      </c>
      <c r="Y3113" s="424">
        <v>46210</v>
      </c>
      <c r="Z3113" s="424"/>
      <c r="AA3113" s="424">
        <v>46204</v>
      </c>
      <c r="AB3113" s="424">
        <v>46206</v>
      </c>
      <c r="AC3113" s="425">
        <f t="shared" si="508"/>
        <v>1</v>
      </c>
      <c r="AD3113" s="425">
        <f t="shared" si="501"/>
        <v>5</v>
      </c>
    </row>
    <row r="3114" spans="1:30" s="381" customFormat="1" x14ac:dyDescent="0.4">
      <c r="A3114" s="402">
        <v>46205</v>
      </c>
      <c r="B3114" s="392" t="s">
        <v>9</v>
      </c>
      <c r="C3114" s="375" t="str">
        <f>VLOOKUP(B3114,'112年全品項生產鍋數'!A:H,2,0)</f>
        <v>＃1花生(1*2.8kg)</v>
      </c>
      <c r="D3114" s="406">
        <v>56</v>
      </c>
      <c r="E3114" s="141">
        <f>VLOOKUP(B3114,'112年全品項生產鍋數'!A:H,3,0)</f>
        <v>2.8</v>
      </c>
      <c r="F3114" s="142">
        <f>VLOOKUP(B3114,'112年全品項生產鍋數'!A:H,7,0)</f>
        <v>44.5</v>
      </c>
      <c r="G3114" s="143">
        <f t="shared" ref="G3114" si="509">D3114*F3114</f>
        <v>2492</v>
      </c>
      <c r="H3114" s="156">
        <v>2578</v>
      </c>
      <c r="I3114" s="374">
        <f t="shared" ref="I3114" si="510">H3114*E3114</f>
        <v>7218.4</v>
      </c>
      <c r="J3114" s="100">
        <f t="shared" ref="J3114" si="511">IF(G3114=0,"無法預估數據",H3114/G3114)</f>
        <v>1.0345104333868378</v>
      </c>
      <c r="K3114" s="51">
        <f>VLOOKUP(B:B,'生產達成率(目標)'!A:C,3,0)</f>
        <v>1</v>
      </c>
      <c r="L3114" s="20">
        <f t="shared" ref="L3114" si="512">IF(G3114=0,"無法預估數據",ROUND(J3114-K3114,3))</f>
        <v>3.5000000000000003E-2</v>
      </c>
      <c r="M3114" s="137" t="str">
        <f>工時!R2301</f>
        <v>450</v>
      </c>
      <c r="N3114" s="374"/>
      <c r="O3114" s="374">
        <f t="shared" ref="O3114" si="513">H3114-N3114-P3114</f>
        <v>1</v>
      </c>
      <c r="P3114" s="156">
        <v>2577</v>
      </c>
      <c r="Q3114" s="145">
        <f t="shared" ref="Q3114" si="514">P3114/H3114</f>
        <v>0.99961210240496512</v>
      </c>
      <c r="R3114" s="374"/>
      <c r="S3114" s="378"/>
      <c r="T3114" s="375"/>
      <c r="U3114" s="398"/>
      <c r="V3114" s="398" t="s">
        <v>1848</v>
      </c>
      <c r="W3114" s="427">
        <v>46206</v>
      </c>
      <c r="X3114" s="264" t="s">
        <v>1848</v>
      </c>
      <c r="Y3114" s="427">
        <v>46206</v>
      </c>
      <c r="Z3114" s="427"/>
      <c r="AA3114" s="427">
        <v>46204</v>
      </c>
      <c r="AB3114" s="427" t="s">
        <v>1759</v>
      </c>
      <c r="AC3114" s="429">
        <f t="shared" si="508"/>
        <v>1</v>
      </c>
      <c r="AD3114" s="429">
        <f t="shared" si="501"/>
        <v>1</v>
      </c>
    </row>
    <row r="3115" spans="1:30" s="381" customFormat="1" x14ac:dyDescent="0.4">
      <c r="A3115" s="402">
        <v>46206</v>
      </c>
      <c r="B3115" s="392" t="s">
        <v>61</v>
      </c>
      <c r="C3115" s="375" t="str">
        <f>VLOOKUP(B3115,'112年全品項生產鍋數'!A:H,2,0)</f>
        <v>大圓草莓-新</v>
      </c>
      <c r="D3115" s="406">
        <v>36</v>
      </c>
      <c r="E3115" s="141">
        <f>VLOOKUP(B3115,'112年全品項生產鍋數'!A:H,3,0)</f>
        <v>0.44</v>
      </c>
      <c r="F3115" s="142">
        <f>VLOOKUP(B3115,'112年全品項生產鍋數'!A:H,7,0)</f>
        <v>344</v>
      </c>
      <c r="G3115" s="143">
        <f t="shared" si="495"/>
        <v>12384</v>
      </c>
      <c r="H3115" s="156">
        <v>12230</v>
      </c>
      <c r="I3115" s="374">
        <f t="shared" si="496"/>
        <v>5381.2</v>
      </c>
      <c r="J3115" s="100">
        <f t="shared" si="497"/>
        <v>0.98756459948320419</v>
      </c>
      <c r="K3115" s="51">
        <f>VLOOKUP(B:B,'生產達成率(目標)'!A:C,3,0)</f>
        <v>1</v>
      </c>
      <c r="L3115" s="20">
        <f t="shared" si="498"/>
        <v>-1.2E-2</v>
      </c>
      <c r="M3115" s="137" t="str">
        <f>工時!R2302</f>
        <v>540</v>
      </c>
      <c r="N3115" s="374"/>
      <c r="O3115" s="374">
        <f t="shared" si="499"/>
        <v>14</v>
      </c>
      <c r="P3115" s="156">
        <v>12216</v>
      </c>
      <c r="Q3115" s="145">
        <f t="shared" si="500"/>
        <v>0.99885527391659856</v>
      </c>
      <c r="R3115" s="374"/>
      <c r="S3115" s="378"/>
      <c r="T3115" s="375"/>
      <c r="U3115" s="398"/>
      <c r="V3115" s="398" t="s">
        <v>1849</v>
      </c>
      <c r="W3115" s="427">
        <v>46206</v>
      </c>
      <c r="X3115" s="264" t="s">
        <v>1867</v>
      </c>
      <c r="Y3115" s="427">
        <v>46210</v>
      </c>
      <c r="Z3115" s="427"/>
      <c r="AA3115" s="427">
        <v>46205</v>
      </c>
      <c r="AB3115" s="427">
        <v>46206</v>
      </c>
      <c r="AC3115" s="429">
        <f t="shared" si="508"/>
        <v>0</v>
      </c>
      <c r="AD3115" s="429">
        <f t="shared" si="501"/>
        <v>4</v>
      </c>
    </row>
    <row r="3116" spans="1:30" s="361" customFormat="1" x14ac:dyDescent="0.4">
      <c r="A3116" s="402">
        <v>46206</v>
      </c>
      <c r="B3116" s="392" t="s">
        <v>1737</v>
      </c>
      <c r="C3116" s="364" t="str">
        <f>VLOOKUP(B3116,'112年全品項生產鍋數'!A:H,2,0)</f>
        <v>藍莓餡(1*6Kg)</v>
      </c>
      <c r="D3116" s="404">
        <v>12</v>
      </c>
      <c r="E3116" s="48">
        <f>VLOOKUP(B3116,'112年全品項生產鍋數'!A:H,3,0)</f>
        <v>6</v>
      </c>
      <c r="F3116" s="142">
        <f>VLOOKUP(B3116,'112年全品項生產鍋數'!A:H,7,0)</f>
        <v>0</v>
      </c>
      <c r="G3116" s="143">
        <f t="shared" si="495"/>
        <v>0</v>
      </c>
      <c r="H3116" s="156">
        <v>310</v>
      </c>
      <c r="I3116" s="371">
        <f t="shared" si="496"/>
        <v>1860</v>
      </c>
      <c r="J3116" s="100" t="str">
        <f t="shared" si="497"/>
        <v>無法預估數據</v>
      </c>
      <c r="K3116" s="51">
        <f>VLOOKUP(B:B,'生產達成率(目標)'!A:C,3,0)</f>
        <v>1</v>
      </c>
      <c r="L3116" s="20" t="str">
        <f t="shared" si="498"/>
        <v>無法預估數據</v>
      </c>
      <c r="M3116" s="137" t="str">
        <f>工時!R2303</f>
        <v>190</v>
      </c>
      <c r="N3116" s="374"/>
      <c r="O3116" s="374">
        <f t="shared" si="499"/>
        <v>1</v>
      </c>
      <c r="P3116" s="156">
        <v>309</v>
      </c>
      <c r="Q3116" s="98">
        <f t="shared" si="500"/>
        <v>0.99677419354838714</v>
      </c>
      <c r="R3116" s="371"/>
      <c r="S3116" s="372"/>
      <c r="T3116" s="364"/>
      <c r="U3116" s="264"/>
      <c r="V3116" s="264" t="s">
        <v>1847</v>
      </c>
      <c r="W3116" s="424">
        <v>46206</v>
      </c>
      <c r="X3116" s="264" t="s">
        <v>1867</v>
      </c>
      <c r="Y3116" s="424">
        <v>46210</v>
      </c>
      <c r="Z3116" s="424"/>
      <c r="AA3116" s="424">
        <v>46205</v>
      </c>
      <c r="AB3116" s="424">
        <v>46206</v>
      </c>
      <c r="AC3116" s="425">
        <f t="shared" si="508"/>
        <v>0</v>
      </c>
      <c r="AD3116" s="425">
        <f t="shared" si="501"/>
        <v>4</v>
      </c>
    </row>
    <row r="3117" spans="1:30" s="361" customFormat="1" x14ac:dyDescent="0.4">
      <c r="A3117" s="402">
        <v>46206</v>
      </c>
      <c r="B3117" s="392" t="s">
        <v>63</v>
      </c>
      <c r="C3117" s="364" t="str">
        <f>VLOOKUP(B3117,'112年全品項生產鍋數'!A:H,2,0)</f>
        <v>草莓蒟蒻餡(1*6kg)</v>
      </c>
      <c r="D3117" s="404">
        <v>24</v>
      </c>
      <c r="E3117" s="48">
        <f>VLOOKUP(B3117,'112年全品項生產鍋數'!A:H,3,0)</f>
        <v>6</v>
      </c>
      <c r="F3117" s="142">
        <f>VLOOKUP(B3117,'112年全品項生產鍋數'!A:H,7,0)</f>
        <v>25.7</v>
      </c>
      <c r="G3117" s="143">
        <f t="shared" si="495"/>
        <v>616.79999999999995</v>
      </c>
      <c r="H3117" s="156">
        <f>308+313</f>
        <v>621</v>
      </c>
      <c r="I3117" s="371">
        <f t="shared" si="496"/>
        <v>3726</v>
      </c>
      <c r="J3117" s="100">
        <f t="shared" si="497"/>
        <v>1.0068093385214008</v>
      </c>
      <c r="K3117" s="51">
        <f>VLOOKUP(B:B,'生產達成率(目標)'!A:C,3,0)</f>
        <v>1</v>
      </c>
      <c r="L3117" s="20">
        <f t="shared" si="498"/>
        <v>7.0000000000000001E-3</v>
      </c>
      <c r="M3117" s="137" t="str">
        <f>工時!R2304</f>
        <v>323</v>
      </c>
      <c r="N3117" s="374"/>
      <c r="O3117" s="374">
        <f t="shared" si="499"/>
        <v>2</v>
      </c>
      <c r="P3117" s="156">
        <f>307+312</f>
        <v>619</v>
      </c>
      <c r="Q3117" s="98">
        <f t="shared" si="500"/>
        <v>0.9967793880837359</v>
      </c>
      <c r="R3117" s="371"/>
      <c r="S3117" s="372"/>
      <c r="T3117" s="364"/>
      <c r="U3117" s="264"/>
      <c r="V3117" s="264" t="s">
        <v>1847</v>
      </c>
      <c r="W3117" s="424">
        <v>46209</v>
      </c>
      <c r="X3117" s="264" t="s">
        <v>1867</v>
      </c>
      <c r="Y3117" s="424">
        <v>46210</v>
      </c>
      <c r="Z3117" s="424"/>
      <c r="AA3117" s="424" t="s">
        <v>1710</v>
      </c>
      <c r="AB3117" s="424" t="s">
        <v>1756</v>
      </c>
      <c r="AC3117" s="425">
        <f t="shared" si="508"/>
        <v>3</v>
      </c>
      <c r="AD3117" s="425">
        <f t="shared" si="501"/>
        <v>4</v>
      </c>
    </row>
    <row r="3118" spans="1:30" s="361" customFormat="1" x14ac:dyDescent="0.4">
      <c r="A3118" s="402">
        <v>46206</v>
      </c>
      <c r="B3118" s="392" t="s">
        <v>1748</v>
      </c>
      <c r="C3118" s="364" t="str">
        <f>VLOOKUP(B3118,'112年全品項生產鍋數'!A:H,2,0)</f>
        <v>＃1花生(1*2.8kg)</v>
      </c>
      <c r="D3118" s="404">
        <v>56</v>
      </c>
      <c r="E3118" s="48">
        <f>VLOOKUP(B3118,'112年全品項生產鍋數'!A:H,3,0)</f>
        <v>2.8</v>
      </c>
      <c r="F3118" s="142">
        <f>VLOOKUP(B3118,'112年全品項生產鍋數'!A:H,7,0)</f>
        <v>44.5</v>
      </c>
      <c r="G3118" s="143">
        <f>D3118*F3118-15*18/2.8</f>
        <v>2395.5714285714284</v>
      </c>
      <c r="H3118" s="156">
        <v>2484</v>
      </c>
      <c r="I3118" s="371">
        <f t="shared" si="496"/>
        <v>6955.2</v>
      </c>
      <c r="J3118" s="100">
        <f t="shared" si="497"/>
        <v>1.0369133520186058</v>
      </c>
      <c r="K3118" s="51">
        <f>VLOOKUP(B:B,'生產達成率(目標)'!A:C,3,0)</f>
        <v>1</v>
      </c>
      <c r="L3118" s="20">
        <f t="shared" si="498"/>
        <v>3.6999999999999998E-2</v>
      </c>
      <c r="M3118" s="137" t="str">
        <f>工時!R2305</f>
        <v>65</v>
      </c>
      <c r="N3118" s="374"/>
      <c r="O3118" s="374">
        <f t="shared" si="499"/>
        <v>1</v>
      </c>
      <c r="P3118" s="156">
        <v>2483</v>
      </c>
      <c r="Q3118" s="98">
        <f t="shared" si="500"/>
        <v>0.99959742351046699</v>
      </c>
      <c r="R3118" s="371"/>
      <c r="S3118" s="372"/>
      <c r="T3118" s="364" t="s">
        <v>1758</v>
      </c>
      <c r="U3118" s="264"/>
      <c r="V3118" s="264" t="s">
        <v>1847</v>
      </c>
      <c r="W3118" s="424">
        <v>46206</v>
      </c>
      <c r="X3118" s="264" t="s">
        <v>1867</v>
      </c>
      <c r="Y3118" s="424">
        <v>46206</v>
      </c>
      <c r="Z3118" s="424"/>
      <c r="AA3118" s="424" t="s">
        <v>1710</v>
      </c>
      <c r="AB3118" s="424">
        <v>46206</v>
      </c>
      <c r="AC3118" s="425">
        <f t="shared" si="508"/>
        <v>0</v>
      </c>
      <c r="AD3118" s="425">
        <f t="shared" si="501"/>
        <v>0</v>
      </c>
    </row>
    <row r="3119" spans="1:30" s="361" customFormat="1" x14ac:dyDescent="0.4">
      <c r="A3119" s="402">
        <v>46206</v>
      </c>
      <c r="B3119" s="392" t="s">
        <v>1751</v>
      </c>
      <c r="C3119" s="364" t="str">
        <f>VLOOKUP(B3119,'112年全品項生產鍋數'!A:H,2,0)</f>
        <v>草莓果醬(1*6KG)</v>
      </c>
      <c r="D3119" s="404">
        <v>1</v>
      </c>
      <c r="E3119" s="48">
        <f>VLOOKUP(B3119,'112年全品項生產鍋數'!A:H,3,0)</f>
        <v>6</v>
      </c>
      <c r="F3119" s="142">
        <f>VLOOKUP(B3119,'112年全品項生產鍋數'!A:H,7,0)</f>
        <v>0</v>
      </c>
      <c r="G3119" s="143">
        <f t="shared" si="495"/>
        <v>0</v>
      </c>
      <c r="H3119" s="156">
        <v>23</v>
      </c>
      <c r="I3119" s="371">
        <f t="shared" si="496"/>
        <v>138</v>
      </c>
      <c r="J3119" s="100" t="str">
        <f t="shared" si="497"/>
        <v>無法預估數據</v>
      </c>
      <c r="K3119" s="51">
        <f>VLOOKUP(B:B,'生產達成率(目標)'!A:C,3,0)</f>
        <v>1</v>
      </c>
      <c r="L3119" s="20" t="str">
        <f t="shared" si="498"/>
        <v>無法預估數據</v>
      </c>
      <c r="M3119" s="137" t="str">
        <f>工時!R2306</f>
        <v>440</v>
      </c>
      <c r="N3119" s="374"/>
      <c r="O3119" s="374">
        <f t="shared" si="499"/>
        <v>1</v>
      </c>
      <c r="P3119" s="156">
        <v>22</v>
      </c>
      <c r="Q3119" s="98">
        <f t="shared" si="500"/>
        <v>0.95652173913043481</v>
      </c>
      <c r="R3119" s="371"/>
      <c r="S3119" s="372"/>
      <c r="T3119" s="364"/>
      <c r="U3119" s="264"/>
      <c r="V3119" s="264" t="s">
        <v>1848</v>
      </c>
      <c r="W3119" s="424">
        <v>46206</v>
      </c>
      <c r="X3119" s="264" t="s">
        <v>1848</v>
      </c>
      <c r="Y3119" s="424">
        <v>46210</v>
      </c>
      <c r="Z3119" s="424"/>
      <c r="AA3119" s="424">
        <v>46205</v>
      </c>
      <c r="AB3119" s="424">
        <v>46206</v>
      </c>
      <c r="AC3119" s="425">
        <f t="shared" si="508"/>
        <v>0</v>
      </c>
      <c r="AD3119" s="425">
        <f t="shared" si="501"/>
        <v>4</v>
      </c>
    </row>
    <row r="3120" spans="1:30" s="361" customFormat="1" x14ac:dyDescent="0.4">
      <c r="A3120" s="402">
        <v>46209</v>
      </c>
      <c r="B3120" s="392" t="s">
        <v>71</v>
      </c>
      <c r="C3120" s="364" t="str">
        <f>VLOOKUP(B3120,'112年全品項生產鍋數'!A:H,2,0)</f>
        <v>＃1草莓(1*3.2kg)</v>
      </c>
      <c r="D3120" s="404">
        <v>68</v>
      </c>
      <c r="E3120" s="48">
        <f>VLOOKUP(B3120,'112年全品項生產鍋數'!A:H,3,0)</f>
        <v>3.2</v>
      </c>
      <c r="F3120" s="142">
        <f>VLOOKUP(B3120,'112年全品項生產鍋數'!A:H,7,0)</f>
        <v>46.8</v>
      </c>
      <c r="G3120" s="143">
        <f t="shared" si="495"/>
        <v>3182.3999999999996</v>
      </c>
      <c r="H3120" s="156">
        <v>3169</v>
      </c>
      <c r="I3120" s="371">
        <f t="shared" si="496"/>
        <v>10140.800000000001</v>
      </c>
      <c r="J3120" s="100">
        <f t="shared" si="497"/>
        <v>0.9957893413775768</v>
      </c>
      <c r="K3120" s="51">
        <f>VLOOKUP(B:B,'生產達成率(目標)'!A:C,3,0)</f>
        <v>1</v>
      </c>
      <c r="L3120" s="20">
        <f t="shared" si="498"/>
        <v>-4.0000000000000001E-3</v>
      </c>
      <c r="M3120" s="137" t="str">
        <f>工時!R2307</f>
        <v>570</v>
      </c>
      <c r="N3120" s="374"/>
      <c r="O3120" s="374">
        <f t="shared" si="499"/>
        <v>3</v>
      </c>
      <c r="P3120" s="156">
        <v>3166</v>
      </c>
      <c r="Q3120" s="98">
        <f t="shared" si="500"/>
        <v>0.99905332912590727</v>
      </c>
      <c r="R3120" s="371"/>
      <c r="S3120" s="372"/>
      <c r="T3120" s="364"/>
      <c r="U3120" s="264"/>
      <c r="V3120" s="264" t="s">
        <v>1849</v>
      </c>
      <c r="W3120" s="424">
        <v>46210</v>
      </c>
      <c r="X3120" s="264" t="s">
        <v>1867</v>
      </c>
      <c r="Y3120" s="424">
        <v>46210</v>
      </c>
      <c r="Z3120" s="424"/>
      <c r="AA3120" s="424" t="s">
        <v>1710</v>
      </c>
      <c r="AB3120" s="424">
        <v>46210</v>
      </c>
      <c r="AC3120" s="425">
        <f t="shared" si="508"/>
        <v>1</v>
      </c>
      <c r="AD3120" s="425">
        <f t="shared" si="501"/>
        <v>1</v>
      </c>
    </row>
    <row r="3121" spans="1:30" s="361" customFormat="1" x14ac:dyDescent="0.4">
      <c r="A3121" s="402">
        <v>46209</v>
      </c>
      <c r="B3121" s="392" t="s">
        <v>77</v>
      </c>
      <c r="C3121" s="364" t="str">
        <f>VLOOKUP(B3121,'112年全品項生產鍋數'!A:H,2,0)</f>
        <v>草莓餡50°(1*6Kg)</v>
      </c>
      <c r="D3121" s="404">
        <v>8</v>
      </c>
      <c r="E3121" s="48">
        <f>VLOOKUP(B3121,'112年全品項生產鍋數'!A:H,3,0)</f>
        <v>6</v>
      </c>
      <c r="F3121" s="142">
        <f>VLOOKUP(B3121,'112年全品項生產鍋數'!A:H,7,0)</f>
        <v>25</v>
      </c>
      <c r="G3121" s="143">
        <f t="shared" si="495"/>
        <v>200</v>
      </c>
      <c r="H3121" s="156">
        <v>198</v>
      </c>
      <c r="I3121" s="371">
        <f t="shared" si="496"/>
        <v>1188</v>
      </c>
      <c r="J3121" s="100">
        <f t="shared" si="497"/>
        <v>0.99</v>
      </c>
      <c r="K3121" s="51">
        <f>VLOOKUP(B:B,'生產達成率(目標)'!A:C,3,0)</f>
        <v>1</v>
      </c>
      <c r="L3121" s="20">
        <f t="shared" si="498"/>
        <v>-0.01</v>
      </c>
      <c r="M3121" s="137" t="str">
        <f>工時!R2308</f>
        <v>140</v>
      </c>
      <c r="N3121" s="374"/>
      <c r="O3121" s="374">
        <f t="shared" si="499"/>
        <v>1</v>
      </c>
      <c r="P3121" s="156">
        <v>197</v>
      </c>
      <c r="Q3121" s="98">
        <f t="shared" si="500"/>
        <v>0.99494949494949492</v>
      </c>
      <c r="R3121" s="371"/>
      <c r="S3121" s="372"/>
      <c r="T3121" s="364"/>
      <c r="U3121" s="264"/>
      <c r="V3121" s="264" t="s">
        <v>1847</v>
      </c>
      <c r="W3121" s="424">
        <v>46209</v>
      </c>
      <c r="X3121" s="264" t="s">
        <v>1867</v>
      </c>
      <c r="Y3121" s="424">
        <v>46210</v>
      </c>
      <c r="Z3121" s="424"/>
      <c r="AA3121" s="424">
        <v>46206</v>
      </c>
      <c r="AB3121" s="424">
        <v>46209</v>
      </c>
      <c r="AC3121" s="425">
        <f t="shared" si="508"/>
        <v>0</v>
      </c>
      <c r="AD3121" s="425">
        <f t="shared" si="501"/>
        <v>1</v>
      </c>
    </row>
    <row r="3122" spans="1:30" s="361" customFormat="1" x14ac:dyDescent="0.4">
      <c r="A3122" s="402">
        <v>46209</v>
      </c>
      <c r="B3122" s="392" t="s">
        <v>76</v>
      </c>
      <c r="C3122" s="364" t="str">
        <f>VLOOKUP(B3122,'112年全品項生產鍋數'!A:H,2,0)</f>
        <v>草莓餡(1*6Kg)</v>
      </c>
      <c r="D3122" s="404">
        <v>16</v>
      </c>
      <c r="E3122" s="48">
        <f>VLOOKUP(B3122,'112年全品項生產鍋數'!A:H,3,0)</f>
        <v>6</v>
      </c>
      <c r="F3122" s="142">
        <f>VLOOKUP(B3122,'112年全品項生產鍋數'!A:H,7,0)</f>
        <v>25.5</v>
      </c>
      <c r="G3122" s="143">
        <f t="shared" si="495"/>
        <v>408</v>
      </c>
      <c r="H3122" s="156">
        <v>448</v>
      </c>
      <c r="I3122" s="371">
        <f t="shared" si="496"/>
        <v>2688</v>
      </c>
      <c r="J3122" s="100">
        <f t="shared" si="497"/>
        <v>1.0980392156862746</v>
      </c>
      <c r="K3122" s="51">
        <f>VLOOKUP(B:B,'生產達成率(目標)'!A:C,3,0)</f>
        <v>1</v>
      </c>
      <c r="L3122" s="20">
        <f t="shared" si="498"/>
        <v>9.8000000000000004E-2</v>
      </c>
      <c r="M3122" s="137" t="str">
        <f>工時!R2309</f>
        <v>409</v>
      </c>
      <c r="N3122" s="374"/>
      <c r="O3122" s="374">
        <f t="shared" si="499"/>
        <v>1</v>
      </c>
      <c r="P3122" s="156">
        <v>447</v>
      </c>
      <c r="Q3122" s="98">
        <f t="shared" si="500"/>
        <v>0.9977678571428571</v>
      </c>
      <c r="R3122" s="371"/>
      <c r="S3122" s="372"/>
      <c r="T3122" s="364"/>
      <c r="U3122" s="264"/>
      <c r="V3122" s="264" t="s">
        <v>1847</v>
      </c>
      <c r="W3122" s="424">
        <v>46209</v>
      </c>
      <c r="X3122" s="264" t="s">
        <v>1867</v>
      </c>
      <c r="Y3122" s="424">
        <v>46210</v>
      </c>
      <c r="Z3122" s="424"/>
      <c r="AA3122" s="424">
        <v>46206</v>
      </c>
      <c r="AB3122" s="424">
        <v>46209</v>
      </c>
      <c r="AC3122" s="425">
        <f t="shared" si="508"/>
        <v>0</v>
      </c>
      <c r="AD3122" s="425">
        <f t="shared" si="501"/>
        <v>1</v>
      </c>
    </row>
    <row r="3123" spans="1:30" s="361" customFormat="1" x14ac:dyDescent="0.4">
      <c r="A3123" s="402">
        <v>46209</v>
      </c>
      <c r="B3123" s="392" t="s">
        <v>64</v>
      </c>
      <c r="C3123" s="364" t="str">
        <f>VLOOKUP(B3123,'112年全品項生產鍋數'!A:H,2,0)</f>
        <v>藍莓餡(1*6KG)</v>
      </c>
      <c r="D3123" s="404">
        <v>12</v>
      </c>
      <c r="E3123" s="48">
        <f>VLOOKUP(B3123,'112年全品項生產鍋數'!A:H,3,0)</f>
        <v>6</v>
      </c>
      <c r="F3123" s="142">
        <f>VLOOKUP(B3123,'112年全品項生產鍋數'!A:H,7,0)</f>
        <v>25.4</v>
      </c>
      <c r="G3123" s="143">
        <f t="shared" si="495"/>
        <v>304.79999999999995</v>
      </c>
      <c r="H3123" s="156">
        <v>299</v>
      </c>
      <c r="I3123" s="371">
        <f t="shared" si="496"/>
        <v>1794</v>
      </c>
      <c r="J3123" s="100">
        <f t="shared" si="497"/>
        <v>0.98097112860892399</v>
      </c>
      <c r="K3123" s="51">
        <f>VLOOKUP(B:B,'生產達成率(目標)'!A:C,3,0)</f>
        <v>1</v>
      </c>
      <c r="L3123" s="20">
        <f t="shared" si="498"/>
        <v>-1.9E-2</v>
      </c>
      <c r="M3123" s="137" t="str">
        <f>工時!R2310</f>
        <v>340</v>
      </c>
      <c r="N3123" s="374"/>
      <c r="O3123" s="374">
        <f t="shared" si="499"/>
        <v>1</v>
      </c>
      <c r="P3123" s="156">
        <v>298</v>
      </c>
      <c r="Q3123" s="98">
        <f t="shared" si="500"/>
        <v>0.99665551839464883</v>
      </c>
      <c r="R3123" s="371"/>
      <c r="S3123" s="372"/>
      <c r="T3123" s="364"/>
      <c r="U3123" s="264"/>
      <c r="V3123" s="264" t="s">
        <v>1847</v>
      </c>
      <c r="W3123" s="424">
        <v>46210</v>
      </c>
      <c r="X3123" s="264" t="s">
        <v>1867</v>
      </c>
      <c r="Y3123" s="424">
        <v>46210</v>
      </c>
      <c r="Z3123" s="424"/>
      <c r="AA3123" s="424">
        <v>46206</v>
      </c>
      <c r="AB3123" s="424">
        <v>46210</v>
      </c>
      <c r="AC3123" s="425">
        <f t="shared" si="508"/>
        <v>1</v>
      </c>
      <c r="AD3123" s="425">
        <f t="shared" si="501"/>
        <v>1</v>
      </c>
    </row>
    <row r="3124" spans="1:30" s="381" customFormat="1" x14ac:dyDescent="0.4">
      <c r="A3124" s="402">
        <v>46209</v>
      </c>
      <c r="B3124" s="392" t="s">
        <v>96</v>
      </c>
      <c r="C3124" s="375" t="str">
        <f>VLOOKUP(B3124,'112年全品項生產鍋數'!A:H,2,0)</f>
        <v>PET瓶花生(1*340g)</v>
      </c>
      <c r="D3124" s="406">
        <v>12</v>
      </c>
      <c r="E3124" s="141">
        <f>VLOOKUP(B3124,'112年全品項生產鍋數'!A:H,3,0)</f>
        <v>0.34</v>
      </c>
      <c r="F3124" s="142">
        <f>VLOOKUP(B3124,'112年全品項生產鍋數'!A:H,7,0)</f>
        <v>358.3</v>
      </c>
      <c r="G3124" s="143">
        <f t="shared" si="495"/>
        <v>4299.6000000000004</v>
      </c>
      <c r="H3124" s="156">
        <v>4223</v>
      </c>
      <c r="I3124" s="374">
        <f t="shared" si="496"/>
        <v>1435.8200000000002</v>
      </c>
      <c r="J3124" s="100">
        <f t="shared" si="497"/>
        <v>0.9821843892455111</v>
      </c>
      <c r="K3124" s="51">
        <f>VLOOKUP(B:B,'生產達成率(目標)'!A:C,3,0)</f>
        <v>1</v>
      </c>
      <c r="L3124" s="20">
        <f t="shared" si="498"/>
        <v>-1.7999999999999999E-2</v>
      </c>
      <c r="M3124" s="137" t="str">
        <f>工時!R2311</f>
        <v>195</v>
      </c>
      <c r="N3124" s="374"/>
      <c r="O3124" s="374">
        <f t="shared" si="499"/>
        <v>3</v>
      </c>
      <c r="P3124" s="156">
        <v>4220</v>
      </c>
      <c r="Q3124" s="145">
        <f t="shared" si="500"/>
        <v>0.99928960454653093</v>
      </c>
      <c r="R3124" s="374"/>
      <c r="S3124" s="378"/>
      <c r="T3124" s="375"/>
      <c r="U3124" s="398"/>
      <c r="V3124" s="398" t="s">
        <v>1848</v>
      </c>
      <c r="W3124" s="427">
        <v>46209</v>
      </c>
      <c r="X3124" s="264" t="s">
        <v>1848</v>
      </c>
      <c r="Y3124" s="427">
        <v>46209</v>
      </c>
      <c r="Z3124" s="427"/>
      <c r="AA3124" s="427">
        <v>46206</v>
      </c>
      <c r="AB3124" s="427">
        <v>46209</v>
      </c>
      <c r="AC3124" s="429">
        <f t="shared" si="508"/>
        <v>0</v>
      </c>
      <c r="AD3124" s="429">
        <f t="shared" si="501"/>
        <v>0</v>
      </c>
    </row>
    <row r="3125" spans="1:30" s="381" customFormat="1" x14ac:dyDescent="0.4">
      <c r="A3125" s="402">
        <v>46209</v>
      </c>
      <c r="B3125" s="392" t="s">
        <v>58</v>
      </c>
      <c r="C3125" s="375" t="str">
        <f>VLOOKUP(B3125,'112年全品項生產鍋數'!A:H,2,0)</f>
        <v>PET大花生(1*400g)</v>
      </c>
      <c r="D3125" s="406">
        <v>24</v>
      </c>
      <c r="E3125" s="141">
        <f>VLOOKUP(B3125,'112年全品項生產鍋數'!A:H,3,0)</f>
        <v>0.4</v>
      </c>
      <c r="F3125" s="142">
        <f>VLOOKUP(B3125,'112年全品項生產鍋數'!A:H,7,0)</f>
        <v>309.2</v>
      </c>
      <c r="G3125" s="143">
        <f t="shared" si="495"/>
        <v>7420.7999999999993</v>
      </c>
      <c r="H3125" s="156">
        <v>7569</v>
      </c>
      <c r="I3125" s="374">
        <f t="shared" si="496"/>
        <v>3027.6000000000004</v>
      </c>
      <c r="J3125" s="100">
        <f t="shared" si="497"/>
        <v>1.0199708926261322</v>
      </c>
      <c r="K3125" s="51">
        <f>VLOOKUP(B:B,'生產達成率(目標)'!A:C,3,0)</f>
        <v>1</v>
      </c>
      <c r="L3125" s="20">
        <f t="shared" si="498"/>
        <v>0.02</v>
      </c>
      <c r="M3125" s="137" t="str">
        <f>工時!R2312</f>
        <v>445</v>
      </c>
      <c r="N3125" s="374"/>
      <c r="O3125" s="374">
        <f t="shared" si="499"/>
        <v>3</v>
      </c>
      <c r="P3125" s="156">
        <v>7566</v>
      </c>
      <c r="Q3125" s="145">
        <f t="shared" si="500"/>
        <v>0.99960364645263577</v>
      </c>
      <c r="R3125" s="374"/>
      <c r="S3125" s="378"/>
      <c r="T3125" s="375"/>
      <c r="U3125" s="398"/>
      <c r="V3125" s="398" t="s">
        <v>1848</v>
      </c>
      <c r="W3125" s="427">
        <v>46209</v>
      </c>
      <c r="X3125" s="264" t="s">
        <v>1848</v>
      </c>
      <c r="Y3125" s="427">
        <v>46209</v>
      </c>
      <c r="Z3125" s="427"/>
      <c r="AA3125" s="427">
        <v>46206</v>
      </c>
      <c r="AB3125" s="427">
        <v>46209</v>
      </c>
      <c r="AC3125" s="429">
        <f t="shared" si="508"/>
        <v>0</v>
      </c>
      <c r="AD3125" s="429">
        <f t="shared" si="501"/>
        <v>0</v>
      </c>
    </row>
    <row r="3126" spans="1:30" s="381" customFormat="1" x14ac:dyDescent="0.4">
      <c r="A3126" s="402">
        <v>46209</v>
      </c>
      <c r="B3126" s="392" t="s">
        <v>943</v>
      </c>
      <c r="C3126" s="375" t="str">
        <f>VLOOKUP(B3126,'112年全品項生產鍋數'!A:H,2,0)</f>
        <v>蜜桔皮(10kg/桶)</v>
      </c>
      <c r="D3126" s="406">
        <v>1</v>
      </c>
      <c r="E3126" s="141">
        <f>VLOOKUP(B3126,'112年全品項生產鍋數'!A:H,3,0)</f>
        <v>1</v>
      </c>
      <c r="F3126" s="142">
        <f>VLOOKUP(B3126,'112年全品項生產鍋數'!A:H,7,0)</f>
        <v>0</v>
      </c>
      <c r="G3126" s="143">
        <f t="shared" si="495"/>
        <v>0</v>
      </c>
      <c r="H3126" s="156">
        <v>530</v>
      </c>
      <c r="I3126" s="374">
        <f t="shared" si="496"/>
        <v>530</v>
      </c>
      <c r="J3126" s="100" t="str">
        <f t="shared" si="497"/>
        <v>無法預估數據</v>
      </c>
      <c r="K3126" s="51">
        <f>VLOOKUP(B:B,'生產達成率(目標)'!A:C,3,0)</f>
        <v>1</v>
      </c>
      <c r="L3126" s="20" t="str">
        <f t="shared" si="498"/>
        <v>無法預估數據</v>
      </c>
      <c r="M3126" s="137" t="str">
        <f>工時!R2313</f>
        <v>0</v>
      </c>
      <c r="N3126" s="374"/>
      <c r="O3126" s="374">
        <f t="shared" si="499"/>
        <v>0</v>
      </c>
      <c r="P3126" s="156">
        <v>530</v>
      </c>
      <c r="Q3126" s="145">
        <f t="shared" si="500"/>
        <v>1</v>
      </c>
      <c r="R3126" s="374"/>
      <c r="S3126" s="378"/>
      <c r="T3126" s="375"/>
      <c r="U3126" s="398"/>
      <c r="V3126" s="398" t="s">
        <v>1850</v>
      </c>
      <c r="W3126" s="427">
        <v>46209</v>
      </c>
      <c r="X3126" s="264" t="s">
        <v>1710</v>
      </c>
      <c r="Y3126" s="427" t="s">
        <v>1764</v>
      </c>
      <c r="Z3126" s="427"/>
      <c r="AA3126" s="427">
        <v>46206</v>
      </c>
      <c r="AB3126" s="427">
        <v>46226</v>
      </c>
      <c r="AC3126" s="429">
        <f t="shared" si="508"/>
        <v>0</v>
      </c>
      <c r="AD3126" s="429">
        <v>0</v>
      </c>
    </row>
    <row r="3127" spans="1:30" s="381" customFormat="1" x14ac:dyDescent="0.4">
      <c r="A3127" s="402">
        <v>46210</v>
      </c>
      <c r="B3127" s="392" t="s">
        <v>1070</v>
      </c>
      <c r="C3127" s="375" t="str">
        <f>VLOOKUP(B3127,'112年全品項生產鍋數'!A:H,2,0)</f>
        <v>藍莓果漿(1*350g)</v>
      </c>
      <c r="D3127" s="406">
        <v>3</v>
      </c>
      <c r="E3127" s="141">
        <f>VLOOKUP(B3127,'112年全品項生產鍋數'!A:H,3,0)</f>
        <v>0.35</v>
      </c>
      <c r="F3127" s="142">
        <f>VLOOKUP(B3127,'112年全品項生產鍋數'!A:H,7,0)</f>
        <v>341.7</v>
      </c>
      <c r="G3127" s="143">
        <f t="shared" si="495"/>
        <v>1025.0999999999999</v>
      </c>
      <c r="H3127" s="156">
        <v>1102</v>
      </c>
      <c r="I3127" s="374">
        <f t="shared" si="496"/>
        <v>385.7</v>
      </c>
      <c r="J3127" s="100">
        <f t="shared" si="497"/>
        <v>1.0750170715052192</v>
      </c>
      <c r="K3127" s="51">
        <f>VLOOKUP(B:B,'生產達成率(目標)'!A:C,3,0)</f>
        <v>1</v>
      </c>
      <c r="L3127" s="20">
        <f t="shared" si="498"/>
        <v>7.4999999999999997E-2</v>
      </c>
      <c r="M3127" s="137" t="str">
        <f>工時!R2314</f>
        <v>207</v>
      </c>
      <c r="N3127" s="374"/>
      <c r="O3127" s="374">
        <f t="shared" si="499"/>
        <v>5</v>
      </c>
      <c r="P3127" s="156">
        <v>1097</v>
      </c>
      <c r="Q3127" s="145">
        <f t="shared" si="500"/>
        <v>0.99546279491833034</v>
      </c>
      <c r="R3127" s="374"/>
      <c r="S3127" s="378"/>
      <c r="T3127" s="375"/>
      <c r="U3127" s="398"/>
      <c r="V3127" s="398" t="s">
        <v>1849</v>
      </c>
      <c r="W3127" s="427" t="s">
        <v>1764</v>
      </c>
      <c r="X3127" s="264" t="s">
        <v>1867</v>
      </c>
      <c r="Y3127" s="427">
        <v>46216</v>
      </c>
      <c r="Z3127" s="427"/>
      <c r="AA3127" s="427">
        <v>46209</v>
      </c>
      <c r="AB3127" s="427">
        <v>46210</v>
      </c>
      <c r="AC3127" s="429">
        <v>0</v>
      </c>
      <c r="AD3127" s="429">
        <f t="shared" ref="AD3127:AD3153" si="515" xml:space="preserve"> IF((Y3127-A3127)&lt;0,"未收到",Y3127-A3127)</f>
        <v>6</v>
      </c>
    </row>
    <row r="3128" spans="1:30" s="381" customFormat="1" x14ac:dyDescent="0.4">
      <c r="A3128" s="402">
        <v>46210</v>
      </c>
      <c r="B3128" s="392" t="s">
        <v>106</v>
      </c>
      <c r="C3128" s="375" t="str">
        <f>VLOOKUP(B3128,'112年全品項生產鍋數'!A:H,2,0)</f>
        <v>小藍莓1*260G</v>
      </c>
      <c r="D3128" s="406">
        <v>20</v>
      </c>
      <c r="E3128" s="141">
        <f>VLOOKUP(B3128,'112年全品項生產鍋數'!A:H,3,0)</f>
        <v>0.26</v>
      </c>
      <c r="F3128" s="142">
        <f>VLOOKUP(B3128,'112年全品項生產鍋數'!A:H,7,0)</f>
        <v>584.29999999999995</v>
      </c>
      <c r="G3128" s="143">
        <f t="shared" si="495"/>
        <v>11686</v>
      </c>
      <c r="H3128" s="156">
        <v>11382</v>
      </c>
      <c r="I3128" s="374">
        <f t="shared" si="496"/>
        <v>2959.32</v>
      </c>
      <c r="J3128" s="100">
        <f t="shared" si="497"/>
        <v>0.97398596611329802</v>
      </c>
      <c r="K3128" s="51">
        <f>VLOOKUP(B:B,'生產達成率(目標)'!A:C,3,0)</f>
        <v>1</v>
      </c>
      <c r="L3128" s="20">
        <f t="shared" si="498"/>
        <v>-2.5999999999999999E-2</v>
      </c>
      <c r="M3128" s="137" t="str">
        <f>工時!R2315</f>
        <v>390</v>
      </c>
      <c r="N3128" s="374"/>
      <c r="O3128" s="374">
        <f t="shared" si="499"/>
        <v>8</v>
      </c>
      <c r="P3128" s="156">
        <v>11374</v>
      </c>
      <c r="Q3128" s="145">
        <f t="shared" si="500"/>
        <v>0.9992971358285011</v>
      </c>
      <c r="R3128" s="374"/>
      <c r="S3128" s="378"/>
      <c r="T3128" s="375"/>
      <c r="U3128" s="398"/>
      <c r="V3128" s="398" t="s">
        <v>1849</v>
      </c>
      <c r="W3128" s="427">
        <v>46210</v>
      </c>
      <c r="X3128" s="264" t="s">
        <v>1867</v>
      </c>
      <c r="Y3128" s="427">
        <v>46216</v>
      </c>
      <c r="Z3128" s="427"/>
      <c r="AA3128" s="427">
        <v>46209</v>
      </c>
      <c r="AB3128" s="427">
        <v>46210</v>
      </c>
      <c r="AC3128" s="429">
        <f t="shared" ref="AC3128:AC3159" si="516" xml:space="preserve"> IF((W3128-A3128)&lt;0,"未收到",W3128-A3128)</f>
        <v>0</v>
      </c>
      <c r="AD3128" s="429">
        <f t="shared" si="515"/>
        <v>6</v>
      </c>
    </row>
    <row r="3129" spans="1:30" s="361" customFormat="1" x14ac:dyDescent="0.4">
      <c r="A3129" s="402">
        <v>46210</v>
      </c>
      <c r="B3129" s="392" t="s">
        <v>1696</v>
      </c>
      <c r="C3129" s="364" t="str">
        <f>VLOOKUP(B3129,'112年全品項生產鍋數'!A:H,2,0)</f>
        <v>檸檬餡(1*6Kg)</v>
      </c>
      <c r="D3129" s="404">
        <v>8</v>
      </c>
      <c r="E3129" s="48">
        <f>VLOOKUP(B3129,'112年全品項生產鍋數'!A:H,3,0)</f>
        <v>6</v>
      </c>
      <c r="F3129" s="142">
        <f>VLOOKUP(B3129,'112年全品項生產鍋數'!A:H,7,0)</f>
        <v>0</v>
      </c>
      <c r="G3129" s="143">
        <f t="shared" si="495"/>
        <v>0</v>
      </c>
      <c r="H3129" s="156">
        <v>205</v>
      </c>
      <c r="I3129" s="371">
        <f t="shared" si="496"/>
        <v>1230</v>
      </c>
      <c r="J3129" s="100" t="str">
        <f t="shared" si="497"/>
        <v>無法預估數據</v>
      </c>
      <c r="K3129" s="51">
        <f>VLOOKUP(B:B,'生產達成率(目標)'!A:C,3,0)</f>
        <v>1</v>
      </c>
      <c r="L3129" s="20" t="str">
        <f t="shared" si="498"/>
        <v>無法預估數據</v>
      </c>
      <c r="M3129" s="137" t="str">
        <f>工時!R2316</f>
        <v>139</v>
      </c>
      <c r="N3129" s="374"/>
      <c r="O3129" s="374">
        <f t="shared" si="499"/>
        <v>1</v>
      </c>
      <c r="P3129" s="156">
        <v>204</v>
      </c>
      <c r="Q3129" s="98">
        <f t="shared" si="500"/>
        <v>0.99512195121951219</v>
      </c>
      <c r="R3129" s="371"/>
      <c r="S3129" s="372"/>
      <c r="T3129" s="364"/>
      <c r="U3129" s="264"/>
      <c r="V3129" s="264" t="s">
        <v>1847</v>
      </c>
      <c r="W3129" s="424">
        <v>46210</v>
      </c>
      <c r="X3129" s="264" t="s">
        <v>1867</v>
      </c>
      <c r="Y3129" s="424">
        <v>46216</v>
      </c>
      <c r="Z3129" s="424"/>
      <c r="AA3129" s="424">
        <v>46209</v>
      </c>
      <c r="AB3129" s="424">
        <v>46210</v>
      </c>
      <c r="AC3129" s="425">
        <f t="shared" si="516"/>
        <v>0</v>
      </c>
      <c r="AD3129" s="425">
        <f t="shared" si="515"/>
        <v>6</v>
      </c>
    </row>
    <row r="3130" spans="1:30" s="361" customFormat="1" x14ac:dyDescent="0.4">
      <c r="A3130" s="402">
        <v>46210</v>
      </c>
      <c r="B3130" s="392" t="s">
        <v>1667</v>
      </c>
      <c r="C3130" s="364" t="str">
        <f>VLOOKUP(B3130,'112年全品項生產鍋數'!A:H,2,0)</f>
        <v>楊枝甘露餡(1*6Kg)</v>
      </c>
      <c r="D3130" s="404">
        <v>6</v>
      </c>
      <c r="E3130" s="48">
        <f>VLOOKUP(B3130,'112年全品項生產鍋數'!A:H,3,0)</f>
        <v>6</v>
      </c>
      <c r="F3130" s="142">
        <f>VLOOKUP(B3130,'112年全品項生產鍋數'!A:H,7,0)</f>
        <v>0</v>
      </c>
      <c r="G3130" s="143">
        <f t="shared" si="495"/>
        <v>0</v>
      </c>
      <c r="H3130" s="156">
        <v>158</v>
      </c>
      <c r="I3130" s="371">
        <f t="shared" si="496"/>
        <v>948</v>
      </c>
      <c r="J3130" s="100" t="str">
        <f t="shared" si="497"/>
        <v>無法預估數據</v>
      </c>
      <c r="K3130" s="51">
        <f>VLOOKUP(B:B,'生產達成率(目標)'!A:C,3,0)</f>
        <v>1</v>
      </c>
      <c r="L3130" s="20" t="str">
        <f t="shared" si="498"/>
        <v>無法預估數據</v>
      </c>
      <c r="M3130" s="137" t="str">
        <f>工時!R2317</f>
        <v>155</v>
      </c>
      <c r="N3130" s="374"/>
      <c r="O3130" s="374">
        <f t="shared" si="499"/>
        <v>1</v>
      </c>
      <c r="P3130" s="156">
        <v>157</v>
      </c>
      <c r="Q3130" s="98">
        <f t="shared" si="500"/>
        <v>0.99367088607594933</v>
      </c>
      <c r="R3130" s="371"/>
      <c r="S3130" s="372"/>
      <c r="T3130" s="364"/>
      <c r="U3130" s="264"/>
      <c r="V3130" s="264" t="s">
        <v>1847</v>
      </c>
      <c r="W3130" s="424">
        <v>46210</v>
      </c>
      <c r="X3130" s="264" t="s">
        <v>1867</v>
      </c>
      <c r="Y3130" s="424">
        <v>46216</v>
      </c>
      <c r="Z3130" s="424"/>
      <c r="AA3130" s="424">
        <v>46209</v>
      </c>
      <c r="AB3130" s="424">
        <v>46210</v>
      </c>
      <c r="AC3130" s="425">
        <f t="shared" si="516"/>
        <v>0</v>
      </c>
      <c r="AD3130" s="425">
        <f t="shared" si="515"/>
        <v>6</v>
      </c>
    </row>
    <row r="3131" spans="1:30" s="361" customFormat="1" x14ac:dyDescent="0.4">
      <c r="A3131" s="402">
        <v>46210</v>
      </c>
      <c r="B3131" s="392" t="s">
        <v>63</v>
      </c>
      <c r="C3131" s="364" t="str">
        <f>VLOOKUP(B3131,'112年全品項生產鍋數'!A:H,2,0)</f>
        <v>草莓蒟蒻餡(1*6kg)</v>
      </c>
      <c r="D3131" s="404">
        <v>24</v>
      </c>
      <c r="E3131" s="48">
        <f>VLOOKUP(B3131,'112年全品項生產鍋數'!A:H,3,0)</f>
        <v>6</v>
      </c>
      <c r="F3131" s="142">
        <f>VLOOKUP(B3131,'112年全品項生產鍋數'!A:H,7,0)</f>
        <v>25.7</v>
      </c>
      <c r="G3131" s="143">
        <f t="shared" si="495"/>
        <v>616.79999999999995</v>
      </c>
      <c r="H3131" s="156">
        <f>303+313</f>
        <v>616</v>
      </c>
      <c r="I3131" s="371">
        <f t="shared" si="496"/>
        <v>3696</v>
      </c>
      <c r="J3131" s="100">
        <f t="shared" si="497"/>
        <v>0.99870298313878092</v>
      </c>
      <c r="K3131" s="51">
        <f>VLOOKUP(B:B,'生產達成率(目標)'!A:C,3,0)</f>
        <v>1</v>
      </c>
      <c r="L3131" s="20">
        <f t="shared" si="498"/>
        <v>-1E-3</v>
      </c>
      <c r="M3131" s="137" t="str">
        <f>工時!R2318</f>
        <v>299</v>
      </c>
      <c r="N3131" s="374"/>
      <c r="O3131" s="374">
        <f t="shared" si="499"/>
        <v>2</v>
      </c>
      <c r="P3131" s="156">
        <f>302+312</f>
        <v>614</v>
      </c>
      <c r="Q3131" s="98">
        <f t="shared" si="500"/>
        <v>0.99675324675324672</v>
      </c>
      <c r="R3131" s="371"/>
      <c r="S3131" s="372"/>
      <c r="T3131" s="364"/>
      <c r="U3131" s="264"/>
      <c r="V3131" s="264" t="s">
        <v>1847</v>
      </c>
      <c r="W3131" s="424">
        <v>46211</v>
      </c>
      <c r="X3131" s="264" t="s">
        <v>1867</v>
      </c>
      <c r="Y3131" s="424">
        <v>46216</v>
      </c>
      <c r="Z3131" s="424"/>
      <c r="AA3131" s="424" t="s">
        <v>1757</v>
      </c>
      <c r="AB3131" s="428">
        <v>46211</v>
      </c>
      <c r="AC3131" s="425">
        <f t="shared" si="516"/>
        <v>1</v>
      </c>
      <c r="AD3131" s="425">
        <f t="shared" si="515"/>
        <v>6</v>
      </c>
    </row>
    <row r="3132" spans="1:30" s="361" customFormat="1" x14ac:dyDescent="0.4">
      <c r="A3132" s="402">
        <v>46210</v>
      </c>
      <c r="B3132" s="392" t="s">
        <v>104</v>
      </c>
      <c r="C3132" s="364" t="str">
        <f>VLOOKUP(B3132,'112年全品項生產鍋數'!A:H,2,0)</f>
        <v>＃1花生(粒)(1*2.8kg)</v>
      </c>
      <c r="D3132" s="404">
        <v>60</v>
      </c>
      <c r="E3132" s="48">
        <f>VLOOKUP(B3132,'112年全品項生產鍋數'!A:H,3,0)</f>
        <v>2.8</v>
      </c>
      <c r="F3132" s="142">
        <f>VLOOKUP(B3132,'112年全品項生產鍋數'!A:H,7,0)</f>
        <v>44.2</v>
      </c>
      <c r="G3132" s="143">
        <f t="shared" si="495"/>
        <v>2652</v>
      </c>
      <c r="H3132" s="156">
        <v>2623</v>
      </c>
      <c r="I3132" s="371">
        <f t="shared" si="496"/>
        <v>7344.4</v>
      </c>
      <c r="J3132" s="100">
        <f t="shared" si="497"/>
        <v>0.98906485671191557</v>
      </c>
      <c r="K3132" s="51">
        <f>VLOOKUP(B:B,'生產達成率(目標)'!A:C,3,0)</f>
        <v>1</v>
      </c>
      <c r="L3132" s="20">
        <f t="shared" si="498"/>
        <v>-1.0999999999999999E-2</v>
      </c>
      <c r="M3132" s="137" t="str">
        <f>工時!R2319</f>
        <v>500</v>
      </c>
      <c r="N3132" s="374"/>
      <c r="O3132" s="374">
        <f t="shared" si="499"/>
        <v>301</v>
      </c>
      <c r="P3132" s="156">
        <v>2322</v>
      </c>
      <c r="Q3132" s="98">
        <f t="shared" si="500"/>
        <v>0.88524590163934425</v>
      </c>
      <c r="R3132" s="371"/>
      <c r="S3132" s="372"/>
      <c r="T3132" s="364"/>
      <c r="U3132" s="264"/>
      <c r="V3132" s="264" t="s">
        <v>1848</v>
      </c>
      <c r="W3132" s="424">
        <v>46210</v>
      </c>
      <c r="X3132" s="264" t="s">
        <v>1848</v>
      </c>
      <c r="Y3132" s="424">
        <v>46210</v>
      </c>
      <c r="Z3132" s="424"/>
      <c r="AA3132" s="424">
        <v>46209</v>
      </c>
      <c r="AB3132" s="424">
        <v>46210</v>
      </c>
      <c r="AC3132" s="425">
        <f t="shared" si="516"/>
        <v>0</v>
      </c>
      <c r="AD3132" s="425">
        <f t="shared" si="515"/>
        <v>0</v>
      </c>
    </row>
    <row r="3133" spans="1:30" s="361" customFormat="1" x14ac:dyDescent="0.4">
      <c r="A3133" s="402">
        <v>46211</v>
      </c>
      <c r="B3133" s="392" t="s">
        <v>51</v>
      </c>
      <c r="C3133" s="364" t="str">
        <f>VLOOKUP(B3133,'112年全品項生產鍋數'!A:H,2,0)</f>
        <v>藍莓醬(1*6kg)</v>
      </c>
      <c r="D3133" s="404">
        <v>16</v>
      </c>
      <c r="E3133" s="48">
        <f>VLOOKUP(B3133,'112年全品項生產鍋數'!A:H,3,0)</f>
        <v>6</v>
      </c>
      <c r="F3133" s="142">
        <f>VLOOKUP(B3133,'112年全品項生產鍋數'!A:H,7,0)</f>
        <v>25.5</v>
      </c>
      <c r="G3133" s="143">
        <f t="shared" si="495"/>
        <v>408</v>
      </c>
      <c r="H3133" s="156">
        <v>402</v>
      </c>
      <c r="I3133" s="371">
        <f t="shared" si="496"/>
        <v>2412</v>
      </c>
      <c r="J3133" s="100">
        <f t="shared" si="497"/>
        <v>0.98529411764705888</v>
      </c>
      <c r="K3133" s="51">
        <f>VLOOKUP(B:B,'生產達成率(目標)'!A:C,3,0)</f>
        <v>1</v>
      </c>
      <c r="L3133" s="20">
        <f t="shared" si="498"/>
        <v>-1.4999999999999999E-2</v>
      </c>
      <c r="M3133" s="137" t="str">
        <f>工時!R2320</f>
        <v>240</v>
      </c>
      <c r="N3133" s="374"/>
      <c r="O3133" s="374">
        <f t="shared" si="499"/>
        <v>1</v>
      </c>
      <c r="P3133" s="156">
        <v>401</v>
      </c>
      <c r="Q3133" s="98">
        <f t="shared" si="500"/>
        <v>0.99751243781094523</v>
      </c>
      <c r="R3133" s="371"/>
      <c r="S3133" s="372"/>
      <c r="T3133" s="364"/>
      <c r="U3133" s="264"/>
      <c r="V3133" s="264" t="s">
        <v>1849</v>
      </c>
      <c r="W3133" s="424">
        <v>46212</v>
      </c>
      <c r="X3133" s="264" t="s">
        <v>1867</v>
      </c>
      <c r="Y3133" s="424">
        <v>46216</v>
      </c>
      <c r="Z3133" s="424"/>
      <c r="AA3133" s="424">
        <v>46210</v>
      </c>
      <c r="AB3133" s="424">
        <v>46211</v>
      </c>
      <c r="AC3133" s="425">
        <f t="shared" si="516"/>
        <v>1</v>
      </c>
      <c r="AD3133" s="425">
        <f t="shared" si="515"/>
        <v>5</v>
      </c>
    </row>
    <row r="3134" spans="1:30" s="361" customFormat="1" x14ac:dyDescent="0.4">
      <c r="A3134" s="402">
        <v>46211</v>
      </c>
      <c r="B3134" s="392" t="s">
        <v>54</v>
      </c>
      <c r="C3134" s="364" t="str">
        <f>VLOOKUP(B3134,'112年全品項生產鍋數'!A:H,2,0)</f>
        <v>草莓醬(1*6kg)</v>
      </c>
      <c r="D3134" s="404">
        <v>24</v>
      </c>
      <c r="E3134" s="48">
        <f>VLOOKUP(B3134,'112年全品項生產鍋數'!A:H,3,0)</f>
        <v>6</v>
      </c>
      <c r="F3134" s="142">
        <f>VLOOKUP(B3134,'112年全品項生產鍋數'!A:H,7,0)</f>
        <v>26.6</v>
      </c>
      <c r="G3134" s="143">
        <f t="shared" si="495"/>
        <v>638.40000000000009</v>
      </c>
      <c r="H3134" s="156">
        <v>620</v>
      </c>
      <c r="I3134" s="371">
        <f t="shared" si="496"/>
        <v>3720</v>
      </c>
      <c r="J3134" s="100">
        <f t="shared" si="497"/>
        <v>0.97117794486215525</v>
      </c>
      <c r="K3134" s="51">
        <f>VLOOKUP(B:B,'生產達成率(目標)'!A:C,3,0)</f>
        <v>1</v>
      </c>
      <c r="L3134" s="20">
        <f t="shared" si="498"/>
        <v>-2.9000000000000001E-2</v>
      </c>
      <c r="M3134" s="137" t="str">
        <f>工時!R2321</f>
        <v>300</v>
      </c>
      <c r="N3134" s="374"/>
      <c r="O3134" s="374">
        <f t="shared" si="499"/>
        <v>3</v>
      </c>
      <c r="P3134" s="156">
        <v>617</v>
      </c>
      <c r="Q3134" s="98">
        <f t="shared" si="500"/>
        <v>0.99516129032258061</v>
      </c>
      <c r="R3134" s="371"/>
      <c r="S3134" s="372"/>
      <c r="T3134" s="364"/>
      <c r="U3134" s="264"/>
      <c r="V3134" s="264" t="s">
        <v>1849</v>
      </c>
      <c r="W3134" s="424">
        <v>46212</v>
      </c>
      <c r="X3134" s="264" t="s">
        <v>1867</v>
      </c>
      <c r="Y3134" s="424">
        <v>46216</v>
      </c>
      <c r="Z3134" s="424"/>
      <c r="AA3134" s="424">
        <v>46210</v>
      </c>
      <c r="AB3134" s="424">
        <v>46211</v>
      </c>
      <c r="AC3134" s="425">
        <f t="shared" si="516"/>
        <v>1</v>
      </c>
      <c r="AD3134" s="425">
        <f t="shared" si="515"/>
        <v>5</v>
      </c>
    </row>
    <row r="3135" spans="1:30" s="361" customFormat="1" x14ac:dyDescent="0.4">
      <c r="A3135" s="402">
        <v>46211</v>
      </c>
      <c r="B3135" s="392" t="s">
        <v>116</v>
      </c>
      <c r="C3135" s="364" t="str">
        <f>VLOOKUP(B3135,'112年全品項生產鍋數'!A:H,2,0)</f>
        <v>藍莓餡（大）(1*9.08kg)</v>
      </c>
      <c r="D3135" s="404">
        <v>8</v>
      </c>
      <c r="E3135" s="48">
        <f>VLOOKUP(B3135,'112年全品項生產鍋數'!A:H,3,0)</f>
        <v>9.08</v>
      </c>
      <c r="F3135" s="142">
        <f>VLOOKUP(B3135,'112年全品項生產鍋數'!A:H,7,0)</f>
        <v>17.8</v>
      </c>
      <c r="G3135" s="143">
        <f t="shared" si="495"/>
        <v>142.4</v>
      </c>
      <c r="H3135" s="156">
        <v>141</v>
      </c>
      <c r="I3135" s="371">
        <f t="shared" si="496"/>
        <v>1280.28</v>
      </c>
      <c r="J3135" s="100">
        <f t="shared" si="497"/>
        <v>0.9901685393258427</v>
      </c>
      <c r="K3135" s="51">
        <f>VLOOKUP(B:B,'生產達成率(目標)'!A:C,3,0)</f>
        <v>1</v>
      </c>
      <c r="L3135" s="20">
        <f t="shared" si="498"/>
        <v>-0.01</v>
      </c>
      <c r="M3135" s="137" t="str">
        <f>工時!R2322</f>
        <v>179</v>
      </c>
      <c r="N3135" s="374"/>
      <c r="O3135" s="374">
        <f t="shared" si="499"/>
        <v>0</v>
      </c>
      <c r="P3135" s="156">
        <v>141</v>
      </c>
      <c r="Q3135" s="98">
        <f t="shared" si="500"/>
        <v>1</v>
      </c>
      <c r="R3135" s="371"/>
      <c r="S3135" s="372"/>
      <c r="T3135" s="364"/>
      <c r="U3135" s="264"/>
      <c r="V3135" s="264" t="s">
        <v>1847</v>
      </c>
      <c r="W3135" s="424">
        <v>46212</v>
      </c>
      <c r="X3135" s="264" t="s">
        <v>1867</v>
      </c>
      <c r="Y3135" s="424">
        <v>46216</v>
      </c>
      <c r="Z3135" s="424"/>
      <c r="AA3135" s="424">
        <v>46210</v>
      </c>
      <c r="AB3135" s="424">
        <v>46212</v>
      </c>
      <c r="AC3135" s="425">
        <f t="shared" si="516"/>
        <v>1</v>
      </c>
      <c r="AD3135" s="425">
        <f t="shared" si="515"/>
        <v>5</v>
      </c>
    </row>
    <row r="3136" spans="1:30" s="361" customFormat="1" x14ac:dyDescent="0.4">
      <c r="A3136" s="402">
        <v>46211</v>
      </c>
      <c r="B3136" s="392" t="s">
        <v>1698</v>
      </c>
      <c r="C3136" s="364" t="str">
        <f>VLOOKUP(B3136,'112年全品項生產鍋數'!A:H,2,0)</f>
        <v>上好佳草莓餡4.5KG</v>
      </c>
      <c r="D3136" s="404">
        <v>16</v>
      </c>
      <c r="E3136" s="48">
        <f>VLOOKUP(B3136,'112年全品項生產鍋數'!A:H,3,0)</f>
        <v>4.5</v>
      </c>
      <c r="F3136" s="142">
        <f>VLOOKUP(B3136,'112年全品項生產鍋數'!A:H,7,0)</f>
        <v>36.299999999999997</v>
      </c>
      <c r="G3136" s="143">
        <f t="shared" si="495"/>
        <v>580.79999999999995</v>
      </c>
      <c r="H3136" s="156">
        <v>573</v>
      </c>
      <c r="I3136" s="371">
        <f t="shared" si="496"/>
        <v>2578.5</v>
      </c>
      <c r="J3136" s="100">
        <f t="shared" si="497"/>
        <v>0.98657024793388437</v>
      </c>
      <c r="K3136" s="51">
        <f>VLOOKUP(B:B,'生產達成率(目標)'!A:C,3,0)</f>
        <v>1</v>
      </c>
      <c r="L3136" s="20">
        <f t="shared" si="498"/>
        <v>-1.2999999999999999E-2</v>
      </c>
      <c r="M3136" s="137" t="str">
        <f>工時!R2323</f>
        <v>310</v>
      </c>
      <c r="N3136" s="374"/>
      <c r="O3136" s="374">
        <f t="shared" si="499"/>
        <v>0</v>
      </c>
      <c r="P3136" s="156">
        <v>573</v>
      </c>
      <c r="Q3136" s="98">
        <f t="shared" si="500"/>
        <v>1</v>
      </c>
      <c r="R3136" s="371"/>
      <c r="S3136" s="372"/>
      <c r="T3136" s="364"/>
      <c r="U3136" s="264"/>
      <c r="V3136" s="264" t="s">
        <v>1847</v>
      </c>
      <c r="W3136" s="428">
        <v>46211</v>
      </c>
      <c r="X3136" s="264" t="s">
        <v>1867</v>
      </c>
      <c r="Y3136" s="424">
        <v>46216</v>
      </c>
      <c r="Z3136" s="424"/>
      <c r="AA3136" s="424">
        <v>46210</v>
      </c>
      <c r="AB3136" s="428">
        <v>46211</v>
      </c>
      <c r="AC3136" s="425">
        <f t="shared" si="516"/>
        <v>0</v>
      </c>
      <c r="AD3136" s="425">
        <f t="shared" si="515"/>
        <v>5</v>
      </c>
    </row>
    <row r="3137" spans="1:30" s="361" customFormat="1" x14ac:dyDescent="0.4">
      <c r="A3137" s="402">
        <v>46211</v>
      </c>
      <c r="B3137" s="392" t="s">
        <v>1753</v>
      </c>
      <c r="C3137" s="364" t="str">
        <f>VLOOKUP(B3137,'112年全品項生產鍋數'!A:H,2,0)</f>
        <v>上好佳藍莓餡(大)4.5KG</v>
      </c>
      <c r="D3137" s="404">
        <v>8</v>
      </c>
      <c r="E3137" s="48">
        <f>VLOOKUP(B3137,'112年全品項生產鍋數'!A:H,3,0)</f>
        <v>4.5</v>
      </c>
      <c r="F3137" s="142">
        <f>VLOOKUP(B3137,'112年全品項生產鍋數'!A:H,7,0)</f>
        <v>37</v>
      </c>
      <c r="G3137" s="143">
        <f t="shared" si="495"/>
        <v>296</v>
      </c>
      <c r="H3137" s="156">
        <v>293</v>
      </c>
      <c r="I3137" s="371">
        <f t="shared" si="496"/>
        <v>1318.5</v>
      </c>
      <c r="J3137" s="100">
        <f t="shared" si="497"/>
        <v>0.98986486486486491</v>
      </c>
      <c r="K3137" s="51" t="e">
        <f>VLOOKUP(B:B,'生產達成率(目標)'!A:C,3,0)</f>
        <v>#N/A</v>
      </c>
      <c r="L3137" s="20" t="e">
        <f t="shared" si="498"/>
        <v>#N/A</v>
      </c>
      <c r="M3137" s="137" t="str">
        <f>工時!R2324</f>
        <v>160</v>
      </c>
      <c r="N3137" s="374"/>
      <c r="O3137" s="374">
        <f t="shared" si="499"/>
        <v>0</v>
      </c>
      <c r="P3137" s="156">
        <v>293</v>
      </c>
      <c r="Q3137" s="98">
        <f t="shared" si="500"/>
        <v>1</v>
      </c>
      <c r="R3137" s="371"/>
      <c r="S3137" s="372"/>
      <c r="T3137" s="364"/>
      <c r="U3137" s="264"/>
      <c r="V3137" s="264" t="s">
        <v>1847</v>
      </c>
      <c r="W3137" s="424">
        <v>46212</v>
      </c>
      <c r="X3137" s="264" t="s">
        <v>1867</v>
      </c>
      <c r="Y3137" s="424">
        <v>46216</v>
      </c>
      <c r="Z3137" s="424"/>
      <c r="AA3137" s="424">
        <v>46210</v>
      </c>
      <c r="AB3137" s="424">
        <v>46212</v>
      </c>
      <c r="AC3137" s="425">
        <f t="shared" si="516"/>
        <v>1</v>
      </c>
      <c r="AD3137" s="425">
        <f t="shared" si="515"/>
        <v>5</v>
      </c>
    </row>
    <row r="3138" spans="1:30" s="361" customFormat="1" x14ac:dyDescent="0.4">
      <c r="A3138" s="402">
        <v>46211</v>
      </c>
      <c r="B3138" s="392" t="s">
        <v>66</v>
      </c>
      <c r="C3138" s="364" t="str">
        <f>VLOOKUP(B3138,'112年全品項生產鍋數'!A:H,2,0)</f>
        <v>＃2花生(1*800g)</v>
      </c>
      <c r="D3138" s="404">
        <v>20</v>
      </c>
      <c r="E3138" s="48">
        <f>VLOOKUP(B3138,'112年全品項生產鍋數'!A:H,3,0)</f>
        <v>0.8</v>
      </c>
      <c r="F3138" s="142">
        <f>VLOOKUP(B3138,'112年全品項生產鍋數'!A:H,7,0)</f>
        <v>157.69999999999999</v>
      </c>
      <c r="G3138" s="143">
        <f t="shared" si="495"/>
        <v>3154</v>
      </c>
      <c r="H3138" s="156">
        <v>3119</v>
      </c>
      <c r="I3138" s="371">
        <f t="shared" si="496"/>
        <v>2495.2000000000003</v>
      </c>
      <c r="J3138" s="100">
        <f t="shared" si="497"/>
        <v>0.9889029803424223</v>
      </c>
      <c r="K3138" s="51">
        <f>VLOOKUP(B:B,'生產達成率(目標)'!A:C,3,0)</f>
        <v>1</v>
      </c>
      <c r="L3138" s="20">
        <f t="shared" si="498"/>
        <v>-1.0999999999999999E-2</v>
      </c>
      <c r="M3138" s="137" t="str">
        <f>工時!R2325</f>
        <v>285</v>
      </c>
      <c r="N3138" s="374"/>
      <c r="O3138" s="374">
        <f t="shared" si="499"/>
        <v>3</v>
      </c>
      <c r="P3138" s="156">
        <v>3116</v>
      </c>
      <c r="Q3138" s="98">
        <f t="shared" si="500"/>
        <v>0.99903815325424816</v>
      </c>
      <c r="R3138" s="371"/>
      <c r="S3138" s="372"/>
      <c r="T3138" s="364"/>
      <c r="U3138" s="264"/>
      <c r="V3138" s="264" t="s">
        <v>1848</v>
      </c>
      <c r="W3138" s="424">
        <v>46212</v>
      </c>
      <c r="X3138" s="264" t="s">
        <v>1848</v>
      </c>
      <c r="Y3138" s="424">
        <v>46212</v>
      </c>
      <c r="Z3138" s="424"/>
      <c r="AA3138" s="424">
        <v>46210</v>
      </c>
      <c r="AB3138" s="424">
        <v>46211</v>
      </c>
      <c r="AC3138" s="425">
        <f t="shared" si="516"/>
        <v>1</v>
      </c>
      <c r="AD3138" s="425">
        <f t="shared" si="515"/>
        <v>1</v>
      </c>
    </row>
    <row r="3139" spans="1:30" s="361" customFormat="1" x14ac:dyDescent="0.4">
      <c r="A3139" s="402">
        <v>46211</v>
      </c>
      <c r="B3139" s="392" t="s">
        <v>65</v>
      </c>
      <c r="C3139" s="364" t="str">
        <f>VLOOKUP(B3139,'112年全品項生產鍋數'!A:H,2,0)</f>
        <v>＃1花生(1*2.8kg)</v>
      </c>
      <c r="D3139" s="404">
        <v>32</v>
      </c>
      <c r="E3139" s="48">
        <f>VLOOKUP(B3139,'112年全品項生產鍋數'!A:H,3,0)</f>
        <v>2.8</v>
      </c>
      <c r="F3139" s="142">
        <f>VLOOKUP(B3139,'112年全品項生產鍋數'!A:H,7,0)</f>
        <v>44.5</v>
      </c>
      <c r="G3139" s="143">
        <f t="shared" si="495"/>
        <v>1424</v>
      </c>
      <c r="H3139" s="156">
        <v>1413</v>
      </c>
      <c r="I3139" s="371">
        <f t="shared" si="496"/>
        <v>3956.3999999999996</v>
      </c>
      <c r="J3139" s="100">
        <f t="shared" si="497"/>
        <v>0.9922752808988764</v>
      </c>
      <c r="K3139" s="51">
        <f>VLOOKUP(B:B,'生產達成率(目標)'!A:C,3,0)</f>
        <v>1</v>
      </c>
      <c r="L3139" s="20">
        <f t="shared" si="498"/>
        <v>-8.0000000000000002E-3</v>
      </c>
      <c r="M3139" s="137" t="str">
        <f>工時!R2326</f>
        <v>265</v>
      </c>
      <c r="N3139" s="374"/>
      <c r="O3139" s="374">
        <f t="shared" si="499"/>
        <v>3</v>
      </c>
      <c r="P3139" s="156">
        <v>1410</v>
      </c>
      <c r="Q3139" s="98">
        <f t="shared" si="500"/>
        <v>0.99787685774946921</v>
      </c>
      <c r="R3139" s="371"/>
      <c r="S3139" s="372"/>
      <c r="T3139" s="364"/>
      <c r="U3139" s="264"/>
      <c r="V3139" s="264" t="s">
        <v>1848</v>
      </c>
      <c r="W3139" s="424">
        <v>46212</v>
      </c>
      <c r="X3139" s="264" t="s">
        <v>1848</v>
      </c>
      <c r="Y3139" s="424">
        <v>46212</v>
      </c>
      <c r="Z3139" s="424"/>
      <c r="AA3139" s="424">
        <v>46210</v>
      </c>
      <c r="AB3139" s="424">
        <v>46211</v>
      </c>
      <c r="AC3139" s="425">
        <f t="shared" si="516"/>
        <v>1</v>
      </c>
      <c r="AD3139" s="425">
        <f t="shared" si="515"/>
        <v>1</v>
      </c>
    </row>
    <row r="3140" spans="1:30" s="361" customFormat="1" x14ac:dyDescent="0.4">
      <c r="A3140" s="402">
        <v>46212</v>
      </c>
      <c r="B3140" s="392" t="s">
        <v>965</v>
      </c>
      <c r="C3140" s="364" t="str">
        <f>VLOOKUP(B3140,'112年全品項生產鍋數'!A:H,2,0)</f>
        <v>草莓餡°(1*6KG)</v>
      </c>
      <c r="D3140" s="404">
        <v>12</v>
      </c>
      <c r="E3140" s="48">
        <f>VLOOKUP(B3140,'112年全品項生產鍋數'!A:H,3,0)</f>
        <v>6</v>
      </c>
      <c r="F3140" s="142">
        <f>VLOOKUP(B3140,'112年全品項生產鍋數'!A:H,7,0)</f>
        <v>0</v>
      </c>
      <c r="G3140" s="143">
        <f t="shared" si="495"/>
        <v>0</v>
      </c>
      <c r="H3140" s="156">
        <v>300</v>
      </c>
      <c r="I3140" s="371">
        <f t="shared" si="496"/>
        <v>1800</v>
      </c>
      <c r="J3140" s="100" t="str">
        <f t="shared" si="497"/>
        <v>無法預估數據</v>
      </c>
      <c r="K3140" s="51">
        <f>VLOOKUP(B:B,'生產達成率(目標)'!A:C,3,0)</f>
        <v>1</v>
      </c>
      <c r="L3140" s="20" t="str">
        <f t="shared" si="498"/>
        <v>無法預估數據</v>
      </c>
      <c r="M3140" s="137" t="str">
        <f>工時!R2327</f>
        <v>225</v>
      </c>
      <c r="N3140" s="374"/>
      <c r="O3140" s="374">
        <f t="shared" si="499"/>
        <v>3</v>
      </c>
      <c r="P3140" s="156">
        <v>297</v>
      </c>
      <c r="Q3140" s="98">
        <f t="shared" si="500"/>
        <v>0.99</v>
      </c>
      <c r="R3140" s="371"/>
      <c r="S3140" s="372"/>
      <c r="T3140" s="364"/>
      <c r="U3140" s="264"/>
      <c r="V3140" s="264" t="s">
        <v>1847</v>
      </c>
      <c r="W3140" s="424">
        <v>46212</v>
      </c>
      <c r="X3140" s="264" t="s">
        <v>1867</v>
      </c>
      <c r="Y3140" s="424">
        <v>46216</v>
      </c>
      <c r="Z3140" s="424"/>
      <c r="AA3140" s="424">
        <v>46211</v>
      </c>
      <c r="AB3140" s="424">
        <v>46212</v>
      </c>
      <c r="AC3140" s="425">
        <f t="shared" si="516"/>
        <v>0</v>
      </c>
      <c r="AD3140" s="425">
        <f t="shared" si="515"/>
        <v>4</v>
      </c>
    </row>
    <row r="3141" spans="1:30" s="361" customFormat="1" x14ac:dyDescent="0.4">
      <c r="A3141" s="402">
        <v>46212</v>
      </c>
      <c r="B3141" s="392" t="s">
        <v>1745</v>
      </c>
      <c r="C3141" s="364" t="str">
        <f>VLOOKUP(B3141,'112年全品項生產鍋數'!A:H,2,0)</f>
        <v>草莓果醬(1*6KG)</v>
      </c>
      <c r="D3141" s="404">
        <v>12</v>
      </c>
      <c r="E3141" s="48">
        <f>VLOOKUP(B3141,'112年全品項生產鍋數'!A:H,3,0)</f>
        <v>6</v>
      </c>
      <c r="F3141" s="142">
        <f>VLOOKUP(B3141,'112年全品項生產鍋數'!A:H,7,0)</f>
        <v>0</v>
      </c>
      <c r="G3141" s="143">
        <f t="shared" si="495"/>
        <v>0</v>
      </c>
      <c r="H3141" s="156">
        <v>46</v>
      </c>
      <c r="I3141" s="371">
        <f t="shared" si="496"/>
        <v>276</v>
      </c>
      <c r="J3141" s="100" t="str">
        <f t="shared" si="497"/>
        <v>無法預估數據</v>
      </c>
      <c r="K3141" s="51">
        <f>VLOOKUP(B:B,'生產達成率(目標)'!A:C,3,0)</f>
        <v>1</v>
      </c>
      <c r="L3141" s="20" t="str">
        <f t="shared" si="498"/>
        <v>無法預估數據</v>
      </c>
      <c r="M3141" s="137" t="str">
        <f>工時!R2328</f>
        <v>294</v>
      </c>
      <c r="N3141" s="374"/>
      <c r="O3141" s="374">
        <f t="shared" si="499"/>
        <v>46</v>
      </c>
      <c r="P3141" s="156">
        <v>0</v>
      </c>
      <c r="Q3141" s="98">
        <f t="shared" si="500"/>
        <v>0</v>
      </c>
      <c r="R3141" s="371"/>
      <c r="S3141" s="372"/>
      <c r="T3141" s="364"/>
      <c r="U3141" s="264"/>
      <c r="V3141" s="264" t="s">
        <v>1847</v>
      </c>
      <c r="W3141" s="424">
        <v>46218</v>
      </c>
      <c r="X3141" s="264" t="s">
        <v>1867</v>
      </c>
      <c r="Y3141" s="424">
        <v>46219</v>
      </c>
      <c r="Z3141" s="424"/>
      <c r="AA3141" s="424">
        <v>46211</v>
      </c>
      <c r="AB3141" s="424">
        <v>46212</v>
      </c>
      <c r="AC3141" s="425">
        <f t="shared" si="516"/>
        <v>6</v>
      </c>
      <c r="AD3141" s="425">
        <f t="shared" si="515"/>
        <v>7</v>
      </c>
    </row>
    <row r="3142" spans="1:30" s="361" customFormat="1" x14ac:dyDescent="0.4">
      <c r="A3142" s="402">
        <v>46212</v>
      </c>
      <c r="B3142" s="392" t="s">
        <v>72</v>
      </c>
      <c r="C3142" s="364" t="str">
        <f>VLOOKUP(B3142,'112年全品項生產鍋數'!A:H,2,0)</f>
        <v>草莓餡45%(1*6Kg)</v>
      </c>
      <c r="D3142" s="404">
        <v>16</v>
      </c>
      <c r="E3142" s="48">
        <f>VLOOKUP(B3142,'112年全品項生產鍋數'!A:H,3,0)</f>
        <v>6</v>
      </c>
      <c r="F3142" s="142">
        <f>VLOOKUP(B3142,'112年全品項生產鍋數'!A:H,7,0)</f>
        <v>26.1</v>
      </c>
      <c r="G3142" s="143">
        <f t="shared" si="495"/>
        <v>417.6</v>
      </c>
      <c r="H3142" s="156">
        <v>420</v>
      </c>
      <c r="I3142" s="371">
        <f t="shared" si="496"/>
        <v>2520</v>
      </c>
      <c r="J3142" s="100">
        <f t="shared" si="497"/>
        <v>1.0057471264367817</v>
      </c>
      <c r="K3142" s="51">
        <f>VLOOKUP(B:B,'生產達成率(目標)'!A:C,3,0)</f>
        <v>1</v>
      </c>
      <c r="L3142" s="20">
        <f t="shared" si="498"/>
        <v>6.0000000000000001E-3</v>
      </c>
      <c r="M3142" s="137" t="str">
        <f>工時!R2329</f>
        <v>180</v>
      </c>
      <c r="N3142" s="374"/>
      <c r="O3142" s="374">
        <f t="shared" si="499"/>
        <v>2</v>
      </c>
      <c r="P3142" s="156">
        <v>418</v>
      </c>
      <c r="Q3142" s="98">
        <f t="shared" si="500"/>
        <v>0.99523809523809526</v>
      </c>
      <c r="R3142" s="371"/>
      <c r="S3142" s="372"/>
      <c r="T3142" s="364"/>
      <c r="U3142" s="264"/>
      <c r="V3142" s="264" t="s">
        <v>1847</v>
      </c>
      <c r="W3142" s="424">
        <v>46212</v>
      </c>
      <c r="X3142" s="264" t="s">
        <v>1867</v>
      </c>
      <c r="Y3142" s="424">
        <v>46217</v>
      </c>
      <c r="Z3142" s="424"/>
      <c r="AA3142" s="424">
        <v>46211</v>
      </c>
      <c r="AB3142" s="424">
        <v>46216</v>
      </c>
      <c r="AC3142" s="425">
        <f t="shared" si="516"/>
        <v>0</v>
      </c>
      <c r="AD3142" s="425">
        <f t="shared" si="515"/>
        <v>5</v>
      </c>
    </row>
    <row r="3143" spans="1:30" s="361" customFormat="1" x14ac:dyDescent="0.4">
      <c r="A3143" s="402">
        <v>46212</v>
      </c>
      <c r="B3143" s="392" t="s">
        <v>83</v>
      </c>
      <c r="C3143" s="364" t="str">
        <f>VLOOKUP(B3143,'112年全品項生產鍋數'!A:H,2,0)</f>
        <v>PET瓶花生(粒)(1*340g)</v>
      </c>
      <c r="D3143" s="404">
        <v>12</v>
      </c>
      <c r="E3143" s="48">
        <f>VLOOKUP(B3143,'112年全品項生產鍋數'!A:H,3,0)</f>
        <v>0.34</v>
      </c>
      <c r="F3143" s="142">
        <f>VLOOKUP(B3143,'112年全品項生產鍋數'!A:H,7,0)</f>
        <v>366</v>
      </c>
      <c r="G3143" s="143">
        <f t="shared" si="495"/>
        <v>4392</v>
      </c>
      <c r="H3143" s="156">
        <v>4380</v>
      </c>
      <c r="I3143" s="371">
        <f t="shared" si="496"/>
        <v>1489.2</v>
      </c>
      <c r="J3143" s="100">
        <f t="shared" si="497"/>
        <v>0.99726775956284153</v>
      </c>
      <c r="K3143" s="51">
        <f>VLOOKUP(B:B,'生產達成率(目標)'!A:C,3,0)</f>
        <v>1</v>
      </c>
      <c r="L3143" s="20">
        <f t="shared" si="498"/>
        <v>-3.0000000000000001E-3</v>
      </c>
      <c r="M3143" s="137" t="str">
        <f>工時!R2330</f>
        <v>440</v>
      </c>
      <c r="N3143" s="374"/>
      <c r="O3143" s="374">
        <f t="shared" si="499"/>
        <v>3</v>
      </c>
      <c r="P3143" s="156">
        <v>4377</v>
      </c>
      <c r="Q3143" s="98">
        <f t="shared" si="500"/>
        <v>0.99931506849315066</v>
      </c>
      <c r="R3143" s="371"/>
      <c r="S3143" s="372"/>
      <c r="T3143" s="364"/>
      <c r="U3143" s="264"/>
      <c r="V3143" s="264" t="s">
        <v>1848</v>
      </c>
      <c r="W3143" s="424">
        <v>46212</v>
      </c>
      <c r="X3143" s="264" t="s">
        <v>1848</v>
      </c>
      <c r="Y3143" s="424">
        <v>46212</v>
      </c>
      <c r="Z3143" s="424"/>
      <c r="AA3143" s="424">
        <v>46211</v>
      </c>
      <c r="AB3143" s="424">
        <v>46212</v>
      </c>
      <c r="AC3143" s="425">
        <f t="shared" si="516"/>
        <v>0</v>
      </c>
      <c r="AD3143" s="425">
        <f t="shared" si="515"/>
        <v>0</v>
      </c>
    </row>
    <row r="3144" spans="1:30" s="361" customFormat="1" x14ac:dyDescent="0.4">
      <c r="A3144" s="402">
        <v>46212</v>
      </c>
      <c r="B3144" s="392" t="s">
        <v>82</v>
      </c>
      <c r="C3144" s="364" t="str">
        <f>VLOOKUP(B3144,'112年全品項生產鍋數'!A:H,2,0)</f>
        <v>顆粒花生醬(全)</v>
      </c>
      <c r="D3144" s="404">
        <v>24</v>
      </c>
      <c r="E3144" s="48">
        <f>VLOOKUP(B3144,'112年全品項生產鍋數'!A:H,3,0)</f>
        <v>0.34</v>
      </c>
      <c r="F3144" s="142">
        <f>VLOOKUP(B3144,'112年全品項生產鍋數'!A:H,7,0)</f>
        <v>364.6</v>
      </c>
      <c r="G3144" s="143">
        <f t="shared" si="495"/>
        <v>8750.4000000000015</v>
      </c>
      <c r="H3144" s="156">
        <v>8631</v>
      </c>
      <c r="I3144" s="371">
        <f t="shared" si="496"/>
        <v>2934.5400000000004</v>
      </c>
      <c r="J3144" s="100">
        <f t="shared" si="497"/>
        <v>0.98635490948985172</v>
      </c>
      <c r="K3144" s="51">
        <f>VLOOKUP(B:B,'生產達成率(目標)'!A:C,3,0)</f>
        <v>1</v>
      </c>
      <c r="L3144" s="20">
        <f t="shared" si="498"/>
        <v>-1.4E-2</v>
      </c>
      <c r="M3144" s="137" t="str">
        <f>工時!R2331</f>
        <v>370</v>
      </c>
      <c r="N3144" s="374"/>
      <c r="O3144" s="374">
        <f t="shared" si="499"/>
        <v>3</v>
      </c>
      <c r="P3144" s="156">
        <v>8628</v>
      </c>
      <c r="Q3144" s="98">
        <f t="shared" si="500"/>
        <v>0.99965241571080987</v>
      </c>
      <c r="R3144" s="371"/>
      <c r="S3144" s="372"/>
      <c r="T3144" s="364"/>
      <c r="U3144" s="264"/>
      <c r="V3144" s="264" t="s">
        <v>1848</v>
      </c>
      <c r="W3144" s="424">
        <v>46212</v>
      </c>
      <c r="X3144" s="264" t="s">
        <v>1848</v>
      </c>
      <c r="Y3144" s="424">
        <v>46212</v>
      </c>
      <c r="Z3144" s="424"/>
      <c r="AA3144" s="424">
        <v>46211</v>
      </c>
      <c r="AB3144" s="424">
        <v>46212</v>
      </c>
      <c r="AC3144" s="425">
        <f t="shared" si="516"/>
        <v>0</v>
      </c>
      <c r="AD3144" s="425">
        <f t="shared" si="515"/>
        <v>0</v>
      </c>
    </row>
    <row r="3145" spans="1:30" s="361" customFormat="1" x14ac:dyDescent="0.4">
      <c r="A3145" s="402">
        <v>46216</v>
      </c>
      <c r="B3145" s="392" t="s">
        <v>87</v>
      </c>
      <c r="C3145" s="364" t="str">
        <f>VLOOKUP(B3145,'112年全品項生產鍋數'!A:H,2,0)</f>
        <v>＃1藍莓(1*3.2kg)</v>
      </c>
      <c r="D3145" s="404">
        <v>36</v>
      </c>
      <c r="E3145" s="48">
        <f>VLOOKUP(B3145,'112年全品項生產鍋數'!A:H,3,0)</f>
        <v>3.2</v>
      </c>
      <c r="F3145" s="142">
        <f>VLOOKUP(B3145,'112年全品項生產鍋數'!A:H,7,0)</f>
        <v>47.5</v>
      </c>
      <c r="G3145" s="143">
        <f t="shared" ref="G3145:G3189" si="517">D3145*F3145</f>
        <v>1710</v>
      </c>
      <c r="H3145" s="156">
        <v>1654</v>
      </c>
      <c r="I3145" s="371">
        <f t="shared" ref="I3145:I3189" si="518">H3145*E3145</f>
        <v>5292.8</v>
      </c>
      <c r="J3145" s="100">
        <f t="shared" ref="J3145:J3189" si="519">IF(G3145=0,"無法預估數據",H3145/G3145)</f>
        <v>0.96725146198830414</v>
      </c>
      <c r="K3145" s="51">
        <f>VLOOKUP(B:B,'生產達成率(目標)'!A:C,3,0)</f>
        <v>1</v>
      </c>
      <c r="L3145" s="20">
        <f t="shared" ref="L3145:L3189" si="520">IF(G3145=0,"無法預估數據",ROUND(J3145-K3145,3))</f>
        <v>-3.3000000000000002E-2</v>
      </c>
      <c r="M3145" s="137" t="str">
        <f>工時!R2332</f>
        <v>300</v>
      </c>
      <c r="N3145" s="374"/>
      <c r="O3145" s="374">
        <f t="shared" ref="O3145:O3189" si="521">H3145-N3145-P3145</f>
        <v>2</v>
      </c>
      <c r="P3145" s="156">
        <v>1652</v>
      </c>
      <c r="Q3145" s="98">
        <f t="shared" ref="Q3145:Q3189" si="522">P3145/H3145</f>
        <v>0.99879081015719473</v>
      </c>
      <c r="R3145" s="371"/>
      <c r="S3145" s="372"/>
      <c r="T3145" s="364" t="s">
        <v>1153</v>
      </c>
      <c r="U3145" s="264"/>
      <c r="V3145" s="264" t="s">
        <v>1849</v>
      </c>
      <c r="W3145" s="424">
        <v>46216</v>
      </c>
      <c r="X3145" s="264" t="s">
        <v>1867</v>
      </c>
      <c r="Y3145" s="424">
        <v>46220</v>
      </c>
      <c r="Z3145" s="424"/>
      <c r="AA3145" s="424">
        <v>46211</v>
      </c>
      <c r="AB3145" s="424">
        <v>46216</v>
      </c>
      <c r="AC3145" s="425">
        <f t="shared" si="516"/>
        <v>0</v>
      </c>
      <c r="AD3145" s="425">
        <f t="shared" si="515"/>
        <v>4</v>
      </c>
    </row>
    <row r="3146" spans="1:30" s="361" customFormat="1" x14ac:dyDescent="0.4">
      <c r="A3146" s="402">
        <v>46216</v>
      </c>
      <c r="B3146" s="392" t="s">
        <v>80</v>
      </c>
      <c r="C3146" s="364" t="str">
        <f>VLOOKUP(B3146,'112年全品項生產鍋數'!A:H,2,0)</f>
        <v>＃1桔子(1*3.2kg)</v>
      </c>
      <c r="D3146" s="404">
        <v>32</v>
      </c>
      <c r="E3146" s="48">
        <f>VLOOKUP(B3146,'112年全品項生產鍋數'!A:H,3,0)</f>
        <v>3.2</v>
      </c>
      <c r="F3146" s="142">
        <f>VLOOKUP(B3146,'112年全品項生產鍋數'!A:H,7,0)</f>
        <v>46.4</v>
      </c>
      <c r="G3146" s="143">
        <f t="shared" si="517"/>
        <v>1484.8</v>
      </c>
      <c r="H3146" s="156">
        <v>1530</v>
      </c>
      <c r="I3146" s="371">
        <f t="shared" si="518"/>
        <v>4896</v>
      </c>
      <c r="J3146" s="100">
        <f t="shared" si="519"/>
        <v>1.0304418103448276</v>
      </c>
      <c r="K3146" s="51">
        <f>VLOOKUP(B:B,'生產達成率(目標)'!A:C,3,0)</f>
        <v>1</v>
      </c>
      <c r="L3146" s="20">
        <f t="shared" si="520"/>
        <v>0.03</v>
      </c>
      <c r="M3146" s="137" t="str">
        <f>工時!R2333</f>
        <v>300</v>
      </c>
      <c r="N3146" s="374"/>
      <c r="O3146" s="374">
        <f t="shared" si="521"/>
        <v>2</v>
      </c>
      <c r="P3146" s="156">
        <v>1528</v>
      </c>
      <c r="Q3146" s="98">
        <f t="shared" si="522"/>
        <v>0.99869281045751634</v>
      </c>
      <c r="R3146" s="371"/>
      <c r="S3146" s="372"/>
      <c r="T3146" s="364"/>
      <c r="U3146" s="264"/>
      <c r="V3146" s="264" t="s">
        <v>1847</v>
      </c>
      <c r="W3146" s="424">
        <v>46216</v>
      </c>
      <c r="X3146" s="264" t="s">
        <v>1867</v>
      </c>
      <c r="Y3146" s="424">
        <v>46220</v>
      </c>
      <c r="Z3146" s="424"/>
      <c r="AA3146" s="424">
        <v>46211</v>
      </c>
      <c r="AB3146" s="424">
        <v>46216</v>
      </c>
      <c r="AC3146" s="425">
        <f t="shared" si="516"/>
        <v>0</v>
      </c>
      <c r="AD3146" s="425">
        <f t="shared" si="515"/>
        <v>4</v>
      </c>
    </row>
    <row r="3147" spans="1:30" s="361" customFormat="1" x14ac:dyDescent="0.4">
      <c r="A3147" s="402">
        <v>46216</v>
      </c>
      <c r="B3147" s="392" t="s">
        <v>1046</v>
      </c>
      <c r="C3147" s="364" t="str">
        <f>VLOOKUP(B3147,'112年全品項生產鍋數'!A:H,2,0)</f>
        <v>藍莓顆粒果醬(1*6kg)</v>
      </c>
      <c r="D3147" s="404">
        <v>12</v>
      </c>
      <c r="E3147" s="48">
        <f>VLOOKUP(B3147,'112年全品項生產鍋數'!A:H,3,0)</f>
        <v>6</v>
      </c>
      <c r="F3147" s="142">
        <f>VLOOKUP(B3147,'112年全品項生產鍋數'!A:H,7,0)</f>
        <v>0</v>
      </c>
      <c r="G3147" s="143">
        <f t="shared" si="517"/>
        <v>0</v>
      </c>
      <c r="H3147" s="156">
        <v>319</v>
      </c>
      <c r="I3147" s="371">
        <f t="shared" si="518"/>
        <v>1914</v>
      </c>
      <c r="J3147" s="100" t="str">
        <f t="shared" si="519"/>
        <v>無法預估數據</v>
      </c>
      <c r="K3147" s="51">
        <f>VLOOKUP(B:B,'生產達成率(目標)'!A:C,3,0)</f>
        <v>1</v>
      </c>
      <c r="L3147" s="20" t="str">
        <f t="shared" si="520"/>
        <v>無法預估數據</v>
      </c>
      <c r="M3147" s="137" t="str">
        <f>工時!R2334</f>
        <v>185</v>
      </c>
      <c r="N3147" s="374"/>
      <c r="O3147" s="374">
        <f t="shared" si="521"/>
        <v>1</v>
      </c>
      <c r="P3147" s="156">
        <v>318</v>
      </c>
      <c r="Q3147" s="98">
        <f t="shared" si="522"/>
        <v>0.99686520376175547</v>
      </c>
      <c r="R3147" s="371"/>
      <c r="S3147" s="372"/>
      <c r="T3147" s="364"/>
      <c r="U3147" s="264"/>
      <c r="V3147" s="264" t="s">
        <v>1847</v>
      </c>
      <c r="W3147" s="424">
        <v>46218</v>
      </c>
      <c r="X3147" s="264" t="s">
        <v>1867</v>
      </c>
      <c r="Y3147" s="424">
        <v>46220</v>
      </c>
      <c r="Z3147" s="424"/>
      <c r="AA3147" s="424">
        <v>46212</v>
      </c>
      <c r="AB3147" s="424">
        <v>46218</v>
      </c>
      <c r="AC3147" s="425">
        <f t="shared" si="516"/>
        <v>2</v>
      </c>
      <c r="AD3147" s="425">
        <f t="shared" si="515"/>
        <v>4</v>
      </c>
    </row>
    <row r="3148" spans="1:30" s="361" customFormat="1" x14ac:dyDescent="0.4">
      <c r="A3148" s="402">
        <v>46216</v>
      </c>
      <c r="B3148" s="392" t="s">
        <v>63</v>
      </c>
      <c r="C3148" s="364" t="str">
        <f>VLOOKUP(B3148,'112年全品項生產鍋數'!A:H,2,0)</f>
        <v>草莓蒟蒻餡(1*6kg)</v>
      </c>
      <c r="D3148" s="404">
        <v>16</v>
      </c>
      <c r="E3148" s="48">
        <f>VLOOKUP(B3148,'112年全品項生產鍋數'!A:H,3,0)</f>
        <v>6</v>
      </c>
      <c r="F3148" s="142">
        <f>VLOOKUP(B3148,'112年全品項生產鍋數'!A:H,7,0)</f>
        <v>25.7</v>
      </c>
      <c r="G3148" s="143">
        <f t="shared" si="517"/>
        <v>411.2</v>
      </c>
      <c r="H3148" s="156">
        <f>197+212</f>
        <v>409</v>
      </c>
      <c r="I3148" s="371">
        <f t="shared" si="518"/>
        <v>2454</v>
      </c>
      <c r="J3148" s="100">
        <f t="shared" si="519"/>
        <v>0.99464980544747084</v>
      </c>
      <c r="K3148" s="51">
        <f>VLOOKUP(B:B,'生產達成率(目標)'!A:C,3,0)</f>
        <v>1</v>
      </c>
      <c r="L3148" s="20">
        <f t="shared" si="520"/>
        <v>-5.0000000000000001E-3</v>
      </c>
      <c r="M3148" s="137" t="str">
        <f>工時!R2335</f>
        <v>210</v>
      </c>
      <c r="N3148" s="374"/>
      <c r="O3148" s="374">
        <f t="shared" si="521"/>
        <v>1</v>
      </c>
      <c r="P3148" s="156">
        <f>196+212</f>
        <v>408</v>
      </c>
      <c r="Q3148" s="98">
        <f t="shared" si="522"/>
        <v>0.99755501222493892</v>
      </c>
      <c r="R3148" s="371"/>
      <c r="S3148" s="372"/>
      <c r="T3148" s="364"/>
      <c r="U3148" s="264"/>
      <c r="V3148" s="264" t="s">
        <v>1847</v>
      </c>
      <c r="W3148" s="424">
        <v>46218</v>
      </c>
      <c r="X3148" s="264" t="s">
        <v>1867</v>
      </c>
      <c r="Y3148" s="424">
        <v>46220</v>
      </c>
      <c r="Z3148" s="424"/>
      <c r="AA3148" s="424">
        <v>46212</v>
      </c>
      <c r="AB3148" s="424" t="s">
        <v>1762</v>
      </c>
      <c r="AC3148" s="425">
        <f t="shared" si="516"/>
        <v>2</v>
      </c>
      <c r="AD3148" s="425">
        <f t="shared" si="515"/>
        <v>4</v>
      </c>
    </row>
    <row r="3149" spans="1:30" s="361" customFormat="1" x14ac:dyDescent="0.4">
      <c r="A3149" s="402">
        <v>46216</v>
      </c>
      <c r="B3149" s="392" t="s">
        <v>75</v>
      </c>
      <c r="C3149" s="364" t="str">
        <f>VLOOKUP(B3149,'112年全品項生產鍋數'!A:H,2,0)</f>
        <v>草莓椰果餡(1*6Kg)</v>
      </c>
      <c r="D3149" s="404">
        <v>12</v>
      </c>
      <c r="E3149" s="48">
        <f>VLOOKUP(B3149,'112年全品項生產鍋數'!A:H,3,0)</f>
        <v>6</v>
      </c>
      <c r="F3149" s="142">
        <f>VLOOKUP(B3149,'112年全品項生產鍋數'!A:H,7,0)</f>
        <v>26.4</v>
      </c>
      <c r="G3149" s="143">
        <f t="shared" si="517"/>
        <v>316.79999999999995</v>
      </c>
      <c r="H3149" s="156">
        <v>326</v>
      </c>
      <c r="I3149" s="371">
        <f t="shared" si="518"/>
        <v>1956</v>
      </c>
      <c r="J3149" s="100">
        <f>IF(G3149=0,"無法預估數據",H3149/G3149)</f>
        <v>1.0290404040404042</v>
      </c>
      <c r="K3149" s="51">
        <f>VLOOKUP(B:B,'生產達成率(目標)'!A:C,3,0)</f>
        <v>1</v>
      </c>
      <c r="L3149" s="20">
        <f t="shared" si="520"/>
        <v>2.9000000000000001E-2</v>
      </c>
      <c r="M3149" s="137" t="str">
        <f>工時!R2336</f>
        <v>190</v>
      </c>
      <c r="N3149" s="374"/>
      <c r="O3149" s="374">
        <f t="shared" si="521"/>
        <v>1</v>
      </c>
      <c r="P3149" s="156">
        <v>325</v>
      </c>
      <c r="Q3149" s="98">
        <f t="shared" si="522"/>
        <v>0.99693251533742333</v>
      </c>
      <c r="R3149" s="371"/>
      <c r="S3149" s="372"/>
      <c r="T3149" s="364"/>
      <c r="U3149" s="264"/>
      <c r="V3149" s="264" t="s">
        <v>1847</v>
      </c>
      <c r="W3149" s="424">
        <v>46218</v>
      </c>
      <c r="X3149" s="264" t="s">
        <v>1867</v>
      </c>
      <c r="Y3149" s="424">
        <v>46220</v>
      </c>
      <c r="Z3149" s="424"/>
      <c r="AA3149" s="424">
        <v>46212</v>
      </c>
      <c r="AB3149" s="424">
        <v>46216</v>
      </c>
      <c r="AC3149" s="425">
        <f t="shared" si="516"/>
        <v>2</v>
      </c>
      <c r="AD3149" s="425">
        <f t="shared" si="515"/>
        <v>4</v>
      </c>
    </row>
    <row r="3150" spans="1:30" s="361" customFormat="1" x14ac:dyDescent="0.4">
      <c r="A3150" s="402">
        <v>46216</v>
      </c>
      <c r="B3150" s="392" t="s">
        <v>65</v>
      </c>
      <c r="C3150" s="364" t="str">
        <f>VLOOKUP(B3150,'112年全品項生產鍋數'!A:H,2,0)</f>
        <v>＃1花生(1*2.8kg)</v>
      </c>
      <c r="D3150" s="404">
        <v>60</v>
      </c>
      <c r="E3150" s="48">
        <f>VLOOKUP(B3150,'112年全品項生產鍋數'!A:H,3,0)</f>
        <v>2.8</v>
      </c>
      <c r="F3150" s="142">
        <f>VLOOKUP(B3150,'112年全品項生產鍋數'!A:H,7,0)</f>
        <v>44.5</v>
      </c>
      <c r="G3150" s="143">
        <f t="shared" si="517"/>
        <v>2670</v>
      </c>
      <c r="H3150" s="156">
        <v>2657</v>
      </c>
      <c r="I3150" s="371">
        <f t="shared" si="518"/>
        <v>7439.5999999999995</v>
      </c>
      <c r="J3150" s="100">
        <f t="shared" si="519"/>
        <v>0.99513108614232215</v>
      </c>
      <c r="K3150" s="51">
        <f>VLOOKUP(B:B,'生產達成率(目標)'!A:C,3,0)</f>
        <v>1</v>
      </c>
      <c r="L3150" s="20">
        <f t="shared" si="520"/>
        <v>-5.0000000000000001E-3</v>
      </c>
      <c r="M3150" s="137" t="str">
        <f>工時!R2337</f>
        <v>480</v>
      </c>
      <c r="N3150" s="374"/>
      <c r="O3150" s="374">
        <f t="shared" si="521"/>
        <v>1</v>
      </c>
      <c r="P3150" s="156">
        <v>2656</v>
      </c>
      <c r="Q3150" s="98">
        <f t="shared" si="522"/>
        <v>0.99962363567933765</v>
      </c>
      <c r="R3150" s="371"/>
      <c r="S3150" s="372"/>
      <c r="T3150" s="364" t="s">
        <v>1153</v>
      </c>
      <c r="U3150" s="264"/>
      <c r="V3150" s="264" t="s">
        <v>1848</v>
      </c>
      <c r="W3150" s="424">
        <v>46216</v>
      </c>
      <c r="X3150" s="264" t="s">
        <v>1848</v>
      </c>
      <c r="Y3150" s="424">
        <v>46216</v>
      </c>
      <c r="Z3150" s="424"/>
      <c r="AA3150" s="424">
        <v>46215</v>
      </c>
      <c r="AB3150" s="424" t="s">
        <v>1765</v>
      </c>
      <c r="AC3150" s="425">
        <f t="shared" si="516"/>
        <v>0</v>
      </c>
      <c r="AD3150" s="425">
        <f t="shared" si="515"/>
        <v>0</v>
      </c>
    </row>
    <row r="3151" spans="1:30" s="361" customFormat="1" x14ac:dyDescent="0.4">
      <c r="A3151" s="402">
        <v>46217</v>
      </c>
      <c r="B3151" s="392" t="s">
        <v>68</v>
      </c>
      <c r="C3151" s="364" t="str">
        <f>VLOOKUP(B3151,'112年全品項生產鍋數'!A:H,2,0)</f>
        <v>#2草莓果醬(1*900g)</v>
      </c>
      <c r="D3151" s="404">
        <v>28</v>
      </c>
      <c r="E3151" s="48">
        <f>VLOOKUP(B3151,'112年全品項生產鍋數'!A:H,3,0)</f>
        <v>0.9</v>
      </c>
      <c r="F3151" s="142">
        <f>VLOOKUP(B3151,'112年全品項生產鍋數'!A:H,7,0)</f>
        <v>160.5</v>
      </c>
      <c r="G3151" s="143">
        <f t="shared" si="517"/>
        <v>4494</v>
      </c>
      <c r="H3151" s="156">
        <v>4498</v>
      </c>
      <c r="I3151" s="371">
        <f t="shared" si="518"/>
        <v>4048.2000000000003</v>
      </c>
      <c r="J3151" s="100">
        <f t="shared" si="519"/>
        <v>1.0008900756564307</v>
      </c>
      <c r="K3151" s="51">
        <f>VLOOKUP(B:B,'生產達成率(目標)'!A:C,3,0)</f>
        <v>1</v>
      </c>
      <c r="L3151" s="20">
        <f t="shared" si="520"/>
        <v>1E-3</v>
      </c>
      <c r="M3151" s="137" t="str">
        <f>工時!R2338</f>
        <v>410</v>
      </c>
      <c r="N3151" s="374"/>
      <c r="O3151" s="374">
        <f t="shared" si="521"/>
        <v>3</v>
      </c>
      <c r="P3151" s="156">
        <v>4495</v>
      </c>
      <c r="Q3151" s="98">
        <f t="shared" si="522"/>
        <v>0.99933303690529129</v>
      </c>
      <c r="R3151" s="371"/>
      <c r="S3151" s="372"/>
      <c r="T3151" s="364"/>
      <c r="U3151" s="264"/>
      <c r="V3151" s="264" t="s">
        <v>1849</v>
      </c>
      <c r="W3151" s="424">
        <v>46218</v>
      </c>
      <c r="X3151" s="264" t="s">
        <v>1867</v>
      </c>
      <c r="Y3151" s="424">
        <v>46220</v>
      </c>
      <c r="Z3151" s="424"/>
      <c r="AA3151" s="424">
        <v>46216</v>
      </c>
      <c r="AB3151" s="424" t="s">
        <v>1771</v>
      </c>
      <c r="AC3151" s="425">
        <f t="shared" si="516"/>
        <v>1</v>
      </c>
      <c r="AD3151" s="425">
        <f t="shared" si="515"/>
        <v>3</v>
      </c>
    </row>
    <row r="3152" spans="1:30" s="361" customFormat="1" x14ac:dyDescent="0.4">
      <c r="A3152" s="402">
        <v>46217</v>
      </c>
      <c r="B3152" s="392" t="s">
        <v>1766</v>
      </c>
      <c r="C3152" s="364" t="str">
        <f>VLOOKUP(B3152,'112年全品項生產鍋數'!A:H,2,0)</f>
        <v>草莓果醬(1*6KG)</v>
      </c>
      <c r="D3152" s="404">
        <v>10</v>
      </c>
      <c r="E3152" s="48">
        <f>VLOOKUP(B3152,'112年全品項生產鍋數'!A:H,3,0)</f>
        <v>6</v>
      </c>
      <c r="F3152" s="142">
        <f>VLOOKUP(B3152,'112年全品項生產鍋數'!A:H,7,0)</f>
        <v>0</v>
      </c>
      <c r="G3152" s="143">
        <f t="shared" ref="G3152" si="523">D3152*F3152</f>
        <v>0</v>
      </c>
      <c r="H3152" s="156">
        <v>555</v>
      </c>
      <c r="I3152" s="371">
        <f t="shared" ref="I3152" si="524">H3152*E3152</f>
        <v>3330</v>
      </c>
      <c r="J3152" s="100" t="str">
        <f t="shared" ref="J3152" si="525">IF(G3152=0,"無法預估數據",H3152/G3152)</f>
        <v>無法預估數據</v>
      </c>
      <c r="K3152" s="51">
        <f>VLOOKUP(B:B,'生產達成率(目標)'!A:C,3,0)</f>
        <v>1</v>
      </c>
      <c r="L3152" s="20" t="str">
        <f t="shared" ref="L3152" si="526">IF(G3152=0,"無法預估數據",ROUND(J3152-K3152,3))</f>
        <v>無法預估數據</v>
      </c>
      <c r="M3152" s="137" t="str">
        <f>工時!R2339</f>
        <v>210</v>
      </c>
      <c r="N3152" s="374"/>
      <c r="O3152" s="374">
        <f t="shared" ref="O3152" si="527">H3152-N3152-P3152</f>
        <v>2</v>
      </c>
      <c r="P3152" s="156">
        <v>553</v>
      </c>
      <c r="Q3152" s="98">
        <f t="shared" ref="Q3152" si="528">P3152/H3152</f>
        <v>0.99639639639639643</v>
      </c>
      <c r="R3152" s="371"/>
      <c r="S3152" s="372"/>
      <c r="T3152" s="364"/>
      <c r="U3152" s="264"/>
      <c r="V3152" s="264" t="s">
        <v>1849</v>
      </c>
      <c r="W3152" s="424">
        <v>46218</v>
      </c>
      <c r="X3152" s="264" t="s">
        <v>1867</v>
      </c>
      <c r="Y3152" s="424">
        <v>46220</v>
      </c>
      <c r="Z3152" s="424"/>
      <c r="AA3152" s="424">
        <v>46216</v>
      </c>
      <c r="AB3152" s="424">
        <v>46218</v>
      </c>
      <c r="AC3152" s="425">
        <f t="shared" si="516"/>
        <v>1</v>
      </c>
      <c r="AD3152" s="425">
        <f t="shared" si="515"/>
        <v>3</v>
      </c>
    </row>
    <row r="3153" spans="1:30" s="361" customFormat="1" ht="15.75" customHeight="1" x14ac:dyDescent="0.4">
      <c r="A3153" s="402">
        <v>46217</v>
      </c>
      <c r="B3153" s="392" t="s">
        <v>110</v>
      </c>
      <c r="C3153" s="364" t="str">
        <f>VLOOKUP(B3153,'112年全品項生產鍋數'!A:H,2,0)</f>
        <v>顆粒花生醬(1*12KG)</v>
      </c>
      <c r="D3153" s="404">
        <v>21</v>
      </c>
      <c r="E3153" s="48">
        <f>VLOOKUP(B3153,'112年全品項生產鍋數'!A:H,3,0)</f>
        <v>3</v>
      </c>
      <c r="F3153" s="142">
        <f>VLOOKUP(B3153,'112年全品項生產鍋數'!A:H,7,0)</f>
        <v>30.8</v>
      </c>
      <c r="G3153" s="143">
        <f t="shared" si="517"/>
        <v>646.80000000000007</v>
      </c>
      <c r="H3153" s="156">
        <v>692</v>
      </c>
      <c r="I3153" s="371">
        <f t="shared" si="518"/>
        <v>2076</v>
      </c>
      <c r="J3153" s="100">
        <f t="shared" si="519"/>
        <v>1.069882498453927</v>
      </c>
      <c r="K3153" s="51">
        <f>VLOOKUP(B:B,'生產達成率(目標)'!A:C,3,0)</f>
        <v>1</v>
      </c>
      <c r="L3153" s="20">
        <f t="shared" si="520"/>
        <v>7.0000000000000007E-2</v>
      </c>
      <c r="M3153" s="137" t="str">
        <f>工時!R2340</f>
        <v>540</v>
      </c>
      <c r="N3153" s="374"/>
      <c r="O3153" s="374">
        <f t="shared" si="521"/>
        <v>44</v>
      </c>
      <c r="P3153" s="156">
        <v>648</v>
      </c>
      <c r="Q3153" s="98">
        <f t="shared" si="522"/>
        <v>0.93641618497109824</v>
      </c>
      <c r="R3153" s="371"/>
      <c r="S3153" s="372"/>
      <c r="T3153" s="364" t="s">
        <v>1153</v>
      </c>
      <c r="U3153" s="264"/>
      <c r="V3153" s="264" t="s">
        <v>1847</v>
      </c>
      <c r="W3153" s="424">
        <v>46217</v>
      </c>
      <c r="X3153" s="264" t="s">
        <v>1867</v>
      </c>
      <c r="Y3153" s="424">
        <v>46217</v>
      </c>
      <c r="Z3153" s="424"/>
      <c r="AA3153" s="424">
        <v>46216</v>
      </c>
      <c r="AB3153" s="424">
        <v>46217</v>
      </c>
      <c r="AC3153" s="425">
        <f t="shared" si="516"/>
        <v>0</v>
      </c>
      <c r="AD3153" s="425">
        <f t="shared" si="515"/>
        <v>0</v>
      </c>
    </row>
    <row r="3154" spans="1:30" s="361" customFormat="1" x14ac:dyDescent="0.4">
      <c r="A3154" s="402">
        <v>46217</v>
      </c>
      <c r="B3154" s="392" t="s">
        <v>602</v>
      </c>
      <c r="C3154" s="364" t="str">
        <f>VLOOKUP(B3154,'112年全品項生產鍋數'!A:H,2,0)</f>
        <v>顆粒花生醬(1*8kg)</v>
      </c>
      <c r="D3154" s="404">
        <v>8</v>
      </c>
      <c r="E3154" s="48">
        <f>VLOOKUP(B3154,'112年全品項生產鍋數'!A:H,3,0)</f>
        <v>8</v>
      </c>
      <c r="F3154" s="142">
        <f>VLOOKUP(B3154,'112年全品項生產鍋數'!A:H,7,0)</f>
        <v>19.600000000000001</v>
      </c>
      <c r="G3154" s="143">
        <f t="shared" si="517"/>
        <v>156.80000000000001</v>
      </c>
      <c r="H3154" s="156">
        <f>52*3</f>
        <v>156</v>
      </c>
      <c r="I3154" s="371">
        <f t="shared" si="518"/>
        <v>1248</v>
      </c>
      <c r="J3154" s="100">
        <f t="shared" si="519"/>
        <v>0.99489795918367341</v>
      </c>
      <c r="K3154" s="51">
        <f>VLOOKUP(B:B,'生產達成率(目標)'!A:C,3,0)</f>
        <v>1</v>
      </c>
      <c r="L3154" s="20">
        <f t="shared" si="520"/>
        <v>-5.0000000000000001E-3</v>
      </c>
      <c r="M3154" s="137" t="str">
        <f>工時!R2341</f>
        <v>255</v>
      </c>
      <c r="N3154" s="374"/>
      <c r="O3154" s="374">
        <f t="shared" si="521"/>
        <v>0</v>
      </c>
      <c r="P3154" s="156">
        <f>52*3</f>
        <v>156</v>
      </c>
      <c r="Q3154" s="98">
        <f t="shared" si="522"/>
        <v>1</v>
      </c>
      <c r="R3154" s="371"/>
      <c r="S3154" s="372"/>
      <c r="T3154" s="364" t="s">
        <v>1153</v>
      </c>
      <c r="U3154" s="264"/>
      <c r="V3154" s="264" t="s">
        <v>1848</v>
      </c>
      <c r="W3154" s="424">
        <v>46218</v>
      </c>
      <c r="X3154" s="264" t="s">
        <v>1710</v>
      </c>
      <c r="Y3154" s="424" t="s">
        <v>1768</v>
      </c>
      <c r="Z3154" s="424"/>
      <c r="AA3154" s="424">
        <v>46216</v>
      </c>
      <c r="AB3154" s="424">
        <v>46217</v>
      </c>
      <c r="AC3154" s="425">
        <f t="shared" si="516"/>
        <v>1</v>
      </c>
      <c r="AD3154" s="425">
        <v>0</v>
      </c>
    </row>
    <row r="3155" spans="1:30" s="361" customFormat="1" x14ac:dyDescent="0.4">
      <c r="A3155" s="402">
        <v>46217</v>
      </c>
      <c r="B3155" s="392" t="s">
        <v>65</v>
      </c>
      <c r="C3155" s="364" t="str">
        <f>VLOOKUP(B3155,'112年全品項生產鍋數'!A:H,2,0)</f>
        <v>＃1花生(1*2.8kg)</v>
      </c>
      <c r="D3155" s="404">
        <v>32</v>
      </c>
      <c r="E3155" s="48">
        <f>VLOOKUP(B3155,'112年全品項生產鍋數'!A:H,3,0)</f>
        <v>2.8</v>
      </c>
      <c r="F3155" s="142">
        <f>VLOOKUP(B3155,'112年全品項生產鍋數'!A:H,7,0)</f>
        <v>44.5</v>
      </c>
      <c r="G3155" s="143">
        <f>D3155*F3155-20*18/2.8</f>
        <v>1295.4285714285713</v>
      </c>
      <c r="H3155" s="156">
        <f>692+600</f>
        <v>1292</v>
      </c>
      <c r="I3155" s="371">
        <f t="shared" si="518"/>
        <v>3617.6</v>
      </c>
      <c r="J3155" s="100">
        <f t="shared" si="519"/>
        <v>0.99735333039258944</v>
      </c>
      <c r="K3155" s="51">
        <f>VLOOKUP(B:B,'生產達成率(目標)'!A:C,3,0)</f>
        <v>1</v>
      </c>
      <c r="L3155" s="20">
        <f t="shared" si="520"/>
        <v>-3.0000000000000001E-3</v>
      </c>
      <c r="M3155" s="137" t="str">
        <f>工時!R2342</f>
        <v>290</v>
      </c>
      <c r="N3155" s="374"/>
      <c r="O3155" s="374">
        <f t="shared" si="521"/>
        <v>1</v>
      </c>
      <c r="P3155" s="156">
        <f>600+691</f>
        <v>1291</v>
      </c>
      <c r="Q3155" s="98">
        <f t="shared" si="522"/>
        <v>0.99922600619195046</v>
      </c>
      <c r="R3155" s="371"/>
      <c r="S3155" s="372"/>
      <c r="T3155" s="364" t="s">
        <v>1761</v>
      </c>
      <c r="U3155" s="264"/>
      <c r="V3155" s="264" t="s">
        <v>1848</v>
      </c>
      <c r="W3155" s="424">
        <v>46218</v>
      </c>
      <c r="X3155" s="264" t="s">
        <v>1848</v>
      </c>
      <c r="Y3155" s="424">
        <v>46218</v>
      </c>
      <c r="Z3155" s="424"/>
      <c r="AA3155" s="424" t="s">
        <v>1710</v>
      </c>
      <c r="AB3155" s="424" t="s">
        <v>1710</v>
      </c>
      <c r="AC3155" s="425">
        <f t="shared" si="516"/>
        <v>1</v>
      </c>
      <c r="AD3155" s="425">
        <f t="shared" ref="AD3155:AD3182" si="529" xml:space="preserve"> IF((Y3155-A3155)&lt;0,"未收到",Y3155-A3155)</f>
        <v>1</v>
      </c>
    </row>
    <row r="3156" spans="1:30" s="381" customFormat="1" x14ac:dyDescent="0.4">
      <c r="A3156" s="402">
        <v>46218</v>
      </c>
      <c r="B3156" s="392" t="s">
        <v>61</v>
      </c>
      <c r="C3156" s="375" t="str">
        <f>VLOOKUP(B3156,'112年全品項生產鍋數'!A:H,2,0)</f>
        <v>大圓草莓-新</v>
      </c>
      <c r="D3156" s="406">
        <v>36</v>
      </c>
      <c r="E3156" s="141">
        <f>VLOOKUP(B3156,'112年全品項生產鍋數'!A:H,3,0)</f>
        <v>0.44</v>
      </c>
      <c r="F3156" s="142">
        <f>VLOOKUP(B3156,'112年全品項生產鍋數'!A:H,7,0)</f>
        <v>344</v>
      </c>
      <c r="G3156" s="143">
        <f t="shared" si="517"/>
        <v>12384</v>
      </c>
      <c r="H3156" s="156">
        <v>12075</v>
      </c>
      <c r="I3156" s="374">
        <f t="shared" si="518"/>
        <v>5313</v>
      </c>
      <c r="J3156" s="100">
        <f t="shared" si="519"/>
        <v>0.97504844961240311</v>
      </c>
      <c r="K3156" s="51">
        <f>VLOOKUP(B:B,'生產達成率(目標)'!A:C,3,0)</f>
        <v>1</v>
      </c>
      <c r="L3156" s="20">
        <f t="shared" si="520"/>
        <v>-2.5000000000000001E-2</v>
      </c>
      <c r="M3156" s="137" t="str">
        <f>工時!R2343</f>
        <v>540</v>
      </c>
      <c r="N3156" s="374"/>
      <c r="O3156" s="374">
        <f t="shared" si="521"/>
        <v>7</v>
      </c>
      <c r="P3156" s="156">
        <v>12068</v>
      </c>
      <c r="Q3156" s="145">
        <f t="shared" si="522"/>
        <v>0.99942028985507247</v>
      </c>
      <c r="R3156" s="374"/>
      <c r="S3156" s="378"/>
      <c r="T3156" s="375"/>
      <c r="U3156" s="398"/>
      <c r="V3156" s="398" t="s">
        <v>1849</v>
      </c>
      <c r="W3156" s="427">
        <v>46218</v>
      </c>
      <c r="X3156" s="264" t="s">
        <v>1867</v>
      </c>
      <c r="Y3156" s="427">
        <v>46220</v>
      </c>
      <c r="Z3156" s="427"/>
      <c r="AA3156" s="427">
        <v>46217</v>
      </c>
      <c r="AB3156" s="427">
        <v>46218</v>
      </c>
      <c r="AC3156" s="429">
        <f t="shared" si="516"/>
        <v>0</v>
      </c>
      <c r="AD3156" s="429">
        <f t="shared" si="529"/>
        <v>2</v>
      </c>
    </row>
    <row r="3157" spans="1:30" s="361" customFormat="1" x14ac:dyDescent="0.4">
      <c r="A3157" s="402">
        <v>46218</v>
      </c>
      <c r="B3157" s="392" t="s">
        <v>1667</v>
      </c>
      <c r="C3157" s="364" t="str">
        <f>VLOOKUP(B3157,'112年全品項生產鍋數'!A:H,2,0)</f>
        <v>楊枝甘露餡(1*6Kg)</v>
      </c>
      <c r="D3157" s="404">
        <v>10</v>
      </c>
      <c r="E3157" s="48">
        <f>VLOOKUP(B3157,'112年全品項生產鍋數'!A:H,3,0)</f>
        <v>6</v>
      </c>
      <c r="F3157" s="142">
        <f>VLOOKUP(B3157,'112年全品項生產鍋數'!A:H,7,0)</f>
        <v>0</v>
      </c>
      <c r="G3157" s="143">
        <f t="shared" si="517"/>
        <v>0</v>
      </c>
      <c r="H3157" s="156">
        <v>266</v>
      </c>
      <c r="I3157" s="371">
        <f t="shared" si="518"/>
        <v>1596</v>
      </c>
      <c r="J3157" s="100" t="str">
        <f t="shared" si="519"/>
        <v>無法預估數據</v>
      </c>
      <c r="K3157" s="51">
        <f>VLOOKUP(B:B,'生產達成率(目標)'!A:C,3,0)</f>
        <v>1</v>
      </c>
      <c r="L3157" s="20" t="str">
        <f t="shared" si="520"/>
        <v>無法預估數據</v>
      </c>
      <c r="M3157" s="137" t="str">
        <f>工時!R2344</f>
        <v>200</v>
      </c>
      <c r="N3157" s="374"/>
      <c r="O3157" s="374">
        <f t="shared" si="521"/>
        <v>2</v>
      </c>
      <c r="P3157" s="156">
        <v>264</v>
      </c>
      <c r="Q3157" s="98">
        <f t="shared" si="522"/>
        <v>0.99248120300751874</v>
      </c>
      <c r="R3157" s="371"/>
      <c r="S3157" s="372"/>
      <c r="T3157" s="364"/>
      <c r="U3157" s="264"/>
      <c r="V3157" s="264" t="s">
        <v>1847</v>
      </c>
      <c r="W3157" s="424">
        <v>46218</v>
      </c>
      <c r="X3157" s="264" t="s">
        <v>1867</v>
      </c>
      <c r="Y3157" s="424">
        <v>46220</v>
      </c>
      <c r="Z3157" s="424"/>
      <c r="AA3157" s="424">
        <v>46217</v>
      </c>
      <c r="AB3157" s="424">
        <v>46218</v>
      </c>
      <c r="AC3157" s="425">
        <f t="shared" si="516"/>
        <v>0</v>
      </c>
      <c r="AD3157" s="425">
        <f t="shared" si="529"/>
        <v>2</v>
      </c>
    </row>
    <row r="3158" spans="1:30" s="361" customFormat="1" x14ac:dyDescent="0.4">
      <c r="A3158" s="402">
        <v>46218</v>
      </c>
      <c r="B3158" s="392" t="s">
        <v>109</v>
      </c>
      <c r="C3158" s="364" t="str">
        <f>VLOOKUP(B3158,'112年全品項生產鍋數'!A:H,2,0)</f>
        <v>蔓越莓醬(1*6KG)</v>
      </c>
      <c r="D3158" s="404">
        <v>12</v>
      </c>
      <c r="E3158" s="48">
        <f>VLOOKUP(B3158,'112年全品項生產鍋數'!A:H,3,0)</f>
        <v>6</v>
      </c>
      <c r="F3158" s="142">
        <f>VLOOKUP(B3158,'112年全品項生產鍋數'!A:H,7,0)</f>
        <v>25.6</v>
      </c>
      <c r="G3158" s="143">
        <f t="shared" si="517"/>
        <v>307.20000000000005</v>
      </c>
      <c r="H3158" s="156">
        <v>310</v>
      </c>
      <c r="I3158" s="371">
        <f t="shared" si="518"/>
        <v>1860</v>
      </c>
      <c r="J3158" s="100">
        <f t="shared" si="519"/>
        <v>1.0091145833333333</v>
      </c>
      <c r="K3158" s="51">
        <f>VLOOKUP(B:B,'生產達成率(目標)'!A:C,3,0)</f>
        <v>1</v>
      </c>
      <c r="L3158" s="20">
        <f t="shared" si="520"/>
        <v>8.9999999999999993E-3</v>
      </c>
      <c r="M3158" s="137" t="str">
        <f>工時!R2345</f>
        <v>172</v>
      </c>
      <c r="N3158" s="374"/>
      <c r="O3158" s="374">
        <f t="shared" si="521"/>
        <v>1</v>
      </c>
      <c r="P3158" s="156">
        <v>309</v>
      </c>
      <c r="Q3158" s="98">
        <f t="shared" si="522"/>
        <v>0.99677419354838714</v>
      </c>
      <c r="R3158" s="371"/>
      <c r="S3158" s="372"/>
      <c r="T3158" s="364"/>
      <c r="U3158" s="264"/>
      <c r="V3158" s="264" t="s">
        <v>1847</v>
      </c>
      <c r="W3158" s="424">
        <v>46218</v>
      </c>
      <c r="X3158" s="264" t="s">
        <v>1867</v>
      </c>
      <c r="Y3158" s="424">
        <v>46220</v>
      </c>
      <c r="Z3158" s="424"/>
      <c r="AA3158" s="424">
        <v>46217</v>
      </c>
      <c r="AB3158" s="424">
        <v>46218</v>
      </c>
      <c r="AC3158" s="425">
        <f t="shared" si="516"/>
        <v>0</v>
      </c>
      <c r="AD3158" s="425">
        <f t="shared" si="529"/>
        <v>2</v>
      </c>
    </row>
    <row r="3159" spans="1:30" s="361" customFormat="1" x14ac:dyDescent="0.4">
      <c r="A3159" s="402">
        <v>46218</v>
      </c>
      <c r="B3159" s="392" t="s">
        <v>63</v>
      </c>
      <c r="C3159" s="364" t="str">
        <f>VLOOKUP(B3159,'112年全品項生產鍋數'!A:H,2,0)</f>
        <v>草莓蒟蒻餡(1*6kg)</v>
      </c>
      <c r="D3159" s="404">
        <v>16</v>
      </c>
      <c r="E3159" s="48">
        <f>VLOOKUP(B3159,'112年全品項生產鍋數'!A:H,3,0)</f>
        <v>6</v>
      </c>
      <c r="F3159" s="142">
        <f>VLOOKUP(B3159,'112年全品項生產鍋數'!A:H,7,0)</f>
        <v>25.7</v>
      </c>
      <c r="G3159" s="143">
        <f t="shared" si="517"/>
        <v>411.2</v>
      </c>
      <c r="H3159" s="156">
        <f>198+210</f>
        <v>408</v>
      </c>
      <c r="I3159" s="371">
        <f t="shared" si="518"/>
        <v>2448</v>
      </c>
      <c r="J3159" s="100">
        <f t="shared" si="519"/>
        <v>0.99221789883268485</v>
      </c>
      <c r="K3159" s="51">
        <f>VLOOKUP(B:B,'生產達成率(目標)'!A:C,3,0)</f>
        <v>1</v>
      </c>
      <c r="L3159" s="20">
        <f t="shared" si="520"/>
        <v>-8.0000000000000002E-3</v>
      </c>
      <c r="M3159" s="137" t="str">
        <f>工時!R2346</f>
        <v>189</v>
      </c>
      <c r="N3159" s="374"/>
      <c r="O3159" s="374">
        <f t="shared" si="521"/>
        <v>1</v>
      </c>
      <c r="P3159" s="156">
        <f>197+210</f>
        <v>407</v>
      </c>
      <c r="Q3159" s="98">
        <f t="shared" si="522"/>
        <v>0.99754901960784315</v>
      </c>
      <c r="R3159" s="371"/>
      <c r="S3159" s="372"/>
      <c r="T3159" s="364"/>
      <c r="U3159" s="264"/>
      <c r="V3159" s="264" t="s">
        <v>1847</v>
      </c>
      <c r="W3159" s="424">
        <v>46219</v>
      </c>
      <c r="X3159" s="264" t="s">
        <v>1867</v>
      </c>
      <c r="Y3159" s="424">
        <v>46220</v>
      </c>
      <c r="Z3159" s="424"/>
      <c r="AA3159" s="424" t="s">
        <v>1769</v>
      </c>
      <c r="AB3159" s="424" t="s">
        <v>1772</v>
      </c>
      <c r="AC3159" s="425">
        <f t="shared" si="516"/>
        <v>1</v>
      </c>
      <c r="AD3159" s="425">
        <f t="shared" si="529"/>
        <v>2</v>
      </c>
    </row>
    <row r="3160" spans="1:30" s="361" customFormat="1" x14ac:dyDescent="0.4">
      <c r="A3160" s="402">
        <v>46218</v>
      </c>
      <c r="B3160" s="392" t="s">
        <v>65</v>
      </c>
      <c r="C3160" s="364" t="str">
        <f>VLOOKUP(B3160,'112年全品項生產鍋數'!A:H,2,0)</f>
        <v>＃1花生(1*2.8kg)</v>
      </c>
      <c r="D3160" s="404">
        <v>60</v>
      </c>
      <c r="E3160" s="48">
        <f>VLOOKUP(B3160,'112年全品項生產鍋數'!A:H,3,0)</f>
        <v>2.8</v>
      </c>
      <c r="F3160" s="142">
        <f>VLOOKUP(B3160,'112年全品項生產鍋數'!A:H,7,0)</f>
        <v>44.5</v>
      </c>
      <c r="G3160" s="143">
        <f t="shared" si="517"/>
        <v>2670</v>
      </c>
      <c r="H3160" s="156">
        <v>2668</v>
      </c>
      <c r="I3160" s="371">
        <f t="shared" si="518"/>
        <v>7470.4</v>
      </c>
      <c r="J3160" s="100">
        <f t="shared" si="519"/>
        <v>0.99925093632958806</v>
      </c>
      <c r="K3160" s="51">
        <f>VLOOKUP(B:B,'生產達成率(目標)'!A:C,3,0)</f>
        <v>1</v>
      </c>
      <c r="L3160" s="20">
        <f t="shared" si="520"/>
        <v>-1E-3</v>
      </c>
      <c r="M3160" s="137" t="str">
        <f>工時!R2347</f>
        <v>460</v>
      </c>
      <c r="N3160" s="374"/>
      <c r="O3160" s="374">
        <f t="shared" si="521"/>
        <v>1</v>
      </c>
      <c r="P3160" s="156">
        <v>2667</v>
      </c>
      <c r="Q3160" s="98">
        <f t="shared" si="522"/>
        <v>0.9996251874062968</v>
      </c>
      <c r="R3160" s="371"/>
      <c r="S3160" s="372"/>
      <c r="T3160" s="364"/>
      <c r="U3160" s="264"/>
      <c r="V3160" s="264" t="s">
        <v>1848</v>
      </c>
      <c r="W3160" s="424">
        <v>46218</v>
      </c>
      <c r="X3160" s="264" t="s">
        <v>1848</v>
      </c>
      <c r="Y3160" s="424">
        <v>46218</v>
      </c>
      <c r="Z3160" s="424"/>
      <c r="AA3160" s="424" t="s">
        <v>1770</v>
      </c>
      <c r="AB3160" s="424">
        <v>46218</v>
      </c>
      <c r="AC3160" s="425">
        <f t="shared" ref="AC3160:AC3191" si="530" xml:space="preserve"> IF((W3160-A3160)&lt;0,"未收到",W3160-A3160)</f>
        <v>0</v>
      </c>
      <c r="AD3160" s="425">
        <f t="shared" si="529"/>
        <v>0</v>
      </c>
    </row>
    <row r="3161" spans="1:30" s="361" customFormat="1" x14ac:dyDescent="0.4">
      <c r="A3161" s="402">
        <v>46219</v>
      </c>
      <c r="B3161" s="392" t="s">
        <v>71</v>
      </c>
      <c r="C3161" s="364" t="str">
        <f>VLOOKUP(B3161,'112年全品項生產鍋數'!A:H,2,0)</f>
        <v>＃1草莓(1*3.2kg)</v>
      </c>
      <c r="D3161" s="404">
        <v>44</v>
      </c>
      <c r="E3161" s="48">
        <f>VLOOKUP(B3161,'112年全品項生產鍋數'!A:H,3,0)</f>
        <v>3.2</v>
      </c>
      <c r="F3161" s="142">
        <f>VLOOKUP(B3161,'112年全品項生產鍋數'!A:H,7,0)</f>
        <v>46.8</v>
      </c>
      <c r="G3161" s="143">
        <f t="shared" si="517"/>
        <v>2059.1999999999998</v>
      </c>
      <c r="H3161" s="156">
        <v>2031</v>
      </c>
      <c r="I3161" s="371">
        <f t="shared" si="518"/>
        <v>6499.2000000000007</v>
      </c>
      <c r="J3161" s="100">
        <f t="shared" si="519"/>
        <v>0.98630536130536139</v>
      </c>
      <c r="K3161" s="51">
        <f>VLOOKUP(B:B,'生產達成率(目標)'!A:C,3,0)</f>
        <v>1</v>
      </c>
      <c r="L3161" s="20">
        <f t="shared" si="520"/>
        <v>-1.4E-2</v>
      </c>
      <c r="M3161" s="137" t="str">
        <f>工時!R2348</f>
        <v>420</v>
      </c>
      <c r="N3161" s="374"/>
      <c r="O3161" s="374">
        <f t="shared" si="521"/>
        <v>1</v>
      </c>
      <c r="P3161" s="156">
        <v>2030</v>
      </c>
      <c r="Q3161" s="98">
        <f t="shared" si="522"/>
        <v>0.99950763170851797</v>
      </c>
      <c r="R3161" s="371"/>
      <c r="S3161" s="372"/>
      <c r="T3161" s="364"/>
      <c r="U3161" s="264"/>
      <c r="V3161" s="264" t="s">
        <v>1849</v>
      </c>
      <c r="W3161" s="424">
        <v>46219</v>
      </c>
      <c r="X3161" s="264" t="s">
        <v>1867</v>
      </c>
      <c r="Y3161" s="424">
        <v>46220</v>
      </c>
      <c r="Z3161" s="424"/>
      <c r="AA3161" s="424" t="s">
        <v>1769</v>
      </c>
      <c r="AB3161" s="424" t="s">
        <v>1773</v>
      </c>
      <c r="AC3161" s="425">
        <f t="shared" si="530"/>
        <v>0</v>
      </c>
      <c r="AD3161" s="425">
        <f t="shared" si="529"/>
        <v>1</v>
      </c>
    </row>
    <row r="3162" spans="1:30" s="361" customFormat="1" x14ac:dyDescent="0.4">
      <c r="A3162" s="402">
        <v>46219</v>
      </c>
      <c r="B3162" s="392" t="s">
        <v>1760</v>
      </c>
      <c r="C3162" s="364" t="str">
        <f>VLOOKUP(B3162,'112年全品項生產鍋數'!A:H,2,0)</f>
        <v>鳳梨果茶醬(1*210G)</v>
      </c>
      <c r="D3162" s="404">
        <v>3.8</v>
      </c>
      <c r="E3162" s="48">
        <f>VLOOKUP(B3162,'112年全品項生產鍋數'!A:H,3,0)</f>
        <v>0.21</v>
      </c>
      <c r="F3162" s="142">
        <f>VLOOKUP(B3162,'112年全品項生產鍋數'!A:H,7,0)</f>
        <v>0</v>
      </c>
      <c r="G3162" s="143">
        <f t="shared" si="517"/>
        <v>0</v>
      </c>
      <c r="H3162" s="156">
        <v>2739</v>
      </c>
      <c r="I3162" s="371">
        <f t="shared" si="518"/>
        <v>575.18999999999994</v>
      </c>
      <c r="J3162" s="100" t="str">
        <f t="shared" si="519"/>
        <v>無法預估數據</v>
      </c>
      <c r="K3162" s="51">
        <f>VLOOKUP(B:B,'生產達成率(目標)'!A:C,3,0)</f>
        <v>1</v>
      </c>
      <c r="L3162" s="20" t="str">
        <f t="shared" si="520"/>
        <v>無法預估數據</v>
      </c>
      <c r="M3162" s="137" t="str">
        <f>工時!R2349</f>
        <v>130</v>
      </c>
      <c r="N3162" s="374"/>
      <c r="O3162" s="374">
        <f t="shared" si="521"/>
        <v>11</v>
      </c>
      <c r="P3162" s="156">
        <v>2728</v>
      </c>
      <c r="Q3162" s="98">
        <f t="shared" si="522"/>
        <v>0.99598393574297184</v>
      </c>
      <c r="R3162" s="371"/>
      <c r="S3162" s="372"/>
      <c r="T3162" s="364" t="s">
        <v>1153</v>
      </c>
      <c r="U3162" s="264"/>
      <c r="V3162" s="264" t="s">
        <v>1849</v>
      </c>
      <c r="W3162" s="424">
        <v>46219</v>
      </c>
      <c r="X3162" s="264" t="s">
        <v>1867</v>
      </c>
      <c r="Y3162" s="424">
        <v>46223</v>
      </c>
      <c r="Z3162" s="424"/>
      <c r="AA3162" s="424">
        <v>46218</v>
      </c>
      <c r="AB3162" s="424">
        <v>46219</v>
      </c>
      <c r="AC3162" s="425">
        <f t="shared" si="530"/>
        <v>0</v>
      </c>
      <c r="AD3162" s="425">
        <f t="shared" si="529"/>
        <v>4</v>
      </c>
    </row>
    <row r="3163" spans="1:30" s="361" customFormat="1" x14ac:dyDescent="0.4">
      <c r="A3163" s="402">
        <v>46219</v>
      </c>
      <c r="B3163" s="392" t="s">
        <v>54</v>
      </c>
      <c r="C3163" s="364" t="str">
        <f>VLOOKUP(B3163,'112年全品項生產鍋數'!A:H,2,0)</f>
        <v>草莓醬(1*6kg)</v>
      </c>
      <c r="D3163" s="404">
        <v>32</v>
      </c>
      <c r="E3163" s="48">
        <f>VLOOKUP(B3163,'112年全品項生產鍋數'!A:H,3,0)</f>
        <v>6</v>
      </c>
      <c r="F3163" s="142">
        <f>VLOOKUP(B3163,'112年全品項生產鍋數'!A:H,7,0)</f>
        <v>26.6</v>
      </c>
      <c r="G3163" s="143">
        <f t="shared" si="517"/>
        <v>851.2</v>
      </c>
      <c r="H3163" s="156">
        <v>841</v>
      </c>
      <c r="I3163" s="371">
        <f t="shared" si="518"/>
        <v>5046</v>
      </c>
      <c r="J3163" s="100">
        <f t="shared" si="519"/>
        <v>0.98801691729323304</v>
      </c>
      <c r="K3163" s="51">
        <f>VLOOKUP(B:B,'生產達成率(目標)'!A:C,3,0)</f>
        <v>1</v>
      </c>
      <c r="L3163" s="20">
        <f t="shared" si="520"/>
        <v>-1.2E-2</v>
      </c>
      <c r="M3163" s="137" t="str">
        <f>工時!R2350</f>
        <v>415</v>
      </c>
      <c r="N3163" s="374"/>
      <c r="O3163" s="374">
        <f t="shared" si="521"/>
        <v>1</v>
      </c>
      <c r="P3163" s="156">
        <v>840</v>
      </c>
      <c r="Q3163" s="98">
        <f t="shared" si="522"/>
        <v>0.99881093935790721</v>
      </c>
      <c r="R3163" s="371"/>
      <c r="S3163" s="372"/>
      <c r="T3163" s="364" t="s">
        <v>1153</v>
      </c>
      <c r="U3163" s="264"/>
      <c r="V3163" s="264" t="s">
        <v>1847</v>
      </c>
      <c r="W3163" s="424">
        <v>46219</v>
      </c>
      <c r="X3163" s="264" t="s">
        <v>1867</v>
      </c>
      <c r="Y3163" s="424">
        <v>46220</v>
      </c>
      <c r="Z3163" s="424"/>
      <c r="AA3163" s="424">
        <v>46218</v>
      </c>
      <c r="AB3163" s="424">
        <v>46219</v>
      </c>
      <c r="AC3163" s="425">
        <f t="shared" si="530"/>
        <v>0</v>
      </c>
      <c r="AD3163" s="425">
        <f t="shared" si="529"/>
        <v>1</v>
      </c>
    </row>
    <row r="3164" spans="1:30" s="361" customFormat="1" x14ac:dyDescent="0.4">
      <c r="A3164" s="402">
        <v>46219</v>
      </c>
      <c r="B3164" s="392" t="s">
        <v>53</v>
      </c>
      <c r="C3164" s="364" t="str">
        <f>VLOOKUP(B3164,'112年全品項生產鍋數'!A:H,2,0)</f>
        <v>鳳梨芒果百香果醬(1*6KG)</v>
      </c>
      <c r="D3164" s="404">
        <v>6</v>
      </c>
      <c r="E3164" s="48">
        <f>VLOOKUP(B3164,'112年全品項生產鍋數'!A:H,3,0)</f>
        <v>6</v>
      </c>
      <c r="F3164" s="142">
        <f>VLOOKUP(B3164,'112年全品項生產鍋數'!A:H,7,0)</f>
        <v>25.7</v>
      </c>
      <c r="G3164" s="143">
        <f t="shared" si="517"/>
        <v>154.19999999999999</v>
      </c>
      <c r="H3164" s="156">
        <v>155</v>
      </c>
      <c r="I3164" s="371">
        <f t="shared" si="518"/>
        <v>930</v>
      </c>
      <c r="J3164" s="100">
        <f t="shared" si="519"/>
        <v>1.0051880674448768</v>
      </c>
      <c r="K3164" s="51">
        <f>VLOOKUP(B:B,'生產達成率(目標)'!A:C,3,0)</f>
        <v>1</v>
      </c>
      <c r="L3164" s="20">
        <f t="shared" si="520"/>
        <v>5.0000000000000001E-3</v>
      </c>
      <c r="M3164" s="137" t="str">
        <f>工時!R2351</f>
        <v>130</v>
      </c>
      <c r="N3164" s="374"/>
      <c r="O3164" s="374">
        <f t="shared" si="521"/>
        <v>1</v>
      </c>
      <c r="P3164" s="156">
        <v>154</v>
      </c>
      <c r="Q3164" s="98">
        <f t="shared" si="522"/>
        <v>0.99354838709677418</v>
      </c>
      <c r="R3164" s="371"/>
      <c r="S3164" s="372"/>
      <c r="T3164" s="364"/>
      <c r="U3164" s="264"/>
      <c r="V3164" s="264" t="s">
        <v>1847</v>
      </c>
      <c r="W3164" s="424">
        <v>46219</v>
      </c>
      <c r="X3164" s="264" t="s">
        <v>1867</v>
      </c>
      <c r="Y3164" s="424">
        <v>46220</v>
      </c>
      <c r="Z3164" s="424"/>
      <c r="AA3164" s="424">
        <v>46218</v>
      </c>
      <c r="AB3164" s="424">
        <v>46219</v>
      </c>
      <c r="AC3164" s="425">
        <f t="shared" si="530"/>
        <v>0</v>
      </c>
      <c r="AD3164" s="425">
        <f t="shared" si="529"/>
        <v>1</v>
      </c>
    </row>
    <row r="3165" spans="1:30" s="361" customFormat="1" x14ac:dyDescent="0.4">
      <c r="A3165" s="402">
        <v>46219</v>
      </c>
      <c r="B3165" s="392" t="s">
        <v>104</v>
      </c>
      <c r="C3165" s="364" t="str">
        <f>VLOOKUP(B3165,'112年全品項生產鍋數'!A:H,2,0)</f>
        <v>＃1花生(粒)(1*2.8kg)</v>
      </c>
      <c r="D3165" s="404">
        <v>60</v>
      </c>
      <c r="E3165" s="48">
        <f>VLOOKUP(B3165,'112年全品項生產鍋數'!A:H,3,0)</f>
        <v>2.8</v>
      </c>
      <c r="F3165" s="142">
        <f>VLOOKUP(B3165,'112年全品項生產鍋數'!A:H,7,0)</f>
        <v>44.2</v>
      </c>
      <c r="G3165" s="143">
        <f t="shared" si="517"/>
        <v>2652</v>
      </c>
      <c r="H3165" s="156">
        <v>2622</v>
      </c>
      <c r="I3165" s="371">
        <f t="shared" si="518"/>
        <v>7341.5999999999995</v>
      </c>
      <c r="J3165" s="100">
        <f t="shared" si="519"/>
        <v>0.9886877828054299</v>
      </c>
      <c r="K3165" s="51">
        <f>VLOOKUP(B:B,'生產達成率(目標)'!A:C,3,0)</f>
        <v>1</v>
      </c>
      <c r="L3165" s="20">
        <f t="shared" si="520"/>
        <v>-1.0999999999999999E-2</v>
      </c>
      <c r="M3165" s="137" t="str">
        <f>工時!R2352</f>
        <v>470</v>
      </c>
      <c r="N3165" s="374"/>
      <c r="O3165" s="374">
        <f t="shared" si="521"/>
        <v>1</v>
      </c>
      <c r="P3165" s="156">
        <v>2621</v>
      </c>
      <c r="Q3165" s="98">
        <f t="shared" si="522"/>
        <v>0.99961861174675815</v>
      </c>
      <c r="R3165" s="371"/>
      <c r="S3165" s="372"/>
      <c r="T3165" s="364" t="s">
        <v>1153</v>
      </c>
      <c r="U3165" s="264"/>
      <c r="V3165" s="264" t="s">
        <v>1848</v>
      </c>
      <c r="W3165" s="424">
        <v>46219</v>
      </c>
      <c r="X3165" s="264" t="s">
        <v>1848</v>
      </c>
      <c r="Y3165" s="424">
        <v>46219</v>
      </c>
      <c r="Z3165" s="424"/>
      <c r="AA3165" s="424">
        <v>46218</v>
      </c>
      <c r="AB3165" s="424">
        <v>46219</v>
      </c>
      <c r="AC3165" s="425">
        <f t="shared" si="530"/>
        <v>0</v>
      </c>
      <c r="AD3165" s="425">
        <f t="shared" si="529"/>
        <v>0</v>
      </c>
    </row>
    <row r="3166" spans="1:30" s="361" customFormat="1" x14ac:dyDescent="0.4">
      <c r="A3166" s="402">
        <v>46220</v>
      </c>
      <c r="B3166" s="392" t="s">
        <v>1162</v>
      </c>
      <c r="C3166" s="364" t="str">
        <f>VLOOKUP(B3166,'112年全品項生產鍋數'!A:H,2,0)</f>
        <v>藍莓餡(1*6KG)</v>
      </c>
      <c r="D3166" s="404">
        <v>16</v>
      </c>
      <c r="E3166" s="48">
        <f>VLOOKUP(B3166,'112年全品項生產鍋數'!A:H,3,0)</f>
        <v>6</v>
      </c>
      <c r="F3166" s="142">
        <f>VLOOKUP(B3166,'112年全品項生產鍋數'!A:H,7,0)</f>
        <v>25.4</v>
      </c>
      <c r="G3166" s="143">
        <f t="shared" si="517"/>
        <v>406.4</v>
      </c>
      <c r="H3166" s="156">
        <f>204+207</f>
        <v>411</v>
      </c>
      <c r="I3166" s="371">
        <f t="shared" si="518"/>
        <v>2466</v>
      </c>
      <c r="J3166" s="100">
        <f t="shared" si="519"/>
        <v>1.0113188976377954</v>
      </c>
      <c r="K3166" s="51" t="e">
        <f>VLOOKUP(B:B,'生產達成率(目標)'!A:C,3,0)</f>
        <v>#N/A</v>
      </c>
      <c r="L3166" s="20" t="e">
        <f t="shared" si="520"/>
        <v>#N/A</v>
      </c>
      <c r="M3166" s="137" t="str">
        <f>工時!R2353</f>
        <v>290</v>
      </c>
      <c r="N3166" s="374"/>
      <c r="O3166" s="374">
        <f t="shared" si="521"/>
        <v>2</v>
      </c>
      <c r="P3166" s="156">
        <f>202+207</f>
        <v>409</v>
      </c>
      <c r="Q3166" s="98">
        <f t="shared" si="522"/>
        <v>0.99513381995133821</v>
      </c>
      <c r="R3166" s="371"/>
      <c r="S3166" s="372"/>
      <c r="T3166" s="364"/>
      <c r="U3166" s="264"/>
      <c r="V3166" s="264" t="s">
        <v>1849</v>
      </c>
      <c r="W3166" s="424">
        <v>46220</v>
      </c>
      <c r="X3166" s="264" t="s">
        <v>1867</v>
      </c>
      <c r="Y3166" s="424">
        <v>46225</v>
      </c>
      <c r="Z3166" s="424"/>
      <c r="AA3166" s="424">
        <v>46219</v>
      </c>
      <c r="AB3166" s="424">
        <v>46220</v>
      </c>
      <c r="AC3166" s="425">
        <f t="shared" si="530"/>
        <v>0</v>
      </c>
      <c r="AD3166" s="425">
        <f t="shared" si="529"/>
        <v>5</v>
      </c>
    </row>
    <row r="3167" spans="1:30" s="361" customFormat="1" x14ac:dyDescent="0.4">
      <c r="A3167" s="402">
        <v>46220</v>
      </c>
      <c r="B3167" s="392" t="s">
        <v>72</v>
      </c>
      <c r="C3167" s="364" t="str">
        <f>VLOOKUP(B3167,'112年全品項生產鍋數'!A:H,2,0)</f>
        <v>草莓餡45%(1*6Kg)</v>
      </c>
      <c r="D3167" s="404">
        <v>12</v>
      </c>
      <c r="E3167" s="48">
        <f>VLOOKUP(B3167,'112年全品項生產鍋數'!A:H,3,0)</f>
        <v>6</v>
      </c>
      <c r="F3167" s="142">
        <f>VLOOKUP(B3167,'112年全品項生產鍋數'!A:H,7,0)</f>
        <v>26.1</v>
      </c>
      <c r="G3167" s="143">
        <f t="shared" si="517"/>
        <v>313.20000000000005</v>
      </c>
      <c r="H3167" s="156">
        <v>323</v>
      </c>
      <c r="I3167" s="371">
        <f t="shared" si="518"/>
        <v>1938</v>
      </c>
      <c r="J3167" s="100">
        <f t="shared" si="519"/>
        <v>1.0312899106002553</v>
      </c>
      <c r="K3167" s="51">
        <f>VLOOKUP(B:B,'生產達成率(目標)'!A:C,3,0)</f>
        <v>1</v>
      </c>
      <c r="L3167" s="20">
        <f t="shared" si="520"/>
        <v>3.1E-2</v>
      </c>
      <c r="M3167" s="137" t="str">
        <f>工時!R2354</f>
        <v>240</v>
      </c>
      <c r="N3167" s="374"/>
      <c r="O3167" s="374">
        <f t="shared" si="521"/>
        <v>3</v>
      </c>
      <c r="P3167" s="156">
        <v>320</v>
      </c>
      <c r="Q3167" s="98">
        <f t="shared" si="522"/>
        <v>0.99071207430340558</v>
      </c>
      <c r="R3167" s="371"/>
      <c r="S3167" s="372"/>
      <c r="T3167" s="364" t="s">
        <v>1153</v>
      </c>
      <c r="U3167" s="264"/>
      <c r="V3167" s="264" t="s">
        <v>1849</v>
      </c>
      <c r="W3167" s="424">
        <v>46220</v>
      </c>
      <c r="X3167" s="264" t="s">
        <v>1867</v>
      </c>
      <c r="Y3167" s="424">
        <v>46225</v>
      </c>
      <c r="Z3167" s="424"/>
      <c r="AA3167" s="424">
        <v>46219</v>
      </c>
      <c r="AB3167" s="424">
        <v>46220</v>
      </c>
      <c r="AC3167" s="425">
        <f t="shared" si="530"/>
        <v>0</v>
      </c>
      <c r="AD3167" s="425">
        <f t="shared" si="529"/>
        <v>5</v>
      </c>
    </row>
    <row r="3168" spans="1:30" s="361" customFormat="1" x14ac:dyDescent="0.4">
      <c r="A3168" s="402">
        <v>46220</v>
      </c>
      <c r="B3168" s="392" t="s">
        <v>81</v>
      </c>
      <c r="C3168" s="364" t="str">
        <f>VLOOKUP(B3168,'112年全品項生產鍋數'!A:H,2,0)</f>
        <v>藍莓餡(1*6Kg)</v>
      </c>
      <c r="D3168" s="404">
        <v>8</v>
      </c>
      <c r="E3168" s="48">
        <f>VLOOKUP(B3168,'112年全品項生產鍋數'!A:H,3,0)</f>
        <v>6</v>
      </c>
      <c r="F3168" s="142">
        <f>VLOOKUP(B3168,'112年全品項生產鍋數'!A:H,7,0)</f>
        <v>25.1</v>
      </c>
      <c r="G3168" s="143">
        <f t="shared" si="517"/>
        <v>200.8</v>
      </c>
      <c r="H3168" s="156">
        <f>198</f>
        <v>198</v>
      </c>
      <c r="I3168" s="371">
        <f t="shared" si="518"/>
        <v>1188</v>
      </c>
      <c r="J3168" s="100">
        <f t="shared" si="519"/>
        <v>0.98605577689243018</v>
      </c>
      <c r="K3168" s="51">
        <f>VLOOKUP(B:B,'生產達成率(目標)'!A:C,3,0)</f>
        <v>1</v>
      </c>
      <c r="L3168" s="20">
        <f t="shared" si="520"/>
        <v>-1.4E-2</v>
      </c>
      <c r="M3168" s="137" t="str">
        <f>工時!R2355</f>
        <v>120</v>
      </c>
      <c r="N3168" s="374"/>
      <c r="O3168" s="374">
        <f t="shared" si="521"/>
        <v>1</v>
      </c>
      <c r="P3168" s="156">
        <v>197</v>
      </c>
      <c r="Q3168" s="98">
        <f t="shared" si="522"/>
        <v>0.99494949494949492</v>
      </c>
      <c r="R3168" s="371"/>
      <c r="S3168" s="372"/>
      <c r="T3168" s="364" t="s">
        <v>1153</v>
      </c>
      <c r="U3168" s="264"/>
      <c r="V3168" s="264" t="s">
        <v>1847</v>
      </c>
      <c r="W3168" s="424">
        <v>46220</v>
      </c>
      <c r="X3168" s="264" t="s">
        <v>1867</v>
      </c>
      <c r="Y3168" s="424">
        <v>46225</v>
      </c>
      <c r="Z3168" s="424"/>
      <c r="AA3168" s="424">
        <v>46219</v>
      </c>
      <c r="AB3168" s="424">
        <v>46220</v>
      </c>
      <c r="AC3168" s="425">
        <f t="shared" si="530"/>
        <v>0</v>
      </c>
      <c r="AD3168" s="425">
        <f t="shared" si="529"/>
        <v>5</v>
      </c>
    </row>
    <row r="3169" spans="1:30" s="361" customFormat="1" x14ac:dyDescent="0.4">
      <c r="A3169" s="402">
        <v>46220</v>
      </c>
      <c r="B3169" s="392" t="s">
        <v>73</v>
      </c>
      <c r="C3169" s="364" t="str">
        <f>VLOOKUP(B3169,'112年全品項生產鍋數'!A:H,2,0)</f>
        <v>顆粒花生醬(1*12KG)</v>
      </c>
      <c r="D3169" s="404">
        <v>21</v>
      </c>
      <c r="E3169" s="48">
        <f>VLOOKUP(B3169,'112年全品項生產鍋數'!A:H,3,0)</f>
        <v>3</v>
      </c>
      <c r="F3169" s="142">
        <f>VLOOKUP(B3169,'112年全品項生產鍋數'!A:H,7,0)</f>
        <v>29.7</v>
      </c>
      <c r="G3169" s="143">
        <f t="shared" si="517"/>
        <v>623.69999999999993</v>
      </c>
      <c r="H3169" s="156">
        <v>628</v>
      </c>
      <c r="I3169" s="371">
        <f t="shared" si="518"/>
        <v>1884</v>
      </c>
      <c r="J3169" s="100">
        <f t="shared" si="519"/>
        <v>1.0068943402276738</v>
      </c>
      <c r="K3169" s="51">
        <f>VLOOKUP(B:B,'生產達成率(目標)'!A:C,3,0)</f>
        <v>1</v>
      </c>
      <c r="L3169" s="20">
        <f t="shared" si="520"/>
        <v>7.0000000000000001E-3</v>
      </c>
      <c r="M3169" s="137" t="str">
        <f>工時!R2356</f>
        <v>510</v>
      </c>
      <c r="N3169" s="374"/>
      <c r="O3169" s="374">
        <f t="shared" si="521"/>
        <v>0</v>
      </c>
      <c r="P3169" s="156">
        <v>628</v>
      </c>
      <c r="Q3169" s="98">
        <f t="shared" si="522"/>
        <v>1</v>
      </c>
      <c r="R3169" s="371"/>
      <c r="S3169" s="372"/>
      <c r="T3169" s="364"/>
      <c r="U3169" s="264"/>
      <c r="V3169" s="264" t="s">
        <v>1847</v>
      </c>
      <c r="W3169" s="424">
        <v>46220</v>
      </c>
      <c r="X3169" s="264" t="s">
        <v>1867</v>
      </c>
      <c r="Y3169" s="424">
        <v>46220</v>
      </c>
      <c r="Z3169" s="424"/>
      <c r="AA3169" s="424">
        <v>46217</v>
      </c>
      <c r="AB3169" s="424">
        <v>46220</v>
      </c>
      <c r="AC3169" s="425">
        <f t="shared" si="530"/>
        <v>0</v>
      </c>
      <c r="AD3169" s="425">
        <f t="shared" si="529"/>
        <v>0</v>
      </c>
    </row>
    <row r="3170" spans="1:30" s="361" customFormat="1" ht="18" customHeight="1" x14ac:dyDescent="0.4">
      <c r="A3170" s="402">
        <v>46220</v>
      </c>
      <c r="B3170" s="392" t="s">
        <v>96</v>
      </c>
      <c r="C3170" s="364" t="str">
        <f>VLOOKUP(B3170,'112年全品項生產鍋數'!A:H,2,0)</f>
        <v>PET瓶花生(1*340g)</v>
      </c>
      <c r="D3170" s="404">
        <v>16</v>
      </c>
      <c r="E3170" s="48">
        <f>VLOOKUP(B3170,'112年全品項生產鍋數'!A:H,3,0)</f>
        <v>0.34</v>
      </c>
      <c r="F3170" s="142">
        <f>VLOOKUP(B3170,'112年全品項生產鍋數'!A:H,7,0)</f>
        <v>358.3</v>
      </c>
      <c r="G3170" s="143">
        <f t="shared" si="517"/>
        <v>5732.8</v>
      </c>
      <c r="H3170" s="156">
        <f>3602+2145</f>
        <v>5747</v>
      </c>
      <c r="I3170" s="371">
        <f t="shared" si="518"/>
        <v>1953.9800000000002</v>
      </c>
      <c r="J3170" s="100">
        <f t="shared" si="519"/>
        <v>1.0024769746022886</v>
      </c>
      <c r="K3170" s="51">
        <f>VLOOKUP(B:B,'生產達成率(目標)'!A:C,3,0)</f>
        <v>1</v>
      </c>
      <c r="L3170" s="20">
        <f t="shared" si="520"/>
        <v>2E-3</v>
      </c>
      <c r="M3170" s="137" t="str">
        <f>工時!R2357</f>
        <v>280</v>
      </c>
      <c r="N3170" s="374"/>
      <c r="O3170" s="374">
        <f t="shared" si="521"/>
        <v>5</v>
      </c>
      <c r="P3170" s="156">
        <f>3600+2142</f>
        <v>5742</v>
      </c>
      <c r="Q3170" s="98">
        <f t="shared" si="522"/>
        <v>0.99912998085957894</v>
      </c>
      <c r="R3170" s="371"/>
      <c r="S3170" s="372"/>
      <c r="T3170" s="364" t="s">
        <v>1776</v>
      </c>
      <c r="U3170" s="264"/>
      <c r="V3170" s="264" t="s">
        <v>1848</v>
      </c>
      <c r="W3170" s="424">
        <v>46220</v>
      </c>
      <c r="X3170" s="264" t="s">
        <v>1848</v>
      </c>
      <c r="Y3170" s="424">
        <v>46220</v>
      </c>
      <c r="Z3170" s="424"/>
      <c r="AA3170" s="424">
        <v>46219</v>
      </c>
      <c r="AB3170" s="424">
        <v>46220</v>
      </c>
      <c r="AC3170" s="425">
        <f t="shared" si="530"/>
        <v>0</v>
      </c>
      <c r="AD3170" s="425">
        <f t="shared" si="529"/>
        <v>0</v>
      </c>
    </row>
    <row r="3171" spans="1:30" s="361" customFormat="1" ht="18.75" customHeight="1" x14ac:dyDescent="0.4">
      <c r="A3171" s="402">
        <v>46220</v>
      </c>
      <c r="B3171" s="392" t="s">
        <v>83</v>
      </c>
      <c r="C3171" s="364" t="str">
        <f>VLOOKUP(B3171,'112年全品項生產鍋數'!A:H,2,0)</f>
        <v>PET瓶花生(粒)(1*340g)</v>
      </c>
      <c r="D3171" s="404">
        <v>16</v>
      </c>
      <c r="E3171" s="48">
        <f>VLOOKUP(B3171,'112年全品項生產鍋數'!A:H,3,0)</f>
        <v>0.34</v>
      </c>
      <c r="F3171" s="142">
        <f>VLOOKUP(B3171,'112年全品項生產鍋數'!A:H,7,0)</f>
        <v>366</v>
      </c>
      <c r="G3171" s="143">
        <f t="shared" si="517"/>
        <v>5856</v>
      </c>
      <c r="H3171" s="156">
        <f>3602+681+1417</f>
        <v>5700</v>
      </c>
      <c r="I3171" s="371">
        <f t="shared" si="518"/>
        <v>1938.0000000000002</v>
      </c>
      <c r="J3171" s="100">
        <f t="shared" si="519"/>
        <v>0.97336065573770492</v>
      </c>
      <c r="K3171" s="51">
        <f>VLOOKUP(B:B,'生產達成率(目標)'!A:C,3,0)</f>
        <v>1</v>
      </c>
      <c r="L3171" s="20">
        <f t="shared" si="520"/>
        <v>-2.7E-2</v>
      </c>
      <c r="M3171" s="137" t="str">
        <f>工時!R2358</f>
        <v>280</v>
      </c>
      <c r="N3171" s="374"/>
      <c r="O3171" s="374">
        <f t="shared" si="521"/>
        <v>5</v>
      </c>
      <c r="P3171" s="156">
        <f>3600+681+1414</f>
        <v>5695</v>
      </c>
      <c r="Q3171" s="98">
        <f t="shared" si="522"/>
        <v>0.99912280701754386</v>
      </c>
      <c r="R3171" s="371"/>
      <c r="S3171" s="372"/>
      <c r="T3171" s="364" t="s">
        <v>1777</v>
      </c>
      <c r="U3171" s="264"/>
      <c r="V3171" s="264" t="s">
        <v>1848</v>
      </c>
      <c r="W3171" s="424">
        <v>46220</v>
      </c>
      <c r="X3171" s="264" t="s">
        <v>1848</v>
      </c>
      <c r="Y3171" s="424">
        <v>46220</v>
      </c>
      <c r="Z3171" s="424"/>
      <c r="AA3171" s="424">
        <v>46219</v>
      </c>
      <c r="AB3171" s="424">
        <v>46220</v>
      </c>
      <c r="AC3171" s="425">
        <f t="shared" si="530"/>
        <v>0</v>
      </c>
      <c r="AD3171" s="425">
        <f t="shared" si="529"/>
        <v>0</v>
      </c>
    </row>
    <row r="3172" spans="1:30" s="361" customFormat="1" x14ac:dyDescent="0.4">
      <c r="A3172" s="402">
        <v>46223</v>
      </c>
      <c r="B3172" s="392" t="s">
        <v>71</v>
      </c>
      <c r="C3172" s="364" t="str">
        <f>VLOOKUP(B3172,'112年全品項生產鍋數'!A:H,2,0)</f>
        <v>＃1草莓(1*3.2kg)</v>
      </c>
      <c r="D3172" s="404">
        <v>68</v>
      </c>
      <c r="E3172" s="48">
        <f>VLOOKUP(B3172,'112年全品項生產鍋數'!A:H,3,0)</f>
        <v>3.2</v>
      </c>
      <c r="F3172" s="142">
        <f>VLOOKUP(B3172,'112年全品項生產鍋數'!A:H,7,0)</f>
        <v>46.8</v>
      </c>
      <c r="G3172" s="143">
        <f t="shared" si="517"/>
        <v>3182.3999999999996</v>
      </c>
      <c r="H3172" s="156">
        <v>3183</v>
      </c>
      <c r="I3172" s="371">
        <f t="shared" si="518"/>
        <v>10185.6</v>
      </c>
      <c r="J3172" s="100">
        <f t="shared" si="519"/>
        <v>1.0001885369532431</v>
      </c>
      <c r="K3172" s="51">
        <f>VLOOKUP(B:B,'生產達成率(目標)'!A:C,3,0)</f>
        <v>1</v>
      </c>
      <c r="L3172" s="20">
        <f t="shared" si="520"/>
        <v>0</v>
      </c>
      <c r="M3172" s="137" t="str">
        <f>工時!R2359</f>
        <v>570</v>
      </c>
      <c r="N3172" s="374"/>
      <c r="O3172" s="374">
        <f t="shared" si="521"/>
        <v>2</v>
      </c>
      <c r="P3172" s="156">
        <v>3181</v>
      </c>
      <c r="Q3172" s="98">
        <f t="shared" si="522"/>
        <v>0.9993716619541313</v>
      </c>
      <c r="R3172" s="371"/>
      <c r="S3172" s="372"/>
      <c r="T3172" s="364" t="s">
        <v>1153</v>
      </c>
      <c r="U3172" s="264"/>
      <c r="V3172" s="264" t="s">
        <v>1849</v>
      </c>
      <c r="W3172" s="424">
        <v>46223</v>
      </c>
      <c r="X3172" s="264" t="s">
        <v>1867</v>
      </c>
      <c r="Y3172" s="424">
        <v>46225</v>
      </c>
      <c r="Z3172" s="424"/>
      <c r="AA3172" s="424" t="s">
        <v>1779</v>
      </c>
      <c r="AB3172" s="424" t="s">
        <v>1783</v>
      </c>
      <c r="AC3172" s="425">
        <f t="shared" si="530"/>
        <v>0</v>
      </c>
      <c r="AD3172" s="425">
        <f t="shared" si="529"/>
        <v>2</v>
      </c>
    </row>
    <row r="3173" spans="1:30" s="361" customFormat="1" x14ac:dyDescent="0.4">
      <c r="A3173" s="402">
        <v>46223</v>
      </c>
      <c r="B3173" s="392" t="s">
        <v>1062</v>
      </c>
      <c r="C3173" s="364" t="str">
        <f>VLOOKUP(B3173,'112年全品項生產鍋數'!A:H,2,0)</f>
        <v>上好佳芒果餡(大)4.5KG</v>
      </c>
      <c r="D3173" s="404">
        <v>8</v>
      </c>
      <c r="E3173" s="48">
        <f>VLOOKUP(B3173,'112年全品項生產鍋數'!A:H,3,0)</f>
        <v>4.5</v>
      </c>
      <c r="F3173" s="142">
        <f>VLOOKUP(B3173,'112年全品項生產鍋數'!A:H,7,0)</f>
        <v>33.200000000000003</v>
      </c>
      <c r="G3173" s="143">
        <f t="shared" si="517"/>
        <v>265.60000000000002</v>
      </c>
      <c r="H3173" s="156">
        <v>271</v>
      </c>
      <c r="I3173" s="371">
        <f t="shared" si="518"/>
        <v>1219.5</v>
      </c>
      <c r="J3173" s="100">
        <f t="shared" si="519"/>
        <v>1.0203313253012047</v>
      </c>
      <c r="K3173" s="51" t="e">
        <f>VLOOKUP(B:B,'生產達成率(目標)'!A:C,3,0)</f>
        <v>#N/A</v>
      </c>
      <c r="L3173" s="20" t="e">
        <f t="shared" si="520"/>
        <v>#N/A</v>
      </c>
      <c r="M3173" s="137" t="str">
        <f>工時!R2360</f>
        <v>210</v>
      </c>
      <c r="N3173" s="374"/>
      <c r="O3173" s="374">
        <f t="shared" si="521"/>
        <v>0</v>
      </c>
      <c r="P3173" s="156">
        <v>271</v>
      </c>
      <c r="Q3173" s="98">
        <f t="shared" si="522"/>
        <v>1</v>
      </c>
      <c r="R3173" s="371"/>
      <c r="S3173" s="372"/>
      <c r="T3173" s="364"/>
      <c r="U3173" s="264"/>
      <c r="V3173" s="264" t="s">
        <v>1847</v>
      </c>
      <c r="W3173" s="424">
        <v>46223</v>
      </c>
      <c r="X3173" s="264" t="s">
        <v>1867</v>
      </c>
      <c r="Y3173" s="424">
        <v>46225</v>
      </c>
      <c r="Z3173" s="424"/>
      <c r="AA3173" s="424">
        <v>46220</v>
      </c>
      <c r="AB3173" s="424">
        <v>46223</v>
      </c>
      <c r="AC3173" s="425">
        <f t="shared" si="530"/>
        <v>0</v>
      </c>
      <c r="AD3173" s="425">
        <f t="shared" si="529"/>
        <v>2</v>
      </c>
    </row>
    <row r="3174" spans="1:30" s="361" customFormat="1" x14ac:dyDescent="0.4">
      <c r="A3174" s="402">
        <v>46223</v>
      </c>
      <c r="B3174" s="392" t="s">
        <v>75</v>
      </c>
      <c r="C3174" s="364" t="str">
        <f>VLOOKUP(B3174,'112年全品項生產鍋數'!A:H,2,0)</f>
        <v>草莓椰果餡(1*6Kg)</v>
      </c>
      <c r="D3174" s="404">
        <v>16</v>
      </c>
      <c r="E3174" s="48">
        <f>VLOOKUP(B3174,'112年全品項生產鍋數'!A:H,3,0)</f>
        <v>6</v>
      </c>
      <c r="F3174" s="142">
        <f>VLOOKUP(B3174,'112年全品項生產鍋數'!A:H,7,0)</f>
        <v>26.4</v>
      </c>
      <c r="G3174" s="143">
        <f t="shared" si="517"/>
        <v>422.4</v>
      </c>
      <c r="H3174" s="156">
        <v>428</v>
      </c>
      <c r="I3174" s="371">
        <f t="shared" si="518"/>
        <v>2568</v>
      </c>
      <c r="J3174" s="100">
        <f t="shared" si="519"/>
        <v>1.0132575757575759</v>
      </c>
      <c r="K3174" s="51">
        <f>VLOOKUP(B:B,'生產達成率(目標)'!A:C,3,0)</f>
        <v>1</v>
      </c>
      <c r="L3174" s="20">
        <f t="shared" si="520"/>
        <v>1.2999999999999999E-2</v>
      </c>
      <c r="M3174" s="137" t="str">
        <f>工時!R2361</f>
        <v>282</v>
      </c>
      <c r="N3174" s="374"/>
      <c r="O3174" s="374">
        <f t="shared" si="521"/>
        <v>0</v>
      </c>
      <c r="P3174" s="156">
        <v>428</v>
      </c>
      <c r="Q3174" s="98">
        <f t="shared" si="522"/>
        <v>1</v>
      </c>
      <c r="R3174" s="371"/>
      <c r="S3174" s="372"/>
      <c r="T3174" s="364"/>
      <c r="U3174" s="264"/>
      <c r="V3174" s="264" t="s">
        <v>1847</v>
      </c>
      <c r="W3174" s="424">
        <v>46223</v>
      </c>
      <c r="X3174" s="264" t="s">
        <v>1867</v>
      </c>
      <c r="Y3174" s="424">
        <v>46224</v>
      </c>
      <c r="Z3174" s="424"/>
      <c r="AA3174" s="424">
        <v>46220</v>
      </c>
      <c r="AB3174" s="424">
        <v>46223</v>
      </c>
      <c r="AC3174" s="425">
        <f t="shared" si="530"/>
        <v>0</v>
      </c>
      <c r="AD3174" s="425">
        <f t="shared" si="529"/>
        <v>1</v>
      </c>
    </row>
    <row r="3175" spans="1:30" s="361" customFormat="1" x14ac:dyDescent="0.4">
      <c r="A3175" s="402">
        <v>46223</v>
      </c>
      <c r="B3175" s="392" t="s">
        <v>63</v>
      </c>
      <c r="C3175" s="364" t="str">
        <f>VLOOKUP(B3175,'112年全品項生產鍋數'!A:H,2,0)</f>
        <v>草莓蒟蒻餡(1*6kg)</v>
      </c>
      <c r="D3175" s="404">
        <v>16</v>
      </c>
      <c r="E3175" s="48">
        <f>VLOOKUP(B3175,'112年全品項生產鍋數'!A:H,3,0)</f>
        <v>6</v>
      </c>
      <c r="F3175" s="142">
        <f>VLOOKUP(B3175,'112年全品項生產鍋數'!A:H,7,0)</f>
        <v>25.7</v>
      </c>
      <c r="G3175" s="143">
        <f t="shared" si="517"/>
        <v>411.2</v>
      </c>
      <c r="H3175" s="156">
        <f>198+213</f>
        <v>411</v>
      </c>
      <c r="I3175" s="371">
        <f t="shared" si="518"/>
        <v>2466</v>
      </c>
      <c r="J3175" s="100">
        <f t="shared" si="519"/>
        <v>0.9995136186770428</v>
      </c>
      <c r="K3175" s="51">
        <f>VLOOKUP(B:B,'生產達成率(目標)'!A:C,3,0)</f>
        <v>1</v>
      </c>
      <c r="L3175" s="20">
        <f t="shared" si="520"/>
        <v>0</v>
      </c>
      <c r="M3175" s="137" t="str">
        <f>工時!R2362</f>
        <v>202</v>
      </c>
      <c r="N3175" s="374"/>
      <c r="O3175" s="374">
        <f t="shared" si="521"/>
        <v>1</v>
      </c>
      <c r="P3175" s="156">
        <f>197+213</f>
        <v>410</v>
      </c>
      <c r="Q3175" s="98">
        <f t="shared" si="522"/>
        <v>0.9975669099756691</v>
      </c>
      <c r="R3175" s="371"/>
      <c r="S3175" s="372"/>
      <c r="T3175" s="364"/>
      <c r="U3175" s="264"/>
      <c r="V3175" s="264" t="s">
        <v>1847</v>
      </c>
      <c r="W3175" s="424">
        <v>46225</v>
      </c>
      <c r="X3175" s="264" t="s">
        <v>1867</v>
      </c>
      <c r="Y3175" s="424">
        <v>46224</v>
      </c>
      <c r="Z3175" s="424"/>
      <c r="AA3175" s="424" t="s">
        <v>1778</v>
      </c>
      <c r="AB3175" s="424" t="s">
        <v>1710</v>
      </c>
      <c r="AC3175" s="425">
        <f t="shared" si="530"/>
        <v>2</v>
      </c>
      <c r="AD3175" s="425">
        <f t="shared" si="529"/>
        <v>1</v>
      </c>
    </row>
    <row r="3176" spans="1:30" s="361" customFormat="1" x14ac:dyDescent="0.4">
      <c r="A3176" s="402">
        <v>46223</v>
      </c>
      <c r="B3176" s="392" t="s">
        <v>65</v>
      </c>
      <c r="C3176" s="364" t="str">
        <f>VLOOKUP(B3176,'112年全品項生產鍋數'!A:H,2,0)</f>
        <v>＃1花生(1*2.8kg)</v>
      </c>
      <c r="D3176" s="404">
        <v>68</v>
      </c>
      <c r="E3176" s="48">
        <f>VLOOKUP(B3176,'112年全品項生產鍋數'!A:H,3,0)</f>
        <v>2.8</v>
      </c>
      <c r="F3176" s="142">
        <f>VLOOKUP(B3176,'112年全品項生產鍋數'!A:H,7,0)</f>
        <v>44.5</v>
      </c>
      <c r="G3176" s="143">
        <f>D3176*F3176-70*18/2.8</f>
        <v>2576</v>
      </c>
      <c r="H3176" s="156">
        <v>2593</v>
      </c>
      <c r="I3176" s="371">
        <f t="shared" si="518"/>
        <v>7260.4</v>
      </c>
      <c r="J3176" s="100">
        <f t="shared" si="519"/>
        <v>1.0065993788819876</v>
      </c>
      <c r="K3176" s="51">
        <f>VLOOKUP(B:B,'生產達成率(目標)'!A:C,3,0)</f>
        <v>1</v>
      </c>
      <c r="L3176" s="20">
        <f t="shared" si="520"/>
        <v>7.0000000000000001E-3</v>
      </c>
      <c r="M3176" s="137" t="str">
        <f>工時!R2363</f>
        <v>500</v>
      </c>
      <c r="N3176" s="374"/>
      <c r="O3176" s="374">
        <f t="shared" si="521"/>
        <v>1</v>
      </c>
      <c r="P3176" s="156">
        <v>2592</v>
      </c>
      <c r="Q3176" s="98">
        <f t="shared" si="522"/>
        <v>0.9996143463170073</v>
      </c>
      <c r="R3176" s="371"/>
      <c r="S3176" s="372"/>
      <c r="T3176" s="364" t="s">
        <v>1774</v>
      </c>
      <c r="U3176" s="264"/>
      <c r="V3176" s="264" t="s">
        <v>1848</v>
      </c>
      <c r="W3176" s="424">
        <v>46223</v>
      </c>
      <c r="X3176" s="264" t="s">
        <v>1848</v>
      </c>
      <c r="Y3176" s="424">
        <v>46223</v>
      </c>
      <c r="Z3176" s="424"/>
      <c r="AA3176" s="424">
        <v>46220</v>
      </c>
      <c r="AB3176" s="424">
        <v>46223</v>
      </c>
      <c r="AC3176" s="425">
        <f t="shared" si="530"/>
        <v>0</v>
      </c>
      <c r="AD3176" s="425">
        <f t="shared" si="529"/>
        <v>0</v>
      </c>
    </row>
    <row r="3177" spans="1:30" s="381" customFormat="1" x14ac:dyDescent="0.4">
      <c r="A3177" s="402">
        <v>46223</v>
      </c>
      <c r="B3177" s="392">
        <v>153010</v>
      </c>
      <c r="C3177" s="375" t="str">
        <f>VLOOKUP(B3177,'112年全品項生產鍋數'!A:H,2,0)</f>
        <v>蜜桔皮6m/m</v>
      </c>
      <c r="D3177" s="406">
        <v>1</v>
      </c>
      <c r="E3177" s="141">
        <f>VLOOKUP(B3177,'112年全品項生產鍋數'!A:H,3,0)</f>
        <v>1</v>
      </c>
      <c r="F3177" s="142">
        <f>VLOOKUP(B3177,'112年全品項生產鍋數'!A:H,7,0)</f>
        <v>591</v>
      </c>
      <c r="G3177" s="143">
        <f t="shared" si="517"/>
        <v>591</v>
      </c>
      <c r="H3177" s="156">
        <v>512</v>
      </c>
      <c r="I3177" s="374">
        <f t="shared" si="518"/>
        <v>512</v>
      </c>
      <c r="J3177" s="100">
        <f t="shared" si="519"/>
        <v>0.86632825719120132</v>
      </c>
      <c r="K3177" s="51">
        <f>VLOOKUP(B:B,'生產達成率(目標)'!A:C,3,0)</f>
        <v>1</v>
      </c>
      <c r="L3177" s="20">
        <f t="shared" si="520"/>
        <v>-0.13400000000000001</v>
      </c>
      <c r="M3177" s="137" t="str">
        <f>工時!R2364</f>
        <v>0</v>
      </c>
      <c r="N3177" s="374"/>
      <c r="O3177" s="374">
        <f t="shared" si="521"/>
        <v>0</v>
      </c>
      <c r="P3177" s="156">
        <v>512</v>
      </c>
      <c r="Q3177" s="145">
        <f t="shared" si="522"/>
        <v>1</v>
      </c>
      <c r="R3177" s="374"/>
      <c r="S3177" s="378"/>
      <c r="T3177" s="375" t="s">
        <v>1153</v>
      </c>
      <c r="U3177" s="398"/>
      <c r="V3177" s="398" t="s">
        <v>1850</v>
      </c>
      <c r="W3177" s="427">
        <v>46224</v>
      </c>
      <c r="X3177" s="264" t="s">
        <v>1710</v>
      </c>
      <c r="Y3177" s="427" t="s">
        <v>1797</v>
      </c>
      <c r="Z3177" s="427"/>
      <c r="AA3177" s="427">
        <v>46220</v>
      </c>
      <c r="AB3177" s="427" t="s">
        <v>1795</v>
      </c>
      <c r="AC3177" s="429">
        <f t="shared" si="530"/>
        <v>1</v>
      </c>
      <c r="AD3177" s="429" t="e">
        <f t="shared" si="529"/>
        <v>#VALUE!</v>
      </c>
    </row>
    <row r="3178" spans="1:30" s="361" customFormat="1" x14ac:dyDescent="0.4">
      <c r="A3178" s="402">
        <v>46224</v>
      </c>
      <c r="B3178" s="392" t="s">
        <v>64</v>
      </c>
      <c r="C3178" s="364" t="str">
        <f>VLOOKUP(B3178,'112年全品項生產鍋數'!A:H,2,0)</f>
        <v>藍莓餡(1*6KG)</v>
      </c>
      <c r="D3178" s="404">
        <v>8</v>
      </c>
      <c r="E3178" s="48">
        <f>VLOOKUP(B3178,'112年全品項生產鍋數'!A:H,3,0)</f>
        <v>6</v>
      </c>
      <c r="F3178" s="142">
        <f>VLOOKUP(B3178,'112年全品項生產鍋數'!A:H,7,0)</f>
        <v>25.4</v>
      </c>
      <c r="G3178" s="143">
        <f t="shared" si="517"/>
        <v>203.2</v>
      </c>
      <c r="H3178" s="156">
        <v>198</v>
      </c>
      <c r="I3178" s="371">
        <f t="shared" si="518"/>
        <v>1188</v>
      </c>
      <c r="J3178" s="100">
        <f t="shared" si="519"/>
        <v>0.97440944881889768</v>
      </c>
      <c r="K3178" s="51">
        <f>VLOOKUP(B:B,'生產達成率(目標)'!A:C,3,0)</f>
        <v>1</v>
      </c>
      <c r="L3178" s="20">
        <f t="shared" si="520"/>
        <v>-2.5999999999999999E-2</v>
      </c>
      <c r="M3178" s="137" t="str">
        <f>工時!R2365</f>
        <v>150</v>
      </c>
      <c r="N3178" s="374"/>
      <c r="O3178" s="374">
        <f t="shared" si="521"/>
        <v>1</v>
      </c>
      <c r="P3178" s="156">
        <v>197</v>
      </c>
      <c r="Q3178" s="98">
        <f t="shared" si="522"/>
        <v>0.99494949494949492</v>
      </c>
      <c r="R3178" s="371"/>
      <c r="S3178" s="372"/>
      <c r="T3178" s="364"/>
      <c r="U3178" s="264"/>
      <c r="V3178" s="264" t="s">
        <v>1849</v>
      </c>
      <c r="W3178" s="424">
        <v>46225</v>
      </c>
      <c r="X3178" s="264" t="s">
        <v>1867</v>
      </c>
      <c r="Y3178" s="424">
        <v>46225</v>
      </c>
      <c r="Z3178" s="424"/>
      <c r="AA3178" s="424">
        <v>46223</v>
      </c>
      <c r="AB3178" s="424">
        <v>46225</v>
      </c>
      <c r="AC3178" s="425">
        <f t="shared" si="530"/>
        <v>1</v>
      </c>
      <c r="AD3178" s="425">
        <f t="shared" si="529"/>
        <v>1</v>
      </c>
    </row>
    <row r="3179" spans="1:30" s="361" customFormat="1" x14ac:dyDescent="0.4">
      <c r="A3179" s="402">
        <v>46224</v>
      </c>
      <c r="B3179" s="392" t="s">
        <v>107</v>
      </c>
      <c r="C3179" s="364" t="str">
        <f>VLOOKUP(B3179,'112年全品項生產鍋數'!A:H,2,0)</f>
        <v>藍莓餡(1*6kg)</v>
      </c>
      <c r="D3179" s="404">
        <v>24</v>
      </c>
      <c r="E3179" s="48">
        <f>VLOOKUP(B3179,'112年全品項生產鍋數'!A:H,3,0)</f>
        <v>6</v>
      </c>
      <c r="F3179" s="142">
        <f>VLOOKUP(B3179,'112年全品項生產鍋數'!A:H,7,0)</f>
        <v>26.4</v>
      </c>
      <c r="G3179" s="143">
        <f t="shared" si="517"/>
        <v>633.59999999999991</v>
      </c>
      <c r="H3179" s="156">
        <v>614</v>
      </c>
      <c r="I3179" s="371">
        <f t="shared" si="518"/>
        <v>3684</v>
      </c>
      <c r="J3179" s="100">
        <f t="shared" si="519"/>
        <v>0.96906565656565669</v>
      </c>
      <c r="K3179" s="51">
        <f>VLOOKUP(B:B,'生產達成率(目標)'!A:C,3,0)</f>
        <v>1</v>
      </c>
      <c r="L3179" s="20">
        <f t="shared" si="520"/>
        <v>-3.1E-2</v>
      </c>
      <c r="M3179" s="137" t="str">
        <f>工時!R2366</f>
        <v>335</v>
      </c>
      <c r="N3179" s="374"/>
      <c r="O3179" s="374">
        <f t="shared" si="521"/>
        <v>1</v>
      </c>
      <c r="P3179" s="156">
        <v>613</v>
      </c>
      <c r="Q3179" s="98">
        <f t="shared" si="522"/>
        <v>0.99837133550488599</v>
      </c>
      <c r="R3179" s="371"/>
      <c r="S3179" s="372"/>
      <c r="T3179" s="364" t="s">
        <v>1153</v>
      </c>
      <c r="U3179" s="264"/>
      <c r="V3179" s="264" t="s">
        <v>1849</v>
      </c>
      <c r="W3179" s="424">
        <v>46225</v>
      </c>
      <c r="X3179" s="264" t="s">
        <v>1867</v>
      </c>
      <c r="Y3179" s="424">
        <v>46225</v>
      </c>
      <c r="Z3179" s="424"/>
      <c r="AA3179" s="424">
        <v>46223</v>
      </c>
      <c r="AB3179" s="424">
        <v>46225</v>
      </c>
      <c r="AC3179" s="425">
        <f t="shared" si="530"/>
        <v>1</v>
      </c>
      <c r="AD3179" s="425">
        <f t="shared" si="529"/>
        <v>1</v>
      </c>
    </row>
    <row r="3180" spans="1:30" s="361" customFormat="1" x14ac:dyDescent="0.4">
      <c r="A3180" s="402">
        <v>46224</v>
      </c>
      <c r="B3180" s="392" t="s">
        <v>53</v>
      </c>
      <c r="C3180" s="364" t="str">
        <f>VLOOKUP(B3180,'112年全品項生產鍋數'!A:H,2,0)</f>
        <v>鳳梨芒果百香果醬(1*6KG)</v>
      </c>
      <c r="D3180" s="404">
        <v>6</v>
      </c>
      <c r="E3180" s="48">
        <f>VLOOKUP(B3180,'112年全品項生產鍋數'!A:H,3,0)</f>
        <v>6</v>
      </c>
      <c r="F3180" s="142">
        <f>VLOOKUP(B3180,'112年全品項生產鍋數'!A:H,7,0)</f>
        <v>25.7</v>
      </c>
      <c r="G3180" s="143">
        <f t="shared" si="517"/>
        <v>154.19999999999999</v>
      </c>
      <c r="H3180" s="156">
        <v>150</v>
      </c>
      <c r="I3180" s="371">
        <f t="shared" si="518"/>
        <v>900</v>
      </c>
      <c r="J3180" s="100">
        <f t="shared" si="519"/>
        <v>0.97276264591439698</v>
      </c>
      <c r="K3180" s="51">
        <f>VLOOKUP(B:B,'生產達成率(目標)'!A:C,3,0)</f>
        <v>1</v>
      </c>
      <c r="L3180" s="20">
        <f t="shared" si="520"/>
        <v>-2.7E-2</v>
      </c>
      <c r="M3180" s="137" t="str">
        <f>工時!R2367</f>
        <v>170</v>
      </c>
      <c r="N3180" s="374"/>
      <c r="O3180" s="374">
        <f t="shared" si="521"/>
        <v>1</v>
      </c>
      <c r="P3180" s="156">
        <v>149</v>
      </c>
      <c r="Q3180" s="98">
        <f t="shared" si="522"/>
        <v>0.99333333333333329</v>
      </c>
      <c r="R3180" s="371"/>
      <c r="S3180" s="372"/>
      <c r="T3180" s="364" t="s">
        <v>1153</v>
      </c>
      <c r="U3180" s="264"/>
      <c r="V3180" s="264" t="s">
        <v>1849</v>
      </c>
      <c r="W3180" s="424">
        <v>46225</v>
      </c>
      <c r="X3180" s="264" t="s">
        <v>1867</v>
      </c>
      <c r="Y3180" s="424">
        <v>46225</v>
      </c>
      <c r="Z3180" s="424"/>
      <c r="AA3180" s="424">
        <v>46223</v>
      </c>
      <c r="AB3180" s="424">
        <v>46225</v>
      </c>
      <c r="AC3180" s="425">
        <f t="shared" si="530"/>
        <v>1</v>
      </c>
      <c r="AD3180" s="425">
        <f t="shared" si="529"/>
        <v>1</v>
      </c>
    </row>
    <row r="3181" spans="1:30" s="361" customFormat="1" x14ac:dyDescent="0.4">
      <c r="A3181" s="402">
        <v>46224</v>
      </c>
      <c r="B3181" s="392" t="s">
        <v>108</v>
      </c>
      <c r="C3181" s="364" t="str">
        <f>VLOOKUP(B3181,'112年全品項生產鍋數'!A:H,2,0)</f>
        <v>顆粒花生醬(1*12KG)</v>
      </c>
      <c r="D3181" s="404">
        <v>21</v>
      </c>
      <c r="E3181" s="48">
        <f>VLOOKUP(B3181,'112年全品項生產鍋數'!A:H,3,0)</f>
        <v>3</v>
      </c>
      <c r="F3181" s="142">
        <f>VLOOKUP(B3181,'112年全品項生產鍋數'!A:H,7,0)</f>
        <v>31.6</v>
      </c>
      <c r="G3181" s="143">
        <f t="shared" si="517"/>
        <v>663.6</v>
      </c>
      <c r="H3181" s="156">
        <v>668</v>
      </c>
      <c r="I3181" s="371">
        <f t="shared" si="518"/>
        <v>2004</v>
      </c>
      <c r="J3181" s="100">
        <f t="shared" si="519"/>
        <v>1.0066305003013862</v>
      </c>
      <c r="K3181" s="51">
        <f>VLOOKUP(B:B,'生產達成率(目標)'!A:C,3,0)</f>
        <v>1</v>
      </c>
      <c r="L3181" s="20">
        <f t="shared" si="520"/>
        <v>7.0000000000000001E-3</v>
      </c>
      <c r="M3181" s="137" t="str">
        <f>工時!R2368</f>
        <v>540</v>
      </c>
      <c r="N3181" s="374"/>
      <c r="O3181" s="374">
        <f t="shared" si="521"/>
        <v>0</v>
      </c>
      <c r="P3181" s="156">
        <v>668</v>
      </c>
      <c r="Q3181" s="98">
        <f t="shared" si="522"/>
        <v>1</v>
      </c>
      <c r="R3181" s="371"/>
      <c r="S3181" s="372"/>
      <c r="T3181" s="364" t="s">
        <v>1153</v>
      </c>
      <c r="U3181" s="264"/>
      <c r="V3181" s="264" t="s">
        <v>1847</v>
      </c>
      <c r="W3181" s="424">
        <v>46224</v>
      </c>
      <c r="X3181" s="264" t="s">
        <v>1867</v>
      </c>
      <c r="Y3181" s="424">
        <v>46224</v>
      </c>
      <c r="Z3181" s="424"/>
      <c r="AA3181" s="424">
        <v>46220</v>
      </c>
      <c r="AB3181" s="424">
        <v>46224</v>
      </c>
      <c r="AC3181" s="425">
        <f t="shared" si="530"/>
        <v>0</v>
      </c>
      <c r="AD3181" s="425">
        <f t="shared" si="529"/>
        <v>0</v>
      </c>
    </row>
    <row r="3182" spans="1:30" s="361" customFormat="1" x14ac:dyDescent="0.4">
      <c r="A3182" s="402">
        <v>46224</v>
      </c>
      <c r="B3182" s="392" t="s">
        <v>58</v>
      </c>
      <c r="C3182" s="364" t="str">
        <f>VLOOKUP(B3182,'112年全品項生產鍋數'!A:H,2,0)</f>
        <v>PET大花生(1*400g)</v>
      </c>
      <c r="D3182" s="404">
        <v>24</v>
      </c>
      <c r="E3182" s="48">
        <f>VLOOKUP(B3182,'112年全品項生產鍋數'!A:H,3,0)</f>
        <v>0.4</v>
      </c>
      <c r="F3182" s="142">
        <f>VLOOKUP(B3182,'112年全品項生產鍋數'!A:H,7,0)</f>
        <v>309.2</v>
      </c>
      <c r="G3182" s="143">
        <f t="shared" si="517"/>
        <v>7420.7999999999993</v>
      </c>
      <c r="H3182" s="156">
        <v>7389</v>
      </c>
      <c r="I3182" s="371">
        <f t="shared" si="518"/>
        <v>2955.6000000000004</v>
      </c>
      <c r="J3182" s="100">
        <f t="shared" si="519"/>
        <v>0.99571474773609325</v>
      </c>
      <c r="K3182" s="51">
        <f>VLOOKUP(B:B,'生產達成率(目標)'!A:C,3,0)</f>
        <v>1</v>
      </c>
      <c r="L3182" s="20">
        <f t="shared" si="520"/>
        <v>-4.0000000000000001E-3</v>
      </c>
      <c r="M3182" s="137" t="str">
        <f>工時!R2369</f>
        <v>295</v>
      </c>
      <c r="N3182" s="374"/>
      <c r="O3182" s="374">
        <f t="shared" si="521"/>
        <v>3</v>
      </c>
      <c r="P3182" s="156">
        <v>7386</v>
      </c>
      <c r="Q3182" s="98">
        <f t="shared" si="522"/>
        <v>0.99959399106780344</v>
      </c>
      <c r="R3182" s="371"/>
      <c r="S3182" s="372"/>
      <c r="T3182" s="364" t="s">
        <v>1153</v>
      </c>
      <c r="U3182" s="264"/>
      <c r="V3182" s="264" t="s">
        <v>1848</v>
      </c>
      <c r="W3182" s="424">
        <v>46224</v>
      </c>
      <c r="X3182" s="264" t="s">
        <v>1848</v>
      </c>
      <c r="Y3182" s="424">
        <v>46224</v>
      </c>
      <c r="Z3182" s="424"/>
      <c r="AA3182" s="424">
        <v>46223</v>
      </c>
      <c r="AB3182" s="424">
        <v>46224</v>
      </c>
      <c r="AC3182" s="425">
        <f t="shared" si="530"/>
        <v>0</v>
      </c>
      <c r="AD3182" s="425">
        <f t="shared" si="529"/>
        <v>0</v>
      </c>
    </row>
    <row r="3183" spans="1:30" s="361" customFormat="1" x14ac:dyDescent="0.4">
      <c r="A3183" s="402">
        <v>46224</v>
      </c>
      <c r="B3183" s="392" t="s">
        <v>131</v>
      </c>
      <c r="C3183" s="364" t="str">
        <f>VLOOKUP(B3183,'112年全品項生產鍋數'!A:H,2,0)</f>
        <v>花生醬(1*18KG)</v>
      </c>
      <c r="D3183" s="404">
        <v>32</v>
      </c>
      <c r="E3183" s="48">
        <f>VLOOKUP(B3183,'112年全品項生產鍋數'!A:H,3,0)</f>
        <v>18</v>
      </c>
      <c r="F3183" s="142">
        <f>VLOOKUP(B3183,'112年全品項生產鍋數'!A:H,7,0)</f>
        <v>6.9</v>
      </c>
      <c r="G3183" s="143">
        <f t="shared" si="517"/>
        <v>220.8</v>
      </c>
      <c r="H3183" s="156">
        <v>225</v>
      </c>
      <c r="I3183" s="371">
        <f t="shared" si="518"/>
        <v>4050</v>
      </c>
      <c r="J3183" s="100">
        <f t="shared" si="519"/>
        <v>1.0190217391304348</v>
      </c>
      <c r="K3183" s="51">
        <f>VLOOKUP(B:B,'生產達成率(目標)'!A:C,3,0)</f>
        <v>1</v>
      </c>
      <c r="L3183" s="20">
        <f t="shared" si="520"/>
        <v>1.9E-2</v>
      </c>
      <c r="M3183" s="137" t="str">
        <f>工時!R2370</f>
        <v>315</v>
      </c>
      <c r="N3183" s="374"/>
      <c r="O3183" s="374">
        <f t="shared" si="521"/>
        <v>0</v>
      </c>
      <c r="P3183" s="156">
        <v>225</v>
      </c>
      <c r="Q3183" s="98">
        <f t="shared" si="522"/>
        <v>1</v>
      </c>
      <c r="R3183" s="371"/>
      <c r="S3183" s="372"/>
      <c r="T3183" s="364" t="s">
        <v>1153</v>
      </c>
      <c r="U3183" s="264"/>
      <c r="V3183" s="264" t="s">
        <v>1848</v>
      </c>
      <c r="W3183" s="424">
        <v>46224</v>
      </c>
      <c r="X3183" s="264" t="s">
        <v>1710</v>
      </c>
      <c r="Y3183" s="424" t="s">
        <v>1781</v>
      </c>
      <c r="Z3183" s="424"/>
      <c r="AA3183" s="424">
        <v>46223</v>
      </c>
      <c r="AB3183" s="424">
        <v>46224</v>
      </c>
      <c r="AC3183" s="425">
        <f t="shared" si="530"/>
        <v>0</v>
      </c>
      <c r="AD3183" s="425">
        <v>0</v>
      </c>
    </row>
    <row r="3184" spans="1:30" s="361" customFormat="1" ht="15.75" customHeight="1" x14ac:dyDescent="0.4">
      <c r="A3184" s="402">
        <v>46225</v>
      </c>
      <c r="B3184" s="392" t="s">
        <v>61</v>
      </c>
      <c r="C3184" s="364" t="str">
        <f>VLOOKUP(B3184,'112年全品項生產鍋數'!A:H,2,0)</f>
        <v>大圓草莓-新</v>
      </c>
      <c r="D3184" s="404">
        <v>40</v>
      </c>
      <c r="E3184" s="48">
        <f>VLOOKUP(B3184,'112年全品項生產鍋數'!A:H,3,0)</f>
        <v>0.44</v>
      </c>
      <c r="F3184" s="142">
        <f>VLOOKUP(B3184,'112年全品項生產鍋數'!A:H,7,0)</f>
        <v>344</v>
      </c>
      <c r="G3184" s="143">
        <f t="shared" si="517"/>
        <v>13760</v>
      </c>
      <c r="H3184" s="156">
        <v>13357</v>
      </c>
      <c r="I3184" s="371">
        <f t="shared" si="518"/>
        <v>5877.08</v>
      </c>
      <c r="J3184" s="100">
        <f t="shared" si="519"/>
        <v>0.9707122093023256</v>
      </c>
      <c r="K3184" s="51">
        <f>VLOOKUP(B:B,'生產達成率(目標)'!A:C,3,0)</f>
        <v>1</v>
      </c>
      <c r="L3184" s="20">
        <f t="shared" si="520"/>
        <v>-2.9000000000000001E-2</v>
      </c>
      <c r="M3184" s="137" t="str">
        <f>工時!R2371</f>
        <v>570</v>
      </c>
      <c r="N3184" s="374"/>
      <c r="O3184" s="374">
        <f t="shared" si="521"/>
        <v>15</v>
      </c>
      <c r="P3184" s="156">
        <v>13342</v>
      </c>
      <c r="Q3184" s="98">
        <f t="shared" si="522"/>
        <v>0.99887699333682711</v>
      </c>
      <c r="R3184" s="371"/>
      <c r="S3184" s="372"/>
      <c r="T3184" s="364"/>
      <c r="U3184" s="264"/>
      <c r="V3184" s="264" t="s">
        <v>1849</v>
      </c>
      <c r="W3184" s="424">
        <v>46225</v>
      </c>
      <c r="X3184" s="264" t="s">
        <v>1867</v>
      </c>
      <c r="Y3184" s="424">
        <v>46227</v>
      </c>
      <c r="Z3184" s="424"/>
      <c r="AA3184" s="424">
        <v>46223</v>
      </c>
      <c r="AB3184" s="424">
        <v>46226</v>
      </c>
      <c r="AC3184" s="425">
        <f t="shared" si="530"/>
        <v>0</v>
      </c>
      <c r="AD3184" s="425">
        <f t="shared" ref="AD3184:AD3200" si="531" xml:space="preserve"> IF((Y3184-A3184)&lt;0,"未收到",Y3184-A3184)</f>
        <v>2</v>
      </c>
    </row>
    <row r="3185" spans="1:30" s="361" customFormat="1" x14ac:dyDescent="0.4">
      <c r="A3185" s="402">
        <v>46225</v>
      </c>
      <c r="B3185" s="392" t="s">
        <v>81</v>
      </c>
      <c r="C3185" s="364" t="str">
        <f>VLOOKUP(B3185,'112年全品項生產鍋數'!A:H,2,0)</f>
        <v>藍莓餡(1*6Kg)</v>
      </c>
      <c r="D3185" s="404">
        <v>16</v>
      </c>
      <c r="E3185" s="48">
        <f>VLOOKUP(B3185,'112年全品項生產鍋數'!A:H,3,0)</f>
        <v>6</v>
      </c>
      <c r="F3185" s="142">
        <f>VLOOKUP(B3185,'112年全品項生產鍋數'!A:H,7,0)</f>
        <v>25.1</v>
      </c>
      <c r="G3185" s="143">
        <f t="shared" si="517"/>
        <v>401.6</v>
      </c>
      <c r="H3185" s="156">
        <v>404</v>
      </c>
      <c r="I3185" s="371">
        <f t="shared" si="518"/>
        <v>2424</v>
      </c>
      <c r="J3185" s="100">
        <f t="shared" si="519"/>
        <v>1.0059760956175299</v>
      </c>
      <c r="K3185" s="51">
        <f>VLOOKUP(B:B,'生產達成率(目標)'!A:C,3,0)</f>
        <v>1</v>
      </c>
      <c r="L3185" s="20">
        <f t="shared" si="520"/>
        <v>6.0000000000000001E-3</v>
      </c>
      <c r="M3185" s="137" t="str">
        <f>工時!R2372</f>
        <v>230</v>
      </c>
      <c r="N3185" s="374"/>
      <c r="O3185" s="374">
        <f t="shared" si="521"/>
        <v>2</v>
      </c>
      <c r="P3185" s="156">
        <v>402</v>
      </c>
      <c r="Q3185" s="98">
        <f t="shared" si="522"/>
        <v>0.99504950495049505</v>
      </c>
      <c r="R3185" s="371"/>
      <c r="S3185" s="372"/>
      <c r="T3185" s="364" t="s">
        <v>1153</v>
      </c>
      <c r="U3185" s="264"/>
      <c r="V3185" s="264" t="s">
        <v>1847</v>
      </c>
      <c r="W3185" s="424">
        <v>46225</v>
      </c>
      <c r="X3185" s="264" t="s">
        <v>1867</v>
      </c>
      <c r="Y3185" s="424">
        <v>46226</v>
      </c>
      <c r="Z3185" s="424"/>
      <c r="AA3185" s="424">
        <v>46223</v>
      </c>
      <c r="AB3185" s="424">
        <v>46225</v>
      </c>
      <c r="AC3185" s="425">
        <f t="shared" si="530"/>
        <v>0</v>
      </c>
      <c r="AD3185" s="425">
        <f t="shared" si="531"/>
        <v>1</v>
      </c>
    </row>
    <row r="3186" spans="1:30" s="361" customFormat="1" x14ac:dyDescent="0.4">
      <c r="A3186" s="402">
        <v>46225</v>
      </c>
      <c r="B3186" s="392" t="s">
        <v>63</v>
      </c>
      <c r="C3186" s="364" t="str">
        <f>VLOOKUP(B3186,'112年全品項生產鍋數'!A:H,2,0)</f>
        <v>草莓蒟蒻餡(1*6kg)</v>
      </c>
      <c r="D3186" s="404">
        <v>24</v>
      </c>
      <c r="E3186" s="48">
        <f>VLOOKUP(B3186,'112年全品項生產鍋數'!A:H,3,0)</f>
        <v>6</v>
      </c>
      <c r="F3186" s="142">
        <f>VLOOKUP(B3186,'112年全品項生產鍋數'!A:H,7,0)</f>
        <v>25.7</v>
      </c>
      <c r="G3186" s="143">
        <f t="shared" si="517"/>
        <v>616.79999999999995</v>
      </c>
      <c r="H3186" s="156">
        <f>291+319</f>
        <v>610</v>
      </c>
      <c r="I3186" s="371">
        <f t="shared" si="518"/>
        <v>3660</v>
      </c>
      <c r="J3186" s="100">
        <f t="shared" si="519"/>
        <v>0.98897535667963687</v>
      </c>
      <c r="K3186" s="51">
        <f>VLOOKUP(B:B,'生產達成率(目標)'!A:C,3,0)</f>
        <v>1</v>
      </c>
      <c r="L3186" s="20">
        <f t="shared" si="520"/>
        <v>-1.0999999999999999E-2</v>
      </c>
      <c r="M3186" s="137" t="str">
        <f>工時!R2373</f>
        <v>320</v>
      </c>
      <c r="N3186" s="374"/>
      <c r="O3186" s="374">
        <f t="shared" si="521"/>
        <v>2</v>
      </c>
      <c r="P3186" s="156">
        <f>290+318</f>
        <v>608</v>
      </c>
      <c r="Q3186" s="98">
        <f t="shared" si="522"/>
        <v>0.99672131147540988</v>
      </c>
      <c r="R3186" s="371"/>
      <c r="S3186" s="372"/>
      <c r="T3186" s="364"/>
      <c r="U3186" s="264"/>
      <c r="V3186" s="264" t="s">
        <v>1847</v>
      </c>
      <c r="W3186" s="424">
        <v>46226</v>
      </c>
      <c r="X3186" s="264" t="s">
        <v>1867</v>
      </c>
      <c r="Y3186" s="424">
        <v>46226</v>
      </c>
      <c r="Z3186" s="424"/>
      <c r="AA3186" s="424" t="s">
        <v>1780</v>
      </c>
      <c r="AB3186" s="424" t="s">
        <v>1784</v>
      </c>
      <c r="AC3186" s="425">
        <f t="shared" si="530"/>
        <v>1</v>
      </c>
      <c r="AD3186" s="425">
        <f t="shared" si="531"/>
        <v>1</v>
      </c>
    </row>
    <row r="3187" spans="1:30" s="361" customFormat="1" x14ac:dyDescent="0.4">
      <c r="A3187" s="402">
        <v>46225</v>
      </c>
      <c r="B3187" s="392" t="s">
        <v>65</v>
      </c>
      <c r="C3187" s="364" t="str">
        <f>VLOOKUP(B3187,'112年全品項生產鍋數'!A:H,2,0)</f>
        <v>＃1花生(1*2.8kg)</v>
      </c>
      <c r="D3187" s="404">
        <v>68</v>
      </c>
      <c r="E3187" s="48">
        <f>VLOOKUP(B3187,'112年全品項生產鍋數'!A:H,3,0)</f>
        <v>2.8</v>
      </c>
      <c r="F3187" s="142">
        <f>VLOOKUP(B3187,'112年全品項生產鍋數'!A:H,7,0)</f>
        <v>44.5</v>
      </c>
      <c r="G3187" s="143">
        <f t="shared" si="517"/>
        <v>3026</v>
      </c>
      <c r="H3187" s="156">
        <v>3038</v>
      </c>
      <c r="I3187" s="371">
        <f t="shared" si="518"/>
        <v>8506.4</v>
      </c>
      <c r="J3187" s="100">
        <f t="shared" si="519"/>
        <v>1.0039656311962988</v>
      </c>
      <c r="K3187" s="51">
        <f>VLOOKUP(B:B,'生產達成率(目標)'!A:C,3,0)</f>
        <v>1</v>
      </c>
      <c r="L3187" s="20">
        <f t="shared" si="520"/>
        <v>4.0000000000000001E-3</v>
      </c>
      <c r="M3187" s="137" t="str">
        <f>工時!R2374</f>
        <v>500</v>
      </c>
      <c r="N3187" s="374"/>
      <c r="O3187" s="374">
        <f t="shared" si="521"/>
        <v>1</v>
      </c>
      <c r="P3187" s="156">
        <v>3037</v>
      </c>
      <c r="Q3187" s="98">
        <f t="shared" si="522"/>
        <v>0.99967083607636598</v>
      </c>
      <c r="R3187" s="371"/>
      <c r="S3187" s="372"/>
      <c r="T3187" s="364" t="s">
        <v>1153</v>
      </c>
      <c r="U3187" s="264"/>
      <c r="V3187" s="264" t="s">
        <v>1848</v>
      </c>
      <c r="W3187" s="424">
        <v>46225</v>
      </c>
      <c r="X3187" s="264" t="s">
        <v>1848</v>
      </c>
      <c r="Y3187" s="424">
        <v>46225</v>
      </c>
      <c r="Z3187" s="424"/>
      <c r="AA3187" s="424">
        <v>46224</v>
      </c>
      <c r="AB3187" s="424">
        <v>46225</v>
      </c>
      <c r="AC3187" s="425">
        <f t="shared" si="530"/>
        <v>0</v>
      </c>
      <c r="AD3187" s="425">
        <f t="shared" si="531"/>
        <v>0</v>
      </c>
    </row>
    <row r="3188" spans="1:30" s="361" customFormat="1" x14ac:dyDescent="0.4">
      <c r="A3188" s="402">
        <v>46226</v>
      </c>
      <c r="B3188" s="392" t="s">
        <v>51</v>
      </c>
      <c r="C3188" s="364" t="str">
        <f>VLOOKUP(B3188,'112年全品項生產鍋數'!A:H,2,0)</f>
        <v>藍莓醬(1*6kg)</v>
      </c>
      <c r="D3188" s="404">
        <v>12</v>
      </c>
      <c r="E3188" s="48">
        <f>VLOOKUP(B3188,'112年全品項生產鍋數'!A:H,3,0)</f>
        <v>6</v>
      </c>
      <c r="F3188" s="142">
        <f>VLOOKUP(B3188,'112年全品項生產鍋數'!A:H,7,0)</f>
        <v>25.5</v>
      </c>
      <c r="G3188" s="143">
        <f t="shared" si="517"/>
        <v>306</v>
      </c>
      <c r="H3188" s="156">
        <v>299</v>
      </c>
      <c r="I3188" s="371">
        <f t="shared" si="518"/>
        <v>1794</v>
      </c>
      <c r="J3188" s="100">
        <f t="shared" si="519"/>
        <v>0.97712418300653592</v>
      </c>
      <c r="K3188" s="51">
        <f>VLOOKUP(B:B,'生產達成率(目標)'!A:C,3,0)</f>
        <v>1</v>
      </c>
      <c r="L3188" s="20">
        <f t="shared" si="520"/>
        <v>-2.3E-2</v>
      </c>
      <c r="M3188" s="137" t="str">
        <f>工時!R2375</f>
        <v>198</v>
      </c>
      <c r="N3188" s="374"/>
      <c r="O3188" s="374">
        <f t="shared" si="521"/>
        <v>1</v>
      </c>
      <c r="P3188" s="156">
        <v>298</v>
      </c>
      <c r="Q3188" s="98">
        <f t="shared" si="522"/>
        <v>0.99665551839464883</v>
      </c>
      <c r="R3188" s="371"/>
      <c r="S3188" s="372"/>
      <c r="T3188" s="364" t="s">
        <v>1153</v>
      </c>
      <c r="U3188" s="264"/>
      <c r="V3188" s="264" t="s">
        <v>1849</v>
      </c>
      <c r="W3188" s="424">
        <v>46226</v>
      </c>
      <c r="X3188" s="264" t="s">
        <v>1867</v>
      </c>
      <c r="Y3188" s="424">
        <v>46227</v>
      </c>
      <c r="Z3188" s="424"/>
      <c r="AA3188" s="424">
        <v>46225</v>
      </c>
      <c r="AB3188" s="424">
        <v>46226</v>
      </c>
      <c r="AC3188" s="425">
        <f t="shared" si="530"/>
        <v>0</v>
      </c>
      <c r="AD3188" s="425">
        <f t="shared" si="531"/>
        <v>1</v>
      </c>
    </row>
    <row r="3189" spans="1:30" s="361" customFormat="1" x14ac:dyDescent="0.4">
      <c r="A3189" s="402">
        <v>46226</v>
      </c>
      <c r="B3189" s="392" t="s">
        <v>54</v>
      </c>
      <c r="C3189" s="364" t="str">
        <f>VLOOKUP(B3189,'112年全品項生產鍋數'!A:H,2,0)</f>
        <v>草莓醬(1*6kg)</v>
      </c>
      <c r="D3189" s="404">
        <v>16</v>
      </c>
      <c r="E3189" s="48">
        <f>VLOOKUP(B3189,'112年全品項生產鍋數'!A:H,3,0)</f>
        <v>6</v>
      </c>
      <c r="F3189" s="142">
        <f>VLOOKUP(B3189,'112年全品項生產鍋數'!A:H,7,0)</f>
        <v>26.6</v>
      </c>
      <c r="G3189" s="143">
        <f t="shared" si="517"/>
        <v>425.6</v>
      </c>
      <c r="H3189" s="156">
        <v>417</v>
      </c>
      <c r="I3189" s="371">
        <f t="shared" si="518"/>
        <v>2502</v>
      </c>
      <c r="J3189" s="100">
        <f t="shared" si="519"/>
        <v>0.97979323308270672</v>
      </c>
      <c r="K3189" s="51">
        <f>VLOOKUP(B:B,'生產達成率(目標)'!A:C,3,0)</f>
        <v>1</v>
      </c>
      <c r="L3189" s="20">
        <f t="shared" si="520"/>
        <v>-0.02</v>
      </c>
      <c r="M3189" s="137" t="str">
        <f>工時!R2376</f>
        <v>240</v>
      </c>
      <c r="N3189" s="374"/>
      <c r="O3189" s="374">
        <f t="shared" si="521"/>
        <v>2</v>
      </c>
      <c r="P3189" s="156">
        <v>415</v>
      </c>
      <c r="Q3189" s="98">
        <f t="shared" si="522"/>
        <v>0.99520383693045567</v>
      </c>
      <c r="R3189" s="371"/>
      <c r="S3189" s="372"/>
      <c r="T3189" s="364" t="s">
        <v>1153</v>
      </c>
      <c r="U3189" s="264"/>
      <c r="V3189" s="264" t="s">
        <v>1849</v>
      </c>
      <c r="W3189" s="424">
        <v>46226</v>
      </c>
      <c r="X3189" s="264" t="s">
        <v>1867</v>
      </c>
      <c r="Y3189" s="424">
        <v>46227</v>
      </c>
      <c r="Z3189" s="424"/>
      <c r="AA3189" s="424">
        <v>46225</v>
      </c>
      <c r="AB3189" s="424">
        <v>46226</v>
      </c>
      <c r="AC3189" s="425">
        <f t="shared" si="530"/>
        <v>0</v>
      </c>
      <c r="AD3189" s="425">
        <f t="shared" si="531"/>
        <v>1</v>
      </c>
    </row>
    <row r="3190" spans="1:30" s="361" customFormat="1" x14ac:dyDescent="0.4">
      <c r="A3190" s="402">
        <v>46226</v>
      </c>
      <c r="B3190" s="392" t="s">
        <v>109</v>
      </c>
      <c r="C3190" s="364" t="str">
        <f>VLOOKUP(B3190,'112年全品項生產鍋數'!A:H,2,0)</f>
        <v>蔓越莓醬(1*6KG)</v>
      </c>
      <c r="D3190" s="404">
        <v>12</v>
      </c>
      <c r="E3190" s="48">
        <f>VLOOKUP(B3190,'112年全品項生產鍋數'!A:H,3,0)</f>
        <v>6</v>
      </c>
      <c r="F3190" s="142">
        <f>VLOOKUP(B3190,'112年全品項生產鍋數'!A:H,7,0)</f>
        <v>25.6</v>
      </c>
      <c r="G3190" s="143">
        <f t="shared" ref="G3190:G3243" si="532">D3190*F3190</f>
        <v>307.20000000000005</v>
      </c>
      <c r="H3190" s="156">
        <v>307</v>
      </c>
      <c r="I3190" s="371">
        <f t="shared" ref="I3190:I3243" si="533">H3190*E3190</f>
        <v>1842</v>
      </c>
      <c r="J3190" s="100">
        <f t="shared" ref="J3190:J3243" si="534">IF(G3190=0,"無法預估數據",H3190/G3190)</f>
        <v>0.99934895833333315</v>
      </c>
      <c r="K3190" s="51">
        <f>VLOOKUP(B:B,'生產達成率(目標)'!A:C,3,0)</f>
        <v>1</v>
      </c>
      <c r="L3190" s="20">
        <f t="shared" ref="L3190:L3243" si="535">IF(G3190=0,"無法預估數據",ROUND(J3190-K3190,3))</f>
        <v>-1E-3</v>
      </c>
      <c r="M3190" s="137" t="str">
        <f>工時!R2377</f>
        <v>225</v>
      </c>
      <c r="N3190" s="374"/>
      <c r="O3190" s="374">
        <f t="shared" ref="O3190:O3243" si="536">H3190-N3190-P3190</f>
        <v>2</v>
      </c>
      <c r="P3190" s="156">
        <v>305</v>
      </c>
      <c r="Q3190" s="98">
        <f t="shared" ref="Q3190:Q3243" si="537">P3190/H3190</f>
        <v>0.99348534201954397</v>
      </c>
      <c r="R3190" s="371"/>
      <c r="S3190" s="372"/>
      <c r="T3190" s="364" t="s">
        <v>1153</v>
      </c>
      <c r="U3190" s="264"/>
      <c r="V3190" s="264" t="s">
        <v>1849</v>
      </c>
      <c r="W3190" s="424">
        <v>46226</v>
      </c>
      <c r="X3190" s="264" t="s">
        <v>1867</v>
      </c>
      <c r="Y3190" s="424">
        <v>46227</v>
      </c>
      <c r="Z3190" s="424"/>
      <c r="AA3190" s="424">
        <v>46225</v>
      </c>
      <c r="AB3190" s="424">
        <v>46226</v>
      </c>
      <c r="AC3190" s="425">
        <f t="shared" si="530"/>
        <v>0</v>
      </c>
      <c r="AD3190" s="425">
        <f t="shared" si="531"/>
        <v>1</v>
      </c>
    </row>
    <row r="3191" spans="1:30" s="361" customFormat="1" x14ac:dyDescent="0.4">
      <c r="A3191" s="402">
        <v>46226</v>
      </c>
      <c r="B3191" s="392" t="s">
        <v>118</v>
      </c>
      <c r="C3191" s="364" t="str">
        <f>VLOOKUP(B3191,'112年全品項生產鍋數'!A:H,2,0)</f>
        <v>草莓餡(1*4.5kg)</v>
      </c>
      <c r="D3191" s="404">
        <v>4</v>
      </c>
      <c r="E3191" s="48">
        <f>VLOOKUP(B3191,'112年全品項生產鍋數'!A:H,3,0)</f>
        <v>4.5</v>
      </c>
      <c r="F3191" s="142">
        <f>VLOOKUP(B3191,'112年全品項生產鍋數'!A:H,7,0)</f>
        <v>34.5</v>
      </c>
      <c r="G3191" s="143">
        <f t="shared" si="532"/>
        <v>138</v>
      </c>
      <c r="H3191" s="156">
        <v>136</v>
      </c>
      <c r="I3191" s="371">
        <f t="shared" si="533"/>
        <v>612</v>
      </c>
      <c r="J3191" s="100">
        <f t="shared" si="534"/>
        <v>0.98550724637681164</v>
      </c>
      <c r="K3191" s="51">
        <f>VLOOKUP(B:B,'生產達成率(目標)'!A:C,3,0)</f>
        <v>1</v>
      </c>
      <c r="L3191" s="20">
        <f t="shared" si="535"/>
        <v>-1.4E-2</v>
      </c>
      <c r="M3191" s="137" t="str">
        <f>工時!R2378</f>
        <v>130</v>
      </c>
      <c r="N3191" s="374"/>
      <c r="O3191" s="374">
        <f t="shared" si="536"/>
        <v>0</v>
      </c>
      <c r="P3191" s="156">
        <v>136</v>
      </c>
      <c r="Q3191" s="98">
        <f t="shared" si="537"/>
        <v>1</v>
      </c>
      <c r="R3191" s="371"/>
      <c r="S3191" s="372"/>
      <c r="T3191" s="364" t="s">
        <v>1153</v>
      </c>
      <c r="U3191" s="264"/>
      <c r="V3191" s="264" t="s">
        <v>1847</v>
      </c>
      <c r="W3191" s="424">
        <v>46226</v>
      </c>
      <c r="X3191" s="264" t="s">
        <v>1867</v>
      </c>
      <c r="Y3191" s="424">
        <v>46227</v>
      </c>
      <c r="Z3191" s="424"/>
      <c r="AA3191" s="424">
        <v>46225</v>
      </c>
      <c r="AB3191" s="424">
        <v>46226</v>
      </c>
      <c r="AC3191" s="425">
        <f t="shared" si="530"/>
        <v>0</v>
      </c>
      <c r="AD3191" s="425">
        <f t="shared" si="531"/>
        <v>1</v>
      </c>
    </row>
    <row r="3192" spans="1:30" s="361" customFormat="1" x14ac:dyDescent="0.4">
      <c r="A3192" s="402">
        <v>46226</v>
      </c>
      <c r="B3192" s="392" t="s">
        <v>1698</v>
      </c>
      <c r="C3192" s="364" t="str">
        <f>VLOOKUP(B3192,'112年全品項生產鍋數'!A:H,2,0)</f>
        <v>上好佳草莓餡4.5KG</v>
      </c>
      <c r="D3192" s="404">
        <v>20</v>
      </c>
      <c r="E3192" s="48">
        <f>VLOOKUP(B3192,'112年全品項生產鍋數'!A:H,3,0)</f>
        <v>4.5</v>
      </c>
      <c r="F3192" s="142">
        <f>VLOOKUP(B3192,'112年全品項生產鍋數'!A:H,7,0)</f>
        <v>36.299999999999997</v>
      </c>
      <c r="G3192" s="143">
        <f t="shared" si="532"/>
        <v>726</v>
      </c>
      <c r="H3192" s="156">
        <v>730</v>
      </c>
      <c r="I3192" s="371">
        <f t="shared" si="533"/>
        <v>3285</v>
      </c>
      <c r="J3192" s="100">
        <f t="shared" si="534"/>
        <v>1.0055096418732783</v>
      </c>
      <c r="K3192" s="51">
        <f>VLOOKUP(B:B,'生產達成率(目標)'!A:C,3,0)</f>
        <v>1</v>
      </c>
      <c r="L3192" s="20">
        <f t="shared" si="535"/>
        <v>6.0000000000000001E-3</v>
      </c>
      <c r="M3192" s="137" t="str">
        <f>工時!R2379</f>
        <v>380</v>
      </c>
      <c r="N3192" s="374"/>
      <c r="O3192" s="374">
        <f t="shared" si="536"/>
        <v>0</v>
      </c>
      <c r="P3192" s="156">
        <v>730</v>
      </c>
      <c r="Q3192" s="98">
        <f t="shared" si="537"/>
        <v>1</v>
      </c>
      <c r="R3192" s="371"/>
      <c r="S3192" s="372"/>
      <c r="T3192" s="364"/>
      <c r="U3192" s="264"/>
      <c r="V3192" s="264" t="s">
        <v>1847</v>
      </c>
      <c r="W3192" s="424">
        <v>46232</v>
      </c>
      <c r="X3192" s="264" t="s">
        <v>1867</v>
      </c>
      <c r="Y3192" s="424">
        <v>46227</v>
      </c>
      <c r="Z3192" s="424"/>
      <c r="AA3192" s="424">
        <v>46225</v>
      </c>
      <c r="AB3192" s="424">
        <v>46230</v>
      </c>
      <c r="AC3192" s="425">
        <f t="shared" ref="AC3192:AC3201" si="538" xml:space="preserve"> IF((W3192-A3192)&lt;0,"未收到",W3192-A3192)</f>
        <v>6</v>
      </c>
      <c r="AD3192" s="425">
        <f t="shared" si="531"/>
        <v>1</v>
      </c>
    </row>
    <row r="3193" spans="1:30" s="361" customFormat="1" x14ac:dyDescent="0.4">
      <c r="A3193" s="402">
        <v>46226</v>
      </c>
      <c r="B3193" s="392" t="s">
        <v>57</v>
      </c>
      <c r="C3193" s="364" t="str">
        <f>VLOOKUP(B3193,'112年全品項生產鍋數'!A:H,2,0)</f>
        <v>蘋果藍莓餡(1*9.08kg)</v>
      </c>
      <c r="D3193" s="404">
        <v>12</v>
      </c>
      <c r="E3193" s="48">
        <f>VLOOKUP(B3193,'112年全品項生產鍋數'!A:H,3,0)</f>
        <v>9.08</v>
      </c>
      <c r="F3193" s="142">
        <f>VLOOKUP(B3193,'112年全品項生產鍋數'!A:H,7,0)</f>
        <v>17.3</v>
      </c>
      <c r="G3193" s="143">
        <f t="shared" si="532"/>
        <v>207.60000000000002</v>
      </c>
      <c r="H3193" s="156">
        <v>206</v>
      </c>
      <c r="I3193" s="371">
        <f t="shared" si="533"/>
        <v>1870.48</v>
      </c>
      <c r="J3193" s="100">
        <f t="shared" si="534"/>
        <v>0.9922928709055876</v>
      </c>
      <c r="K3193" s="51">
        <f>VLOOKUP(B:B,'生產達成率(目標)'!A:C,3,0)</f>
        <v>1</v>
      </c>
      <c r="L3193" s="20">
        <f t="shared" si="535"/>
        <v>-8.0000000000000002E-3</v>
      </c>
      <c r="M3193" s="137" t="str">
        <f>工時!R2380</f>
        <v>500</v>
      </c>
      <c r="N3193" s="374"/>
      <c r="O3193" s="374">
        <f t="shared" si="536"/>
        <v>0</v>
      </c>
      <c r="P3193" s="156">
        <v>206</v>
      </c>
      <c r="Q3193" s="98">
        <f t="shared" si="537"/>
        <v>1</v>
      </c>
      <c r="R3193" s="371"/>
      <c r="S3193" s="372"/>
      <c r="T3193" s="364"/>
      <c r="U3193" s="264"/>
      <c r="V3193" s="264" t="s">
        <v>1847</v>
      </c>
      <c r="W3193" s="424">
        <v>46232</v>
      </c>
      <c r="X3193" s="264" t="s">
        <v>1867</v>
      </c>
      <c r="Y3193" s="424">
        <v>46227</v>
      </c>
      <c r="Z3193" s="424"/>
      <c r="AA3193" s="424">
        <v>46225</v>
      </c>
      <c r="AB3193" s="424">
        <v>46230</v>
      </c>
      <c r="AC3193" s="425">
        <f t="shared" si="538"/>
        <v>6</v>
      </c>
      <c r="AD3193" s="425">
        <f t="shared" si="531"/>
        <v>1</v>
      </c>
    </row>
    <row r="3194" spans="1:30" s="361" customFormat="1" x14ac:dyDescent="0.4">
      <c r="A3194" s="402">
        <v>46226</v>
      </c>
      <c r="B3194" s="392" t="s">
        <v>471</v>
      </c>
      <c r="C3194" s="364" t="str">
        <f>VLOOKUP(B3194,'112年全品項生產鍋數'!A:H,2,0)</f>
        <v>花生醬(1*290g)</v>
      </c>
      <c r="D3194" s="404">
        <v>8</v>
      </c>
      <c r="E3194" s="48">
        <f>VLOOKUP(B3194,'112年全品項生產鍋數'!A:H,3,0)</f>
        <v>0.28999999999999998</v>
      </c>
      <c r="F3194" s="142">
        <f>VLOOKUP(B3194,'112年全品項生產鍋數'!A:H,7,0)</f>
        <v>412.6</v>
      </c>
      <c r="G3194" s="143">
        <f t="shared" si="532"/>
        <v>3300.8</v>
      </c>
      <c r="H3194" s="156">
        <v>3418</v>
      </c>
      <c r="I3194" s="371">
        <f t="shared" si="533"/>
        <v>991.21999999999991</v>
      </c>
      <c r="J3194" s="100">
        <f t="shared" si="534"/>
        <v>1.0355065438681532</v>
      </c>
      <c r="K3194" s="51">
        <f>VLOOKUP(B:B,'生產達成率(目標)'!A:C,3,0)</f>
        <v>1</v>
      </c>
      <c r="L3194" s="20">
        <f t="shared" si="535"/>
        <v>3.5999999999999997E-2</v>
      </c>
      <c r="M3194" s="137" t="str">
        <f>工時!R2381</f>
        <v>250</v>
      </c>
      <c r="N3194" s="374"/>
      <c r="O3194" s="374">
        <f t="shared" si="536"/>
        <v>5</v>
      </c>
      <c r="P3194" s="156">
        <v>3413</v>
      </c>
      <c r="Q3194" s="98">
        <f t="shared" si="537"/>
        <v>0.99853715623171446</v>
      </c>
      <c r="R3194" s="371"/>
      <c r="S3194" s="372"/>
      <c r="T3194" s="364" t="s">
        <v>1725</v>
      </c>
      <c r="U3194" s="264"/>
      <c r="V3194" s="264" t="s">
        <v>1848</v>
      </c>
      <c r="W3194" s="424">
        <v>46226</v>
      </c>
      <c r="X3194" s="264" t="s">
        <v>1848</v>
      </c>
      <c r="Y3194" s="424">
        <v>46226</v>
      </c>
      <c r="Z3194" s="424"/>
      <c r="AA3194" s="424">
        <v>46225</v>
      </c>
      <c r="AB3194" s="424">
        <v>46226</v>
      </c>
      <c r="AC3194" s="425">
        <f t="shared" si="538"/>
        <v>0</v>
      </c>
      <c r="AD3194" s="425">
        <f t="shared" si="531"/>
        <v>0</v>
      </c>
    </row>
    <row r="3195" spans="1:30" s="361" customFormat="1" x14ac:dyDescent="0.4">
      <c r="A3195" s="402">
        <v>46226</v>
      </c>
      <c r="B3195" s="392" t="s">
        <v>65</v>
      </c>
      <c r="C3195" s="364" t="str">
        <f>VLOOKUP(B3195,'112年全品項生產鍋數'!A:H,2,0)</f>
        <v>＃1花生(1*2.8kg)</v>
      </c>
      <c r="D3195" s="404">
        <v>40</v>
      </c>
      <c r="E3195" s="48">
        <f>VLOOKUP(B3195,'112年全品項生產鍋數'!A:H,3,0)</f>
        <v>2.8</v>
      </c>
      <c r="F3195" s="142">
        <f>VLOOKUP(B3195,'112年全品項生產鍋數'!A:H,7,0)</f>
        <v>44.5</v>
      </c>
      <c r="G3195" s="143">
        <f t="shared" si="532"/>
        <v>1780</v>
      </c>
      <c r="H3195" s="156">
        <v>1773</v>
      </c>
      <c r="I3195" s="371">
        <f t="shared" si="533"/>
        <v>4964.3999999999996</v>
      </c>
      <c r="J3195" s="100">
        <f t="shared" si="534"/>
        <v>0.99606741573033708</v>
      </c>
      <c r="K3195" s="51">
        <f>VLOOKUP(B:B,'生產達成率(目標)'!A:C,3,0)</f>
        <v>1</v>
      </c>
      <c r="L3195" s="20">
        <f t="shared" si="535"/>
        <v>-4.0000000000000001E-3</v>
      </c>
      <c r="M3195" s="137" t="str">
        <f>工時!R2382</f>
        <v>415</v>
      </c>
      <c r="N3195" s="374"/>
      <c r="O3195" s="374">
        <f t="shared" si="536"/>
        <v>1</v>
      </c>
      <c r="P3195" s="156">
        <v>1772</v>
      </c>
      <c r="Q3195" s="98">
        <f t="shared" si="537"/>
        <v>0.99943598420755786</v>
      </c>
      <c r="R3195" s="371"/>
      <c r="S3195" s="372"/>
      <c r="T3195" s="364" t="s">
        <v>1153</v>
      </c>
      <c r="U3195" s="264"/>
      <c r="V3195" s="264" t="s">
        <v>1848</v>
      </c>
      <c r="W3195" s="424">
        <v>46226</v>
      </c>
      <c r="X3195" s="264" t="s">
        <v>1848</v>
      </c>
      <c r="Y3195" s="424">
        <v>46226</v>
      </c>
      <c r="Z3195" s="424"/>
      <c r="AA3195" s="424" t="s">
        <v>1782</v>
      </c>
      <c r="AB3195" s="424" t="s">
        <v>1790</v>
      </c>
      <c r="AC3195" s="425">
        <f t="shared" si="538"/>
        <v>0</v>
      </c>
      <c r="AD3195" s="425">
        <f t="shared" si="531"/>
        <v>0</v>
      </c>
    </row>
    <row r="3196" spans="1:30" s="361" customFormat="1" x14ac:dyDescent="0.4">
      <c r="A3196" s="402">
        <v>46227</v>
      </c>
      <c r="B3196" s="392" t="s">
        <v>86</v>
      </c>
      <c r="C3196" s="364" t="str">
        <f>VLOOKUP(B3196,'112年全品項生產鍋數'!A:H,2,0)</f>
        <v>＃2藍莓(1*900g)</v>
      </c>
      <c r="D3196" s="404">
        <v>20</v>
      </c>
      <c r="E3196" s="48">
        <f>VLOOKUP(B3196,'112年全品項生產鍋數'!A:H,3,0)</f>
        <v>0.9</v>
      </c>
      <c r="F3196" s="142">
        <f>VLOOKUP(B3196,'112年全品項生產鍋數'!A:H,7,0)</f>
        <v>163</v>
      </c>
      <c r="G3196" s="143">
        <f t="shared" si="532"/>
        <v>3260</v>
      </c>
      <c r="H3196" s="156">
        <v>3206</v>
      </c>
      <c r="I3196" s="371">
        <f t="shared" si="533"/>
        <v>2885.4</v>
      </c>
      <c r="J3196" s="100">
        <f t="shared" si="534"/>
        <v>0.98343558282208587</v>
      </c>
      <c r="K3196" s="51">
        <f>VLOOKUP(B:B,'生產達成率(目標)'!A:C,3,0)</f>
        <v>1</v>
      </c>
      <c r="L3196" s="20">
        <f t="shared" si="535"/>
        <v>-1.7000000000000001E-2</v>
      </c>
      <c r="M3196" s="137" t="str">
        <f>工時!R2383</f>
        <v>285</v>
      </c>
      <c r="N3196" s="374"/>
      <c r="O3196" s="374">
        <f t="shared" si="536"/>
        <v>2</v>
      </c>
      <c r="P3196" s="156">
        <v>3204</v>
      </c>
      <c r="Q3196" s="98">
        <f t="shared" si="537"/>
        <v>0.9993761696818465</v>
      </c>
      <c r="R3196" s="371"/>
      <c r="S3196" s="372"/>
      <c r="T3196" s="364" t="s">
        <v>1153</v>
      </c>
      <c r="U3196" s="264"/>
      <c r="V3196" s="264" t="s">
        <v>1849</v>
      </c>
      <c r="W3196" s="424">
        <v>46227</v>
      </c>
      <c r="X3196" s="264" t="s">
        <v>1867</v>
      </c>
      <c r="Y3196" s="424">
        <v>46231</v>
      </c>
      <c r="Z3196" s="424"/>
      <c r="AA3196" s="424">
        <v>46226</v>
      </c>
      <c r="AB3196" s="424">
        <v>46227</v>
      </c>
      <c r="AC3196" s="425">
        <f t="shared" si="538"/>
        <v>0</v>
      </c>
      <c r="AD3196" s="425">
        <f t="shared" si="531"/>
        <v>4</v>
      </c>
    </row>
    <row r="3197" spans="1:30" s="361" customFormat="1" x14ac:dyDescent="0.4">
      <c r="A3197" s="402">
        <v>46227</v>
      </c>
      <c r="B3197" s="392" t="s">
        <v>114</v>
      </c>
      <c r="C3197" s="364" t="str">
        <f>VLOOKUP(B3197,'112年全品項生產鍋數'!A:H,2,0)</f>
        <v>開心草莓果醬(1*430g)</v>
      </c>
      <c r="D3197" s="404">
        <v>15</v>
      </c>
      <c r="E3197" s="48">
        <f>VLOOKUP(B3197,'112年全品項生產鍋數'!A:H,3,0)</f>
        <v>0.43</v>
      </c>
      <c r="F3197" s="142">
        <f>VLOOKUP(B3197,'112年全品項生產鍋數'!A:H,7,0)</f>
        <v>364</v>
      </c>
      <c r="G3197" s="143">
        <f t="shared" si="532"/>
        <v>5460</v>
      </c>
      <c r="H3197" s="156">
        <v>5610</v>
      </c>
      <c r="I3197" s="371">
        <f t="shared" si="533"/>
        <v>2412.3000000000002</v>
      </c>
      <c r="J3197" s="100">
        <f t="shared" si="534"/>
        <v>1.0274725274725274</v>
      </c>
      <c r="K3197" s="51">
        <f>VLOOKUP(B:B,'生產達成率(目標)'!A:C,3,0)</f>
        <v>1</v>
      </c>
      <c r="L3197" s="20">
        <f t="shared" si="535"/>
        <v>2.7E-2</v>
      </c>
      <c r="M3197" s="137" t="str">
        <f>工時!R2384</f>
        <v>360</v>
      </c>
      <c r="N3197" s="374"/>
      <c r="O3197" s="374">
        <f t="shared" si="536"/>
        <v>5</v>
      </c>
      <c r="P3197" s="156">
        <v>5605</v>
      </c>
      <c r="Q3197" s="98">
        <f t="shared" si="537"/>
        <v>0.99910873440285208</v>
      </c>
      <c r="R3197" s="371"/>
      <c r="S3197" s="372"/>
      <c r="T3197" s="364"/>
      <c r="U3197" s="264"/>
      <c r="V3197" s="264" t="s">
        <v>1849</v>
      </c>
      <c r="W3197" s="424">
        <v>46227</v>
      </c>
      <c r="X3197" s="264" t="s">
        <v>1867</v>
      </c>
      <c r="Y3197" s="424">
        <v>46231</v>
      </c>
      <c r="Z3197" s="424"/>
      <c r="AA3197" s="424">
        <v>46226</v>
      </c>
      <c r="AB3197" s="424">
        <v>46227</v>
      </c>
      <c r="AC3197" s="425">
        <f t="shared" si="538"/>
        <v>0</v>
      </c>
      <c r="AD3197" s="425">
        <f t="shared" si="531"/>
        <v>4</v>
      </c>
    </row>
    <row r="3198" spans="1:30" s="361" customFormat="1" x14ac:dyDescent="0.4">
      <c r="A3198" s="402">
        <v>46227</v>
      </c>
      <c r="B3198" s="392" t="s">
        <v>72</v>
      </c>
      <c r="C3198" s="364" t="str">
        <f>VLOOKUP(B3198,'112年全品項生產鍋數'!A:H,2,0)</f>
        <v>草莓餡45%(1*6Kg)</v>
      </c>
      <c r="D3198" s="404">
        <v>16</v>
      </c>
      <c r="E3198" s="48">
        <f>VLOOKUP(B3198,'112年全品項生產鍋數'!A:H,3,0)</f>
        <v>6</v>
      </c>
      <c r="F3198" s="142">
        <f>VLOOKUP(B3198,'112年全品項生產鍋數'!A:H,7,0)</f>
        <v>26.1</v>
      </c>
      <c r="G3198" s="143">
        <f t="shared" si="532"/>
        <v>417.6</v>
      </c>
      <c r="H3198" s="156">
        <v>428</v>
      </c>
      <c r="I3198" s="371">
        <f t="shared" si="533"/>
        <v>2568</v>
      </c>
      <c r="J3198" s="100">
        <f t="shared" si="534"/>
        <v>1.024904214559387</v>
      </c>
      <c r="K3198" s="51">
        <f>VLOOKUP(B:B,'生產達成率(目標)'!A:C,3,0)</f>
        <v>1</v>
      </c>
      <c r="L3198" s="20">
        <f t="shared" si="535"/>
        <v>2.5000000000000001E-2</v>
      </c>
      <c r="M3198" s="137" t="str">
        <f>工時!R2385</f>
        <v>217</v>
      </c>
      <c r="N3198" s="374"/>
      <c r="O3198" s="374">
        <f t="shared" si="536"/>
        <v>1</v>
      </c>
      <c r="P3198" s="156">
        <v>427</v>
      </c>
      <c r="Q3198" s="98">
        <f t="shared" si="537"/>
        <v>0.99766355140186913</v>
      </c>
      <c r="R3198" s="371"/>
      <c r="S3198" s="372"/>
      <c r="T3198" s="364"/>
      <c r="U3198" s="264"/>
      <c r="V3198" s="264" t="s">
        <v>1847</v>
      </c>
      <c r="W3198" s="424">
        <v>46232</v>
      </c>
      <c r="X3198" s="264" t="s">
        <v>1867</v>
      </c>
      <c r="Y3198" s="424">
        <v>46227</v>
      </c>
      <c r="Z3198" s="424"/>
      <c r="AA3198" s="424">
        <v>46226</v>
      </c>
      <c r="AB3198" s="424">
        <v>46230</v>
      </c>
      <c r="AC3198" s="425">
        <f t="shared" si="538"/>
        <v>5</v>
      </c>
      <c r="AD3198" s="425">
        <f t="shared" si="531"/>
        <v>0</v>
      </c>
    </row>
    <row r="3199" spans="1:30" s="361" customFormat="1" ht="15.75" customHeight="1" x14ac:dyDescent="0.4">
      <c r="A3199" s="402">
        <v>46227</v>
      </c>
      <c r="B3199" s="392" t="s">
        <v>1737</v>
      </c>
      <c r="C3199" s="364" t="str">
        <f>VLOOKUP(B3199,'112年全品項生產鍋數'!A:H,2,0)</f>
        <v>藍莓餡(1*6Kg)</v>
      </c>
      <c r="D3199" s="404">
        <v>16</v>
      </c>
      <c r="E3199" s="48">
        <f>VLOOKUP(B3199,'112年全品項生產鍋數'!A:H,3,0)</f>
        <v>6</v>
      </c>
      <c r="F3199" s="142">
        <f>VLOOKUP(B3199,'112年全品項生產鍋數'!A:H,7,0)</f>
        <v>0</v>
      </c>
      <c r="G3199" s="143">
        <f t="shared" si="532"/>
        <v>0</v>
      </c>
      <c r="H3199" s="156">
        <v>416</v>
      </c>
      <c r="I3199" s="371">
        <f t="shared" si="533"/>
        <v>2496</v>
      </c>
      <c r="J3199" s="100" t="str">
        <f t="shared" si="534"/>
        <v>無法預估數據</v>
      </c>
      <c r="K3199" s="51">
        <f>VLOOKUP(B:B,'生產達成率(目標)'!A:C,3,0)</f>
        <v>1</v>
      </c>
      <c r="L3199" s="20" t="str">
        <f t="shared" si="535"/>
        <v>無法預估數據</v>
      </c>
      <c r="M3199" s="137" t="str">
        <f>工時!R2386</f>
        <v>240</v>
      </c>
      <c r="N3199" s="374"/>
      <c r="O3199" s="374">
        <f t="shared" si="536"/>
        <v>1</v>
      </c>
      <c r="P3199" s="156">
        <v>415</v>
      </c>
      <c r="Q3199" s="98">
        <f t="shared" si="537"/>
        <v>0.99759615384615385</v>
      </c>
      <c r="R3199" s="371"/>
      <c r="S3199" s="372"/>
      <c r="T3199" s="364" t="s">
        <v>1153</v>
      </c>
      <c r="U3199" s="264"/>
      <c r="V3199" s="264" t="s">
        <v>1847</v>
      </c>
      <c r="W3199" s="424">
        <v>46232</v>
      </c>
      <c r="X3199" s="264" t="s">
        <v>1867</v>
      </c>
      <c r="Y3199" s="424">
        <v>46231</v>
      </c>
      <c r="Z3199" s="424"/>
      <c r="AA3199" s="424">
        <v>46226</v>
      </c>
      <c r="AB3199" s="424">
        <v>46230</v>
      </c>
      <c r="AC3199" s="425">
        <f t="shared" si="538"/>
        <v>5</v>
      </c>
      <c r="AD3199" s="425">
        <f t="shared" si="531"/>
        <v>4</v>
      </c>
    </row>
    <row r="3200" spans="1:30" s="361" customFormat="1" x14ac:dyDescent="0.4">
      <c r="A3200" s="402">
        <v>46227</v>
      </c>
      <c r="B3200" s="392" t="s">
        <v>99</v>
      </c>
      <c r="C3200" s="364" t="str">
        <f>VLOOKUP(B3200,'112年全品項生產鍋數'!A:H,2,0)</f>
        <v>葡萄奇異果醬(1*6kg)</v>
      </c>
      <c r="D3200" s="404">
        <v>6</v>
      </c>
      <c r="E3200" s="48">
        <f>VLOOKUP(B3200,'112年全品項生產鍋數'!A:H,3,0)</f>
        <v>6</v>
      </c>
      <c r="F3200" s="142">
        <f>VLOOKUP(B3200,'112年全品項生產鍋數'!A:H,7,0)</f>
        <v>24.3</v>
      </c>
      <c r="G3200" s="143">
        <f t="shared" si="532"/>
        <v>145.80000000000001</v>
      </c>
      <c r="H3200" s="156">
        <v>146</v>
      </c>
      <c r="I3200" s="371">
        <f t="shared" si="533"/>
        <v>876</v>
      </c>
      <c r="J3200" s="100">
        <f t="shared" si="534"/>
        <v>1.0013717421124828</v>
      </c>
      <c r="K3200" s="51">
        <f>VLOOKUP(B:B,'生產達成率(目標)'!A:C,3,0)</f>
        <v>1</v>
      </c>
      <c r="L3200" s="20">
        <f t="shared" si="535"/>
        <v>1E-3</v>
      </c>
      <c r="M3200" s="137" t="str">
        <f>工時!R2387</f>
        <v>140</v>
      </c>
      <c r="N3200" s="374"/>
      <c r="O3200" s="374">
        <f t="shared" si="536"/>
        <v>1</v>
      </c>
      <c r="P3200" s="156">
        <v>145</v>
      </c>
      <c r="Q3200" s="98">
        <f t="shared" si="537"/>
        <v>0.99315068493150682</v>
      </c>
      <c r="R3200" s="371"/>
      <c r="S3200" s="372"/>
      <c r="T3200" s="364" t="s">
        <v>1153</v>
      </c>
      <c r="U3200" s="264"/>
      <c r="V3200" s="264" t="s">
        <v>1847</v>
      </c>
      <c r="W3200" s="424">
        <v>46232</v>
      </c>
      <c r="X3200" s="264" t="s">
        <v>1867</v>
      </c>
      <c r="Y3200" s="424">
        <v>46227</v>
      </c>
      <c r="Z3200" s="424"/>
      <c r="AA3200" s="424">
        <v>46226</v>
      </c>
      <c r="AB3200" s="424">
        <v>46230</v>
      </c>
      <c r="AC3200" s="425">
        <f t="shared" si="538"/>
        <v>5</v>
      </c>
      <c r="AD3200" s="425">
        <f t="shared" si="531"/>
        <v>0</v>
      </c>
    </row>
    <row r="3201" spans="1:30" s="361" customFormat="1" x14ac:dyDescent="0.4">
      <c r="A3201" s="402">
        <v>46227</v>
      </c>
      <c r="B3201" s="392" t="s">
        <v>123</v>
      </c>
      <c r="C3201" s="364" t="str">
        <f>VLOOKUP(B3201,'112年全品項生產鍋數'!A:H,2,0)</f>
        <v>深烤焙花生醬(1*18KG)</v>
      </c>
      <c r="D3201" s="404">
        <v>60</v>
      </c>
      <c r="E3201" s="48">
        <f>VLOOKUP(B3201,'112年全品項生產鍋數'!A:H,3,0)</f>
        <v>18</v>
      </c>
      <c r="F3201" s="142">
        <f>VLOOKUP(B3201,'112年全品項生產鍋數'!A:H,7,0)</f>
        <v>6.9</v>
      </c>
      <c r="G3201" s="143">
        <f t="shared" si="532"/>
        <v>414</v>
      </c>
      <c r="H3201" s="156">
        <v>420</v>
      </c>
      <c r="I3201" s="371">
        <f t="shared" si="533"/>
        <v>7560</v>
      </c>
      <c r="J3201" s="100">
        <f t="shared" si="534"/>
        <v>1.0144927536231885</v>
      </c>
      <c r="K3201" s="51">
        <f>VLOOKUP(B:B,'生產達成率(目標)'!A:C,3,0)</f>
        <v>1</v>
      </c>
      <c r="L3201" s="20">
        <f t="shared" si="535"/>
        <v>1.4E-2</v>
      </c>
      <c r="M3201" s="137" t="str">
        <f>工時!R2388</f>
        <v>460</v>
      </c>
      <c r="N3201" s="374"/>
      <c r="O3201" s="374">
        <f t="shared" si="536"/>
        <v>0</v>
      </c>
      <c r="P3201" s="156">
        <v>420</v>
      </c>
      <c r="Q3201" s="98">
        <f t="shared" si="537"/>
        <v>1</v>
      </c>
      <c r="R3201" s="371"/>
      <c r="S3201" s="372"/>
      <c r="T3201" s="364" t="s">
        <v>1153</v>
      </c>
      <c r="U3201" s="264"/>
      <c r="V3201" s="264" t="s">
        <v>1848</v>
      </c>
      <c r="W3201" s="424">
        <v>46227</v>
      </c>
      <c r="X3201" s="264" t="s">
        <v>1710</v>
      </c>
      <c r="Y3201" s="424" t="s">
        <v>1792</v>
      </c>
      <c r="Z3201" s="424"/>
      <c r="AA3201" s="424">
        <v>46226</v>
      </c>
      <c r="AB3201" s="424">
        <v>46230</v>
      </c>
      <c r="AC3201" s="425">
        <f t="shared" si="538"/>
        <v>0</v>
      </c>
      <c r="AD3201" s="425">
        <v>0</v>
      </c>
    </row>
    <row r="3202" spans="1:30" s="381" customFormat="1" x14ac:dyDescent="0.4">
      <c r="A3202" s="402">
        <v>46227</v>
      </c>
      <c r="B3202" s="392" t="s">
        <v>1697</v>
      </c>
      <c r="C3202" s="375" t="str">
        <f>VLOOKUP(B3202,'112年全品項生產鍋數'!A:H,2,0)</f>
        <v>化應子(1*2.5KG)</v>
      </c>
      <c r="D3202" s="406">
        <v>1206</v>
      </c>
      <c r="E3202" s="141">
        <f>VLOOKUP(B3202,'112年全品項生產鍋數'!A:H,3,0)</f>
        <v>2.5</v>
      </c>
      <c r="F3202" s="142">
        <f>VLOOKUP(B3202,'112年全品項生產鍋數'!A:H,7,0)</f>
        <v>0</v>
      </c>
      <c r="G3202" s="143">
        <f t="shared" si="532"/>
        <v>0</v>
      </c>
      <c r="H3202" s="156">
        <v>153</v>
      </c>
      <c r="I3202" s="374">
        <f t="shared" si="533"/>
        <v>382.5</v>
      </c>
      <c r="J3202" s="100" t="str">
        <f t="shared" si="534"/>
        <v>無法預估數據</v>
      </c>
      <c r="K3202" s="51">
        <f>VLOOKUP(B:B,'生產達成率(目標)'!A:C,3,0)</f>
        <v>1</v>
      </c>
      <c r="L3202" s="20" t="str">
        <f t="shared" si="535"/>
        <v>無法預估數據</v>
      </c>
      <c r="M3202" s="137" t="str">
        <f>工時!R2389</f>
        <v>0</v>
      </c>
      <c r="N3202" s="374"/>
      <c r="O3202" s="374">
        <f t="shared" si="536"/>
        <v>0</v>
      </c>
      <c r="P3202" s="156">
        <v>153</v>
      </c>
      <c r="Q3202" s="145">
        <f t="shared" si="537"/>
        <v>1</v>
      </c>
      <c r="R3202" s="374"/>
      <c r="S3202" s="378"/>
      <c r="T3202" s="375" t="s">
        <v>1775</v>
      </c>
      <c r="U3202" s="398"/>
      <c r="V3202" s="398" t="s">
        <v>1850</v>
      </c>
      <c r="W3202" s="427" t="s">
        <v>1784</v>
      </c>
      <c r="X3202" s="264" t="s">
        <v>1710</v>
      </c>
      <c r="Y3202" s="427" t="s">
        <v>1784</v>
      </c>
      <c r="Z3202" s="427"/>
      <c r="AA3202" s="427" t="s">
        <v>1784</v>
      </c>
      <c r="AB3202" s="427" t="s">
        <v>1784</v>
      </c>
      <c r="AC3202" s="429">
        <v>0</v>
      </c>
      <c r="AD3202" s="429">
        <v>0</v>
      </c>
    </row>
    <row r="3203" spans="1:30" s="361" customFormat="1" x14ac:dyDescent="0.4">
      <c r="A3203" s="402">
        <v>46230</v>
      </c>
      <c r="B3203" s="392" t="s">
        <v>71</v>
      </c>
      <c r="C3203" s="364" t="str">
        <f>VLOOKUP(B3203,'112年全品項生產鍋數'!A:H,2,0)</f>
        <v>＃1草莓(1*3.2kg)</v>
      </c>
      <c r="D3203" s="404">
        <v>68</v>
      </c>
      <c r="E3203" s="48">
        <f>VLOOKUP(B3203,'112年全品項生產鍋數'!A:H,3,0)</f>
        <v>3.2</v>
      </c>
      <c r="F3203" s="142">
        <f>VLOOKUP(B3203,'112年全品項生產鍋數'!A:H,7,0)</f>
        <v>46.8</v>
      </c>
      <c r="G3203" s="143">
        <f t="shared" si="532"/>
        <v>3182.3999999999996</v>
      </c>
      <c r="H3203" s="156">
        <v>3170</v>
      </c>
      <c r="I3203" s="371">
        <f t="shared" si="533"/>
        <v>10144</v>
      </c>
      <c r="J3203" s="100">
        <f t="shared" si="534"/>
        <v>0.99610356963298152</v>
      </c>
      <c r="K3203" s="51">
        <f>VLOOKUP(B:B,'生產達成率(目標)'!A:C,3,0)</f>
        <v>1</v>
      </c>
      <c r="L3203" s="20">
        <f t="shared" si="535"/>
        <v>-4.0000000000000001E-3</v>
      </c>
      <c r="M3203" s="137" t="str">
        <f>工時!R2390</f>
        <v>540</v>
      </c>
      <c r="N3203" s="374"/>
      <c r="O3203" s="374">
        <f t="shared" si="536"/>
        <v>1</v>
      </c>
      <c r="P3203" s="156">
        <v>3169</v>
      </c>
      <c r="Q3203" s="98">
        <f t="shared" si="537"/>
        <v>0.99968454258675077</v>
      </c>
      <c r="R3203" s="371"/>
      <c r="S3203" s="372"/>
      <c r="T3203" s="364" t="s">
        <v>1785</v>
      </c>
      <c r="U3203" s="264"/>
      <c r="V3203" s="264" t="s">
        <v>1849</v>
      </c>
      <c r="W3203" s="424">
        <v>46230</v>
      </c>
      <c r="X3203" s="264" t="s">
        <v>1867</v>
      </c>
      <c r="Y3203" s="424">
        <v>46231</v>
      </c>
      <c r="Z3203" s="424"/>
      <c r="AA3203" s="424">
        <v>46226</v>
      </c>
      <c r="AB3203" s="424" t="s">
        <v>426</v>
      </c>
      <c r="AC3203" s="425">
        <f t="shared" ref="AC3203:AC3243" si="539" xml:space="preserve"> IF((W3203-A3203)&lt;0,"未收到",W3203-A3203)</f>
        <v>0</v>
      </c>
      <c r="AD3203" s="425">
        <f xml:space="preserve"> IF((Y3203-A3203)&lt;0,"未收到",Y3203-A3203)</f>
        <v>1</v>
      </c>
    </row>
    <row r="3204" spans="1:30" s="361" customFormat="1" x14ac:dyDescent="0.4">
      <c r="A3204" s="402">
        <v>46230</v>
      </c>
      <c r="B3204" s="392" t="s">
        <v>63</v>
      </c>
      <c r="C3204" s="364" t="str">
        <f>VLOOKUP(B3204,'112年全品項生產鍋數'!A:H,2,0)</f>
        <v>草莓蒟蒻餡(1*6kg)</v>
      </c>
      <c r="D3204" s="404">
        <v>16</v>
      </c>
      <c r="E3204" s="48">
        <f>VLOOKUP(B3204,'112年全品項生產鍋數'!A:H,3,0)</f>
        <v>6</v>
      </c>
      <c r="F3204" s="142">
        <f>VLOOKUP(B3204,'112年全品項生產鍋數'!A:H,7,0)</f>
        <v>25.7</v>
      </c>
      <c r="G3204" s="143">
        <f t="shared" si="532"/>
        <v>411.2</v>
      </c>
      <c r="H3204" s="156">
        <v>409</v>
      </c>
      <c r="I3204" s="371">
        <f t="shared" si="533"/>
        <v>2454</v>
      </c>
      <c r="J3204" s="100">
        <f t="shared" si="534"/>
        <v>0.99464980544747084</v>
      </c>
      <c r="K3204" s="51">
        <f>VLOOKUP(B:B,'生產達成率(目標)'!A:C,3,0)</f>
        <v>1</v>
      </c>
      <c r="L3204" s="20">
        <f t="shared" si="535"/>
        <v>-5.0000000000000001E-3</v>
      </c>
      <c r="M3204" s="137" t="str">
        <f>工時!R2391</f>
        <v>220</v>
      </c>
      <c r="N3204" s="374"/>
      <c r="O3204" s="374">
        <f t="shared" si="536"/>
        <v>2</v>
      </c>
      <c r="P3204" s="156">
        <v>407</v>
      </c>
      <c r="Q3204" s="98">
        <f t="shared" si="537"/>
        <v>0.99511002444987773</v>
      </c>
      <c r="R3204" s="371"/>
      <c r="S3204" s="372"/>
      <c r="T3204" s="364" t="s">
        <v>1263</v>
      </c>
      <c r="U3204" s="264"/>
      <c r="V3204" s="264" t="s">
        <v>1847</v>
      </c>
      <c r="W3204" s="424">
        <v>46230</v>
      </c>
      <c r="X3204" s="264" t="s">
        <v>1867</v>
      </c>
      <c r="Y3204" s="424">
        <v>46231</v>
      </c>
      <c r="Z3204" s="424"/>
      <c r="AA3204" s="424" t="s">
        <v>426</v>
      </c>
      <c r="AB3204" s="424" t="s">
        <v>1799</v>
      </c>
      <c r="AC3204" s="425">
        <f t="shared" si="539"/>
        <v>0</v>
      </c>
      <c r="AD3204" s="425">
        <f xml:space="preserve"> IF((Y3204-A3204)&lt;0,"未收到",Y3204-A3204)</f>
        <v>1</v>
      </c>
    </row>
    <row r="3205" spans="1:30" s="361" customFormat="1" x14ac:dyDescent="0.4">
      <c r="A3205" s="402">
        <v>46230</v>
      </c>
      <c r="B3205" s="392" t="s">
        <v>64</v>
      </c>
      <c r="C3205" s="364" t="str">
        <f>VLOOKUP(B3205,'112年全品項生產鍋數'!A:H,2,0)</f>
        <v>藍莓餡(1*6KG)</v>
      </c>
      <c r="D3205" s="404">
        <v>24</v>
      </c>
      <c r="E3205" s="48">
        <f>VLOOKUP(B3205,'112年全品項生產鍋數'!A:H,3,0)</f>
        <v>6</v>
      </c>
      <c r="F3205" s="142">
        <f>VLOOKUP(B3205,'112年全品項生產鍋數'!A:H,7,0)</f>
        <v>25.4</v>
      </c>
      <c r="G3205" s="143">
        <f t="shared" si="532"/>
        <v>609.59999999999991</v>
      </c>
      <c r="H3205" s="156">
        <v>611</v>
      </c>
      <c r="I3205" s="371">
        <f t="shared" si="533"/>
        <v>3666</v>
      </c>
      <c r="J3205" s="100">
        <f t="shared" si="534"/>
        <v>1.0022965879265093</v>
      </c>
      <c r="K3205" s="51">
        <f>VLOOKUP(B:B,'生產達成率(目標)'!A:C,3,0)</f>
        <v>1</v>
      </c>
      <c r="L3205" s="20">
        <f t="shared" si="535"/>
        <v>2E-3</v>
      </c>
      <c r="M3205" s="137" t="str">
        <f>工時!R2392</f>
        <v>330</v>
      </c>
      <c r="N3205" s="374"/>
      <c r="O3205" s="374">
        <f t="shared" si="536"/>
        <v>3</v>
      </c>
      <c r="P3205" s="156">
        <v>608</v>
      </c>
      <c r="Q3205" s="98">
        <f t="shared" si="537"/>
        <v>0.9950900163666121</v>
      </c>
      <c r="R3205" s="371"/>
      <c r="S3205" s="372"/>
      <c r="T3205" s="364" t="s">
        <v>1268</v>
      </c>
      <c r="U3205" s="264"/>
      <c r="V3205" s="264" t="s">
        <v>1847</v>
      </c>
      <c r="W3205" s="424">
        <v>46230</v>
      </c>
      <c r="X3205" s="264" t="s">
        <v>1867</v>
      </c>
      <c r="Y3205" s="424">
        <v>46231</v>
      </c>
      <c r="Z3205" s="424"/>
      <c r="AA3205" s="424">
        <v>46226</v>
      </c>
      <c r="AB3205" s="424">
        <v>46230</v>
      </c>
      <c r="AC3205" s="425">
        <f t="shared" si="539"/>
        <v>0</v>
      </c>
      <c r="AD3205" s="425">
        <f xml:space="preserve"> IF((Y3205-A3205)&lt;0,"未收到",Y3205-A3205)</f>
        <v>1</v>
      </c>
    </row>
    <row r="3206" spans="1:30" s="361" customFormat="1" x14ac:dyDescent="0.4">
      <c r="A3206" s="402">
        <v>46230</v>
      </c>
      <c r="B3206" s="392" t="s">
        <v>597</v>
      </c>
      <c r="C3206" s="364" t="str">
        <f>VLOOKUP(B3206,'112年全品項生產鍋數'!A:H,2,0)</f>
        <v>無加糖花生醬(1*290g)</v>
      </c>
      <c r="D3206" s="404">
        <v>8</v>
      </c>
      <c r="E3206" s="48">
        <f>VLOOKUP(B3206,'112年全品項生產鍋數'!A:H,3,0)</f>
        <v>0.28999999999999998</v>
      </c>
      <c r="F3206" s="142">
        <f>VLOOKUP(B3206,'112年全品項生產鍋數'!A:H,7,0)</f>
        <v>388</v>
      </c>
      <c r="G3206" s="143">
        <f t="shared" si="532"/>
        <v>3104</v>
      </c>
      <c r="H3206" s="156">
        <v>3276</v>
      </c>
      <c r="I3206" s="371">
        <f t="shared" si="533"/>
        <v>950.04</v>
      </c>
      <c r="J3206" s="100">
        <f t="shared" si="534"/>
        <v>1.0554123711340206</v>
      </c>
      <c r="K3206" s="51">
        <f>VLOOKUP(B:B,'生產達成率(目標)'!A:C,3,0)</f>
        <v>1</v>
      </c>
      <c r="L3206" s="20">
        <f t="shared" si="535"/>
        <v>5.5E-2</v>
      </c>
      <c r="M3206" s="137" t="str">
        <f>工時!R2393</f>
        <v>230</v>
      </c>
      <c r="N3206" s="374"/>
      <c r="O3206" s="374">
        <f t="shared" si="536"/>
        <v>38</v>
      </c>
      <c r="P3206" s="156">
        <v>3238</v>
      </c>
      <c r="Q3206" s="98">
        <f t="shared" si="537"/>
        <v>0.98840048840048844</v>
      </c>
      <c r="R3206" s="371"/>
      <c r="S3206" s="372"/>
      <c r="T3206" s="364" t="s">
        <v>1725</v>
      </c>
      <c r="U3206" s="264"/>
      <c r="V3206" s="264" t="s">
        <v>1848</v>
      </c>
      <c r="W3206" s="424">
        <v>46230</v>
      </c>
      <c r="X3206" s="264" t="s">
        <v>1848</v>
      </c>
      <c r="Y3206" s="424">
        <v>46230</v>
      </c>
      <c r="Z3206" s="424"/>
      <c r="AA3206" s="424">
        <v>46226</v>
      </c>
      <c r="AB3206" s="424">
        <v>46230</v>
      </c>
      <c r="AC3206" s="425">
        <f t="shared" si="539"/>
        <v>0</v>
      </c>
      <c r="AD3206" s="425">
        <f xml:space="preserve"> IF((Y3206-A3206)&lt;0,"未收到",Y3206-A3206)</f>
        <v>0</v>
      </c>
    </row>
    <row r="3207" spans="1:30" s="361" customFormat="1" x14ac:dyDescent="0.4">
      <c r="A3207" s="402">
        <v>46230</v>
      </c>
      <c r="B3207" s="392" t="s">
        <v>65</v>
      </c>
      <c r="C3207" s="364" t="str">
        <f>VLOOKUP(B3207,'112年全品項生產鍋數'!A:H,2,0)</f>
        <v>＃1花生(1*2.8kg)</v>
      </c>
      <c r="D3207" s="404">
        <v>40</v>
      </c>
      <c r="E3207" s="48">
        <f>VLOOKUP(B3207,'112年全品項生產鍋數'!A:H,3,0)</f>
        <v>2.8</v>
      </c>
      <c r="F3207" s="142">
        <f>VLOOKUP(B3207,'112年全品項生產鍋數'!A:H,7,0)</f>
        <v>44.5</v>
      </c>
      <c r="G3207" s="143">
        <f t="shared" si="532"/>
        <v>1780</v>
      </c>
      <c r="H3207" s="156">
        <v>1796</v>
      </c>
      <c r="I3207" s="371">
        <f t="shared" si="533"/>
        <v>5028.7999999999993</v>
      </c>
      <c r="J3207" s="100">
        <f t="shared" si="534"/>
        <v>1.0089887640449438</v>
      </c>
      <c r="K3207" s="51">
        <f>VLOOKUP(B:B,'生產達成率(目標)'!A:C,3,0)</f>
        <v>1</v>
      </c>
      <c r="L3207" s="20">
        <f t="shared" si="535"/>
        <v>8.9999999999999993E-3</v>
      </c>
      <c r="M3207" s="137" t="str">
        <f>工時!R2394</f>
        <v>410</v>
      </c>
      <c r="N3207" s="374"/>
      <c r="O3207" s="374">
        <f t="shared" si="536"/>
        <v>1</v>
      </c>
      <c r="P3207" s="156">
        <v>1795</v>
      </c>
      <c r="Q3207" s="98">
        <f t="shared" si="537"/>
        <v>0.99944320712694878</v>
      </c>
      <c r="R3207" s="371"/>
      <c r="S3207" s="372"/>
      <c r="T3207" s="364" t="s">
        <v>1153</v>
      </c>
      <c r="U3207" s="264"/>
      <c r="V3207" s="264" t="s">
        <v>1848</v>
      </c>
      <c r="W3207" s="424">
        <v>46230</v>
      </c>
      <c r="X3207" s="264" t="s">
        <v>1848</v>
      </c>
      <c r="Y3207" s="424">
        <v>46230</v>
      </c>
      <c r="Z3207" s="424"/>
      <c r="AA3207" s="424" t="s">
        <v>1791</v>
      </c>
      <c r="AB3207" s="424" t="s">
        <v>1793</v>
      </c>
      <c r="AC3207" s="425">
        <f t="shared" si="539"/>
        <v>0</v>
      </c>
      <c r="AD3207" s="425">
        <f xml:space="preserve"> IF((Y3207-A3207)&lt;0,"未收到",Y3207-A3207)</f>
        <v>0</v>
      </c>
    </row>
    <row r="3208" spans="1:30" s="381" customFormat="1" x14ac:dyDescent="0.4">
      <c r="A3208" s="402">
        <v>46230</v>
      </c>
      <c r="B3208" s="392">
        <v>153010</v>
      </c>
      <c r="C3208" s="375" t="str">
        <f>VLOOKUP(B3208,'112年全品項生產鍋數'!A:H,2,0)</f>
        <v>蜜桔皮6m/m</v>
      </c>
      <c r="D3208" s="406">
        <v>1</v>
      </c>
      <c r="E3208" s="141">
        <f>VLOOKUP(B3208,'112年全品項生產鍋數'!A:H,3,0)</f>
        <v>1</v>
      </c>
      <c r="F3208" s="142">
        <f>VLOOKUP(B3208,'112年全品項生產鍋數'!A:H,7,0)</f>
        <v>591</v>
      </c>
      <c r="G3208" s="143">
        <f t="shared" si="532"/>
        <v>591</v>
      </c>
      <c r="H3208" s="156">
        <v>528</v>
      </c>
      <c r="I3208" s="374">
        <f t="shared" si="533"/>
        <v>528</v>
      </c>
      <c r="J3208" s="100">
        <f t="shared" si="534"/>
        <v>0.89340101522842641</v>
      </c>
      <c r="K3208" s="51">
        <f>VLOOKUP(B:B,'生產達成率(目標)'!A:C,3,0)</f>
        <v>1</v>
      </c>
      <c r="L3208" s="20">
        <f t="shared" si="535"/>
        <v>-0.107</v>
      </c>
      <c r="M3208" s="137" t="str">
        <f>工時!R2395</f>
        <v>0</v>
      </c>
      <c r="N3208" s="374"/>
      <c r="O3208" s="374">
        <f t="shared" si="536"/>
        <v>0</v>
      </c>
      <c r="P3208" s="156">
        <v>528</v>
      </c>
      <c r="Q3208" s="145">
        <f t="shared" si="537"/>
        <v>1</v>
      </c>
      <c r="R3208" s="374"/>
      <c r="S3208" s="378"/>
      <c r="T3208" s="375" t="s">
        <v>1153</v>
      </c>
      <c r="U3208" s="398"/>
      <c r="V3208" s="398" t="s">
        <v>1850</v>
      </c>
      <c r="W3208" s="427">
        <v>46230</v>
      </c>
      <c r="X3208" s="264" t="s">
        <v>1710</v>
      </c>
      <c r="Y3208" s="427" t="s">
        <v>1710</v>
      </c>
      <c r="Z3208" s="427"/>
      <c r="AA3208" s="427" t="s">
        <v>1710</v>
      </c>
      <c r="AB3208" s="427">
        <v>46241</v>
      </c>
      <c r="AC3208" s="429">
        <f t="shared" si="539"/>
        <v>0</v>
      </c>
      <c r="AD3208" s="429">
        <v>0</v>
      </c>
    </row>
    <row r="3209" spans="1:30" s="361" customFormat="1" x14ac:dyDescent="0.4">
      <c r="A3209" s="402">
        <v>46231</v>
      </c>
      <c r="B3209" s="392" t="s">
        <v>63</v>
      </c>
      <c r="C3209" s="364" t="str">
        <f>VLOOKUP(B3209,'112年全品項生產鍋數'!A:H,2,0)</f>
        <v>草莓蒟蒻餡(1*6kg)</v>
      </c>
      <c r="D3209" s="404">
        <v>20</v>
      </c>
      <c r="E3209" s="48">
        <f>VLOOKUP(B3209,'112年全品項生產鍋數'!A:H,3,0)</f>
        <v>6</v>
      </c>
      <c r="F3209" s="142">
        <f>VLOOKUP(B3209,'112年全品項生產鍋數'!A:H,7,0)</f>
        <v>25.7</v>
      </c>
      <c r="G3209" s="143">
        <f t="shared" si="532"/>
        <v>514</v>
      </c>
      <c r="H3209" s="156">
        <v>519</v>
      </c>
      <c r="I3209" s="371">
        <f t="shared" si="533"/>
        <v>3114</v>
      </c>
      <c r="J3209" s="100">
        <f t="shared" si="534"/>
        <v>1.0097276264591439</v>
      </c>
      <c r="K3209" s="51">
        <f>VLOOKUP(B:B,'生產達成率(目標)'!A:C,3,0)</f>
        <v>1</v>
      </c>
      <c r="L3209" s="20">
        <f t="shared" si="535"/>
        <v>0.01</v>
      </c>
      <c r="M3209" s="137" t="str">
        <f>工時!R2396</f>
        <v>240</v>
      </c>
      <c r="N3209" s="374"/>
      <c r="O3209" s="374">
        <f t="shared" si="536"/>
        <v>0</v>
      </c>
      <c r="P3209" s="156">
        <v>519</v>
      </c>
      <c r="Q3209" s="98">
        <f t="shared" si="537"/>
        <v>1</v>
      </c>
      <c r="R3209" s="371"/>
      <c r="S3209" s="372"/>
      <c r="T3209" s="364" t="s">
        <v>1275</v>
      </c>
      <c r="U3209" s="264"/>
      <c r="V3209" s="264" t="s">
        <v>1849</v>
      </c>
      <c r="W3209" s="424">
        <v>46232</v>
      </c>
      <c r="X3209" s="264" t="s">
        <v>1867</v>
      </c>
      <c r="Y3209" s="424">
        <v>46233</v>
      </c>
      <c r="Z3209" s="424"/>
      <c r="AA3209" s="424" t="s">
        <v>1794</v>
      </c>
      <c r="AB3209" s="424" t="s">
        <v>426</v>
      </c>
      <c r="AC3209" s="425">
        <f t="shared" si="539"/>
        <v>1</v>
      </c>
      <c r="AD3209" s="425">
        <f xml:space="preserve"> IF((Y3209-A3209)&lt;0,"未收到",Y3209-A3209)</f>
        <v>2</v>
      </c>
    </row>
    <row r="3210" spans="1:30" s="361" customFormat="1" x14ac:dyDescent="0.4">
      <c r="A3210" s="402">
        <v>46231</v>
      </c>
      <c r="B3210" s="392" t="s">
        <v>965</v>
      </c>
      <c r="C3210" s="364" t="str">
        <f>VLOOKUP(B3210,'112年全品項生產鍋數'!A:H,2,0)</f>
        <v>草莓餡°(1*6KG)</v>
      </c>
      <c r="D3210" s="404">
        <v>12</v>
      </c>
      <c r="E3210" s="48">
        <f>VLOOKUP(B3210,'112年全品項生產鍋數'!A:H,3,0)</f>
        <v>6</v>
      </c>
      <c r="F3210" s="142">
        <f>VLOOKUP(B3210,'112年全品項生產鍋數'!A:H,7,0)</f>
        <v>0</v>
      </c>
      <c r="G3210" s="143">
        <f t="shared" si="532"/>
        <v>0</v>
      </c>
      <c r="H3210" s="156">
        <v>306</v>
      </c>
      <c r="I3210" s="371">
        <f t="shared" si="533"/>
        <v>1836</v>
      </c>
      <c r="J3210" s="100" t="str">
        <f t="shared" si="534"/>
        <v>無法預估數據</v>
      </c>
      <c r="K3210" s="51">
        <f>VLOOKUP(B:B,'生產達成率(目標)'!A:C,3,0)</f>
        <v>1</v>
      </c>
      <c r="L3210" s="20" t="str">
        <f t="shared" si="535"/>
        <v>無法預估數據</v>
      </c>
      <c r="M3210" s="137" t="str">
        <f>工時!R2397</f>
        <v>170</v>
      </c>
      <c r="N3210" s="374"/>
      <c r="O3210" s="374">
        <f t="shared" si="536"/>
        <v>2</v>
      </c>
      <c r="P3210" s="156">
        <v>304</v>
      </c>
      <c r="Q3210" s="98">
        <f t="shared" si="537"/>
        <v>0.99346405228758172</v>
      </c>
      <c r="R3210" s="371"/>
      <c r="S3210" s="372"/>
      <c r="T3210" s="364" t="s">
        <v>1153</v>
      </c>
      <c r="U3210" s="264"/>
      <c r="V3210" s="264" t="s">
        <v>1849</v>
      </c>
      <c r="W3210" s="424">
        <v>46232</v>
      </c>
      <c r="X3210" s="264" t="s">
        <v>1867</v>
      </c>
      <c r="Y3210" s="424">
        <v>46233</v>
      </c>
      <c r="Z3210" s="424"/>
      <c r="AA3210" s="424">
        <v>46230</v>
      </c>
      <c r="AB3210" s="424">
        <v>46232</v>
      </c>
      <c r="AC3210" s="425">
        <f t="shared" si="539"/>
        <v>1</v>
      </c>
      <c r="AD3210" s="425">
        <f xml:space="preserve"> IF((Y3210-A3210)&lt;0,"未收到",Y3210-A3210)</f>
        <v>2</v>
      </c>
    </row>
    <row r="3211" spans="1:30" s="381" customFormat="1" x14ac:dyDescent="0.4">
      <c r="A3211" s="402">
        <v>46231</v>
      </c>
      <c r="B3211" s="392" t="s">
        <v>1667</v>
      </c>
      <c r="C3211" s="375" t="str">
        <f>VLOOKUP(B3211,'112年全品項生產鍋數'!A:H,2,0)</f>
        <v>楊枝甘露餡(1*6Kg)</v>
      </c>
      <c r="D3211" s="406">
        <v>8</v>
      </c>
      <c r="E3211" s="141">
        <f>VLOOKUP(B3211,'112年全品項生產鍋數'!A:H,3,0)</f>
        <v>6</v>
      </c>
      <c r="F3211" s="142">
        <f>VLOOKUP(B3211,'112年全品項生產鍋數'!A:H,7,0)</f>
        <v>0</v>
      </c>
      <c r="G3211" s="143">
        <f t="shared" si="532"/>
        <v>0</v>
      </c>
      <c r="H3211" s="156">
        <v>212</v>
      </c>
      <c r="I3211" s="374">
        <f t="shared" si="533"/>
        <v>1272</v>
      </c>
      <c r="J3211" s="100" t="str">
        <f t="shared" si="534"/>
        <v>無法預估數據</v>
      </c>
      <c r="K3211" s="51">
        <f>VLOOKUP(B:B,'生產達成率(目標)'!A:C,3,0)</f>
        <v>1</v>
      </c>
      <c r="L3211" s="20" t="str">
        <f t="shared" si="535"/>
        <v>無法預估數據</v>
      </c>
      <c r="M3211" s="137" t="str">
        <f>工時!R2398</f>
        <v>150</v>
      </c>
      <c r="N3211" s="374"/>
      <c r="O3211" s="374">
        <f t="shared" si="536"/>
        <v>1</v>
      </c>
      <c r="P3211" s="156">
        <v>211</v>
      </c>
      <c r="Q3211" s="145">
        <f t="shared" si="537"/>
        <v>0.99528301886792447</v>
      </c>
      <c r="R3211" s="374"/>
      <c r="S3211" s="378"/>
      <c r="T3211" s="375" t="s">
        <v>1153</v>
      </c>
      <c r="U3211" s="398"/>
      <c r="V3211" s="398" t="s">
        <v>1849</v>
      </c>
      <c r="W3211" s="427">
        <v>46232</v>
      </c>
      <c r="X3211" s="264" t="s">
        <v>1867</v>
      </c>
      <c r="Y3211" s="427">
        <v>46233</v>
      </c>
      <c r="Z3211" s="427"/>
      <c r="AA3211" s="427">
        <v>46230</v>
      </c>
      <c r="AB3211" s="427">
        <v>46232</v>
      </c>
      <c r="AC3211" s="429">
        <f t="shared" si="539"/>
        <v>1</v>
      </c>
      <c r="AD3211" s="429">
        <f xml:space="preserve"> IF((Y3211-A3211)&lt;0,"未收到",Y3211-A3211)</f>
        <v>2</v>
      </c>
    </row>
    <row r="3212" spans="1:30" s="361" customFormat="1" x14ac:dyDescent="0.4">
      <c r="A3212" s="402">
        <v>46231</v>
      </c>
      <c r="B3212" s="392" t="s">
        <v>73</v>
      </c>
      <c r="C3212" s="364" t="str">
        <f>VLOOKUP(B3212,'112年全品項生產鍋數'!A:H,2,0)</f>
        <v>顆粒花生醬(1*12KG)</v>
      </c>
      <c r="D3212" s="404">
        <v>21</v>
      </c>
      <c r="E3212" s="48">
        <f>VLOOKUP(B3212,'112年全品項生產鍋數'!A:H,3,0)</f>
        <v>3</v>
      </c>
      <c r="F3212" s="142">
        <f>VLOOKUP(B3212,'112年全品項生產鍋數'!A:H,7,0)</f>
        <v>29.7</v>
      </c>
      <c r="G3212" s="143">
        <f>D3212*F3212</f>
        <v>623.69999999999993</v>
      </c>
      <c r="H3212" s="156">
        <v>628</v>
      </c>
      <c r="I3212" s="371">
        <f>H3212*E3212</f>
        <v>1884</v>
      </c>
      <c r="J3212" s="100">
        <f>IF(G3212=0,"無法預估數據",H3212/G3212)</f>
        <v>1.0068943402276738</v>
      </c>
      <c r="K3212" s="51">
        <f>VLOOKUP(B:B,'生產達成率(目標)'!A:C,3,0)</f>
        <v>1</v>
      </c>
      <c r="L3212" s="20">
        <f>IF(G3212=0,"無法預估數據",ROUND(J3212-K3212,3))</f>
        <v>7.0000000000000001E-3</v>
      </c>
      <c r="M3212" s="137" t="str">
        <f>工時!R2399</f>
        <v>510</v>
      </c>
      <c r="N3212" s="374"/>
      <c r="O3212" s="374">
        <f>H3212-N3212-P3212</f>
        <v>0</v>
      </c>
      <c r="P3212" s="156">
        <v>628</v>
      </c>
      <c r="Q3212" s="98">
        <f>P3212/H3212</f>
        <v>1</v>
      </c>
      <c r="R3212" s="371"/>
      <c r="S3212" s="372"/>
      <c r="T3212" s="364" t="s">
        <v>1153</v>
      </c>
      <c r="U3212" s="264"/>
      <c r="V3212" s="264" t="s">
        <v>1847</v>
      </c>
      <c r="W3212" s="424">
        <v>46231</v>
      </c>
      <c r="X3212" s="264" t="s">
        <v>1710</v>
      </c>
      <c r="Y3212" s="424" t="s">
        <v>1798</v>
      </c>
      <c r="Z3212" s="424"/>
      <c r="AA3212" s="424">
        <v>46230</v>
      </c>
      <c r="AB3212" s="424">
        <v>46231</v>
      </c>
      <c r="AC3212" s="425">
        <f t="shared" si="539"/>
        <v>0</v>
      </c>
      <c r="AD3212" s="425">
        <v>0</v>
      </c>
    </row>
    <row r="3213" spans="1:30" s="361" customFormat="1" x14ac:dyDescent="0.4">
      <c r="A3213" s="402">
        <v>46231</v>
      </c>
      <c r="B3213" s="392" t="s">
        <v>65</v>
      </c>
      <c r="C3213" s="364" t="str">
        <f>VLOOKUP(B3213,'112年全品項生產鍋數'!A:H,2,0)</f>
        <v>＃1花生(1*2.8kg)</v>
      </c>
      <c r="D3213" s="404">
        <v>72</v>
      </c>
      <c r="E3213" s="48">
        <f>VLOOKUP(B3213,'112年全品項生產鍋數'!A:H,3,0)</f>
        <v>2.8</v>
      </c>
      <c r="F3213" s="142">
        <f>VLOOKUP(B3213,'112年全品項生產鍋數'!A:H,7,0)</f>
        <v>44.5</v>
      </c>
      <c r="G3213" s="143">
        <f t="shared" si="532"/>
        <v>3204</v>
      </c>
      <c r="H3213" s="156">
        <v>3216</v>
      </c>
      <c r="I3213" s="371">
        <f t="shared" si="533"/>
        <v>9004.7999999999993</v>
      </c>
      <c r="J3213" s="100">
        <f t="shared" si="534"/>
        <v>1.0037453183520599</v>
      </c>
      <c r="K3213" s="51">
        <f>VLOOKUP(B:B,'生產達成率(目標)'!A:C,3,0)</f>
        <v>1</v>
      </c>
      <c r="L3213" s="20">
        <f t="shared" si="535"/>
        <v>4.0000000000000001E-3</v>
      </c>
      <c r="M3213" s="137" t="str">
        <f>工時!R2400</f>
        <v>510</v>
      </c>
      <c r="N3213" s="374"/>
      <c r="O3213" s="374">
        <f t="shared" si="536"/>
        <v>1</v>
      </c>
      <c r="P3213" s="156">
        <v>3215</v>
      </c>
      <c r="Q3213" s="98">
        <f t="shared" si="537"/>
        <v>0.99968905472636815</v>
      </c>
      <c r="R3213" s="371"/>
      <c r="S3213" s="372"/>
      <c r="T3213" s="364" t="s">
        <v>1153</v>
      </c>
      <c r="U3213" s="264"/>
      <c r="V3213" s="264" t="s">
        <v>1848</v>
      </c>
      <c r="W3213" s="424">
        <v>46231</v>
      </c>
      <c r="X3213" s="264" t="s">
        <v>1848</v>
      </c>
      <c r="Y3213" s="424">
        <v>46231</v>
      </c>
      <c r="Z3213" s="424"/>
      <c r="AA3213" s="424" t="s">
        <v>1795</v>
      </c>
      <c r="AB3213" s="424" t="s">
        <v>1795</v>
      </c>
      <c r="AC3213" s="425">
        <f t="shared" si="539"/>
        <v>0</v>
      </c>
      <c r="AD3213" s="425">
        <f t="shared" ref="AD3213:AD3230" si="540" xml:space="preserve"> IF((Y3213-A3213)&lt;0,"未收到",Y3213-A3213)</f>
        <v>0</v>
      </c>
    </row>
    <row r="3214" spans="1:30" s="381" customFormat="1" x14ac:dyDescent="0.4">
      <c r="A3214" s="402">
        <v>46232</v>
      </c>
      <c r="B3214" s="392" t="s">
        <v>61</v>
      </c>
      <c r="C3214" s="375" t="str">
        <f>VLOOKUP(B3214,'112年全品項生產鍋數'!A:H,2,0)</f>
        <v>大圓草莓-新</v>
      </c>
      <c r="D3214" s="406">
        <v>20</v>
      </c>
      <c r="E3214" s="141">
        <f>VLOOKUP(B3214,'112年全品項生產鍋數'!A:H,3,0)</f>
        <v>0.44</v>
      </c>
      <c r="F3214" s="142">
        <f>VLOOKUP(B3214,'112年全品項生產鍋數'!A:H,7,0)</f>
        <v>344</v>
      </c>
      <c r="G3214" s="143">
        <f>D3214*F3214</f>
        <v>6880</v>
      </c>
      <c r="H3214" s="156">
        <v>6706</v>
      </c>
      <c r="I3214" s="374">
        <f>H3214*E3214</f>
        <v>2950.64</v>
      </c>
      <c r="J3214" s="100">
        <f>IF(G3214=0,"無法預估數據",H3214/G3214)</f>
        <v>0.97470930232558139</v>
      </c>
      <c r="K3214" s="51">
        <f>VLOOKUP(B:B,'生產達成率(目標)'!A:C,3,0)</f>
        <v>1</v>
      </c>
      <c r="L3214" s="20">
        <f>IF(G3214=0,"無法預估數據",ROUND(J3214-K3214,3))</f>
        <v>-2.5000000000000001E-2</v>
      </c>
      <c r="M3214" s="137" t="str">
        <f>工時!R2401</f>
        <v>300</v>
      </c>
      <c r="N3214" s="374"/>
      <c r="O3214" s="374">
        <f>H3214-N3214-P3214</f>
        <v>10</v>
      </c>
      <c r="P3214" s="156">
        <v>6696</v>
      </c>
      <c r="Q3214" s="145">
        <f>P3214/H3214</f>
        <v>0.99850879809126158</v>
      </c>
      <c r="R3214" s="374"/>
      <c r="S3214" s="378"/>
      <c r="T3214" s="375" t="s">
        <v>1197</v>
      </c>
      <c r="U3214" s="398"/>
      <c r="V3214" s="398" t="s">
        <v>1849</v>
      </c>
      <c r="W3214" s="427">
        <v>46233</v>
      </c>
      <c r="X3214" s="264" t="s">
        <v>1867</v>
      </c>
      <c r="Y3214" s="427">
        <v>46234</v>
      </c>
      <c r="Z3214" s="427"/>
      <c r="AA3214" s="427">
        <v>46230</v>
      </c>
      <c r="AB3214" s="427">
        <v>46233</v>
      </c>
      <c r="AC3214" s="429">
        <f t="shared" si="539"/>
        <v>1</v>
      </c>
      <c r="AD3214" s="429">
        <f t="shared" si="540"/>
        <v>2</v>
      </c>
    </row>
    <row r="3215" spans="1:30" s="381" customFormat="1" x14ac:dyDescent="0.4">
      <c r="A3215" s="402">
        <v>46232</v>
      </c>
      <c r="B3215" s="392" t="s">
        <v>106</v>
      </c>
      <c r="C3215" s="375" t="str">
        <f>VLOOKUP(B3215,'112年全品項生產鍋數'!A:H,2,0)</f>
        <v>小藍莓1*260G</v>
      </c>
      <c r="D3215" s="406">
        <v>16</v>
      </c>
      <c r="E3215" s="141">
        <f>VLOOKUP(B3215,'112年全品項生產鍋數'!A:H,3,0)</f>
        <v>0.26</v>
      </c>
      <c r="F3215" s="142">
        <f>VLOOKUP(B3215,'112年全品項生產鍋數'!A:H,7,0)</f>
        <v>584.29999999999995</v>
      </c>
      <c r="G3215" s="143">
        <f>D3215*F3215</f>
        <v>9348.7999999999993</v>
      </c>
      <c r="H3215" s="156">
        <v>9493</v>
      </c>
      <c r="I3215" s="374">
        <f>H3215*E3215</f>
        <v>2468.1800000000003</v>
      </c>
      <c r="J3215" s="100">
        <f>IF(G3215=0,"無法預估數據",H3215/G3215)</f>
        <v>1.0154244395002567</v>
      </c>
      <c r="K3215" s="51">
        <f>VLOOKUP(B:B,'生產達成率(目標)'!A:C,3,0)</f>
        <v>1</v>
      </c>
      <c r="L3215" s="20">
        <f>IF(G3215=0,"無法預估數據",ROUND(J3215-K3215,3))</f>
        <v>1.4999999999999999E-2</v>
      </c>
      <c r="M3215" s="137" t="str">
        <f>工時!R2402</f>
        <v>330</v>
      </c>
      <c r="N3215" s="374"/>
      <c r="O3215" s="374">
        <f>H3215-N3215-P3215</f>
        <v>21</v>
      </c>
      <c r="P3215" s="156">
        <v>9472</v>
      </c>
      <c r="Q3215" s="145">
        <f>P3215/H3215</f>
        <v>0.9977878436742863</v>
      </c>
      <c r="R3215" s="374"/>
      <c r="S3215" s="378"/>
      <c r="T3215" s="375" t="s">
        <v>1785</v>
      </c>
      <c r="U3215" s="398"/>
      <c r="V3215" s="398" t="s">
        <v>1849</v>
      </c>
      <c r="W3215" s="427">
        <v>46233</v>
      </c>
      <c r="X3215" s="264" t="s">
        <v>1867</v>
      </c>
      <c r="Y3215" s="427">
        <v>46234</v>
      </c>
      <c r="Z3215" s="427"/>
      <c r="AA3215" s="427">
        <v>46230</v>
      </c>
      <c r="AB3215" s="427">
        <v>46233</v>
      </c>
      <c r="AC3215" s="429">
        <f t="shared" si="539"/>
        <v>1</v>
      </c>
      <c r="AD3215" s="429">
        <f t="shared" si="540"/>
        <v>2</v>
      </c>
    </row>
    <row r="3216" spans="1:30" s="361" customFormat="1" x14ac:dyDescent="0.4">
      <c r="A3216" s="402">
        <v>46232</v>
      </c>
      <c r="B3216" s="392" t="s">
        <v>63</v>
      </c>
      <c r="C3216" s="364" t="str">
        <f>VLOOKUP(B3216,'112年全品項生產鍋數'!A:H,2,0)</f>
        <v>草莓蒟蒻餡(1*6kg)</v>
      </c>
      <c r="D3216" s="404">
        <v>16</v>
      </c>
      <c r="E3216" s="48">
        <f>VLOOKUP(B3216,'112年全品項生產鍋數'!A:H,3,0)</f>
        <v>6</v>
      </c>
      <c r="F3216" s="142">
        <f>VLOOKUP(B3216,'112年全品項生產鍋數'!A:H,7,0)</f>
        <v>25.7</v>
      </c>
      <c r="G3216" s="143">
        <f t="shared" si="532"/>
        <v>411.2</v>
      </c>
      <c r="H3216" s="156">
        <v>414</v>
      </c>
      <c r="I3216" s="371">
        <f t="shared" si="533"/>
        <v>2484</v>
      </c>
      <c r="J3216" s="100">
        <f t="shared" si="534"/>
        <v>1.0068093385214008</v>
      </c>
      <c r="K3216" s="51">
        <f>VLOOKUP(B:B,'生產達成率(目標)'!A:C,3,0)</f>
        <v>1</v>
      </c>
      <c r="L3216" s="20">
        <f t="shared" si="535"/>
        <v>7.0000000000000001E-3</v>
      </c>
      <c r="M3216" s="137" t="str">
        <f>工時!R2403</f>
        <v>207</v>
      </c>
      <c r="N3216" s="374"/>
      <c r="O3216" s="374">
        <f t="shared" si="536"/>
        <v>2</v>
      </c>
      <c r="P3216" s="156">
        <v>412</v>
      </c>
      <c r="Q3216" s="98">
        <f t="shared" si="537"/>
        <v>0.99516908212560384</v>
      </c>
      <c r="R3216" s="371"/>
      <c r="S3216" s="372"/>
      <c r="T3216" s="364" t="s">
        <v>1263</v>
      </c>
      <c r="U3216" s="264"/>
      <c r="V3216" s="264" t="s">
        <v>1847</v>
      </c>
      <c r="W3216" s="424">
        <v>46232</v>
      </c>
      <c r="X3216" s="264" t="s">
        <v>1867</v>
      </c>
      <c r="Y3216" s="424">
        <v>46233</v>
      </c>
      <c r="Z3216" s="424"/>
      <c r="AA3216" s="424" t="s">
        <v>1796</v>
      </c>
      <c r="AB3216" s="424" t="s">
        <v>1795</v>
      </c>
      <c r="AC3216" s="425">
        <f t="shared" si="539"/>
        <v>0</v>
      </c>
      <c r="AD3216" s="425">
        <f t="shared" si="540"/>
        <v>1</v>
      </c>
    </row>
    <row r="3217" spans="1:30" s="361" customFormat="1" x14ac:dyDescent="0.4">
      <c r="A3217" s="402">
        <v>46232</v>
      </c>
      <c r="B3217" s="392" t="s">
        <v>76</v>
      </c>
      <c r="C3217" s="364" t="str">
        <f>VLOOKUP(B3217,'112年全品項生產鍋數'!A:H,2,0)</f>
        <v>草莓餡(1*6Kg)</v>
      </c>
      <c r="D3217" s="404">
        <v>12</v>
      </c>
      <c r="E3217" s="48">
        <f>VLOOKUP(B3217,'112年全品項生產鍋數'!A:H,3,0)</f>
        <v>6</v>
      </c>
      <c r="F3217" s="142">
        <f>VLOOKUP(B3217,'112年全品項生產鍋數'!A:H,7,0)</f>
        <v>25.5</v>
      </c>
      <c r="G3217" s="143">
        <f t="shared" si="532"/>
        <v>306</v>
      </c>
      <c r="H3217" s="156">
        <v>311</v>
      </c>
      <c r="I3217" s="371">
        <f t="shared" si="533"/>
        <v>1866</v>
      </c>
      <c r="J3217" s="100">
        <f t="shared" si="534"/>
        <v>1.0163398692810457</v>
      </c>
      <c r="K3217" s="51">
        <f>VLOOKUP(B:B,'生產達成率(目標)'!A:C,3,0)</f>
        <v>1</v>
      </c>
      <c r="L3217" s="20">
        <f t="shared" si="535"/>
        <v>1.6E-2</v>
      </c>
      <c r="M3217" s="137" t="str">
        <f>工時!R2404</f>
        <v>170</v>
      </c>
      <c r="N3217" s="374"/>
      <c r="O3217" s="374">
        <f t="shared" si="536"/>
        <v>2</v>
      </c>
      <c r="P3217" s="156">
        <v>309</v>
      </c>
      <c r="Q3217" s="98">
        <f t="shared" si="537"/>
        <v>0.99356913183279738</v>
      </c>
      <c r="R3217" s="371"/>
      <c r="S3217" s="372"/>
      <c r="T3217" s="364" t="s">
        <v>1153</v>
      </c>
      <c r="U3217" s="264"/>
      <c r="V3217" s="264" t="s">
        <v>1847</v>
      </c>
      <c r="W3217" s="424">
        <v>46232</v>
      </c>
      <c r="X3217" s="264" t="s">
        <v>1867</v>
      </c>
      <c r="Y3217" s="424">
        <v>46233</v>
      </c>
      <c r="Z3217" s="424"/>
      <c r="AA3217" s="424">
        <v>46230</v>
      </c>
      <c r="AB3217" s="428">
        <v>46232</v>
      </c>
      <c r="AC3217" s="425">
        <f t="shared" si="539"/>
        <v>0</v>
      </c>
      <c r="AD3217" s="425">
        <f t="shared" si="540"/>
        <v>1</v>
      </c>
    </row>
    <row r="3218" spans="1:30" s="361" customFormat="1" x14ac:dyDescent="0.4">
      <c r="A3218" s="402">
        <v>46232</v>
      </c>
      <c r="B3218" s="392" t="s">
        <v>1046</v>
      </c>
      <c r="C3218" s="364" t="str">
        <f>VLOOKUP(B3218,'112年全品項生產鍋數'!A:H,2,0)</f>
        <v>藍莓顆粒果醬(1*6kg)</v>
      </c>
      <c r="D3218" s="404">
        <v>12</v>
      </c>
      <c r="E3218" s="48">
        <f>VLOOKUP(B3218,'112年全品項生產鍋數'!A:H,3,0)</f>
        <v>6</v>
      </c>
      <c r="F3218" s="142">
        <f>VLOOKUP(B3218,'112年全品項生產鍋數'!A:H,7,0)</f>
        <v>0</v>
      </c>
      <c r="G3218" s="143">
        <f t="shared" si="532"/>
        <v>0</v>
      </c>
      <c r="H3218" s="156">
        <v>317</v>
      </c>
      <c r="I3218" s="371">
        <f t="shared" si="533"/>
        <v>1902</v>
      </c>
      <c r="J3218" s="100" t="str">
        <f t="shared" si="534"/>
        <v>無法預估數據</v>
      </c>
      <c r="K3218" s="51">
        <f>VLOOKUP(B:B,'生產達成率(目標)'!A:C,3,0)</f>
        <v>1</v>
      </c>
      <c r="L3218" s="20" t="str">
        <f t="shared" si="535"/>
        <v>無法預估數據</v>
      </c>
      <c r="M3218" s="137" t="str">
        <f>工時!R2405</f>
        <v>210</v>
      </c>
      <c r="N3218" s="374"/>
      <c r="O3218" s="374">
        <f t="shared" si="536"/>
        <v>2</v>
      </c>
      <c r="P3218" s="156">
        <v>315</v>
      </c>
      <c r="Q3218" s="98">
        <f t="shared" si="537"/>
        <v>0.99369085173501581</v>
      </c>
      <c r="R3218" s="371"/>
      <c r="S3218" s="372"/>
      <c r="T3218" s="364" t="s">
        <v>1153</v>
      </c>
      <c r="U3218" s="264"/>
      <c r="V3218" s="264" t="s">
        <v>1847</v>
      </c>
      <c r="W3218" s="424">
        <v>46233</v>
      </c>
      <c r="X3218" s="264" t="s">
        <v>1867</v>
      </c>
      <c r="Y3218" s="424">
        <v>46233</v>
      </c>
      <c r="Z3218" s="424"/>
      <c r="AA3218" s="424">
        <v>46230</v>
      </c>
      <c r="AB3218" s="424">
        <v>46233</v>
      </c>
      <c r="AC3218" s="425">
        <f t="shared" si="539"/>
        <v>1</v>
      </c>
      <c r="AD3218" s="425">
        <f t="shared" si="540"/>
        <v>1</v>
      </c>
    </row>
    <row r="3219" spans="1:30" s="361" customFormat="1" x14ac:dyDescent="0.4">
      <c r="A3219" s="402">
        <v>46232</v>
      </c>
      <c r="B3219" s="392" t="s">
        <v>65</v>
      </c>
      <c r="C3219" s="364" t="str">
        <f>VLOOKUP(B3219,'112年全品項生產鍋數'!A:H,2,0)</f>
        <v>＃1花生(1*2.8kg)</v>
      </c>
      <c r="D3219" s="404">
        <v>72</v>
      </c>
      <c r="E3219" s="48">
        <f>VLOOKUP(B3219,'112年全品項生產鍋數'!A:H,3,0)</f>
        <v>2.8</v>
      </c>
      <c r="F3219" s="142">
        <f>VLOOKUP(B3219,'112年全品項生產鍋數'!A:H,7,0)</f>
        <v>44.5</v>
      </c>
      <c r="G3219" s="143">
        <f t="shared" si="532"/>
        <v>3204</v>
      </c>
      <c r="H3219" s="156">
        <v>3072</v>
      </c>
      <c r="I3219" s="371">
        <f t="shared" si="533"/>
        <v>8601.5999999999985</v>
      </c>
      <c r="J3219" s="100">
        <f t="shared" si="534"/>
        <v>0.95880149812734083</v>
      </c>
      <c r="K3219" s="51">
        <f>VLOOKUP(B:B,'生產達成率(目標)'!A:C,3,0)</f>
        <v>1</v>
      </c>
      <c r="L3219" s="20">
        <f t="shared" si="535"/>
        <v>-4.1000000000000002E-2</v>
      </c>
      <c r="M3219" s="137" t="str">
        <f>工時!R2406</f>
        <v>510</v>
      </c>
      <c r="N3219" s="374"/>
      <c r="O3219" s="374">
        <f t="shared" si="536"/>
        <v>1</v>
      </c>
      <c r="P3219" s="156">
        <v>3071</v>
      </c>
      <c r="Q3219" s="98">
        <f t="shared" si="537"/>
        <v>0.99967447916666663</v>
      </c>
      <c r="R3219" s="371"/>
      <c r="S3219" s="372"/>
      <c r="T3219" s="364" t="s">
        <v>1786</v>
      </c>
      <c r="U3219" s="264"/>
      <c r="V3219" s="264" t="s">
        <v>1848</v>
      </c>
      <c r="W3219" s="424">
        <v>46232</v>
      </c>
      <c r="X3219" s="264" t="s">
        <v>1848</v>
      </c>
      <c r="Y3219" s="424">
        <v>46232</v>
      </c>
      <c r="Z3219" s="424"/>
      <c r="AA3219" s="424" t="s">
        <v>1795</v>
      </c>
      <c r="AB3219" s="424">
        <v>46232</v>
      </c>
      <c r="AC3219" s="425">
        <f t="shared" si="539"/>
        <v>0</v>
      </c>
      <c r="AD3219" s="425">
        <f t="shared" si="540"/>
        <v>0</v>
      </c>
    </row>
    <row r="3220" spans="1:30" s="361" customFormat="1" x14ac:dyDescent="0.4">
      <c r="A3220" s="402">
        <v>46233</v>
      </c>
      <c r="B3220" s="392" t="s">
        <v>71</v>
      </c>
      <c r="C3220" s="364" t="str">
        <f>VLOOKUP(B3220,'112年全品項生產鍋數'!A:H,2,0)</f>
        <v>＃1草莓(1*3.2kg)</v>
      </c>
      <c r="D3220" s="404">
        <v>36</v>
      </c>
      <c r="E3220" s="48">
        <f>VLOOKUP(B3220,'112年全品項生產鍋數'!A:H,3,0)</f>
        <v>3.2</v>
      </c>
      <c r="F3220" s="142">
        <f>VLOOKUP(B3220,'112年全品項生產鍋數'!A:H,7,0)</f>
        <v>46.8</v>
      </c>
      <c r="G3220" s="143">
        <f t="shared" si="532"/>
        <v>1684.8</v>
      </c>
      <c r="H3220" s="156">
        <v>1663</v>
      </c>
      <c r="I3220" s="371">
        <f t="shared" si="533"/>
        <v>5321.6</v>
      </c>
      <c r="J3220" s="100">
        <f t="shared" si="534"/>
        <v>0.98706077872744546</v>
      </c>
      <c r="K3220" s="51">
        <f>VLOOKUP(B:B,'生產達成率(目標)'!A:C,3,0)</f>
        <v>1</v>
      </c>
      <c r="L3220" s="20">
        <f t="shared" si="535"/>
        <v>-1.2999999999999999E-2</v>
      </c>
      <c r="M3220" s="137" t="str">
        <f>工時!R2407</f>
        <v>300</v>
      </c>
      <c r="N3220" s="374"/>
      <c r="O3220" s="374">
        <f t="shared" si="536"/>
        <v>1</v>
      </c>
      <c r="P3220" s="156">
        <v>1662</v>
      </c>
      <c r="Q3220" s="98">
        <f t="shared" si="537"/>
        <v>0.99939867708959707</v>
      </c>
      <c r="R3220" s="371"/>
      <c r="S3220" s="372"/>
      <c r="T3220" s="364" t="s">
        <v>1785</v>
      </c>
      <c r="U3220" s="264"/>
      <c r="V3220" s="264" t="s">
        <v>1849</v>
      </c>
      <c r="W3220" s="424">
        <v>46233</v>
      </c>
      <c r="X3220" s="264" t="s">
        <v>1867</v>
      </c>
      <c r="Y3220" s="424">
        <v>46234</v>
      </c>
      <c r="Z3220" s="424"/>
      <c r="AA3220" s="424" t="s">
        <v>1799</v>
      </c>
      <c r="AB3220" s="424" t="s">
        <v>1800</v>
      </c>
      <c r="AC3220" s="425">
        <f t="shared" si="539"/>
        <v>0</v>
      </c>
      <c r="AD3220" s="425">
        <f t="shared" si="540"/>
        <v>1</v>
      </c>
    </row>
    <row r="3221" spans="1:30" s="361" customFormat="1" x14ac:dyDescent="0.4">
      <c r="A3221" s="402">
        <v>46233</v>
      </c>
      <c r="B3221" s="392" t="s">
        <v>68</v>
      </c>
      <c r="C3221" s="364" t="str">
        <f>VLOOKUP(B3221,'112年全品項生產鍋數'!A:H,2,0)</f>
        <v>#2草莓果醬(1*900g)</v>
      </c>
      <c r="D3221" s="404">
        <v>20</v>
      </c>
      <c r="E3221" s="48">
        <f>VLOOKUP(B3221,'112年全品項生產鍋數'!A:H,3,0)</f>
        <v>0.9</v>
      </c>
      <c r="F3221" s="142">
        <f>VLOOKUP(B3221,'112年全品項生產鍋數'!A:H,7,0)</f>
        <v>160.5</v>
      </c>
      <c r="G3221" s="143">
        <f t="shared" si="532"/>
        <v>3210</v>
      </c>
      <c r="H3221" s="156">
        <v>3231</v>
      </c>
      <c r="I3221" s="371">
        <f t="shared" si="533"/>
        <v>2907.9</v>
      </c>
      <c r="J3221" s="100">
        <f t="shared" si="534"/>
        <v>1.0065420560747664</v>
      </c>
      <c r="K3221" s="51">
        <f>VLOOKUP(B:B,'生產達成率(目標)'!A:C,3,0)</f>
        <v>1</v>
      </c>
      <c r="L3221" s="20">
        <f t="shared" si="535"/>
        <v>7.0000000000000001E-3</v>
      </c>
      <c r="M3221" s="137" t="str">
        <f>工時!R2408</f>
        <v>245</v>
      </c>
      <c r="N3221" s="374"/>
      <c r="O3221" s="374">
        <f t="shared" si="536"/>
        <v>5</v>
      </c>
      <c r="P3221" s="156">
        <v>3226</v>
      </c>
      <c r="Q3221" s="98">
        <f t="shared" si="537"/>
        <v>0.99845249148870319</v>
      </c>
      <c r="R3221" s="371"/>
      <c r="S3221" s="372"/>
      <c r="T3221" s="364" t="s">
        <v>1153</v>
      </c>
      <c r="U3221" s="264"/>
      <c r="V3221" s="264" t="s">
        <v>1849</v>
      </c>
      <c r="W3221" s="424">
        <v>46233</v>
      </c>
      <c r="X3221" s="264" t="s">
        <v>1867</v>
      </c>
      <c r="Y3221" s="424">
        <v>46234</v>
      </c>
      <c r="Z3221" s="424"/>
      <c r="AA3221" s="424" t="s">
        <v>1799</v>
      </c>
      <c r="AB3221" s="424" t="s">
        <v>1800</v>
      </c>
      <c r="AC3221" s="425">
        <f t="shared" si="539"/>
        <v>0</v>
      </c>
      <c r="AD3221" s="425">
        <f t="shared" si="540"/>
        <v>1</v>
      </c>
    </row>
    <row r="3222" spans="1:30" s="361" customFormat="1" x14ac:dyDescent="0.4">
      <c r="A3222" s="402">
        <v>46233</v>
      </c>
      <c r="B3222" s="392" t="s">
        <v>63</v>
      </c>
      <c r="C3222" s="364" t="str">
        <f>VLOOKUP(B3222,'112年全品項生產鍋數'!A:H,2,0)</f>
        <v>草莓蒟蒻餡(1*6kg)</v>
      </c>
      <c r="D3222" s="404">
        <v>20</v>
      </c>
      <c r="E3222" s="48">
        <f>VLOOKUP(B3222,'112年全品項生產鍋數'!A:H,3,0)</f>
        <v>6</v>
      </c>
      <c r="F3222" s="142">
        <f>VLOOKUP(B3222,'112年全品項生產鍋數'!A:H,7,0)</f>
        <v>25.7</v>
      </c>
      <c r="G3222" s="143">
        <f t="shared" si="532"/>
        <v>514</v>
      </c>
      <c r="H3222" s="156">
        <v>513</v>
      </c>
      <c r="I3222" s="371">
        <f t="shared" si="533"/>
        <v>3078</v>
      </c>
      <c r="J3222" s="100">
        <f t="shared" si="534"/>
        <v>0.99805447470817121</v>
      </c>
      <c r="K3222" s="51">
        <f>VLOOKUP(B:B,'生產達成率(目標)'!A:C,3,0)</f>
        <v>1</v>
      </c>
      <c r="L3222" s="20">
        <f t="shared" si="535"/>
        <v>-2E-3</v>
      </c>
      <c r="M3222" s="137" t="str">
        <f>工時!R2409</f>
        <v>268</v>
      </c>
      <c r="N3222" s="374"/>
      <c r="O3222" s="374">
        <f t="shared" si="536"/>
        <v>1</v>
      </c>
      <c r="P3222" s="156">
        <v>512</v>
      </c>
      <c r="Q3222" s="98">
        <f t="shared" si="537"/>
        <v>0.99805068226120852</v>
      </c>
      <c r="R3222" s="371"/>
      <c r="S3222" s="372"/>
      <c r="T3222" s="364" t="s">
        <v>1275</v>
      </c>
      <c r="U3222" s="264"/>
      <c r="V3222" s="264" t="s">
        <v>1847</v>
      </c>
      <c r="W3222" s="424">
        <v>46233</v>
      </c>
      <c r="X3222" s="264" t="s">
        <v>1867</v>
      </c>
      <c r="Y3222" s="424">
        <v>46234</v>
      </c>
      <c r="Z3222" s="424"/>
      <c r="AA3222" s="424" t="s">
        <v>1799</v>
      </c>
      <c r="AB3222" s="424" t="s">
        <v>1710</v>
      </c>
      <c r="AC3222" s="425">
        <f t="shared" si="539"/>
        <v>0</v>
      </c>
      <c r="AD3222" s="425">
        <f t="shared" si="540"/>
        <v>1</v>
      </c>
    </row>
    <row r="3223" spans="1:30" s="361" customFormat="1" x14ac:dyDescent="0.4">
      <c r="A3223" s="402">
        <v>46233</v>
      </c>
      <c r="B3223" s="392" t="s">
        <v>72</v>
      </c>
      <c r="C3223" s="364" t="str">
        <f>VLOOKUP(B3223,'112年全品項生產鍋數'!A:H,2,0)</f>
        <v>草莓餡45%(1*6Kg)</v>
      </c>
      <c r="D3223" s="404">
        <v>20</v>
      </c>
      <c r="E3223" s="48">
        <f>VLOOKUP(B3223,'112年全品項生產鍋數'!A:H,3,0)</f>
        <v>6</v>
      </c>
      <c r="F3223" s="142">
        <f>VLOOKUP(B3223,'112年全品項生產鍋數'!A:H,7,0)</f>
        <v>26.1</v>
      </c>
      <c r="G3223" s="143">
        <f t="shared" si="532"/>
        <v>522</v>
      </c>
      <c r="H3223" s="156">
        <v>533</v>
      </c>
      <c r="I3223" s="371">
        <f t="shared" si="533"/>
        <v>3198</v>
      </c>
      <c r="J3223" s="100">
        <f t="shared" si="534"/>
        <v>1.0210727969348659</v>
      </c>
      <c r="K3223" s="51">
        <f>VLOOKUP(B:B,'生產達成率(目標)'!A:C,3,0)</f>
        <v>1</v>
      </c>
      <c r="L3223" s="20">
        <f t="shared" si="535"/>
        <v>2.1000000000000001E-2</v>
      </c>
      <c r="M3223" s="137" t="str">
        <f>工時!R2410</f>
        <v>275</v>
      </c>
      <c r="N3223" s="374"/>
      <c r="O3223" s="374">
        <f t="shared" si="536"/>
        <v>1</v>
      </c>
      <c r="P3223" s="156">
        <v>532</v>
      </c>
      <c r="Q3223" s="98">
        <f t="shared" si="537"/>
        <v>0.99812382739212002</v>
      </c>
      <c r="R3223" s="371"/>
      <c r="S3223" s="372"/>
      <c r="T3223" s="364" t="s">
        <v>1153</v>
      </c>
      <c r="U3223" s="264"/>
      <c r="V3223" s="264" t="s">
        <v>1847</v>
      </c>
      <c r="W3223" s="424">
        <v>46233</v>
      </c>
      <c r="X3223" s="264" t="s">
        <v>1867</v>
      </c>
      <c r="Y3223" s="424">
        <v>46234</v>
      </c>
      <c r="Z3223" s="424"/>
      <c r="AA3223" s="424">
        <v>46232</v>
      </c>
      <c r="AB3223" s="424">
        <v>46233</v>
      </c>
      <c r="AC3223" s="425">
        <f t="shared" si="539"/>
        <v>0</v>
      </c>
      <c r="AD3223" s="425">
        <f t="shared" si="540"/>
        <v>1</v>
      </c>
    </row>
    <row r="3224" spans="1:30" s="361" customFormat="1" x14ac:dyDescent="0.4">
      <c r="A3224" s="402">
        <v>46233</v>
      </c>
      <c r="B3224" s="392" t="s">
        <v>96</v>
      </c>
      <c r="C3224" s="364" t="str">
        <f>VLOOKUP(B3224,'112年全品項生產鍋數'!A:H,2,0)</f>
        <v>PET瓶花生(1*340g)</v>
      </c>
      <c r="D3224" s="404">
        <v>4</v>
      </c>
      <c r="E3224" s="48">
        <f>VLOOKUP(B3224,'112年全品項生產鍋數'!A:H,3,0)</f>
        <v>0.34</v>
      </c>
      <c r="F3224" s="142">
        <f>VLOOKUP(B3224,'112年全品項生產鍋數'!A:H,7,0)</f>
        <v>358.3</v>
      </c>
      <c r="G3224" s="143">
        <f>D3224*F3224-1203*0.285/E3224</f>
        <v>424.80294117647077</v>
      </c>
      <c r="H3224" s="156">
        <v>302</v>
      </c>
      <c r="I3224" s="371">
        <f t="shared" si="533"/>
        <v>102.68</v>
      </c>
      <c r="J3224" s="100">
        <f t="shared" si="534"/>
        <v>0.71091786503084442</v>
      </c>
      <c r="K3224" s="51">
        <f>VLOOKUP(B:B,'生產達成率(目標)'!A:C,3,0)</f>
        <v>1</v>
      </c>
      <c r="L3224" s="20">
        <f t="shared" si="535"/>
        <v>-0.28899999999999998</v>
      </c>
      <c r="M3224" s="137" t="str">
        <f>工時!R2411</f>
        <v>150</v>
      </c>
      <c r="N3224" s="374"/>
      <c r="O3224" s="374">
        <f t="shared" si="536"/>
        <v>3</v>
      </c>
      <c r="P3224" s="156">
        <v>299</v>
      </c>
      <c r="Q3224" s="98">
        <f t="shared" si="537"/>
        <v>0.99006622516556286</v>
      </c>
      <c r="R3224" s="371"/>
      <c r="S3224" s="372"/>
      <c r="T3224" s="364" t="s">
        <v>1787</v>
      </c>
      <c r="U3224" s="264"/>
      <c r="V3224" s="264" t="s">
        <v>1848</v>
      </c>
      <c r="W3224" s="424">
        <v>46233</v>
      </c>
      <c r="X3224" s="264" t="s">
        <v>1848</v>
      </c>
      <c r="Y3224" s="424">
        <v>46233</v>
      </c>
      <c r="Z3224" s="424"/>
      <c r="AA3224" s="424">
        <v>46232</v>
      </c>
      <c r="AB3224" s="424">
        <v>46233</v>
      </c>
      <c r="AC3224" s="425">
        <f t="shared" si="539"/>
        <v>0</v>
      </c>
      <c r="AD3224" s="425">
        <f t="shared" si="540"/>
        <v>0</v>
      </c>
    </row>
    <row r="3225" spans="1:30" s="381" customFormat="1" x14ac:dyDescent="0.4">
      <c r="A3225" s="402">
        <v>46233</v>
      </c>
      <c r="B3225" s="392" t="s">
        <v>82</v>
      </c>
      <c r="C3225" s="375" t="str">
        <f>VLOOKUP(B3225,'112年全品項生產鍋數'!A:H,2,0)</f>
        <v>顆粒花生醬(全)</v>
      </c>
      <c r="D3225" s="406">
        <v>24</v>
      </c>
      <c r="E3225" s="141">
        <f>VLOOKUP(B3225,'112年全品項生產鍋數'!A:H,3,0)</f>
        <v>0.34</v>
      </c>
      <c r="F3225" s="142">
        <f>VLOOKUP(B3225,'112年全品項生產鍋數'!A:H,7,0)</f>
        <v>364.6</v>
      </c>
      <c r="G3225" s="143">
        <f>D3225*F3225-1203*0.285/E3225</f>
        <v>7742.0029411764717</v>
      </c>
      <c r="H3225" s="156">
        <v>7895</v>
      </c>
      <c r="I3225" s="374">
        <f t="shared" si="533"/>
        <v>2684.3</v>
      </c>
      <c r="J3225" s="100">
        <f t="shared" si="534"/>
        <v>1.019761947907537</v>
      </c>
      <c r="K3225" s="51">
        <f>VLOOKUP(B:B,'生產達成率(目標)'!A:C,3,0)</f>
        <v>1</v>
      </c>
      <c r="L3225" s="20">
        <f t="shared" si="535"/>
        <v>0.02</v>
      </c>
      <c r="M3225" s="137" t="str">
        <f>工時!R2412</f>
        <v>450</v>
      </c>
      <c r="N3225" s="374"/>
      <c r="O3225" s="374">
        <f t="shared" si="536"/>
        <v>3</v>
      </c>
      <c r="P3225" s="156">
        <v>7892</v>
      </c>
      <c r="Q3225" s="145">
        <f t="shared" si="537"/>
        <v>0.99962001266624445</v>
      </c>
      <c r="R3225" s="374"/>
      <c r="S3225" s="378"/>
      <c r="T3225" s="375" t="s">
        <v>1788</v>
      </c>
      <c r="U3225" s="398"/>
      <c r="V3225" s="398" t="s">
        <v>1848</v>
      </c>
      <c r="W3225" s="427">
        <v>46233</v>
      </c>
      <c r="X3225" s="264" t="s">
        <v>1848</v>
      </c>
      <c r="Y3225" s="427">
        <v>46233</v>
      </c>
      <c r="Z3225" s="427"/>
      <c r="AA3225" s="427">
        <v>46232</v>
      </c>
      <c r="AB3225" s="427">
        <v>46233</v>
      </c>
      <c r="AC3225" s="429">
        <f t="shared" si="539"/>
        <v>0</v>
      </c>
      <c r="AD3225" s="429">
        <f t="shared" si="540"/>
        <v>0</v>
      </c>
    </row>
    <row r="3226" spans="1:30" s="381" customFormat="1" x14ac:dyDescent="0.4">
      <c r="A3226" s="402">
        <v>46234</v>
      </c>
      <c r="B3226" s="392" t="s">
        <v>91</v>
      </c>
      <c r="C3226" s="375" t="str">
        <f>VLOOKUP(B3226,'112年全品項生產鍋數'!A:H,2,0)</f>
        <v>梨山草莓果醬(1*430g)</v>
      </c>
      <c r="D3226" s="406">
        <v>12</v>
      </c>
      <c r="E3226" s="141">
        <f>VLOOKUP(B3226,'112年全品項生產鍋數'!A:H,3,0)</f>
        <v>0.43</v>
      </c>
      <c r="F3226" s="142">
        <f>VLOOKUP(B3226,'112年全品項生產鍋數'!A:H,7,0)</f>
        <v>340.4</v>
      </c>
      <c r="G3226" s="143">
        <f t="shared" si="532"/>
        <v>4084.7999999999997</v>
      </c>
      <c r="H3226" s="156">
        <f>1880+2162</f>
        <v>4042</v>
      </c>
      <c r="I3226" s="374">
        <f t="shared" si="533"/>
        <v>1738.06</v>
      </c>
      <c r="J3226" s="100">
        <f t="shared" si="534"/>
        <v>0.98952213082647877</v>
      </c>
      <c r="K3226" s="51">
        <f>VLOOKUP(B:B,'生產達成率(目標)'!A:C,3,0)</f>
        <v>1</v>
      </c>
      <c r="L3226" s="20">
        <f t="shared" si="535"/>
        <v>-0.01</v>
      </c>
      <c r="M3226" s="137" t="str">
        <f>工時!R2414</f>
        <v>205</v>
      </c>
      <c r="N3226" s="374"/>
      <c r="O3226" s="374">
        <f t="shared" si="536"/>
        <v>10</v>
      </c>
      <c r="P3226" s="156">
        <f>1872+2160</f>
        <v>4032</v>
      </c>
      <c r="Q3226" s="145">
        <f t="shared" si="537"/>
        <v>0.99752597723899061</v>
      </c>
      <c r="R3226" s="374"/>
      <c r="S3226" s="378"/>
      <c r="T3226" s="375" t="s">
        <v>1789</v>
      </c>
      <c r="U3226" s="398"/>
      <c r="V3226" s="398" t="s">
        <v>1849</v>
      </c>
      <c r="W3226" s="427">
        <v>46237</v>
      </c>
      <c r="X3226" s="264" t="s">
        <v>1867</v>
      </c>
      <c r="Y3226" s="427">
        <v>46240</v>
      </c>
      <c r="Z3226" s="427"/>
      <c r="AA3226" s="427">
        <v>46233</v>
      </c>
      <c r="AB3226" s="427">
        <v>46237</v>
      </c>
      <c r="AC3226" s="429">
        <f t="shared" si="539"/>
        <v>3</v>
      </c>
      <c r="AD3226" s="429">
        <f t="shared" si="540"/>
        <v>6</v>
      </c>
    </row>
    <row r="3227" spans="1:30" s="381" customFormat="1" x14ac:dyDescent="0.4">
      <c r="A3227" s="402">
        <v>46234</v>
      </c>
      <c r="B3227" s="392" t="s">
        <v>456</v>
      </c>
      <c r="C3227" s="375" t="str">
        <f>VLOOKUP(B3227,'112年全品項生產鍋數'!A:H,2,0)</f>
        <v>桑椹果醬(1*190g)</v>
      </c>
      <c r="D3227" s="406">
        <v>3</v>
      </c>
      <c r="E3227" s="141">
        <f>VLOOKUP(B3227,'112年全品項生產鍋數'!A:H,3,0)</f>
        <v>0.19</v>
      </c>
      <c r="F3227" s="142">
        <f>VLOOKUP(B3227,'112年全品項生產鍋數'!A:H,7,0)</f>
        <v>759.3</v>
      </c>
      <c r="G3227" s="143">
        <f t="shared" si="532"/>
        <v>2277.8999999999996</v>
      </c>
      <c r="H3227" s="156">
        <v>2325</v>
      </c>
      <c r="I3227" s="374">
        <f t="shared" si="533"/>
        <v>441.75</v>
      </c>
      <c r="J3227" s="100">
        <f t="shared" si="534"/>
        <v>1.0206769392861847</v>
      </c>
      <c r="K3227" s="51">
        <f>VLOOKUP(B:B,'生產達成率(目標)'!A:C,3,0)</f>
        <v>1</v>
      </c>
      <c r="L3227" s="20">
        <f t="shared" si="535"/>
        <v>2.1000000000000001E-2</v>
      </c>
      <c r="M3227" s="137" t="str">
        <f>工時!R2415</f>
        <v>205</v>
      </c>
      <c r="N3227" s="374"/>
      <c r="O3227" s="374">
        <f t="shared" si="536"/>
        <v>7</v>
      </c>
      <c r="P3227" s="156">
        <v>2318</v>
      </c>
      <c r="Q3227" s="145">
        <f t="shared" si="537"/>
        <v>0.99698924731182792</v>
      </c>
      <c r="R3227" s="374"/>
      <c r="S3227" s="378"/>
      <c r="T3227" s="375" t="s">
        <v>1153</v>
      </c>
      <c r="U3227" s="398"/>
      <c r="V3227" s="398" t="s">
        <v>1849</v>
      </c>
      <c r="W3227" s="427">
        <v>46234</v>
      </c>
      <c r="X3227" s="264" t="s">
        <v>1867</v>
      </c>
      <c r="Y3227" s="427">
        <v>46240</v>
      </c>
      <c r="Z3227" s="427"/>
      <c r="AA3227" s="427">
        <v>46233</v>
      </c>
      <c r="AB3227" s="427">
        <v>46237</v>
      </c>
      <c r="AC3227" s="429">
        <f t="shared" si="539"/>
        <v>0</v>
      </c>
      <c r="AD3227" s="429">
        <f t="shared" si="540"/>
        <v>6</v>
      </c>
    </row>
    <row r="3228" spans="1:30" s="381" customFormat="1" x14ac:dyDescent="0.4">
      <c r="A3228" s="402">
        <v>46234</v>
      </c>
      <c r="B3228" s="392" t="s">
        <v>472</v>
      </c>
      <c r="C3228" s="375" t="str">
        <f>VLOOKUP(B3228,'112年全品項生產鍋數'!A:H,2,0)</f>
        <v>藍莓果醬(1*210G)</v>
      </c>
      <c r="D3228" s="406">
        <v>8</v>
      </c>
      <c r="E3228" s="141">
        <f>VLOOKUP(B3228,'112年全品項生產鍋數'!A:H,3,0)</f>
        <v>0.21</v>
      </c>
      <c r="F3228" s="142">
        <f>VLOOKUP(B3228,'112年全品項生產鍋數'!A:H,7,0)</f>
        <v>698.4</v>
      </c>
      <c r="G3228" s="143">
        <f t="shared" si="532"/>
        <v>5587.2</v>
      </c>
      <c r="H3228" s="156">
        <v>5976</v>
      </c>
      <c r="I3228" s="374">
        <f t="shared" si="533"/>
        <v>1254.96</v>
      </c>
      <c r="J3228" s="100">
        <f t="shared" si="534"/>
        <v>1.0695876288659794</v>
      </c>
      <c r="K3228" s="51">
        <f>VLOOKUP(B:B,'生產達成率(目標)'!A:C,3,0)</f>
        <v>1</v>
      </c>
      <c r="L3228" s="20">
        <f>IF(G3228=0,"無法預估數據",ROUND(J3228-K3228,3))</f>
        <v>7.0000000000000007E-2</v>
      </c>
      <c r="M3228" s="137" t="str">
        <f>工時!R2416</f>
        <v>260</v>
      </c>
      <c r="N3228" s="374"/>
      <c r="O3228" s="374">
        <f t="shared" si="536"/>
        <v>9</v>
      </c>
      <c r="P3228" s="156">
        <v>5967</v>
      </c>
      <c r="Q3228" s="145">
        <f t="shared" si="537"/>
        <v>0.99849397590361444</v>
      </c>
      <c r="R3228" s="374"/>
      <c r="S3228" s="378"/>
      <c r="T3228" s="375" t="s">
        <v>1153</v>
      </c>
      <c r="U3228" s="398"/>
      <c r="V3228" s="398" t="s">
        <v>1849</v>
      </c>
      <c r="W3228" s="427">
        <v>46237</v>
      </c>
      <c r="X3228" s="264" t="s">
        <v>1867</v>
      </c>
      <c r="Y3228" s="427">
        <v>46240</v>
      </c>
      <c r="Z3228" s="427"/>
      <c r="AA3228" s="427">
        <v>46233</v>
      </c>
      <c r="AB3228" s="427">
        <v>46237</v>
      </c>
      <c r="AC3228" s="429">
        <f t="shared" si="539"/>
        <v>3</v>
      </c>
      <c r="AD3228" s="429">
        <f t="shared" si="540"/>
        <v>6</v>
      </c>
    </row>
    <row r="3229" spans="1:30" s="361" customFormat="1" x14ac:dyDescent="0.4">
      <c r="A3229" s="402">
        <v>46234</v>
      </c>
      <c r="B3229" s="392" t="s">
        <v>54</v>
      </c>
      <c r="C3229" s="364" t="str">
        <f>VLOOKUP(B3229,'112年全品項生產鍋數'!A:H,2,0)</f>
        <v>草莓醬(1*6kg)</v>
      </c>
      <c r="D3229" s="404">
        <v>20</v>
      </c>
      <c r="E3229" s="48">
        <f>VLOOKUP(B3229,'112年全品項生產鍋數'!A:H,3,0)</f>
        <v>6</v>
      </c>
      <c r="F3229" s="142">
        <f>VLOOKUP(B3229,'112年全品項生產鍋數'!A:H,7,0)</f>
        <v>26.6</v>
      </c>
      <c r="G3229" s="143">
        <f t="shared" si="532"/>
        <v>532</v>
      </c>
      <c r="H3229" s="156">
        <v>527</v>
      </c>
      <c r="I3229" s="371">
        <f t="shared" si="533"/>
        <v>3162</v>
      </c>
      <c r="J3229" s="100">
        <f t="shared" si="534"/>
        <v>0.99060150375939848</v>
      </c>
      <c r="K3229" s="51">
        <f>VLOOKUP(B:B,'生產達成率(目標)'!A:C,3,0)</f>
        <v>1</v>
      </c>
      <c r="L3229" s="20">
        <f t="shared" si="535"/>
        <v>-8.9999999999999993E-3</v>
      </c>
      <c r="M3229" s="137" t="str">
        <f>工時!R2417</f>
        <v>310</v>
      </c>
      <c r="N3229" s="374"/>
      <c r="O3229" s="374">
        <f t="shared" si="536"/>
        <v>1</v>
      </c>
      <c r="P3229" s="156">
        <v>526</v>
      </c>
      <c r="Q3229" s="98">
        <f t="shared" si="537"/>
        <v>0.99810246679316883</v>
      </c>
      <c r="R3229" s="371"/>
      <c r="S3229" s="372"/>
      <c r="T3229" s="364" t="s">
        <v>1153</v>
      </c>
      <c r="U3229" s="264"/>
      <c r="V3229" s="264" t="s">
        <v>1847</v>
      </c>
      <c r="W3229" s="424">
        <v>46234</v>
      </c>
      <c r="X3229" s="264" t="s">
        <v>1867</v>
      </c>
      <c r="Y3229" s="424">
        <v>46237</v>
      </c>
      <c r="Z3229" s="424"/>
      <c r="AA3229" s="424">
        <v>46233</v>
      </c>
      <c r="AB3229" s="424">
        <v>46234</v>
      </c>
      <c r="AC3229" s="425">
        <f t="shared" si="539"/>
        <v>0</v>
      </c>
      <c r="AD3229" s="425">
        <f t="shared" si="540"/>
        <v>3</v>
      </c>
    </row>
    <row r="3230" spans="1:30" s="361" customFormat="1" x14ac:dyDescent="0.4">
      <c r="A3230" s="402">
        <v>46234</v>
      </c>
      <c r="B3230" s="392" t="s">
        <v>1162</v>
      </c>
      <c r="C3230" s="364" t="str">
        <f>VLOOKUP(B3230,'112年全品項生產鍋數'!A:H,2,0)</f>
        <v>藍莓餡(1*6KG)</v>
      </c>
      <c r="D3230" s="404">
        <v>24</v>
      </c>
      <c r="E3230" s="48">
        <f>VLOOKUP(B3230,'112年全品項生產鍋數'!A:H,3,0)</f>
        <v>6</v>
      </c>
      <c r="F3230" s="142">
        <f>VLOOKUP(B3230,'112年全品項生產鍋數'!A:H,7,0)</f>
        <v>25.4</v>
      </c>
      <c r="G3230" s="143">
        <f t="shared" si="532"/>
        <v>609.59999999999991</v>
      </c>
      <c r="H3230" s="156">
        <f>199+430</f>
        <v>629</v>
      </c>
      <c r="I3230" s="371">
        <f t="shared" si="533"/>
        <v>3774</v>
      </c>
      <c r="J3230" s="100">
        <f t="shared" si="534"/>
        <v>1.0318241469816274</v>
      </c>
      <c r="K3230" s="51" t="e">
        <f>VLOOKUP(B:B,'生產達成率(目標)'!A:C,3,0)</f>
        <v>#N/A</v>
      </c>
      <c r="L3230" s="20" t="e">
        <f t="shared" si="535"/>
        <v>#N/A</v>
      </c>
      <c r="M3230" s="137" t="str">
        <f>工時!R2418</f>
        <v>140</v>
      </c>
      <c r="N3230" s="374"/>
      <c r="O3230" s="374">
        <f t="shared" si="536"/>
        <v>4</v>
      </c>
      <c r="P3230" s="156">
        <f>195+430</f>
        <v>625</v>
      </c>
      <c r="Q3230" s="98">
        <f t="shared" si="537"/>
        <v>0.99364069952305245</v>
      </c>
      <c r="R3230" s="371"/>
      <c r="S3230" s="372"/>
      <c r="T3230" s="364" t="s">
        <v>1268</v>
      </c>
      <c r="U3230" s="264"/>
      <c r="V3230" s="264" t="s">
        <v>1847</v>
      </c>
      <c r="W3230" s="424">
        <v>46237</v>
      </c>
      <c r="X3230" s="264" t="s">
        <v>1867</v>
      </c>
      <c r="Y3230" s="424">
        <v>46237</v>
      </c>
      <c r="Z3230" s="424"/>
      <c r="AA3230" s="424">
        <v>46233</v>
      </c>
      <c r="AB3230" s="424" t="s">
        <v>1820</v>
      </c>
      <c r="AC3230" s="425">
        <f t="shared" si="539"/>
        <v>3</v>
      </c>
      <c r="AD3230" s="425">
        <f t="shared" si="540"/>
        <v>3</v>
      </c>
    </row>
    <row r="3231" spans="1:30" s="361" customFormat="1" x14ac:dyDescent="0.4">
      <c r="A3231" s="402">
        <v>46234</v>
      </c>
      <c r="B3231" s="392" t="s">
        <v>97</v>
      </c>
      <c r="C3231" s="364" t="str">
        <f>VLOOKUP(B3231,'112年全品項生產鍋數'!A:H,2,0)</f>
        <v>花生醬(1*18KG)</v>
      </c>
      <c r="D3231" s="404">
        <v>8</v>
      </c>
      <c r="E3231" s="48">
        <f>VLOOKUP(B3231,'112年全品項生產鍋數'!A:H,3,0)</f>
        <v>18</v>
      </c>
      <c r="F3231" s="142">
        <f>VLOOKUP(B3231,'112年全品項生產鍋數'!A:H,7,0)</f>
        <v>6.6</v>
      </c>
      <c r="G3231" s="143">
        <f t="shared" si="532"/>
        <v>52.8</v>
      </c>
      <c r="H3231" s="156">
        <v>51</v>
      </c>
      <c r="I3231" s="371">
        <f t="shared" si="533"/>
        <v>918</v>
      </c>
      <c r="J3231" s="100">
        <f t="shared" si="534"/>
        <v>0.96590909090909094</v>
      </c>
      <c r="K3231" s="51">
        <f>VLOOKUP(B:B,'生產達成率(目標)'!A:C,3,0)</f>
        <v>1</v>
      </c>
      <c r="L3231" s="20">
        <f t="shared" si="535"/>
        <v>-3.4000000000000002E-2</v>
      </c>
      <c r="M3231" s="137" t="str">
        <f>工時!R2419</f>
        <v>515</v>
      </c>
      <c r="N3231" s="374"/>
      <c r="O3231" s="374">
        <f t="shared" si="536"/>
        <v>0</v>
      </c>
      <c r="P3231" s="156">
        <v>51</v>
      </c>
      <c r="Q3231" s="98">
        <f t="shared" si="537"/>
        <v>1</v>
      </c>
      <c r="R3231" s="371"/>
      <c r="S3231" s="372"/>
      <c r="T3231" s="364"/>
      <c r="U3231" s="264"/>
      <c r="V3231" s="264" t="s">
        <v>1848</v>
      </c>
      <c r="W3231" s="424">
        <v>46234</v>
      </c>
      <c r="X3231" s="264" t="s">
        <v>1710</v>
      </c>
      <c r="Y3231" s="424" t="s">
        <v>1802</v>
      </c>
      <c r="Z3231" s="424"/>
      <c r="AA3231" s="424">
        <v>46233</v>
      </c>
      <c r="AB3231" s="424">
        <v>46234</v>
      </c>
      <c r="AC3231" s="425">
        <f t="shared" si="539"/>
        <v>0</v>
      </c>
      <c r="AD3231" s="425">
        <v>0</v>
      </c>
    </row>
    <row r="3232" spans="1:30" s="381" customFormat="1" x14ac:dyDescent="0.4">
      <c r="A3232" s="402">
        <v>46234</v>
      </c>
      <c r="B3232" s="392" t="s">
        <v>104</v>
      </c>
      <c r="C3232" s="375" t="str">
        <f>VLOOKUP(B3232,'112年全品項生產鍋數'!A:H,2,0)</f>
        <v>＃1花生(粒)(1*2.8kg)</v>
      </c>
      <c r="D3232" s="406">
        <v>60</v>
      </c>
      <c r="E3232" s="141">
        <f>VLOOKUP(B3232,'112年全品項生產鍋數'!A:H,3,0)</f>
        <v>2.8</v>
      </c>
      <c r="F3232" s="142">
        <f>VLOOKUP(B3232,'112年全品項生產鍋數'!A:H,7,0)</f>
        <v>44.2</v>
      </c>
      <c r="G3232" s="143">
        <f t="shared" si="532"/>
        <v>2652</v>
      </c>
      <c r="H3232" s="156">
        <v>2628</v>
      </c>
      <c r="I3232" s="374">
        <f t="shared" si="533"/>
        <v>7358.4</v>
      </c>
      <c r="J3232" s="100">
        <f t="shared" si="534"/>
        <v>0.99095022624434392</v>
      </c>
      <c r="K3232" s="51">
        <f>VLOOKUP(B:B,'生產達成率(目標)'!A:C,3,0)</f>
        <v>1</v>
      </c>
      <c r="L3232" s="20">
        <f t="shared" si="535"/>
        <v>-8.9999999999999993E-3</v>
      </c>
      <c r="M3232" s="137" t="str">
        <f>工時!R2420</f>
        <v>270</v>
      </c>
      <c r="N3232" s="374"/>
      <c r="O3232" s="374">
        <f t="shared" si="536"/>
        <v>1</v>
      </c>
      <c r="P3232" s="156">
        <v>2627</v>
      </c>
      <c r="Q3232" s="145">
        <f t="shared" si="537"/>
        <v>0.99961948249619481</v>
      </c>
      <c r="R3232" s="374"/>
      <c r="S3232" s="378"/>
      <c r="T3232" s="375" t="s">
        <v>1153</v>
      </c>
      <c r="U3232" s="398"/>
      <c r="V3232" s="398" t="s">
        <v>1848</v>
      </c>
      <c r="W3232" s="427">
        <v>46234</v>
      </c>
      <c r="X3232" s="264" t="s">
        <v>1848</v>
      </c>
      <c r="Y3232" s="427">
        <v>46234</v>
      </c>
      <c r="Z3232" s="427"/>
      <c r="AA3232" s="427">
        <v>46233</v>
      </c>
      <c r="AB3232" s="427">
        <v>46234</v>
      </c>
      <c r="AC3232" s="429">
        <f t="shared" si="539"/>
        <v>0</v>
      </c>
      <c r="AD3232" s="429">
        <f t="shared" ref="AD3232:AD3241" si="541" xml:space="preserve"> IF((Y3232-A3232)&lt;0,"未收到",Y3232-A3232)</f>
        <v>0</v>
      </c>
    </row>
    <row r="3233" spans="1:30" s="361" customFormat="1" x14ac:dyDescent="0.4">
      <c r="A3233" s="402">
        <v>46237</v>
      </c>
      <c r="B3233" s="392" t="s">
        <v>80</v>
      </c>
      <c r="C3233" s="364" t="str">
        <f>VLOOKUP(B3233,'112年全品項生產鍋數'!A:H,2,0)</f>
        <v>＃1桔子(1*3.2kg)</v>
      </c>
      <c r="D3233" s="404">
        <v>36</v>
      </c>
      <c r="E3233" s="48">
        <f>VLOOKUP(B3233,'112年全品項生產鍋數'!A:H,3,0)</f>
        <v>3.2</v>
      </c>
      <c r="F3233" s="142">
        <f>VLOOKUP(B3233,'112年全品項生產鍋數'!A:H,7,0)</f>
        <v>46.4</v>
      </c>
      <c r="G3233" s="143">
        <f t="shared" si="532"/>
        <v>1670.3999999999999</v>
      </c>
      <c r="H3233" s="156">
        <v>1763</v>
      </c>
      <c r="I3233" s="371">
        <f t="shared" si="533"/>
        <v>5641.6</v>
      </c>
      <c r="J3233" s="100">
        <f t="shared" si="534"/>
        <v>1.0554358237547894</v>
      </c>
      <c r="K3233" s="51">
        <f>VLOOKUP(B:B,'生產達成率(目標)'!A:C,3,0)</f>
        <v>1</v>
      </c>
      <c r="L3233" s="20">
        <f>IF(G3233=0,"無法預估數據",ROUND(J3233-K3233,3))</f>
        <v>5.5E-2</v>
      </c>
      <c r="M3233" s="137" t="str">
        <f>工時!R2420</f>
        <v>270</v>
      </c>
      <c r="N3233" s="374"/>
      <c r="O3233" s="374">
        <f t="shared" si="536"/>
        <v>2</v>
      </c>
      <c r="P3233" s="156">
        <v>1761</v>
      </c>
      <c r="Q3233" s="98">
        <f t="shared" si="537"/>
        <v>0.99886557005104937</v>
      </c>
      <c r="R3233" s="371"/>
      <c r="S3233" s="372"/>
      <c r="T3233" s="364"/>
      <c r="U3233" s="264"/>
      <c r="V3233" s="264" t="s">
        <v>1849</v>
      </c>
      <c r="W3233" s="424">
        <v>46238</v>
      </c>
      <c r="X3233" s="264" t="s">
        <v>1867</v>
      </c>
      <c r="Y3233" s="424">
        <v>46240</v>
      </c>
      <c r="Z3233" s="424"/>
      <c r="AA3233" s="424">
        <v>46237</v>
      </c>
      <c r="AB3233" s="424">
        <v>46244</v>
      </c>
      <c r="AC3233" s="425">
        <f t="shared" si="539"/>
        <v>1</v>
      </c>
      <c r="AD3233" s="425">
        <f t="shared" si="541"/>
        <v>3</v>
      </c>
    </row>
    <row r="3234" spans="1:30" s="361" customFormat="1" x14ac:dyDescent="0.4">
      <c r="A3234" s="402">
        <v>46237</v>
      </c>
      <c r="B3234" s="392" t="s">
        <v>1801</v>
      </c>
      <c r="C3234" s="364" t="str">
        <f>VLOOKUP(B3234,'112年全品項生產鍋數'!A:H,2,0)</f>
        <v>＃1桔子(1*3.2kg)</v>
      </c>
      <c r="D3234" s="404">
        <v>1</v>
      </c>
      <c r="E3234" s="48">
        <f>VLOOKUP(B3234,'112年全品項生產鍋數'!A:H,3,0)</f>
        <v>3.2</v>
      </c>
      <c r="F3234" s="142">
        <f>VLOOKUP(B3234,'112年全品項生產鍋數'!A:H,7,0)</f>
        <v>0</v>
      </c>
      <c r="G3234" s="143">
        <f t="shared" si="532"/>
        <v>0</v>
      </c>
      <c r="H3234" s="156">
        <v>12</v>
      </c>
      <c r="I3234" s="371">
        <f t="shared" si="533"/>
        <v>38.400000000000006</v>
      </c>
      <c r="J3234" s="100" t="str">
        <f t="shared" si="534"/>
        <v>無法預估數據</v>
      </c>
      <c r="K3234" s="51">
        <f>VLOOKUP(B:B,'生產達成率(目標)'!A:C,3,0)</f>
        <v>1</v>
      </c>
      <c r="L3234" s="20" t="str">
        <f t="shared" si="535"/>
        <v>無法預估數據</v>
      </c>
      <c r="M3234" s="137" t="str">
        <f>工時!R2421</f>
        <v>0</v>
      </c>
      <c r="N3234" s="374"/>
      <c r="O3234" s="374">
        <f t="shared" si="536"/>
        <v>0</v>
      </c>
      <c r="P3234" s="156">
        <v>12</v>
      </c>
      <c r="Q3234" s="98">
        <f t="shared" si="537"/>
        <v>1</v>
      </c>
      <c r="R3234" s="371"/>
      <c r="S3234" s="372"/>
      <c r="T3234" s="364" t="s">
        <v>1168</v>
      </c>
      <c r="U3234" s="264"/>
      <c r="V3234" s="264" t="s">
        <v>1849</v>
      </c>
      <c r="W3234" s="424">
        <v>46238</v>
      </c>
      <c r="X3234" s="264" t="s">
        <v>1867</v>
      </c>
      <c r="Y3234" s="424">
        <v>46240</v>
      </c>
      <c r="Z3234" s="424"/>
      <c r="AA3234" s="424">
        <v>46237</v>
      </c>
      <c r="AB3234" s="424" t="s">
        <v>1819</v>
      </c>
      <c r="AC3234" s="425">
        <f t="shared" si="539"/>
        <v>1</v>
      </c>
      <c r="AD3234" s="425">
        <f t="shared" si="541"/>
        <v>3</v>
      </c>
    </row>
    <row r="3235" spans="1:30" s="361" customFormat="1" x14ac:dyDescent="0.4">
      <c r="A3235" s="402">
        <v>46237</v>
      </c>
      <c r="B3235" s="392" t="s">
        <v>87</v>
      </c>
      <c r="C3235" s="364" t="str">
        <f>VLOOKUP(B3235,'112年全品項生產鍋數'!A:H,2,0)</f>
        <v>＃1藍莓(1*3.2kg)</v>
      </c>
      <c r="D3235" s="404">
        <v>36</v>
      </c>
      <c r="E3235" s="48">
        <f>VLOOKUP(B3235,'112年全品項生產鍋數'!A:H,3,0)</f>
        <v>3.2</v>
      </c>
      <c r="F3235" s="142">
        <f>VLOOKUP(B3235,'112年全品項生產鍋數'!A:H,7,0)</f>
        <v>47.5</v>
      </c>
      <c r="G3235" s="143">
        <f t="shared" si="532"/>
        <v>1710</v>
      </c>
      <c r="H3235" s="156">
        <v>1652</v>
      </c>
      <c r="I3235" s="371">
        <f t="shared" si="533"/>
        <v>5286.4000000000005</v>
      </c>
      <c r="J3235" s="100">
        <f t="shared" si="534"/>
        <v>0.96608187134502921</v>
      </c>
      <c r="K3235" s="51">
        <f>VLOOKUP(B:B,'生產達成率(目標)'!A:C,3,0)</f>
        <v>1</v>
      </c>
      <c r="L3235" s="20">
        <f t="shared" si="535"/>
        <v>-3.4000000000000002E-2</v>
      </c>
      <c r="M3235" s="137" t="str">
        <f>工時!R2422</f>
        <v>270</v>
      </c>
      <c r="N3235" s="374"/>
      <c r="O3235" s="374">
        <f t="shared" si="536"/>
        <v>1</v>
      </c>
      <c r="P3235" s="156">
        <v>1651</v>
      </c>
      <c r="Q3235" s="98">
        <f t="shared" si="537"/>
        <v>0.99939467312348673</v>
      </c>
      <c r="R3235" s="371"/>
      <c r="S3235" s="372"/>
      <c r="T3235" s="364" t="s">
        <v>1153</v>
      </c>
      <c r="U3235" s="264"/>
      <c r="V3235" s="264" t="s">
        <v>1849</v>
      </c>
      <c r="W3235" s="424">
        <v>46238</v>
      </c>
      <c r="X3235" s="264" t="s">
        <v>1867</v>
      </c>
      <c r="Y3235" s="424">
        <v>46240</v>
      </c>
      <c r="Z3235" s="424"/>
      <c r="AA3235" s="424">
        <v>46234</v>
      </c>
      <c r="AB3235" s="424">
        <v>46238</v>
      </c>
      <c r="AC3235" s="425">
        <f t="shared" si="539"/>
        <v>1</v>
      </c>
      <c r="AD3235" s="425">
        <f t="shared" si="541"/>
        <v>3</v>
      </c>
    </row>
    <row r="3236" spans="1:30" s="361" customFormat="1" x14ac:dyDescent="0.4">
      <c r="A3236" s="402">
        <v>46237</v>
      </c>
      <c r="B3236" s="392" t="s">
        <v>109</v>
      </c>
      <c r="C3236" s="364" t="str">
        <f>VLOOKUP(B3236,'112年全品項生產鍋數'!A:H,2,0)</f>
        <v>蔓越莓醬(1*6KG)</v>
      </c>
      <c r="D3236" s="404">
        <v>30</v>
      </c>
      <c r="E3236" s="48">
        <f>VLOOKUP(B3236,'112年全品項生產鍋數'!A:H,3,0)</f>
        <v>6</v>
      </c>
      <c r="F3236" s="142">
        <f>VLOOKUP(B3236,'112年全品項生產鍋數'!A:H,7,0)</f>
        <v>25.6</v>
      </c>
      <c r="G3236" s="143">
        <f t="shared" si="532"/>
        <v>768</v>
      </c>
      <c r="H3236" s="156">
        <v>782</v>
      </c>
      <c r="I3236" s="371">
        <f t="shared" si="533"/>
        <v>4692</v>
      </c>
      <c r="J3236" s="100">
        <f t="shared" si="534"/>
        <v>1.0182291666666667</v>
      </c>
      <c r="K3236" s="51">
        <f>VLOOKUP(B:B,'生產達成率(目標)'!A:C,3,0)</f>
        <v>1</v>
      </c>
      <c r="L3236" s="20">
        <f t="shared" si="535"/>
        <v>1.7999999999999999E-2</v>
      </c>
      <c r="M3236" s="137" t="str">
        <f>工時!R2423</f>
        <v>360</v>
      </c>
      <c r="N3236" s="374"/>
      <c r="O3236" s="374">
        <f t="shared" si="536"/>
        <v>1</v>
      </c>
      <c r="P3236" s="156">
        <v>781</v>
      </c>
      <c r="Q3236" s="98">
        <f t="shared" si="537"/>
        <v>0.99872122762148341</v>
      </c>
      <c r="R3236" s="371"/>
      <c r="S3236" s="372"/>
      <c r="T3236" s="364" t="s">
        <v>1153</v>
      </c>
      <c r="U3236" s="264"/>
      <c r="V3236" s="264" t="s">
        <v>1847</v>
      </c>
      <c r="W3236" s="424">
        <v>46238</v>
      </c>
      <c r="X3236" s="264" t="s">
        <v>1867</v>
      </c>
      <c r="Y3236" s="424">
        <v>46240</v>
      </c>
      <c r="Z3236" s="424"/>
      <c r="AA3236" s="424">
        <v>46234</v>
      </c>
      <c r="AB3236" s="424">
        <v>46238</v>
      </c>
      <c r="AC3236" s="425">
        <f t="shared" si="539"/>
        <v>1</v>
      </c>
      <c r="AD3236" s="425">
        <f t="shared" si="541"/>
        <v>3</v>
      </c>
    </row>
    <row r="3237" spans="1:30" s="361" customFormat="1" x14ac:dyDescent="0.4">
      <c r="A3237" s="402">
        <v>46237</v>
      </c>
      <c r="B3237" s="392" t="s">
        <v>51</v>
      </c>
      <c r="C3237" s="364" t="str">
        <f>VLOOKUP(B3237,'112年全品項生產鍋數'!A:H,2,0)</f>
        <v>藍莓醬(1*6kg)</v>
      </c>
      <c r="D3237" s="404">
        <v>12</v>
      </c>
      <c r="E3237" s="48">
        <f>VLOOKUP(B3237,'112年全品項生產鍋數'!A:H,3,0)</f>
        <v>6</v>
      </c>
      <c r="F3237" s="142">
        <f>VLOOKUP(B3237,'112年全品項生產鍋數'!A:H,7,0)</f>
        <v>25.5</v>
      </c>
      <c r="G3237" s="143">
        <f t="shared" si="532"/>
        <v>306</v>
      </c>
      <c r="H3237" s="156">
        <v>306</v>
      </c>
      <c r="I3237" s="371">
        <f t="shared" si="533"/>
        <v>1836</v>
      </c>
      <c r="J3237" s="100">
        <f t="shared" si="534"/>
        <v>1</v>
      </c>
      <c r="K3237" s="51">
        <f>VLOOKUP(B:B,'生產達成率(目標)'!A:C,3,0)</f>
        <v>1</v>
      </c>
      <c r="L3237" s="20">
        <f t="shared" si="535"/>
        <v>0</v>
      </c>
      <c r="M3237" s="137" t="str">
        <f>工時!R2424</f>
        <v>185</v>
      </c>
      <c r="N3237" s="374"/>
      <c r="O3237" s="374">
        <f t="shared" si="536"/>
        <v>1</v>
      </c>
      <c r="P3237" s="156">
        <v>305</v>
      </c>
      <c r="Q3237" s="98">
        <f t="shared" si="537"/>
        <v>0.99673202614379086</v>
      </c>
      <c r="R3237" s="371"/>
      <c r="S3237" s="372"/>
      <c r="T3237" s="364" t="s">
        <v>1153</v>
      </c>
      <c r="U3237" s="264"/>
      <c r="V3237" s="264" t="s">
        <v>1847</v>
      </c>
      <c r="W3237" s="424">
        <v>46238</v>
      </c>
      <c r="X3237" s="264" t="s">
        <v>1867</v>
      </c>
      <c r="Y3237" s="424">
        <v>46240</v>
      </c>
      <c r="Z3237" s="424"/>
      <c r="AA3237" s="424">
        <v>46234</v>
      </c>
      <c r="AB3237" s="424">
        <v>46238</v>
      </c>
      <c r="AC3237" s="425">
        <f t="shared" si="539"/>
        <v>1</v>
      </c>
      <c r="AD3237" s="425">
        <f t="shared" si="541"/>
        <v>3</v>
      </c>
    </row>
    <row r="3238" spans="1:30" s="361" customFormat="1" x14ac:dyDescent="0.4">
      <c r="A3238" s="402">
        <v>46237</v>
      </c>
      <c r="B3238" s="392" t="s">
        <v>58</v>
      </c>
      <c r="C3238" s="364" t="str">
        <f>VLOOKUP(B3238,'112年全品項生產鍋數'!A:H,2,0)</f>
        <v>PET大花生(1*400g)</v>
      </c>
      <c r="D3238" s="404">
        <v>24</v>
      </c>
      <c r="E3238" s="48">
        <f>VLOOKUP(B3238,'112年全品項生產鍋數'!A:H,3,0)</f>
        <v>0.4</v>
      </c>
      <c r="F3238" s="142">
        <f>VLOOKUP(B3238,'112年全品項生產鍋數'!A:H,7,0)</f>
        <v>309.2</v>
      </c>
      <c r="G3238" s="143">
        <f t="shared" si="532"/>
        <v>7420.7999999999993</v>
      </c>
      <c r="H3238" s="156">
        <v>7522</v>
      </c>
      <c r="I3238" s="371">
        <f t="shared" si="533"/>
        <v>3008.8</v>
      </c>
      <c r="J3238" s="100">
        <f t="shared" si="534"/>
        <v>1.0136373436826218</v>
      </c>
      <c r="K3238" s="51">
        <f>VLOOKUP(B:B,'生產達成率(目標)'!A:C,3,0)</f>
        <v>1</v>
      </c>
      <c r="L3238" s="20">
        <f t="shared" si="535"/>
        <v>1.4E-2</v>
      </c>
      <c r="M3238" s="137" t="str">
        <f>工時!R2425</f>
        <v>300</v>
      </c>
      <c r="N3238" s="374"/>
      <c r="O3238" s="374">
        <f t="shared" si="536"/>
        <v>3</v>
      </c>
      <c r="P3238" s="156">
        <v>7519</v>
      </c>
      <c r="Q3238" s="98">
        <f t="shared" si="537"/>
        <v>0.99960116990162196</v>
      </c>
      <c r="R3238" s="371"/>
      <c r="S3238" s="372"/>
      <c r="T3238" s="364" t="s">
        <v>1153</v>
      </c>
      <c r="U3238" s="264"/>
      <c r="V3238" s="264" t="s">
        <v>1848</v>
      </c>
      <c r="W3238" s="424">
        <v>46237</v>
      </c>
      <c r="X3238" s="264" t="s">
        <v>1848</v>
      </c>
      <c r="Y3238" s="424">
        <v>46237</v>
      </c>
      <c r="Z3238" s="424"/>
      <c r="AA3238" s="424">
        <v>46234</v>
      </c>
      <c r="AB3238" s="424">
        <v>46237</v>
      </c>
      <c r="AC3238" s="425">
        <f t="shared" si="539"/>
        <v>0</v>
      </c>
      <c r="AD3238" s="425">
        <f t="shared" si="541"/>
        <v>0</v>
      </c>
    </row>
    <row r="3239" spans="1:30" s="361" customFormat="1" x14ac:dyDescent="0.4">
      <c r="A3239" s="402">
        <v>46237</v>
      </c>
      <c r="B3239" s="392" t="s">
        <v>65</v>
      </c>
      <c r="C3239" s="364" t="str">
        <f>VLOOKUP(B3239,'112年全品項生產鍋數'!A:H,2,0)</f>
        <v>＃1花生(1*2.8kg)</v>
      </c>
      <c r="D3239" s="404">
        <v>32</v>
      </c>
      <c r="E3239" s="48">
        <f>VLOOKUP(B3239,'112年全品項生產鍋數'!A:H,3,0)</f>
        <v>2.8</v>
      </c>
      <c r="F3239" s="142">
        <f>VLOOKUP(B3239,'112年全品項生產鍋數'!A:H,7,0)</f>
        <v>44.5</v>
      </c>
      <c r="G3239" s="143">
        <f t="shared" si="532"/>
        <v>1424</v>
      </c>
      <c r="H3239" s="156">
        <v>1451</v>
      </c>
      <c r="I3239" s="371">
        <f t="shared" si="533"/>
        <v>4062.7999999999997</v>
      </c>
      <c r="J3239" s="100">
        <f t="shared" si="534"/>
        <v>1.0189606741573034</v>
      </c>
      <c r="K3239" s="51">
        <f>VLOOKUP(B:B,'生產達成率(目標)'!A:C,3,0)</f>
        <v>1</v>
      </c>
      <c r="L3239" s="20">
        <f t="shared" si="535"/>
        <v>1.9E-2</v>
      </c>
      <c r="M3239" s="137" t="str">
        <f>工時!R2426</f>
        <v>295</v>
      </c>
      <c r="N3239" s="374"/>
      <c r="O3239" s="374">
        <f t="shared" si="536"/>
        <v>1</v>
      </c>
      <c r="P3239" s="156">
        <v>1450</v>
      </c>
      <c r="Q3239" s="98">
        <f t="shared" si="537"/>
        <v>0.99931082012405237</v>
      </c>
      <c r="R3239" s="371"/>
      <c r="S3239" s="372"/>
      <c r="T3239" s="364" t="s">
        <v>1153</v>
      </c>
      <c r="U3239" s="264"/>
      <c r="V3239" s="264" t="s">
        <v>1848</v>
      </c>
      <c r="W3239" s="424">
        <v>46237</v>
      </c>
      <c r="X3239" s="264" t="s">
        <v>1848</v>
      </c>
      <c r="Y3239" s="424">
        <v>46237</v>
      </c>
      <c r="Z3239" s="424"/>
      <c r="AA3239" s="424" t="s">
        <v>1807</v>
      </c>
      <c r="AB3239" s="424" t="s">
        <v>1808</v>
      </c>
      <c r="AC3239" s="425">
        <f t="shared" si="539"/>
        <v>0</v>
      </c>
      <c r="AD3239" s="425">
        <f t="shared" si="541"/>
        <v>0</v>
      </c>
    </row>
    <row r="3240" spans="1:30" s="361" customFormat="1" x14ac:dyDescent="0.4">
      <c r="A3240" s="402">
        <v>46238</v>
      </c>
      <c r="B3240" s="392" t="s">
        <v>63</v>
      </c>
      <c r="C3240" s="364" t="str">
        <f>VLOOKUP(B3240,'112年全品項生產鍋數'!A:H,2,0)</f>
        <v>草莓蒟蒻餡(1*6kg)</v>
      </c>
      <c r="D3240" s="404">
        <v>16</v>
      </c>
      <c r="E3240" s="48">
        <f>VLOOKUP(B3240,'112年全品項生產鍋數'!A:H,3,0)</f>
        <v>6</v>
      </c>
      <c r="F3240" s="142">
        <f>VLOOKUP(B3240,'112年全品項生產鍋數'!A:H,7,0)</f>
        <v>25.7</v>
      </c>
      <c r="G3240" s="143">
        <f t="shared" si="532"/>
        <v>411.2</v>
      </c>
      <c r="H3240" s="156">
        <f>198+207</f>
        <v>405</v>
      </c>
      <c r="I3240" s="371">
        <f t="shared" si="533"/>
        <v>2430</v>
      </c>
      <c r="J3240" s="100">
        <f t="shared" si="534"/>
        <v>0.9849221789883269</v>
      </c>
      <c r="K3240" s="51">
        <f>VLOOKUP(B:B,'生產達成率(目標)'!A:C,3,0)</f>
        <v>1</v>
      </c>
      <c r="L3240" s="20">
        <f t="shared" si="535"/>
        <v>-1.4999999999999999E-2</v>
      </c>
      <c r="M3240" s="137" t="str">
        <f>工時!R2427</f>
        <v>210</v>
      </c>
      <c r="N3240" s="374"/>
      <c r="O3240" s="374">
        <f t="shared" si="536"/>
        <v>2</v>
      </c>
      <c r="P3240" s="156">
        <f>196+207</f>
        <v>403</v>
      </c>
      <c r="Q3240" s="98">
        <f t="shared" si="537"/>
        <v>0.99506172839506168</v>
      </c>
      <c r="R3240" s="371"/>
      <c r="S3240" s="372"/>
      <c r="T3240" s="364"/>
      <c r="U3240" s="264"/>
      <c r="V3240" s="264" t="s">
        <v>1849</v>
      </c>
      <c r="W3240" s="424">
        <v>46239</v>
      </c>
      <c r="X3240" s="264" t="s">
        <v>1867</v>
      </c>
      <c r="Y3240" s="424">
        <v>46244</v>
      </c>
      <c r="Z3240" s="424"/>
      <c r="AA3240" s="424" t="s">
        <v>1805</v>
      </c>
      <c r="AB3240" s="424" t="s">
        <v>1804</v>
      </c>
      <c r="AC3240" s="425">
        <f t="shared" si="539"/>
        <v>1</v>
      </c>
      <c r="AD3240" s="425">
        <f t="shared" si="541"/>
        <v>6</v>
      </c>
    </row>
    <row r="3241" spans="1:30" s="361" customFormat="1" x14ac:dyDescent="0.4">
      <c r="A3241" s="402">
        <v>46238</v>
      </c>
      <c r="B3241" s="392" t="s">
        <v>1162</v>
      </c>
      <c r="C3241" s="364" t="str">
        <f>VLOOKUP(B3241,'112年全品項生產鍋數'!A:H,2,0)</f>
        <v>藍莓餡(1*6KG)</v>
      </c>
      <c r="D3241" s="404">
        <v>24</v>
      </c>
      <c r="E3241" s="48">
        <f>VLOOKUP(B3241,'112年全品項生產鍋數'!A:H,3,0)</f>
        <v>6</v>
      </c>
      <c r="F3241" s="142">
        <f>VLOOKUP(B3241,'112年全品項生產鍋數'!A:H,7,0)</f>
        <v>25.4</v>
      </c>
      <c r="G3241" s="143">
        <f t="shared" si="532"/>
        <v>609.59999999999991</v>
      </c>
      <c r="H3241" s="156">
        <f>308+320</f>
        <v>628</v>
      </c>
      <c r="I3241" s="371">
        <f t="shared" si="533"/>
        <v>3768</v>
      </c>
      <c r="J3241" s="100">
        <f t="shared" si="534"/>
        <v>1.030183727034121</v>
      </c>
      <c r="K3241" s="51" t="e">
        <f>VLOOKUP(B:B,'生產達成率(目標)'!A:C,3,0)</f>
        <v>#N/A</v>
      </c>
      <c r="L3241" s="20" t="e">
        <f t="shared" si="535"/>
        <v>#N/A</v>
      </c>
      <c r="M3241" s="137" t="str">
        <f>工時!R2428</f>
        <v>330</v>
      </c>
      <c r="N3241" s="374"/>
      <c r="O3241" s="374">
        <f t="shared" si="536"/>
        <v>3</v>
      </c>
      <c r="P3241" s="156">
        <f>306+319</f>
        <v>625</v>
      </c>
      <c r="Q3241" s="98">
        <f t="shared" si="537"/>
        <v>0.99522292993630568</v>
      </c>
      <c r="R3241" s="371"/>
      <c r="S3241" s="372"/>
      <c r="T3241" s="364"/>
      <c r="U3241" s="264"/>
      <c r="V3241" s="264" t="s">
        <v>1849</v>
      </c>
      <c r="W3241" s="424">
        <v>46238</v>
      </c>
      <c r="X3241" s="264" t="s">
        <v>1867</v>
      </c>
      <c r="Y3241" s="424">
        <v>46244</v>
      </c>
      <c r="Z3241" s="424"/>
      <c r="AA3241" s="424">
        <v>46234</v>
      </c>
      <c r="AB3241" s="424">
        <v>46238</v>
      </c>
      <c r="AC3241" s="425">
        <f t="shared" si="539"/>
        <v>0</v>
      </c>
      <c r="AD3241" s="425">
        <f t="shared" si="541"/>
        <v>6</v>
      </c>
    </row>
    <row r="3242" spans="1:30" s="381" customFormat="1" x14ac:dyDescent="0.4">
      <c r="A3242" s="402">
        <v>46238</v>
      </c>
      <c r="B3242" s="392" t="s">
        <v>110</v>
      </c>
      <c r="C3242" s="375" t="str">
        <f>VLOOKUP(B3242,'112年全品項生產鍋數'!A:H,2,0)</f>
        <v>顆粒花生醬(1*12KG)</v>
      </c>
      <c r="D3242" s="406">
        <v>21</v>
      </c>
      <c r="E3242" s="141">
        <f>VLOOKUP(B3242,'112年全品項生產鍋數'!A:H,3,0)</f>
        <v>3</v>
      </c>
      <c r="F3242" s="142">
        <f>VLOOKUP(B3242,'112年全品項生產鍋數'!A:H,7,0)</f>
        <v>30.8</v>
      </c>
      <c r="G3242" s="143">
        <f t="shared" si="532"/>
        <v>646.80000000000007</v>
      </c>
      <c r="H3242" s="156">
        <v>648</v>
      </c>
      <c r="I3242" s="374">
        <f t="shared" si="533"/>
        <v>1944</v>
      </c>
      <c r="J3242" s="100">
        <f t="shared" si="534"/>
        <v>1.0018552875695732</v>
      </c>
      <c r="K3242" s="51">
        <f>VLOOKUP(B:B,'生產達成率(目標)'!A:C,3,0)</f>
        <v>1</v>
      </c>
      <c r="L3242" s="20">
        <f t="shared" si="535"/>
        <v>2E-3</v>
      </c>
      <c r="M3242" s="137" t="str">
        <f>工時!R2429</f>
        <v>510</v>
      </c>
      <c r="N3242" s="374"/>
      <c r="O3242" s="374">
        <f t="shared" si="536"/>
        <v>0</v>
      </c>
      <c r="P3242" s="156">
        <v>648</v>
      </c>
      <c r="Q3242" s="145">
        <f t="shared" si="537"/>
        <v>1</v>
      </c>
      <c r="R3242" s="374"/>
      <c r="S3242" s="378"/>
      <c r="T3242" s="375"/>
      <c r="U3242" s="398"/>
      <c r="V3242" s="398" t="s">
        <v>1847</v>
      </c>
      <c r="W3242" s="427">
        <v>46238</v>
      </c>
      <c r="X3242" s="264" t="s">
        <v>1710</v>
      </c>
      <c r="Y3242" s="427" t="s">
        <v>1815</v>
      </c>
      <c r="Z3242" s="427"/>
      <c r="AA3242" s="427">
        <v>46237</v>
      </c>
      <c r="AB3242" s="427">
        <v>46238</v>
      </c>
      <c r="AC3242" s="429">
        <f t="shared" si="539"/>
        <v>0</v>
      </c>
      <c r="AD3242" s="429">
        <v>0</v>
      </c>
    </row>
    <row r="3243" spans="1:30" s="361" customFormat="1" x14ac:dyDescent="0.4">
      <c r="A3243" s="402">
        <v>46238</v>
      </c>
      <c r="B3243" s="392" t="s">
        <v>65</v>
      </c>
      <c r="C3243" s="364" t="str">
        <f>VLOOKUP(B3243,'112年全品項生產鍋數'!A:H,2,0)</f>
        <v>＃1花生(1*2.8kg)</v>
      </c>
      <c r="D3243" s="404">
        <v>72</v>
      </c>
      <c r="E3243" s="48">
        <f>VLOOKUP(B3243,'112年全品項生產鍋數'!A:H,3,0)</f>
        <v>2.8</v>
      </c>
      <c r="F3243" s="142">
        <f>VLOOKUP(B3243,'112年全品項生產鍋數'!A:H,7,0)</f>
        <v>44.5</v>
      </c>
      <c r="G3243" s="143">
        <f t="shared" si="532"/>
        <v>3204</v>
      </c>
      <c r="H3243" s="156">
        <v>3201</v>
      </c>
      <c r="I3243" s="371">
        <f t="shared" si="533"/>
        <v>8962.7999999999993</v>
      </c>
      <c r="J3243" s="100">
        <f t="shared" si="534"/>
        <v>0.99906367041198507</v>
      </c>
      <c r="K3243" s="51">
        <f>VLOOKUP(B:B,'生產達成率(目標)'!A:C,3,0)</f>
        <v>1</v>
      </c>
      <c r="L3243" s="20">
        <f t="shared" si="535"/>
        <v>-1E-3</v>
      </c>
      <c r="M3243" s="137" t="str">
        <f>工時!R2430</f>
        <v>530</v>
      </c>
      <c r="N3243" s="374"/>
      <c r="O3243" s="374">
        <f t="shared" si="536"/>
        <v>1</v>
      </c>
      <c r="P3243" s="156">
        <v>3200</v>
      </c>
      <c r="Q3243" s="98">
        <f t="shared" si="537"/>
        <v>0.999687597625742</v>
      </c>
      <c r="R3243" s="371"/>
      <c r="S3243" s="372"/>
      <c r="T3243" s="364"/>
      <c r="U3243" s="264"/>
      <c r="V3243" s="264" t="s">
        <v>1848</v>
      </c>
      <c r="W3243" s="424">
        <v>46238</v>
      </c>
      <c r="X3243" s="264" t="s">
        <v>1848</v>
      </c>
      <c r="Y3243" s="424">
        <v>46238</v>
      </c>
      <c r="Z3243" s="424"/>
      <c r="AA3243" s="424" t="s">
        <v>1808</v>
      </c>
      <c r="AB3243" s="424" t="s">
        <v>1816</v>
      </c>
      <c r="AC3243" s="425">
        <f t="shared" si="539"/>
        <v>0</v>
      </c>
      <c r="AD3243" s="425">
        <f xml:space="preserve"> IF((Y3243-A3243)&lt;0,"未收到",Y3243-A3243)</f>
        <v>0</v>
      </c>
    </row>
    <row r="3244" spans="1:30" s="381" customFormat="1" x14ac:dyDescent="0.4">
      <c r="A3244" s="402">
        <v>46238</v>
      </c>
      <c r="B3244" s="392">
        <v>111010</v>
      </c>
      <c r="C3244" s="375" t="str">
        <f>VLOOKUP(B3244,'112年全品項生產鍋數'!A:H,2,0)</f>
        <v>糖漬桔皮絲</v>
      </c>
      <c r="D3244" s="406">
        <v>1</v>
      </c>
      <c r="E3244" s="141">
        <f>VLOOKUP(B3244,'112年全品項生產鍋數'!A:H,3,0)</f>
        <v>1</v>
      </c>
      <c r="F3244" s="142">
        <f>VLOOKUP(B3244,'112年全品項生產鍋數'!A:H,7,0)</f>
        <v>942</v>
      </c>
      <c r="G3244" s="143">
        <f t="shared" ref="G3244:G3287" si="542">D3244*F3244</f>
        <v>942</v>
      </c>
      <c r="H3244" s="156">
        <v>885</v>
      </c>
      <c r="I3244" s="374">
        <f t="shared" ref="I3244:I3287" si="543">H3244*E3244</f>
        <v>885</v>
      </c>
      <c r="J3244" s="100">
        <f t="shared" ref="J3244:J3287" si="544">IF(G3244=0,"無法預估數據",H3244/G3244)</f>
        <v>0.93949044585987262</v>
      </c>
      <c r="K3244" s="51">
        <f>VLOOKUP(B:B,'生產達成率(目標)'!A:C,3,0)</f>
        <v>1</v>
      </c>
      <c r="L3244" s="20">
        <f t="shared" ref="L3244:L3287" si="545">IF(G3244=0,"無法預估數據",ROUND(J3244-K3244,3))</f>
        <v>-6.0999999999999999E-2</v>
      </c>
      <c r="M3244" s="137" t="str">
        <f>工時!R2431</f>
        <v>0</v>
      </c>
      <c r="N3244" s="374"/>
      <c r="O3244" s="374">
        <f t="shared" ref="O3244:O3287" si="546">H3244-N3244-P3244</f>
        <v>0</v>
      </c>
      <c r="P3244" s="156">
        <v>885</v>
      </c>
      <c r="Q3244" s="145">
        <f t="shared" ref="Q3244:Q3287" si="547">P3244/H3244</f>
        <v>1</v>
      </c>
      <c r="R3244" s="374"/>
      <c r="S3244" s="378"/>
      <c r="T3244" s="375"/>
      <c r="U3244" s="398"/>
      <c r="V3244" s="398" t="s">
        <v>1850</v>
      </c>
      <c r="W3244" s="427" t="s">
        <v>426</v>
      </c>
      <c r="X3244" s="264" t="s">
        <v>1710</v>
      </c>
      <c r="Y3244" s="427" t="s">
        <v>426</v>
      </c>
      <c r="Z3244" s="427"/>
      <c r="AA3244" s="427" t="s">
        <v>426</v>
      </c>
      <c r="AB3244" s="427" t="s">
        <v>426</v>
      </c>
      <c r="AC3244" s="429">
        <v>0</v>
      </c>
      <c r="AD3244" s="429">
        <v>0</v>
      </c>
    </row>
    <row r="3245" spans="1:30" s="381" customFormat="1" x14ac:dyDescent="0.4">
      <c r="A3245" s="402">
        <v>46239</v>
      </c>
      <c r="B3245" s="392" t="s">
        <v>71</v>
      </c>
      <c r="C3245" s="375" t="str">
        <f>VLOOKUP(B3245,'112年全品項生產鍋數'!A:H,2,0)</f>
        <v>＃1草莓(1*3.2kg)</v>
      </c>
      <c r="D3245" s="406">
        <v>64</v>
      </c>
      <c r="E3245" s="141">
        <f>VLOOKUP(B3245,'112年全品項生產鍋數'!A:H,3,0)</f>
        <v>3.2</v>
      </c>
      <c r="F3245" s="142">
        <f>VLOOKUP(B3245,'112年全品項生產鍋數'!A:H,7,0)</f>
        <v>46.8</v>
      </c>
      <c r="G3245" s="143">
        <f t="shared" si="542"/>
        <v>2995.2</v>
      </c>
      <c r="H3245" s="156">
        <v>3025</v>
      </c>
      <c r="I3245" s="374">
        <f t="shared" si="543"/>
        <v>9680</v>
      </c>
      <c r="J3245" s="100">
        <f t="shared" si="544"/>
        <v>1.0099492521367521</v>
      </c>
      <c r="K3245" s="51">
        <f>VLOOKUP(B:B,'生產達成率(目標)'!A:C,3,0)</f>
        <v>1</v>
      </c>
      <c r="L3245" s="20">
        <f t="shared" si="545"/>
        <v>0.01</v>
      </c>
      <c r="M3245" s="137" t="str">
        <f>工時!R2432</f>
        <v>600</v>
      </c>
      <c r="N3245" s="374"/>
      <c r="O3245" s="374">
        <f t="shared" si="546"/>
        <v>1</v>
      </c>
      <c r="P3245" s="156">
        <v>3024</v>
      </c>
      <c r="Q3245" s="145">
        <f t="shared" si="547"/>
        <v>0.99966942148760329</v>
      </c>
      <c r="R3245" s="374"/>
      <c r="S3245" s="378"/>
      <c r="T3245" s="375"/>
      <c r="U3245" s="398"/>
      <c r="V3245" s="398" t="s">
        <v>1849</v>
      </c>
      <c r="W3245" s="427">
        <v>46240</v>
      </c>
      <c r="X3245" s="264" t="s">
        <v>1867</v>
      </c>
      <c r="Y3245" s="427">
        <v>46244</v>
      </c>
      <c r="Z3245" s="427"/>
      <c r="AA3245" s="427" t="s">
        <v>1812</v>
      </c>
      <c r="AB3245" s="427" t="s">
        <v>1816</v>
      </c>
      <c r="AC3245" s="429">
        <f t="shared" ref="AC3245:AC3276" si="548" xml:space="preserve"> IF((W3245-A3245)&lt;0,"未收到",W3245-A3245)</f>
        <v>1</v>
      </c>
      <c r="AD3245" s="429">
        <f xml:space="preserve"> IF((Y3245-A3245)&lt;0,"未收到",Y3245-A3245)</f>
        <v>5</v>
      </c>
    </row>
    <row r="3246" spans="1:30" s="381" customFormat="1" x14ac:dyDescent="0.4">
      <c r="A3246" s="402">
        <v>46239</v>
      </c>
      <c r="B3246" s="392" t="s">
        <v>1061</v>
      </c>
      <c r="C3246" s="375" t="str">
        <f>VLOOKUP(B3246,'112年全品項生產鍋數'!A:H,2,0)</f>
        <v>＃1草莓(1*3.2kg)</v>
      </c>
      <c r="D3246" s="406">
        <v>1</v>
      </c>
      <c r="E3246" s="141">
        <f>VLOOKUP(B3246,'112年全品項生產鍋數'!A:H,3,0)</f>
        <v>3.2</v>
      </c>
      <c r="F3246" s="142">
        <f>VLOOKUP(B3246,'112年全品項生產鍋數'!A:H,7,0)</f>
        <v>46.8</v>
      </c>
      <c r="G3246" s="143">
        <f t="shared" si="542"/>
        <v>46.8</v>
      </c>
      <c r="H3246" s="156">
        <v>12</v>
      </c>
      <c r="I3246" s="374">
        <f t="shared" si="543"/>
        <v>38.400000000000006</v>
      </c>
      <c r="J3246" s="100">
        <f t="shared" si="544"/>
        <v>0.25641025641025644</v>
      </c>
      <c r="K3246" s="51" t="e">
        <f>VLOOKUP(B:B,'生產達成率(目標)'!A:C,3,0)</f>
        <v>#N/A</v>
      </c>
      <c r="L3246" s="20" t="e">
        <f t="shared" si="545"/>
        <v>#N/A</v>
      </c>
      <c r="M3246" s="137" t="str">
        <f>工時!R2433</f>
        <v>0</v>
      </c>
      <c r="N3246" s="374"/>
      <c r="O3246" s="374">
        <f t="shared" si="546"/>
        <v>1</v>
      </c>
      <c r="P3246" s="156">
        <v>11</v>
      </c>
      <c r="Q3246" s="145">
        <f t="shared" si="547"/>
        <v>0.91666666666666663</v>
      </c>
      <c r="R3246" s="374"/>
      <c r="S3246" s="378"/>
      <c r="T3246" s="375" t="s">
        <v>1153</v>
      </c>
      <c r="U3246" s="398"/>
      <c r="V3246" s="398" t="s">
        <v>1849</v>
      </c>
      <c r="W3246" s="427">
        <v>46240</v>
      </c>
      <c r="X3246" s="264" t="s">
        <v>1867</v>
      </c>
      <c r="Y3246" s="427">
        <v>46244</v>
      </c>
      <c r="Z3246" s="427"/>
      <c r="AA3246" s="427" t="s">
        <v>1813</v>
      </c>
      <c r="AB3246" s="427" t="s">
        <v>1816</v>
      </c>
      <c r="AC3246" s="429">
        <f t="shared" si="548"/>
        <v>1</v>
      </c>
      <c r="AD3246" s="429">
        <f xml:space="preserve"> IF((Y3246-A3246)&lt;0,"未收到",Y3246-A3246)</f>
        <v>5</v>
      </c>
    </row>
    <row r="3247" spans="1:30" s="381" customFormat="1" x14ac:dyDescent="0.4">
      <c r="A3247" s="402">
        <v>46239</v>
      </c>
      <c r="B3247" s="392" t="s">
        <v>965</v>
      </c>
      <c r="C3247" s="375" t="str">
        <f>VLOOKUP(B3247,'112年全品項生產鍋數'!A:H,2,0)</f>
        <v>草莓餡°(1*6KG)</v>
      </c>
      <c r="D3247" s="406">
        <v>16</v>
      </c>
      <c r="E3247" s="141">
        <f>VLOOKUP(B3247,'112年全品項生產鍋數'!A:H,3,0)</f>
        <v>6</v>
      </c>
      <c r="F3247" s="142">
        <f>VLOOKUP(B3247,'112年全品項生產鍋數'!A:H,7,0)</f>
        <v>0</v>
      </c>
      <c r="G3247" s="143">
        <f t="shared" si="542"/>
        <v>0</v>
      </c>
      <c r="H3247" s="156">
        <v>401</v>
      </c>
      <c r="I3247" s="374">
        <f t="shared" si="543"/>
        <v>2406</v>
      </c>
      <c r="J3247" s="100" t="str">
        <f t="shared" si="544"/>
        <v>無法預估數據</v>
      </c>
      <c r="K3247" s="51">
        <f>VLOOKUP(B:B,'生產達成率(目標)'!A:C,3,0)</f>
        <v>1</v>
      </c>
      <c r="L3247" s="20" t="str">
        <f t="shared" si="545"/>
        <v>無法預估數據</v>
      </c>
      <c r="M3247" s="137" t="str">
        <f>工時!R2434</f>
        <v>225</v>
      </c>
      <c r="N3247" s="374"/>
      <c r="O3247" s="374">
        <f t="shared" si="546"/>
        <v>4</v>
      </c>
      <c r="P3247" s="156">
        <v>397</v>
      </c>
      <c r="Q3247" s="145">
        <f t="shared" si="547"/>
        <v>0.9900249376558603</v>
      </c>
      <c r="R3247" s="374"/>
      <c r="S3247" s="378"/>
      <c r="T3247" s="375" t="s">
        <v>1153</v>
      </c>
      <c r="U3247" s="398"/>
      <c r="V3247" s="398" t="s">
        <v>1847</v>
      </c>
      <c r="W3247" s="427">
        <v>46239</v>
      </c>
      <c r="X3247" s="264" t="s">
        <v>1867</v>
      </c>
      <c r="Y3247" s="427">
        <v>46244</v>
      </c>
      <c r="Z3247" s="427"/>
      <c r="AA3247" s="427">
        <v>46237</v>
      </c>
      <c r="AB3247" s="427">
        <v>46239</v>
      </c>
      <c r="AC3247" s="429">
        <f t="shared" si="548"/>
        <v>0</v>
      </c>
      <c r="AD3247" s="429">
        <f xml:space="preserve"> IF((Y3247-A3247)&lt;0,"未收到",Y3247-A3247)</f>
        <v>5</v>
      </c>
    </row>
    <row r="3248" spans="1:30" s="381" customFormat="1" x14ac:dyDescent="0.4">
      <c r="A3248" s="402">
        <v>46239</v>
      </c>
      <c r="B3248" s="392" t="s">
        <v>63</v>
      </c>
      <c r="C3248" s="375" t="str">
        <f>VLOOKUP(B3248,'112年全品項生產鍋數'!A:H,2,0)</f>
        <v>草莓蒟蒻餡(1*6kg)</v>
      </c>
      <c r="D3248" s="406">
        <v>24</v>
      </c>
      <c r="E3248" s="141">
        <f>VLOOKUP(B3248,'112年全品項生產鍋數'!A:H,3,0)</f>
        <v>6</v>
      </c>
      <c r="F3248" s="142">
        <f>VLOOKUP(B3248,'112年全品項生產鍋數'!A:H,7,0)</f>
        <v>25.7</v>
      </c>
      <c r="G3248" s="143">
        <f t="shared" si="542"/>
        <v>616.79999999999995</v>
      </c>
      <c r="H3248" s="156">
        <f>303+320</f>
        <v>623</v>
      </c>
      <c r="I3248" s="374">
        <f t="shared" si="543"/>
        <v>3738</v>
      </c>
      <c r="J3248" s="100">
        <f t="shared" si="544"/>
        <v>1.0100518806744487</v>
      </c>
      <c r="K3248" s="51">
        <f>VLOOKUP(B:B,'生產達成率(目標)'!A:C,3,0)</f>
        <v>1</v>
      </c>
      <c r="L3248" s="20">
        <f t="shared" si="545"/>
        <v>0.01</v>
      </c>
      <c r="M3248" s="137" t="str">
        <f>工時!R2435</f>
        <v>325</v>
      </c>
      <c r="N3248" s="374"/>
      <c r="O3248" s="374">
        <f t="shared" si="546"/>
        <v>2</v>
      </c>
      <c r="P3248" s="156">
        <f>301+320</f>
        <v>621</v>
      </c>
      <c r="Q3248" s="145">
        <f t="shared" si="547"/>
        <v>0.9967897271268058</v>
      </c>
      <c r="R3248" s="374"/>
      <c r="S3248" s="378"/>
      <c r="T3248" s="375"/>
      <c r="U3248" s="398"/>
      <c r="V3248" s="398" t="s">
        <v>1847</v>
      </c>
      <c r="W3248" s="427">
        <v>46239</v>
      </c>
      <c r="X3248" s="264" t="s">
        <v>1867</v>
      </c>
      <c r="Y3248" s="427">
        <v>46244</v>
      </c>
      <c r="Z3248" s="427"/>
      <c r="AA3248" s="427" t="s">
        <v>1803</v>
      </c>
      <c r="AB3248" s="427" t="s">
        <v>1820</v>
      </c>
      <c r="AC3248" s="429">
        <f t="shared" si="548"/>
        <v>0</v>
      </c>
      <c r="AD3248" s="429">
        <f xml:space="preserve"> IF((Y3248-A3248)&lt;0,"未收到",Y3248-A3248)</f>
        <v>5</v>
      </c>
    </row>
    <row r="3249" spans="1:30" s="381" customFormat="1" x14ac:dyDescent="0.4">
      <c r="A3249" s="402">
        <v>46239</v>
      </c>
      <c r="B3249" s="392" t="s">
        <v>73</v>
      </c>
      <c r="C3249" s="375" t="str">
        <f>VLOOKUP(B3249,'112年全品項生產鍋數'!A:H,2,0)</f>
        <v>顆粒花生醬(1*12KG)</v>
      </c>
      <c r="D3249" s="406">
        <v>21</v>
      </c>
      <c r="E3249" s="141">
        <f>VLOOKUP(B3249,'112年全品項生產鍋數'!A:H,3,0)</f>
        <v>3</v>
      </c>
      <c r="F3249" s="142">
        <f>VLOOKUP(B3249,'112年全品項生產鍋數'!A:H,7,0)</f>
        <v>29.7</v>
      </c>
      <c r="G3249" s="143">
        <f t="shared" si="542"/>
        <v>623.69999999999993</v>
      </c>
      <c r="H3249" s="156">
        <v>628</v>
      </c>
      <c r="I3249" s="374">
        <f t="shared" si="543"/>
        <v>1884</v>
      </c>
      <c r="J3249" s="100">
        <f t="shared" si="544"/>
        <v>1.0068943402276738</v>
      </c>
      <c r="K3249" s="51">
        <f>VLOOKUP(B:B,'生產達成率(目標)'!A:C,3,0)</f>
        <v>1</v>
      </c>
      <c r="L3249" s="20">
        <f t="shared" si="545"/>
        <v>7.0000000000000001E-3</v>
      </c>
      <c r="M3249" s="137" t="str">
        <f>工時!R2436</f>
        <v>510</v>
      </c>
      <c r="N3249" s="374"/>
      <c r="O3249" s="374">
        <f t="shared" si="546"/>
        <v>0</v>
      </c>
      <c r="P3249" s="156">
        <v>628</v>
      </c>
      <c r="Q3249" s="145">
        <f t="shared" si="547"/>
        <v>1</v>
      </c>
      <c r="R3249" s="374"/>
      <c r="S3249" s="378"/>
      <c r="T3249" s="375" t="s">
        <v>1153</v>
      </c>
      <c r="U3249" s="398"/>
      <c r="V3249" s="398" t="s">
        <v>1848</v>
      </c>
      <c r="W3249" s="427">
        <v>46239</v>
      </c>
      <c r="X3249" s="264" t="s">
        <v>1710</v>
      </c>
      <c r="Y3249" s="427" t="s">
        <v>426</v>
      </c>
      <c r="Z3249" s="427"/>
      <c r="AA3249" s="427">
        <v>46237</v>
      </c>
      <c r="AB3249" s="427">
        <v>46239</v>
      </c>
      <c r="AC3249" s="429">
        <f t="shared" si="548"/>
        <v>0</v>
      </c>
      <c r="AD3249" s="429">
        <v>0</v>
      </c>
    </row>
    <row r="3250" spans="1:30" s="381" customFormat="1" x14ac:dyDescent="0.4">
      <c r="A3250" s="402">
        <v>46240</v>
      </c>
      <c r="B3250" s="392" t="s">
        <v>1699</v>
      </c>
      <c r="C3250" s="375" t="str">
        <f>VLOOKUP(B3250,'112年全品項生產鍋數'!A:H,2,0)</f>
        <v>上好佳芒果餡(大)4.5KG</v>
      </c>
      <c r="D3250" s="406">
        <v>8</v>
      </c>
      <c r="E3250" s="141">
        <f>VLOOKUP(B3250,'112年全品項生產鍋數'!A:H,3,0)</f>
        <v>4.5</v>
      </c>
      <c r="F3250" s="142">
        <f>VLOOKUP(B3250,'112年全品項生產鍋數'!A:H,7,0)</f>
        <v>33.200000000000003</v>
      </c>
      <c r="G3250" s="143">
        <f t="shared" si="542"/>
        <v>265.60000000000002</v>
      </c>
      <c r="H3250" s="156">
        <v>258</v>
      </c>
      <c r="I3250" s="374">
        <f t="shared" si="543"/>
        <v>1161</v>
      </c>
      <c r="J3250" s="100">
        <f t="shared" si="544"/>
        <v>0.97138554216867457</v>
      </c>
      <c r="K3250" s="51" t="e">
        <f>VLOOKUP(B:B,'生產達成率(目標)'!A:C,3,0)</f>
        <v>#N/A</v>
      </c>
      <c r="L3250" s="20" t="e">
        <f t="shared" si="545"/>
        <v>#N/A</v>
      </c>
      <c r="M3250" s="137" t="str">
        <f>工時!R2437</f>
        <v>150</v>
      </c>
      <c r="N3250" s="374"/>
      <c r="O3250" s="374">
        <f t="shared" si="546"/>
        <v>0</v>
      </c>
      <c r="P3250" s="156">
        <v>258</v>
      </c>
      <c r="Q3250" s="145">
        <f t="shared" si="547"/>
        <v>1</v>
      </c>
      <c r="R3250" s="374"/>
      <c r="S3250" s="378"/>
      <c r="T3250" s="375" t="s">
        <v>1153</v>
      </c>
      <c r="U3250" s="398"/>
      <c r="V3250" s="398" t="s">
        <v>1849</v>
      </c>
      <c r="W3250" s="427">
        <v>46241</v>
      </c>
      <c r="X3250" s="264" t="s">
        <v>1867</v>
      </c>
      <c r="Y3250" s="427">
        <v>46244</v>
      </c>
      <c r="Z3250" s="427"/>
      <c r="AA3250" s="427">
        <v>46238</v>
      </c>
      <c r="AB3250" s="427">
        <v>46241</v>
      </c>
      <c r="AC3250" s="429">
        <f t="shared" si="548"/>
        <v>1</v>
      </c>
      <c r="AD3250" s="429">
        <f xml:space="preserve"> IF((Y3250-A3250)&lt;0,"未收到",Y3250-A3250)</f>
        <v>4</v>
      </c>
    </row>
    <row r="3251" spans="1:30" s="381" customFormat="1" x14ac:dyDescent="0.4">
      <c r="A3251" s="402">
        <v>46240</v>
      </c>
      <c r="B3251" s="392" t="s">
        <v>1062</v>
      </c>
      <c r="C3251" s="375" t="str">
        <f>VLOOKUP(B3251,'112年全品項生產鍋數'!A:H,2,0)</f>
        <v>上好佳芒果餡(大)4.5KG</v>
      </c>
      <c r="D3251" s="406">
        <v>8</v>
      </c>
      <c r="E3251" s="141">
        <f>VLOOKUP(B3251,'112年全品項生產鍋數'!A:H,3,0)</f>
        <v>4.5</v>
      </c>
      <c r="F3251" s="142">
        <f>VLOOKUP(B3251,'112年全品項生產鍋數'!A:H,7,0)</f>
        <v>33.200000000000003</v>
      </c>
      <c r="G3251" s="143">
        <f t="shared" si="542"/>
        <v>265.60000000000002</v>
      </c>
      <c r="H3251" s="156">
        <v>275</v>
      </c>
      <c r="I3251" s="374">
        <f t="shared" si="543"/>
        <v>1237.5</v>
      </c>
      <c r="J3251" s="100">
        <f t="shared" si="544"/>
        <v>1.0353915662650601</v>
      </c>
      <c r="K3251" s="51" t="e">
        <f>VLOOKUP(B:B,'生產達成率(目標)'!A:C,3,0)</f>
        <v>#N/A</v>
      </c>
      <c r="L3251" s="20" t="e">
        <f t="shared" si="545"/>
        <v>#N/A</v>
      </c>
      <c r="M3251" s="137" t="str">
        <f>工時!R2438</f>
        <v>140</v>
      </c>
      <c r="N3251" s="374"/>
      <c r="O3251" s="374">
        <f t="shared" si="546"/>
        <v>0</v>
      </c>
      <c r="P3251" s="156">
        <v>275</v>
      </c>
      <c r="Q3251" s="145">
        <f t="shared" si="547"/>
        <v>1</v>
      </c>
      <c r="R3251" s="374"/>
      <c r="S3251" s="378"/>
      <c r="T3251" s="375"/>
      <c r="U3251" s="398"/>
      <c r="V3251" s="398" t="s">
        <v>1849</v>
      </c>
      <c r="W3251" s="427">
        <v>46241</v>
      </c>
      <c r="X3251" s="264" t="s">
        <v>1867</v>
      </c>
      <c r="Y3251" s="427">
        <v>46244</v>
      </c>
      <c r="Z3251" s="427"/>
      <c r="AA3251" s="427">
        <v>46238</v>
      </c>
      <c r="AB3251" s="427">
        <v>46241</v>
      </c>
      <c r="AC3251" s="429">
        <f t="shared" si="548"/>
        <v>1</v>
      </c>
      <c r="AD3251" s="429">
        <f xml:space="preserve"> IF((Y3251-A3251)&lt;0,"未收到",Y3251-A3251)</f>
        <v>4</v>
      </c>
    </row>
    <row r="3252" spans="1:30" s="381" customFormat="1" x14ac:dyDescent="0.4">
      <c r="A3252" s="402">
        <v>46240</v>
      </c>
      <c r="B3252" s="392" t="s">
        <v>117</v>
      </c>
      <c r="C3252" s="375" t="str">
        <f>VLOOKUP(B3252,'112年全品項生產鍋數'!A:H,2,0)</f>
        <v>草莓餡(1*4.5Kg)</v>
      </c>
      <c r="D3252" s="406">
        <v>8</v>
      </c>
      <c r="E3252" s="141">
        <f>VLOOKUP(B3252,'112年全品項生產鍋數'!A:H,3,0)</f>
        <v>4.5</v>
      </c>
      <c r="F3252" s="142">
        <f>VLOOKUP(B3252,'112年全品項生產鍋數'!A:H,7,0)</f>
        <v>35.6</v>
      </c>
      <c r="G3252" s="143">
        <f t="shared" si="542"/>
        <v>284.8</v>
      </c>
      <c r="H3252" s="156">
        <v>283</v>
      </c>
      <c r="I3252" s="374">
        <f t="shared" si="543"/>
        <v>1273.5</v>
      </c>
      <c r="J3252" s="100">
        <f t="shared" si="544"/>
        <v>0.99367977528089879</v>
      </c>
      <c r="K3252" s="51">
        <f>VLOOKUP(B:B,'生產達成率(目標)'!A:C,3,0)</f>
        <v>1</v>
      </c>
      <c r="L3252" s="20">
        <f t="shared" si="545"/>
        <v>-6.0000000000000001E-3</v>
      </c>
      <c r="M3252" s="137" t="str">
        <f>工時!R2439</f>
        <v>160</v>
      </c>
      <c r="N3252" s="374"/>
      <c r="O3252" s="374">
        <f t="shared" si="546"/>
        <v>0</v>
      </c>
      <c r="P3252" s="156">
        <v>283</v>
      </c>
      <c r="Q3252" s="145">
        <f t="shared" si="547"/>
        <v>1</v>
      </c>
      <c r="R3252" s="374"/>
      <c r="S3252" s="378"/>
      <c r="T3252" s="375" t="s">
        <v>1153</v>
      </c>
      <c r="U3252" s="398"/>
      <c r="V3252" s="398" t="s">
        <v>1849</v>
      </c>
      <c r="W3252" s="427">
        <v>46241</v>
      </c>
      <c r="X3252" s="264" t="s">
        <v>1867</v>
      </c>
      <c r="Y3252" s="427">
        <v>46244</v>
      </c>
      <c r="Z3252" s="427"/>
      <c r="AA3252" s="427">
        <v>46238</v>
      </c>
      <c r="AB3252" s="427">
        <v>46241</v>
      </c>
      <c r="AC3252" s="429">
        <f t="shared" si="548"/>
        <v>1</v>
      </c>
      <c r="AD3252" s="429">
        <f xml:space="preserve"> IF((Y3252-A3252)&lt;0,"未收到",Y3252-A3252)</f>
        <v>4</v>
      </c>
    </row>
    <row r="3253" spans="1:30" s="381" customFormat="1" x14ac:dyDescent="0.4">
      <c r="A3253" s="402">
        <v>46240</v>
      </c>
      <c r="B3253" s="392" t="s">
        <v>1722</v>
      </c>
      <c r="C3253" s="375" t="str">
        <f>VLOOKUP(B3253,'112年全品項生產鍋數'!A:H,2,0)</f>
        <v>上好佳柳橙餡4.5KG</v>
      </c>
      <c r="D3253" s="406">
        <v>12</v>
      </c>
      <c r="E3253" s="141">
        <f>VLOOKUP(B3253,'112年全品項生產鍋數'!A:H,3,0)</f>
        <v>4.5</v>
      </c>
      <c r="F3253" s="142">
        <f>VLOOKUP(B3253,'112年全品項生產鍋數'!A:H,7,0)</f>
        <v>34.9</v>
      </c>
      <c r="G3253" s="143">
        <f t="shared" si="542"/>
        <v>418.79999999999995</v>
      </c>
      <c r="H3253" s="156">
        <v>432</v>
      </c>
      <c r="I3253" s="374">
        <f t="shared" si="543"/>
        <v>1944</v>
      </c>
      <c r="J3253" s="100">
        <f t="shared" si="544"/>
        <v>1.031518624641834</v>
      </c>
      <c r="K3253" s="51">
        <f>VLOOKUP(B:B,'生產達成率(目標)'!A:C,3,0)</f>
        <v>1</v>
      </c>
      <c r="L3253" s="20">
        <f>IF(G3253=0,"無法預估數據",ROUND(J3253-K3253,3))</f>
        <v>3.2000000000000001E-2</v>
      </c>
      <c r="M3253" s="137" t="str">
        <f>工時!R2440</f>
        <v>212</v>
      </c>
      <c r="N3253" s="374"/>
      <c r="O3253" s="374">
        <f t="shared" si="546"/>
        <v>0</v>
      </c>
      <c r="P3253" s="156">
        <v>432</v>
      </c>
      <c r="Q3253" s="145">
        <f t="shared" si="547"/>
        <v>1</v>
      </c>
      <c r="R3253" s="374"/>
      <c r="S3253" s="378"/>
      <c r="T3253" s="375"/>
      <c r="U3253" s="398"/>
      <c r="V3253" s="398" t="s">
        <v>1849</v>
      </c>
      <c r="W3253" s="427">
        <v>46241</v>
      </c>
      <c r="X3253" s="264" t="s">
        <v>1867</v>
      </c>
      <c r="Y3253" s="427">
        <v>46244</v>
      </c>
      <c r="Z3253" s="427"/>
      <c r="AA3253" s="427">
        <v>46238</v>
      </c>
      <c r="AB3253" s="427">
        <v>46241</v>
      </c>
      <c r="AC3253" s="429">
        <f t="shared" si="548"/>
        <v>1</v>
      </c>
      <c r="AD3253" s="429">
        <f xml:space="preserve"> IF((Y3253-A3253)&lt;0,"未收到",Y3253-A3253)</f>
        <v>4</v>
      </c>
    </row>
    <row r="3254" spans="1:30" s="381" customFormat="1" x14ac:dyDescent="0.4">
      <c r="A3254" s="402">
        <v>46240</v>
      </c>
      <c r="B3254" s="392" t="s">
        <v>108</v>
      </c>
      <c r="C3254" s="375" t="str">
        <f>VLOOKUP(B3254,'112年全品項生產鍋數'!A:H,2,0)</f>
        <v>顆粒花生醬(1*12KG)</v>
      </c>
      <c r="D3254" s="406">
        <v>21</v>
      </c>
      <c r="E3254" s="141">
        <f>VLOOKUP(B3254,'112年全品項生產鍋數'!A:H,3,0)</f>
        <v>3</v>
      </c>
      <c r="F3254" s="142">
        <f>VLOOKUP(B3254,'112年全品項生產鍋數'!A:H,7,0)</f>
        <v>31.6</v>
      </c>
      <c r="G3254" s="143">
        <f t="shared" si="542"/>
        <v>663.6</v>
      </c>
      <c r="H3254" s="156">
        <v>668</v>
      </c>
      <c r="I3254" s="374">
        <f t="shared" si="543"/>
        <v>2004</v>
      </c>
      <c r="J3254" s="100">
        <f t="shared" si="544"/>
        <v>1.0066305003013862</v>
      </c>
      <c r="K3254" s="51">
        <f>VLOOKUP(B:B,'生產達成率(目標)'!A:C,3,0)</f>
        <v>1</v>
      </c>
      <c r="L3254" s="20">
        <f t="shared" si="545"/>
        <v>7.0000000000000001E-3</v>
      </c>
      <c r="M3254" s="137" t="str">
        <f>工時!R2441</f>
        <v>540</v>
      </c>
      <c r="N3254" s="374"/>
      <c r="O3254" s="374">
        <f t="shared" si="546"/>
        <v>0</v>
      </c>
      <c r="P3254" s="156">
        <v>668</v>
      </c>
      <c r="Q3254" s="145">
        <f t="shared" si="547"/>
        <v>1</v>
      </c>
      <c r="R3254" s="374"/>
      <c r="S3254" s="378"/>
      <c r="T3254" s="375" t="s">
        <v>1153</v>
      </c>
      <c r="U3254" s="398"/>
      <c r="V3254" s="398" t="s">
        <v>1847</v>
      </c>
      <c r="W3254" s="427">
        <v>46240</v>
      </c>
      <c r="X3254" s="264" t="s">
        <v>1710</v>
      </c>
      <c r="Y3254" s="427" t="s">
        <v>1816</v>
      </c>
      <c r="Z3254" s="427"/>
      <c r="AA3254" s="427">
        <v>46237</v>
      </c>
      <c r="AB3254" s="427">
        <v>46240</v>
      </c>
      <c r="AC3254" s="429">
        <f t="shared" si="548"/>
        <v>0</v>
      </c>
      <c r="AD3254" s="429">
        <v>0</v>
      </c>
    </row>
    <row r="3255" spans="1:30" s="381" customFormat="1" x14ac:dyDescent="0.4">
      <c r="A3255" s="402">
        <v>46240</v>
      </c>
      <c r="B3255" s="392" t="s">
        <v>65</v>
      </c>
      <c r="C3255" s="375" t="str">
        <f>VLOOKUP(B3255,'112年全品項生產鍋數'!A:H,2,0)</f>
        <v>＃1花生(1*2.8kg)</v>
      </c>
      <c r="D3255" s="406">
        <v>60</v>
      </c>
      <c r="E3255" s="141">
        <f>VLOOKUP(B3255,'112年全品項生產鍋數'!A:H,3,0)</f>
        <v>2.8</v>
      </c>
      <c r="F3255" s="142">
        <f>VLOOKUP(B3255,'112年全品項生產鍋數'!A:H,7,0)</f>
        <v>44.5</v>
      </c>
      <c r="G3255" s="143">
        <f t="shared" si="542"/>
        <v>2670</v>
      </c>
      <c r="H3255" s="156">
        <v>2677</v>
      </c>
      <c r="I3255" s="374">
        <f t="shared" si="543"/>
        <v>7495.5999999999995</v>
      </c>
      <c r="J3255" s="100">
        <f t="shared" si="544"/>
        <v>1.002621722846442</v>
      </c>
      <c r="K3255" s="51">
        <f>VLOOKUP(B:B,'生產達成率(目標)'!A:C,3,0)</f>
        <v>1</v>
      </c>
      <c r="L3255" s="20">
        <f t="shared" si="545"/>
        <v>3.0000000000000001E-3</v>
      </c>
      <c r="M3255" s="137" t="str">
        <f>工時!R2442</f>
        <v>445</v>
      </c>
      <c r="N3255" s="374"/>
      <c r="O3255" s="374">
        <f t="shared" si="546"/>
        <v>1</v>
      </c>
      <c r="P3255" s="156">
        <v>2676</v>
      </c>
      <c r="Q3255" s="145">
        <f t="shared" si="547"/>
        <v>0.99962644751587593</v>
      </c>
      <c r="R3255" s="374"/>
      <c r="S3255" s="378"/>
      <c r="T3255" s="375" t="s">
        <v>1153</v>
      </c>
      <c r="U3255" s="398"/>
      <c r="V3255" s="398" t="s">
        <v>1848</v>
      </c>
      <c r="W3255" s="427">
        <v>46240</v>
      </c>
      <c r="X3255" s="264" t="s">
        <v>1848</v>
      </c>
      <c r="Y3255" s="427">
        <v>46240</v>
      </c>
      <c r="Z3255" s="427"/>
      <c r="AA3255" s="427">
        <v>46239</v>
      </c>
      <c r="AB3255" s="427" t="s">
        <v>1814</v>
      </c>
      <c r="AC3255" s="429">
        <f t="shared" si="548"/>
        <v>0</v>
      </c>
      <c r="AD3255" s="429">
        <f t="shared" ref="AD3255:AD3286" si="549" xml:space="preserve"> IF((Y3255-A3255)&lt;0,"未收到",Y3255-A3255)</f>
        <v>0</v>
      </c>
    </row>
    <row r="3256" spans="1:30" s="361" customFormat="1" x14ac:dyDescent="0.4">
      <c r="A3256" s="402">
        <v>46241</v>
      </c>
      <c r="B3256" s="392" t="s">
        <v>71</v>
      </c>
      <c r="C3256" s="364" t="str">
        <f>VLOOKUP(B3256,'112年全品項生產鍋數'!A:H,2,0)</f>
        <v>＃1草莓(1*3.2kg)</v>
      </c>
      <c r="D3256" s="404">
        <v>52</v>
      </c>
      <c r="E3256" s="48">
        <f>VLOOKUP(B3256,'112年全品項生產鍋數'!A:H,3,0)</f>
        <v>3.2</v>
      </c>
      <c r="F3256" s="142">
        <f>VLOOKUP(B3256,'112年全品項生產鍋數'!A:H,7,0)</f>
        <v>46.8</v>
      </c>
      <c r="G3256" s="143">
        <f t="shared" si="542"/>
        <v>2433.6</v>
      </c>
      <c r="H3256" s="156">
        <v>2415</v>
      </c>
      <c r="I3256" s="371">
        <f t="shared" si="543"/>
        <v>7728</v>
      </c>
      <c r="J3256" s="100">
        <f t="shared" si="544"/>
        <v>0.99235700197238663</v>
      </c>
      <c r="K3256" s="51">
        <f>VLOOKUP(B:B,'生產達成率(目標)'!A:C,3,0)</f>
        <v>1</v>
      </c>
      <c r="L3256" s="20">
        <f t="shared" si="545"/>
        <v>-8.0000000000000002E-3</v>
      </c>
      <c r="M3256" s="137" t="str">
        <f>工時!R2443</f>
        <v>410</v>
      </c>
      <c r="N3256" s="374"/>
      <c r="O3256" s="374">
        <f t="shared" si="546"/>
        <v>2</v>
      </c>
      <c r="P3256" s="156">
        <v>2413</v>
      </c>
      <c r="Q3256" s="98">
        <f t="shared" si="547"/>
        <v>0.9991718426501035</v>
      </c>
      <c r="R3256" s="371"/>
      <c r="S3256" s="372"/>
      <c r="T3256" s="364"/>
      <c r="U3256" s="264"/>
      <c r="V3256" s="264" t="s">
        <v>1849</v>
      </c>
      <c r="W3256" s="424">
        <v>46244</v>
      </c>
      <c r="X3256" s="264" t="s">
        <v>1867</v>
      </c>
      <c r="Y3256" s="424">
        <v>46244</v>
      </c>
      <c r="Z3256" s="424"/>
      <c r="AA3256" s="424" t="s">
        <v>1814</v>
      </c>
      <c r="AB3256" s="424" t="s">
        <v>1818</v>
      </c>
      <c r="AC3256" s="425">
        <f t="shared" si="548"/>
        <v>3</v>
      </c>
      <c r="AD3256" s="425">
        <f t="shared" si="549"/>
        <v>3</v>
      </c>
    </row>
    <row r="3257" spans="1:30" s="361" customFormat="1" ht="15.75" customHeight="1" x14ac:dyDescent="0.4">
      <c r="A3257" s="402">
        <v>46241</v>
      </c>
      <c r="B3257" s="392" t="s">
        <v>158</v>
      </c>
      <c r="C3257" s="364" t="str">
        <f>VLOOKUP(B3257,'112年全品項生產鍋數'!A:H,2,0)</f>
        <v>小圓草莓(1*170g)</v>
      </c>
      <c r="D3257" s="404">
        <v>6</v>
      </c>
      <c r="E3257" s="48">
        <f>VLOOKUP(B3257,'112年全品項生產鍋數'!A:H,3,0)</f>
        <v>0.17</v>
      </c>
      <c r="F3257" s="142">
        <f>VLOOKUP(B3257,'112年全品項生產鍋數'!A:H,7,0)</f>
        <v>912.6</v>
      </c>
      <c r="G3257" s="143">
        <f t="shared" si="542"/>
        <v>5475.6</v>
      </c>
      <c r="H3257" s="156">
        <v>5406</v>
      </c>
      <c r="I3257" s="371">
        <f t="shared" si="543"/>
        <v>919.0200000000001</v>
      </c>
      <c r="J3257" s="100">
        <f t="shared" si="544"/>
        <v>0.98728906421214102</v>
      </c>
      <c r="K3257" s="51">
        <f>VLOOKUP(B:B,'生產達成率(目標)'!A:C,3,0)</f>
        <v>1</v>
      </c>
      <c r="L3257" s="20">
        <f t="shared" si="545"/>
        <v>-1.2999999999999999E-2</v>
      </c>
      <c r="M3257" s="137" t="str">
        <f>工時!R2444</f>
        <v>225</v>
      </c>
      <c r="N3257" s="374"/>
      <c r="O3257" s="374">
        <f t="shared" si="546"/>
        <v>7</v>
      </c>
      <c r="P3257" s="156">
        <v>5399</v>
      </c>
      <c r="Q3257" s="98">
        <f t="shared" si="547"/>
        <v>0.99870514243433217</v>
      </c>
      <c r="R3257" s="371"/>
      <c r="S3257" s="372"/>
      <c r="T3257" s="364"/>
      <c r="U3257" s="264"/>
      <c r="V3257" s="264" t="s">
        <v>1849</v>
      </c>
      <c r="W3257" s="424">
        <v>46244</v>
      </c>
      <c r="X3257" s="264" t="s">
        <v>1867</v>
      </c>
      <c r="Y3257" s="424">
        <v>46244</v>
      </c>
      <c r="Z3257" s="424"/>
      <c r="AA3257" s="424">
        <v>46241</v>
      </c>
      <c r="AB3257" s="424">
        <v>46241</v>
      </c>
      <c r="AC3257" s="425">
        <f t="shared" si="548"/>
        <v>3</v>
      </c>
      <c r="AD3257" s="425">
        <f t="shared" si="549"/>
        <v>3</v>
      </c>
    </row>
    <row r="3258" spans="1:30" s="361" customFormat="1" x14ac:dyDescent="0.4">
      <c r="A3258" s="402">
        <v>46241</v>
      </c>
      <c r="B3258" s="392" t="s">
        <v>53</v>
      </c>
      <c r="C3258" s="364" t="str">
        <f>VLOOKUP(B3258,'112年全品項生產鍋數'!A:H,2,0)</f>
        <v>鳳梨芒果百香果醬(1*6KG)</v>
      </c>
      <c r="D3258" s="404">
        <v>6</v>
      </c>
      <c r="E3258" s="48">
        <f>VLOOKUP(B3258,'112年全品項生產鍋數'!A:H,3,0)</f>
        <v>6</v>
      </c>
      <c r="F3258" s="142">
        <f>VLOOKUP(B3258,'112年全品項生產鍋數'!A:H,7,0)</f>
        <v>25.7</v>
      </c>
      <c r="G3258" s="143">
        <f t="shared" si="542"/>
        <v>154.19999999999999</v>
      </c>
      <c r="H3258" s="156">
        <v>151</v>
      </c>
      <c r="I3258" s="371">
        <f t="shared" si="543"/>
        <v>906</v>
      </c>
      <c r="J3258" s="100">
        <f t="shared" si="544"/>
        <v>0.97924773022049294</v>
      </c>
      <c r="K3258" s="51">
        <f>VLOOKUP(B:B,'生產達成率(目標)'!A:C,3,0)</f>
        <v>1</v>
      </c>
      <c r="L3258" s="20">
        <f t="shared" si="545"/>
        <v>-2.1000000000000001E-2</v>
      </c>
      <c r="M3258" s="137" t="str">
        <f>工時!R2445</f>
        <v>160</v>
      </c>
      <c r="N3258" s="374"/>
      <c r="O3258" s="374">
        <f t="shared" si="546"/>
        <v>1</v>
      </c>
      <c r="P3258" s="156">
        <v>150</v>
      </c>
      <c r="Q3258" s="98">
        <f t="shared" si="547"/>
        <v>0.99337748344370858</v>
      </c>
      <c r="R3258" s="371"/>
      <c r="S3258" s="372"/>
      <c r="T3258" s="364" t="s">
        <v>1153</v>
      </c>
      <c r="U3258" s="264"/>
      <c r="V3258" s="264" t="s">
        <v>1847</v>
      </c>
      <c r="W3258" s="424">
        <v>46241</v>
      </c>
      <c r="X3258" s="264" t="s">
        <v>1867</v>
      </c>
      <c r="Y3258" s="424">
        <v>46244</v>
      </c>
      <c r="Z3258" s="424"/>
      <c r="AA3258" s="424">
        <v>46239</v>
      </c>
      <c r="AB3258" s="424">
        <v>46244</v>
      </c>
      <c r="AC3258" s="425">
        <f t="shared" si="548"/>
        <v>0</v>
      </c>
      <c r="AD3258" s="425">
        <f t="shared" si="549"/>
        <v>3</v>
      </c>
    </row>
    <row r="3259" spans="1:30" s="361" customFormat="1" x14ac:dyDescent="0.4">
      <c r="A3259" s="402">
        <v>46241</v>
      </c>
      <c r="B3259" s="392" t="s">
        <v>128</v>
      </c>
      <c r="C3259" s="364" t="str">
        <f>VLOOKUP(B3259,'112年全品項生產鍋數'!A:H,2,0)</f>
        <v>草莓椰果漿(1*6KG)</v>
      </c>
      <c r="D3259" s="404">
        <v>8</v>
      </c>
      <c r="E3259" s="48">
        <f>VLOOKUP(B3259,'112年全品項生產鍋數'!A:H,3,0)</f>
        <v>6</v>
      </c>
      <c r="F3259" s="142">
        <f>VLOOKUP(B3259,'112年全品項生產鍋數'!A:H,7,0)</f>
        <v>25.7</v>
      </c>
      <c r="G3259" s="143">
        <f t="shared" si="542"/>
        <v>205.6</v>
      </c>
      <c r="H3259" s="156">
        <v>208</v>
      </c>
      <c r="I3259" s="371">
        <f t="shared" si="543"/>
        <v>1248</v>
      </c>
      <c r="J3259" s="100">
        <f t="shared" si="544"/>
        <v>1.0116731517509727</v>
      </c>
      <c r="K3259" s="51">
        <f>VLOOKUP(B:B,'生產達成率(目標)'!A:C,3,0)</f>
        <v>1</v>
      </c>
      <c r="L3259" s="20">
        <f t="shared" si="545"/>
        <v>1.2E-2</v>
      </c>
      <c r="M3259" s="137" t="str">
        <f>工時!R2446</f>
        <v>132</v>
      </c>
      <c r="N3259" s="374"/>
      <c r="O3259" s="374">
        <f t="shared" si="546"/>
        <v>1</v>
      </c>
      <c r="P3259" s="156">
        <v>207</v>
      </c>
      <c r="Q3259" s="98">
        <f t="shared" si="547"/>
        <v>0.99519230769230771</v>
      </c>
      <c r="R3259" s="371"/>
      <c r="S3259" s="372"/>
      <c r="T3259" s="364" t="s">
        <v>1153</v>
      </c>
      <c r="U3259" s="264"/>
      <c r="V3259" s="264" t="s">
        <v>1847</v>
      </c>
      <c r="W3259" s="424">
        <v>46241</v>
      </c>
      <c r="X3259" s="264" t="s">
        <v>1867</v>
      </c>
      <c r="Y3259" s="424">
        <v>46244</v>
      </c>
      <c r="Z3259" s="424"/>
      <c r="AA3259" s="424">
        <v>46239</v>
      </c>
      <c r="AB3259" s="424">
        <v>46244</v>
      </c>
      <c r="AC3259" s="425">
        <f t="shared" si="548"/>
        <v>0</v>
      </c>
      <c r="AD3259" s="425">
        <f t="shared" si="549"/>
        <v>3</v>
      </c>
    </row>
    <row r="3260" spans="1:30" s="361" customFormat="1" x14ac:dyDescent="0.4">
      <c r="A3260" s="402">
        <v>46241</v>
      </c>
      <c r="B3260" s="392" t="s">
        <v>63</v>
      </c>
      <c r="C3260" s="364" t="str">
        <f>VLOOKUP(B3260,'112年全品項生產鍋數'!A:H,2,0)</f>
        <v>草莓蒟蒻餡(1*6kg)</v>
      </c>
      <c r="D3260" s="404">
        <v>28</v>
      </c>
      <c r="E3260" s="48">
        <f>VLOOKUP(B3260,'112年全品項生產鍋數'!A:H,3,0)</f>
        <v>6</v>
      </c>
      <c r="F3260" s="142">
        <f>VLOOKUP(B3260,'112年全品項生產鍋數'!A:H,7,0)</f>
        <v>25.7</v>
      </c>
      <c r="G3260" s="143">
        <f t="shared" si="542"/>
        <v>719.6</v>
      </c>
      <c r="H3260" s="156">
        <f>403+317</f>
        <v>720</v>
      </c>
      <c r="I3260" s="371">
        <f t="shared" si="543"/>
        <v>4320</v>
      </c>
      <c r="J3260" s="100">
        <f t="shared" si="544"/>
        <v>1.0005558643690939</v>
      </c>
      <c r="K3260" s="51">
        <f>VLOOKUP(B:B,'生產達成率(目標)'!A:C,3,0)</f>
        <v>1</v>
      </c>
      <c r="L3260" s="20">
        <f t="shared" si="545"/>
        <v>1E-3</v>
      </c>
      <c r="M3260" s="137" t="str">
        <f>工時!R2447</f>
        <v>310</v>
      </c>
      <c r="N3260" s="374"/>
      <c r="O3260" s="374">
        <f t="shared" si="546"/>
        <v>1</v>
      </c>
      <c r="P3260" s="156">
        <f>402+317</f>
        <v>719</v>
      </c>
      <c r="Q3260" s="98">
        <f t="shared" si="547"/>
        <v>0.99861111111111112</v>
      </c>
      <c r="R3260" s="371"/>
      <c r="S3260" s="372"/>
      <c r="T3260" s="364"/>
      <c r="U3260" s="264"/>
      <c r="V3260" s="264" t="s">
        <v>1847</v>
      </c>
      <c r="W3260" s="424">
        <v>46244</v>
      </c>
      <c r="X3260" s="264" t="s">
        <v>1867</v>
      </c>
      <c r="Y3260" s="424">
        <v>46244</v>
      </c>
      <c r="Z3260" s="424"/>
      <c r="AA3260" s="424" t="s">
        <v>1816</v>
      </c>
      <c r="AB3260" s="424" t="s">
        <v>1822</v>
      </c>
      <c r="AC3260" s="425">
        <f t="shared" si="548"/>
        <v>3</v>
      </c>
      <c r="AD3260" s="425">
        <f t="shared" si="549"/>
        <v>3</v>
      </c>
    </row>
    <row r="3261" spans="1:30" s="361" customFormat="1" x14ac:dyDescent="0.4">
      <c r="A3261" s="402">
        <v>46241</v>
      </c>
      <c r="B3261" s="392" t="s">
        <v>65</v>
      </c>
      <c r="C3261" s="364" t="str">
        <f>VLOOKUP(B3261,'112年全品項生產鍋數'!A:H,2,0)</f>
        <v>＃1花生(1*2.8kg)</v>
      </c>
      <c r="D3261" s="404">
        <v>60</v>
      </c>
      <c r="E3261" s="48">
        <f>VLOOKUP(B3261,'112年全品項生產鍋數'!A:H,3,0)</f>
        <v>2.8</v>
      </c>
      <c r="F3261" s="142">
        <f>VLOOKUP(B3261,'112年全品項生產鍋數'!A:H,7,0)</f>
        <v>44.5</v>
      </c>
      <c r="G3261" s="143">
        <f t="shared" si="542"/>
        <v>2670</v>
      </c>
      <c r="H3261" s="156">
        <v>2676</v>
      </c>
      <c r="I3261" s="371">
        <f t="shared" si="543"/>
        <v>7492.7999999999993</v>
      </c>
      <c r="J3261" s="100">
        <f t="shared" si="544"/>
        <v>1.002247191011236</v>
      </c>
      <c r="K3261" s="51">
        <f>VLOOKUP(B:B,'生產達成率(目標)'!A:C,3,0)</f>
        <v>1</v>
      </c>
      <c r="L3261" s="20">
        <f t="shared" si="545"/>
        <v>2E-3</v>
      </c>
      <c r="M3261" s="137" t="str">
        <f>工時!R2448</f>
        <v>450</v>
      </c>
      <c r="N3261" s="374"/>
      <c r="O3261" s="374">
        <f t="shared" si="546"/>
        <v>7</v>
      </c>
      <c r="P3261" s="156">
        <v>2669</v>
      </c>
      <c r="Q3261" s="98">
        <f t="shared" si="547"/>
        <v>0.99738415545590431</v>
      </c>
      <c r="R3261" s="371"/>
      <c r="S3261" s="372"/>
      <c r="T3261" s="364" t="s">
        <v>1153</v>
      </c>
      <c r="U3261" s="264"/>
      <c r="V3261" s="264" t="s">
        <v>1848</v>
      </c>
      <c r="W3261" s="424">
        <v>46244</v>
      </c>
      <c r="X3261" s="264" t="s">
        <v>1848</v>
      </c>
      <c r="Y3261" s="424">
        <v>46244</v>
      </c>
      <c r="Z3261" s="424"/>
      <c r="AA3261" s="424" t="s">
        <v>1741</v>
      </c>
      <c r="AB3261" s="424" t="s">
        <v>1816</v>
      </c>
      <c r="AC3261" s="425">
        <f t="shared" si="548"/>
        <v>3</v>
      </c>
      <c r="AD3261" s="425">
        <f t="shared" si="549"/>
        <v>3</v>
      </c>
    </row>
    <row r="3262" spans="1:30" s="361" customFormat="1" x14ac:dyDescent="0.4">
      <c r="A3262" s="402">
        <v>46244</v>
      </c>
      <c r="B3262" s="392" t="s">
        <v>106</v>
      </c>
      <c r="C3262" s="364" t="str">
        <f>VLOOKUP(B3262,'112年全品項生產鍋數'!A:H,2,0)</f>
        <v>小藍莓1*260G</v>
      </c>
      <c r="D3262" s="404">
        <v>16</v>
      </c>
      <c r="E3262" s="48">
        <f>VLOOKUP(B3262,'112年全品項生產鍋數'!A:H,3,0)</f>
        <v>0.26</v>
      </c>
      <c r="F3262" s="142">
        <f>VLOOKUP(B3262,'112年全品項生產鍋數'!A:H,7,0)</f>
        <v>584.29999999999995</v>
      </c>
      <c r="G3262" s="143">
        <f t="shared" si="542"/>
        <v>9348.7999999999993</v>
      </c>
      <c r="H3262" s="156">
        <v>9687</v>
      </c>
      <c r="I3262" s="371">
        <f t="shared" si="543"/>
        <v>2518.62</v>
      </c>
      <c r="J3262" s="100">
        <f t="shared" si="544"/>
        <v>1.0361757658736952</v>
      </c>
      <c r="K3262" s="51">
        <f>VLOOKUP(B:B,'生產達成率(目標)'!A:C,3,0)</f>
        <v>1</v>
      </c>
      <c r="L3262" s="20">
        <f t="shared" si="545"/>
        <v>3.5999999999999997E-2</v>
      </c>
      <c r="M3262" s="137" t="str">
        <f>工時!R2449</f>
        <v>0</v>
      </c>
      <c r="N3262" s="374"/>
      <c r="O3262" s="374">
        <f t="shared" si="546"/>
        <v>17</v>
      </c>
      <c r="P3262" s="156">
        <v>9670</v>
      </c>
      <c r="Q3262" s="98">
        <f t="shared" si="547"/>
        <v>0.99824507071332713</v>
      </c>
      <c r="R3262" s="371"/>
      <c r="S3262" s="372"/>
      <c r="T3262" s="364" t="s">
        <v>1785</v>
      </c>
      <c r="U3262" s="264"/>
      <c r="V3262" s="264" t="s">
        <v>1849</v>
      </c>
      <c r="W3262" s="424">
        <v>46245</v>
      </c>
      <c r="X3262" s="264" t="s">
        <v>1867</v>
      </c>
      <c r="Y3262" s="424">
        <v>46247</v>
      </c>
      <c r="Z3262" s="424"/>
      <c r="AA3262" s="424">
        <v>46241</v>
      </c>
      <c r="AB3262" s="424">
        <v>46244</v>
      </c>
      <c r="AC3262" s="425">
        <f t="shared" si="548"/>
        <v>1</v>
      </c>
      <c r="AD3262" s="425">
        <f t="shared" si="549"/>
        <v>3</v>
      </c>
    </row>
    <row r="3263" spans="1:30" s="361" customFormat="1" x14ac:dyDescent="0.4">
      <c r="A3263" s="402">
        <v>46244</v>
      </c>
      <c r="B3263" s="392" t="s">
        <v>86</v>
      </c>
      <c r="C3263" s="364" t="str">
        <f>VLOOKUP(B3263,'112年全品項生產鍋數'!A:H,2,0)</f>
        <v>＃2藍莓(1*900g)</v>
      </c>
      <c r="D3263" s="404">
        <v>20</v>
      </c>
      <c r="E3263" s="48">
        <f>VLOOKUP(B3263,'112年全品項生產鍋數'!A:H,3,0)</f>
        <v>0.9</v>
      </c>
      <c r="F3263" s="142">
        <f>VLOOKUP(B3263,'112年全品項生產鍋數'!A:H,7,0)</f>
        <v>163</v>
      </c>
      <c r="G3263" s="143">
        <f t="shared" si="542"/>
        <v>3260</v>
      </c>
      <c r="H3263" s="156">
        <v>3214</v>
      </c>
      <c r="I3263" s="371">
        <f t="shared" si="543"/>
        <v>2892.6</v>
      </c>
      <c r="J3263" s="100">
        <f t="shared" si="544"/>
        <v>0.98588957055214721</v>
      </c>
      <c r="K3263" s="51">
        <f>VLOOKUP(B:B,'生產達成率(目標)'!A:C,3,0)</f>
        <v>1</v>
      </c>
      <c r="L3263" s="20">
        <f t="shared" si="545"/>
        <v>-1.4E-2</v>
      </c>
      <c r="M3263" s="137" t="str">
        <f>工時!R2450</f>
        <v>0</v>
      </c>
      <c r="N3263" s="374"/>
      <c r="O3263" s="374">
        <f t="shared" si="546"/>
        <v>2</v>
      </c>
      <c r="P3263" s="156">
        <v>3212</v>
      </c>
      <c r="Q3263" s="98">
        <f t="shared" si="547"/>
        <v>0.99937772246421908</v>
      </c>
      <c r="R3263" s="371"/>
      <c r="S3263" s="372"/>
      <c r="T3263" s="364" t="s">
        <v>1153</v>
      </c>
      <c r="U3263" s="264"/>
      <c r="V3263" s="264" t="s">
        <v>1849</v>
      </c>
      <c r="W3263" s="424">
        <v>46245</v>
      </c>
      <c r="X3263" s="264" t="s">
        <v>1867</v>
      </c>
      <c r="Y3263" s="424">
        <v>46247</v>
      </c>
      <c r="Z3263" s="424"/>
      <c r="AA3263" s="424">
        <v>46241</v>
      </c>
      <c r="AB3263" s="424">
        <v>46246</v>
      </c>
      <c r="AC3263" s="425">
        <f t="shared" si="548"/>
        <v>1</v>
      </c>
      <c r="AD3263" s="425">
        <f t="shared" si="549"/>
        <v>3</v>
      </c>
    </row>
    <row r="3264" spans="1:30" s="361" customFormat="1" x14ac:dyDescent="0.4">
      <c r="A3264" s="402">
        <v>46244</v>
      </c>
      <c r="B3264" s="392" t="s">
        <v>75</v>
      </c>
      <c r="C3264" s="364" t="str">
        <f>VLOOKUP(B3264,'112年全品項生產鍋數'!A:H,2,0)</f>
        <v>草莓椰果餡(1*6Kg)</v>
      </c>
      <c r="D3264" s="404">
        <v>16</v>
      </c>
      <c r="E3264" s="48">
        <f>VLOOKUP(B3264,'112年全品項生產鍋數'!A:H,3,0)</f>
        <v>6</v>
      </c>
      <c r="F3264" s="142">
        <f>VLOOKUP(B3264,'112年全品項生產鍋數'!A:H,7,0)</f>
        <v>26.4</v>
      </c>
      <c r="G3264" s="143">
        <f t="shared" si="542"/>
        <v>422.4</v>
      </c>
      <c r="H3264" s="156">
        <v>431</v>
      </c>
      <c r="I3264" s="371">
        <f t="shared" si="543"/>
        <v>2586</v>
      </c>
      <c r="J3264" s="100">
        <f t="shared" si="544"/>
        <v>1.0203598484848486</v>
      </c>
      <c r="K3264" s="51">
        <f>VLOOKUP(B:B,'生產達成率(目標)'!A:C,3,0)</f>
        <v>1</v>
      </c>
      <c r="L3264" s="20">
        <f t="shared" si="545"/>
        <v>0.02</v>
      </c>
      <c r="M3264" s="137" t="str">
        <f>工時!R2451</f>
        <v>0</v>
      </c>
      <c r="N3264" s="374"/>
      <c r="O3264" s="374">
        <f t="shared" si="546"/>
        <v>1</v>
      </c>
      <c r="P3264" s="156">
        <v>430</v>
      </c>
      <c r="Q3264" s="98">
        <f t="shared" si="547"/>
        <v>0.99767981438515085</v>
      </c>
      <c r="R3264" s="371"/>
      <c r="S3264" s="372"/>
      <c r="T3264" s="364" t="s">
        <v>1153</v>
      </c>
      <c r="U3264" s="264"/>
      <c r="V3264" s="264" t="s">
        <v>1847</v>
      </c>
      <c r="W3264" s="424">
        <v>46244</v>
      </c>
      <c r="X3264" s="264" t="s">
        <v>1867</v>
      </c>
      <c r="Y3264" s="424">
        <v>46247</v>
      </c>
      <c r="Z3264" s="424"/>
      <c r="AA3264" s="424">
        <v>46241</v>
      </c>
      <c r="AB3264" s="424">
        <v>46244</v>
      </c>
      <c r="AC3264" s="425">
        <f t="shared" si="548"/>
        <v>0</v>
      </c>
      <c r="AD3264" s="425">
        <f t="shared" si="549"/>
        <v>3</v>
      </c>
    </row>
    <row r="3265" spans="1:30" s="361" customFormat="1" x14ac:dyDescent="0.4">
      <c r="A3265" s="402">
        <v>46244</v>
      </c>
      <c r="B3265" s="392" t="s">
        <v>63</v>
      </c>
      <c r="C3265" s="364" t="str">
        <f>VLOOKUP(B3265,'112年全品項生產鍋數'!A:H,2,0)</f>
        <v>草莓蒟蒻餡(1*6kg)</v>
      </c>
      <c r="D3265" s="404">
        <v>28</v>
      </c>
      <c r="E3265" s="48">
        <f>VLOOKUP(B3265,'112年全品項生產鍋數'!A:H,3,0)</f>
        <v>6</v>
      </c>
      <c r="F3265" s="142">
        <f>VLOOKUP(B3265,'112年全品項生產鍋數'!A:H,7,0)</f>
        <v>25.7</v>
      </c>
      <c r="G3265" s="143">
        <f t="shared" si="542"/>
        <v>719.6</v>
      </c>
      <c r="H3265" s="156">
        <f>409+313</f>
        <v>722</v>
      </c>
      <c r="I3265" s="371">
        <f t="shared" si="543"/>
        <v>4332</v>
      </c>
      <c r="J3265" s="100">
        <f t="shared" si="544"/>
        <v>1.0033351862145636</v>
      </c>
      <c r="K3265" s="51">
        <f>VLOOKUP(B:B,'生產達成率(目標)'!A:C,3,0)</f>
        <v>1</v>
      </c>
      <c r="L3265" s="20">
        <f t="shared" si="545"/>
        <v>3.0000000000000001E-3</v>
      </c>
      <c r="M3265" s="137" t="str">
        <f>工時!R2452</f>
        <v>0</v>
      </c>
      <c r="N3265" s="374"/>
      <c r="O3265" s="374">
        <f t="shared" si="546"/>
        <v>1</v>
      </c>
      <c r="P3265" s="156">
        <f>408+313</f>
        <v>721</v>
      </c>
      <c r="Q3265" s="98">
        <f t="shared" si="547"/>
        <v>0.99861495844875348</v>
      </c>
      <c r="R3265" s="371"/>
      <c r="S3265" s="372"/>
      <c r="T3265" s="364" t="s">
        <v>1198</v>
      </c>
      <c r="U3265" s="264"/>
      <c r="V3265" s="264" t="s">
        <v>1847</v>
      </c>
      <c r="W3265" s="424">
        <v>46245</v>
      </c>
      <c r="X3265" s="264" t="s">
        <v>1867</v>
      </c>
      <c r="Y3265" s="424">
        <v>46247</v>
      </c>
      <c r="Z3265" s="424"/>
      <c r="AA3265" s="424">
        <v>46241</v>
      </c>
      <c r="AB3265" s="424" t="s">
        <v>1823</v>
      </c>
      <c r="AC3265" s="425">
        <f t="shared" si="548"/>
        <v>1</v>
      </c>
      <c r="AD3265" s="425">
        <f t="shared" si="549"/>
        <v>3</v>
      </c>
    </row>
    <row r="3266" spans="1:30" s="361" customFormat="1" x14ac:dyDescent="0.4">
      <c r="A3266" s="402">
        <v>46244</v>
      </c>
      <c r="B3266" s="392" t="s">
        <v>65</v>
      </c>
      <c r="C3266" s="364" t="str">
        <f>VLOOKUP(B3266,'112年全品項生產鍋數'!A:H,2,0)</f>
        <v>＃1花生(1*2.8kg)</v>
      </c>
      <c r="D3266" s="404">
        <v>60</v>
      </c>
      <c r="E3266" s="48">
        <f>VLOOKUP(B3266,'112年全品項生產鍋數'!A:H,3,0)</f>
        <v>2.8</v>
      </c>
      <c r="F3266" s="142">
        <f>VLOOKUP(B3266,'112年全品項生產鍋數'!A:H,7,0)</f>
        <v>44.5</v>
      </c>
      <c r="G3266" s="143">
        <f t="shared" si="542"/>
        <v>2670</v>
      </c>
      <c r="H3266" s="156">
        <v>2663</v>
      </c>
      <c r="I3266" s="371">
        <f t="shared" si="543"/>
        <v>7456.4</v>
      </c>
      <c r="J3266" s="100">
        <f t="shared" si="544"/>
        <v>0.99737827715355809</v>
      </c>
      <c r="K3266" s="51">
        <f>VLOOKUP(B:B,'生產達成率(目標)'!A:C,3,0)</f>
        <v>1</v>
      </c>
      <c r="L3266" s="20">
        <f t="shared" si="545"/>
        <v>-3.0000000000000001E-3</v>
      </c>
      <c r="M3266" s="137" t="str">
        <f>工時!R2453</f>
        <v>0</v>
      </c>
      <c r="N3266" s="374"/>
      <c r="O3266" s="374">
        <f t="shared" si="546"/>
        <v>1</v>
      </c>
      <c r="P3266" s="156">
        <v>2662</v>
      </c>
      <c r="Q3266" s="98">
        <f t="shared" si="547"/>
        <v>0.99962448366503942</v>
      </c>
      <c r="R3266" s="371"/>
      <c r="S3266" s="372"/>
      <c r="T3266" s="364" t="s">
        <v>1153</v>
      </c>
      <c r="U3266" s="264"/>
      <c r="V3266" s="264" t="s">
        <v>1848</v>
      </c>
      <c r="W3266" s="424">
        <v>46245</v>
      </c>
      <c r="X3266" s="264" t="s">
        <v>1848</v>
      </c>
      <c r="Y3266" s="424">
        <v>46245</v>
      </c>
      <c r="Z3266" s="424"/>
      <c r="AA3266" s="424">
        <v>46241</v>
      </c>
      <c r="AB3266" s="424" t="s">
        <v>1823</v>
      </c>
      <c r="AC3266" s="425">
        <f t="shared" si="548"/>
        <v>1</v>
      </c>
      <c r="AD3266" s="425">
        <f t="shared" si="549"/>
        <v>1</v>
      </c>
    </row>
    <row r="3267" spans="1:30" s="381" customFormat="1" x14ac:dyDescent="0.4">
      <c r="A3267" s="402">
        <v>46244</v>
      </c>
      <c r="B3267" s="392" t="s">
        <v>431</v>
      </c>
      <c r="C3267" s="375" t="str">
        <f>VLOOKUP(B3267,'112年全品項生產鍋數'!A:H,2,0)</f>
        <v>文旦丁</v>
      </c>
      <c r="D3267" s="406">
        <v>1</v>
      </c>
      <c r="E3267" s="141">
        <f>VLOOKUP(B3267,'112年全品項生產鍋數'!A:H,3,0)</f>
        <v>1</v>
      </c>
      <c r="F3267" s="142">
        <f>VLOOKUP(B3267,'112年全品項生產鍋數'!A:H,7,0)</f>
        <v>243</v>
      </c>
      <c r="G3267" s="143">
        <f t="shared" si="542"/>
        <v>243</v>
      </c>
      <c r="H3267" s="156">
        <v>264</v>
      </c>
      <c r="I3267" s="374">
        <f t="shared" si="543"/>
        <v>264</v>
      </c>
      <c r="J3267" s="100">
        <f t="shared" si="544"/>
        <v>1.0864197530864197</v>
      </c>
      <c r="K3267" s="51">
        <f>VLOOKUP(B:B,'生產達成率(目標)'!A:C,3,0)</f>
        <v>1</v>
      </c>
      <c r="L3267" s="20">
        <f t="shared" si="545"/>
        <v>8.5999999999999993E-2</v>
      </c>
      <c r="M3267" s="137" t="str">
        <f>工時!R2454</f>
        <v>0</v>
      </c>
      <c r="N3267" s="374"/>
      <c r="O3267" s="374">
        <f t="shared" si="546"/>
        <v>5</v>
      </c>
      <c r="P3267" s="156">
        <v>259</v>
      </c>
      <c r="Q3267" s="145">
        <f t="shared" si="547"/>
        <v>0.98106060606060608</v>
      </c>
      <c r="R3267" s="374"/>
      <c r="S3267" s="378"/>
      <c r="T3267" s="375" t="s">
        <v>1153</v>
      </c>
      <c r="U3267" s="398"/>
      <c r="V3267" s="398" t="s">
        <v>1850</v>
      </c>
      <c r="W3267" s="427">
        <v>46246</v>
      </c>
      <c r="X3267" s="264" t="s">
        <v>1850</v>
      </c>
      <c r="Y3267" s="427">
        <v>46246</v>
      </c>
      <c r="Z3267" s="427"/>
      <c r="AA3267" s="427">
        <v>46241</v>
      </c>
      <c r="AB3267" s="427" t="s">
        <v>1823</v>
      </c>
      <c r="AC3267" s="429">
        <f t="shared" si="548"/>
        <v>2</v>
      </c>
      <c r="AD3267" s="429">
        <f t="shared" si="549"/>
        <v>2</v>
      </c>
    </row>
    <row r="3268" spans="1:30" s="381" customFormat="1" x14ac:dyDescent="0.4">
      <c r="A3268" s="402">
        <v>46245</v>
      </c>
      <c r="B3268" s="392" t="s">
        <v>109</v>
      </c>
      <c r="C3268" s="375" t="str">
        <f>VLOOKUP(B3268,'112年全品項生產鍋數'!A:H,2,0)</f>
        <v>蔓越莓醬(1*6KG)</v>
      </c>
      <c r="D3268" s="406">
        <v>24</v>
      </c>
      <c r="E3268" s="141">
        <f>VLOOKUP(B3268,'112年全品項生產鍋數'!A:H,3,0)</f>
        <v>6</v>
      </c>
      <c r="F3268" s="142">
        <f>VLOOKUP(B3268,'112年全品項生產鍋數'!A:H,7,0)</f>
        <v>25.6</v>
      </c>
      <c r="G3268" s="143">
        <f t="shared" si="542"/>
        <v>614.40000000000009</v>
      </c>
      <c r="H3268" s="156">
        <v>622</v>
      </c>
      <c r="I3268" s="374">
        <f t="shared" si="543"/>
        <v>3732</v>
      </c>
      <c r="J3268" s="100">
        <f t="shared" si="544"/>
        <v>1.0123697916666665</v>
      </c>
      <c r="K3268" s="51">
        <f>VLOOKUP(B:B,'生產達成率(目標)'!A:C,3,0)</f>
        <v>1</v>
      </c>
      <c r="L3268" s="20">
        <f t="shared" si="545"/>
        <v>1.2E-2</v>
      </c>
      <c r="M3268" s="137" t="str">
        <f>工時!R2455</f>
        <v>300</v>
      </c>
      <c r="N3268" s="374"/>
      <c r="O3268" s="374">
        <f t="shared" si="546"/>
        <v>2</v>
      </c>
      <c r="P3268" s="156">
        <v>620</v>
      </c>
      <c r="Q3268" s="145">
        <f t="shared" si="547"/>
        <v>0.99678456591639875</v>
      </c>
      <c r="R3268" s="374"/>
      <c r="S3268" s="378"/>
      <c r="T3268" s="375" t="s">
        <v>1153</v>
      </c>
      <c r="U3268" s="398"/>
      <c r="V3268" s="398" t="s">
        <v>1849</v>
      </c>
      <c r="W3268" s="427">
        <v>46246</v>
      </c>
      <c r="X3268" s="264" t="s">
        <v>1867</v>
      </c>
      <c r="Y3268" s="427">
        <v>46247</v>
      </c>
      <c r="Z3268" s="427"/>
      <c r="AA3268" s="427">
        <v>46244</v>
      </c>
      <c r="AB3268" s="427">
        <v>46246</v>
      </c>
      <c r="AC3268" s="429">
        <f t="shared" si="548"/>
        <v>1</v>
      </c>
      <c r="AD3268" s="429">
        <f t="shared" si="549"/>
        <v>2</v>
      </c>
    </row>
    <row r="3269" spans="1:30" s="381" customFormat="1" x14ac:dyDescent="0.4">
      <c r="A3269" s="402">
        <v>46245</v>
      </c>
      <c r="B3269" s="392" t="s">
        <v>51</v>
      </c>
      <c r="C3269" s="375" t="str">
        <f>VLOOKUP(B3269,'112年全品項生產鍋數'!A:H,2,0)</f>
        <v>藍莓醬(1*6kg)</v>
      </c>
      <c r="D3269" s="406">
        <v>16</v>
      </c>
      <c r="E3269" s="141">
        <f>VLOOKUP(B3269,'112年全品項生產鍋數'!A:H,3,0)</f>
        <v>6</v>
      </c>
      <c r="F3269" s="142">
        <f>VLOOKUP(B3269,'112年全品項生產鍋數'!A:H,7,0)</f>
        <v>25.5</v>
      </c>
      <c r="G3269" s="143">
        <f t="shared" si="542"/>
        <v>408</v>
      </c>
      <c r="H3269" s="156">
        <v>402</v>
      </c>
      <c r="I3269" s="374">
        <f t="shared" si="543"/>
        <v>2412</v>
      </c>
      <c r="J3269" s="100">
        <f t="shared" si="544"/>
        <v>0.98529411764705888</v>
      </c>
      <c r="K3269" s="51">
        <f>VLOOKUP(B:B,'生產達成率(目標)'!A:C,3,0)</f>
        <v>1</v>
      </c>
      <c r="L3269" s="20">
        <f t="shared" si="545"/>
        <v>-1.4999999999999999E-2</v>
      </c>
      <c r="M3269" s="137" t="str">
        <f>工時!R2456</f>
        <v>200</v>
      </c>
      <c r="N3269" s="374"/>
      <c r="O3269" s="374">
        <f t="shared" si="546"/>
        <v>0</v>
      </c>
      <c r="P3269" s="156">
        <v>402</v>
      </c>
      <c r="Q3269" s="145">
        <f t="shared" si="547"/>
        <v>1</v>
      </c>
      <c r="R3269" s="374"/>
      <c r="S3269" s="378"/>
      <c r="T3269" s="375" t="s">
        <v>1153</v>
      </c>
      <c r="U3269" s="398"/>
      <c r="V3269" s="398" t="s">
        <v>1849</v>
      </c>
      <c r="W3269" s="427">
        <v>46246</v>
      </c>
      <c r="X3269" s="264" t="s">
        <v>1867</v>
      </c>
      <c r="Y3269" s="427">
        <v>46247</v>
      </c>
      <c r="Z3269" s="427"/>
      <c r="AA3269" s="427">
        <v>46244</v>
      </c>
      <c r="AB3269" s="427">
        <v>46246</v>
      </c>
      <c r="AC3269" s="429">
        <f t="shared" si="548"/>
        <v>1</v>
      </c>
      <c r="AD3269" s="429">
        <f t="shared" si="549"/>
        <v>2</v>
      </c>
    </row>
    <row r="3270" spans="1:30" s="381" customFormat="1" x14ac:dyDescent="0.4">
      <c r="A3270" s="402">
        <v>46245</v>
      </c>
      <c r="B3270" s="392" t="s">
        <v>1046</v>
      </c>
      <c r="C3270" s="375" t="str">
        <f>VLOOKUP(B3270,'112年全品項生產鍋數'!A:H,2,0)</f>
        <v>藍莓顆粒果醬(1*6kg)</v>
      </c>
      <c r="D3270" s="406">
        <v>8</v>
      </c>
      <c r="E3270" s="141">
        <f>VLOOKUP(B3270,'112年全品項生產鍋數'!A:H,3,0)</f>
        <v>6</v>
      </c>
      <c r="F3270" s="142">
        <f>VLOOKUP(B3270,'112年全品項生產鍋數'!A:H,7,0)</f>
        <v>0</v>
      </c>
      <c r="G3270" s="143">
        <f t="shared" si="542"/>
        <v>0</v>
      </c>
      <c r="H3270" s="156">
        <v>215</v>
      </c>
      <c r="I3270" s="374">
        <f t="shared" si="543"/>
        <v>1290</v>
      </c>
      <c r="J3270" s="100" t="str">
        <f t="shared" si="544"/>
        <v>無法預估數據</v>
      </c>
      <c r="K3270" s="51">
        <f>VLOOKUP(B:B,'生產達成率(目標)'!A:C,3,0)</f>
        <v>1</v>
      </c>
      <c r="L3270" s="20" t="str">
        <f t="shared" si="545"/>
        <v>無法預估數據</v>
      </c>
      <c r="M3270" s="137" t="str">
        <f>工時!R2457</f>
        <v>158</v>
      </c>
      <c r="N3270" s="374"/>
      <c r="O3270" s="374">
        <f t="shared" si="546"/>
        <v>2</v>
      </c>
      <c r="P3270" s="156">
        <v>213</v>
      </c>
      <c r="Q3270" s="145">
        <f t="shared" si="547"/>
        <v>0.99069767441860468</v>
      </c>
      <c r="R3270" s="374"/>
      <c r="S3270" s="378"/>
      <c r="T3270" s="375" t="s">
        <v>1153</v>
      </c>
      <c r="U3270" s="398"/>
      <c r="V3270" s="398" t="s">
        <v>1849</v>
      </c>
      <c r="W3270" s="427">
        <v>46246</v>
      </c>
      <c r="X3270" s="264" t="s">
        <v>1867</v>
      </c>
      <c r="Y3270" s="427">
        <v>46247</v>
      </c>
      <c r="Z3270" s="427"/>
      <c r="AA3270" s="427">
        <v>46244</v>
      </c>
      <c r="AB3270" s="427">
        <v>46246</v>
      </c>
      <c r="AC3270" s="429">
        <f t="shared" si="548"/>
        <v>1</v>
      </c>
      <c r="AD3270" s="429">
        <f t="shared" si="549"/>
        <v>2</v>
      </c>
    </row>
    <row r="3271" spans="1:30" s="381" customFormat="1" x14ac:dyDescent="0.4">
      <c r="A3271" s="402">
        <v>46245</v>
      </c>
      <c r="B3271" s="392" t="s">
        <v>110</v>
      </c>
      <c r="C3271" s="375" t="str">
        <f>VLOOKUP(B3271,'112年全品項生產鍋數'!A:H,2,0)</f>
        <v>顆粒花生醬(1*12KG)</v>
      </c>
      <c r="D3271" s="406">
        <v>21</v>
      </c>
      <c r="E3271" s="141">
        <f>VLOOKUP(B3271,'112年全品項生產鍋數'!A:H,3,0)</f>
        <v>3</v>
      </c>
      <c r="F3271" s="142">
        <f>VLOOKUP(B3271,'112年全品項生產鍋數'!A:H,7,0)</f>
        <v>30.8</v>
      </c>
      <c r="G3271" s="143">
        <f t="shared" si="542"/>
        <v>646.80000000000007</v>
      </c>
      <c r="H3271" s="156">
        <v>648</v>
      </c>
      <c r="I3271" s="374">
        <f t="shared" si="543"/>
        <v>1944</v>
      </c>
      <c r="J3271" s="100">
        <f t="shared" si="544"/>
        <v>1.0018552875695732</v>
      </c>
      <c r="K3271" s="51">
        <f>VLOOKUP(B:B,'生產達成率(目標)'!A:C,3,0)</f>
        <v>1</v>
      </c>
      <c r="L3271" s="20">
        <f t="shared" si="545"/>
        <v>2E-3</v>
      </c>
      <c r="M3271" s="137" t="str">
        <f>工時!R2458</f>
        <v>540</v>
      </c>
      <c r="N3271" s="374"/>
      <c r="O3271" s="374">
        <f t="shared" si="546"/>
        <v>0</v>
      </c>
      <c r="P3271" s="156">
        <v>648</v>
      </c>
      <c r="Q3271" s="145">
        <f t="shared" si="547"/>
        <v>1</v>
      </c>
      <c r="R3271" s="374"/>
      <c r="S3271" s="378"/>
      <c r="T3271" s="375" t="s">
        <v>1153</v>
      </c>
      <c r="U3271" s="398"/>
      <c r="V3271" s="398" t="s">
        <v>1847</v>
      </c>
      <c r="W3271" s="427">
        <v>46245</v>
      </c>
      <c r="X3271" s="264" t="s">
        <v>1867</v>
      </c>
      <c r="Y3271" s="427">
        <v>46245</v>
      </c>
      <c r="Z3271" s="427"/>
      <c r="AA3271" s="427">
        <v>46240</v>
      </c>
      <c r="AB3271" s="427">
        <v>46246</v>
      </c>
      <c r="AC3271" s="429">
        <f t="shared" si="548"/>
        <v>0</v>
      </c>
      <c r="AD3271" s="429">
        <f t="shared" si="549"/>
        <v>0</v>
      </c>
    </row>
    <row r="3272" spans="1:30" s="361" customFormat="1" x14ac:dyDescent="0.4">
      <c r="A3272" s="402">
        <v>46245</v>
      </c>
      <c r="B3272" s="392" t="s">
        <v>65</v>
      </c>
      <c r="C3272" s="364" t="str">
        <f>VLOOKUP(B3272,'112年全品項生產鍋數'!A:H,2,0)</f>
        <v>＃1花生(1*2.8kg)</v>
      </c>
      <c r="D3272" s="404">
        <v>60</v>
      </c>
      <c r="E3272" s="48">
        <f>VLOOKUP(B3272,'112年全品項生產鍋數'!A:H,3,0)</f>
        <v>2.8</v>
      </c>
      <c r="F3272" s="142">
        <f>VLOOKUP(B3272,'112年全品項生產鍋數'!A:H,7,0)</f>
        <v>44.5</v>
      </c>
      <c r="G3272" s="143">
        <f t="shared" si="542"/>
        <v>2670</v>
      </c>
      <c r="H3272" s="156">
        <v>2675</v>
      </c>
      <c r="I3272" s="371">
        <f t="shared" si="543"/>
        <v>7489.9999999999991</v>
      </c>
      <c r="J3272" s="100">
        <f t="shared" si="544"/>
        <v>1.0018726591760299</v>
      </c>
      <c r="K3272" s="51">
        <f>VLOOKUP(B:B,'生產達成率(目標)'!A:C,3,0)</f>
        <v>1</v>
      </c>
      <c r="L3272" s="20">
        <f t="shared" si="545"/>
        <v>2E-3</v>
      </c>
      <c r="M3272" s="137" t="str">
        <f>工時!R2459</f>
        <v>450</v>
      </c>
      <c r="N3272" s="374"/>
      <c r="O3272" s="374">
        <f t="shared" si="546"/>
        <v>1</v>
      </c>
      <c r="P3272" s="156">
        <v>2674</v>
      </c>
      <c r="Q3272" s="98">
        <f t="shared" si="547"/>
        <v>0.99962616822429906</v>
      </c>
      <c r="R3272" s="371"/>
      <c r="S3272" s="372"/>
      <c r="T3272" s="364" t="s">
        <v>1153</v>
      </c>
      <c r="U3272" s="264"/>
      <c r="V3272" s="264" t="s">
        <v>1848</v>
      </c>
      <c r="W3272" s="424">
        <v>46245</v>
      </c>
      <c r="X3272" s="264" t="s">
        <v>1848</v>
      </c>
      <c r="Y3272" s="424">
        <v>46245</v>
      </c>
      <c r="Z3272" s="424"/>
      <c r="AA3272" s="424" t="s">
        <v>1821</v>
      </c>
      <c r="AB3272" s="424" t="s">
        <v>1821</v>
      </c>
      <c r="AC3272" s="425">
        <f t="shared" si="548"/>
        <v>0</v>
      </c>
      <c r="AD3272" s="425">
        <f t="shared" si="549"/>
        <v>0</v>
      </c>
    </row>
    <row r="3273" spans="1:30" s="361" customFormat="1" x14ac:dyDescent="0.4">
      <c r="A3273" s="402">
        <v>46246</v>
      </c>
      <c r="B3273" s="392" t="s">
        <v>71</v>
      </c>
      <c r="C3273" s="364" t="str">
        <f>VLOOKUP(B3273,'112年全品項生產鍋數'!A:H,2,0)</f>
        <v>＃1草莓(1*3.2kg)</v>
      </c>
      <c r="D3273" s="404">
        <v>88</v>
      </c>
      <c r="E3273" s="48">
        <f>VLOOKUP(B3273,'112年全品項生產鍋數'!A:H,3,0)</f>
        <v>3.2</v>
      </c>
      <c r="F3273" s="142">
        <f>VLOOKUP(B3273,'112年全品項生產鍋數'!A:H,7,0)</f>
        <v>46.8</v>
      </c>
      <c r="G3273" s="143">
        <f t="shared" si="542"/>
        <v>4118.3999999999996</v>
      </c>
      <c r="H3273" s="156">
        <v>4102</v>
      </c>
      <c r="I3273" s="371">
        <f t="shared" si="543"/>
        <v>13126.400000000001</v>
      </c>
      <c r="J3273" s="100">
        <f t="shared" si="544"/>
        <v>0.99601787101787109</v>
      </c>
      <c r="K3273" s="51">
        <f>VLOOKUP(B:B,'生產達成率(目標)'!A:C,3,0)</f>
        <v>1</v>
      </c>
      <c r="L3273" s="20">
        <f t="shared" si="545"/>
        <v>-4.0000000000000001E-3</v>
      </c>
      <c r="M3273" s="137" t="str">
        <f>工時!R2460</f>
        <v>570</v>
      </c>
      <c r="N3273" s="374"/>
      <c r="O3273" s="374">
        <f t="shared" si="546"/>
        <v>290</v>
      </c>
      <c r="P3273" s="156">
        <v>3812</v>
      </c>
      <c r="Q3273" s="98">
        <f t="shared" si="547"/>
        <v>0.92930277913213066</v>
      </c>
      <c r="R3273" s="371"/>
      <c r="S3273" s="372"/>
      <c r="T3273" s="364" t="s">
        <v>1153</v>
      </c>
      <c r="U3273" s="264"/>
      <c r="V3273" s="264" t="s">
        <v>1849</v>
      </c>
      <c r="W3273" s="424">
        <v>46247</v>
      </c>
      <c r="X3273" s="264" t="s">
        <v>1867</v>
      </c>
      <c r="Y3273" s="424">
        <v>46247</v>
      </c>
      <c r="Z3273" s="424"/>
      <c r="AA3273" s="424" t="s">
        <v>1812</v>
      </c>
      <c r="AB3273" s="424" t="s">
        <v>1824</v>
      </c>
      <c r="AC3273" s="425">
        <f t="shared" si="548"/>
        <v>1</v>
      </c>
      <c r="AD3273" s="425">
        <f t="shared" si="549"/>
        <v>1</v>
      </c>
    </row>
    <row r="3274" spans="1:30" s="361" customFormat="1" x14ac:dyDescent="0.4">
      <c r="A3274" s="402">
        <v>46246</v>
      </c>
      <c r="B3274" s="392" t="s">
        <v>102</v>
      </c>
      <c r="C3274" s="364" t="str">
        <f>VLOOKUP(B3274,'112年全品項生產鍋數'!A:H,2,0)</f>
        <v>耐烤草莓餡(1*4.5KG)</v>
      </c>
      <c r="D3274" s="404">
        <v>9</v>
      </c>
      <c r="E3274" s="48">
        <f>VLOOKUP(B3274,'112年全品項生產鍋數'!A:H,3,0)</f>
        <v>4.5</v>
      </c>
      <c r="F3274" s="142">
        <f>VLOOKUP(B3274,'112年全品項生產鍋數'!A:H,7,0)</f>
        <v>36</v>
      </c>
      <c r="G3274" s="143">
        <f t="shared" si="542"/>
        <v>324</v>
      </c>
      <c r="H3274" s="156">
        <v>329</v>
      </c>
      <c r="I3274" s="371">
        <f t="shared" si="543"/>
        <v>1480.5</v>
      </c>
      <c r="J3274" s="100">
        <f t="shared" si="544"/>
        <v>1.0154320987654322</v>
      </c>
      <c r="K3274" s="51">
        <f>VLOOKUP(B:B,'生產達成率(目標)'!A:C,3,0)</f>
        <v>1</v>
      </c>
      <c r="L3274" s="20">
        <f t="shared" si="545"/>
        <v>1.4999999999999999E-2</v>
      </c>
      <c r="M3274" s="137" t="str">
        <f>工時!R2461</f>
        <v>209</v>
      </c>
      <c r="N3274" s="374"/>
      <c r="O3274" s="374">
        <f t="shared" si="546"/>
        <v>0</v>
      </c>
      <c r="P3274" s="156">
        <v>329</v>
      </c>
      <c r="Q3274" s="98">
        <f t="shared" si="547"/>
        <v>1</v>
      </c>
      <c r="R3274" s="371"/>
      <c r="S3274" s="372"/>
      <c r="T3274" s="364" t="s">
        <v>1153</v>
      </c>
      <c r="U3274" s="264"/>
      <c r="V3274" s="264" t="s">
        <v>1847</v>
      </c>
      <c r="W3274" s="424">
        <v>46247</v>
      </c>
      <c r="X3274" s="264" t="s">
        <v>1867</v>
      </c>
      <c r="Y3274" s="424">
        <v>46247</v>
      </c>
      <c r="Z3274" s="424"/>
      <c r="AA3274" s="424">
        <v>46244</v>
      </c>
      <c r="AB3274" s="424">
        <v>46247</v>
      </c>
      <c r="AC3274" s="425">
        <f t="shared" si="548"/>
        <v>1</v>
      </c>
      <c r="AD3274" s="425">
        <f t="shared" si="549"/>
        <v>1</v>
      </c>
    </row>
    <row r="3275" spans="1:30" s="361" customFormat="1" x14ac:dyDescent="0.4">
      <c r="A3275" s="402">
        <v>46246</v>
      </c>
      <c r="B3275" s="392" t="s">
        <v>1698</v>
      </c>
      <c r="C3275" s="364" t="str">
        <f>VLOOKUP(B3275,'112年全品項生產鍋數'!A:H,2,0)</f>
        <v>上好佳草莓餡4.5KG</v>
      </c>
      <c r="D3275" s="404">
        <v>20</v>
      </c>
      <c r="E3275" s="48">
        <f>VLOOKUP(B3275,'112年全品項生產鍋數'!A:H,3,0)</f>
        <v>4.5</v>
      </c>
      <c r="F3275" s="142">
        <f>VLOOKUP(B3275,'112年全品項生產鍋數'!A:H,7,0)</f>
        <v>36.299999999999997</v>
      </c>
      <c r="G3275" s="143">
        <f t="shared" si="542"/>
        <v>726</v>
      </c>
      <c r="H3275" s="156">
        <v>728</v>
      </c>
      <c r="I3275" s="371">
        <f t="shared" si="543"/>
        <v>3276</v>
      </c>
      <c r="J3275" s="100">
        <f t="shared" si="544"/>
        <v>1.002754820936639</v>
      </c>
      <c r="K3275" s="51">
        <f>VLOOKUP(B:B,'生產達成率(目標)'!A:C,3,0)</f>
        <v>1</v>
      </c>
      <c r="L3275" s="20">
        <f t="shared" si="545"/>
        <v>3.0000000000000001E-3</v>
      </c>
      <c r="M3275" s="137" t="str">
        <f>工時!R2462</f>
        <v>285</v>
      </c>
      <c r="N3275" s="374"/>
      <c r="O3275" s="374">
        <f t="shared" si="546"/>
        <v>0</v>
      </c>
      <c r="P3275" s="156">
        <v>728</v>
      </c>
      <c r="Q3275" s="98">
        <f t="shared" si="547"/>
        <v>1</v>
      </c>
      <c r="R3275" s="371"/>
      <c r="S3275" s="372"/>
      <c r="T3275" s="364" t="s">
        <v>1197</v>
      </c>
      <c r="U3275" s="264"/>
      <c r="V3275" s="264" t="s">
        <v>1847</v>
      </c>
      <c r="W3275" s="424">
        <v>46246</v>
      </c>
      <c r="X3275" s="264" t="s">
        <v>1867</v>
      </c>
      <c r="Y3275" s="424">
        <v>46247</v>
      </c>
      <c r="Z3275" s="424"/>
      <c r="AA3275" s="424">
        <v>46244</v>
      </c>
      <c r="AB3275" s="424">
        <v>46247</v>
      </c>
      <c r="AC3275" s="425">
        <f t="shared" si="548"/>
        <v>0</v>
      </c>
      <c r="AD3275" s="425">
        <f t="shared" si="549"/>
        <v>1</v>
      </c>
    </row>
    <row r="3276" spans="1:30" s="361" customFormat="1" x14ac:dyDescent="0.4">
      <c r="A3276" s="402">
        <v>46246</v>
      </c>
      <c r="B3276" s="392" t="s">
        <v>1753</v>
      </c>
      <c r="C3276" s="364" t="str">
        <f>VLOOKUP(B3276,'112年全品項生產鍋數'!A:H,2,0)</f>
        <v>上好佳藍莓餡(大)4.5KG</v>
      </c>
      <c r="D3276" s="404">
        <v>12</v>
      </c>
      <c r="E3276" s="48">
        <f>VLOOKUP(B3276,'112年全品項生產鍋數'!A:H,3,0)</f>
        <v>4.5</v>
      </c>
      <c r="F3276" s="142">
        <f>VLOOKUP(B3276,'112年全品項生產鍋數'!A:H,7,0)</f>
        <v>37</v>
      </c>
      <c r="G3276" s="143">
        <f t="shared" si="542"/>
        <v>444</v>
      </c>
      <c r="H3276" s="156">
        <v>438</v>
      </c>
      <c r="I3276" s="371">
        <f t="shared" si="543"/>
        <v>1971</v>
      </c>
      <c r="J3276" s="100">
        <f t="shared" si="544"/>
        <v>0.98648648648648651</v>
      </c>
      <c r="K3276" s="51" t="e">
        <f>VLOOKUP(B:B,'生產達成率(目標)'!A:C,3,0)</f>
        <v>#N/A</v>
      </c>
      <c r="L3276" s="20" t="e">
        <f t="shared" si="545"/>
        <v>#N/A</v>
      </c>
      <c r="M3276" s="137" t="str">
        <f>工時!R2463</f>
        <v>254</v>
      </c>
      <c r="N3276" s="374"/>
      <c r="O3276" s="374">
        <f t="shared" si="546"/>
        <v>0</v>
      </c>
      <c r="P3276" s="156">
        <v>438</v>
      </c>
      <c r="Q3276" s="98">
        <f t="shared" si="547"/>
        <v>1</v>
      </c>
      <c r="R3276" s="371"/>
      <c r="S3276" s="372"/>
      <c r="T3276" s="364" t="s">
        <v>1153</v>
      </c>
      <c r="U3276" s="264"/>
      <c r="V3276" s="264" t="s">
        <v>1847</v>
      </c>
      <c r="W3276" s="424">
        <v>46247</v>
      </c>
      <c r="X3276" s="264" t="s">
        <v>1867</v>
      </c>
      <c r="Y3276" s="424">
        <v>46247</v>
      </c>
      <c r="Z3276" s="424"/>
      <c r="AA3276" s="424">
        <v>46244</v>
      </c>
      <c r="AB3276" s="424">
        <v>46247</v>
      </c>
      <c r="AC3276" s="425">
        <f t="shared" si="548"/>
        <v>1</v>
      </c>
      <c r="AD3276" s="425">
        <f t="shared" si="549"/>
        <v>1</v>
      </c>
    </row>
    <row r="3277" spans="1:30" s="361" customFormat="1" x14ac:dyDescent="0.4">
      <c r="A3277" s="402">
        <v>46246</v>
      </c>
      <c r="B3277" s="392" t="s">
        <v>96</v>
      </c>
      <c r="C3277" s="364" t="str">
        <f>VLOOKUP(B3277,'112年全品項生產鍋數'!A:H,2,0)</f>
        <v>PET瓶花生(1*340g)</v>
      </c>
      <c r="D3277" s="404">
        <v>24</v>
      </c>
      <c r="E3277" s="48">
        <f>VLOOKUP(B3277,'112年全品項生產鍋數'!A:H,3,0)</f>
        <v>0.34</v>
      </c>
      <c r="F3277" s="142">
        <f>VLOOKUP(B3277,'112年全品項生產鍋數'!A:H,7,0)</f>
        <v>358.3</v>
      </c>
      <c r="G3277" s="143">
        <f t="shared" si="542"/>
        <v>8599.2000000000007</v>
      </c>
      <c r="H3277" s="156">
        <f>5102+3602</f>
        <v>8704</v>
      </c>
      <c r="I3277" s="371">
        <f t="shared" si="543"/>
        <v>2959.36</v>
      </c>
      <c r="J3277" s="100">
        <f t="shared" si="544"/>
        <v>1.0121871802028095</v>
      </c>
      <c r="K3277" s="51">
        <f>VLOOKUP(B:B,'生產達成率(目標)'!A:C,3,0)</f>
        <v>1</v>
      </c>
      <c r="L3277" s="20">
        <f t="shared" si="545"/>
        <v>1.2E-2</v>
      </c>
      <c r="M3277" s="137" t="str">
        <f>工時!R2464</f>
        <v>320</v>
      </c>
      <c r="N3277" s="374"/>
      <c r="O3277" s="374">
        <f t="shared" si="546"/>
        <v>5</v>
      </c>
      <c r="P3277" s="156">
        <f>5099+3600</f>
        <v>8699</v>
      </c>
      <c r="Q3277" s="98">
        <f t="shared" si="547"/>
        <v>0.9994255514705882</v>
      </c>
      <c r="R3277" s="371"/>
      <c r="S3277" s="372"/>
      <c r="T3277" s="364" t="s">
        <v>1701</v>
      </c>
      <c r="U3277" s="264"/>
      <c r="V3277" s="264" t="s">
        <v>1848</v>
      </c>
      <c r="W3277" s="424">
        <v>46246</v>
      </c>
      <c r="X3277" s="264" t="s">
        <v>1848</v>
      </c>
      <c r="Y3277" s="424">
        <v>46246</v>
      </c>
      <c r="Z3277" s="424"/>
      <c r="AA3277" s="424">
        <v>46245</v>
      </c>
      <c r="AB3277" s="424">
        <v>46246</v>
      </c>
      <c r="AC3277" s="425">
        <f t="shared" ref="AC3277:AC3293" si="550" xml:space="preserve"> IF((W3277-A3277)&lt;0,"未收到",W3277-A3277)</f>
        <v>0</v>
      </c>
      <c r="AD3277" s="425">
        <f t="shared" si="549"/>
        <v>0</v>
      </c>
    </row>
    <row r="3278" spans="1:30" s="361" customFormat="1" x14ac:dyDescent="0.4">
      <c r="A3278" s="402">
        <v>46246</v>
      </c>
      <c r="B3278" s="392" t="s">
        <v>83</v>
      </c>
      <c r="C3278" s="364" t="str">
        <f>VLOOKUP(B3278,'112年全品項生產鍋數'!A:H,2,0)</f>
        <v>PET瓶花生(粒)(1*340g)</v>
      </c>
      <c r="D3278" s="404">
        <v>12</v>
      </c>
      <c r="E3278" s="48">
        <f>VLOOKUP(B3278,'112年全品項生產鍋數'!A:H,3,0)</f>
        <v>0.34</v>
      </c>
      <c r="F3278" s="142">
        <f>VLOOKUP(B3278,'112年全品項生產鍋數'!A:H,7,0)</f>
        <v>366</v>
      </c>
      <c r="G3278" s="143">
        <f t="shared" si="542"/>
        <v>4392</v>
      </c>
      <c r="H3278" s="156">
        <f>2402+1996</f>
        <v>4398</v>
      </c>
      <c r="I3278" s="371">
        <f t="shared" si="543"/>
        <v>1495.3200000000002</v>
      </c>
      <c r="J3278" s="100">
        <f t="shared" si="544"/>
        <v>1.0013661202185793</v>
      </c>
      <c r="K3278" s="51">
        <f>VLOOKUP(B:B,'生產達成率(目標)'!A:C,3,0)</f>
        <v>1</v>
      </c>
      <c r="L3278" s="20">
        <f t="shared" si="545"/>
        <v>1E-3</v>
      </c>
      <c r="M3278" s="137" t="str">
        <f>工時!R2465</f>
        <v>270</v>
      </c>
      <c r="N3278" s="374"/>
      <c r="O3278" s="374">
        <f t="shared" si="546"/>
        <v>5</v>
      </c>
      <c r="P3278" s="156">
        <f>2400+1993</f>
        <v>4393</v>
      </c>
      <c r="Q3278" s="98">
        <f t="shared" si="547"/>
        <v>0.99886311959981811</v>
      </c>
      <c r="R3278" s="371"/>
      <c r="S3278" s="372"/>
      <c r="T3278" s="364" t="s">
        <v>1817</v>
      </c>
      <c r="U3278" s="264"/>
      <c r="V3278" s="264" t="s">
        <v>1848</v>
      </c>
      <c r="W3278" s="424">
        <v>46246</v>
      </c>
      <c r="X3278" s="264" t="s">
        <v>1848</v>
      </c>
      <c r="Y3278" s="424">
        <v>46246</v>
      </c>
      <c r="Z3278" s="424"/>
      <c r="AA3278" s="424">
        <v>46245</v>
      </c>
      <c r="AB3278" s="424">
        <v>46246</v>
      </c>
      <c r="AC3278" s="425">
        <f t="shared" si="550"/>
        <v>0</v>
      </c>
      <c r="AD3278" s="425">
        <f t="shared" si="549"/>
        <v>0</v>
      </c>
    </row>
    <row r="3279" spans="1:30" s="361" customFormat="1" x14ac:dyDescent="0.4">
      <c r="A3279" s="402">
        <v>46247</v>
      </c>
      <c r="B3279" s="392" t="s">
        <v>61</v>
      </c>
      <c r="C3279" s="364" t="str">
        <f>VLOOKUP(B3279,'112年全品項生產鍋數'!A:H,2,0)</f>
        <v>大圓草莓-新</v>
      </c>
      <c r="D3279" s="404">
        <v>40</v>
      </c>
      <c r="E3279" s="48">
        <f>VLOOKUP(B3279,'112年全品項生產鍋數'!A:H,3,0)</f>
        <v>0.44</v>
      </c>
      <c r="F3279" s="142">
        <f>VLOOKUP(B3279,'112年全品項生產鍋數'!A:H,7,0)</f>
        <v>344</v>
      </c>
      <c r="G3279" s="143">
        <f t="shared" si="542"/>
        <v>13760</v>
      </c>
      <c r="H3279" s="156">
        <v>13478</v>
      </c>
      <c r="I3279" s="371">
        <f t="shared" si="543"/>
        <v>5930.32</v>
      </c>
      <c r="J3279" s="100">
        <f t="shared" si="544"/>
        <v>0.97950581395348835</v>
      </c>
      <c r="K3279" s="51">
        <f>VLOOKUP(B:B,'生產達成率(目標)'!A:C,3,0)</f>
        <v>1</v>
      </c>
      <c r="L3279" s="20">
        <f t="shared" si="545"/>
        <v>-0.02</v>
      </c>
      <c r="M3279" s="137" t="str">
        <f>工時!R2466</f>
        <v>500</v>
      </c>
      <c r="N3279" s="374"/>
      <c r="O3279" s="374">
        <f t="shared" si="546"/>
        <v>147</v>
      </c>
      <c r="P3279" s="156">
        <v>13331</v>
      </c>
      <c r="Q3279" s="98">
        <f t="shared" si="547"/>
        <v>0.98909333729039917</v>
      </c>
      <c r="R3279" s="371"/>
      <c r="S3279" s="372"/>
      <c r="T3279" s="364" t="s">
        <v>1153</v>
      </c>
      <c r="U3279" s="264"/>
      <c r="V3279" s="264" t="s">
        <v>1849</v>
      </c>
      <c r="W3279" s="424">
        <v>46247</v>
      </c>
      <c r="X3279" s="264" t="s">
        <v>1867</v>
      </c>
      <c r="Y3279" s="424">
        <v>46252</v>
      </c>
      <c r="Z3279" s="424"/>
      <c r="AA3279" s="424">
        <v>46245</v>
      </c>
      <c r="AB3279" s="424">
        <v>46247</v>
      </c>
      <c r="AC3279" s="425">
        <f t="shared" si="550"/>
        <v>0</v>
      </c>
      <c r="AD3279" s="425">
        <f t="shared" si="549"/>
        <v>5</v>
      </c>
    </row>
    <row r="3280" spans="1:30" s="361" customFormat="1" x14ac:dyDescent="0.4">
      <c r="A3280" s="402">
        <v>46247</v>
      </c>
      <c r="B3280" s="392" t="s">
        <v>72</v>
      </c>
      <c r="C3280" s="364" t="str">
        <f>VLOOKUP(B3280,'112年全品項生產鍋數'!A:H,2,0)</f>
        <v>草莓餡45%(1*6Kg)</v>
      </c>
      <c r="D3280" s="404">
        <v>20</v>
      </c>
      <c r="E3280" s="48">
        <f>VLOOKUP(B3280,'112年全品項生產鍋數'!A:H,3,0)</f>
        <v>6</v>
      </c>
      <c r="F3280" s="142">
        <f>VLOOKUP(B3280,'112年全品項生產鍋數'!A:H,7,0)</f>
        <v>26.1</v>
      </c>
      <c r="G3280" s="143">
        <f t="shared" si="542"/>
        <v>522</v>
      </c>
      <c r="H3280" s="156">
        <v>522</v>
      </c>
      <c r="I3280" s="371">
        <f t="shared" si="543"/>
        <v>3132</v>
      </c>
      <c r="J3280" s="100">
        <f t="shared" si="544"/>
        <v>1</v>
      </c>
      <c r="K3280" s="51">
        <f>VLOOKUP(B:B,'生產達成率(目標)'!A:C,3,0)</f>
        <v>1</v>
      </c>
      <c r="L3280" s="20">
        <f t="shared" si="545"/>
        <v>0</v>
      </c>
      <c r="M3280" s="137" t="str">
        <f>工時!R2467</f>
        <v>265</v>
      </c>
      <c r="N3280" s="374"/>
      <c r="O3280" s="374">
        <f t="shared" si="546"/>
        <v>1</v>
      </c>
      <c r="P3280" s="156">
        <v>521</v>
      </c>
      <c r="Q3280" s="98">
        <f t="shared" si="547"/>
        <v>0.99808429118773945</v>
      </c>
      <c r="R3280" s="371"/>
      <c r="S3280" s="372"/>
      <c r="T3280" s="364" t="s">
        <v>1153</v>
      </c>
      <c r="U3280" s="264"/>
      <c r="V3280" s="264" t="s">
        <v>1847</v>
      </c>
      <c r="W3280" s="424">
        <v>46247</v>
      </c>
      <c r="X3280" s="264" t="s">
        <v>1867</v>
      </c>
      <c r="Y3280" s="424">
        <v>46247</v>
      </c>
      <c r="Z3280" s="424"/>
      <c r="AA3280" s="424">
        <v>46245</v>
      </c>
      <c r="AB3280" s="424">
        <v>46247</v>
      </c>
      <c r="AC3280" s="425">
        <f t="shared" si="550"/>
        <v>0</v>
      </c>
      <c r="AD3280" s="425">
        <f t="shared" si="549"/>
        <v>0</v>
      </c>
    </row>
    <row r="3281" spans="1:30" s="361" customFormat="1" x14ac:dyDescent="0.4">
      <c r="A3281" s="402">
        <v>46247</v>
      </c>
      <c r="B3281" s="392" t="s">
        <v>63</v>
      </c>
      <c r="C3281" s="364" t="str">
        <f>VLOOKUP(B3281,'112年全品項生產鍋數'!A:H,2,0)</f>
        <v>草莓蒟蒻餡(1*6kg)</v>
      </c>
      <c r="D3281" s="404">
        <v>24</v>
      </c>
      <c r="E3281" s="48">
        <f>VLOOKUP(B3281,'112年全品項生產鍋數'!A:H,3,0)</f>
        <v>6</v>
      </c>
      <c r="F3281" s="142">
        <f>VLOOKUP(B3281,'112年全品項生產鍋數'!A:H,7,0)</f>
        <v>25.7</v>
      </c>
      <c r="G3281" s="143">
        <f t="shared" si="542"/>
        <v>616.79999999999995</v>
      </c>
      <c r="H3281" s="156">
        <f>307+315</f>
        <v>622</v>
      </c>
      <c r="I3281" s="371">
        <f t="shared" si="543"/>
        <v>3732</v>
      </c>
      <c r="J3281" s="100">
        <f t="shared" si="544"/>
        <v>1.0084306095979247</v>
      </c>
      <c r="K3281" s="51">
        <f>VLOOKUP(B:B,'生產達成率(目標)'!A:C,3,0)</f>
        <v>1</v>
      </c>
      <c r="L3281" s="20">
        <f t="shared" si="545"/>
        <v>8.0000000000000002E-3</v>
      </c>
      <c r="M3281" s="137" t="str">
        <f>工時!R2468</f>
        <v>280</v>
      </c>
      <c r="N3281" s="374"/>
      <c r="O3281" s="374">
        <f t="shared" si="546"/>
        <v>1</v>
      </c>
      <c r="P3281" s="156">
        <f>306+315</f>
        <v>621</v>
      </c>
      <c r="Q3281" s="98">
        <f t="shared" si="547"/>
        <v>0.99839228295819937</v>
      </c>
      <c r="R3281" s="371"/>
      <c r="S3281" s="372"/>
      <c r="T3281" s="364" t="s">
        <v>1268</v>
      </c>
      <c r="U3281" s="264"/>
      <c r="V3281" s="264" t="s">
        <v>1847</v>
      </c>
      <c r="W3281" s="424">
        <v>46247</v>
      </c>
      <c r="X3281" s="264" t="s">
        <v>1867</v>
      </c>
      <c r="Y3281" s="424">
        <v>46252</v>
      </c>
      <c r="Z3281" s="424"/>
      <c r="AA3281" s="424" t="s">
        <v>1821</v>
      </c>
      <c r="AB3281" s="424" t="s">
        <v>1824</v>
      </c>
      <c r="AC3281" s="425">
        <f t="shared" si="550"/>
        <v>0</v>
      </c>
      <c r="AD3281" s="425">
        <f t="shared" si="549"/>
        <v>5</v>
      </c>
    </row>
    <row r="3282" spans="1:30" s="361" customFormat="1" x14ac:dyDescent="0.4">
      <c r="A3282" s="402">
        <v>46247</v>
      </c>
      <c r="B3282" s="392" t="s">
        <v>66</v>
      </c>
      <c r="C3282" s="364" t="str">
        <f>VLOOKUP(B3282,'112年全品項生產鍋數'!A:H,2,0)</f>
        <v>＃2花生(1*800g)</v>
      </c>
      <c r="D3282" s="404">
        <v>20</v>
      </c>
      <c r="E3282" s="48">
        <f>VLOOKUP(B3282,'112年全品項生產鍋數'!A:H,3,0)</f>
        <v>0.8</v>
      </c>
      <c r="F3282" s="142">
        <f>VLOOKUP(B3282,'112年全品項生產鍋數'!A:H,7,0)</f>
        <v>157.69999999999999</v>
      </c>
      <c r="G3282" s="143">
        <f t="shared" si="542"/>
        <v>3154</v>
      </c>
      <c r="H3282" s="156">
        <v>3130</v>
      </c>
      <c r="I3282" s="371">
        <f t="shared" si="543"/>
        <v>2504</v>
      </c>
      <c r="J3282" s="100">
        <f t="shared" si="544"/>
        <v>0.9923906150919467</v>
      </c>
      <c r="K3282" s="51">
        <f>VLOOKUP(B:B,'生產達成率(目標)'!A:C,3,0)</f>
        <v>1</v>
      </c>
      <c r="L3282" s="20">
        <f t="shared" si="545"/>
        <v>-8.0000000000000002E-3</v>
      </c>
      <c r="M3282" s="137" t="str">
        <f>工時!R2469</f>
        <v>375</v>
      </c>
      <c r="N3282" s="374"/>
      <c r="O3282" s="374">
        <f t="shared" si="546"/>
        <v>3</v>
      </c>
      <c r="P3282" s="156">
        <v>3127</v>
      </c>
      <c r="Q3282" s="98">
        <f t="shared" si="547"/>
        <v>0.99904153354632586</v>
      </c>
      <c r="R3282" s="371"/>
      <c r="S3282" s="372"/>
      <c r="T3282" s="364" t="s">
        <v>1153</v>
      </c>
      <c r="U3282" s="264"/>
      <c r="V3282" s="264" t="s">
        <v>1848</v>
      </c>
      <c r="W3282" s="424">
        <v>46247</v>
      </c>
      <c r="X3282" s="264" t="s">
        <v>1848</v>
      </c>
      <c r="Y3282" s="424">
        <v>46247</v>
      </c>
      <c r="Z3282" s="424"/>
      <c r="AA3282" s="424">
        <v>46245</v>
      </c>
      <c r="AB3282" s="424">
        <v>46247</v>
      </c>
      <c r="AC3282" s="425">
        <f t="shared" si="550"/>
        <v>0</v>
      </c>
      <c r="AD3282" s="425">
        <f t="shared" si="549"/>
        <v>0</v>
      </c>
    </row>
    <row r="3283" spans="1:30" s="361" customFormat="1" x14ac:dyDescent="0.4">
      <c r="A3283" s="402">
        <v>46247</v>
      </c>
      <c r="B3283" s="392" t="s">
        <v>65</v>
      </c>
      <c r="C3283" s="364" t="str">
        <f>VLOOKUP(B3283,'112年全品項生產鍋數'!A:H,2,0)</f>
        <v>＃1花生(1*2.8kg)</v>
      </c>
      <c r="D3283" s="404">
        <v>28</v>
      </c>
      <c r="E3283" s="48">
        <f>VLOOKUP(B3283,'112年全品項生產鍋數'!A:H,3,0)</f>
        <v>2.8</v>
      </c>
      <c r="F3283" s="142">
        <f>VLOOKUP(B3283,'112年全品項生產鍋數'!A:H,7,0)</f>
        <v>44.5</v>
      </c>
      <c r="G3283" s="143">
        <f t="shared" si="542"/>
        <v>1246</v>
      </c>
      <c r="H3283" s="156">
        <v>1225</v>
      </c>
      <c r="I3283" s="371">
        <f t="shared" si="543"/>
        <v>3430</v>
      </c>
      <c r="J3283" s="100">
        <f t="shared" si="544"/>
        <v>0.9831460674157303</v>
      </c>
      <c r="K3283" s="51">
        <f>VLOOKUP(B:B,'生產達成率(目標)'!A:C,3,0)</f>
        <v>1</v>
      </c>
      <c r="L3283" s="20">
        <f t="shared" si="545"/>
        <v>-1.7000000000000001E-2</v>
      </c>
      <c r="M3283" s="137" t="str">
        <f>工時!R2470</f>
        <v>95</v>
      </c>
      <c r="N3283" s="374"/>
      <c r="O3283" s="374">
        <f t="shared" si="546"/>
        <v>1</v>
      </c>
      <c r="P3283" s="156">
        <v>1224</v>
      </c>
      <c r="Q3283" s="98">
        <f t="shared" si="547"/>
        <v>0.99918367346938775</v>
      </c>
      <c r="R3283" s="371"/>
      <c r="S3283" s="372"/>
      <c r="T3283" s="364" t="s">
        <v>1153</v>
      </c>
      <c r="U3283" s="264"/>
      <c r="V3283" s="264" t="s">
        <v>1848</v>
      </c>
      <c r="W3283" s="424">
        <v>46247</v>
      </c>
      <c r="X3283" s="264" t="s">
        <v>1848</v>
      </c>
      <c r="Y3283" s="424">
        <v>46247</v>
      </c>
      <c r="Z3283" s="424"/>
      <c r="AA3283" s="424" t="s">
        <v>1821</v>
      </c>
      <c r="AB3283" s="424">
        <v>46247</v>
      </c>
      <c r="AC3283" s="425">
        <f t="shared" si="550"/>
        <v>0</v>
      </c>
      <c r="AD3283" s="425">
        <f t="shared" si="549"/>
        <v>0</v>
      </c>
    </row>
    <row r="3284" spans="1:30" s="361" customFormat="1" x14ac:dyDescent="0.4">
      <c r="A3284" s="402">
        <v>46248</v>
      </c>
      <c r="B3284" s="392" t="s">
        <v>63</v>
      </c>
      <c r="C3284" s="364" t="str">
        <f>VLOOKUP(B3284,'112年全品項生產鍋數'!A:H,2,0)</f>
        <v>草莓蒟蒻餡(1*6kg)</v>
      </c>
      <c r="D3284" s="404">
        <v>16</v>
      </c>
      <c r="E3284" s="48">
        <f>VLOOKUP(B3284,'112年全品項生產鍋數'!A:H,3,0)</f>
        <v>6</v>
      </c>
      <c r="F3284" s="142">
        <f>VLOOKUP(B3284,'112年全品項生產鍋數'!A:H,7,0)</f>
        <v>25.7</v>
      </c>
      <c r="G3284" s="143">
        <f t="shared" si="542"/>
        <v>411.2</v>
      </c>
      <c r="H3284" s="156">
        <f>201+215</f>
        <v>416</v>
      </c>
      <c r="I3284" s="371">
        <f t="shared" si="543"/>
        <v>2496</v>
      </c>
      <c r="J3284" s="100">
        <f t="shared" si="544"/>
        <v>1.0116731517509727</v>
      </c>
      <c r="K3284" s="51">
        <f>VLOOKUP(B:B,'生產達成率(目標)'!A:C,3,0)</f>
        <v>1</v>
      </c>
      <c r="L3284" s="20">
        <f t="shared" si="545"/>
        <v>1.2E-2</v>
      </c>
      <c r="M3284" s="137" t="str">
        <f>工時!R2471</f>
        <v>170</v>
      </c>
      <c r="N3284" s="374"/>
      <c r="O3284" s="374">
        <f t="shared" si="546"/>
        <v>1</v>
      </c>
      <c r="P3284" s="156">
        <f>200+215</f>
        <v>415</v>
      </c>
      <c r="Q3284" s="98">
        <f t="shared" si="547"/>
        <v>0.99759615384615385</v>
      </c>
      <c r="R3284" s="371"/>
      <c r="S3284" s="372"/>
      <c r="T3284" s="364" t="s">
        <v>1263</v>
      </c>
      <c r="U3284" s="264"/>
      <c r="V3284" s="264" t="s">
        <v>1849</v>
      </c>
      <c r="W3284" s="424">
        <v>46251</v>
      </c>
      <c r="X3284" s="264" t="s">
        <v>1867</v>
      </c>
      <c r="Y3284" s="424">
        <v>46251</v>
      </c>
      <c r="Z3284" s="424"/>
      <c r="AA3284" s="424" t="s">
        <v>1812</v>
      </c>
      <c r="AB3284" s="424" t="s">
        <v>1824</v>
      </c>
      <c r="AC3284" s="425">
        <f t="shared" si="550"/>
        <v>3</v>
      </c>
      <c r="AD3284" s="425">
        <f t="shared" si="549"/>
        <v>3</v>
      </c>
    </row>
    <row r="3285" spans="1:30" s="361" customFormat="1" x14ac:dyDescent="0.4">
      <c r="A3285" s="402">
        <v>46248</v>
      </c>
      <c r="B3285" s="392" t="s">
        <v>1162</v>
      </c>
      <c r="C3285" s="364" t="str">
        <f>VLOOKUP(B3285,'112年全品項生產鍋數'!A:H,2,0)</f>
        <v>藍莓餡(1*6KG)</v>
      </c>
      <c r="D3285" s="404">
        <v>20</v>
      </c>
      <c r="E3285" s="48">
        <f>VLOOKUP(B3285,'112年全品項生產鍋數'!A:H,3,0)</f>
        <v>6</v>
      </c>
      <c r="F3285" s="142">
        <f>VLOOKUP(B3285,'112年全品項生產鍋數'!A:H,7,0)</f>
        <v>25.4</v>
      </c>
      <c r="G3285" s="143">
        <f t="shared" si="542"/>
        <v>508</v>
      </c>
      <c r="H3285" s="156">
        <f>303+213</f>
        <v>516</v>
      </c>
      <c r="I3285" s="371">
        <f t="shared" si="543"/>
        <v>3096</v>
      </c>
      <c r="J3285" s="100">
        <f t="shared" si="544"/>
        <v>1.015748031496063</v>
      </c>
      <c r="K3285" s="51" t="e">
        <f>VLOOKUP(B:B,'生產達成率(目標)'!A:C,3,0)</f>
        <v>#N/A</v>
      </c>
      <c r="L3285" s="20" t="e">
        <f t="shared" si="545"/>
        <v>#N/A</v>
      </c>
      <c r="M3285" s="137" t="str">
        <f>工時!R2472</f>
        <v>240</v>
      </c>
      <c r="N3285" s="374"/>
      <c r="O3285" s="374">
        <f t="shared" si="546"/>
        <v>3</v>
      </c>
      <c r="P3285" s="156">
        <f>300+213</f>
        <v>513</v>
      </c>
      <c r="Q3285" s="98">
        <f t="shared" si="547"/>
        <v>0.9941860465116279</v>
      </c>
      <c r="R3285" s="371"/>
      <c r="S3285" s="372"/>
      <c r="T3285" s="364" t="s">
        <v>1275</v>
      </c>
      <c r="U3285" s="264"/>
      <c r="V3285" s="264" t="s">
        <v>1849</v>
      </c>
      <c r="W3285" s="424">
        <v>46251</v>
      </c>
      <c r="X3285" s="264" t="s">
        <v>1867</v>
      </c>
      <c r="Y3285" s="424">
        <v>46251</v>
      </c>
      <c r="Z3285" s="424"/>
      <c r="AA3285" s="424">
        <v>46247</v>
      </c>
      <c r="AB3285" s="424" t="s">
        <v>1833</v>
      </c>
      <c r="AC3285" s="425">
        <f t="shared" si="550"/>
        <v>3</v>
      </c>
      <c r="AD3285" s="425">
        <f t="shared" si="549"/>
        <v>3</v>
      </c>
    </row>
    <row r="3286" spans="1:30" s="361" customFormat="1" x14ac:dyDescent="0.4">
      <c r="A3286" s="402">
        <v>46248</v>
      </c>
      <c r="B3286" s="392" t="s">
        <v>107</v>
      </c>
      <c r="C3286" s="364" t="str">
        <f>VLOOKUP(B3286,'112年全品項生產鍋數'!A:H,2,0)</f>
        <v>藍莓餡(1*6kg)</v>
      </c>
      <c r="D3286" s="404">
        <v>8</v>
      </c>
      <c r="E3286" s="48">
        <f>VLOOKUP(B3286,'112年全品項生產鍋數'!A:H,3,0)</f>
        <v>6</v>
      </c>
      <c r="F3286" s="142">
        <f>VLOOKUP(B3286,'112年全品項生產鍋數'!A:H,7,0)</f>
        <v>26.4</v>
      </c>
      <c r="G3286" s="143">
        <f t="shared" si="542"/>
        <v>211.2</v>
      </c>
      <c r="H3286" s="156">
        <v>205</v>
      </c>
      <c r="I3286" s="371">
        <f t="shared" si="543"/>
        <v>1230</v>
      </c>
      <c r="J3286" s="100">
        <f t="shared" si="544"/>
        <v>0.97064393939393945</v>
      </c>
      <c r="K3286" s="51">
        <f>VLOOKUP(B:B,'生產達成率(目標)'!A:C,3,0)</f>
        <v>1</v>
      </c>
      <c r="L3286" s="20">
        <f t="shared" si="545"/>
        <v>-2.9000000000000001E-2</v>
      </c>
      <c r="M3286" s="137" t="str">
        <f>工時!R2473</f>
        <v>100</v>
      </c>
      <c r="N3286" s="374"/>
      <c r="O3286" s="374">
        <f t="shared" si="546"/>
        <v>1</v>
      </c>
      <c r="P3286" s="156">
        <v>204</v>
      </c>
      <c r="Q3286" s="98">
        <f t="shared" si="547"/>
        <v>0.99512195121951219</v>
      </c>
      <c r="R3286" s="371"/>
      <c r="S3286" s="372"/>
      <c r="T3286" s="364" t="s">
        <v>1153</v>
      </c>
      <c r="U3286" s="264"/>
      <c r="V3286" s="264" t="s">
        <v>1849</v>
      </c>
      <c r="W3286" s="424">
        <v>46252</v>
      </c>
      <c r="X3286" s="264" t="s">
        <v>1867</v>
      </c>
      <c r="Y3286" s="424">
        <v>46251</v>
      </c>
      <c r="Z3286" s="424"/>
      <c r="AA3286" s="424">
        <v>46247</v>
      </c>
      <c r="AB3286" s="424" t="s">
        <v>1834</v>
      </c>
      <c r="AC3286" s="425">
        <f t="shared" si="550"/>
        <v>4</v>
      </c>
      <c r="AD3286" s="425">
        <f t="shared" si="549"/>
        <v>3</v>
      </c>
    </row>
    <row r="3287" spans="1:30" s="381" customFormat="1" x14ac:dyDescent="0.4">
      <c r="A3287" s="402">
        <v>46248</v>
      </c>
      <c r="B3287" s="392" t="s">
        <v>108</v>
      </c>
      <c r="C3287" s="375" t="str">
        <f>VLOOKUP(B3287,'112年全品項生產鍋數'!A:H,2,0)</f>
        <v>顆粒花生醬(1*12KG)</v>
      </c>
      <c r="D3287" s="406">
        <v>21</v>
      </c>
      <c r="E3287" s="141">
        <f>VLOOKUP(B3287,'112年全品項生產鍋數'!A:H,3,0)</f>
        <v>3</v>
      </c>
      <c r="F3287" s="142">
        <f>VLOOKUP(B3287,'112年全品項生產鍋數'!A:H,7,0)</f>
        <v>31.6</v>
      </c>
      <c r="G3287" s="143">
        <f t="shared" si="542"/>
        <v>663.6</v>
      </c>
      <c r="H3287" s="156">
        <v>672</v>
      </c>
      <c r="I3287" s="374">
        <f t="shared" si="543"/>
        <v>2016</v>
      </c>
      <c r="J3287" s="100">
        <f t="shared" si="544"/>
        <v>1.0126582278481013</v>
      </c>
      <c r="K3287" s="51">
        <f>VLOOKUP(B:B,'生產達成率(目標)'!A:C,3,0)</f>
        <v>1</v>
      </c>
      <c r="L3287" s="20">
        <f t="shared" si="545"/>
        <v>1.2999999999999999E-2</v>
      </c>
      <c r="M3287" s="137" t="str">
        <f>工時!R2474</f>
        <v>540</v>
      </c>
      <c r="N3287" s="374"/>
      <c r="O3287" s="374">
        <f t="shared" si="546"/>
        <v>0</v>
      </c>
      <c r="P3287" s="156">
        <v>672</v>
      </c>
      <c r="Q3287" s="145">
        <f t="shared" si="547"/>
        <v>1</v>
      </c>
      <c r="R3287" s="374"/>
      <c r="S3287" s="378"/>
      <c r="T3287" s="375" t="s">
        <v>1153</v>
      </c>
      <c r="U3287" s="398"/>
      <c r="V3287" s="398" t="s">
        <v>1847</v>
      </c>
      <c r="W3287" s="427">
        <v>46251</v>
      </c>
      <c r="X3287" s="264" t="s">
        <v>1710</v>
      </c>
      <c r="Y3287" s="427" t="s">
        <v>1827</v>
      </c>
      <c r="Z3287" s="427"/>
      <c r="AA3287" s="427">
        <v>46245</v>
      </c>
      <c r="AB3287" s="427" t="s">
        <v>1824</v>
      </c>
      <c r="AC3287" s="429">
        <f t="shared" si="550"/>
        <v>3</v>
      </c>
      <c r="AD3287" s="429">
        <v>0</v>
      </c>
    </row>
    <row r="3288" spans="1:30" s="361" customFormat="1" x14ac:dyDescent="0.4">
      <c r="A3288" s="402">
        <v>46248</v>
      </c>
      <c r="B3288" s="392" t="s">
        <v>104</v>
      </c>
      <c r="C3288" s="364" t="str">
        <f>VLOOKUP(B3288,'112年全品項生產鍋數'!A:H,2,0)</f>
        <v>＃1花生(粒)(1*2.8kg)</v>
      </c>
      <c r="D3288" s="404">
        <v>68</v>
      </c>
      <c r="E3288" s="48">
        <f>VLOOKUP(B3288,'112年全品項生產鍋數'!A:H,3,0)</f>
        <v>2.8</v>
      </c>
      <c r="F3288" s="142">
        <f>VLOOKUP(B3288,'112年全品項生產鍋數'!A:H,7,0)</f>
        <v>44.2</v>
      </c>
      <c r="G3288" s="143">
        <f t="shared" ref="G3288:G3335" si="551">D3288*F3288</f>
        <v>3005.6000000000004</v>
      </c>
      <c r="H3288" s="156">
        <v>2978</v>
      </c>
      <c r="I3288" s="371">
        <f t="shared" ref="I3288:I3335" si="552">H3288*E3288</f>
        <v>8338.4</v>
      </c>
      <c r="J3288" s="100">
        <f t="shared" ref="J3288:J3335" si="553">IF(G3288=0,"無法預估數據",H3288/G3288)</f>
        <v>0.99081714133617238</v>
      </c>
      <c r="K3288" s="51">
        <f>VLOOKUP(B:B,'生產達成率(目標)'!A:C,3,0)</f>
        <v>1</v>
      </c>
      <c r="L3288" s="20">
        <f t="shared" ref="L3288:L3335" si="554">IF(G3288=0,"無法預估數據",ROUND(J3288-K3288,3))</f>
        <v>-8.9999999999999993E-3</v>
      </c>
      <c r="M3288" s="137" t="str">
        <f>工時!R2475</f>
        <v>575</v>
      </c>
      <c r="N3288" s="374"/>
      <c r="O3288" s="374">
        <f t="shared" ref="O3288:O3335" si="555">H3288-N3288-P3288</f>
        <v>1</v>
      </c>
      <c r="P3288" s="156">
        <v>2977</v>
      </c>
      <c r="Q3288" s="98">
        <f t="shared" ref="Q3288:Q3335" si="556">P3288/H3288</f>
        <v>0.99966420416386836</v>
      </c>
      <c r="R3288" s="371"/>
      <c r="S3288" s="372"/>
      <c r="T3288" s="364" t="s">
        <v>1153</v>
      </c>
      <c r="U3288" s="264"/>
      <c r="V3288" s="264" t="s">
        <v>1848</v>
      </c>
      <c r="W3288" s="424">
        <v>46248</v>
      </c>
      <c r="X3288" s="264" t="s">
        <v>1848</v>
      </c>
      <c r="Y3288" s="424">
        <v>46248</v>
      </c>
      <c r="Z3288" s="424"/>
      <c r="AA3288" s="424">
        <v>46247</v>
      </c>
      <c r="AB3288" s="424">
        <v>46248</v>
      </c>
      <c r="AC3288" s="425">
        <f t="shared" si="550"/>
        <v>0</v>
      </c>
      <c r="AD3288" s="425">
        <f t="shared" ref="AD3288:AD3293" si="557" xml:space="preserve"> IF((Y3288-A3288)&lt;0,"未收到",Y3288-A3288)</f>
        <v>0</v>
      </c>
    </row>
    <row r="3289" spans="1:30" s="361" customFormat="1" x14ac:dyDescent="0.4">
      <c r="A3289" s="402">
        <v>46251</v>
      </c>
      <c r="B3289" s="392" t="s">
        <v>87</v>
      </c>
      <c r="C3289" s="364" t="str">
        <f>VLOOKUP(B3289,'112年全品項生產鍋數'!A:H,2,0)</f>
        <v>＃1藍莓(1*3.2kg)</v>
      </c>
      <c r="D3289" s="404">
        <v>72</v>
      </c>
      <c r="E3289" s="48">
        <f>VLOOKUP(B3289,'112年全品項生產鍋數'!A:H,3,0)</f>
        <v>3.2</v>
      </c>
      <c r="F3289" s="142">
        <f>VLOOKUP(B3289,'112年全品項生產鍋數'!A:H,7,0)</f>
        <v>47.5</v>
      </c>
      <c r="G3289" s="143">
        <f t="shared" si="551"/>
        <v>3420</v>
      </c>
      <c r="H3289" s="156">
        <v>3328</v>
      </c>
      <c r="I3289" s="371">
        <f t="shared" si="552"/>
        <v>10649.6</v>
      </c>
      <c r="J3289" s="100">
        <f t="shared" si="553"/>
        <v>0.97309941520467835</v>
      </c>
      <c r="K3289" s="51">
        <f>VLOOKUP(B:B,'生產達成率(目標)'!A:C,3,0)</f>
        <v>1</v>
      </c>
      <c r="L3289" s="20">
        <f t="shared" si="554"/>
        <v>-2.7E-2</v>
      </c>
      <c r="M3289" s="137" t="str">
        <f>工時!R2476</f>
        <v>570</v>
      </c>
      <c r="N3289" s="374"/>
      <c r="O3289" s="374">
        <f t="shared" si="555"/>
        <v>3</v>
      </c>
      <c r="P3289" s="156">
        <v>3325</v>
      </c>
      <c r="Q3289" s="98">
        <f t="shared" si="556"/>
        <v>0.99909855769230771</v>
      </c>
      <c r="R3289" s="371"/>
      <c r="S3289" s="372"/>
      <c r="T3289" s="364" t="s">
        <v>1153</v>
      </c>
      <c r="U3289" s="264"/>
      <c r="V3289" s="264" t="s">
        <v>1849</v>
      </c>
      <c r="W3289" s="424">
        <v>46252</v>
      </c>
      <c r="X3289" s="264" t="s">
        <v>1867</v>
      </c>
      <c r="Y3289" s="424">
        <v>46252</v>
      </c>
      <c r="Z3289" s="424"/>
      <c r="AA3289" s="424">
        <v>46248</v>
      </c>
      <c r="AB3289" s="424" t="s">
        <v>1835</v>
      </c>
      <c r="AC3289" s="425">
        <f t="shared" si="550"/>
        <v>1</v>
      </c>
      <c r="AD3289" s="425">
        <f t="shared" si="557"/>
        <v>1</v>
      </c>
    </row>
    <row r="3290" spans="1:30" s="361" customFormat="1" x14ac:dyDescent="0.4">
      <c r="A3290" s="402">
        <v>46251</v>
      </c>
      <c r="B3290" s="392" t="s">
        <v>63</v>
      </c>
      <c r="C3290" s="364" t="str">
        <f>VLOOKUP(B3290,'112年全品項生產鍋數'!A:H,2,0)</f>
        <v>草莓蒟蒻餡(1*6kg)</v>
      </c>
      <c r="D3290" s="404">
        <v>20</v>
      </c>
      <c r="E3290" s="48">
        <f>VLOOKUP(B3290,'112年全品項生產鍋數'!A:H,3,0)</f>
        <v>6</v>
      </c>
      <c r="F3290" s="142">
        <f>VLOOKUP(B3290,'112年全品項生產鍋數'!A:H,7,0)</f>
        <v>25.7</v>
      </c>
      <c r="G3290" s="143">
        <f t="shared" si="551"/>
        <v>514</v>
      </c>
      <c r="H3290" s="156">
        <f>301+215</f>
        <v>516</v>
      </c>
      <c r="I3290" s="371">
        <f t="shared" si="552"/>
        <v>3096</v>
      </c>
      <c r="J3290" s="100">
        <f t="shared" si="553"/>
        <v>1.0038910505836576</v>
      </c>
      <c r="K3290" s="51">
        <f>VLOOKUP(B:B,'生產達成率(目標)'!A:C,3,0)</f>
        <v>1</v>
      </c>
      <c r="L3290" s="20">
        <f t="shared" si="554"/>
        <v>4.0000000000000001E-3</v>
      </c>
      <c r="M3290" s="137" t="str">
        <f>工時!R2477</f>
        <v>240</v>
      </c>
      <c r="N3290" s="374"/>
      <c r="O3290" s="374">
        <f t="shared" si="555"/>
        <v>1</v>
      </c>
      <c r="P3290" s="156">
        <f>300+215</f>
        <v>515</v>
      </c>
      <c r="Q3290" s="98">
        <f t="shared" si="556"/>
        <v>0.99806201550387597</v>
      </c>
      <c r="R3290" s="371"/>
      <c r="S3290" s="372"/>
      <c r="T3290" s="364"/>
      <c r="U3290" s="264"/>
      <c r="V3290" s="264" t="s">
        <v>1847</v>
      </c>
      <c r="W3290" s="424">
        <v>46252</v>
      </c>
      <c r="X3290" s="264" t="s">
        <v>1867</v>
      </c>
      <c r="Y3290" s="424">
        <v>46252</v>
      </c>
      <c r="Z3290" s="424"/>
      <c r="AA3290" s="424" t="s">
        <v>426</v>
      </c>
      <c r="AB3290" s="424" t="s">
        <v>1837</v>
      </c>
      <c r="AC3290" s="425">
        <f t="shared" si="550"/>
        <v>1</v>
      </c>
      <c r="AD3290" s="425">
        <f t="shared" si="557"/>
        <v>1</v>
      </c>
    </row>
    <row r="3291" spans="1:30" s="361" customFormat="1" x14ac:dyDescent="0.4">
      <c r="A3291" s="402">
        <v>46251</v>
      </c>
      <c r="B3291" s="392" t="s">
        <v>1737</v>
      </c>
      <c r="C3291" s="364" t="str">
        <f>VLOOKUP(B3291,'112年全品項生產鍋數'!A:H,2,0)</f>
        <v>藍莓餡(1*6Kg)</v>
      </c>
      <c r="D3291" s="404">
        <v>16</v>
      </c>
      <c r="E3291" s="48">
        <f>VLOOKUP(B3291,'112年全品項生產鍋數'!A:H,3,0)</f>
        <v>6</v>
      </c>
      <c r="F3291" s="142">
        <f>VLOOKUP(B3291,'112年全品項生產鍋數'!A:H,7,0)</f>
        <v>0</v>
      </c>
      <c r="G3291" s="143">
        <f t="shared" si="551"/>
        <v>0</v>
      </c>
      <c r="H3291" s="156">
        <v>414</v>
      </c>
      <c r="I3291" s="371">
        <f t="shared" si="552"/>
        <v>2484</v>
      </c>
      <c r="J3291" s="100" t="str">
        <f t="shared" si="553"/>
        <v>無法預估數據</v>
      </c>
      <c r="K3291" s="51">
        <f>VLOOKUP(B:B,'生產達成率(目標)'!A:C,3,0)</f>
        <v>1</v>
      </c>
      <c r="L3291" s="20" t="str">
        <f t="shared" si="554"/>
        <v>無法預估數據</v>
      </c>
      <c r="M3291" s="137" t="str">
        <f>工時!R2478</f>
        <v>211</v>
      </c>
      <c r="N3291" s="374"/>
      <c r="O3291" s="374">
        <f t="shared" si="555"/>
        <v>1</v>
      </c>
      <c r="P3291" s="156">
        <v>413</v>
      </c>
      <c r="Q3291" s="98">
        <f t="shared" si="556"/>
        <v>0.99758454106280192</v>
      </c>
      <c r="R3291" s="371"/>
      <c r="S3291" s="372"/>
      <c r="T3291" s="364" t="s">
        <v>1153</v>
      </c>
      <c r="U3291" s="264"/>
      <c r="V3291" s="264" t="s">
        <v>1847</v>
      </c>
      <c r="W3291" s="424">
        <v>46251</v>
      </c>
      <c r="X3291" s="264" t="s">
        <v>1867</v>
      </c>
      <c r="Y3291" s="424">
        <v>46252</v>
      </c>
      <c r="Z3291" s="424"/>
      <c r="AA3291" s="424">
        <v>46248</v>
      </c>
      <c r="AB3291" s="424" t="s">
        <v>1836</v>
      </c>
      <c r="AC3291" s="425">
        <f t="shared" si="550"/>
        <v>0</v>
      </c>
      <c r="AD3291" s="425">
        <f t="shared" si="557"/>
        <v>1</v>
      </c>
    </row>
    <row r="3292" spans="1:30" s="361" customFormat="1" x14ac:dyDescent="0.4">
      <c r="A3292" s="402">
        <v>46251</v>
      </c>
      <c r="B3292" s="392" t="s">
        <v>99</v>
      </c>
      <c r="C3292" s="364" t="str">
        <f>VLOOKUP(B3292,'112年全品項生產鍋數'!A:H,2,0)</f>
        <v>葡萄奇異果醬(1*6kg)</v>
      </c>
      <c r="D3292" s="404">
        <v>6</v>
      </c>
      <c r="E3292" s="48">
        <f>VLOOKUP(B3292,'112年全品項生產鍋數'!A:H,3,0)</f>
        <v>6</v>
      </c>
      <c r="F3292" s="142">
        <f>VLOOKUP(B3292,'112年全品項生產鍋數'!A:H,7,0)</f>
        <v>24.3</v>
      </c>
      <c r="G3292" s="143">
        <f t="shared" si="551"/>
        <v>145.80000000000001</v>
      </c>
      <c r="H3292" s="156">
        <v>146</v>
      </c>
      <c r="I3292" s="371">
        <f t="shared" si="552"/>
        <v>876</v>
      </c>
      <c r="J3292" s="100">
        <f t="shared" si="553"/>
        <v>1.0013717421124828</v>
      </c>
      <c r="K3292" s="51">
        <f>VLOOKUP(B:B,'生產達成率(目標)'!A:C,3,0)</f>
        <v>1</v>
      </c>
      <c r="L3292" s="20">
        <f t="shared" si="554"/>
        <v>1E-3</v>
      </c>
      <c r="M3292" s="137" t="str">
        <f>工時!R2479</f>
        <v>130</v>
      </c>
      <c r="N3292" s="374"/>
      <c r="O3292" s="374">
        <f t="shared" si="555"/>
        <v>1</v>
      </c>
      <c r="P3292" s="156">
        <v>145</v>
      </c>
      <c r="Q3292" s="98">
        <f t="shared" si="556"/>
        <v>0.99315068493150682</v>
      </c>
      <c r="R3292" s="371"/>
      <c r="S3292" s="372"/>
      <c r="T3292" s="364" t="s">
        <v>1153</v>
      </c>
      <c r="U3292" s="264"/>
      <c r="V3292" s="264" t="s">
        <v>1847</v>
      </c>
      <c r="W3292" s="424">
        <v>46251</v>
      </c>
      <c r="X3292" s="264" t="s">
        <v>1867</v>
      </c>
      <c r="Y3292" s="424">
        <v>46252</v>
      </c>
      <c r="Z3292" s="424"/>
      <c r="AA3292" s="424">
        <v>46248</v>
      </c>
      <c r="AB3292" s="424" t="s">
        <v>1836</v>
      </c>
      <c r="AC3292" s="425">
        <f t="shared" si="550"/>
        <v>0</v>
      </c>
      <c r="AD3292" s="425">
        <f t="shared" si="557"/>
        <v>1</v>
      </c>
    </row>
    <row r="3293" spans="1:30" s="361" customFormat="1" x14ac:dyDescent="0.4">
      <c r="A3293" s="402">
        <v>46251</v>
      </c>
      <c r="B3293" s="392" t="s">
        <v>65</v>
      </c>
      <c r="C3293" s="364" t="str">
        <f>VLOOKUP(B3293,'112年全品項生產鍋數'!A:H,2,0)</f>
        <v>＃1花生(1*2.8kg)</v>
      </c>
      <c r="D3293" s="404">
        <v>60</v>
      </c>
      <c r="E3293" s="48">
        <f>VLOOKUP(B3293,'112年全品項生產鍋數'!A:H,3,0)</f>
        <v>2.8</v>
      </c>
      <c r="F3293" s="142">
        <f>VLOOKUP(B3293,'112年全品項生產鍋數'!A:H,7,0)</f>
        <v>44.5</v>
      </c>
      <c r="G3293" s="143">
        <f>D3293*F3293-72*18/2.8</f>
        <v>2207.1428571428569</v>
      </c>
      <c r="H3293" s="156">
        <f>600+1604</f>
        <v>2204</v>
      </c>
      <c r="I3293" s="371">
        <f t="shared" si="552"/>
        <v>6171.2</v>
      </c>
      <c r="J3293" s="100">
        <f t="shared" si="553"/>
        <v>0.99857605177993536</v>
      </c>
      <c r="K3293" s="51">
        <f>VLOOKUP(B:B,'生產達成率(目標)'!A:C,3,0)</f>
        <v>1</v>
      </c>
      <c r="L3293" s="20">
        <f t="shared" si="554"/>
        <v>-1E-3</v>
      </c>
      <c r="M3293" s="137" t="str">
        <f>工時!R2480</f>
        <v>470</v>
      </c>
      <c r="N3293" s="374"/>
      <c r="O3293" s="374">
        <f t="shared" si="555"/>
        <v>1</v>
      </c>
      <c r="P3293" s="156">
        <f>1603+600</f>
        <v>2203</v>
      </c>
      <c r="Q3293" s="98">
        <f t="shared" si="556"/>
        <v>0.99954627949183306</v>
      </c>
      <c r="R3293" s="371"/>
      <c r="S3293" s="372"/>
      <c r="T3293" s="364" t="s">
        <v>1825</v>
      </c>
      <c r="U3293" s="264"/>
      <c r="V3293" s="264" t="s">
        <v>1848</v>
      </c>
      <c r="W3293" s="424">
        <v>46251</v>
      </c>
      <c r="X3293" s="264" t="s">
        <v>1848</v>
      </c>
      <c r="Y3293" s="424">
        <v>46251</v>
      </c>
      <c r="Z3293" s="424"/>
      <c r="AA3293" s="424" t="s">
        <v>426</v>
      </c>
      <c r="AB3293" s="424" t="s">
        <v>1838</v>
      </c>
      <c r="AC3293" s="425">
        <f t="shared" si="550"/>
        <v>0</v>
      </c>
      <c r="AD3293" s="425">
        <f t="shared" si="557"/>
        <v>0</v>
      </c>
    </row>
    <row r="3294" spans="1:30" s="8" customFormat="1" x14ac:dyDescent="0.4">
      <c r="A3294" s="440">
        <v>46251</v>
      </c>
      <c r="B3294" s="441" t="s">
        <v>431</v>
      </c>
      <c r="C3294" s="97" t="str">
        <f>VLOOKUP(B3294,'112年全品項生產鍋數'!A:H,2,0)</f>
        <v>文旦丁</v>
      </c>
      <c r="D3294" s="442">
        <v>2</v>
      </c>
      <c r="E3294" s="443">
        <f>VLOOKUP(B3294,'112年全品項生產鍋數'!A:H,3,0)</f>
        <v>1</v>
      </c>
      <c r="F3294" s="444">
        <v>218</v>
      </c>
      <c r="G3294" s="143">
        <f t="shared" ref="G3294" si="558">D3294*F3294</f>
        <v>436</v>
      </c>
      <c r="H3294" s="446">
        <v>456</v>
      </c>
      <c r="I3294" s="447">
        <f t="shared" si="552"/>
        <v>456</v>
      </c>
      <c r="J3294" s="448">
        <f t="shared" si="553"/>
        <v>1.0458715596330275</v>
      </c>
      <c r="K3294" s="51">
        <f>VLOOKUP(B:B,'生產達成率(目標)'!A:C,3,0)</f>
        <v>1</v>
      </c>
      <c r="L3294" s="450">
        <f t="shared" si="554"/>
        <v>4.5999999999999999E-2</v>
      </c>
      <c r="M3294" s="451" t="str">
        <f>工時!R2481</f>
        <v>0</v>
      </c>
      <c r="N3294" s="447"/>
      <c r="O3294" s="447">
        <f t="shared" si="555"/>
        <v>456</v>
      </c>
      <c r="P3294" s="446"/>
      <c r="Q3294" s="452">
        <f t="shared" si="556"/>
        <v>0</v>
      </c>
      <c r="R3294" s="447"/>
      <c r="S3294" s="453"/>
      <c r="T3294" s="364" t="s">
        <v>1874</v>
      </c>
      <c r="U3294" s="454"/>
      <c r="V3294" s="454" t="s">
        <v>1850</v>
      </c>
      <c r="W3294" s="455">
        <v>46247</v>
      </c>
      <c r="X3294" s="264" t="s">
        <v>1888</v>
      </c>
      <c r="Y3294" s="455" t="s">
        <v>1830</v>
      </c>
      <c r="Z3294" s="455"/>
      <c r="AA3294" s="455" t="s">
        <v>1828</v>
      </c>
      <c r="AB3294" s="455" t="s">
        <v>1830</v>
      </c>
      <c r="AC3294" s="456">
        <v>0</v>
      </c>
      <c r="AD3294" s="456">
        <v>0</v>
      </c>
    </row>
    <row r="3295" spans="1:30" s="361" customFormat="1" x14ac:dyDescent="0.4">
      <c r="A3295" s="402">
        <v>46252</v>
      </c>
      <c r="B3295" s="392" t="s">
        <v>68</v>
      </c>
      <c r="C3295" s="364" t="str">
        <f>VLOOKUP(B3295,'112年全品項生產鍋數'!A:H,2,0)</f>
        <v>#2草莓果醬(1*900g)</v>
      </c>
      <c r="D3295" s="404">
        <v>36</v>
      </c>
      <c r="E3295" s="48">
        <f>VLOOKUP(B3295,'112年全品項生產鍋數'!A:H,3,0)</f>
        <v>0.9</v>
      </c>
      <c r="F3295" s="142">
        <f>VLOOKUP(B3295,'112年全品項生產鍋數'!A:H,7,0)</f>
        <v>160.5</v>
      </c>
      <c r="G3295" s="143">
        <f t="shared" si="551"/>
        <v>5778</v>
      </c>
      <c r="H3295" s="156">
        <f>5196+600</f>
        <v>5796</v>
      </c>
      <c r="I3295" s="371">
        <f t="shared" si="552"/>
        <v>5216.4000000000005</v>
      </c>
      <c r="J3295" s="100">
        <f t="shared" si="553"/>
        <v>1.0031152647975077</v>
      </c>
      <c r="K3295" s="51">
        <f>VLOOKUP(B:B,'生產達成率(目標)'!A:C,3,0)</f>
        <v>1</v>
      </c>
      <c r="L3295" s="20">
        <f t="shared" si="554"/>
        <v>3.0000000000000001E-3</v>
      </c>
      <c r="M3295" s="137" t="str">
        <f>工時!R2482</f>
        <v>540</v>
      </c>
      <c r="N3295" s="374"/>
      <c r="O3295" s="374">
        <f t="shared" si="555"/>
        <v>3</v>
      </c>
      <c r="P3295" s="156">
        <f>5193+600</f>
        <v>5793</v>
      </c>
      <c r="Q3295" s="98">
        <f t="shared" si="556"/>
        <v>0.99948240165631475</v>
      </c>
      <c r="R3295" s="371"/>
      <c r="S3295" s="372"/>
      <c r="T3295" s="364" t="s">
        <v>1826</v>
      </c>
      <c r="U3295" s="264"/>
      <c r="V3295" s="264" t="s">
        <v>1849</v>
      </c>
      <c r="W3295" s="424">
        <v>46252</v>
      </c>
      <c r="X3295" s="264" t="s">
        <v>1867</v>
      </c>
      <c r="Y3295" s="424">
        <v>46254</v>
      </c>
      <c r="Z3295" s="424"/>
      <c r="AA3295" s="424" t="s">
        <v>1828</v>
      </c>
      <c r="AB3295" s="424" t="s">
        <v>1839</v>
      </c>
      <c r="AC3295" s="425">
        <f t="shared" ref="AC3295:AC3358" si="559" xml:space="preserve"> IF((W3295-A3295)&lt;0,"未收到",W3295-A3295)</f>
        <v>0</v>
      </c>
      <c r="AD3295" s="425">
        <f t="shared" ref="AD3295:AD3358" si="560" xml:space="preserve"> IF((Y3295-A3295)&lt;0,"未收到",Y3295-A3295)</f>
        <v>2</v>
      </c>
    </row>
    <row r="3296" spans="1:30" s="361" customFormat="1" x14ac:dyDescent="0.4">
      <c r="A3296" s="402">
        <v>46252</v>
      </c>
      <c r="B3296" s="392" t="s">
        <v>63</v>
      </c>
      <c r="C3296" s="364" t="str">
        <f>VLOOKUP(B3296,'112年全品項生產鍋數'!A:H,2,0)</f>
        <v>草莓蒟蒻餡(1*6kg)</v>
      </c>
      <c r="D3296" s="404">
        <v>24</v>
      </c>
      <c r="E3296" s="48">
        <f>VLOOKUP(B3296,'112年全品項生產鍋數'!A:H,3,0)</f>
        <v>6</v>
      </c>
      <c r="F3296" s="142">
        <f>VLOOKUP(B3296,'112年全品項生產鍋數'!A:H,7,0)</f>
        <v>25.7</v>
      </c>
      <c r="G3296" s="143">
        <f t="shared" si="551"/>
        <v>616.79999999999995</v>
      </c>
      <c r="H3296" s="156">
        <f>303+315</f>
        <v>618</v>
      </c>
      <c r="I3296" s="371">
        <f t="shared" si="552"/>
        <v>3708</v>
      </c>
      <c r="J3296" s="100">
        <f t="shared" si="553"/>
        <v>1.0019455252918288</v>
      </c>
      <c r="K3296" s="51">
        <f>VLOOKUP(B:B,'生產達成率(目標)'!A:C,3,0)</f>
        <v>1</v>
      </c>
      <c r="L3296" s="20">
        <f t="shared" si="554"/>
        <v>2E-3</v>
      </c>
      <c r="M3296" s="137" t="str">
        <f>工時!R2483</f>
        <v>307</v>
      </c>
      <c r="N3296" s="374"/>
      <c r="O3296" s="374">
        <f t="shared" si="555"/>
        <v>1</v>
      </c>
      <c r="P3296" s="156">
        <f>302+315</f>
        <v>617</v>
      </c>
      <c r="Q3296" s="98">
        <f t="shared" si="556"/>
        <v>0.99838187702265369</v>
      </c>
      <c r="R3296" s="371"/>
      <c r="S3296" s="372"/>
      <c r="T3296" s="364"/>
      <c r="U3296" s="264"/>
      <c r="V3296" s="264" t="s">
        <v>1847</v>
      </c>
      <c r="W3296" s="424">
        <v>46254</v>
      </c>
      <c r="X3296" s="264" t="s">
        <v>1867</v>
      </c>
      <c r="Y3296" s="424">
        <v>46254</v>
      </c>
      <c r="Z3296" s="424"/>
      <c r="AA3296" s="424" t="s">
        <v>1828</v>
      </c>
      <c r="AB3296" s="424" t="s">
        <v>1840</v>
      </c>
      <c r="AC3296" s="425">
        <f t="shared" si="559"/>
        <v>2</v>
      </c>
      <c r="AD3296" s="425">
        <f t="shared" si="560"/>
        <v>2</v>
      </c>
    </row>
    <row r="3297" spans="1:30" s="361" customFormat="1" x14ac:dyDescent="0.4">
      <c r="A3297" s="402">
        <v>46252</v>
      </c>
      <c r="B3297" s="392" t="s">
        <v>965</v>
      </c>
      <c r="C3297" s="364" t="str">
        <f>VLOOKUP(B3297,'112年全品項生產鍋數'!A:H,2,0)</f>
        <v>草莓餡°(1*6KG)</v>
      </c>
      <c r="D3297" s="404">
        <v>8</v>
      </c>
      <c r="E3297" s="48">
        <f>VLOOKUP(B3297,'112年全品項生產鍋數'!A:H,3,0)</f>
        <v>6</v>
      </c>
      <c r="F3297" s="142">
        <f>VLOOKUP(B3297,'112年全品項生產鍋數'!A:H,7,0)</f>
        <v>0</v>
      </c>
      <c r="G3297" s="143">
        <f t="shared" si="551"/>
        <v>0</v>
      </c>
      <c r="H3297" s="156">
        <v>201</v>
      </c>
      <c r="I3297" s="371">
        <f t="shared" si="552"/>
        <v>1206</v>
      </c>
      <c r="J3297" s="100" t="str">
        <f t="shared" si="553"/>
        <v>無法預估數據</v>
      </c>
      <c r="K3297" s="51">
        <f>VLOOKUP(B:B,'生產達成率(目標)'!A:C,3,0)</f>
        <v>1</v>
      </c>
      <c r="L3297" s="20" t="str">
        <f t="shared" si="554"/>
        <v>無法預估數據</v>
      </c>
      <c r="M3297" s="137" t="str">
        <f>工時!R2484</f>
        <v>123</v>
      </c>
      <c r="N3297" s="374"/>
      <c r="O3297" s="374">
        <f t="shared" si="555"/>
        <v>2</v>
      </c>
      <c r="P3297" s="156">
        <v>199</v>
      </c>
      <c r="Q3297" s="98">
        <f t="shared" si="556"/>
        <v>0.99004975124378114</v>
      </c>
      <c r="R3297" s="371"/>
      <c r="S3297" s="372"/>
      <c r="T3297" s="364" t="s">
        <v>1153</v>
      </c>
      <c r="U3297" s="264"/>
      <c r="V3297" s="264" t="s">
        <v>1847</v>
      </c>
      <c r="W3297" s="424">
        <v>46252</v>
      </c>
      <c r="X3297" s="264" t="s">
        <v>1867</v>
      </c>
      <c r="Y3297" s="424">
        <v>46254</v>
      </c>
      <c r="Z3297" s="424"/>
      <c r="AA3297" s="424">
        <v>46251</v>
      </c>
      <c r="AB3297" s="424">
        <v>46252</v>
      </c>
      <c r="AC3297" s="425">
        <f t="shared" si="559"/>
        <v>0</v>
      </c>
      <c r="AD3297" s="425">
        <f t="shared" si="560"/>
        <v>2</v>
      </c>
    </row>
    <row r="3298" spans="1:30" s="361" customFormat="1" x14ac:dyDescent="0.4">
      <c r="A3298" s="402">
        <v>46252</v>
      </c>
      <c r="B3298" s="392" t="s">
        <v>81</v>
      </c>
      <c r="C3298" s="364" t="str">
        <f>VLOOKUP(B3298,'112年全品項生產鍋數'!A:H,2,0)</f>
        <v>藍莓餡(1*6Kg)</v>
      </c>
      <c r="D3298" s="404">
        <v>11</v>
      </c>
      <c r="E3298" s="48">
        <f>VLOOKUP(B3298,'112年全品項生產鍋數'!A:H,3,0)</f>
        <v>6</v>
      </c>
      <c r="F3298" s="142">
        <f>VLOOKUP(B3298,'112年全品項生產鍋數'!A:H,7,0)</f>
        <v>25.1</v>
      </c>
      <c r="G3298" s="143">
        <f t="shared" si="551"/>
        <v>276.10000000000002</v>
      </c>
      <c r="H3298" s="156">
        <v>274</v>
      </c>
      <c r="I3298" s="371">
        <f t="shared" si="552"/>
        <v>1644</v>
      </c>
      <c r="J3298" s="100">
        <f t="shared" si="553"/>
        <v>0.99239406012314368</v>
      </c>
      <c r="K3298" s="51">
        <f>VLOOKUP(B:B,'生產達成率(目標)'!A:C,3,0)</f>
        <v>1</v>
      </c>
      <c r="L3298" s="20">
        <f t="shared" si="554"/>
        <v>-8.0000000000000002E-3</v>
      </c>
      <c r="M3298" s="137" t="str">
        <f>工時!R2485</f>
        <v>190</v>
      </c>
      <c r="N3298" s="374"/>
      <c r="O3298" s="374">
        <f t="shared" si="555"/>
        <v>1</v>
      </c>
      <c r="P3298" s="156">
        <v>273</v>
      </c>
      <c r="Q3298" s="98">
        <f t="shared" si="556"/>
        <v>0.9963503649635036</v>
      </c>
      <c r="R3298" s="371"/>
      <c r="S3298" s="372"/>
      <c r="T3298" s="364" t="s">
        <v>1153</v>
      </c>
      <c r="U3298" s="264"/>
      <c r="V3298" s="264" t="s">
        <v>1847</v>
      </c>
      <c r="W3298" s="424">
        <v>46252</v>
      </c>
      <c r="X3298" s="264" t="s">
        <v>1867</v>
      </c>
      <c r="Y3298" s="424">
        <v>46254</v>
      </c>
      <c r="Z3298" s="424"/>
      <c r="AA3298" s="424">
        <v>46251</v>
      </c>
      <c r="AB3298" s="424">
        <v>46252</v>
      </c>
      <c r="AC3298" s="425">
        <f t="shared" si="559"/>
        <v>0</v>
      </c>
      <c r="AD3298" s="425">
        <f t="shared" si="560"/>
        <v>2</v>
      </c>
    </row>
    <row r="3299" spans="1:30" s="381" customFormat="1" x14ac:dyDescent="0.4">
      <c r="A3299" s="402">
        <v>46252</v>
      </c>
      <c r="B3299" s="392" t="s">
        <v>73</v>
      </c>
      <c r="C3299" s="375" t="str">
        <f>VLOOKUP(B3299,'112年全品項生產鍋數'!A:H,2,0)</f>
        <v>顆粒花生醬(1*12KG)</v>
      </c>
      <c r="D3299" s="406">
        <v>21</v>
      </c>
      <c r="E3299" s="141">
        <f>VLOOKUP(B3299,'112年全品項生產鍋數'!A:H,3,0)</f>
        <v>3</v>
      </c>
      <c r="F3299" s="142">
        <f>VLOOKUP(B3299,'112年全品項生產鍋數'!A:H,7,0)</f>
        <v>29.7</v>
      </c>
      <c r="G3299" s="143">
        <f t="shared" si="551"/>
        <v>623.69999999999993</v>
      </c>
      <c r="H3299" s="156">
        <v>628</v>
      </c>
      <c r="I3299" s="374">
        <f t="shared" si="552"/>
        <v>1884</v>
      </c>
      <c r="J3299" s="100">
        <f t="shared" si="553"/>
        <v>1.0068943402276738</v>
      </c>
      <c r="K3299" s="51">
        <f>VLOOKUP(B:B,'生產達成率(目標)'!A:C,3,0)</f>
        <v>1</v>
      </c>
      <c r="L3299" s="20">
        <f t="shared" si="554"/>
        <v>7.0000000000000001E-3</v>
      </c>
      <c r="M3299" s="137" t="str">
        <f>工時!R2486</f>
        <v>535</v>
      </c>
      <c r="N3299" s="374"/>
      <c r="O3299" s="374">
        <f t="shared" si="555"/>
        <v>0</v>
      </c>
      <c r="P3299" s="156">
        <v>628</v>
      </c>
      <c r="Q3299" s="145">
        <f t="shared" si="556"/>
        <v>1</v>
      </c>
      <c r="R3299" s="374"/>
      <c r="S3299" s="378"/>
      <c r="T3299" s="375" t="s">
        <v>1153</v>
      </c>
      <c r="U3299" s="398"/>
      <c r="V3299" s="398" t="s">
        <v>1848</v>
      </c>
      <c r="W3299" s="427">
        <v>46252</v>
      </c>
      <c r="X3299" s="264" t="s">
        <v>1848</v>
      </c>
      <c r="Y3299" s="427">
        <v>46252</v>
      </c>
      <c r="Z3299" s="427"/>
      <c r="AA3299" s="427">
        <v>46248</v>
      </c>
      <c r="AB3299" s="427" t="s">
        <v>1834</v>
      </c>
      <c r="AC3299" s="429">
        <f t="shared" si="559"/>
        <v>0</v>
      </c>
      <c r="AD3299" s="429">
        <f t="shared" si="560"/>
        <v>0</v>
      </c>
    </row>
    <row r="3300" spans="1:30" s="361" customFormat="1" x14ac:dyDescent="0.4">
      <c r="A3300" s="402">
        <v>46253</v>
      </c>
      <c r="B3300" s="392" t="s">
        <v>71</v>
      </c>
      <c r="C3300" s="364" t="str">
        <f>VLOOKUP(B3300,'112年全品項生產鍋數'!A:H,2,0)</f>
        <v>＃1草莓(1*3.2kg)</v>
      </c>
      <c r="D3300" s="404">
        <v>88</v>
      </c>
      <c r="E3300" s="48">
        <f>VLOOKUP(B3300,'112年全品項生產鍋數'!A:H,3,0)</f>
        <v>3.2</v>
      </c>
      <c r="F3300" s="142">
        <f>VLOOKUP(B3300,'112年全品項生產鍋數'!A:H,7,0)</f>
        <v>46.8</v>
      </c>
      <c r="G3300" s="143">
        <f t="shared" si="551"/>
        <v>4118.3999999999996</v>
      </c>
      <c r="H3300" s="156">
        <v>4099</v>
      </c>
      <c r="I3300" s="371">
        <f t="shared" si="552"/>
        <v>13116.800000000001</v>
      </c>
      <c r="J3300" s="100">
        <f t="shared" si="553"/>
        <v>0.99528943278943283</v>
      </c>
      <c r="K3300" s="51">
        <f>VLOOKUP(B:B,'生產達成率(目標)'!A:C,3,0)</f>
        <v>1</v>
      </c>
      <c r="L3300" s="20">
        <f t="shared" si="554"/>
        <v>-5.0000000000000001E-3</v>
      </c>
      <c r="M3300" s="137" t="str">
        <f>工時!R2487</f>
        <v>600</v>
      </c>
      <c r="N3300" s="374"/>
      <c r="O3300" s="374">
        <f t="shared" si="555"/>
        <v>3</v>
      </c>
      <c r="P3300" s="156">
        <v>4096</v>
      </c>
      <c r="Q3300" s="98">
        <f t="shared" si="556"/>
        <v>0.99926811417418882</v>
      </c>
      <c r="R3300" s="371"/>
      <c r="S3300" s="372"/>
      <c r="T3300" s="364" t="s">
        <v>1153</v>
      </c>
      <c r="U3300" s="264"/>
      <c r="V3300" s="264" t="s">
        <v>1849</v>
      </c>
      <c r="W3300" s="424">
        <v>46254</v>
      </c>
      <c r="X3300" s="264" t="s">
        <v>1867</v>
      </c>
      <c r="Y3300" s="424">
        <v>46255</v>
      </c>
      <c r="Z3300" s="424"/>
      <c r="AA3300" s="424" t="s">
        <v>1828</v>
      </c>
      <c r="AB3300" s="424">
        <v>46252</v>
      </c>
      <c r="AC3300" s="425">
        <f t="shared" si="559"/>
        <v>1</v>
      </c>
      <c r="AD3300" s="425">
        <f t="shared" si="560"/>
        <v>2</v>
      </c>
    </row>
    <row r="3301" spans="1:30" s="361" customFormat="1" x14ac:dyDescent="0.4">
      <c r="A3301" s="402">
        <v>46253</v>
      </c>
      <c r="B3301" s="392" t="s">
        <v>1698</v>
      </c>
      <c r="C3301" s="364" t="str">
        <f>VLOOKUP(B3301,'112年全品項生產鍋數'!A:H,2,0)</f>
        <v>上好佳草莓餡4.5KG</v>
      </c>
      <c r="D3301" s="404">
        <v>20</v>
      </c>
      <c r="E3301" s="48">
        <f>VLOOKUP(B3301,'112年全品項生產鍋數'!A:H,3,0)</f>
        <v>4.5</v>
      </c>
      <c r="F3301" s="142">
        <f>VLOOKUP(B3301,'112年全品項生產鍋數'!A:H,7,0)</f>
        <v>36.299999999999997</v>
      </c>
      <c r="G3301" s="143">
        <f t="shared" si="551"/>
        <v>726</v>
      </c>
      <c r="H3301" s="156">
        <v>726</v>
      </c>
      <c r="I3301" s="371">
        <f t="shared" si="552"/>
        <v>3267</v>
      </c>
      <c r="J3301" s="100">
        <f t="shared" si="553"/>
        <v>1</v>
      </c>
      <c r="K3301" s="51">
        <f>VLOOKUP(B:B,'生產達成率(目標)'!A:C,3,0)</f>
        <v>1</v>
      </c>
      <c r="L3301" s="20">
        <f t="shared" si="554"/>
        <v>0</v>
      </c>
      <c r="M3301" s="137" t="str">
        <f>工時!R2488</f>
        <v>310</v>
      </c>
      <c r="N3301" s="374"/>
      <c r="O3301" s="374">
        <f t="shared" si="555"/>
        <v>0</v>
      </c>
      <c r="P3301" s="156">
        <v>726</v>
      </c>
      <c r="Q3301" s="98">
        <f t="shared" si="556"/>
        <v>1</v>
      </c>
      <c r="R3301" s="371"/>
      <c r="S3301" s="372"/>
      <c r="T3301" s="364" t="s">
        <v>1153</v>
      </c>
      <c r="U3301" s="264"/>
      <c r="V3301" s="264" t="s">
        <v>1847</v>
      </c>
      <c r="W3301" s="424">
        <v>46254</v>
      </c>
      <c r="X3301" s="264" t="s">
        <v>1867</v>
      </c>
      <c r="Y3301" s="424">
        <v>46255</v>
      </c>
      <c r="Z3301" s="424"/>
      <c r="AA3301" s="424">
        <v>46252</v>
      </c>
      <c r="AB3301" s="424" t="s">
        <v>1835</v>
      </c>
      <c r="AC3301" s="425">
        <f t="shared" si="559"/>
        <v>1</v>
      </c>
      <c r="AD3301" s="425">
        <f t="shared" si="560"/>
        <v>2</v>
      </c>
    </row>
    <row r="3302" spans="1:30" s="361" customFormat="1" x14ac:dyDescent="0.4">
      <c r="A3302" s="402">
        <v>46253</v>
      </c>
      <c r="B3302" s="392" t="s">
        <v>116</v>
      </c>
      <c r="C3302" s="364" t="str">
        <f>VLOOKUP(B3302,'112年全品項生產鍋數'!A:H,2,0)</f>
        <v>藍莓餡（大）(1*9.08kg)</v>
      </c>
      <c r="D3302" s="404">
        <v>20</v>
      </c>
      <c r="E3302" s="48">
        <f>VLOOKUP(B3302,'112年全品項生產鍋數'!A:H,3,0)</f>
        <v>9.08</v>
      </c>
      <c r="F3302" s="142">
        <f>VLOOKUP(B3302,'112年全品項生產鍋數'!A:H,7,0)</f>
        <v>17.8</v>
      </c>
      <c r="G3302" s="143">
        <f t="shared" si="551"/>
        <v>356</v>
      </c>
      <c r="H3302" s="156">
        <v>348</v>
      </c>
      <c r="I3302" s="371">
        <f t="shared" si="552"/>
        <v>3159.84</v>
      </c>
      <c r="J3302" s="100">
        <f t="shared" si="553"/>
        <v>0.97752808988764039</v>
      </c>
      <c r="K3302" s="51">
        <f>VLOOKUP(B:B,'生產達成率(目標)'!A:C,3,0)</f>
        <v>1</v>
      </c>
      <c r="L3302" s="20">
        <f t="shared" si="554"/>
        <v>-2.1999999999999999E-2</v>
      </c>
      <c r="M3302" s="137" t="str">
        <f>工時!R2489</f>
        <v>240</v>
      </c>
      <c r="N3302" s="374"/>
      <c r="O3302" s="374">
        <f t="shared" si="555"/>
        <v>0</v>
      </c>
      <c r="P3302" s="156">
        <v>348</v>
      </c>
      <c r="Q3302" s="98">
        <f t="shared" si="556"/>
        <v>1</v>
      </c>
      <c r="R3302" s="371"/>
      <c r="S3302" s="372"/>
      <c r="T3302" s="364" t="s">
        <v>1153</v>
      </c>
      <c r="U3302" s="264"/>
      <c r="V3302" s="264" t="s">
        <v>1847</v>
      </c>
      <c r="W3302" s="424">
        <v>46254</v>
      </c>
      <c r="X3302" s="264" t="s">
        <v>1867</v>
      </c>
      <c r="Y3302" s="424">
        <v>46255</v>
      </c>
      <c r="Z3302" s="424"/>
      <c r="AA3302" s="424">
        <v>46252</v>
      </c>
      <c r="AB3302" s="424" t="s">
        <v>1841</v>
      </c>
      <c r="AC3302" s="425">
        <f t="shared" si="559"/>
        <v>1</v>
      </c>
      <c r="AD3302" s="425">
        <f t="shared" si="560"/>
        <v>2</v>
      </c>
    </row>
    <row r="3303" spans="1:30" s="361" customFormat="1" x14ac:dyDescent="0.4">
      <c r="A3303" s="402">
        <v>46253</v>
      </c>
      <c r="B3303" s="392" t="s">
        <v>58</v>
      </c>
      <c r="C3303" s="364" t="str">
        <f>VLOOKUP(B3303,'112年全品項生產鍋數'!A:H,2,0)</f>
        <v>PET大花生(1*400g)</v>
      </c>
      <c r="D3303" s="404">
        <v>40</v>
      </c>
      <c r="E3303" s="48">
        <f>VLOOKUP(B3303,'112年全品項生產鍋數'!A:H,3,0)</f>
        <v>0.4</v>
      </c>
      <c r="F3303" s="142">
        <f>VLOOKUP(B3303,'112年全品項生產鍋數'!A:H,7,0)</f>
        <v>309.2</v>
      </c>
      <c r="G3303" s="143">
        <f t="shared" si="551"/>
        <v>12368</v>
      </c>
      <c r="H3303" s="156">
        <v>12412</v>
      </c>
      <c r="I3303" s="371">
        <f t="shared" si="552"/>
        <v>4964.8</v>
      </c>
      <c r="J3303" s="100">
        <f t="shared" si="553"/>
        <v>1.0035575679172057</v>
      </c>
      <c r="K3303" s="51">
        <f>VLOOKUP(B:B,'生產達成率(目標)'!A:C,3,0)</f>
        <v>1</v>
      </c>
      <c r="L3303" s="20">
        <f t="shared" si="554"/>
        <v>4.0000000000000001E-3</v>
      </c>
      <c r="M3303" s="137" t="str">
        <f>工時!R2490</f>
        <v>460</v>
      </c>
      <c r="N3303" s="374"/>
      <c r="O3303" s="374">
        <f t="shared" si="555"/>
        <v>3</v>
      </c>
      <c r="P3303" s="156">
        <v>12409</v>
      </c>
      <c r="Q3303" s="98">
        <f t="shared" si="556"/>
        <v>0.99975829842088304</v>
      </c>
      <c r="R3303" s="371"/>
      <c r="S3303" s="372"/>
      <c r="T3303" s="364"/>
      <c r="U3303" s="264"/>
      <c r="V3303" s="264" t="s">
        <v>1848</v>
      </c>
      <c r="W3303" s="424">
        <v>46254</v>
      </c>
      <c r="X3303" s="264" t="s">
        <v>1848</v>
      </c>
      <c r="Y3303" s="424">
        <v>46254</v>
      </c>
      <c r="Z3303" s="424"/>
      <c r="AA3303" s="424">
        <v>46252</v>
      </c>
      <c r="AB3303" s="424" t="s">
        <v>1834</v>
      </c>
      <c r="AC3303" s="425">
        <f t="shared" si="559"/>
        <v>1</v>
      </c>
      <c r="AD3303" s="425">
        <f t="shared" si="560"/>
        <v>1</v>
      </c>
    </row>
    <row r="3304" spans="1:30" s="381" customFormat="1" ht="18" customHeight="1" x14ac:dyDescent="0.4">
      <c r="A3304" s="402">
        <v>46254</v>
      </c>
      <c r="B3304" s="392" t="s">
        <v>114</v>
      </c>
      <c r="C3304" s="375" t="str">
        <f>VLOOKUP(B3304,'112年全品項生產鍋數'!A:H,2,0)</f>
        <v>開心草莓果醬(1*430g)</v>
      </c>
      <c r="D3304" s="406">
        <v>15</v>
      </c>
      <c r="E3304" s="141">
        <f>VLOOKUP(B3304,'112年全品項生產鍋數'!A:H,3,0)</f>
        <v>0.43</v>
      </c>
      <c r="F3304" s="142">
        <f>VLOOKUP(B3304,'112年全品項生產鍋數'!A:H,7,0)</f>
        <v>364</v>
      </c>
      <c r="G3304" s="143">
        <f t="shared" si="551"/>
        <v>5460</v>
      </c>
      <c r="H3304" s="156">
        <v>5506</v>
      </c>
      <c r="I3304" s="374">
        <f t="shared" si="552"/>
        <v>2367.58</v>
      </c>
      <c r="J3304" s="100">
        <f t="shared" si="553"/>
        <v>1.0084249084249084</v>
      </c>
      <c r="K3304" s="51">
        <f>VLOOKUP(B:B,'生產達成率(目標)'!A:C,3,0)</f>
        <v>1</v>
      </c>
      <c r="L3304" s="20">
        <f t="shared" si="554"/>
        <v>8.0000000000000002E-3</v>
      </c>
      <c r="M3304" s="137" t="str">
        <f>工時!R2491</f>
        <v>360</v>
      </c>
      <c r="N3304" s="374"/>
      <c r="O3304" s="374">
        <f t="shared" si="555"/>
        <v>14</v>
      </c>
      <c r="P3304" s="156">
        <v>5492</v>
      </c>
      <c r="Q3304" s="145">
        <f t="shared" si="556"/>
        <v>0.99745731928804937</v>
      </c>
      <c r="R3304" s="374"/>
      <c r="S3304" s="378"/>
      <c r="T3304" s="375"/>
      <c r="U3304" s="398"/>
      <c r="V3304" s="398" t="s">
        <v>1849</v>
      </c>
      <c r="W3304" s="427">
        <v>46254</v>
      </c>
      <c r="X3304" s="264" t="s">
        <v>1867</v>
      </c>
      <c r="Y3304" s="427">
        <v>46258</v>
      </c>
      <c r="Z3304" s="427"/>
      <c r="AA3304" s="427">
        <v>46253</v>
      </c>
      <c r="AB3304" s="427" t="s">
        <v>1836</v>
      </c>
      <c r="AC3304" s="429">
        <f t="shared" si="559"/>
        <v>0</v>
      </c>
      <c r="AD3304" s="429">
        <f t="shared" si="560"/>
        <v>4</v>
      </c>
    </row>
    <row r="3305" spans="1:30" s="381" customFormat="1" x14ac:dyDescent="0.4">
      <c r="A3305" s="402">
        <v>46254</v>
      </c>
      <c r="B3305" s="392" t="s">
        <v>91</v>
      </c>
      <c r="C3305" s="375" t="str">
        <f>VLOOKUP(B3305,'112年全品項生產鍋數'!A:H,2,0)</f>
        <v>梨山草莓果醬(1*430g)</v>
      </c>
      <c r="D3305" s="406">
        <v>12</v>
      </c>
      <c r="E3305" s="141">
        <f>VLOOKUP(B3305,'112年全品項生產鍋數'!A:H,3,0)</f>
        <v>0.43</v>
      </c>
      <c r="F3305" s="142">
        <f>VLOOKUP(B3305,'112年全品項生產鍋數'!A:H,7,0)</f>
        <v>340.4</v>
      </c>
      <c r="G3305" s="143">
        <f t="shared" si="551"/>
        <v>4084.7999999999997</v>
      </c>
      <c r="H3305" s="156">
        <f>2162+1929</f>
        <v>4091</v>
      </c>
      <c r="I3305" s="374">
        <f t="shared" si="552"/>
        <v>1759.1299999999999</v>
      </c>
      <c r="J3305" s="100">
        <f t="shared" si="553"/>
        <v>1.0015178221699961</v>
      </c>
      <c r="K3305" s="51">
        <f>VLOOKUP(B:B,'生產達成率(目標)'!A:C,3,0)</f>
        <v>1</v>
      </c>
      <c r="L3305" s="20">
        <f t="shared" si="554"/>
        <v>2E-3</v>
      </c>
      <c r="M3305" s="137" t="str">
        <f>工時!R2492</f>
        <v>270</v>
      </c>
      <c r="N3305" s="374"/>
      <c r="O3305" s="374">
        <f t="shared" si="555"/>
        <v>9</v>
      </c>
      <c r="P3305" s="156">
        <f>2160+1922</f>
        <v>4082</v>
      </c>
      <c r="Q3305" s="145">
        <f t="shared" si="556"/>
        <v>0.99780004888780249</v>
      </c>
      <c r="R3305" s="374"/>
      <c r="S3305" s="378"/>
      <c r="T3305" s="375" t="s">
        <v>1789</v>
      </c>
      <c r="U3305" s="398"/>
      <c r="V3305" s="398" t="s">
        <v>1849</v>
      </c>
      <c r="W3305" s="427">
        <v>46254</v>
      </c>
      <c r="X3305" s="264" t="s">
        <v>1867</v>
      </c>
      <c r="Y3305" s="427">
        <v>46258</v>
      </c>
      <c r="Z3305" s="427"/>
      <c r="AA3305" s="427">
        <v>46253</v>
      </c>
      <c r="AB3305" s="427" t="s">
        <v>1835</v>
      </c>
      <c r="AC3305" s="429">
        <f t="shared" si="559"/>
        <v>0</v>
      </c>
      <c r="AD3305" s="429">
        <f t="shared" si="560"/>
        <v>4</v>
      </c>
    </row>
    <row r="3306" spans="1:30" s="361" customFormat="1" x14ac:dyDescent="0.4">
      <c r="A3306" s="402">
        <v>46254</v>
      </c>
      <c r="B3306" s="392" t="s">
        <v>63</v>
      </c>
      <c r="C3306" s="364" t="str">
        <f>VLOOKUP(B3306,'112年全品項生產鍋數'!A:H,2,0)</f>
        <v>草莓蒟蒻餡(1*6kg)</v>
      </c>
      <c r="D3306" s="404">
        <v>24</v>
      </c>
      <c r="E3306" s="48">
        <f>VLOOKUP(B3306,'112年全品項生產鍋數'!A:H,3,0)</f>
        <v>6</v>
      </c>
      <c r="F3306" s="142">
        <f>VLOOKUP(B3306,'112年全品項生產鍋數'!A:H,7,0)</f>
        <v>25.7</v>
      </c>
      <c r="G3306" s="143">
        <f t="shared" si="551"/>
        <v>616.79999999999995</v>
      </c>
      <c r="H3306" s="156">
        <f>306+313</f>
        <v>619</v>
      </c>
      <c r="I3306" s="371">
        <f t="shared" si="552"/>
        <v>3714</v>
      </c>
      <c r="J3306" s="100">
        <f t="shared" si="553"/>
        <v>1.0035667963683528</v>
      </c>
      <c r="K3306" s="51">
        <f>VLOOKUP(B:B,'生產達成率(目標)'!A:C,3,0)</f>
        <v>1</v>
      </c>
      <c r="L3306" s="20">
        <f t="shared" si="554"/>
        <v>4.0000000000000001E-3</v>
      </c>
      <c r="M3306" s="137" t="str">
        <f>工時!R2493</f>
        <v>285</v>
      </c>
      <c r="N3306" s="374"/>
      <c r="O3306" s="374">
        <f t="shared" si="555"/>
        <v>2</v>
      </c>
      <c r="P3306" s="156">
        <f>304+313</f>
        <v>617</v>
      </c>
      <c r="Q3306" s="98">
        <f t="shared" si="556"/>
        <v>0.99676898222940225</v>
      </c>
      <c r="R3306" s="371"/>
      <c r="S3306" s="372"/>
      <c r="T3306" s="364"/>
      <c r="U3306" s="264"/>
      <c r="V3306" s="264" t="s">
        <v>1847</v>
      </c>
      <c r="W3306" s="424">
        <v>46259</v>
      </c>
      <c r="X3306" s="264" t="s">
        <v>1867</v>
      </c>
      <c r="Y3306" s="424">
        <v>46258</v>
      </c>
      <c r="Z3306" s="424"/>
      <c r="AA3306" s="424" t="s">
        <v>1842</v>
      </c>
      <c r="AB3306" s="424" t="s">
        <v>1840</v>
      </c>
      <c r="AC3306" s="425">
        <f t="shared" si="559"/>
        <v>5</v>
      </c>
      <c r="AD3306" s="425">
        <f t="shared" si="560"/>
        <v>4</v>
      </c>
    </row>
    <row r="3307" spans="1:30" s="381" customFormat="1" x14ac:dyDescent="0.4">
      <c r="A3307" s="402">
        <v>46254</v>
      </c>
      <c r="B3307" s="392" t="s">
        <v>1162</v>
      </c>
      <c r="C3307" s="375" t="str">
        <f>VLOOKUP(B3307,'112年全品項生產鍋數'!A:H,2,0)</f>
        <v>藍莓餡(1*6KG)</v>
      </c>
      <c r="D3307" s="406">
        <v>20</v>
      </c>
      <c r="E3307" s="141">
        <f>VLOOKUP(B3307,'112年全品項生產鍋數'!A:H,3,0)</f>
        <v>6</v>
      </c>
      <c r="F3307" s="142">
        <f>VLOOKUP(B3307,'112年全品項生產鍋數'!A:H,7,0)</f>
        <v>25.4</v>
      </c>
      <c r="G3307" s="143">
        <f t="shared" si="551"/>
        <v>508</v>
      </c>
      <c r="H3307" s="156">
        <f>310+215</f>
        <v>525</v>
      </c>
      <c r="I3307" s="374">
        <f t="shared" si="552"/>
        <v>3150</v>
      </c>
      <c r="J3307" s="100">
        <f t="shared" si="553"/>
        <v>1.0334645669291338</v>
      </c>
      <c r="K3307" s="51" t="e">
        <f>VLOOKUP(B:B,'生產達成率(目標)'!A:C,3,0)</f>
        <v>#N/A</v>
      </c>
      <c r="L3307" s="20" t="e">
        <f t="shared" si="554"/>
        <v>#N/A</v>
      </c>
      <c r="M3307" s="137" t="str">
        <f>工時!R2494</f>
        <v>260</v>
      </c>
      <c r="N3307" s="374"/>
      <c r="O3307" s="374">
        <f t="shared" si="555"/>
        <v>4</v>
      </c>
      <c r="P3307" s="156">
        <f>308+213</f>
        <v>521</v>
      </c>
      <c r="Q3307" s="145">
        <f t="shared" si="556"/>
        <v>0.99238095238095236</v>
      </c>
      <c r="R3307" s="374"/>
      <c r="S3307" s="378"/>
      <c r="T3307" s="375"/>
      <c r="U3307" s="398"/>
      <c r="V3307" s="398" t="s">
        <v>1847</v>
      </c>
      <c r="W3307" s="427">
        <v>46254</v>
      </c>
      <c r="X3307" s="264" t="s">
        <v>1867</v>
      </c>
      <c r="Y3307" s="427">
        <v>46258</v>
      </c>
      <c r="Z3307" s="427"/>
      <c r="AA3307" s="427">
        <v>46253</v>
      </c>
      <c r="AB3307" s="427" t="s">
        <v>1835</v>
      </c>
      <c r="AC3307" s="429">
        <f t="shared" si="559"/>
        <v>0</v>
      </c>
      <c r="AD3307" s="429">
        <f t="shared" si="560"/>
        <v>4</v>
      </c>
    </row>
    <row r="3308" spans="1:30" s="381" customFormat="1" x14ac:dyDescent="0.4">
      <c r="A3308" s="402">
        <v>46254</v>
      </c>
      <c r="B3308" s="392" t="s">
        <v>65</v>
      </c>
      <c r="C3308" s="375" t="str">
        <f>VLOOKUP(B3308,'112年全品項生產鍋數'!A:H,2,0)</f>
        <v>＃1花生(1*2.8kg)</v>
      </c>
      <c r="D3308" s="406">
        <v>60</v>
      </c>
      <c r="E3308" s="141">
        <f>VLOOKUP(B3308,'112年全品項生產鍋數'!A:H,3,0)</f>
        <v>2.8</v>
      </c>
      <c r="F3308" s="142">
        <f>VLOOKUP(B3308,'112年全品項生產鍋數'!A:H,7,0)</f>
        <v>44.5</v>
      </c>
      <c r="G3308" s="143">
        <f t="shared" si="551"/>
        <v>2670</v>
      </c>
      <c r="H3308" s="156">
        <v>2688</v>
      </c>
      <c r="I3308" s="374">
        <f t="shared" si="552"/>
        <v>7526.4</v>
      </c>
      <c r="J3308" s="100">
        <f t="shared" si="553"/>
        <v>1.0067415730337079</v>
      </c>
      <c r="K3308" s="51">
        <f>VLOOKUP(B:B,'生產達成率(目標)'!A:C,3,0)</f>
        <v>1</v>
      </c>
      <c r="L3308" s="20">
        <f t="shared" si="554"/>
        <v>7.0000000000000001E-3</v>
      </c>
      <c r="M3308" s="137" t="str">
        <f>工時!R2495</f>
        <v>460</v>
      </c>
      <c r="N3308" s="374"/>
      <c r="O3308" s="374">
        <f t="shared" si="555"/>
        <v>1</v>
      </c>
      <c r="P3308" s="156">
        <v>2687</v>
      </c>
      <c r="Q3308" s="145">
        <f t="shared" si="556"/>
        <v>0.99962797619047616</v>
      </c>
      <c r="R3308" s="374"/>
      <c r="S3308" s="378"/>
      <c r="T3308" s="375" t="s">
        <v>1153</v>
      </c>
      <c r="U3308" s="398"/>
      <c r="V3308" s="398" t="s">
        <v>1848</v>
      </c>
      <c r="W3308" s="427">
        <v>46254</v>
      </c>
      <c r="X3308" s="398" t="s">
        <v>1848</v>
      </c>
      <c r="Y3308" s="427">
        <v>46254</v>
      </c>
      <c r="Z3308" s="427"/>
      <c r="AA3308" s="427">
        <v>46253</v>
      </c>
      <c r="AB3308" s="427" t="s">
        <v>1829</v>
      </c>
      <c r="AC3308" s="429">
        <f t="shared" si="559"/>
        <v>0</v>
      </c>
      <c r="AD3308" s="429">
        <f t="shared" si="560"/>
        <v>0</v>
      </c>
    </row>
    <row r="3309" spans="1:30" s="381" customFormat="1" x14ac:dyDescent="0.4">
      <c r="A3309" s="402">
        <v>46255</v>
      </c>
      <c r="B3309" s="392" t="s">
        <v>71</v>
      </c>
      <c r="C3309" s="375" t="str">
        <f>VLOOKUP(B3309,'112年全品項生產鍋數'!A:H,2,0)</f>
        <v>＃1草莓(1*3.2kg)</v>
      </c>
      <c r="D3309" s="406">
        <v>88</v>
      </c>
      <c r="E3309" s="141">
        <f>VLOOKUP(B3309,'112年全品項生產鍋數'!A:H,3,0)</f>
        <v>3.2</v>
      </c>
      <c r="F3309" s="142">
        <f>VLOOKUP(B3309,'112年全品項生產鍋數'!A:H,7,0)</f>
        <v>46.8</v>
      </c>
      <c r="G3309" s="143">
        <f t="shared" si="551"/>
        <v>4118.3999999999996</v>
      </c>
      <c r="H3309" s="156">
        <v>4071</v>
      </c>
      <c r="I3309" s="374">
        <f t="shared" si="552"/>
        <v>13027.2</v>
      </c>
      <c r="J3309" s="100">
        <f t="shared" si="553"/>
        <v>0.98849067599067608</v>
      </c>
      <c r="K3309" s="51">
        <f>VLOOKUP(B:B,'生產達成率(目標)'!A:C,3,0)</f>
        <v>1</v>
      </c>
      <c r="L3309" s="20">
        <f t="shared" si="554"/>
        <v>-1.2E-2</v>
      </c>
      <c r="M3309" s="137" t="str">
        <f>工時!R2496</f>
        <v>720</v>
      </c>
      <c r="N3309" s="374"/>
      <c r="O3309" s="374">
        <f t="shared" si="555"/>
        <v>3</v>
      </c>
      <c r="P3309" s="156">
        <v>4068</v>
      </c>
      <c r="Q3309" s="145">
        <f t="shared" si="556"/>
        <v>0.99926308032424471</v>
      </c>
      <c r="R3309" s="374"/>
      <c r="S3309" s="378"/>
      <c r="T3309" s="375" t="s">
        <v>1153</v>
      </c>
      <c r="U3309" s="398"/>
      <c r="V3309" s="398" t="s">
        <v>1849</v>
      </c>
      <c r="W3309" s="427">
        <v>46258</v>
      </c>
      <c r="X3309" s="264" t="s">
        <v>1867</v>
      </c>
      <c r="Y3309" s="427">
        <v>46258</v>
      </c>
      <c r="Z3309" s="427"/>
      <c r="AA3309" s="427">
        <v>46254</v>
      </c>
      <c r="AB3309" s="427" t="s">
        <v>1861</v>
      </c>
      <c r="AC3309" s="429">
        <f t="shared" si="559"/>
        <v>3</v>
      </c>
      <c r="AD3309" s="429">
        <f t="shared" si="560"/>
        <v>3</v>
      </c>
    </row>
    <row r="3310" spans="1:30" s="381" customFormat="1" x14ac:dyDescent="0.4">
      <c r="A3310" s="402">
        <v>46255</v>
      </c>
      <c r="B3310" s="392" t="s">
        <v>73</v>
      </c>
      <c r="C3310" s="375" t="str">
        <f>VLOOKUP(B3310,'112年全品項生產鍋數'!A:H,2,0)</f>
        <v>顆粒花生醬(1*12KG)</v>
      </c>
      <c r="D3310" s="406">
        <v>21</v>
      </c>
      <c r="E3310" s="141">
        <f>VLOOKUP(B3310,'112年全品項生產鍋數'!A:H,3,0)</f>
        <v>3</v>
      </c>
      <c r="F3310" s="142">
        <f>VLOOKUP(B3310,'112年全品項生產鍋數'!A:H,7,0)</f>
        <v>29.7</v>
      </c>
      <c r="G3310" s="143">
        <f t="shared" si="551"/>
        <v>623.69999999999993</v>
      </c>
      <c r="H3310" s="156">
        <v>632</v>
      </c>
      <c r="I3310" s="374">
        <f t="shared" si="552"/>
        <v>1896</v>
      </c>
      <c r="J3310" s="100">
        <f t="shared" si="553"/>
        <v>1.0133076799743468</v>
      </c>
      <c r="K3310" s="51">
        <f>VLOOKUP(B:B,'生產達成率(目標)'!A:C,3,0)</f>
        <v>1</v>
      </c>
      <c r="L3310" s="20">
        <f t="shared" si="554"/>
        <v>1.2999999999999999E-2</v>
      </c>
      <c r="M3310" s="137" t="str">
        <f>工時!R2497</f>
        <v>540</v>
      </c>
      <c r="N3310" s="374"/>
      <c r="O3310" s="374">
        <f t="shared" si="555"/>
        <v>0</v>
      </c>
      <c r="P3310" s="156">
        <v>632</v>
      </c>
      <c r="Q3310" s="145">
        <f t="shared" si="556"/>
        <v>1</v>
      </c>
      <c r="R3310" s="374"/>
      <c r="S3310" s="378"/>
      <c r="T3310" s="375" t="s">
        <v>1153</v>
      </c>
      <c r="U3310" s="398"/>
      <c r="V3310" s="398" t="s">
        <v>1847</v>
      </c>
      <c r="W3310" s="427">
        <v>46258</v>
      </c>
      <c r="X3310" s="264" t="s">
        <v>1867</v>
      </c>
      <c r="Y3310" s="427">
        <v>46258</v>
      </c>
      <c r="Z3310" s="427"/>
      <c r="AA3310" s="427" t="s">
        <v>1843</v>
      </c>
      <c r="AB3310" s="427">
        <v>46255</v>
      </c>
      <c r="AC3310" s="429">
        <f t="shared" si="559"/>
        <v>3</v>
      </c>
      <c r="AD3310" s="429">
        <f t="shared" si="560"/>
        <v>3</v>
      </c>
    </row>
    <row r="3311" spans="1:30" s="381" customFormat="1" x14ac:dyDescent="0.4">
      <c r="A3311" s="402">
        <v>46255</v>
      </c>
      <c r="B3311" s="392" t="s">
        <v>82</v>
      </c>
      <c r="C3311" s="375" t="str">
        <f>VLOOKUP(B3311,'112年全品項生產鍋數'!A:H,2,0)</f>
        <v>顆粒花生醬(全)</v>
      </c>
      <c r="D3311" s="406">
        <v>36</v>
      </c>
      <c r="E3311" s="141">
        <f>VLOOKUP(B3311,'112年全品項生產鍋數'!A:H,3,0)</f>
        <v>0.34</v>
      </c>
      <c r="F3311" s="142">
        <f>VLOOKUP(B3311,'112年全品項生產鍋數'!A:H,7,0)</f>
        <v>364.6</v>
      </c>
      <c r="G3311" s="143">
        <f t="shared" si="551"/>
        <v>13125.6</v>
      </c>
      <c r="H3311" s="156">
        <v>12996</v>
      </c>
      <c r="I3311" s="374">
        <f t="shared" si="552"/>
        <v>4418.6400000000003</v>
      </c>
      <c r="J3311" s="100">
        <f t="shared" si="553"/>
        <v>0.99012616566099831</v>
      </c>
      <c r="K3311" s="51">
        <f>VLOOKUP(B:B,'生產達成率(目標)'!A:C,3,0)</f>
        <v>1</v>
      </c>
      <c r="L3311" s="20">
        <f t="shared" si="554"/>
        <v>-0.01</v>
      </c>
      <c r="M3311" s="137" t="str">
        <f>工時!R2498</f>
        <v>500</v>
      </c>
      <c r="N3311" s="374"/>
      <c r="O3311" s="374">
        <f t="shared" si="555"/>
        <v>3</v>
      </c>
      <c r="P3311" s="156">
        <v>12993</v>
      </c>
      <c r="Q3311" s="145">
        <f t="shared" si="556"/>
        <v>0.99976915974145886</v>
      </c>
      <c r="R3311" s="374"/>
      <c r="S3311" s="378"/>
      <c r="T3311" s="375" t="s">
        <v>1265</v>
      </c>
      <c r="U3311" s="398"/>
      <c r="V3311" s="398" t="s">
        <v>1848</v>
      </c>
      <c r="W3311" s="427">
        <v>46255</v>
      </c>
      <c r="X3311" s="398" t="s">
        <v>1848</v>
      </c>
      <c r="Y3311" s="427">
        <v>46255</v>
      </c>
      <c r="Z3311" s="427"/>
      <c r="AA3311" s="427">
        <v>46254</v>
      </c>
      <c r="AB3311" s="427">
        <v>46255</v>
      </c>
      <c r="AC3311" s="429">
        <f t="shared" si="559"/>
        <v>0</v>
      </c>
      <c r="AD3311" s="429">
        <f t="shared" si="560"/>
        <v>0</v>
      </c>
    </row>
    <row r="3312" spans="1:30" s="361" customFormat="1" x14ac:dyDescent="0.4">
      <c r="A3312" s="402">
        <v>46258</v>
      </c>
      <c r="B3312" s="392" t="s">
        <v>965</v>
      </c>
      <c r="C3312" s="364" t="str">
        <f>VLOOKUP(B3312,'112年全品項生產鍋數'!A:H,2,0)</f>
        <v>草莓餡°(1*6KG)</v>
      </c>
      <c r="D3312" s="404">
        <v>12</v>
      </c>
      <c r="E3312" s="48">
        <f>VLOOKUP(B3312,'112年全品項生產鍋數'!A:H,3,0)</f>
        <v>6</v>
      </c>
      <c r="F3312" s="142">
        <f>VLOOKUP(B3312,'112年全品項生產鍋數'!A:H,7,0)</f>
        <v>0</v>
      </c>
      <c r="G3312" s="143">
        <f t="shared" si="551"/>
        <v>0</v>
      </c>
      <c r="H3312" s="156">
        <v>300</v>
      </c>
      <c r="I3312" s="371">
        <f t="shared" si="552"/>
        <v>1800</v>
      </c>
      <c r="J3312" s="100" t="str">
        <f t="shared" si="553"/>
        <v>無法預估數據</v>
      </c>
      <c r="K3312" s="51">
        <f>VLOOKUP(B:B,'生產達成率(目標)'!A:C,3,0)</f>
        <v>1</v>
      </c>
      <c r="L3312" s="20" t="str">
        <f t="shared" si="554"/>
        <v>無法預估數據</v>
      </c>
      <c r="M3312" s="137" t="str">
        <f>工時!R2499</f>
        <v>175</v>
      </c>
      <c r="N3312" s="374"/>
      <c r="O3312" s="374">
        <f t="shared" si="555"/>
        <v>1</v>
      </c>
      <c r="P3312" s="156">
        <v>299</v>
      </c>
      <c r="Q3312" s="98">
        <f t="shared" si="556"/>
        <v>0.9966666666666667</v>
      </c>
      <c r="R3312" s="371"/>
      <c r="S3312" s="372"/>
      <c r="T3312" s="364" t="s">
        <v>1153</v>
      </c>
      <c r="U3312" s="264"/>
      <c r="V3312" s="264" t="s">
        <v>1849</v>
      </c>
      <c r="W3312" s="424">
        <v>46259</v>
      </c>
      <c r="X3312" s="264" t="s">
        <v>1867</v>
      </c>
      <c r="Y3312" s="424">
        <v>46259</v>
      </c>
      <c r="Z3312" s="424"/>
      <c r="AA3312" s="424">
        <v>46255</v>
      </c>
      <c r="AB3312" s="424"/>
      <c r="AC3312" s="425">
        <f t="shared" si="559"/>
        <v>1</v>
      </c>
      <c r="AD3312" s="425">
        <f t="shared" si="560"/>
        <v>1</v>
      </c>
    </row>
    <row r="3313" spans="1:30" s="361" customFormat="1" x14ac:dyDescent="0.4">
      <c r="A3313" s="402">
        <v>46258</v>
      </c>
      <c r="B3313" s="392" t="s">
        <v>64</v>
      </c>
      <c r="C3313" s="364" t="str">
        <f>VLOOKUP(B3313,'112年全品項生產鍋數'!A:H,2,0)</f>
        <v>藍莓餡(1*6KG)</v>
      </c>
      <c r="D3313" s="404">
        <v>8</v>
      </c>
      <c r="E3313" s="48">
        <f>VLOOKUP(B3313,'112年全品項生產鍋數'!A:H,3,0)</f>
        <v>6</v>
      </c>
      <c r="F3313" s="142">
        <f>VLOOKUP(B3313,'112年全品項生產鍋數'!A:H,7,0)</f>
        <v>25.4</v>
      </c>
      <c r="G3313" s="143">
        <f t="shared" si="551"/>
        <v>203.2</v>
      </c>
      <c r="H3313" s="156">
        <v>203</v>
      </c>
      <c r="I3313" s="371">
        <f t="shared" si="552"/>
        <v>1218</v>
      </c>
      <c r="J3313" s="100">
        <f t="shared" si="553"/>
        <v>0.99901574803149606</v>
      </c>
      <c r="K3313" s="51">
        <f>VLOOKUP(B:B,'生產達成率(目標)'!A:C,3,0)</f>
        <v>1</v>
      </c>
      <c r="L3313" s="20">
        <f t="shared" si="554"/>
        <v>-1E-3</v>
      </c>
      <c r="M3313" s="137" t="str">
        <f>工時!R2500</f>
        <v>175</v>
      </c>
      <c r="N3313" s="374"/>
      <c r="O3313" s="374">
        <f t="shared" si="555"/>
        <v>2</v>
      </c>
      <c r="P3313" s="156">
        <v>201</v>
      </c>
      <c r="Q3313" s="98">
        <f t="shared" si="556"/>
        <v>0.99014778325123154</v>
      </c>
      <c r="R3313" s="371"/>
      <c r="S3313" s="372"/>
      <c r="T3313" s="364"/>
      <c r="U3313" s="264"/>
      <c r="V3313" s="264" t="s">
        <v>1849</v>
      </c>
      <c r="W3313" s="424">
        <v>46259</v>
      </c>
      <c r="X3313" s="264" t="s">
        <v>1867</v>
      </c>
      <c r="Y3313" s="424">
        <v>46259</v>
      </c>
      <c r="Z3313" s="424"/>
      <c r="AA3313" s="424">
        <v>46255</v>
      </c>
      <c r="AB3313" s="424"/>
      <c r="AC3313" s="425">
        <f t="shared" si="559"/>
        <v>1</v>
      </c>
      <c r="AD3313" s="425">
        <f t="shared" si="560"/>
        <v>1</v>
      </c>
    </row>
    <row r="3314" spans="1:30" s="361" customFormat="1" x14ac:dyDescent="0.4">
      <c r="A3314" s="402">
        <v>46258</v>
      </c>
      <c r="B3314" s="392" t="s">
        <v>63</v>
      </c>
      <c r="C3314" s="364" t="str">
        <f>VLOOKUP(B3314,'112年全品項生產鍋數'!A:H,2,0)</f>
        <v>草莓蒟蒻餡(1*6kg)</v>
      </c>
      <c r="D3314" s="404">
        <v>24</v>
      </c>
      <c r="E3314" s="48">
        <f>VLOOKUP(B3314,'112年全品項生產鍋數'!A:H,3,0)</f>
        <v>6</v>
      </c>
      <c r="F3314" s="142">
        <f>VLOOKUP(B3314,'112年全品項生產鍋數'!A:H,7,0)</f>
        <v>25.7</v>
      </c>
      <c r="G3314" s="143">
        <f t="shared" si="551"/>
        <v>616.79999999999995</v>
      </c>
      <c r="H3314" s="156">
        <f>314+315</f>
        <v>629</v>
      </c>
      <c r="I3314" s="371">
        <f t="shared" si="552"/>
        <v>3774</v>
      </c>
      <c r="J3314" s="100">
        <f t="shared" si="553"/>
        <v>1.0197795071335929</v>
      </c>
      <c r="K3314" s="51">
        <f>VLOOKUP(B:B,'生產達成率(目標)'!A:C,3,0)</f>
        <v>1</v>
      </c>
      <c r="L3314" s="20">
        <f t="shared" si="554"/>
        <v>0.02</v>
      </c>
      <c r="M3314" s="137" t="str">
        <f>工時!R2501</f>
        <v>270</v>
      </c>
      <c r="N3314" s="374"/>
      <c r="O3314" s="374">
        <f t="shared" si="555"/>
        <v>3</v>
      </c>
      <c r="P3314" s="156">
        <f>312+314</f>
        <v>626</v>
      </c>
      <c r="Q3314" s="98">
        <f t="shared" si="556"/>
        <v>0.99523052464228934</v>
      </c>
      <c r="R3314" s="371"/>
      <c r="S3314" s="372"/>
      <c r="T3314" s="364"/>
      <c r="U3314" s="264"/>
      <c r="V3314" s="264" t="s">
        <v>1849</v>
      </c>
      <c r="W3314" s="424">
        <v>46259</v>
      </c>
      <c r="X3314" s="264" t="s">
        <v>1867</v>
      </c>
      <c r="Y3314" s="424">
        <v>46259</v>
      </c>
      <c r="Z3314" s="424"/>
      <c r="AA3314" s="424">
        <v>46255</v>
      </c>
      <c r="AB3314" s="424"/>
      <c r="AC3314" s="425">
        <f t="shared" si="559"/>
        <v>1</v>
      </c>
      <c r="AD3314" s="425">
        <f t="shared" si="560"/>
        <v>1</v>
      </c>
    </row>
    <row r="3315" spans="1:30" s="361" customFormat="1" x14ac:dyDescent="0.4">
      <c r="A3315" s="402">
        <v>46258</v>
      </c>
      <c r="B3315" s="392" t="s">
        <v>110</v>
      </c>
      <c r="C3315" s="364" t="str">
        <f>VLOOKUP(B3315,'112年全品項生產鍋數'!A:H,2,0)</f>
        <v>顆粒花生醬(1*12KG)</v>
      </c>
      <c r="D3315" s="404">
        <v>21</v>
      </c>
      <c r="E3315" s="48">
        <f>VLOOKUP(B3315,'112年全品項生產鍋數'!A:H,3,0)</f>
        <v>3</v>
      </c>
      <c r="F3315" s="142">
        <f>VLOOKUP(B3315,'112年全品項生產鍋數'!A:H,7,0)</f>
        <v>30.8</v>
      </c>
      <c r="G3315" s="143">
        <f t="shared" si="551"/>
        <v>646.80000000000007</v>
      </c>
      <c r="H3315" s="156">
        <v>648</v>
      </c>
      <c r="I3315" s="371">
        <f t="shared" si="552"/>
        <v>1944</v>
      </c>
      <c r="J3315" s="100">
        <f t="shared" si="553"/>
        <v>1.0018552875695732</v>
      </c>
      <c r="K3315" s="51">
        <f>VLOOKUP(B:B,'生產達成率(目標)'!A:C,3,0)</f>
        <v>1</v>
      </c>
      <c r="L3315" s="20">
        <f t="shared" si="554"/>
        <v>2E-3</v>
      </c>
      <c r="M3315" s="137" t="str">
        <f>工時!R2502</f>
        <v>540</v>
      </c>
      <c r="N3315" s="374"/>
      <c r="O3315" s="374">
        <f t="shared" si="555"/>
        <v>0</v>
      </c>
      <c r="P3315" s="156">
        <v>648</v>
      </c>
      <c r="Q3315" s="98">
        <f t="shared" si="556"/>
        <v>1</v>
      </c>
      <c r="R3315" s="371"/>
      <c r="S3315" s="372"/>
      <c r="T3315" s="364" t="s">
        <v>1153</v>
      </c>
      <c r="U3315" s="264"/>
      <c r="V3315" s="264" t="s">
        <v>1847</v>
      </c>
      <c r="W3315" s="424">
        <v>46258</v>
      </c>
      <c r="X3315" s="264" t="s">
        <v>1867</v>
      </c>
      <c r="Y3315" s="424">
        <v>46258</v>
      </c>
      <c r="Z3315" s="424"/>
      <c r="AA3315" s="424">
        <v>46252</v>
      </c>
      <c r="AB3315" s="424">
        <v>46258</v>
      </c>
      <c r="AC3315" s="425">
        <f t="shared" si="559"/>
        <v>0</v>
      </c>
      <c r="AD3315" s="425">
        <f t="shared" si="560"/>
        <v>0</v>
      </c>
    </row>
    <row r="3316" spans="1:30" s="361" customFormat="1" x14ac:dyDescent="0.4">
      <c r="A3316" s="402">
        <v>46258</v>
      </c>
      <c r="B3316" s="392" t="s">
        <v>65</v>
      </c>
      <c r="C3316" s="364" t="str">
        <f>VLOOKUP(B3316,'112年全品項生產鍋數'!A:H,2,0)</f>
        <v>＃1花生(1*2.8kg)</v>
      </c>
      <c r="D3316" s="404">
        <v>68</v>
      </c>
      <c r="E3316" s="48">
        <f>VLOOKUP(B3316,'112年全品項生產鍋數'!A:H,3,0)</f>
        <v>2.8</v>
      </c>
      <c r="F3316" s="142">
        <f>VLOOKUP(B3316,'112年全品項生產鍋數'!A:H,7,0)</f>
        <v>44.5</v>
      </c>
      <c r="G3316" s="143">
        <f>D3316*F3316-50*18/2.8</f>
        <v>2704.5714285714284</v>
      </c>
      <c r="H3316" s="156">
        <v>2692</v>
      </c>
      <c r="I3316" s="371">
        <f t="shared" si="552"/>
        <v>7537.5999999999995</v>
      </c>
      <c r="J3316" s="100">
        <f t="shared" si="553"/>
        <v>0.99535178533699564</v>
      </c>
      <c r="K3316" s="51">
        <f>VLOOKUP(B:B,'生產達成率(目標)'!A:C,3,0)</f>
        <v>1</v>
      </c>
      <c r="L3316" s="20">
        <f t="shared" si="554"/>
        <v>-5.0000000000000001E-3</v>
      </c>
      <c r="M3316" s="137" t="str">
        <f>工時!R2503</f>
        <v>515</v>
      </c>
      <c r="N3316" s="374"/>
      <c r="O3316" s="374">
        <f t="shared" si="555"/>
        <v>1</v>
      </c>
      <c r="P3316" s="156">
        <v>2691</v>
      </c>
      <c r="Q3316" s="98">
        <f t="shared" si="556"/>
        <v>0.99962852897473997</v>
      </c>
      <c r="R3316" s="371"/>
      <c r="S3316" s="372"/>
      <c r="T3316" s="364" t="s">
        <v>1831</v>
      </c>
      <c r="U3316" s="264"/>
      <c r="V3316" s="264" t="s">
        <v>1848</v>
      </c>
      <c r="W3316" s="424">
        <v>46258</v>
      </c>
      <c r="X3316" s="264" t="s">
        <v>1848</v>
      </c>
      <c r="Y3316" s="424">
        <v>46258</v>
      </c>
      <c r="Z3316" s="424"/>
      <c r="AA3316" s="424" t="s">
        <v>1807</v>
      </c>
      <c r="AB3316" s="424">
        <v>46258</v>
      </c>
      <c r="AC3316" s="425">
        <f t="shared" si="559"/>
        <v>0</v>
      </c>
      <c r="AD3316" s="425">
        <f t="shared" si="560"/>
        <v>0</v>
      </c>
    </row>
    <row r="3317" spans="1:30" s="381" customFormat="1" x14ac:dyDescent="0.4">
      <c r="A3317" s="402">
        <v>46258</v>
      </c>
      <c r="B3317" s="392">
        <v>151010</v>
      </c>
      <c r="C3317" s="375" t="str">
        <f>VLOOKUP(B3317,'112年全品項生產鍋數'!A:H,2,0)</f>
        <v>蜜紅果6m/m</v>
      </c>
      <c r="D3317" s="406">
        <v>1</v>
      </c>
      <c r="E3317" s="141">
        <f>VLOOKUP(B3317,'112年全品項生產鍋數'!A:H,3,0)</f>
        <v>1</v>
      </c>
      <c r="F3317" s="142">
        <f>VLOOKUP(B3317,'112年全品項生產鍋數'!A:H,7,0)</f>
        <v>142</v>
      </c>
      <c r="G3317" s="143">
        <f t="shared" si="551"/>
        <v>142</v>
      </c>
      <c r="H3317" s="156">
        <v>91</v>
      </c>
      <c r="I3317" s="374">
        <f t="shared" si="552"/>
        <v>91</v>
      </c>
      <c r="J3317" s="100">
        <f t="shared" si="553"/>
        <v>0.64084507042253525</v>
      </c>
      <c r="K3317" s="51">
        <f>VLOOKUP(B:B,'生產達成率(目標)'!A:C,3,0)</f>
        <v>1</v>
      </c>
      <c r="L3317" s="20">
        <f t="shared" si="554"/>
        <v>-0.35899999999999999</v>
      </c>
      <c r="M3317" s="137" t="str">
        <f>工時!R2504</f>
        <v>0</v>
      </c>
      <c r="N3317" s="374"/>
      <c r="O3317" s="374">
        <f t="shared" si="555"/>
        <v>0</v>
      </c>
      <c r="P3317" s="156">
        <v>91</v>
      </c>
      <c r="Q3317" s="145">
        <f t="shared" si="556"/>
        <v>1</v>
      </c>
      <c r="R3317" s="374"/>
      <c r="S3317" s="378"/>
      <c r="T3317" s="375" t="s">
        <v>1862</v>
      </c>
      <c r="U3317" s="398"/>
      <c r="V3317" s="398" t="s">
        <v>1850</v>
      </c>
      <c r="W3317" s="427">
        <v>46259</v>
      </c>
      <c r="X3317" s="398" t="s">
        <v>1710</v>
      </c>
      <c r="Y3317" s="427" t="s">
        <v>426</v>
      </c>
      <c r="Z3317" s="427"/>
      <c r="AA3317" s="427">
        <v>46258</v>
      </c>
      <c r="AB3317" s="427"/>
      <c r="AC3317" s="429">
        <f t="shared" si="559"/>
        <v>1</v>
      </c>
      <c r="AD3317" s="429">
        <v>0</v>
      </c>
    </row>
    <row r="3318" spans="1:30" s="8" customFormat="1" x14ac:dyDescent="0.4">
      <c r="A3318" s="440">
        <v>46258</v>
      </c>
      <c r="B3318" s="441" t="s">
        <v>431</v>
      </c>
      <c r="C3318" s="97" t="str">
        <f>VLOOKUP(B3318,'112年全品項生產鍋數'!A:H,2,0)</f>
        <v>文旦丁</v>
      </c>
      <c r="D3318" s="442">
        <v>2</v>
      </c>
      <c r="E3318" s="443">
        <f>VLOOKUP(B3318,'112年全品項生產鍋數'!A:H,3,0)</f>
        <v>1</v>
      </c>
      <c r="F3318" s="444">
        <v>218</v>
      </c>
      <c r="G3318" s="143">
        <f t="shared" si="551"/>
        <v>436</v>
      </c>
      <c r="H3318" s="446">
        <v>448</v>
      </c>
      <c r="I3318" s="447">
        <f t="shared" si="552"/>
        <v>448</v>
      </c>
      <c r="J3318" s="448">
        <f t="shared" si="553"/>
        <v>1.0275229357798166</v>
      </c>
      <c r="K3318" s="449">
        <f>VLOOKUP(B:B,'生產達成率(目標)'!A:C,3,0)</f>
        <v>1</v>
      </c>
      <c r="L3318" s="450">
        <f t="shared" si="554"/>
        <v>2.8000000000000001E-2</v>
      </c>
      <c r="M3318" s="451" t="str">
        <f>工時!R2505</f>
        <v>0</v>
      </c>
      <c r="N3318" s="447"/>
      <c r="O3318" s="447">
        <f t="shared" si="555"/>
        <v>448</v>
      </c>
      <c r="P3318" s="446"/>
      <c r="Q3318" s="452">
        <f t="shared" si="556"/>
        <v>0</v>
      </c>
      <c r="R3318" s="447"/>
      <c r="S3318" s="453"/>
      <c r="T3318" s="364" t="s">
        <v>1874</v>
      </c>
      <c r="U3318" s="454"/>
      <c r="V3318" s="454" t="s">
        <v>1850</v>
      </c>
      <c r="W3318" s="455">
        <v>46259</v>
      </c>
      <c r="X3318" s="454" t="s">
        <v>1888</v>
      </c>
      <c r="Y3318" s="455" t="s">
        <v>1884</v>
      </c>
      <c r="Z3318" s="455"/>
      <c r="AA3318" s="455" t="s">
        <v>1844</v>
      </c>
      <c r="AB3318" s="455"/>
      <c r="AC3318" s="456">
        <f t="shared" si="559"/>
        <v>1</v>
      </c>
      <c r="AD3318" s="456">
        <v>0</v>
      </c>
    </row>
    <row r="3319" spans="1:30" s="361" customFormat="1" x14ac:dyDescent="0.4">
      <c r="A3319" s="402">
        <v>46258</v>
      </c>
      <c r="B3319" s="392" t="s">
        <v>434</v>
      </c>
      <c r="C3319" s="364" t="str">
        <f>VLOOKUP(B3319,'112年全品項生產鍋數'!A:H,2,0)</f>
        <v>蜜桔皮</v>
      </c>
      <c r="D3319" s="404">
        <v>50</v>
      </c>
      <c r="E3319" s="48">
        <f>VLOOKUP(B3319,'112年全品項生產鍋數'!A:H,3,0)</f>
        <v>1</v>
      </c>
      <c r="F3319" s="142">
        <f>VLOOKUP(B3319,'112年全品項生產鍋數'!A:H,7,0)</f>
        <v>6</v>
      </c>
      <c r="G3319" s="143">
        <f>D3319*F3319</f>
        <v>300</v>
      </c>
      <c r="H3319" s="156">
        <v>301</v>
      </c>
      <c r="I3319" s="371">
        <f>H3319*E3319</f>
        <v>301</v>
      </c>
      <c r="J3319" s="100">
        <f>IF(G3319=0,"無法預估數據",H3319/G3319)</f>
        <v>1.0033333333333334</v>
      </c>
      <c r="K3319" s="51">
        <f>VLOOKUP(B:B,'生產達成率(目標)'!A:C,3,0)</f>
        <v>1</v>
      </c>
      <c r="L3319" s="20">
        <f>IF(G3319=0,"無法預估數據",ROUND(J3319-K3319,3))</f>
        <v>3.0000000000000001E-3</v>
      </c>
      <c r="M3319" s="137" t="str">
        <f>工時!R2506</f>
        <v>0</v>
      </c>
      <c r="N3319" s="374"/>
      <c r="O3319" s="374">
        <f>H3319-N3319-P3319</f>
        <v>0</v>
      </c>
      <c r="P3319" s="156">
        <v>301</v>
      </c>
      <c r="Q3319" s="98">
        <f>P3319/H3319</f>
        <v>1</v>
      </c>
      <c r="R3319" s="371"/>
      <c r="S3319" s="372"/>
      <c r="T3319" s="364"/>
      <c r="U3319" s="264"/>
      <c r="V3319" s="264" t="s">
        <v>1851</v>
      </c>
      <c r="W3319" s="424" t="s">
        <v>1844</v>
      </c>
      <c r="X3319" s="264" t="s">
        <v>1710</v>
      </c>
      <c r="Y3319" s="424" t="s">
        <v>1844</v>
      </c>
      <c r="Z3319" s="424"/>
      <c r="AA3319" s="424" t="s">
        <v>1844</v>
      </c>
      <c r="AB3319" s="424" t="s">
        <v>1844</v>
      </c>
      <c r="AC3319" s="425">
        <v>0</v>
      </c>
      <c r="AD3319" s="425">
        <v>0</v>
      </c>
    </row>
    <row r="3320" spans="1:30" s="361" customFormat="1" x14ac:dyDescent="0.4">
      <c r="A3320" s="402">
        <v>46259</v>
      </c>
      <c r="B3320" s="392" t="s">
        <v>61</v>
      </c>
      <c r="C3320" s="364" t="str">
        <f>VLOOKUP(B3320,'112年全品項生產鍋數'!A:H,2,0)</f>
        <v>大圓草莓-新</v>
      </c>
      <c r="D3320" s="404">
        <v>36</v>
      </c>
      <c r="E3320" s="48">
        <f>VLOOKUP(B3320,'112年全品項生產鍋數'!A:H,3,0)</f>
        <v>0.44</v>
      </c>
      <c r="F3320" s="142">
        <f>VLOOKUP(B3320,'112年全品項生產鍋數'!A:H,7,0)</f>
        <v>344</v>
      </c>
      <c r="G3320" s="143">
        <f t="shared" si="551"/>
        <v>12384</v>
      </c>
      <c r="H3320" s="156">
        <v>12406</v>
      </c>
      <c r="I3320" s="371">
        <f t="shared" si="552"/>
        <v>5458.64</v>
      </c>
      <c r="J3320" s="100">
        <f t="shared" si="553"/>
        <v>1.0017764857881137</v>
      </c>
      <c r="K3320" s="51">
        <f>VLOOKUP(B:B,'生產達成率(目標)'!A:C,3,0)</f>
        <v>1</v>
      </c>
      <c r="L3320" s="20">
        <f t="shared" si="554"/>
        <v>2E-3</v>
      </c>
      <c r="M3320" s="137" t="str">
        <f>工時!R2507</f>
        <v>540</v>
      </c>
      <c r="N3320" s="374"/>
      <c r="O3320" s="374">
        <f t="shared" si="555"/>
        <v>7</v>
      </c>
      <c r="P3320" s="156">
        <v>12399</v>
      </c>
      <c r="Q3320" s="98">
        <f t="shared" si="556"/>
        <v>0.99943575689182651</v>
      </c>
      <c r="R3320" s="371"/>
      <c r="S3320" s="372"/>
      <c r="T3320" s="364" t="s">
        <v>1153</v>
      </c>
      <c r="U3320" s="264"/>
      <c r="V3320" s="264" t="s">
        <v>1849</v>
      </c>
      <c r="W3320" s="424">
        <v>46260</v>
      </c>
      <c r="X3320" s="264" t="s">
        <v>1867</v>
      </c>
      <c r="Y3320" s="424">
        <v>46262</v>
      </c>
      <c r="Z3320" s="424"/>
      <c r="AA3320" s="424">
        <v>46258</v>
      </c>
      <c r="AB3320" s="424"/>
      <c r="AC3320" s="425">
        <f t="shared" si="559"/>
        <v>1</v>
      </c>
      <c r="AD3320" s="425">
        <f t="shared" si="560"/>
        <v>3</v>
      </c>
    </row>
    <row r="3321" spans="1:30" s="361" customFormat="1" x14ac:dyDescent="0.4">
      <c r="A3321" s="402">
        <v>46259</v>
      </c>
      <c r="B3321" s="392" t="s">
        <v>63</v>
      </c>
      <c r="C3321" s="364" t="str">
        <f>VLOOKUP(B3321,'112年全品項生產鍋數'!A:H,2,0)</f>
        <v>草莓蒟蒻餡(1*6kg)</v>
      </c>
      <c r="D3321" s="404">
        <v>24</v>
      </c>
      <c r="E3321" s="48">
        <f>VLOOKUP(B3321,'112年全品項生產鍋數'!A:H,3,0)</f>
        <v>6</v>
      </c>
      <c r="F3321" s="142">
        <f>VLOOKUP(B3321,'112年全品項生產鍋數'!A:H,7,0)</f>
        <v>25.7</v>
      </c>
      <c r="G3321" s="143">
        <f t="shared" si="551"/>
        <v>616.79999999999995</v>
      </c>
      <c r="H3321" s="156">
        <f>308+314</f>
        <v>622</v>
      </c>
      <c r="I3321" s="371">
        <f t="shared" si="552"/>
        <v>3732</v>
      </c>
      <c r="J3321" s="100">
        <f t="shared" si="553"/>
        <v>1.0084306095979247</v>
      </c>
      <c r="K3321" s="51">
        <f>VLOOKUP(B:B,'生產達成率(目標)'!A:C,3,0)</f>
        <v>1</v>
      </c>
      <c r="L3321" s="20">
        <f t="shared" si="554"/>
        <v>8.0000000000000002E-3</v>
      </c>
      <c r="M3321" s="137" t="str">
        <f>工時!R2508</f>
        <v>272</v>
      </c>
      <c r="N3321" s="374"/>
      <c r="O3321" s="374">
        <f t="shared" si="555"/>
        <v>2</v>
      </c>
      <c r="P3321" s="156">
        <f>307+313</f>
        <v>620</v>
      </c>
      <c r="Q3321" s="98">
        <f t="shared" si="556"/>
        <v>0.99678456591639875</v>
      </c>
      <c r="R3321" s="371"/>
      <c r="S3321" s="372"/>
      <c r="T3321" s="364"/>
      <c r="U3321" s="264"/>
      <c r="V3321" s="264" t="s">
        <v>1847</v>
      </c>
      <c r="W3321" s="424">
        <v>46260</v>
      </c>
      <c r="X3321" s="264" t="s">
        <v>1867</v>
      </c>
      <c r="Y3321" s="424">
        <v>46262</v>
      </c>
      <c r="Z3321" s="424"/>
      <c r="AA3321" s="424">
        <v>46258</v>
      </c>
      <c r="AB3321" s="424"/>
      <c r="AC3321" s="425">
        <f t="shared" si="559"/>
        <v>1</v>
      </c>
      <c r="AD3321" s="425">
        <f t="shared" si="560"/>
        <v>3</v>
      </c>
    </row>
    <row r="3322" spans="1:30" s="361" customFormat="1" x14ac:dyDescent="0.4">
      <c r="A3322" s="402">
        <v>46259</v>
      </c>
      <c r="B3322" s="392" t="s">
        <v>72</v>
      </c>
      <c r="C3322" s="364" t="str">
        <f>VLOOKUP(B3322,'112年全品項生產鍋數'!A:H,2,0)</f>
        <v>草莓餡45%(1*6Kg)</v>
      </c>
      <c r="D3322" s="404">
        <v>20</v>
      </c>
      <c r="E3322" s="48">
        <f>VLOOKUP(B3322,'112年全品項生產鍋數'!A:H,3,0)</f>
        <v>6</v>
      </c>
      <c r="F3322" s="142">
        <f>VLOOKUP(B3322,'112年全品項生產鍋數'!A:H,7,0)</f>
        <v>26.1</v>
      </c>
      <c r="G3322" s="143">
        <f t="shared" si="551"/>
        <v>522</v>
      </c>
      <c r="H3322" s="156">
        <v>508</v>
      </c>
      <c r="I3322" s="371">
        <f t="shared" si="552"/>
        <v>3048</v>
      </c>
      <c r="J3322" s="100">
        <f t="shared" si="553"/>
        <v>0.97318007662835249</v>
      </c>
      <c r="K3322" s="51">
        <f>VLOOKUP(B:B,'生產達成率(目標)'!A:C,3,0)</f>
        <v>1</v>
      </c>
      <c r="L3322" s="20">
        <f t="shared" si="554"/>
        <v>-2.7E-2</v>
      </c>
      <c r="M3322" s="137" t="str">
        <f>工時!R2509</f>
        <v>275</v>
      </c>
      <c r="N3322" s="374"/>
      <c r="O3322" s="374">
        <f t="shared" si="555"/>
        <v>1</v>
      </c>
      <c r="P3322" s="156">
        <v>507</v>
      </c>
      <c r="Q3322" s="98">
        <f t="shared" si="556"/>
        <v>0.99803149606299213</v>
      </c>
      <c r="R3322" s="371"/>
      <c r="S3322" s="372"/>
      <c r="T3322" s="364"/>
      <c r="U3322" s="264"/>
      <c r="V3322" s="264" t="s">
        <v>1847</v>
      </c>
      <c r="W3322" s="424">
        <v>46259</v>
      </c>
      <c r="X3322" s="264" t="s">
        <v>1867</v>
      </c>
      <c r="Y3322" s="424">
        <v>46262</v>
      </c>
      <c r="Z3322" s="424"/>
      <c r="AA3322" s="424">
        <v>46258</v>
      </c>
      <c r="AB3322" s="424"/>
      <c r="AC3322" s="425">
        <f t="shared" si="559"/>
        <v>0</v>
      </c>
      <c r="AD3322" s="425">
        <f t="shared" si="560"/>
        <v>3</v>
      </c>
    </row>
    <row r="3323" spans="1:30" s="361" customFormat="1" x14ac:dyDescent="0.4">
      <c r="A3323" s="402">
        <v>46259</v>
      </c>
      <c r="B3323" s="392" t="s">
        <v>131</v>
      </c>
      <c r="C3323" s="364" t="str">
        <f>VLOOKUP(B3323,'112年全品項生產鍋數'!A:H,2,0)</f>
        <v>花生醬(1*18KG)</v>
      </c>
      <c r="D3323" s="404">
        <v>24</v>
      </c>
      <c r="E3323" s="48">
        <f>VLOOKUP(B3323,'112年全品項生產鍋數'!A:H,3,0)</f>
        <v>18</v>
      </c>
      <c r="F3323" s="142">
        <f>VLOOKUP(B3323,'112年全品項生產鍋數'!A:H,7,0)</f>
        <v>6.9</v>
      </c>
      <c r="G3323" s="143">
        <f t="shared" si="551"/>
        <v>165.60000000000002</v>
      </c>
      <c r="H3323" s="156">
        <v>167</v>
      </c>
      <c r="I3323" s="371">
        <f t="shared" si="552"/>
        <v>3006</v>
      </c>
      <c r="J3323" s="100">
        <f t="shared" si="553"/>
        <v>1.0084541062801931</v>
      </c>
      <c r="K3323" s="51">
        <f>VLOOKUP(B:B,'生產達成率(目標)'!A:C,3,0)</f>
        <v>1</v>
      </c>
      <c r="L3323" s="20">
        <f t="shared" si="554"/>
        <v>8.0000000000000002E-3</v>
      </c>
      <c r="M3323" s="137" t="str">
        <f>工時!R2510</f>
        <v>205</v>
      </c>
      <c r="N3323" s="374"/>
      <c r="O3323" s="374">
        <f t="shared" si="555"/>
        <v>0</v>
      </c>
      <c r="P3323" s="156">
        <v>167</v>
      </c>
      <c r="Q3323" s="98">
        <f t="shared" si="556"/>
        <v>1</v>
      </c>
      <c r="R3323" s="371"/>
      <c r="S3323" s="372"/>
      <c r="T3323" s="364" t="s">
        <v>1153</v>
      </c>
      <c r="U3323" s="264"/>
      <c r="V3323" s="264" t="s">
        <v>1848</v>
      </c>
      <c r="W3323" s="424">
        <v>46259</v>
      </c>
      <c r="X3323" s="264" t="s">
        <v>1888</v>
      </c>
      <c r="Y3323" s="424" t="s">
        <v>1844</v>
      </c>
      <c r="Z3323" s="424"/>
      <c r="AA3323" s="424">
        <v>46258</v>
      </c>
      <c r="AB3323" s="424">
        <v>46259</v>
      </c>
      <c r="AC3323" s="425">
        <f t="shared" si="559"/>
        <v>0</v>
      </c>
      <c r="AD3323" s="425">
        <v>0</v>
      </c>
    </row>
    <row r="3324" spans="1:30" s="361" customFormat="1" x14ac:dyDescent="0.4">
      <c r="A3324" s="402">
        <v>46259</v>
      </c>
      <c r="B3324" s="392" t="s">
        <v>123</v>
      </c>
      <c r="C3324" s="364" t="str">
        <f>VLOOKUP(B3324,'112年全品項生產鍋數'!A:H,2,0)</f>
        <v>深烤焙花生醬(1*18KG)</v>
      </c>
      <c r="D3324" s="404">
        <v>36</v>
      </c>
      <c r="E3324" s="48">
        <f>VLOOKUP(B3324,'112年全品項生產鍋數'!A:H,3,0)</f>
        <v>18</v>
      </c>
      <c r="F3324" s="142">
        <f>VLOOKUP(B3324,'112年全品項生產鍋數'!A:H,7,0)</f>
        <v>6.9</v>
      </c>
      <c r="G3324" s="143">
        <f t="shared" si="551"/>
        <v>248.4</v>
      </c>
      <c r="H3324" s="156">
        <v>255</v>
      </c>
      <c r="I3324" s="371">
        <f t="shared" si="552"/>
        <v>4590</v>
      </c>
      <c r="J3324" s="100">
        <f t="shared" si="553"/>
        <v>1.0265700483091786</v>
      </c>
      <c r="K3324" s="51">
        <f>VLOOKUP(B:B,'生產達成率(目標)'!A:C,3,0)</f>
        <v>1</v>
      </c>
      <c r="L3324" s="20">
        <f t="shared" si="554"/>
        <v>2.7E-2</v>
      </c>
      <c r="M3324" s="137" t="str">
        <f>工時!R2511</f>
        <v>320</v>
      </c>
      <c r="N3324" s="374"/>
      <c r="O3324" s="374">
        <f t="shared" si="555"/>
        <v>0</v>
      </c>
      <c r="P3324" s="156">
        <v>255</v>
      </c>
      <c r="Q3324" s="98">
        <f t="shared" si="556"/>
        <v>1</v>
      </c>
      <c r="R3324" s="371"/>
      <c r="S3324" s="372"/>
      <c r="T3324" s="364" t="s">
        <v>1153</v>
      </c>
      <c r="U3324" s="264"/>
      <c r="V3324" s="264" t="s">
        <v>1848</v>
      </c>
      <c r="W3324" s="424">
        <v>46259</v>
      </c>
      <c r="X3324" s="264" t="s">
        <v>1889</v>
      </c>
      <c r="Y3324" s="424" t="s">
        <v>1845</v>
      </c>
      <c r="Z3324" s="424"/>
      <c r="AA3324" s="424">
        <v>46258</v>
      </c>
      <c r="AB3324" s="424">
        <v>46259</v>
      </c>
      <c r="AC3324" s="425">
        <f t="shared" si="559"/>
        <v>0</v>
      </c>
      <c r="AD3324" s="425">
        <v>0</v>
      </c>
    </row>
    <row r="3325" spans="1:30" s="361" customFormat="1" ht="15" customHeight="1" x14ac:dyDescent="0.4">
      <c r="A3325" s="402">
        <v>46260</v>
      </c>
      <c r="B3325" s="392" t="s">
        <v>1754</v>
      </c>
      <c r="C3325" s="364" t="str">
        <f>VLOOKUP(B3325,'112年全品項生產鍋數'!A:H,2,0)</f>
        <v>藍莓果醬</v>
      </c>
      <c r="D3325" s="404">
        <v>6</v>
      </c>
      <c r="E3325" s="48">
        <f>VLOOKUP(B3325,'112年全品項生產鍋數'!A:H,3,0)</f>
        <v>6</v>
      </c>
      <c r="F3325" s="142">
        <f>VLOOKUP(B3325,'112年全品項生產鍋數'!A:H,7,0)</f>
        <v>0</v>
      </c>
      <c r="G3325" s="143">
        <f t="shared" si="551"/>
        <v>0</v>
      </c>
      <c r="H3325" s="156">
        <v>155</v>
      </c>
      <c r="I3325" s="371">
        <f t="shared" si="552"/>
        <v>930</v>
      </c>
      <c r="J3325" s="100" t="str">
        <f t="shared" si="553"/>
        <v>無法預估數據</v>
      </c>
      <c r="K3325" s="51">
        <f>VLOOKUP(B:B,'生產達成率(目標)'!A:C,3,0)</f>
        <v>1</v>
      </c>
      <c r="L3325" s="20" t="str">
        <f t="shared" si="554"/>
        <v>無法預估數據</v>
      </c>
      <c r="M3325" s="137" t="str">
        <f>工時!R2512</f>
        <v>110</v>
      </c>
      <c r="N3325" s="374"/>
      <c r="O3325" s="374">
        <f t="shared" si="555"/>
        <v>1</v>
      </c>
      <c r="P3325" s="156">
        <v>154</v>
      </c>
      <c r="Q3325" s="98">
        <f t="shared" si="556"/>
        <v>0.99354838709677418</v>
      </c>
      <c r="R3325" s="371"/>
      <c r="S3325" s="372"/>
      <c r="T3325" s="364" t="s">
        <v>1153</v>
      </c>
      <c r="U3325" s="264"/>
      <c r="V3325" s="264" t="s">
        <v>1849</v>
      </c>
      <c r="W3325" s="424">
        <v>46261</v>
      </c>
      <c r="X3325" s="264" t="s">
        <v>1867</v>
      </c>
      <c r="Y3325" s="424">
        <v>46262</v>
      </c>
      <c r="Z3325" s="424"/>
      <c r="AA3325" s="424">
        <v>46259</v>
      </c>
      <c r="AB3325" s="424"/>
      <c r="AC3325" s="425">
        <f t="shared" si="559"/>
        <v>1</v>
      </c>
      <c r="AD3325" s="425">
        <f t="shared" si="560"/>
        <v>2</v>
      </c>
    </row>
    <row r="3326" spans="1:30" s="381" customFormat="1" x14ac:dyDescent="0.4">
      <c r="A3326" s="402">
        <v>46260</v>
      </c>
      <c r="B3326" s="392" t="s">
        <v>109</v>
      </c>
      <c r="C3326" s="375" t="str">
        <f>VLOOKUP(B3326,'112年全品項生產鍋數'!A:H,2,0)</f>
        <v>蔓越莓醬(1*6KG)</v>
      </c>
      <c r="D3326" s="406">
        <v>20</v>
      </c>
      <c r="E3326" s="141">
        <f>VLOOKUP(B3326,'112年全品項生產鍋數'!A:H,3,0)</f>
        <v>6</v>
      </c>
      <c r="F3326" s="142">
        <f>VLOOKUP(B3326,'112年全品項生產鍋數'!A:H,7,0)</f>
        <v>25.6</v>
      </c>
      <c r="G3326" s="143">
        <f t="shared" si="551"/>
        <v>512</v>
      </c>
      <c r="H3326" s="156">
        <v>517</v>
      </c>
      <c r="I3326" s="374">
        <f t="shared" si="552"/>
        <v>3102</v>
      </c>
      <c r="J3326" s="100">
        <f t="shared" si="553"/>
        <v>1.009765625</v>
      </c>
      <c r="K3326" s="51">
        <f>VLOOKUP(B:B,'生產達成率(目標)'!A:C,3,0)</f>
        <v>1</v>
      </c>
      <c r="L3326" s="20">
        <f t="shared" si="554"/>
        <v>0.01</v>
      </c>
      <c r="M3326" s="137" t="str">
        <f>工時!R2513</f>
        <v>240</v>
      </c>
      <c r="N3326" s="374"/>
      <c r="O3326" s="374">
        <f t="shared" si="555"/>
        <v>1</v>
      </c>
      <c r="P3326" s="156">
        <v>516</v>
      </c>
      <c r="Q3326" s="145">
        <f t="shared" si="556"/>
        <v>0.99806576402321079</v>
      </c>
      <c r="R3326" s="374"/>
      <c r="S3326" s="378"/>
      <c r="T3326" s="375" t="s">
        <v>1153</v>
      </c>
      <c r="U3326" s="398"/>
      <c r="V3326" s="398" t="s">
        <v>1849</v>
      </c>
      <c r="W3326" s="427">
        <v>46261</v>
      </c>
      <c r="X3326" s="398" t="s">
        <v>1867</v>
      </c>
      <c r="Y3326" s="427">
        <v>46262</v>
      </c>
      <c r="Z3326" s="427"/>
      <c r="AA3326" s="427">
        <v>46259</v>
      </c>
      <c r="AB3326" s="427"/>
      <c r="AC3326" s="429">
        <f t="shared" si="559"/>
        <v>1</v>
      </c>
      <c r="AD3326" s="429">
        <f t="shared" si="560"/>
        <v>2</v>
      </c>
    </row>
    <row r="3327" spans="1:30" s="361" customFormat="1" x14ac:dyDescent="0.4">
      <c r="A3327" s="402">
        <v>46260</v>
      </c>
      <c r="B3327" s="392" t="s">
        <v>51</v>
      </c>
      <c r="C3327" s="364" t="str">
        <f>VLOOKUP(B3327,'112年全品項生產鍋數'!A:H,2,0)</f>
        <v>藍莓醬(1*6kg)</v>
      </c>
      <c r="D3327" s="404">
        <v>20</v>
      </c>
      <c r="E3327" s="48">
        <f>VLOOKUP(B3327,'112年全品項生產鍋數'!A:H,3,0)</f>
        <v>6</v>
      </c>
      <c r="F3327" s="142">
        <f>VLOOKUP(B3327,'112年全品項生產鍋數'!A:H,7,0)</f>
        <v>25.5</v>
      </c>
      <c r="G3327" s="143">
        <f t="shared" si="551"/>
        <v>510</v>
      </c>
      <c r="H3327" s="156">
        <v>510</v>
      </c>
      <c r="I3327" s="371">
        <f t="shared" si="552"/>
        <v>3060</v>
      </c>
      <c r="J3327" s="100">
        <f t="shared" si="553"/>
        <v>1</v>
      </c>
      <c r="K3327" s="51">
        <f>VLOOKUP(B:B,'生產達成率(目標)'!A:C,3,0)</f>
        <v>1</v>
      </c>
      <c r="L3327" s="20">
        <f t="shared" si="554"/>
        <v>0</v>
      </c>
      <c r="M3327" s="137" t="str">
        <f>工時!R2514</f>
        <v>300</v>
      </c>
      <c r="N3327" s="374"/>
      <c r="O3327" s="374">
        <f t="shared" si="555"/>
        <v>2</v>
      </c>
      <c r="P3327" s="156">
        <v>508</v>
      </c>
      <c r="Q3327" s="98">
        <f t="shared" si="556"/>
        <v>0.99607843137254903</v>
      </c>
      <c r="R3327" s="371"/>
      <c r="S3327" s="372"/>
      <c r="T3327" s="364" t="s">
        <v>1153</v>
      </c>
      <c r="U3327" s="264"/>
      <c r="V3327" s="264" t="s">
        <v>1849</v>
      </c>
      <c r="W3327" s="424">
        <v>46261</v>
      </c>
      <c r="X3327" s="264" t="s">
        <v>1867</v>
      </c>
      <c r="Y3327" s="424">
        <v>46262</v>
      </c>
      <c r="Z3327" s="424"/>
      <c r="AA3327" s="424">
        <v>46259</v>
      </c>
      <c r="AB3327" s="424"/>
      <c r="AC3327" s="425">
        <f t="shared" si="559"/>
        <v>1</v>
      </c>
      <c r="AD3327" s="425">
        <f t="shared" si="560"/>
        <v>2</v>
      </c>
    </row>
    <row r="3328" spans="1:30" s="361" customFormat="1" x14ac:dyDescent="0.4">
      <c r="A3328" s="402">
        <v>46260</v>
      </c>
      <c r="B3328" s="392" t="s">
        <v>547</v>
      </c>
      <c r="C3328" s="364" t="str">
        <f>VLOOKUP(B3328,'112年全品項生產鍋數'!A:H,2,0)</f>
        <v>草莓果醬(桶)(1*9.5KG)</v>
      </c>
      <c r="D3328" s="404">
        <v>12</v>
      </c>
      <c r="E3328" s="48">
        <f>VLOOKUP(B3328,'112年全品項生產鍋數'!A:H,3,0)</f>
        <v>9.5</v>
      </c>
      <c r="F3328" s="142">
        <f>VLOOKUP(B3328,'112年全品項生產鍋數'!A:H,7,0)</f>
        <v>16.600000000000001</v>
      </c>
      <c r="G3328" s="143">
        <f t="shared" si="551"/>
        <v>199.20000000000002</v>
      </c>
      <c r="H3328" s="156">
        <v>200</v>
      </c>
      <c r="I3328" s="371">
        <f t="shared" si="552"/>
        <v>1900</v>
      </c>
      <c r="J3328" s="100">
        <f t="shared" si="553"/>
        <v>1.0040160642570279</v>
      </c>
      <c r="K3328" s="51">
        <f>VLOOKUP(B:B,'生產達成率(目標)'!A:C,3,0)</f>
        <v>1</v>
      </c>
      <c r="L3328" s="20">
        <f t="shared" si="554"/>
        <v>4.0000000000000001E-3</v>
      </c>
      <c r="M3328" s="137" t="str">
        <f>工時!R2515</f>
        <v>218</v>
      </c>
      <c r="N3328" s="374"/>
      <c r="O3328" s="374">
        <f t="shared" si="555"/>
        <v>0</v>
      </c>
      <c r="P3328" s="156">
        <v>200</v>
      </c>
      <c r="Q3328" s="98">
        <f t="shared" si="556"/>
        <v>1</v>
      </c>
      <c r="R3328" s="371"/>
      <c r="S3328" s="372"/>
      <c r="T3328" s="364" t="s">
        <v>1153</v>
      </c>
      <c r="U3328" s="264"/>
      <c r="V3328" s="264" t="s">
        <v>1847</v>
      </c>
      <c r="W3328" s="424">
        <v>46261</v>
      </c>
      <c r="X3328" s="264" t="s">
        <v>1867</v>
      </c>
      <c r="Y3328" s="424">
        <v>46262</v>
      </c>
      <c r="Z3328" s="424"/>
      <c r="AA3328" s="424">
        <v>46259</v>
      </c>
      <c r="AB3328" s="424"/>
      <c r="AC3328" s="425">
        <f t="shared" si="559"/>
        <v>1</v>
      </c>
      <c r="AD3328" s="425">
        <f t="shared" si="560"/>
        <v>2</v>
      </c>
    </row>
    <row r="3329" spans="1:30" s="361" customFormat="1" x14ac:dyDescent="0.4">
      <c r="A3329" s="402">
        <v>46260</v>
      </c>
      <c r="B3329" s="392" t="s">
        <v>1698</v>
      </c>
      <c r="C3329" s="364" t="str">
        <f>VLOOKUP(B3329,'112年全品項生產鍋數'!A:H,2,0)</f>
        <v>上好佳草莓餡4.5KG</v>
      </c>
      <c r="D3329" s="404">
        <v>12</v>
      </c>
      <c r="E3329" s="48">
        <f>VLOOKUP(B3329,'112年全品項生產鍋數'!A:H,3,0)</f>
        <v>4.5</v>
      </c>
      <c r="F3329" s="142">
        <f>VLOOKUP(B3329,'112年全品項生產鍋數'!A:H,7,0)</f>
        <v>36.299999999999997</v>
      </c>
      <c r="G3329" s="143">
        <f t="shared" si="551"/>
        <v>435.59999999999997</v>
      </c>
      <c r="H3329" s="156">
        <v>429</v>
      </c>
      <c r="I3329" s="371">
        <f t="shared" si="552"/>
        <v>1930.5</v>
      </c>
      <c r="J3329" s="100">
        <f t="shared" si="553"/>
        <v>0.98484848484848497</v>
      </c>
      <c r="K3329" s="51">
        <f>VLOOKUP(B:B,'生產達成率(目標)'!A:C,3,0)</f>
        <v>1</v>
      </c>
      <c r="L3329" s="20">
        <f t="shared" si="554"/>
        <v>-1.4999999999999999E-2</v>
      </c>
      <c r="M3329" s="137" t="str">
        <f>工時!R2516</f>
        <v>228</v>
      </c>
      <c r="N3329" s="374"/>
      <c r="O3329" s="374">
        <f t="shared" si="555"/>
        <v>0</v>
      </c>
      <c r="P3329" s="156">
        <v>429</v>
      </c>
      <c r="Q3329" s="98">
        <f t="shared" si="556"/>
        <v>1</v>
      </c>
      <c r="R3329" s="371"/>
      <c r="S3329" s="372"/>
      <c r="T3329" s="364" t="s">
        <v>1153</v>
      </c>
      <c r="U3329" s="264"/>
      <c r="V3329" s="264" t="s">
        <v>1847</v>
      </c>
      <c r="W3329" s="424">
        <v>46261</v>
      </c>
      <c r="X3329" s="264" t="s">
        <v>1867</v>
      </c>
      <c r="Y3329" s="424">
        <v>46262</v>
      </c>
      <c r="Z3329" s="424"/>
      <c r="AA3329" s="424">
        <v>46259</v>
      </c>
      <c r="AB3329" s="424"/>
      <c r="AC3329" s="425">
        <f t="shared" si="559"/>
        <v>1</v>
      </c>
      <c r="AD3329" s="425">
        <f t="shared" si="560"/>
        <v>2</v>
      </c>
    </row>
    <row r="3330" spans="1:30" s="361" customFormat="1" x14ac:dyDescent="0.4">
      <c r="A3330" s="402">
        <v>46260</v>
      </c>
      <c r="B3330" s="392" t="s">
        <v>1699</v>
      </c>
      <c r="C3330" s="364" t="str">
        <f>VLOOKUP(B3330,'112年全品項生產鍋數'!A:H,2,0)</f>
        <v>上好佳芒果餡(大)4.5KG</v>
      </c>
      <c r="D3330" s="404">
        <v>12</v>
      </c>
      <c r="E3330" s="48">
        <f>VLOOKUP(B3330,'112年全品項生產鍋數'!A:H,3,0)</f>
        <v>4.5</v>
      </c>
      <c r="F3330" s="142">
        <f>VLOOKUP(B3330,'112年全品項生產鍋數'!A:H,7,0)</f>
        <v>33.200000000000003</v>
      </c>
      <c r="G3330" s="143">
        <f t="shared" si="551"/>
        <v>398.40000000000003</v>
      </c>
      <c r="H3330" s="156">
        <v>401</v>
      </c>
      <c r="I3330" s="371">
        <f t="shared" si="552"/>
        <v>1804.5</v>
      </c>
      <c r="J3330" s="100">
        <f t="shared" si="553"/>
        <v>1.0065261044176705</v>
      </c>
      <c r="K3330" s="51" t="e">
        <f>VLOOKUP(B:B,'生產達成率(目標)'!A:C,3,0)</f>
        <v>#N/A</v>
      </c>
      <c r="L3330" s="20" t="e">
        <f t="shared" si="554"/>
        <v>#N/A</v>
      </c>
      <c r="M3330" s="137" t="str">
        <f>工時!R2517</f>
        <v>220</v>
      </c>
      <c r="N3330" s="374"/>
      <c r="O3330" s="374">
        <f t="shared" si="555"/>
        <v>0</v>
      </c>
      <c r="P3330" s="156">
        <v>401</v>
      </c>
      <c r="Q3330" s="98">
        <f t="shared" si="556"/>
        <v>1</v>
      </c>
      <c r="R3330" s="371"/>
      <c r="S3330" s="372"/>
      <c r="T3330" s="364" t="s">
        <v>1153</v>
      </c>
      <c r="U3330" s="264"/>
      <c r="V3330" s="264" t="s">
        <v>1847</v>
      </c>
      <c r="W3330" s="424">
        <v>46261</v>
      </c>
      <c r="X3330" s="264" t="s">
        <v>1867</v>
      </c>
      <c r="Y3330" s="424">
        <v>46262</v>
      </c>
      <c r="Z3330" s="424"/>
      <c r="AA3330" s="424">
        <v>46259</v>
      </c>
      <c r="AB3330" s="424"/>
      <c r="AC3330" s="425">
        <f t="shared" si="559"/>
        <v>1</v>
      </c>
      <c r="AD3330" s="425">
        <f t="shared" si="560"/>
        <v>2</v>
      </c>
    </row>
    <row r="3331" spans="1:30" s="361" customFormat="1" x14ac:dyDescent="0.4">
      <c r="A3331" s="402">
        <v>46260</v>
      </c>
      <c r="B3331" s="392" t="s">
        <v>104</v>
      </c>
      <c r="C3331" s="364" t="str">
        <f>VLOOKUP(B3331,'112年全品項生產鍋數'!A:H,2,0)</f>
        <v>＃1花生(粒)(1*2.8kg)</v>
      </c>
      <c r="D3331" s="404">
        <v>68</v>
      </c>
      <c r="E3331" s="48">
        <f>VLOOKUP(B3331,'112年全品項生產鍋數'!A:H,3,0)</f>
        <v>2.8</v>
      </c>
      <c r="F3331" s="142">
        <f>VLOOKUP(B3331,'112年全品項生產鍋數'!A:H,7,0)</f>
        <v>44.2</v>
      </c>
      <c r="G3331" s="143">
        <f>D3331*F3331-100*18/2.8</f>
        <v>2362.7428571428572</v>
      </c>
      <c r="H3331" s="156">
        <v>2333</v>
      </c>
      <c r="I3331" s="371">
        <f t="shared" si="552"/>
        <v>6532.4</v>
      </c>
      <c r="J3331" s="100">
        <f t="shared" si="553"/>
        <v>0.98741172487181961</v>
      </c>
      <c r="K3331" s="51">
        <f>VLOOKUP(B:B,'生產達成率(目標)'!A:C,3,0)</f>
        <v>1</v>
      </c>
      <c r="L3331" s="20">
        <f t="shared" si="554"/>
        <v>-1.2999999999999999E-2</v>
      </c>
      <c r="M3331" s="137" t="str">
        <f>工時!R2518</f>
        <v>585</v>
      </c>
      <c r="N3331" s="374"/>
      <c r="O3331" s="374">
        <f t="shared" si="555"/>
        <v>1</v>
      </c>
      <c r="P3331" s="156">
        <v>2332</v>
      </c>
      <c r="Q3331" s="98">
        <f t="shared" si="556"/>
        <v>0.99957136733819119</v>
      </c>
      <c r="R3331" s="371"/>
      <c r="S3331" s="372"/>
      <c r="T3331" s="364" t="s">
        <v>1832</v>
      </c>
      <c r="U3331" s="264"/>
      <c r="V3331" s="264" t="s">
        <v>1848</v>
      </c>
      <c r="W3331" s="424">
        <v>46260</v>
      </c>
      <c r="X3331" s="264" t="s">
        <v>1848</v>
      </c>
      <c r="Y3331" s="424">
        <v>46260</v>
      </c>
      <c r="Z3331" s="424"/>
      <c r="AA3331" s="424">
        <v>46259</v>
      </c>
      <c r="AB3331" s="424">
        <v>46260</v>
      </c>
      <c r="AC3331" s="425">
        <f t="shared" si="559"/>
        <v>0</v>
      </c>
      <c r="AD3331" s="425">
        <f t="shared" si="560"/>
        <v>0</v>
      </c>
    </row>
    <row r="3332" spans="1:30" s="381" customFormat="1" x14ac:dyDescent="0.4">
      <c r="A3332" s="402">
        <v>46261</v>
      </c>
      <c r="B3332" s="392" t="s">
        <v>456</v>
      </c>
      <c r="C3332" s="375" t="str">
        <f>VLOOKUP(B3332,'112年全品項生產鍋數'!A:H,2,0)</f>
        <v>桑椹果醬(1*190g)</v>
      </c>
      <c r="D3332" s="406">
        <v>3</v>
      </c>
      <c r="E3332" s="141">
        <f>VLOOKUP(B3332,'112年全品項生產鍋數'!A:H,3,0)</f>
        <v>0.19</v>
      </c>
      <c r="F3332" s="142">
        <f>VLOOKUP(B3332,'112年全品項生產鍋數'!A:H,7,0)</f>
        <v>759.3</v>
      </c>
      <c r="G3332" s="143">
        <f t="shared" si="551"/>
        <v>2277.8999999999996</v>
      </c>
      <c r="H3332" s="156">
        <v>2153</v>
      </c>
      <c r="I3332" s="374">
        <f t="shared" si="552"/>
        <v>409.07</v>
      </c>
      <c r="J3332" s="100">
        <f t="shared" si="553"/>
        <v>0.94516879582071223</v>
      </c>
      <c r="K3332" s="51">
        <f>VLOOKUP(B:B,'生產達成率(目標)'!A:C,3,0)</f>
        <v>1</v>
      </c>
      <c r="L3332" s="20">
        <f t="shared" si="554"/>
        <v>-5.5E-2</v>
      </c>
      <c r="M3332" s="137" t="str">
        <f>工時!R2519</f>
        <v>240</v>
      </c>
      <c r="N3332" s="374"/>
      <c r="O3332" s="374">
        <f t="shared" si="555"/>
        <v>7</v>
      </c>
      <c r="P3332" s="156">
        <v>2146</v>
      </c>
      <c r="Q3332" s="145">
        <f t="shared" si="556"/>
        <v>0.99674872271249415</v>
      </c>
      <c r="R3332" s="374"/>
      <c r="S3332" s="378"/>
      <c r="T3332" s="375" t="s">
        <v>1153</v>
      </c>
      <c r="U3332" s="398"/>
      <c r="V3332" s="398" t="s">
        <v>1849</v>
      </c>
      <c r="W3332" s="427">
        <v>46261</v>
      </c>
      <c r="X3332" s="398" t="s">
        <v>1867</v>
      </c>
      <c r="Y3332" s="427">
        <v>46267</v>
      </c>
      <c r="Z3332" s="427"/>
      <c r="AA3332" s="427">
        <v>46260</v>
      </c>
      <c r="AB3332" s="427"/>
      <c r="AC3332" s="429">
        <f t="shared" si="559"/>
        <v>0</v>
      </c>
      <c r="AD3332" s="429">
        <f t="shared" si="560"/>
        <v>6</v>
      </c>
    </row>
    <row r="3333" spans="1:30" s="381" customFormat="1" x14ac:dyDescent="0.4">
      <c r="A3333" s="402">
        <v>46261</v>
      </c>
      <c r="B3333" s="392" t="s">
        <v>106</v>
      </c>
      <c r="C3333" s="375" t="str">
        <f>VLOOKUP(B3333,'112年全品項生產鍋數'!A:H,2,0)</f>
        <v>小藍莓1*260G</v>
      </c>
      <c r="D3333" s="406">
        <v>16</v>
      </c>
      <c r="E3333" s="141">
        <f>VLOOKUP(B3333,'112年全品項生產鍋數'!A:H,3,0)</f>
        <v>0.26</v>
      </c>
      <c r="F3333" s="142">
        <f>VLOOKUP(B3333,'112年全品項生產鍋數'!A:H,7,0)</f>
        <v>584.29999999999995</v>
      </c>
      <c r="G3333" s="143">
        <f t="shared" si="551"/>
        <v>9348.7999999999993</v>
      </c>
      <c r="H3333" s="156">
        <v>9630</v>
      </c>
      <c r="I3333" s="374">
        <f t="shared" si="552"/>
        <v>2503.8000000000002</v>
      </c>
      <c r="J3333" s="100">
        <f t="shared" si="553"/>
        <v>1.0300787266814992</v>
      </c>
      <c r="K3333" s="51">
        <f>VLOOKUP(B:B,'生產達成率(目標)'!A:C,3,0)</f>
        <v>1</v>
      </c>
      <c r="L3333" s="20">
        <f t="shared" si="554"/>
        <v>0.03</v>
      </c>
      <c r="M3333" s="137" t="str">
        <f>工時!R2520</f>
        <v>340</v>
      </c>
      <c r="N3333" s="374"/>
      <c r="O3333" s="374">
        <f t="shared" si="555"/>
        <v>7</v>
      </c>
      <c r="P3333" s="156">
        <v>9623</v>
      </c>
      <c r="Q3333" s="145">
        <f t="shared" si="556"/>
        <v>0.99927310488058152</v>
      </c>
      <c r="R3333" s="374"/>
      <c r="S3333" s="378"/>
      <c r="T3333" s="375"/>
      <c r="U3333" s="398"/>
      <c r="V3333" s="398" t="s">
        <v>1849</v>
      </c>
      <c r="W3333" s="427">
        <v>46261</v>
      </c>
      <c r="X3333" s="264" t="s">
        <v>1867</v>
      </c>
      <c r="Y3333" s="427">
        <v>46267</v>
      </c>
      <c r="Z3333" s="427"/>
      <c r="AA3333" s="427">
        <v>46260</v>
      </c>
      <c r="AB3333" s="427"/>
      <c r="AC3333" s="429">
        <f t="shared" si="559"/>
        <v>0</v>
      </c>
      <c r="AD3333" s="429">
        <f t="shared" si="560"/>
        <v>6</v>
      </c>
    </row>
    <row r="3334" spans="1:30" s="381" customFormat="1" x14ac:dyDescent="0.4">
      <c r="A3334" s="402">
        <v>46261</v>
      </c>
      <c r="B3334" s="392" t="s">
        <v>887</v>
      </c>
      <c r="C3334" s="375" t="str">
        <f>VLOOKUP(B3334,'112年全品項生產鍋數'!A:H,2,0)</f>
        <v>檸檬藍莓醬1*260G</v>
      </c>
      <c r="D3334" s="406">
        <v>3</v>
      </c>
      <c r="E3334" s="141">
        <f>VLOOKUP(B3334,'112年全品項生產鍋數'!A:H,3,0)</f>
        <v>0.26</v>
      </c>
      <c r="F3334" s="142">
        <f>VLOOKUP(B3334,'112年全品項生產鍋數'!A:H,7,0)</f>
        <v>612</v>
      </c>
      <c r="G3334" s="143">
        <f t="shared" si="551"/>
        <v>1836</v>
      </c>
      <c r="H3334" s="156">
        <v>1653</v>
      </c>
      <c r="I3334" s="374">
        <f t="shared" si="552"/>
        <v>429.78000000000003</v>
      </c>
      <c r="J3334" s="100">
        <f t="shared" si="553"/>
        <v>0.90032679738562094</v>
      </c>
      <c r="K3334" s="51">
        <f>VLOOKUP(B:B,'生產達成率(目標)'!A:C,3,0)</f>
        <v>1</v>
      </c>
      <c r="L3334" s="20">
        <f t="shared" si="554"/>
        <v>-0.1</v>
      </c>
      <c r="M3334" s="137" t="str">
        <f>工時!R2521</f>
        <v>130</v>
      </c>
      <c r="N3334" s="374"/>
      <c r="O3334" s="374">
        <f t="shared" si="555"/>
        <v>5</v>
      </c>
      <c r="P3334" s="156">
        <v>1648</v>
      </c>
      <c r="Q3334" s="145">
        <f t="shared" si="556"/>
        <v>0.99697519661222023</v>
      </c>
      <c r="R3334" s="374"/>
      <c r="S3334" s="378"/>
      <c r="T3334" s="375"/>
      <c r="U3334" s="398"/>
      <c r="V3334" s="398" t="s">
        <v>1849</v>
      </c>
      <c r="W3334" s="427">
        <v>46261</v>
      </c>
      <c r="X3334" s="398" t="s">
        <v>1867</v>
      </c>
      <c r="Y3334" s="427">
        <v>46267</v>
      </c>
      <c r="Z3334" s="427"/>
      <c r="AA3334" s="427">
        <v>46260</v>
      </c>
      <c r="AB3334" s="427"/>
      <c r="AC3334" s="429">
        <f t="shared" si="559"/>
        <v>0</v>
      </c>
      <c r="AD3334" s="429">
        <f t="shared" si="560"/>
        <v>6</v>
      </c>
    </row>
    <row r="3335" spans="1:30" s="361" customFormat="1" x14ac:dyDescent="0.4">
      <c r="A3335" s="402">
        <v>46261</v>
      </c>
      <c r="B3335" s="392" t="s">
        <v>54</v>
      </c>
      <c r="C3335" s="364" t="str">
        <f>VLOOKUP(B3335,'112年全品項生產鍋數'!A:H,2,0)</f>
        <v>草莓醬(1*6kg)</v>
      </c>
      <c r="D3335" s="404">
        <v>24</v>
      </c>
      <c r="E3335" s="48">
        <f>VLOOKUP(B3335,'112年全品項生產鍋數'!A:H,3,0)</f>
        <v>6</v>
      </c>
      <c r="F3335" s="142">
        <f>VLOOKUP(B3335,'112年全品項生產鍋數'!A:H,7,0)</f>
        <v>26.6</v>
      </c>
      <c r="G3335" s="143">
        <f t="shared" si="551"/>
        <v>638.40000000000009</v>
      </c>
      <c r="H3335" s="156">
        <v>630</v>
      </c>
      <c r="I3335" s="371">
        <f t="shared" si="552"/>
        <v>3780</v>
      </c>
      <c r="J3335" s="100">
        <f t="shared" si="553"/>
        <v>0.98684210526315774</v>
      </c>
      <c r="K3335" s="51">
        <f>VLOOKUP(B:B,'生產達成率(目標)'!A:C,3,0)</f>
        <v>1</v>
      </c>
      <c r="L3335" s="20">
        <f t="shared" si="554"/>
        <v>-1.2999999999999999E-2</v>
      </c>
      <c r="M3335" s="137" t="str">
        <f>工時!R2522</f>
        <v>305</v>
      </c>
      <c r="N3335" s="374"/>
      <c r="O3335" s="374">
        <f t="shared" si="555"/>
        <v>3</v>
      </c>
      <c r="P3335" s="156">
        <v>627</v>
      </c>
      <c r="Q3335" s="98">
        <f t="shared" si="556"/>
        <v>0.99523809523809526</v>
      </c>
      <c r="R3335" s="371"/>
      <c r="S3335" s="372"/>
      <c r="T3335" s="364" t="s">
        <v>1153</v>
      </c>
      <c r="U3335" s="264"/>
      <c r="V3335" s="264" t="s">
        <v>1847</v>
      </c>
      <c r="W3335" s="424">
        <v>46261</v>
      </c>
      <c r="X3335" s="264" t="s">
        <v>1867</v>
      </c>
      <c r="Y3335" s="424">
        <v>46265</v>
      </c>
      <c r="Z3335" s="424"/>
      <c r="AA3335" s="424">
        <v>46260</v>
      </c>
      <c r="AB3335" s="424"/>
      <c r="AC3335" s="425">
        <f t="shared" si="559"/>
        <v>0</v>
      </c>
      <c r="AD3335" s="425">
        <f t="shared" si="560"/>
        <v>4</v>
      </c>
    </row>
    <row r="3336" spans="1:30" s="361" customFormat="1" x14ac:dyDescent="0.4">
      <c r="A3336" s="402">
        <v>46261</v>
      </c>
      <c r="B3336" s="392" t="s">
        <v>75</v>
      </c>
      <c r="C3336" s="364" t="str">
        <f>VLOOKUP(B3336,'112年全品項生產鍋數'!A:H,2,0)</f>
        <v>草莓椰果餡(1*6Kg)</v>
      </c>
      <c r="D3336" s="404">
        <v>12</v>
      </c>
      <c r="E3336" s="48">
        <f>VLOOKUP(B3336,'112年全品項生產鍋數'!A:H,3,0)</f>
        <v>6</v>
      </c>
      <c r="F3336" s="142">
        <f>VLOOKUP(B3336,'112年全品項生產鍋數'!A:H,7,0)</f>
        <v>26.4</v>
      </c>
      <c r="G3336" s="143">
        <f t="shared" ref="G3336:G3387" si="561">D3336*F3336</f>
        <v>316.79999999999995</v>
      </c>
      <c r="H3336" s="156">
        <v>312</v>
      </c>
      <c r="I3336" s="371">
        <f t="shared" ref="I3336:I3387" si="562">H3336*E3336</f>
        <v>1872</v>
      </c>
      <c r="J3336" s="100">
        <f t="shared" ref="J3336:J3387" si="563">IF(G3336=0,"無法預估數據",H3336/G3336)</f>
        <v>0.98484848484848497</v>
      </c>
      <c r="K3336" s="51">
        <f>VLOOKUP(B:B,'生產達成率(目標)'!A:C,3,0)</f>
        <v>1</v>
      </c>
      <c r="L3336" s="20">
        <f t="shared" ref="L3336:L3387" si="564">IF(G3336=0,"無法預估數據",ROUND(J3336-K3336,3))</f>
        <v>-1.4999999999999999E-2</v>
      </c>
      <c r="M3336" s="137" t="str">
        <f>工時!R2523</f>
        <v>180</v>
      </c>
      <c r="N3336" s="374"/>
      <c r="O3336" s="374">
        <f t="shared" ref="O3336:O3387" si="565">H3336-N3336-P3336</f>
        <v>1</v>
      </c>
      <c r="P3336" s="156">
        <v>311</v>
      </c>
      <c r="Q3336" s="98">
        <f t="shared" ref="Q3336:Q3387" si="566">P3336/H3336</f>
        <v>0.99679487179487181</v>
      </c>
      <c r="R3336" s="371"/>
      <c r="S3336" s="372"/>
      <c r="T3336" s="364" t="s">
        <v>1153</v>
      </c>
      <c r="U3336" s="264"/>
      <c r="V3336" s="264" t="s">
        <v>1847</v>
      </c>
      <c r="W3336" s="424">
        <v>46261</v>
      </c>
      <c r="X3336" s="264" t="s">
        <v>1867</v>
      </c>
      <c r="Y3336" s="424">
        <v>46265</v>
      </c>
      <c r="Z3336" s="424"/>
      <c r="AA3336" s="424">
        <v>46260</v>
      </c>
      <c r="AB3336" s="424"/>
      <c r="AC3336" s="425">
        <f t="shared" si="559"/>
        <v>0</v>
      </c>
      <c r="AD3336" s="425">
        <f t="shared" si="560"/>
        <v>4</v>
      </c>
    </row>
    <row r="3337" spans="1:30" s="361" customFormat="1" x14ac:dyDescent="0.4">
      <c r="A3337" s="402">
        <v>46261</v>
      </c>
      <c r="B3337" s="392" t="s">
        <v>53</v>
      </c>
      <c r="C3337" s="364" t="str">
        <f>VLOOKUP(B3337,'112年全品項生產鍋數'!A:H,2,0)</f>
        <v>鳳梨芒果百香果醬(1*6KG)</v>
      </c>
      <c r="D3337" s="404">
        <v>6</v>
      </c>
      <c r="E3337" s="48">
        <f>VLOOKUP(B3337,'112年全品項生產鍋數'!A:H,3,0)</f>
        <v>6</v>
      </c>
      <c r="F3337" s="142">
        <f>VLOOKUP(B3337,'112年全品項生產鍋數'!A:H,7,0)</f>
        <v>25.7</v>
      </c>
      <c r="G3337" s="143">
        <f t="shared" si="561"/>
        <v>154.19999999999999</v>
      </c>
      <c r="H3337" s="156">
        <v>155</v>
      </c>
      <c r="I3337" s="371">
        <f t="shared" si="562"/>
        <v>930</v>
      </c>
      <c r="J3337" s="100">
        <f t="shared" si="563"/>
        <v>1.0051880674448768</v>
      </c>
      <c r="K3337" s="51">
        <f>VLOOKUP(B:B,'生產達成率(目標)'!A:C,3,0)</f>
        <v>1</v>
      </c>
      <c r="L3337" s="20">
        <f t="shared" si="564"/>
        <v>5.0000000000000001E-3</v>
      </c>
      <c r="M3337" s="137" t="str">
        <f>工時!R2524</f>
        <v>150</v>
      </c>
      <c r="N3337" s="374"/>
      <c r="O3337" s="374">
        <f t="shared" si="565"/>
        <v>1</v>
      </c>
      <c r="P3337" s="156">
        <v>154</v>
      </c>
      <c r="Q3337" s="98">
        <f t="shared" si="566"/>
        <v>0.99354838709677418</v>
      </c>
      <c r="R3337" s="371"/>
      <c r="S3337" s="372"/>
      <c r="T3337" s="364" t="s">
        <v>1153</v>
      </c>
      <c r="U3337" s="264"/>
      <c r="V3337" s="264" t="s">
        <v>1847</v>
      </c>
      <c r="W3337" s="424">
        <v>46261</v>
      </c>
      <c r="X3337" s="264" t="s">
        <v>1867</v>
      </c>
      <c r="Y3337" s="424">
        <v>46265</v>
      </c>
      <c r="Z3337" s="424"/>
      <c r="AA3337" s="424">
        <v>46260</v>
      </c>
      <c r="AB3337" s="424"/>
      <c r="AC3337" s="425">
        <f t="shared" si="559"/>
        <v>0</v>
      </c>
      <c r="AD3337" s="425">
        <f t="shared" si="560"/>
        <v>4</v>
      </c>
    </row>
    <row r="3338" spans="1:30" s="361" customFormat="1" x14ac:dyDescent="0.4">
      <c r="A3338" s="402">
        <v>46261</v>
      </c>
      <c r="B3338" s="392" t="s">
        <v>97</v>
      </c>
      <c r="C3338" s="364" t="str">
        <f>VLOOKUP(B3338,'112年全品項生產鍋數'!A:H,2,0)</f>
        <v>花生醬(1*18KG)</v>
      </c>
      <c r="D3338" s="404">
        <v>8</v>
      </c>
      <c r="E3338" s="48">
        <f>VLOOKUP(B3338,'112年全品項生產鍋數'!A:H,3,0)</f>
        <v>18</v>
      </c>
      <c r="F3338" s="142">
        <f>VLOOKUP(B3338,'112年全品項生產鍋數'!A:H,7,0)</f>
        <v>6.6</v>
      </c>
      <c r="G3338" s="143">
        <f t="shared" si="561"/>
        <v>52.8</v>
      </c>
      <c r="H3338" s="156">
        <v>49</v>
      </c>
      <c r="I3338" s="371">
        <f t="shared" si="562"/>
        <v>882</v>
      </c>
      <c r="J3338" s="100">
        <f t="shared" si="563"/>
        <v>0.92803030303030309</v>
      </c>
      <c r="K3338" s="51">
        <f>VLOOKUP(B:B,'生產達成率(目標)'!A:C,3,0)</f>
        <v>1</v>
      </c>
      <c r="L3338" s="20">
        <f t="shared" si="564"/>
        <v>-7.1999999999999995E-2</v>
      </c>
      <c r="M3338" s="137" t="str">
        <f>工時!R2525</f>
        <v>110</v>
      </c>
      <c r="N3338" s="374"/>
      <c r="O3338" s="374">
        <f t="shared" si="565"/>
        <v>0</v>
      </c>
      <c r="P3338" s="156">
        <v>49</v>
      </c>
      <c r="Q3338" s="98">
        <f t="shared" si="566"/>
        <v>1</v>
      </c>
      <c r="R3338" s="371"/>
      <c r="S3338" s="372"/>
      <c r="T3338" s="364"/>
      <c r="U3338" s="264"/>
      <c r="V3338" s="264" t="s">
        <v>1848</v>
      </c>
      <c r="W3338" s="424">
        <v>46261</v>
      </c>
      <c r="X3338" s="264" t="s">
        <v>1710</v>
      </c>
      <c r="Y3338" s="424" t="s">
        <v>1846</v>
      </c>
      <c r="Z3338" s="424"/>
      <c r="AA3338" s="424">
        <v>46260</v>
      </c>
      <c r="AB3338" s="424"/>
      <c r="AC3338" s="425">
        <f t="shared" si="559"/>
        <v>0</v>
      </c>
      <c r="AD3338" s="425">
        <v>0</v>
      </c>
    </row>
    <row r="3339" spans="1:30" s="361" customFormat="1" x14ac:dyDescent="0.4">
      <c r="A3339" s="402">
        <v>46261</v>
      </c>
      <c r="B3339" s="392" t="s">
        <v>65</v>
      </c>
      <c r="C3339" s="364" t="str">
        <f>VLOOKUP(B3339,'112年全品項生產鍋數'!A:H,2,0)</f>
        <v>＃1花生(1*2.8kg)</v>
      </c>
      <c r="D3339" s="404">
        <v>60</v>
      </c>
      <c r="E3339" s="48">
        <f>VLOOKUP(B3339,'112年全品項生產鍋數'!A:H,3,0)</f>
        <v>2.8</v>
      </c>
      <c r="F3339" s="142">
        <f>VLOOKUP(B3339,'112年全品項生產鍋數'!A:H,7,0)</f>
        <v>44.5</v>
      </c>
      <c r="G3339" s="143">
        <f t="shared" si="561"/>
        <v>2670</v>
      </c>
      <c r="H3339" s="156">
        <v>2688</v>
      </c>
      <c r="I3339" s="371">
        <f t="shared" si="562"/>
        <v>7526.4</v>
      </c>
      <c r="J3339" s="100">
        <f t="shared" si="563"/>
        <v>1.0067415730337079</v>
      </c>
      <c r="K3339" s="51">
        <f>VLOOKUP(B:B,'生產達成率(目標)'!A:C,3,0)</f>
        <v>1</v>
      </c>
      <c r="L3339" s="20">
        <f t="shared" si="564"/>
        <v>7.0000000000000001E-3</v>
      </c>
      <c r="M3339" s="137" t="str">
        <f>工時!R2526</f>
        <v>540</v>
      </c>
      <c r="N3339" s="374"/>
      <c r="O3339" s="374">
        <f t="shared" si="565"/>
        <v>2</v>
      </c>
      <c r="P3339" s="156">
        <v>2686</v>
      </c>
      <c r="Q3339" s="98">
        <f t="shared" si="566"/>
        <v>0.99925595238095233</v>
      </c>
      <c r="R3339" s="371"/>
      <c r="S3339" s="372"/>
      <c r="T3339" s="364" t="s">
        <v>1153</v>
      </c>
      <c r="U3339" s="264"/>
      <c r="V3339" s="264" t="s">
        <v>1848</v>
      </c>
      <c r="W3339" s="424">
        <v>46261</v>
      </c>
      <c r="X3339" s="264" t="s">
        <v>1848</v>
      </c>
      <c r="Y3339" s="424">
        <v>46261</v>
      </c>
      <c r="Z3339" s="424"/>
      <c r="AA3339" s="424">
        <v>46260</v>
      </c>
      <c r="AB3339" s="424">
        <v>46261</v>
      </c>
      <c r="AC3339" s="425">
        <f t="shared" si="559"/>
        <v>0</v>
      </c>
      <c r="AD3339" s="425">
        <f t="shared" si="560"/>
        <v>0</v>
      </c>
    </row>
    <row r="3340" spans="1:30" s="361" customFormat="1" x14ac:dyDescent="0.4">
      <c r="A3340" s="402">
        <v>46262</v>
      </c>
      <c r="B3340" s="392" t="s">
        <v>71</v>
      </c>
      <c r="C3340" s="364" t="str">
        <f>VLOOKUP(B3340,'112年全品項生產鍋數'!A:H,2,0)</f>
        <v>＃1草莓(1*3.2kg)</v>
      </c>
      <c r="D3340" s="404">
        <v>72</v>
      </c>
      <c r="E3340" s="48">
        <f>VLOOKUP(B3340,'112年全品項生產鍋數'!A:H,3,0)</f>
        <v>3.2</v>
      </c>
      <c r="F3340" s="142">
        <f>VLOOKUP(B3340,'112年全品項生產鍋數'!A:H,7,0)</f>
        <v>46.8</v>
      </c>
      <c r="G3340" s="143">
        <f t="shared" si="561"/>
        <v>3369.6</v>
      </c>
      <c r="H3340" s="156">
        <v>3331</v>
      </c>
      <c r="I3340" s="371">
        <f t="shared" si="562"/>
        <v>10659.2</v>
      </c>
      <c r="J3340" s="100">
        <f t="shared" si="563"/>
        <v>0.98854463437796769</v>
      </c>
      <c r="K3340" s="51">
        <f>VLOOKUP(B:B,'生產達成率(目標)'!A:C,3,0)</f>
        <v>1</v>
      </c>
      <c r="L3340" s="20">
        <f t="shared" si="564"/>
        <v>-1.0999999999999999E-2</v>
      </c>
      <c r="M3340" s="137" t="str">
        <f>工時!R2527</f>
        <v>600</v>
      </c>
      <c r="N3340" s="374"/>
      <c r="O3340" s="374">
        <f t="shared" si="565"/>
        <v>2</v>
      </c>
      <c r="P3340" s="156">
        <v>3329</v>
      </c>
      <c r="Q3340" s="98">
        <f t="shared" si="566"/>
        <v>0.99939957970579407</v>
      </c>
      <c r="R3340" s="371"/>
      <c r="S3340" s="372"/>
      <c r="T3340" s="364" t="s">
        <v>1153</v>
      </c>
      <c r="U3340" s="264"/>
      <c r="V3340" s="264" t="s">
        <v>1849</v>
      </c>
      <c r="W3340" s="424">
        <v>46265</v>
      </c>
      <c r="X3340" s="264" t="s">
        <v>1867</v>
      </c>
      <c r="Y3340" s="424">
        <v>46265</v>
      </c>
      <c r="Z3340" s="424"/>
      <c r="AA3340" s="424" t="s">
        <v>1852</v>
      </c>
      <c r="AB3340" s="424"/>
      <c r="AC3340" s="425">
        <f t="shared" si="559"/>
        <v>3</v>
      </c>
      <c r="AD3340" s="425">
        <f t="shared" si="560"/>
        <v>3</v>
      </c>
    </row>
    <row r="3341" spans="1:30" s="361" customFormat="1" x14ac:dyDescent="0.4">
      <c r="A3341" s="402">
        <v>46262</v>
      </c>
      <c r="B3341" s="392" t="s">
        <v>63</v>
      </c>
      <c r="C3341" s="364" t="str">
        <f>VLOOKUP(B3341,'112年全品項生產鍋數'!A:H,2,0)</f>
        <v>草莓蒟蒻餡(1*6kg)</v>
      </c>
      <c r="D3341" s="404">
        <v>20</v>
      </c>
      <c r="E3341" s="48">
        <f>VLOOKUP(B3341,'112年全品項生產鍋數'!A:H,3,0)</f>
        <v>6</v>
      </c>
      <c r="F3341" s="142">
        <f>VLOOKUP(B3341,'112年全品項生產鍋數'!A:H,7,0)</f>
        <v>25.7</v>
      </c>
      <c r="G3341" s="143">
        <f t="shared" si="561"/>
        <v>514</v>
      </c>
      <c r="H3341" s="156">
        <f>304+211</f>
        <v>515</v>
      </c>
      <c r="I3341" s="371">
        <f t="shared" si="562"/>
        <v>3090</v>
      </c>
      <c r="J3341" s="100">
        <f t="shared" si="563"/>
        <v>1.0019455252918288</v>
      </c>
      <c r="K3341" s="51">
        <f>VLOOKUP(B:B,'生產達成率(目標)'!A:C,3,0)</f>
        <v>1</v>
      </c>
      <c r="L3341" s="20">
        <f t="shared" si="564"/>
        <v>2E-3</v>
      </c>
      <c r="M3341" s="137" t="str">
        <f>工時!R2528</f>
        <v>240</v>
      </c>
      <c r="N3341" s="374"/>
      <c r="O3341" s="374">
        <f t="shared" si="565"/>
        <v>1</v>
      </c>
      <c r="P3341" s="156">
        <f>303+211</f>
        <v>514</v>
      </c>
      <c r="Q3341" s="98">
        <f t="shared" si="566"/>
        <v>0.99805825242718449</v>
      </c>
      <c r="R3341" s="371"/>
      <c r="S3341" s="372"/>
      <c r="T3341" s="364"/>
      <c r="U3341" s="264"/>
      <c r="V3341" s="264" t="s">
        <v>1847</v>
      </c>
      <c r="W3341" s="424">
        <v>46262</v>
      </c>
      <c r="X3341" s="264" t="s">
        <v>1867</v>
      </c>
      <c r="Y3341" s="424">
        <v>46265</v>
      </c>
      <c r="Z3341" s="424"/>
      <c r="AA3341" s="424">
        <v>46261</v>
      </c>
      <c r="AB3341" s="424"/>
      <c r="AC3341" s="425">
        <f t="shared" si="559"/>
        <v>0</v>
      </c>
      <c r="AD3341" s="425">
        <f t="shared" si="560"/>
        <v>3</v>
      </c>
    </row>
    <row r="3342" spans="1:30" s="381" customFormat="1" x14ac:dyDescent="0.4">
      <c r="A3342" s="402">
        <v>46262</v>
      </c>
      <c r="B3342" s="392" t="s">
        <v>1162</v>
      </c>
      <c r="C3342" s="375" t="str">
        <f>VLOOKUP(B3342,'112年全品項生產鍋數'!A:H,2,0)</f>
        <v>藍莓餡(1*6KG)</v>
      </c>
      <c r="D3342" s="406">
        <v>24</v>
      </c>
      <c r="E3342" s="141">
        <f>VLOOKUP(B3342,'112年全品項生產鍋數'!A:H,3,0)</f>
        <v>6</v>
      </c>
      <c r="F3342" s="142">
        <f>VLOOKUP(B3342,'112年全品項生產鍋數'!A:H,7,0)</f>
        <v>25.4</v>
      </c>
      <c r="G3342" s="143">
        <f t="shared" si="561"/>
        <v>609.59999999999991</v>
      </c>
      <c r="H3342" s="156">
        <f>307+320</f>
        <v>627</v>
      </c>
      <c r="I3342" s="374">
        <f t="shared" si="562"/>
        <v>3762</v>
      </c>
      <c r="J3342" s="100">
        <f t="shared" si="563"/>
        <v>1.0285433070866143</v>
      </c>
      <c r="K3342" s="51" t="e">
        <f>VLOOKUP(B:B,'生產達成率(目標)'!A:C,3,0)</f>
        <v>#N/A</v>
      </c>
      <c r="L3342" s="20" t="e">
        <f t="shared" si="564"/>
        <v>#N/A</v>
      </c>
      <c r="M3342" s="137" t="str">
        <f>工時!R2529</f>
        <v>335</v>
      </c>
      <c r="N3342" s="374"/>
      <c r="O3342" s="374">
        <f t="shared" si="565"/>
        <v>3</v>
      </c>
      <c r="P3342" s="156">
        <f>305+319</f>
        <v>624</v>
      </c>
      <c r="Q3342" s="145">
        <f t="shared" si="566"/>
        <v>0.99521531100478466</v>
      </c>
      <c r="R3342" s="374"/>
      <c r="S3342" s="378"/>
      <c r="T3342" s="375"/>
      <c r="U3342" s="398"/>
      <c r="V3342" s="398" t="s">
        <v>1847</v>
      </c>
      <c r="W3342" s="427">
        <v>46262</v>
      </c>
      <c r="X3342" s="398" t="s">
        <v>1867</v>
      </c>
      <c r="Y3342" s="427">
        <v>46265</v>
      </c>
      <c r="Z3342" s="427"/>
      <c r="AA3342" s="427">
        <v>46261</v>
      </c>
      <c r="AB3342" s="427"/>
      <c r="AC3342" s="429">
        <f t="shared" si="559"/>
        <v>0</v>
      </c>
      <c r="AD3342" s="429">
        <f t="shared" si="560"/>
        <v>3</v>
      </c>
    </row>
    <row r="3343" spans="1:30" s="361" customFormat="1" x14ac:dyDescent="0.4">
      <c r="A3343" s="402">
        <v>46265</v>
      </c>
      <c r="B3343" s="392" t="s">
        <v>72</v>
      </c>
      <c r="C3343" s="364" t="str">
        <f>VLOOKUP(B3343,'112年全品項生產鍋數'!A:H,2,0)</f>
        <v>草莓餡45%(1*6Kg)</v>
      </c>
      <c r="D3343" s="404">
        <v>24</v>
      </c>
      <c r="E3343" s="48">
        <f>VLOOKUP(B3343,'112年全品項生產鍋數'!A:H,3,0)</f>
        <v>6</v>
      </c>
      <c r="F3343" s="142">
        <f>VLOOKUP(B3343,'112年全品項生產鍋數'!A:H,7,0)</f>
        <v>26.1</v>
      </c>
      <c r="G3343" s="143">
        <f t="shared" si="561"/>
        <v>626.40000000000009</v>
      </c>
      <c r="H3343" s="156">
        <v>610</v>
      </c>
      <c r="I3343" s="371">
        <f t="shared" si="562"/>
        <v>3660</v>
      </c>
      <c r="J3343" s="100">
        <f t="shared" si="563"/>
        <v>0.97381864623243919</v>
      </c>
      <c r="K3343" s="51">
        <f>VLOOKUP(B:B,'生產達成率(目標)'!A:C,3,0)</f>
        <v>1</v>
      </c>
      <c r="L3343" s="20">
        <f t="shared" si="564"/>
        <v>-2.5999999999999999E-2</v>
      </c>
      <c r="M3343" s="137" t="str">
        <f>工時!R2530</f>
        <v>500</v>
      </c>
      <c r="N3343" s="374"/>
      <c r="O3343" s="374">
        <f t="shared" si="565"/>
        <v>4</v>
      </c>
      <c r="P3343" s="156">
        <v>606</v>
      </c>
      <c r="Q3343" s="98">
        <f t="shared" si="566"/>
        <v>0.99344262295081964</v>
      </c>
      <c r="R3343" s="371"/>
      <c r="S3343" s="372"/>
      <c r="T3343" s="364" t="s">
        <v>1153</v>
      </c>
      <c r="U3343" s="264"/>
      <c r="V3343" s="264" t="s">
        <v>1849</v>
      </c>
      <c r="W3343" s="424">
        <v>46265</v>
      </c>
      <c r="X3343" s="264" t="s">
        <v>1867</v>
      </c>
      <c r="Y3343" s="424">
        <v>46265</v>
      </c>
      <c r="Z3343" s="424"/>
      <c r="AA3343" s="424">
        <v>46262</v>
      </c>
      <c r="AB3343" s="424"/>
      <c r="AC3343" s="425">
        <f t="shared" si="559"/>
        <v>0</v>
      </c>
      <c r="AD3343" s="425">
        <f t="shared" si="560"/>
        <v>0</v>
      </c>
    </row>
    <row r="3344" spans="1:30" s="361" customFormat="1" x14ac:dyDescent="0.4">
      <c r="A3344" s="402">
        <v>46265</v>
      </c>
      <c r="B3344" s="392" t="s">
        <v>63</v>
      </c>
      <c r="C3344" s="364" t="str">
        <f>VLOOKUP(B3344,'112年全品項生產鍋數'!A:H,2,0)</f>
        <v>草莓蒟蒻餡(1*6kg)</v>
      </c>
      <c r="D3344" s="404">
        <v>20</v>
      </c>
      <c r="E3344" s="48">
        <f>VLOOKUP(B3344,'112年全品項生產鍋數'!A:H,3,0)</f>
        <v>6</v>
      </c>
      <c r="F3344" s="142">
        <f>VLOOKUP(B3344,'112年全品項生產鍋數'!A:H,7,0)</f>
        <v>25.7</v>
      </c>
      <c r="G3344" s="143">
        <f t="shared" si="561"/>
        <v>514</v>
      </c>
      <c r="H3344" s="156">
        <f>317+211</f>
        <v>528</v>
      </c>
      <c r="I3344" s="371">
        <f t="shared" si="562"/>
        <v>3168</v>
      </c>
      <c r="J3344" s="100">
        <f t="shared" si="563"/>
        <v>1.027237354085603</v>
      </c>
      <c r="K3344" s="51">
        <f>VLOOKUP(B:B,'生產達成率(目標)'!A:C,3,0)</f>
        <v>1</v>
      </c>
      <c r="L3344" s="20">
        <f t="shared" si="564"/>
        <v>2.7E-2</v>
      </c>
      <c r="M3344" s="137" t="str">
        <f>工時!R2531</f>
        <v>335</v>
      </c>
      <c r="N3344" s="374"/>
      <c r="O3344" s="374">
        <f t="shared" si="565"/>
        <v>2</v>
      </c>
      <c r="P3344" s="156">
        <f>315+211</f>
        <v>526</v>
      </c>
      <c r="Q3344" s="98">
        <f t="shared" si="566"/>
        <v>0.99621212121212122</v>
      </c>
      <c r="R3344" s="371"/>
      <c r="S3344" s="372"/>
      <c r="T3344" s="364"/>
      <c r="U3344" s="264"/>
      <c r="V3344" s="264" t="s">
        <v>1849</v>
      </c>
      <c r="W3344" s="424">
        <v>46266</v>
      </c>
      <c r="X3344" s="264" t="s">
        <v>1867</v>
      </c>
      <c r="Y3344" s="424">
        <v>46265</v>
      </c>
      <c r="Z3344" s="424"/>
      <c r="AA3344" s="424" t="s">
        <v>426</v>
      </c>
      <c r="AB3344" s="424" t="s">
        <v>1870</v>
      </c>
      <c r="AC3344" s="425">
        <f t="shared" si="559"/>
        <v>1</v>
      </c>
      <c r="AD3344" s="425">
        <f t="shared" si="560"/>
        <v>0</v>
      </c>
    </row>
    <row r="3345" spans="1:30" s="361" customFormat="1" x14ac:dyDescent="0.4">
      <c r="A3345" s="402">
        <v>46265</v>
      </c>
      <c r="B3345" s="392" t="s">
        <v>108</v>
      </c>
      <c r="C3345" s="364" t="str">
        <f>VLOOKUP(B3345,'112年全品項生產鍋數'!A:H,2,0)</f>
        <v>顆粒花生醬(1*12KG)</v>
      </c>
      <c r="D3345" s="404">
        <v>12</v>
      </c>
      <c r="E3345" s="48">
        <f>VLOOKUP(B3345,'112年全品項生產鍋數'!A:H,3,0)</f>
        <v>3</v>
      </c>
      <c r="F3345" s="142">
        <f>VLOOKUP(B3345,'112年全品項生產鍋數'!A:H,7,0)</f>
        <v>31.6</v>
      </c>
      <c r="G3345" s="143">
        <f t="shared" si="561"/>
        <v>379.20000000000005</v>
      </c>
      <c r="H3345" s="156">
        <v>376</v>
      </c>
      <c r="I3345" s="371">
        <f t="shared" si="562"/>
        <v>1128</v>
      </c>
      <c r="J3345" s="100">
        <f t="shared" si="563"/>
        <v>0.99156118143459904</v>
      </c>
      <c r="K3345" s="51">
        <f>VLOOKUP(B:B,'生產達成率(目標)'!A:C,3,0)</f>
        <v>1</v>
      </c>
      <c r="L3345" s="20">
        <f t="shared" si="564"/>
        <v>-8.0000000000000002E-3</v>
      </c>
      <c r="M3345" s="137" t="str">
        <f>工時!R2532</f>
        <v>240</v>
      </c>
      <c r="N3345" s="374"/>
      <c r="O3345" s="374">
        <f t="shared" si="565"/>
        <v>0</v>
      </c>
      <c r="P3345" s="156">
        <v>376</v>
      </c>
      <c r="Q3345" s="98">
        <f t="shared" si="566"/>
        <v>1</v>
      </c>
      <c r="R3345" s="371"/>
      <c r="S3345" s="372"/>
      <c r="T3345" s="364" t="s">
        <v>1153</v>
      </c>
      <c r="U3345" s="264"/>
      <c r="V3345" s="264" t="s">
        <v>1847</v>
      </c>
      <c r="W3345" s="424">
        <v>46265</v>
      </c>
      <c r="X3345" s="264" t="s">
        <v>1867</v>
      </c>
      <c r="Y3345" s="424">
        <v>46265</v>
      </c>
      <c r="Z3345" s="424"/>
      <c r="AA3345" s="424">
        <v>46262</v>
      </c>
      <c r="AB3345" s="424"/>
      <c r="AC3345" s="425">
        <f t="shared" si="559"/>
        <v>0</v>
      </c>
      <c r="AD3345" s="425">
        <f t="shared" si="560"/>
        <v>0</v>
      </c>
    </row>
    <row r="3346" spans="1:30" s="381" customFormat="1" x14ac:dyDescent="0.4">
      <c r="A3346" s="402">
        <v>46265</v>
      </c>
      <c r="B3346" s="392" t="s">
        <v>536</v>
      </c>
      <c r="C3346" s="375" t="str">
        <f>VLOOKUP(B3346,'112年全品項生產鍋數'!A:H,2,0)</f>
        <v>花生醬(1*3.5KG)</v>
      </c>
      <c r="D3346" s="406">
        <v>6</v>
      </c>
      <c r="E3346" s="141">
        <f>VLOOKUP(B3346,'112年全品項生產鍋數'!A:H,3,0)</f>
        <v>3.5</v>
      </c>
      <c r="F3346" s="142">
        <f>VLOOKUP(B3346,'112年全品項生產鍋數'!A:H,7,0)</f>
        <v>25.4</v>
      </c>
      <c r="G3346" s="143">
        <f t="shared" si="561"/>
        <v>152.39999999999998</v>
      </c>
      <c r="H3346" s="156">
        <v>151</v>
      </c>
      <c r="I3346" s="374">
        <f t="shared" si="562"/>
        <v>528.5</v>
      </c>
      <c r="J3346" s="100">
        <f t="shared" si="563"/>
        <v>0.99081364829396346</v>
      </c>
      <c r="K3346" s="51">
        <f>VLOOKUP(B:B,'生產達成率(目標)'!A:C,3,0)</f>
        <v>1</v>
      </c>
      <c r="L3346" s="20">
        <f t="shared" si="564"/>
        <v>-8.9999999999999993E-3</v>
      </c>
      <c r="M3346" s="137" t="str">
        <f>工時!R2533</f>
        <v>390</v>
      </c>
      <c r="N3346" s="374"/>
      <c r="O3346" s="374">
        <f t="shared" si="565"/>
        <v>0</v>
      </c>
      <c r="P3346" s="156">
        <v>151</v>
      </c>
      <c r="Q3346" s="145">
        <f t="shared" si="566"/>
        <v>1</v>
      </c>
      <c r="R3346" s="374"/>
      <c r="S3346" s="378"/>
      <c r="T3346" s="375" t="s">
        <v>1153</v>
      </c>
      <c r="U3346" s="398"/>
      <c r="V3346" s="398" t="s">
        <v>1847</v>
      </c>
      <c r="W3346" s="427">
        <v>46267</v>
      </c>
      <c r="X3346" s="398" t="s">
        <v>1868</v>
      </c>
      <c r="Y3346" s="427">
        <v>46267</v>
      </c>
      <c r="Z3346" s="427"/>
      <c r="AA3346" s="427">
        <v>46262</v>
      </c>
      <c r="AB3346" s="427"/>
      <c r="AC3346" s="429">
        <f t="shared" si="559"/>
        <v>2</v>
      </c>
      <c r="AD3346" s="429">
        <f t="shared" si="560"/>
        <v>2</v>
      </c>
    </row>
    <row r="3347" spans="1:30" s="381" customFormat="1" x14ac:dyDescent="0.4">
      <c r="A3347" s="402">
        <v>46265</v>
      </c>
      <c r="B3347" s="392" t="s">
        <v>65</v>
      </c>
      <c r="C3347" s="375" t="str">
        <f>VLOOKUP(B3347,'112年全品項生產鍋數'!A:H,2,0)</f>
        <v>＃1花生(1*2.8kg)</v>
      </c>
      <c r="D3347" s="406">
        <v>68</v>
      </c>
      <c r="E3347" s="141">
        <f>VLOOKUP(B3347,'112年全品項生產鍋數'!A:H,3,0)</f>
        <v>2.8</v>
      </c>
      <c r="F3347" s="142">
        <f>VLOOKUP(B3347,'112年全品項生產鍋數'!A:H,7,0)</f>
        <v>44.5</v>
      </c>
      <c r="G3347" s="143">
        <f t="shared" si="561"/>
        <v>3026</v>
      </c>
      <c r="H3347" s="156">
        <v>3026</v>
      </c>
      <c r="I3347" s="374">
        <f t="shared" si="562"/>
        <v>8472.7999999999993</v>
      </c>
      <c r="J3347" s="100">
        <f t="shared" si="563"/>
        <v>1</v>
      </c>
      <c r="K3347" s="51">
        <f>VLOOKUP(B:B,'生產達成率(目標)'!A:C,3,0)</f>
        <v>1</v>
      </c>
      <c r="L3347" s="20">
        <f t="shared" si="564"/>
        <v>0</v>
      </c>
      <c r="M3347" s="137" t="str">
        <f>工時!R2534</f>
        <v>240</v>
      </c>
      <c r="N3347" s="374"/>
      <c r="O3347" s="374">
        <f t="shared" si="565"/>
        <v>1</v>
      </c>
      <c r="P3347" s="156">
        <v>3025</v>
      </c>
      <c r="Q3347" s="145">
        <f t="shared" si="566"/>
        <v>0.99966953073364173</v>
      </c>
      <c r="R3347" s="374"/>
      <c r="S3347" s="378"/>
      <c r="T3347" s="375" t="s">
        <v>1153</v>
      </c>
      <c r="U3347" s="398"/>
      <c r="V3347" s="398" t="s">
        <v>1848</v>
      </c>
      <c r="W3347" s="427">
        <v>46265</v>
      </c>
      <c r="X3347" s="398" t="s">
        <v>1848</v>
      </c>
      <c r="Y3347" s="427">
        <v>46265</v>
      </c>
      <c r="Z3347" s="427"/>
      <c r="AA3347" s="427">
        <v>46262</v>
      </c>
      <c r="AB3347" s="427"/>
      <c r="AC3347" s="429">
        <f t="shared" si="559"/>
        <v>0</v>
      </c>
      <c r="AD3347" s="429">
        <f t="shared" si="560"/>
        <v>0</v>
      </c>
    </row>
    <row r="3348" spans="1:30" s="8" customFormat="1" x14ac:dyDescent="0.4">
      <c r="A3348" s="440">
        <v>46265</v>
      </c>
      <c r="B3348" s="441" t="s">
        <v>431</v>
      </c>
      <c r="C3348" s="97" t="str">
        <f>VLOOKUP(B3348,'112年全品項生產鍋數'!A:H,2,0)</f>
        <v>文旦丁</v>
      </c>
      <c r="D3348" s="442">
        <v>2</v>
      </c>
      <c r="E3348" s="443">
        <f>VLOOKUP(B3348,'112年全品項生產鍋數'!A:H,3,0)</f>
        <v>1</v>
      </c>
      <c r="F3348" s="444">
        <v>218</v>
      </c>
      <c r="G3348" s="143">
        <f t="shared" si="561"/>
        <v>436</v>
      </c>
      <c r="H3348" s="446">
        <v>491</v>
      </c>
      <c r="I3348" s="447">
        <f t="shared" si="562"/>
        <v>491</v>
      </c>
      <c r="J3348" s="448">
        <f t="shared" si="563"/>
        <v>1.1261467889908257</v>
      </c>
      <c r="K3348" s="449">
        <f>VLOOKUP(B:B,'生產達成率(目標)'!A:C,3,0)</f>
        <v>1</v>
      </c>
      <c r="L3348" s="450">
        <f t="shared" si="564"/>
        <v>0.126</v>
      </c>
      <c r="M3348" s="451" t="str">
        <f>工時!R2535</f>
        <v>515</v>
      </c>
      <c r="N3348" s="447"/>
      <c r="O3348" s="447">
        <f t="shared" si="565"/>
        <v>491</v>
      </c>
      <c r="P3348" s="446"/>
      <c r="Q3348" s="452">
        <f t="shared" si="566"/>
        <v>0</v>
      </c>
      <c r="R3348" s="447"/>
      <c r="S3348" s="453"/>
      <c r="T3348" s="364" t="s">
        <v>1874</v>
      </c>
      <c r="U3348" s="454"/>
      <c r="V3348" s="454" t="s">
        <v>1850</v>
      </c>
      <c r="W3348" s="455">
        <v>46265</v>
      </c>
      <c r="X3348" s="454" t="s">
        <v>1887</v>
      </c>
      <c r="Y3348" s="455" t="s">
        <v>1883</v>
      </c>
      <c r="Z3348" s="455"/>
      <c r="AA3348" s="424">
        <v>46262</v>
      </c>
      <c r="AB3348" s="455"/>
      <c r="AC3348" s="456">
        <f t="shared" si="559"/>
        <v>0</v>
      </c>
      <c r="AD3348" s="456">
        <v>0</v>
      </c>
    </row>
    <row r="3349" spans="1:30" s="361" customFormat="1" x14ac:dyDescent="0.4">
      <c r="A3349" s="402">
        <v>46266</v>
      </c>
      <c r="B3349" s="392" t="s">
        <v>80</v>
      </c>
      <c r="C3349" s="364" t="str">
        <f>VLOOKUP(B3349,'112年全品項生產鍋數'!A:H,2,0)</f>
        <v>＃1桔子(1*3.2kg)</v>
      </c>
      <c r="D3349" s="404">
        <v>36</v>
      </c>
      <c r="E3349" s="48">
        <f>VLOOKUP(B3349,'112年全品項生產鍋數'!A:H,3,0)</f>
        <v>3.2</v>
      </c>
      <c r="F3349" s="142">
        <f>VLOOKUP(B3349,'112年全品項生產鍋數'!A:H,7,0)</f>
        <v>46.4</v>
      </c>
      <c r="G3349" s="143">
        <f t="shared" si="561"/>
        <v>1670.3999999999999</v>
      </c>
      <c r="H3349" s="156">
        <v>1724</v>
      </c>
      <c r="I3349" s="371">
        <f t="shared" si="562"/>
        <v>5516.8</v>
      </c>
      <c r="J3349" s="100">
        <f t="shared" si="563"/>
        <v>1.032088122605364</v>
      </c>
      <c r="K3349" s="51">
        <f>VLOOKUP(B:B,'生產達成率(目標)'!A:C,3,0)</f>
        <v>1</v>
      </c>
      <c r="L3349" s="20">
        <f t="shared" si="564"/>
        <v>3.2000000000000001E-2</v>
      </c>
      <c r="M3349" s="137" t="str">
        <f>工時!R2537</f>
        <v>360</v>
      </c>
      <c r="N3349" s="374"/>
      <c r="O3349" s="374">
        <f t="shared" si="565"/>
        <v>1</v>
      </c>
      <c r="P3349" s="156">
        <v>1723</v>
      </c>
      <c r="Q3349" s="98">
        <f t="shared" si="566"/>
        <v>0.99941995359628766</v>
      </c>
      <c r="R3349" s="371"/>
      <c r="S3349" s="372"/>
      <c r="T3349" s="364"/>
      <c r="U3349" s="264"/>
      <c r="V3349" s="264" t="s">
        <v>1849</v>
      </c>
      <c r="W3349" s="424">
        <v>46268</v>
      </c>
      <c r="X3349" s="264" t="s">
        <v>1867</v>
      </c>
      <c r="Y3349" s="424">
        <v>46267</v>
      </c>
      <c r="Z3349" s="424"/>
      <c r="AA3349" s="424">
        <v>46265</v>
      </c>
      <c r="AB3349" s="424"/>
      <c r="AC3349" s="425">
        <f t="shared" si="559"/>
        <v>2</v>
      </c>
      <c r="AD3349" s="425">
        <f t="shared" si="560"/>
        <v>1</v>
      </c>
    </row>
    <row r="3350" spans="1:30" s="361" customFormat="1" x14ac:dyDescent="0.4">
      <c r="A3350" s="402">
        <v>46266</v>
      </c>
      <c r="B3350" s="392" t="s">
        <v>68</v>
      </c>
      <c r="C3350" s="364" t="str">
        <f>VLOOKUP(B3350,'112年全品項生產鍋數'!A:H,2,0)</f>
        <v>#2草莓果醬(1*900g)</v>
      </c>
      <c r="D3350" s="404">
        <v>20</v>
      </c>
      <c r="E3350" s="48">
        <f>VLOOKUP(B3350,'112年全品項生產鍋數'!A:H,3,0)</f>
        <v>0.9</v>
      </c>
      <c r="F3350" s="142">
        <f>VLOOKUP(B3350,'112年全品項生產鍋數'!A:H,7,0)</f>
        <v>160.5</v>
      </c>
      <c r="G3350" s="143">
        <f t="shared" si="561"/>
        <v>3210</v>
      </c>
      <c r="H3350" s="156">
        <v>3180</v>
      </c>
      <c r="I3350" s="371">
        <f t="shared" si="562"/>
        <v>2862</v>
      </c>
      <c r="J3350" s="100">
        <f t="shared" si="563"/>
        <v>0.99065420560747663</v>
      </c>
      <c r="K3350" s="51">
        <f>VLOOKUP(B:B,'生產達成率(目標)'!A:C,3,0)</f>
        <v>1</v>
      </c>
      <c r="L3350" s="20">
        <f t="shared" si="564"/>
        <v>-8.9999999999999993E-3</v>
      </c>
      <c r="M3350" s="137" t="str">
        <f>工時!R2538</f>
        <v>300</v>
      </c>
      <c r="N3350" s="374"/>
      <c r="O3350" s="374">
        <f t="shared" si="565"/>
        <v>2</v>
      </c>
      <c r="P3350" s="156">
        <v>3178</v>
      </c>
      <c r="Q3350" s="98">
        <f t="shared" si="566"/>
        <v>0.99937106918238994</v>
      </c>
      <c r="R3350" s="371"/>
      <c r="S3350" s="372"/>
      <c r="T3350" s="364" t="s">
        <v>1153</v>
      </c>
      <c r="U3350" s="264"/>
      <c r="V3350" s="264" t="s">
        <v>1849</v>
      </c>
      <c r="W3350" s="424">
        <v>46268</v>
      </c>
      <c r="X3350" s="264" t="s">
        <v>1867</v>
      </c>
      <c r="Y3350" s="424">
        <v>46267</v>
      </c>
      <c r="Z3350" s="424"/>
      <c r="AA3350" s="424" t="s">
        <v>1869</v>
      </c>
      <c r="AB3350" s="424"/>
      <c r="AC3350" s="425">
        <f t="shared" si="559"/>
        <v>2</v>
      </c>
      <c r="AD3350" s="425">
        <f t="shared" si="560"/>
        <v>1</v>
      </c>
    </row>
    <row r="3351" spans="1:30" s="361" customFormat="1" x14ac:dyDescent="0.4">
      <c r="A3351" s="402">
        <v>46266</v>
      </c>
      <c r="B3351" s="392" t="s">
        <v>76</v>
      </c>
      <c r="C3351" s="364" t="str">
        <f>VLOOKUP(B3351,'112年全品項生產鍋數'!A:H,2,0)</f>
        <v>草莓餡(1*6Kg)</v>
      </c>
      <c r="D3351" s="404">
        <v>16</v>
      </c>
      <c r="E3351" s="48">
        <f>VLOOKUP(B3351,'112年全品項生產鍋數'!A:H,3,0)</f>
        <v>6</v>
      </c>
      <c r="F3351" s="142">
        <f>VLOOKUP(B3351,'112年全品項生產鍋數'!A:H,7,0)</f>
        <v>25.5</v>
      </c>
      <c r="G3351" s="143">
        <f t="shared" si="561"/>
        <v>408</v>
      </c>
      <c r="H3351" s="156">
        <v>418</v>
      </c>
      <c r="I3351" s="371">
        <f t="shared" si="562"/>
        <v>2508</v>
      </c>
      <c r="J3351" s="100">
        <f t="shared" si="563"/>
        <v>1.0245098039215685</v>
      </c>
      <c r="K3351" s="51">
        <f>VLOOKUP(B:B,'生產達成率(目標)'!A:C,3,0)</f>
        <v>1</v>
      </c>
      <c r="L3351" s="20">
        <f t="shared" si="564"/>
        <v>2.5000000000000001E-2</v>
      </c>
      <c r="M3351" s="137" t="str">
        <f>工時!R2539</f>
        <v>188</v>
      </c>
      <c r="N3351" s="374"/>
      <c r="O3351" s="374">
        <f t="shared" si="565"/>
        <v>1</v>
      </c>
      <c r="P3351" s="156">
        <v>417</v>
      </c>
      <c r="Q3351" s="98">
        <f t="shared" si="566"/>
        <v>0.99760765550239239</v>
      </c>
      <c r="R3351" s="371"/>
      <c r="S3351" s="372"/>
      <c r="T3351" s="364" t="s">
        <v>1153</v>
      </c>
      <c r="U3351" s="264"/>
      <c r="V3351" s="264" t="s">
        <v>1847</v>
      </c>
      <c r="W3351" s="424">
        <v>46268</v>
      </c>
      <c r="X3351" s="264" t="s">
        <v>1867</v>
      </c>
      <c r="Y3351" s="424">
        <v>46279</v>
      </c>
      <c r="Z3351" s="424">
        <v>46266</v>
      </c>
      <c r="AA3351" s="424">
        <v>46265</v>
      </c>
      <c r="AB3351" s="424"/>
      <c r="AC3351" s="425">
        <f t="shared" si="559"/>
        <v>2</v>
      </c>
      <c r="AD3351" s="472">
        <f xml:space="preserve"> IF((Y3351-A3351)&lt;0,"未收到",Y3351-A3351)-7</f>
        <v>6</v>
      </c>
    </row>
    <row r="3352" spans="1:30" s="361" customFormat="1" x14ac:dyDescent="0.4">
      <c r="A3352" s="402">
        <v>46266</v>
      </c>
      <c r="B3352" s="392" t="s">
        <v>107</v>
      </c>
      <c r="C3352" s="364" t="str">
        <f>VLOOKUP(B3352,'112年全品項生產鍋數'!A:H,2,0)</f>
        <v>藍莓餡(1*6kg)</v>
      </c>
      <c r="D3352" s="404">
        <v>16</v>
      </c>
      <c r="E3352" s="48">
        <f>VLOOKUP(B3352,'112年全品項生產鍋數'!A:H,3,0)</f>
        <v>6</v>
      </c>
      <c r="F3352" s="142">
        <f>VLOOKUP(B3352,'112年全品項生產鍋數'!A:H,7,0)</f>
        <v>26.4</v>
      </c>
      <c r="G3352" s="143">
        <f t="shared" si="561"/>
        <v>422.4</v>
      </c>
      <c r="H3352" s="156">
        <v>411</v>
      </c>
      <c r="I3352" s="371">
        <f t="shared" si="562"/>
        <v>2466</v>
      </c>
      <c r="J3352" s="100">
        <f t="shared" si="563"/>
        <v>0.97301136363636365</v>
      </c>
      <c r="K3352" s="51">
        <f>VLOOKUP(B:B,'生產達成率(目標)'!A:C,3,0)</f>
        <v>1</v>
      </c>
      <c r="L3352" s="20">
        <f t="shared" si="564"/>
        <v>-2.7E-2</v>
      </c>
      <c r="M3352" s="137" t="str">
        <f>工時!R2540</f>
        <v>230</v>
      </c>
      <c r="N3352" s="374"/>
      <c r="O3352" s="374">
        <f t="shared" si="565"/>
        <v>1</v>
      </c>
      <c r="P3352" s="156">
        <v>410</v>
      </c>
      <c r="Q3352" s="98">
        <f t="shared" si="566"/>
        <v>0.9975669099756691</v>
      </c>
      <c r="R3352" s="371"/>
      <c r="S3352" s="372"/>
      <c r="T3352" s="364" t="s">
        <v>1153</v>
      </c>
      <c r="U3352" s="264"/>
      <c r="V3352" s="264" t="s">
        <v>1847</v>
      </c>
      <c r="W3352" s="424">
        <v>46266</v>
      </c>
      <c r="X3352" s="264" t="s">
        <v>1867</v>
      </c>
      <c r="Y3352" s="424">
        <v>46279</v>
      </c>
      <c r="Z3352" s="424">
        <v>46266</v>
      </c>
      <c r="AA3352" s="424">
        <v>46265</v>
      </c>
      <c r="AB3352" s="424"/>
      <c r="AC3352" s="425">
        <f t="shared" si="559"/>
        <v>0</v>
      </c>
      <c r="AD3352" s="472">
        <f xml:space="preserve"> IF((Y3352-A3352)&lt;0,"未收到",Y3352-A3352)-7</f>
        <v>6</v>
      </c>
    </row>
    <row r="3353" spans="1:30" s="361" customFormat="1" x14ac:dyDescent="0.4">
      <c r="A3353" s="402">
        <v>46266</v>
      </c>
      <c r="B3353" s="392" t="s">
        <v>63</v>
      </c>
      <c r="C3353" s="364" t="str">
        <f>VLOOKUP(B3353,'112年全品項生產鍋數'!A:H,2,0)</f>
        <v>草莓蒟蒻餡(1*6kg)</v>
      </c>
      <c r="D3353" s="404">
        <v>12</v>
      </c>
      <c r="E3353" s="48">
        <f>VLOOKUP(B3353,'112年全品項生產鍋數'!A:H,3,0)</f>
        <v>6</v>
      </c>
      <c r="F3353" s="142">
        <f>VLOOKUP(B3353,'112年全品項生產鍋數'!A:H,7,0)</f>
        <v>25.7</v>
      </c>
      <c r="G3353" s="143">
        <f t="shared" si="561"/>
        <v>308.39999999999998</v>
      </c>
      <c r="H3353" s="156">
        <v>311</v>
      </c>
      <c r="I3353" s="371">
        <f t="shared" si="562"/>
        <v>1866</v>
      </c>
      <c r="J3353" s="100">
        <f t="shared" si="563"/>
        <v>1.0084306095979247</v>
      </c>
      <c r="K3353" s="51">
        <f>VLOOKUP(B:B,'生產達成率(目標)'!A:C,3,0)</f>
        <v>1</v>
      </c>
      <c r="L3353" s="20">
        <f t="shared" si="564"/>
        <v>8.0000000000000002E-3</v>
      </c>
      <c r="M3353" s="137" t="str">
        <f>工時!R2541</f>
        <v>130</v>
      </c>
      <c r="N3353" s="374"/>
      <c r="O3353" s="374">
        <f t="shared" si="565"/>
        <v>2</v>
      </c>
      <c r="P3353" s="156">
        <v>309</v>
      </c>
      <c r="Q3353" s="98">
        <f t="shared" si="566"/>
        <v>0.99356913183279738</v>
      </c>
      <c r="R3353" s="371"/>
      <c r="S3353" s="372"/>
      <c r="T3353" s="364"/>
      <c r="U3353" s="264"/>
      <c r="V3353" s="264" t="s">
        <v>1847</v>
      </c>
      <c r="W3353" s="424">
        <v>46268</v>
      </c>
      <c r="X3353" s="264" t="s">
        <v>1867</v>
      </c>
      <c r="Y3353" s="424">
        <v>46279</v>
      </c>
      <c r="Z3353" s="424">
        <v>46266</v>
      </c>
      <c r="AA3353" s="424" t="s">
        <v>1870</v>
      </c>
      <c r="AB3353" s="424"/>
      <c r="AC3353" s="425">
        <f t="shared" si="559"/>
        <v>2</v>
      </c>
      <c r="AD3353" s="472">
        <f xml:space="preserve"> IF((Y3353-A3353)&lt;0,"未收到",Y3353-A3353)-7</f>
        <v>6</v>
      </c>
    </row>
    <row r="3354" spans="1:30" s="361" customFormat="1" x14ac:dyDescent="0.4">
      <c r="A3354" s="402">
        <v>46266</v>
      </c>
      <c r="B3354" s="392" t="s">
        <v>65</v>
      </c>
      <c r="C3354" s="364" t="str">
        <f>VLOOKUP(B3354,'112年全品項生產鍋數'!A:H,2,0)</f>
        <v>＃1花生(1*2.8kg)</v>
      </c>
      <c r="D3354" s="404">
        <v>68</v>
      </c>
      <c r="E3354" s="48">
        <f>VLOOKUP(B3354,'112年全品項生產鍋數'!A:H,3,0)</f>
        <v>2.8</v>
      </c>
      <c r="F3354" s="142">
        <f>VLOOKUP(B3354,'112年全品項生產鍋數'!A:H,7,0)</f>
        <v>44.5</v>
      </c>
      <c r="G3354" s="143">
        <f t="shared" si="561"/>
        <v>3026</v>
      </c>
      <c r="H3354" s="156">
        <v>3040</v>
      </c>
      <c r="I3354" s="371">
        <f t="shared" si="562"/>
        <v>8512</v>
      </c>
      <c r="J3354" s="100">
        <f t="shared" si="563"/>
        <v>1.0046265697290151</v>
      </c>
      <c r="K3354" s="51">
        <f>VLOOKUP(B:B,'生產達成率(目標)'!A:C,3,0)</f>
        <v>1</v>
      </c>
      <c r="L3354" s="20">
        <f t="shared" si="564"/>
        <v>5.0000000000000001E-3</v>
      </c>
      <c r="M3354" s="137" t="str">
        <f>工時!R2542</f>
        <v>500</v>
      </c>
      <c r="N3354" s="374"/>
      <c r="O3354" s="374">
        <f t="shared" si="565"/>
        <v>1</v>
      </c>
      <c r="P3354" s="156">
        <v>3039</v>
      </c>
      <c r="Q3354" s="98">
        <f t="shared" si="566"/>
        <v>0.99967105263157896</v>
      </c>
      <c r="R3354" s="371"/>
      <c r="S3354" s="372"/>
      <c r="T3354" s="364" t="s">
        <v>1153</v>
      </c>
      <c r="U3354" s="264"/>
      <c r="V3354" s="264" t="s">
        <v>1848</v>
      </c>
      <c r="W3354" s="424">
        <v>46267</v>
      </c>
      <c r="X3354" s="264" t="s">
        <v>1848</v>
      </c>
      <c r="Y3354" s="424">
        <v>46267</v>
      </c>
      <c r="Z3354" s="424"/>
      <c r="AA3354" s="424" t="s">
        <v>1871</v>
      </c>
      <c r="AB3354" s="424"/>
      <c r="AC3354" s="425">
        <f t="shared" si="559"/>
        <v>1</v>
      </c>
      <c r="AD3354" s="425">
        <f t="shared" si="560"/>
        <v>1</v>
      </c>
    </row>
    <row r="3355" spans="1:30" s="361" customFormat="1" x14ac:dyDescent="0.4">
      <c r="A3355" s="402">
        <v>46267</v>
      </c>
      <c r="B3355" s="392" t="s">
        <v>75</v>
      </c>
      <c r="C3355" s="364" t="str">
        <f>VLOOKUP(B3355,'112年全品項生產鍋數'!A:H,2,0)</f>
        <v>草莓椰果餡(1*6Kg)</v>
      </c>
      <c r="D3355" s="404">
        <v>20</v>
      </c>
      <c r="E3355" s="48">
        <f>VLOOKUP(B3355,'112年全品項生產鍋數'!A:H,3,0)</f>
        <v>6</v>
      </c>
      <c r="F3355" s="142">
        <f>VLOOKUP(B3355,'112年全品項生產鍋數'!A:H,7,0)</f>
        <v>26.4</v>
      </c>
      <c r="G3355" s="143">
        <f t="shared" si="561"/>
        <v>528</v>
      </c>
      <c r="H3355" s="156">
        <v>540</v>
      </c>
      <c r="I3355" s="371">
        <f t="shared" si="562"/>
        <v>3240</v>
      </c>
      <c r="J3355" s="100">
        <f t="shared" si="563"/>
        <v>1.0227272727272727</v>
      </c>
      <c r="K3355" s="51">
        <f>VLOOKUP(B:B,'生產達成率(目標)'!A:C,3,0)</f>
        <v>1</v>
      </c>
      <c r="L3355" s="20">
        <f t="shared" si="564"/>
        <v>2.3E-2</v>
      </c>
      <c r="M3355" s="137" t="str">
        <f>工時!R2543</f>
        <v>270</v>
      </c>
      <c r="N3355" s="374"/>
      <c r="O3355" s="374">
        <f t="shared" si="565"/>
        <v>0</v>
      </c>
      <c r="P3355" s="156">
        <v>540</v>
      </c>
      <c r="Q3355" s="98">
        <f t="shared" si="566"/>
        <v>1</v>
      </c>
      <c r="R3355" s="371"/>
      <c r="S3355" s="372"/>
      <c r="T3355" s="364" t="s">
        <v>1153</v>
      </c>
      <c r="U3355" s="264"/>
      <c r="V3355" s="264" t="s">
        <v>1849</v>
      </c>
      <c r="W3355" s="424">
        <v>46268</v>
      </c>
      <c r="X3355" s="264" t="s">
        <v>1867</v>
      </c>
      <c r="Y3355" s="424">
        <v>46279</v>
      </c>
      <c r="Z3355" s="424">
        <v>46267</v>
      </c>
      <c r="AA3355" s="424">
        <v>46266</v>
      </c>
      <c r="AB3355" s="424"/>
      <c r="AC3355" s="425">
        <f t="shared" si="559"/>
        <v>1</v>
      </c>
      <c r="AD3355" s="472">
        <f xml:space="preserve"> IF((Y3355-A3355)&lt;0,"未收到",Y3355-A3355)-7</f>
        <v>5</v>
      </c>
    </row>
    <row r="3356" spans="1:30" s="361" customFormat="1" x14ac:dyDescent="0.4">
      <c r="A3356" s="402">
        <v>46267</v>
      </c>
      <c r="B3356" s="392" t="s">
        <v>63</v>
      </c>
      <c r="C3356" s="364" t="str">
        <f>VLOOKUP(B3356,'112年全品項生產鍋數'!A:H,2,0)</f>
        <v>草莓蒟蒻餡(1*6kg)</v>
      </c>
      <c r="D3356" s="404">
        <v>24</v>
      </c>
      <c r="E3356" s="48">
        <f>VLOOKUP(B3356,'112年全品項生產鍋數'!A:H,3,0)</f>
        <v>6</v>
      </c>
      <c r="F3356" s="142">
        <f>VLOOKUP(B3356,'112年全品項生產鍋數'!A:H,7,0)</f>
        <v>25.7</v>
      </c>
      <c r="G3356" s="143">
        <f t="shared" si="561"/>
        <v>616.79999999999995</v>
      </c>
      <c r="H3356" s="156">
        <f>313+319</f>
        <v>632</v>
      </c>
      <c r="I3356" s="371">
        <f t="shared" si="562"/>
        <v>3792</v>
      </c>
      <c r="J3356" s="100">
        <f t="shared" si="563"/>
        <v>1.0246433203631649</v>
      </c>
      <c r="K3356" s="51">
        <f>VLOOKUP(B:B,'生產達成率(目標)'!A:C,3,0)</f>
        <v>1</v>
      </c>
      <c r="L3356" s="20">
        <f t="shared" si="564"/>
        <v>2.5000000000000001E-2</v>
      </c>
      <c r="M3356" s="137" t="str">
        <f>工時!R2544</f>
        <v>305</v>
      </c>
      <c r="N3356" s="374"/>
      <c r="O3356" s="374">
        <f t="shared" si="565"/>
        <v>1</v>
      </c>
      <c r="P3356" s="156">
        <f>312+319</f>
        <v>631</v>
      </c>
      <c r="Q3356" s="98">
        <f t="shared" si="566"/>
        <v>0.99841772151898733</v>
      </c>
      <c r="R3356" s="371"/>
      <c r="S3356" s="372"/>
      <c r="T3356" s="364"/>
      <c r="U3356" s="264"/>
      <c r="V3356" s="264" t="s">
        <v>1849</v>
      </c>
      <c r="W3356" s="424">
        <v>46268</v>
      </c>
      <c r="X3356" s="264" t="s">
        <v>1867</v>
      </c>
      <c r="Y3356" s="424">
        <v>46279</v>
      </c>
      <c r="Z3356" s="424">
        <v>46267</v>
      </c>
      <c r="AA3356" s="424">
        <v>46266</v>
      </c>
      <c r="AB3356" s="424"/>
      <c r="AC3356" s="425">
        <f t="shared" si="559"/>
        <v>1</v>
      </c>
      <c r="AD3356" s="472">
        <f xml:space="preserve"> IF((Y3356-A3356)&lt;0,"未收到",Y3356-A3356)-7</f>
        <v>5</v>
      </c>
    </row>
    <row r="3357" spans="1:30" s="381" customFormat="1" x14ac:dyDescent="0.4">
      <c r="A3357" s="402">
        <v>46267</v>
      </c>
      <c r="B3357" s="392" t="s">
        <v>73</v>
      </c>
      <c r="C3357" s="375" t="str">
        <f>VLOOKUP(B3357,'112年全品項生產鍋數'!A:H,2,0)</f>
        <v>顆粒花生醬(1*12KG)</v>
      </c>
      <c r="D3357" s="406">
        <v>21</v>
      </c>
      <c r="E3357" s="141">
        <f>VLOOKUP(B3357,'112年全品項生產鍋數'!A:H,3,0)</f>
        <v>3</v>
      </c>
      <c r="F3357" s="142">
        <f>VLOOKUP(B3357,'112年全品項生產鍋數'!A:H,7,0)</f>
        <v>29.7</v>
      </c>
      <c r="G3357" s="143">
        <f t="shared" si="561"/>
        <v>623.69999999999993</v>
      </c>
      <c r="H3357" s="156">
        <v>628</v>
      </c>
      <c r="I3357" s="374">
        <f t="shared" si="562"/>
        <v>1884</v>
      </c>
      <c r="J3357" s="100">
        <f t="shared" si="563"/>
        <v>1.0068943402276738</v>
      </c>
      <c r="K3357" s="51">
        <f>VLOOKUP(B:B,'生產達成率(目標)'!A:C,3,0)</f>
        <v>1</v>
      </c>
      <c r="L3357" s="20">
        <f t="shared" si="564"/>
        <v>7.0000000000000001E-3</v>
      </c>
      <c r="M3357" s="137" t="str">
        <f>工時!R2545</f>
        <v>510</v>
      </c>
      <c r="N3357" s="374"/>
      <c r="O3357" s="374">
        <f t="shared" si="565"/>
        <v>0</v>
      </c>
      <c r="P3357" s="156">
        <v>628</v>
      </c>
      <c r="Q3357" s="145">
        <f t="shared" si="566"/>
        <v>1</v>
      </c>
      <c r="R3357" s="374"/>
      <c r="S3357" s="378"/>
      <c r="T3357" s="375" t="s">
        <v>1153</v>
      </c>
      <c r="U3357" s="398"/>
      <c r="V3357" s="398" t="s">
        <v>1847</v>
      </c>
      <c r="W3357" s="427">
        <v>46267</v>
      </c>
      <c r="X3357" s="398" t="s">
        <v>1847</v>
      </c>
      <c r="Y3357" s="427">
        <v>46267</v>
      </c>
      <c r="Z3357" s="427"/>
      <c r="AA3357" s="427">
        <v>46265</v>
      </c>
      <c r="AB3357" s="427"/>
      <c r="AC3357" s="429">
        <f t="shared" si="559"/>
        <v>0</v>
      </c>
      <c r="AD3357" s="429">
        <f t="shared" si="560"/>
        <v>0</v>
      </c>
    </row>
    <row r="3358" spans="1:30" s="8" customFormat="1" x14ac:dyDescent="0.4">
      <c r="A3358" s="440">
        <v>46267</v>
      </c>
      <c r="B3358" s="441" t="s">
        <v>597</v>
      </c>
      <c r="C3358" s="97" t="str">
        <f>VLOOKUP(B3358,'112年全品項生產鍋數'!A:H,2,0)</f>
        <v>無加糖花生醬(1*290g)</v>
      </c>
      <c r="D3358" s="442">
        <v>8</v>
      </c>
      <c r="E3358" s="443">
        <f>VLOOKUP(B3358,'112年全品項生產鍋數'!A:H,3,0)</f>
        <v>0.28999999999999998</v>
      </c>
      <c r="F3358" s="444">
        <f>VLOOKUP(B3358,'112年全品項生產鍋數'!A:H,7,0)</f>
        <v>388</v>
      </c>
      <c r="G3358" s="445">
        <f t="shared" si="561"/>
        <v>3104</v>
      </c>
      <c r="H3358" s="446">
        <v>3328</v>
      </c>
      <c r="I3358" s="447">
        <f t="shared" si="562"/>
        <v>965.11999999999989</v>
      </c>
      <c r="J3358" s="448">
        <f t="shared" si="563"/>
        <v>1.0721649484536082</v>
      </c>
      <c r="K3358" s="449">
        <f>VLOOKUP(B:B,'生產達成率(目標)'!A:C,3,0)</f>
        <v>1</v>
      </c>
      <c r="L3358" s="450">
        <f t="shared" si="564"/>
        <v>7.1999999999999995E-2</v>
      </c>
      <c r="M3358" s="451" t="str">
        <f>工時!R2546</f>
        <v>210</v>
      </c>
      <c r="N3358" s="447"/>
      <c r="O3358" s="447">
        <f t="shared" si="565"/>
        <v>3328</v>
      </c>
      <c r="P3358" s="446"/>
      <c r="Q3358" s="452">
        <f t="shared" si="566"/>
        <v>0</v>
      </c>
      <c r="R3358" s="447"/>
      <c r="S3358" s="453"/>
      <c r="T3358" s="97" t="s">
        <v>1725</v>
      </c>
      <c r="U3358" s="454"/>
      <c r="V3358" s="454" t="s">
        <v>1848</v>
      </c>
      <c r="W3358" s="455">
        <v>46267</v>
      </c>
      <c r="X3358" s="454" t="s">
        <v>1848</v>
      </c>
      <c r="Y3358" s="455">
        <v>46267</v>
      </c>
      <c r="Z3358" s="455"/>
      <c r="AA3358" s="455">
        <v>46265</v>
      </c>
      <c r="AB3358" s="455"/>
      <c r="AC3358" s="456">
        <f t="shared" si="559"/>
        <v>0</v>
      </c>
      <c r="AD3358" s="456">
        <f t="shared" si="560"/>
        <v>0</v>
      </c>
    </row>
    <row r="3359" spans="1:30" s="361" customFormat="1" x14ac:dyDescent="0.4">
      <c r="A3359" s="402">
        <v>46267</v>
      </c>
      <c r="B3359" s="392" t="s">
        <v>65</v>
      </c>
      <c r="C3359" s="364" t="str">
        <f>VLOOKUP(B3359,'112年全品項生產鍋數'!A:H,2,0)</f>
        <v>＃1花生(1*2.8kg)</v>
      </c>
      <c r="D3359" s="404">
        <v>32</v>
      </c>
      <c r="E3359" s="48">
        <f>VLOOKUP(B3359,'112年全品項生產鍋數'!A:H,3,0)</f>
        <v>2.8</v>
      </c>
      <c r="F3359" s="142">
        <f>VLOOKUP(B3359,'112年全品項生產鍋數'!A:H,7,0)</f>
        <v>44.5</v>
      </c>
      <c r="G3359" s="143">
        <f>D3359*F3359-25*18/2.8</f>
        <v>1263.2857142857142</v>
      </c>
      <c r="H3359" s="156">
        <f>300+983</f>
        <v>1283</v>
      </c>
      <c r="I3359" s="371">
        <f t="shared" si="562"/>
        <v>3592.3999999999996</v>
      </c>
      <c r="J3359" s="100">
        <f t="shared" si="563"/>
        <v>1.0156055637227186</v>
      </c>
      <c r="K3359" s="51">
        <f>VLOOKUP(B:B,'生產達成率(目標)'!A:C,3,0)</f>
        <v>1</v>
      </c>
      <c r="L3359" s="20">
        <f t="shared" si="564"/>
        <v>1.6E-2</v>
      </c>
      <c r="M3359" s="137" t="str">
        <f>工時!R2547</f>
        <v>360</v>
      </c>
      <c r="N3359" s="374"/>
      <c r="O3359" s="374">
        <f t="shared" si="565"/>
        <v>1</v>
      </c>
      <c r="P3359" s="156">
        <f>300+982</f>
        <v>1282</v>
      </c>
      <c r="Q3359" s="98">
        <f t="shared" si="566"/>
        <v>0.99922057677318787</v>
      </c>
      <c r="R3359" s="371"/>
      <c r="S3359" s="372"/>
      <c r="T3359" s="364" t="s">
        <v>1863</v>
      </c>
      <c r="U3359" s="264"/>
      <c r="V3359" s="264" t="s">
        <v>1848</v>
      </c>
      <c r="W3359" s="424">
        <v>46267</v>
      </c>
      <c r="X3359" s="264" t="s">
        <v>1848</v>
      </c>
      <c r="Y3359" s="424">
        <v>46267</v>
      </c>
      <c r="Z3359" s="424"/>
      <c r="AA3359" s="424">
        <v>46265</v>
      </c>
      <c r="AB3359" s="424"/>
      <c r="AC3359" s="425">
        <f t="shared" ref="AC3359:AC3416" si="567" xml:space="preserve"> IF((W3359-A3359)&lt;0,"未收到",W3359-A3359)</f>
        <v>0</v>
      </c>
      <c r="AD3359" s="425">
        <f t="shared" ref="AD3359:AD3416" si="568" xml:space="preserve"> IF((Y3359-A3359)&lt;0,"未收到",Y3359-A3359)</f>
        <v>0</v>
      </c>
    </row>
    <row r="3360" spans="1:30" s="361" customFormat="1" x14ac:dyDescent="0.4">
      <c r="A3360" s="402">
        <v>46268</v>
      </c>
      <c r="B3360" s="392" t="s">
        <v>71</v>
      </c>
      <c r="C3360" s="364" t="str">
        <f>VLOOKUP(B3360,'112年全品項生產鍋數'!A:H,2,0)</f>
        <v>＃1草莓(1*3.2kg)</v>
      </c>
      <c r="D3360" s="404">
        <v>64</v>
      </c>
      <c r="E3360" s="48">
        <f>VLOOKUP(B3360,'112年全品項生產鍋數'!A:H,3,0)</f>
        <v>3.2</v>
      </c>
      <c r="F3360" s="142">
        <f>VLOOKUP(B3360,'112年全品項生產鍋數'!A:H,7,0)</f>
        <v>46.8</v>
      </c>
      <c r="G3360" s="143">
        <f t="shared" si="561"/>
        <v>2995.2</v>
      </c>
      <c r="H3360" s="156">
        <v>2999</v>
      </c>
      <c r="I3360" s="371">
        <f t="shared" si="562"/>
        <v>9596.8000000000011</v>
      </c>
      <c r="J3360" s="100">
        <f t="shared" si="563"/>
        <v>1.0012686965811965</v>
      </c>
      <c r="K3360" s="51">
        <f>VLOOKUP(B:B,'生產達成率(目標)'!A:C,3,0)</f>
        <v>1</v>
      </c>
      <c r="L3360" s="20">
        <f t="shared" si="564"/>
        <v>1E-3</v>
      </c>
      <c r="M3360" s="137" t="str">
        <f>工時!R2548</f>
        <v>515</v>
      </c>
      <c r="N3360" s="374"/>
      <c r="O3360" s="374">
        <f t="shared" si="565"/>
        <v>4</v>
      </c>
      <c r="P3360" s="156">
        <v>2995</v>
      </c>
      <c r="Q3360" s="98">
        <f t="shared" si="566"/>
        <v>0.99866622207402467</v>
      </c>
      <c r="R3360" s="371"/>
      <c r="S3360" s="372"/>
      <c r="T3360" s="364" t="s">
        <v>1153</v>
      </c>
      <c r="U3360" s="264"/>
      <c r="V3360" s="264" t="s">
        <v>1849</v>
      </c>
      <c r="W3360" s="424">
        <v>46279</v>
      </c>
      <c r="X3360" s="264" t="s">
        <v>1867</v>
      </c>
      <c r="Y3360" s="424">
        <v>46279</v>
      </c>
      <c r="Z3360" s="424">
        <v>46268</v>
      </c>
      <c r="AA3360" s="424" t="s">
        <v>426</v>
      </c>
      <c r="AB3360" s="424"/>
      <c r="AC3360" s="473">
        <f xml:space="preserve"> IF((W3360-A3360)&lt;0,"未收到",W3360-A3360)-7</f>
        <v>4</v>
      </c>
      <c r="AD3360" s="472">
        <f xml:space="preserve"> IF((Y3360-A3360)&lt;0,"未收到",Y3360-A3360)-7</f>
        <v>4</v>
      </c>
    </row>
    <row r="3361" spans="1:30" s="361" customFormat="1" x14ac:dyDescent="0.4">
      <c r="A3361" s="402">
        <v>46268</v>
      </c>
      <c r="B3361" s="392" t="s">
        <v>1745</v>
      </c>
      <c r="C3361" s="364" t="str">
        <f>VLOOKUP(B3361,'112年全品項生產鍋數'!A:H,2,0)</f>
        <v>草莓果醬(1*6KG)</v>
      </c>
      <c r="D3361" s="404">
        <v>8</v>
      </c>
      <c r="E3361" s="48">
        <f>VLOOKUP(B3361,'112年全品項生產鍋數'!A:H,3,0)</f>
        <v>6</v>
      </c>
      <c r="F3361" s="142">
        <f>VLOOKUP(B3361,'112年全品項生產鍋數'!A:H,7,0)</f>
        <v>0</v>
      </c>
      <c r="G3361" s="143">
        <f t="shared" si="561"/>
        <v>0</v>
      </c>
      <c r="H3361" s="156">
        <v>368</v>
      </c>
      <c r="I3361" s="371">
        <f t="shared" si="562"/>
        <v>2208</v>
      </c>
      <c r="J3361" s="100" t="str">
        <f t="shared" si="563"/>
        <v>無法預估數據</v>
      </c>
      <c r="K3361" s="51">
        <f>VLOOKUP(B:B,'生產達成率(目標)'!A:C,3,0)</f>
        <v>1</v>
      </c>
      <c r="L3361" s="20" t="str">
        <f t="shared" si="564"/>
        <v>無法預估數據</v>
      </c>
      <c r="M3361" s="137" t="str">
        <f>工時!R2549</f>
        <v>180</v>
      </c>
      <c r="N3361" s="374"/>
      <c r="O3361" s="374">
        <f t="shared" si="565"/>
        <v>2</v>
      </c>
      <c r="P3361" s="156">
        <v>366</v>
      </c>
      <c r="Q3361" s="98">
        <f t="shared" si="566"/>
        <v>0.99456521739130432</v>
      </c>
      <c r="R3361" s="371"/>
      <c r="S3361" s="372"/>
      <c r="T3361" s="364" t="s">
        <v>1153</v>
      </c>
      <c r="U3361" s="264"/>
      <c r="V3361" s="264" t="s">
        <v>1849</v>
      </c>
      <c r="W3361" s="424">
        <v>46279</v>
      </c>
      <c r="X3361" s="264" t="s">
        <v>1867</v>
      </c>
      <c r="Y3361" s="424">
        <v>46279</v>
      </c>
      <c r="Z3361" s="424">
        <v>46268</v>
      </c>
      <c r="AA3361" s="424">
        <v>46266</v>
      </c>
      <c r="AB3361" s="424"/>
      <c r="AC3361" s="473">
        <f xml:space="preserve"> IF((W3361-A3361)&lt;0,"未收到",W3361-A3361)-7</f>
        <v>4</v>
      </c>
      <c r="AD3361" s="472">
        <f xml:space="preserve"> IF((Y3361-A3361)&lt;0,"未收到",Y3361-A3361)-7</f>
        <v>4</v>
      </c>
    </row>
    <row r="3362" spans="1:30" s="361" customFormat="1" x14ac:dyDescent="0.4">
      <c r="A3362" s="402">
        <v>46268</v>
      </c>
      <c r="B3362" s="392" t="s">
        <v>1696</v>
      </c>
      <c r="C3362" s="364" t="str">
        <f>VLOOKUP(B3362,'112年全品項生產鍋數'!A:H,2,0)</f>
        <v>檸檬餡(1*6Kg)</v>
      </c>
      <c r="D3362" s="404">
        <v>1</v>
      </c>
      <c r="E3362" s="48">
        <f>VLOOKUP(B3362,'112年全品項生產鍋數'!A:H,3,0)</f>
        <v>6</v>
      </c>
      <c r="F3362" s="142">
        <f>VLOOKUP(B3362,'112年全品項生產鍋數'!A:H,7,0)</f>
        <v>0</v>
      </c>
      <c r="G3362" s="143">
        <f t="shared" si="561"/>
        <v>0</v>
      </c>
      <c r="H3362" s="156">
        <v>22</v>
      </c>
      <c r="I3362" s="371">
        <f t="shared" si="562"/>
        <v>132</v>
      </c>
      <c r="J3362" s="100" t="str">
        <f t="shared" si="563"/>
        <v>無法預估數據</v>
      </c>
      <c r="K3362" s="51">
        <f>VLOOKUP(B:B,'生產達成率(目標)'!A:C,3,0)</f>
        <v>1</v>
      </c>
      <c r="L3362" s="20" t="str">
        <f t="shared" si="564"/>
        <v>無法預估數據</v>
      </c>
      <c r="M3362" s="137" t="str">
        <f>工時!R2550</f>
        <v>100</v>
      </c>
      <c r="N3362" s="374"/>
      <c r="O3362" s="374">
        <f t="shared" si="565"/>
        <v>0</v>
      </c>
      <c r="P3362" s="156">
        <v>22</v>
      </c>
      <c r="Q3362" s="98">
        <f t="shared" si="566"/>
        <v>1</v>
      </c>
      <c r="R3362" s="371"/>
      <c r="S3362" s="372"/>
      <c r="T3362" s="364" t="s">
        <v>1153</v>
      </c>
      <c r="U3362" s="264"/>
      <c r="V3362" s="264" t="s">
        <v>1847</v>
      </c>
      <c r="W3362" s="424">
        <v>46268</v>
      </c>
      <c r="X3362" s="264" t="s">
        <v>1867</v>
      </c>
      <c r="Y3362" s="424">
        <v>46279</v>
      </c>
      <c r="Z3362" s="424">
        <v>46268</v>
      </c>
      <c r="AA3362" s="424">
        <v>46266</v>
      </c>
      <c r="AB3362" s="424"/>
      <c r="AC3362" s="425">
        <f t="shared" si="567"/>
        <v>0</v>
      </c>
      <c r="AD3362" s="472">
        <f xml:space="preserve"> IF((Y3362-A3362)&lt;0,"未收到",Y3362-A3362)-7</f>
        <v>4</v>
      </c>
    </row>
    <row r="3363" spans="1:30" s="361" customFormat="1" x14ac:dyDescent="0.4">
      <c r="A3363" s="402">
        <v>46268</v>
      </c>
      <c r="B3363" s="392" t="s">
        <v>1737</v>
      </c>
      <c r="C3363" s="364" t="str">
        <f>VLOOKUP(B3363,'112年全品項生產鍋數'!A:H,2,0)</f>
        <v>藍莓餡(1*6Kg)</v>
      </c>
      <c r="D3363" s="404">
        <v>16</v>
      </c>
      <c r="E3363" s="48">
        <f>VLOOKUP(B3363,'112年全品項生產鍋數'!A:H,3,0)</f>
        <v>6</v>
      </c>
      <c r="F3363" s="142">
        <f>VLOOKUP(B3363,'112年全品項生產鍋數'!A:H,7,0)</f>
        <v>0</v>
      </c>
      <c r="G3363" s="143">
        <f t="shared" si="561"/>
        <v>0</v>
      </c>
      <c r="H3363" s="156">
        <v>411</v>
      </c>
      <c r="I3363" s="371">
        <f t="shared" si="562"/>
        <v>2466</v>
      </c>
      <c r="J3363" s="100" t="str">
        <f t="shared" si="563"/>
        <v>無法預估數據</v>
      </c>
      <c r="K3363" s="51">
        <f>VLOOKUP(B:B,'生產達成率(目標)'!A:C,3,0)</f>
        <v>1</v>
      </c>
      <c r="L3363" s="20" t="str">
        <f t="shared" si="564"/>
        <v>無法預估數據</v>
      </c>
      <c r="M3363" s="137" t="str">
        <f>工時!R2551</f>
        <v>210</v>
      </c>
      <c r="N3363" s="374"/>
      <c r="O3363" s="374">
        <f t="shared" si="565"/>
        <v>3</v>
      </c>
      <c r="P3363" s="156">
        <v>408</v>
      </c>
      <c r="Q3363" s="98">
        <f t="shared" si="566"/>
        <v>0.99270072992700731</v>
      </c>
      <c r="R3363" s="371"/>
      <c r="S3363" s="372"/>
      <c r="T3363" s="364" t="s">
        <v>1153</v>
      </c>
      <c r="U3363" s="264"/>
      <c r="V3363" s="264" t="s">
        <v>1847</v>
      </c>
      <c r="W3363" s="424">
        <v>46268</v>
      </c>
      <c r="X3363" s="264" t="s">
        <v>1867</v>
      </c>
      <c r="Y3363" s="424">
        <v>46279</v>
      </c>
      <c r="Z3363" s="424">
        <v>46268</v>
      </c>
      <c r="AA3363" s="424">
        <v>46266</v>
      </c>
      <c r="AB3363" s="424"/>
      <c r="AC3363" s="425">
        <f t="shared" si="567"/>
        <v>0</v>
      </c>
      <c r="AD3363" s="472">
        <f xml:space="preserve"> IF((Y3363-A3363)&lt;0,"未收到",Y3363-A3363)-7</f>
        <v>4</v>
      </c>
    </row>
    <row r="3364" spans="1:30" s="361" customFormat="1" x14ac:dyDescent="0.4">
      <c r="A3364" s="402">
        <v>46268</v>
      </c>
      <c r="B3364" s="392" t="s">
        <v>1753</v>
      </c>
      <c r="C3364" s="364" t="str">
        <f>VLOOKUP(B3364,'112年全品項生產鍋數'!A:H,2,0)</f>
        <v>上好佳藍莓餡(大)4.5KG</v>
      </c>
      <c r="D3364" s="404">
        <v>12</v>
      </c>
      <c r="E3364" s="48">
        <f>VLOOKUP(B3364,'112年全品項生產鍋數'!A:H,3,0)</f>
        <v>4.5</v>
      </c>
      <c r="F3364" s="142">
        <f>VLOOKUP(B3364,'112年全品項生產鍋數'!A:H,7,0)</f>
        <v>37</v>
      </c>
      <c r="G3364" s="143">
        <f t="shared" si="561"/>
        <v>444</v>
      </c>
      <c r="H3364" s="156">
        <v>443</v>
      </c>
      <c r="I3364" s="371">
        <f t="shared" si="562"/>
        <v>1993.5</v>
      </c>
      <c r="J3364" s="100">
        <f t="shared" si="563"/>
        <v>0.99774774774774777</v>
      </c>
      <c r="K3364" s="51" t="e">
        <f>VLOOKUP(B:B,'生產達成率(目標)'!A:C,3,0)</f>
        <v>#N/A</v>
      </c>
      <c r="L3364" s="20" t="e">
        <f t="shared" si="564"/>
        <v>#N/A</v>
      </c>
      <c r="M3364" s="137" t="str">
        <f>工時!R2552</f>
        <v>233</v>
      </c>
      <c r="N3364" s="374"/>
      <c r="O3364" s="374">
        <f t="shared" si="565"/>
        <v>0</v>
      </c>
      <c r="P3364" s="156">
        <v>443</v>
      </c>
      <c r="Q3364" s="98">
        <f t="shared" si="566"/>
        <v>1</v>
      </c>
      <c r="R3364" s="371"/>
      <c r="S3364" s="372"/>
      <c r="T3364" s="364" t="s">
        <v>1153</v>
      </c>
      <c r="U3364" s="264"/>
      <c r="V3364" s="264" t="s">
        <v>1847</v>
      </c>
      <c r="W3364" s="424">
        <v>46269</v>
      </c>
      <c r="X3364" s="264" t="s">
        <v>1867</v>
      </c>
      <c r="Y3364" s="424">
        <v>46280</v>
      </c>
      <c r="Z3364" s="424">
        <v>46268</v>
      </c>
      <c r="AA3364" s="424">
        <v>46266</v>
      </c>
      <c r="AB3364" s="424"/>
      <c r="AC3364" s="425">
        <f t="shared" si="567"/>
        <v>1</v>
      </c>
      <c r="AD3364" s="472">
        <f t="shared" ref="AD3364:AD3365" si="569" xml:space="preserve"> IF((Y3364-A3364)&lt;0,"未收到",Y3364-A3364)-7</f>
        <v>5</v>
      </c>
    </row>
    <row r="3365" spans="1:30" s="361" customFormat="1" x14ac:dyDescent="0.4">
      <c r="A3365" s="402">
        <v>46268</v>
      </c>
      <c r="B3365" s="392" t="s">
        <v>118</v>
      </c>
      <c r="C3365" s="364" t="str">
        <f>VLOOKUP(B3365,'112年全品項生產鍋數'!A:H,2,0)</f>
        <v>草莓餡(1*4.5kg)</v>
      </c>
      <c r="D3365" s="404">
        <v>4</v>
      </c>
      <c r="E3365" s="48">
        <f>VLOOKUP(B3365,'112年全品項生產鍋數'!A:H,3,0)</f>
        <v>4.5</v>
      </c>
      <c r="F3365" s="142">
        <f>VLOOKUP(B3365,'112年全品項生產鍋數'!A:H,7,0)</f>
        <v>34.5</v>
      </c>
      <c r="G3365" s="143">
        <f t="shared" si="561"/>
        <v>138</v>
      </c>
      <c r="H3365" s="156">
        <v>139</v>
      </c>
      <c r="I3365" s="371">
        <f t="shared" si="562"/>
        <v>625.5</v>
      </c>
      <c r="J3365" s="100">
        <f t="shared" si="563"/>
        <v>1.0072463768115942</v>
      </c>
      <c r="K3365" s="51">
        <f>VLOOKUP(B:B,'生產達成率(目標)'!A:C,3,0)</f>
        <v>1</v>
      </c>
      <c r="L3365" s="20">
        <f t="shared" si="564"/>
        <v>7.0000000000000001E-3</v>
      </c>
      <c r="M3365" s="137" t="str">
        <f>工時!R2553</f>
        <v>63</v>
      </c>
      <c r="N3365" s="374"/>
      <c r="O3365" s="374">
        <f t="shared" si="565"/>
        <v>0</v>
      </c>
      <c r="P3365" s="156">
        <v>139</v>
      </c>
      <c r="Q3365" s="98">
        <f t="shared" si="566"/>
        <v>1</v>
      </c>
      <c r="R3365" s="371"/>
      <c r="S3365" s="372"/>
      <c r="T3365" s="364" t="s">
        <v>1153</v>
      </c>
      <c r="U3365" s="264"/>
      <c r="V3365" s="264" t="s">
        <v>1847</v>
      </c>
      <c r="W3365" s="424">
        <v>46269</v>
      </c>
      <c r="X3365" s="264" t="s">
        <v>1867</v>
      </c>
      <c r="Y3365" s="424">
        <v>46280</v>
      </c>
      <c r="Z3365" s="424">
        <v>46268</v>
      </c>
      <c r="AA3365" s="424">
        <v>46266</v>
      </c>
      <c r="AB3365" s="424"/>
      <c r="AC3365" s="425">
        <f t="shared" si="567"/>
        <v>1</v>
      </c>
      <c r="AD3365" s="472">
        <f t="shared" si="569"/>
        <v>5</v>
      </c>
    </row>
    <row r="3366" spans="1:30" s="361" customFormat="1" x14ac:dyDescent="0.4">
      <c r="A3366" s="402">
        <v>46268</v>
      </c>
      <c r="B3366" s="392" t="s">
        <v>82</v>
      </c>
      <c r="C3366" s="364" t="str">
        <f>VLOOKUP(B3366,'112年全品項生產鍋數'!A:H,2,0)</f>
        <v>顆粒花生醬(全)</v>
      </c>
      <c r="D3366" s="404">
        <v>20</v>
      </c>
      <c r="E3366" s="48">
        <f>VLOOKUP(B3366,'112年全品項生產鍋數'!A:H,3,0)</f>
        <v>0.34</v>
      </c>
      <c r="F3366" s="142">
        <f>VLOOKUP(B3366,'112年全品項生產鍋數'!A:H,7,0)</f>
        <v>364.6</v>
      </c>
      <c r="G3366" s="143">
        <f t="shared" si="561"/>
        <v>7292</v>
      </c>
      <c r="H3366" s="156">
        <v>7454</v>
      </c>
      <c r="I3366" s="371">
        <f t="shared" si="562"/>
        <v>2534.36</v>
      </c>
      <c r="J3366" s="100">
        <f t="shared" si="563"/>
        <v>1.0222161272627537</v>
      </c>
      <c r="K3366" s="51">
        <f>VLOOKUP(B:B,'生產達成率(目標)'!A:C,3,0)</f>
        <v>1</v>
      </c>
      <c r="L3366" s="20">
        <f t="shared" si="564"/>
        <v>2.1999999999999999E-2</v>
      </c>
      <c r="M3366" s="137" t="str">
        <f>工時!R2554</f>
        <v>385</v>
      </c>
      <c r="N3366" s="374"/>
      <c r="O3366" s="374">
        <f t="shared" si="565"/>
        <v>3</v>
      </c>
      <c r="P3366" s="156">
        <v>7451</v>
      </c>
      <c r="Q3366" s="98">
        <f t="shared" si="566"/>
        <v>0.99959753152669706</v>
      </c>
      <c r="R3366" s="371"/>
      <c r="S3366" s="372"/>
      <c r="T3366" s="364"/>
      <c r="U3366" s="264"/>
      <c r="V3366" s="264" t="s">
        <v>1848</v>
      </c>
      <c r="W3366" s="424">
        <v>46269</v>
      </c>
      <c r="X3366" s="264" t="s">
        <v>1848</v>
      </c>
      <c r="Y3366" s="424">
        <v>46269</v>
      </c>
      <c r="Z3366" s="424"/>
      <c r="AA3366" s="424">
        <v>46267</v>
      </c>
      <c r="AB3366" s="424" t="s">
        <v>1872</v>
      </c>
      <c r="AC3366" s="425">
        <f t="shared" si="567"/>
        <v>1</v>
      </c>
      <c r="AD3366" s="425">
        <f t="shared" si="568"/>
        <v>1</v>
      </c>
    </row>
    <row r="3367" spans="1:30" s="361" customFormat="1" x14ac:dyDescent="0.4">
      <c r="A3367" s="402">
        <v>46268</v>
      </c>
      <c r="B3367" s="392" t="s">
        <v>58</v>
      </c>
      <c r="C3367" s="364" t="str">
        <f>VLOOKUP(B3367,'112年全品項生產鍋數'!A:H,2,0)</f>
        <v>PET大花生(1*400g)</v>
      </c>
      <c r="D3367" s="404">
        <v>20</v>
      </c>
      <c r="E3367" s="48">
        <f>VLOOKUP(B3367,'112年全品項生產鍋數'!A:H,3,0)</f>
        <v>0.4</v>
      </c>
      <c r="F3367" s="142">
        <f>VLOOKUP(B3367,'112年全品項生產鍋數'!A:H,7,0)</f>
        <v>309.2</v>
      </c>
      <c r="G3367" s="143">
        <f t="shared" si="561"/>
        <v>6184</v>
      </c>
      <c r="H3367" s="156">
        <v>6197</v>
      </c>
      <c r="I3367" s="371">
        <f t="shared" si="562"/>
        <v>2478.8000000000002</v>
      </c>
      <c r="J3367" s="100">
        <f t="shared" si="563"/>
        <v>1.0021021992238033</v>
      </c>
      <c r="K3367" s="51">
        <f>VLOOKUP(B:B,'生產達成率(目標)'!A:C,3,0)</f>
        <v>1</v>
      </c>
      <c r="L3367" s="20">
        <f t="shared" si="564"/>
        <v>2E-3</v>
      </c>
      <c r="M3367" s="137" t="str">
        <f>工時!R2555</f>
        <v>265</v>
      </c>
      <c r="N3367" s="374"/>
      <c r="O3367" s="374">
        <f t="shared" si="565"/>
        <v>3</v>
      </c>
      <c r="P3367" s="156">
        <v>6194</v>
      </c>
      <c r="Q3367" s="98">
        <f t="shared" si="566"/>
        <v>0.99951589478780056</v>
      </c>
      <c r="R3367" s="371"/>
      <c r="S3367" s="372"/>
      <c r="T3367" s="364"/>
      <c r="U3367" s="264"/>
      <c r="V3367" s="264" t="s">
        <v>1848</v>
      </c>
      <c r="W3367" s="424">
        <v>46269</v>
      </c>
      <c r="X3367" s="264" t="s">
        <v>1848</v>
      </c>
      <c r="Y3367" s="424">
        <v>46269</v>
      </c>
      <c r="Z3367" s="424"/>
      <c r="AA3367" s="424">
        <v>46267</v>
      </c>
      <c r="AB3367" s="424" t="s">
        <v>1807</v>
      </c>
      <c r="AC3367" s="425">
        <f t="shared" si="567"/>
        <v>1</v>
      </c>
      <c r="AD3367" s="425">
        <f t="shared" si="568"/>
        <v>1</v>
      </c>
    </row>
    <row r="3368" spans="1:30" s="361" customFormat="1" x14ac:dyDescent="0.4">
      <c r="A3368" s="402">
        <v>46269</v>
      </c>
      <c r="B3368" s="392" t="s">
        <v>61</v>
      </c>
      <c r="C3368" s="364" t="str">
        <f>VLOOKUP(B3368,'112年全品項生產鍋數'!A:H,2,0)</f>
        <v>大圓草莓-新</v>
      </c>
      <c r="D3368" s="404">
        <v>24</v>
      </c>
      <c r="E3368" s="48">
        <f>VLOOKUP(B3368,'112年全品項生產鍋數'!A:H,3,0)</f>
        <v>0.44</v>
      </c>
      <c r="F3368" s="142">
        <f>VLOOKUP(B3368,'112年全品項生產鍋數'!A:H,7,0)</f>
        <v>344</v>
      </c>
      <c r="G3368" s="143">
        <f t="shared" si="561"/>
        <v>8256</v>
      </c>
      <c r="H3368" s="156">
        <v>8165</v>
      </c>
      <c r="I3368" s="371">
        <f t="shared" si="562"/>
        <v>3592.6</v>
      </c>
      <c r="J3368" s="100">
        <f t="shared" si="563"/>
        <v>0.98897771317829453</v>
      </c>
      <c r="K3368" s="51">
        <f>VLOOKUP(B:B,'生產達成率(目標)'!A:C,3,0)</f>
        <v>1</v>
      </c>
      <c r="L3368" s="20">
        <f t="shared" si="564"/>
        <v>-1.0999999999999999E-2</v>
      </c>
      <c r="M3368" s="137" t="str">
        <f>工時!R2556</f>
        <v>340</v>
      </c>
      <c r="N3368" s="374"/>
      <c r="O3368" s="374">
        <f t="shared" si="565"/>
        <v>8</v>
      </c>
      <c r="P3368" s="156">
        <v>8157</v>
      </c>
      <c r="Q3368" s="98">
        <f t="shared" si="566"/>
        <v>0.99902020820575632</v>
      </c>
      <c r="R3368" s="371"/>
      <c r="S3368" s="372"/>
      <c r="T3368" s="364"/>
      <c r="U3368" s="264"/>
      <c r="V3368" s="264" t="s">
        <v>1849</v>
      </c>
      <c r="W3368" s="424">
        <v>46279</v>
      </c>
      <c r="X3368" s="264" t="s">
        <v>1867</v>
      </c>
      <c r="Y3368" s="424">
        <v>46279</v>
      </c>
      <c r="Z3368" s="424">
        <v>46269</v>
      </c>
      <c r="AA3368" s="424"/>
      <c r="AB3368" s="424"/>
      <c r="AC3368" s="473">
        <f xml:space="preserve"> IF((W3368-A3368)&lt;0,"未收到",W3368-A3368)-7</f>
        <v>3</v>
      </c>
      <c r="AD3368" s="472">
        <f t="shared" ref="AD3368:AD3369" si="570" xml:space="preserve"> IF((Y3368-A3368)&lt;0,"未收到",Y3368-A3368)-7</f>
        <v>3</v>
      </c>
    </row>
    <row r="3369" spans="1:30" s="361" customFormat="1" x14ac:dyDescent="0.4">
      <c r="A3369" s="402">
        <v>46269</v>
      </c>
      <c r="B3369" s="392" t="s">
        <v>114</v>
      </c>
      <c r="C3369" s="364" t="str">
        <f>VLOOKUP(B3369,'112年全品項生產鍋數'!A:H,2,0)</f>
        <v>開心草莓果醬(1*430g)</v>
      </c>
      <c r="D3369" s="404">
        <v>12</v>
      </c>
      <c r="E3369" s="48">
        <f>VLOOKUP(B3369,'112年全品項生產鍋數'!A:H,3,0)</f>
        <v>0.43</v>
      </c>
      <c r="F3369" s="142">
        <f>VLOOKUP(B3369,'112年全品項生產鍋數'!A:H,7,0)</f>
        <v>364</v>
      </c>
      <c r="G3369" s="143">
        <f t="shared" si="561"/>
        <v>4368</v>
      </c>
      <c r="H3369" s="156">
        <v>4404</v>
      </c>
      <c r="I3369" s="371">
        <f t="shared" si="562"/>
        <v>1893.72</v>
      </c>
      <c r="J3369" s="100">
        <f t="shared" si="563"/>
        <v>1.0082417582417582</v>
      </c>
      <c r="K3369" s="51">
        <f>VLOOKUP(B:B,'生產達成率(目標)'!A:C,3,0)</f>
        <v>1</v>
      </c>
      <c r="L3369" s="20">
        <f t="shared" si="564"/>
        <v>8.0000000000000002E-3</v>
      </c>
      <c r="M3369" s="137" t="str">
        <f>工時!R2557</f>
        <v>300</v>
      </c>
      <c r="N3369" s="374"/>
      <c r="O3369" s="374">
        <f t="shared" si="565"/>
        <v>11</v>
      </c>
      <c r="P3369" s="156">
        <v>4393</v>
      </c>
      <c r="Q3369" s="98">
        <f t="shared" si="566"/>
        <v>0.99750227066303365</v>
      </c>
      <c r="R3369" s="371"/>
      <c r="S3369" s="372"/>
      <c r="T3369" s="364"/>
      <c r="U3369" s="264"/>
      <c r="V3369" s="264" t="s">
        <v>1849</v>
      </c>
      <c r="W3369" s="424">
        <v>46279</v>
      </c>
      <c r="X3369" s="264" t="s">
        <v>1867</v>
      </c>
      <c r="Y3369" s="424">
        <v>46279</v>
      </c>
      <c r="Z3369" s="424">
        <v>46269</v>
      </c>
      <c r="AA3369" s="424"/>
      <c r="AB3369" s="424"/>
      <c r="AC3369" s="473">
        <f xml:space="preserve"> IF((W3369-A3369)&lt;0,"未收到",W3369-A3369)-7</f>
        <v>3</v>
      </c>
      <c r="AD3369" s="472">
        <f t="shared" si="570"/>
        <v>3</v>
      </c>
    </row>
    <row r="3370" spans="1:30" s="361" customFormat="1" x14ac:dyDescent="0.4">
      <c r="A3370" s="402">
        <v>46269</v>
      </c>
      <c r="B3370" s="392" t="s">
        <v>1162</v>
      </c>
      <c r="C3370" s="364" t="str">
        <f>VLOOKUP(B3370,'112年全品項生產鍋數'!A:H,2,0)</f>
        <v>藍莓餡(1*6KG)</v>
      </c>
      <c r="D3370" s="404">
        <v>24</v>
      </c>
      <c r="E3370" s="48">
        <f>VLOOKUP(B3370,'112年全品項生產鍋數'!A:H,3,0)</f>
        <v>6</v>
      </c>
      <c r="F3370" s="142">
        <f>VLOOKUP(B3370,'112年全品項生產鍋數'!A:H,7,0)</f>
        <v>25.4</v>
      </c>
      <c r="G3370" s="143">
        <f t="shared" si="561"/>
        <v>609.59999999999991</v>
      </c>
      <c r="H3370" s="156">
        <f>306+315</f>
        <v>621</v>
      </c>
      <c r="I3370" s="371">
        <f t="shared" si="562"/>
        <v>3726</v>
      </c>
      <c r="J3370" s="100">
        <f t="shared" si="563"/>
        <v>1.018700787401575</v>
      </c>
      <c r="K3370" s="51" t="e">
        <f>VLOOKUP(B:B,'生產達成率(目標)'!A:C,3,0)</f>
        <v>#N/A</v>
      </c>
      <c r="L3370" s="20" t="e">
        <f t="shared" si="564"/>
        <v>#N/A</v>
      </c>
      <c r="M3370" s="137" t="str">
        <f>工時!R2558</f>
        <v>310</v>
      </c>
      <c r="N3370" s="374"/>
      <c r="O3370" s="374">
        <f t="shared" si="565"/>
        <v>1</v>
      </c>
      <c r="P3370" s="156">
        <f>305+315</f>
        <v>620</v>
      </c>
      <c r="Q3370" s="98">
        <f t="shared" si="566"/>
        <v>0.99838969404186795</v>
      </c>
      <c r="R3370" s="371"/>
      <c r="S3370" s="372"/>
      <c r="T3370" s="364"/>
      <c r="U3370" s="264"/>
      <c r="V3370" s="264" t="s">
        <v>1847</v>
      </c>
      <c r="W3370" s="424">
        <v>46269</v>
      </c>
      <c r="X3370" s="264" t="s">
        <v>1867</v>
      </c>
      <c r="Y3370" s="424">
        <v>46280</v>
      </c>
      <c r="Z3370" s="424">
        <v>46269</v>
      </c>
      <c r="AA3370" s="424"/>
      <c r="AB3370" s="424"/>
      <c r="AC3370" s="425">
        <f t="shared" si="567"/>
        <v>0</v>
      </c>
      <c r="AD3370" s="472">
        <f xml:space="preserve"> IF((Y3370-A3370)&lt;0,"未收到",Y3370-A3370)-7</f>
        <v>4</v>
      </c>
    </row>
    <row r="3371" spans="1:30" s="361" customFormat="1" x14ac:dyDescent="0.4">
      <c r="A3371" s="402">
        <v>46269</v>
      </c>
      <c r="B3371" s="392" t="s">
        <v>63</v>
      </c>
      <c r="C3371" s="364" t="str">
        <f>VLOOKUP(B3371,'112年全品項生產鍋數'!A:H,2,0)</f>
        <v>草莓蒟蒻餡(1*6kg)</v>
      </c>
      <c r="D3371" s="404">
        <v>20</v>
      </c>
      <c r="E3371" s="48">
        <f>VLOOKUP(B3371,'112年全品項生產鍋數'!A:H,3,0)</f>
        <v>6</v>
      </c>
      <c r="F3371" s="142">
        <f>VLOOKUP(B3371,'112年全品項生產鍋數'!A:H,7,0)</f>
        <v>25.7</v>
      </c>
      <c r="G3371" s="143">
        <f t="shared" si="561"/>
        <v>514</v>
      </c>
      <c r="H3371" s="156">
        <f>307+210</f>
        <v>517</v>
      </c>
      <c r="I3371" s="371">
        <f t="shared" si="562"/>
        <v>3102</v>
      </c>
      <c r="J3371" s="100">
        <f t="shared" si="563"/>
        <v>1.0058365758754864</v>
      </c>
      <c r="K3371" s="51">
        <f>VLOOKUP(B:B,'生產達成率(目標)'!A:C,3,0)</f>
        <v>1</v>
      </c>
      <c r="L3371" s="20">
        <f t="shared" si="564"/>
        <v>6.0000000000000001E-3</v>
      </c>
      <c r="M3371" s="137" t="str">
        <f>工時!R2559</f>
        <v>270</v>
      </c>
      <c r="N3371" s="374"/>
      <c r="O3371" s="374">
        <f t="shared" si="565"/>
        <v>1</v>
      </c>
      <c r="P3371" s="156">
        <f>306+210</f>
        <v>516</v>
      </c>
      <c r="Q3371" s="98">
        <f t="shared" si="566"/>
        <v>0.99806576402321079</v>
      </c>
      <c r="R3371" s="371"/>
      <c r="S3371" s="372"/>
      <c r="T3371" s="364"/>
      <c r="U3371" s="264"/>
      <c r="V3371" s="264" t="s">
        <v>1847</v>
      </c>
      <c r="W3371" s="424">
        <v>46269</v>
      </c>
      <c r="X3371" s="264" t="s">
        <v>1867</v>
      </c>
      <c r="Y3371" s="424">
        <v>46280</v>
      </c>
      <c r="Z3371" s="424">
        <v>46269</v>
      </c>
      <c r="AA3371" s="424"/>
      <c r="AB3371" s="424"/>
      <c r="AC3371" s="425">
        <f t="shared" si="567"/>
        <v>0</v>
      </c>
      <c r="AD3371" s="472">
        <f xml:space="preserve"> IF((Y3371-A3371)&lt;0,"未收到",Y3371-A3371)-7</f>
        <v>4</v>
      </c>
    </row>
    <row r="3372" spans="1:30" s="361" customFormat="1" x14ac:dyDescent="0.4">
      <c r="A3372" s="402">
        <v>46269</v>
      </c>
      <c r="B3372" s="392" t="s">
        <v>65</v>
      </c>
      <c r="C3372" s="364" t="str">
        <f>VLOOKUP(B3372,'112年全品項生產鍋數'!A:H,2,0)</f>
        <v>＃1花生(1*2.8kg)</v>
      </c>
      <c r="D3372" s="404">
        <v>68</v>
      </c>
      <c r="E3372" s="48">
        <f>VLOOKUP(B3372,'112年全品項生產鍋數'!A:H,3,0)</f>
        <v>2.8</v>
      </c>
      <c r="F3372" s="142">
        <f>VLOOKUP(B3372,'112年全品項生產鍋數'!A:H,7,0)</f>
        <v>44.5</v>
      </c>
      <c r="G3372" s="143">
        <f t="shared" si="561"/>
        <v>3026</v>
      </c>
      <c r="H3372" s="156">
        <v>3017</v>
      </c>
      <c r="I3372" s="371">
        <f t="shared" si="562"/>
        <v>8447.6</v>
      </c>
      <c r="J3372" s="100">
        <f t="shared" si="563"/>
        <v>0.99702577660277591</v>
      </c>
      <c r="K3372" s="51">
        <f>VLOOKUP(B:B,'生產達成率(目標)'!A:C,3,0)</f>
        <v>1</v>
      </c>
      <c r="L3372" s="20">
        <f t="shared" si="564"/>
        <v>-3.0000000000000001E-3</v>
      </c>
      <c r="M3372" s="137" t="str">
        <f>工時!R2560</f>
        <v>520</v>
      </c>
      <c r="N3372" s="374"/>
      <c r="O3372" s="374">
        <f t="shared" si="565"/>
        <v>1</v>
      </c>
      <c r="P3372" s="156">
        <v>3016</v>
      </c>
      <c r="Q3372" s="98">
        <f t="shared" si="566"/>
        <v>0.99966854491216439</v>
      </c>
      <c r="R3372" s="371"/>
      <c r="S3372" s="372"/>
      <c r="T3372" s="364" t="s">
        <v>1153</v>
      </c>
      <c r="U3372" s="264"/>
      <c r="V3372" s="264" t="s">
        <v>1848</v>
      </c>
      <c r="W3372" s="424">
        <v>46269</v>
      </c>
      <c r="X3372" s="264" t="s">
        <v>1848</v>
      </c>
      <c r="Y3372" s="424">
        <v>46269</v>
      </c>
      <c r="Z3372" s="424"/>
      <c r="AA3372" s="424"/>
      <c r="AB3372" s="424"/>
      <c r="AC3372" s="425">
        <f t="shared" si="567"/>
        <v>0</v>
      </c>
      <c r="AD3372" s="425">
        <f t="shared" si="568"/>
        <v>0</v>
      </c>
    </row>
    <row r="3373" spans="1:30" s="361" customFormat="1" x14ac:dyDescent="0.4">
      <c r="A3373" s="402">
        <v>46269</v>
      </c>
      <c r="B3373" s="392" t="s">
        <v>1866</v>
      </c>
      <c r="C3373" s="364" t="str">
        <f>VLOOKUP(B3373,'112年全品項生產鍋數'!A:H,2,0)</f>
        <v>化應子(1*2.5KG)</v>
      </c>
      <c r="D3373" s="404">
        <v>324</v>
      </c>
      <c r="E3373" s="48">
        <f>VLOOKUP(B3373,'112年全品項生產鍋數'!A:H,3,0)</f>
        <v>2.5</v>
      </c>
      <c r="F3373" s="142">
        <f>VLOOKUP(B3373,'112年全品項生產鍋數'!A:H,7,0)</f>
        <v>0</v>
      </c>
      <c r="G3373" s="143">
        <f t="shared" si="561"/>
        <v>0</v>
      </c>
      <c r="H3373" s="156">
        <v>122</v>
      </c>
      <c r="I3373" s="371">
        <f t="shared" si="562"/>
        <v>305</v>
      </c>
      <c r="J3373" s="100" t="str">
        <f t="shared" si="563"/>
        <v>無法預估數據</v>
      </c>
      <c r="K3373" s="51">
        <f>VLOOKUP(B:B,'生產達成率(目標)'!A:C,3,0)</f>
        <v>1</v>
      </c>
      <c r="L3373" s="20" t="str">
        <f t="shared" si="564"/>
        <v>無法預估數據</v>
      </c>
      <c r="M3373" s="137" t="str">
        <f>工時!R2561</f>
        <v>0</v>
      </c>
      <c r="N3373" s="374"/>
      <c r="O3373" s="374">
        <f t="shared" si="565"/>
        <v>0</v>
      </c>
      <c r="P3373" s="156">
        <v>122</v>
      </c>
      <c r="Q3373" s="98">
        <f t="shared" si="566"/>
        <v>1</v>
      </c>
      <c r="R3373" s="371"/>
      <c r="S3373" s="372"/>
      <c r="T3373" s="364" t="s">
        <v>1153</v>
      </c>
      <c r="U3373" s="264"/>
      <c r="V3373" s="264" t="s">
        <v>1850</v>
      </c>
      <c r="W3373" s="424">
        <v>46279</v>
      </c>
      <c r="X3373" s="264" t="s">
        <v>1710</v>
      </c>
      <c r="Y3373" s="424" t="s">
        <v>1884</v>
      </c>
      <c r="Z3373" s="424"/>
      <c r="AA3373" s="424"/>
      <c r="AB3373" s="424"/>
      <c r="AC3373" s="473">
        <f xml:space="preserve"> IF((W3373-A3373)&lt;0,"未收到",W3373-A3373)-7</f>
        <v>3</v>
      </c>
      <c r="AD3373" s="425">
        <v>0</v>
      </c>
    </row>
    <row r="3374" spans="1:30" s="361" customFormat="1" x14ac:dyDescent="0.4">
      <c r="A3374" s="402">
        <v>46279</v>
      </c>
      <c r="B3374" s="392" t="s">
        <v>1162</v>
      </c>
      <c r="C3374" s="364" t="str">
        <f>VLOOKUP(B3374,'112年全品項生產鍋數'!A:H,2,0)</f>
        <v>藍莓餡(1*6KG)</v>
      </c>
      <c r="D3374" s="404">
        <v>20</v>
      </c>
      <c r="E3374" s="48">
        <f>VLOOKUP(B3374,'112年全品項生產鍋數'!A:H,3,0)</f>
        <v>6</v>
      </c>
      <c r="F3374" s="142">
        <f>VLOOKUP(B3374,'112年全品項生產鍋數'!A:H,7,0)</f>
        <v>25.4</v>
      </c>
      <c r="G3374" s="143">
        <f t="shared" si="561"/>
        <v>508</v>
      </c>
      <c r="H3374" s="156">
        <f>307+215</f>
        <v>522</v>
      </c>
      <c r="I3374" s="371">
        <f t="shared" si="562"/>
        <v>3132</v>
      </c>
      <c r="J3374" s="100">
        <f t="shared" si="563"/>
        <v>1.0275590551181102</v>
      </c>
      <c r="K3374" s="51" t="e">
        <f>VLOOKUP(B:B,'生產達成率(目標)'!A:C,3,0)</f>
        <v>#N/A</v>
      </c>
      <c r="L3374" s="20" t="e">
        <f t="shared" si="564"/>
        <v>#N/A</v>
      </c>
      <c r="M3374" s="137" t="str">
        <f>工時!R2562</f>
        <v>320</v>
      </c>
      <c r="N3374" s="374"/>
      <c r="O3374" s="374">
        <f t="shared" si="565"/>
        <v>2</v>
      </c>
      <c r="P3374" s="156">
        <f>305+215</f>
        <v>520</v>
      </c>
      <c r="Q3374" s="98">
        <f t="shared" si="566"/>
        <v>0.99616858237547889</v>
      </c>
      <c r="R3374" s="371"/>
      <c r="S3374" s="372"/>
      <c r="T3374" s="364"/>
      <c r="U3374" s="264"/>
      <c r="V3374" s="264" t="s">
        <v>1849</v>
      </c>
      <c r="W3374" s="424">
        <v>46280</v>
      </c>
      <c r="X3374" s="264" t="s">
        <v>1867</v>
      </c>
      <c r="Y3374" s="424">
        <v>46280</v>
      </c>
      <c r="Z3374" s="424"/>
      <c r="AA3374" s="424"/>
      <c r="AB3374" s="424"/>
      <c r="AC3374" s="425">
        <f t="shared" si="567"/>
        <v>1</v>
      </c>
      <c r="AD3374" s="425">
        <f t="shared" si="568"/>
        <v>1</v>
      </c>
    </row>
    <row r="3375" spans="1:30" s="361" customFormat="1" x14ac:dyDescent="0.4">
      <c r="A3375" s="402">
        <v>46279</v>
      </c>
      <c r="B3375" s="392" t="s">
        <v>63</v>
      </c>
      <c r="C3375" s="364" t="str">
        <f>VLOOKUP(B3375,'112年全品項生產鍋數'!A:H,2,0)</f>
        <v>草莓蒟蒻餡(1*6kg)</v>
      </c>
      <c r="D3375" s="404">
        <v>20</v>
      </c>
      <c r="E3375" s="48">
        <f>VLOOKUP(B3375,'112年全品項生產鍋數'!A:H,3,0)</f>
        <v>6</v>
      </c>
      <c r="F3375" s="142">
        <f>VLOOKUP(B3375,'112年全品項生產鍋數'!A:H,7,0)</f>
        <v>25.7</v>
      </c>
      <c r="G3375" s="143">
        <f t="shared" si="561"/>
        <v>514</v>
      </c>
      <c r="H3375" s="156">
        <f>310+215</f>
        <v>525</v>
      </c>
      <c r="I3375" s="371">
        <f t="shared" si="562"/>
        <v>3150</v>
      </c>
      <c r="J3375" s="100">
        <f t="shared" si="563"/>
        <v>1.0214007782101167</v>
      </c>
      <c r="K3375" s="51">
        <f>VLOOKUP(B:B,'生產達成率(目標)'!A:C,3,0)</f>
        <v>1</v>
      </c>
      <c r="L3375" s="20">
        <f t="shared" si="564"/>
        <v>2.1000000000000001E-2</v>
      </c>
      <c r="M3375" s="137" t="str">
        <f>工時!R2563</f>
        <v>240</v>
      </c>
      <c r="N3375" s="374"/>
      <c r="O3375" s="374">
        <f t="shared" si="565"/>
        <v>1</v>
      </c>
      <c r="P3375" s="156">
        <f>309+215</f>
        <v>524</v>
      </c>
      <c r="Q3375" s="98">
        <f t="shared" si="566"/>
        <v>0.99809523809523815</v>
      </c>
      <c r="R3375" s="371"/>
      <c r="S3375" s="372"/>
      <c r="T3375" s="364"/>
      <c r="U3375" s="264"/>
      <c r="V3375" s="264" t="s">
        <v>1849</v>
      </c>
      <c r="W3375" s="424">
        <v>46280</v>
      </c>
      <c r="X3375" s="264" t="s">
        <v>1867</v>
      </c>
      <c r="Y3375" s="424">
        <v>46280</v>
      </c>
      <c r="Z3375" s="424"/>
      <c r="AA3375" s="424"/>
      <c r="AB3375" s="424"/>
      <c r="AC3375" s="425">
        <f t="shared" si="567"/>
        <v>1</v>
      </c>
      <c r="AD3375" s="425">
        <f t="shared" si="568"/>
        <v>1</v>
      </c>
    </row>
    <row r="3376" spans="1:30" s="508" customFormat="1" x14ac:dyDescent="0.4">
      <c r="A3376" s="490">
        <v>46279</v>
      </c>
      <c r="B3376" s="491" t="s">
        <v>108</v>
      </c>
      <c r="C3376" s="492" t="str">
        <f>VLOOKUP(B3376,'112年全品項生產鍋數'!A:H,2,0)</f>
        <v>顆粒花生醬(1*12KG)</v>
      </c>
      <c r="D3376" s="493">
        <v>21</v>
      </c>
      <c r="E3376" s="494">
        <f>VLOOKUP(B3376,'112年全品項生產鍋數'!A:H,3,0)</f>
        <v>3</v>
      </c>
      <c r="F3376" s="495">
        <f>VLOOKUP(B3376,'112年全品項生產鍋數'!A:H,7,0)</f>
        <v>31.6</v>
      </c>
      <c r="G3376" s="496">
        <f t="shared" si="561"/>
        <v>663.6</v>
      </c>
      <c r="H3376" s="497"/>
      <c r="I3376" s="498">
        <f t="shared" si="562"/>
        <v>0</v>
      </c>
      <c r="J3376" s="499">
        <f t="shared" si="563"/>
        <v>0</v>
      </c>
      <c r="K3376" s="500">
        <f>VLOOKUP(B:B,'生產達成率(目標)'!A:C,3,0)</f>
        <v>1</v>
      </c>
      <c r="L3376" s="501">
        <f t="shared" si="564"/>
        <v>-1</v>
      </c>
      <c r="M3376" s="502" t="str">
        <f>工時!R2564</f>
        <v>540</v>
      </c>
      <c r="N3376" s="498"/>
      <c r="O3376" s="498">
        <f t="shared" si="565"/>
        <v>0</v>
      </c>
      <c r="P3376" s="497"/>
      <c r="Q3376" s="503" t="e">
        <f t="shared" si="566"/>
        <v>#DIV/0!</v>
      </c>
      <c r="R3376" s="498"/>
      <c r="S3376" s="504"/>
      <c r="T3376" s="492" t="s">
        <v>1153</v>
      </c>
      <c r="U3376" s="505"/>
      <c r="V3376" s="505" t="s">
        <v>1847</v>
      </c>
      <c r="W3376" s="506">
        <v>46280</v>
      </c>
      <c r="X3376" s="505" t="s">
        <v>1867</v>
      </c>
      <c r="Y3376" s="506">
        <v>46280</v>
      </c>
      <c r="Z3376" s="506"/>
      <c r="AA3376" s="506"/>
      <c r="AB3376" s="506"/>
      <c r="AC3376" s="507">
        <f t="shared" si="567"/>
        <v>1</v>
      </c>
      <c r="AD3376" s="507">
        <f t="shared" si="568"/>
        <v>1</v>
      </c>
    </row>
    <row r="3377" spans="1:30" s="361" customFormat="1" x14ac:dyDescent="0.4">
      <c r="A3377" s="402">
        <v>46279</v>
      </c>
      <c r="B3377" s="392" t="s">
        <v>96</v>
      </c>
      <c r="C3377" s="364" t="str">
        <f>VLOOKUP(B3377,'112年全品項生產鍋數'!A:H,2,0)</f>
        <v>PET瓶花生(1*340g)</v>
      </c>
      <c r="D3377" s="404">
        <v>16</v>
      </c>
      <c r="E3377" s="48">
        <f>VLOOKUP(B3377,'112年全品項生產鍋數'!A:H,3,0)</f>
        <v>0.34</v>
      </c>
      <c r="F3377" s="142">
        <f>VLOOKUP(B3377,'112年全品項生產鍋數'!A:H,7,0)</f>
        <v>358.3</v>
      </c>
      <c r="G3377" s="143">
        <f t="shared" si="561"/>
        <v>5732.8</v>
      </c>
      <c r="H3377" s="156">
        <v>5751</v>
      </c>
      <c r="I3377" s="371">
        <f t="shared" si="562"/>
        <v>1955.3400000000001</v>
      </c>
      <c r="J3377" s="100">
        <f t="shared" si="563"/>
        <v>1.003174713926877</v>
      </c>
      <c r="K3377" s="51">
        <f>VLOOKUP(B:B,'生產達成率(目標)'!A:C,3,0)</f>
        <v>1</v>
      </c>
      <c r="L3377" s="20">
        <f t="shared" si="564"/>
        <v>3.0000000000000001E-3</v>
      </c>
      <c r="M3377" s="137" t="str">
        <f>工時!R2565</f>
        <v>310</v>
      </c>
      <c r="N3377" s="374"/>
      <c r="O3377" s="374">
        <f t="shared" si="565"/>
        <v>3</v>
      </c>
      <c r="P3377" s="156">
        <v>5748</v>
      </c>
      <c r="Q3377" s="98">
        <f t="shared" si="566"/>
        <v>0.9994783515910276</v>
      </c>
      <c r="R3377" s="371"/>
      <c r="S3377" s="372"/>
      <c r="T3377" s="364"/>
      <c r="U3377" s="264"/>
      <c r="V3377" s="264" t="s">
        <v>1848</v>
      </c>
      <c r="W3377" s="424">
        <v>46279</v>
      </c>
      <c r="X3377" s="264" t="s">
        <v>1848</v>
      </c>
      <c r="Y3377" s="424">
        <v>46279</v>
      </c>
      <c r="Z3377" s="424"/>
      <c r="AA3377" s="424"/>
      <c r="AB3377" s="424"/>
      <c r="AC3377" s="425">
        <f t="shared" si="567"/>
        <v>0</v>
      </c>
      <c r="AD3377" s="425">
        <f t="shared" si="568"/>
        <v>0</v>
      </c>
    </row>
    <row r="3378" spans="1:30" s="361" customFormat="1" x14ac:dyDescent="0.4">
      <c r="A3378" s="402">
        <v>46279</v>
      </c>
      <c r="B3378" s="392" t="s">
        <v>65</v>
      </c>
      <c r="C3378" s="364" t="str">
        <f>VLOOKUP(B3378,'112年全品項生產鍋數'!A:H,2,0)</f>
        <v>＃1花生(1*2.8kg)</v>
      </c>
      <c r="D3378" s="404">
        <v>32</v>
      </c>
      <c r="E3378" s="48">
        <f>VLOOKUP(B3378,'112年全品項生產鍋數'!A:H,3,0)</f>
        <v>2.8</v>
      </c>
      <c r="F3378" s="142">
        <f>VLOOKUP(B3378,'112年全品項生產鍋數'!A:H,7,0)</f>
        <v>44.5</v>
      </c>
      <c r="G3378" s="143">
        <f t="shared" si="561"/>
        <v>1424</v>
      </c>
      <c r="H3378" s="156">
        <v>1438</v>
      </c>
      <c r="I3378" s="371">
        <f t="shared" si="562"/>
        <v>4026.3999999999996</v>
      </c>
      <c r="J3378" s="100">
        <f t="shared" si="563"/>
        <v>1.0098314606741574</v>
      </c>
      <c r="K3378" s="51">
        <f>VLOOKUP(B:B,'生產達成率(目標)'!A:C,3,0)</f>
        <v>1</v>
      </c>
      <c r="L3378" s="20">
        <f t="shared" si="564"/>
        <v>0.01</v>
      </c>
      <c r="M3378" s="137" t="str">
        <f>工時!R2566</f>
        <v>320</v>
      </c>
      <c r="N3378" s="374"/>
      <c r="O3378" s="374">
        <f t="shared" si="565"/>
        <v>1</v>
      </c>
      <c r="P3378" s="156">
        <v>1437</v>
      </c>
      <c r="Q3378" s="98">
        <f t="shared" si="566"/>
        <v>0.99930458970792768</v>
      </c>
      <c r="R3378" s="371"/>
      <c r="S3378" s="372"/>
      <c r="T3378" s="364"/>
      <c r="U3378" s="264"/>
      <c r="V3378" s="264" t="s">
        <v>1848</v>
      </c>
      <c r="W3378" s="424">
        <v>46279</v>
      </c>
      <c r="X3378" s="264" t="s">
        <v>1848</v>
      </c>
      <c r="Y3378" s="424">
        <v>46279</v>
      </c>
      <c r="Z3378" s="424"/>
      <c r="AA3378" s="424"/>
      <c r="AB3378" s="424"/>
      <c r="AC3378" s="425">
        <f t="shared" si="567"/>
        <v>0</v>
      </c>
      <c r="AD3378" s="425">
        <f t="shared" si="568"/>
        <v>0</v>
      </c>
    </row>
    <row r="3379" spans="1:30" s="508" customFormat="1" x14ac:dyDescent="0.4">
      <c r="A3379" s="490">
        <v>46279</v>
      </c>
      <c r="B3379" s="491" t="s">
        <v>431</v>
      </c>
      <c r="C3379" s="492" t="str">
        <f>VLOOKUP(B3379,'112年全品項生產鍋數'!A:H,2,0)</f>
        <v>文旦丁</v>
      </c>
      <c r="D3379" s="493">
        <v>1</v>
      </c>
      <c r="E3379" s="494">
        <f>VLOOKUP(B3379,'112年全品項生產鍋數'!A:H,3,0)</f>
        <v>1</v>
      </c>
      <c r="F3379" s="495">
        <v>218</v>
      </c>
      <c r="G3379" s="496">
        <f t="shared" si="561"/>
        <v>218</v>
      </c>
      <c r="H3379" s="497">
        <v>229</v>
      </c>
      <c r="I3379" s="498">
        <f t="shared" si="562"/>
        <v>229</v>
      </c>
      <c r="J3379" s="499">
        <f t="shared" si="563"/>
        <v>1.0504587155963303</v>
      </c>
      <c r="K3379" s="500">
        <f>VLOOKUP(B:B,'生產達成率(目標)'!A:C,3,0)</f>
        <v>1</v>
      </c>
      <c r="L3379" s="501">
        <f t="shared" si="564"/>
        <v>0.05</v>
      </c>
      <c r="M3379" s="502" t="str">
        <f>工時!R2567</f>
        <v>0</v>
      </c>
      <c r="N3379" s="498"/>
      <c r="O3379" s="498">
        <f t="shared" si="565"/>
        <v>229</v>
      </c>
      <c r="P3379" s="497"/>
      <c r="Q3379" s="503">
        <f t="shared" si="566"/>
        <v>0</v>
      </c>
      <c r="R3379" s="498"/>
      <c r="S3379" s="504"/>
      <c r="T3379" s="492" t="s">
        <v>1874</v>
      </c>
      <c r="U3379" s="505"/>
      <c r="V3379" s="505" t="s">
        <v>1850</v>
      </c>
      <c r="W3379" s="506">
        <v>46279</v>
      </c>
      <c r="X3379" s="505"/>
      <c r="Y3379" s="506" t="s">
        <v>1886</v>
      </c>
      <c r="Z3379" s="506"/>
      <c r="AA3379" s="506"/>
      <c r="AB3379" s="506"/>
      <c r="AC3379" s="507">
        <f t="shared" si="567"/>
        <v>0</v>
      </c>
      <c r="AD3379" s="507">
        <v>0</v>
      </c>
    </row>
    <row r="3380" spans="1:30" s="361" customFormat="1" x14ac:dyDescent="0.4">
      <c r="A3380" s="402">
        <v>46280</v>
      </c>
      <c r="B3380" s="392" t="s">
        <v>71</v>
      </c>
      <c r="C3380" s="364" t="str">
        <f>VLOOKUP(B3380,'112年全品項生產鍋數'!A:H,2,0)</f>
        <v>＃1草莓(1*3.2kg)</v>
      </c>
      <c r="D3380" s="404">
        <v>72</v>
      </c>
      <c r="E3380" s="48">
        <f>VLOOKUP(B3380,'112年全品項生產鍋數'!A:H,3,0)</f>
        <v>3.2</v>
      </c>
      <c r="F3380" s="142">
        <f>VLOOKUP(B3380,'112年全品項生產鍋數'!A:H,7,0)</f>
        <v>46.8</v>
      </c>
      <c r="G3380" s="143">
        <f t="shared" si="561"/>
        <v>3369.6</v>
      </c>
      <c r="H3380" s="156">
        <v>3399</v>
      </c>
      <c r="I3380" s="371">
        <f t="shared" si="562"/>
        <v>10876.800000000001</v>
      </c>
      <c r="J3380" s="100">
        <f t="shared" si="563"/>
        <v>1.0087250712250713</v>
      </c>
      <c r="K3380" s="51">
        <f>VLOOKUP(B:B,'生產達成率(目標)'!A:C,3,0)</f>
        <v>1</v>
      </c>
      <c r="L3380" s="20">
        <f t="shared" si="564"/>
        <v>8.9999999999999993E-3</v>
      </c>
      <c r="M3380" s="137" t="str">
        <f>工時!R2568</f>
        <v>570</v>
      </c>
      <c r="N3380" s="374"/>
      <c r="O3380" s="374">
        <f t="shared" si="565"/>
        <v>2</v>
      </c>
      <c r="P3380" s="156">
        <v>3397</v>
      </c>
      <c r="Q3380" s="98">
        <f t="shared" si="566"/>
        <v>0.99941159164460136</v>
      </c>
      <c r="R3380" s="371"/>
      <c r="S3380" s="372"/>
      <c r="T3380" s="364" t="s">
        <v>1153</v>
      </c>
      <c r="U3380" s="264"/>
      <c r="V3380" s="264" t="s">
        <v>1849</v>
      </c>
      <c r="W3380" s="424">
        <v>46280</v>
      </c>
      <c r="X3380" s="264" t="s">
        <v>1867</v>
      </c>
      <c r="Y3380" s="424">
        <v>46286</v>
      </c>
      <c r="Z3380" s="424"/>
      <c r="AA3380" s="424"/>
      <c r="AB3380" s="424"/>
      <c r="AC3380" s="425">
        <f t="shared" si="567"/>
        <v>0</v>
      </c>
      <c r="AD3380" s="425">
        <f t="shared" si="568"/>
        <v>6</v>
      </c>
    </row>
    <row r="3381" spans="1:30" s="361" customFormat="1" x14ac:dyDescent="0.4">
      <c r="A3381" s="402">
        <v>46280</v>
      </c>
      <c r="B3381" s="392" t="s">
        <v>53</v>
      </c>
      <c r="C3381" s="364" t="str">
        <f>VLOOKUP(B3381,'112年全品項生產鍋數'!A:H,2,0)</f>
        <v>鳳梨芒果百香果醬(1*6KG)</v>
      </c>
      <c r="D3381" s="404">
        <v>12</v>
      </c>
      <c r="E3381" s="48">
        <f>VLOOKUP(B3381,'112年全品項生產鍋數'!A:H,3,0)</f>
        <v>6</v>
      </c>
      <c r="F3381" s="142">
        <f>VLOOKUP(B3381,'112年全品項生產鍋數'!A:H,7,0)</f>
        <v>25.7</v>
      </c>
      <c r="G3381" s="143">
        <f t="shared" si="561"/>
        <v>308.39999999999998</v>
      </c>
      <c r="H3381" s="156">
        <v>317</v>
      </c>
      <c r="I3381" s="371">
        <f t="shared" si="562"/>
        <v>1902</v>
      </c>
      <c r="J3381" s="100">
        <f t="shared" si="563"/>
        <v>1.0278858625162128</v>
      </c>
      <c r="K3381" s="51">
        <f>VLOOKUP(B:B,'生產達成率(目標)'!A:C,3,0)</f>
        <v>1</v>
      </c>
      <c r="L3381" s="20">
        <f t="shared" si="564"/>
        <v>2.8000000000000001E-2</v>
      </c>
      <c r="M3381" s="137" t="str">
        <f>工時!R2569</f>
        <v>220</v>
      </c>
      <c r="N3381" s="374"/>
      <c r="O3381" s="374">
        <f t="shared" si="565"/>
        <v>2</v>
      </c>
      <c r="P3381" s="156">
        <v>315</v>
      </c>
      <c r="Q3381" s="98">
        <f t="shared" si="566"/>
        <v>0.99369085173501581</v>
      </c>
      <c r="R3381" s="371"/>
      <c r="S3381" s="372"/>
      <c r="T3381" s="364" t="s">
        <v>1153</v>
      </c>
      <c r="U3381" s="264"/>
      <c r="V3381" s="264" t="s">
        <v>1847</v>
      </c>
      <c r="W3381" s="424">
        <v>46280</v>
      </c>
      <c r="X3381" s="264" t="s">
        <v>1867</v>
      </c>
      <c r="Y3381" s="424">
        <v>46282</v>
      </c>
      <c r="Z3381" s="424"/>
      <c r="AA3381" s="424"/>
      <c r="AB3381" s="424"/>
      <c r="AC3381" s="425">
        <f t="shared" si="567"/>
        <v>0</v>
      </c>
      <c r="AD3381" s="425">
        <f t="shared" si="568"/>
        <v>2</v>
      </c>
    </row>
    <row r="3382" spans="1:30" s="361" customFormat="1" x14ac:dyDescent="0.4">
      <c r="A3382" s="402">
        <v>46280</v>
      </c>
      <c r="B3382" s="392" t="s">
        <v>51</v>
      </c>
      <c r="C3382" s="364" t="str">
        <f>VLOOKUP(B3382,'112年全品項生產鍋數'!A:H,2,0)</f>
        <v>藍莓醬(1*6kg)</v>
      </c>
      <c r="D3382" s="404">
        <v>12</v>
      </c>
      <c r="E3382" s="48">
        <f>VLOOKUP(B3382,'112年全品項生產鍋數'!A:H,3,0)</f>
        <v>6</v>
      </c>
      <c r="F3382" s="142">
        <f>VLOOKUP(B3382,'112年全品項生產鍋數'!A:H,7,0)</f>
        <v>25.5</v>
      </c>
      <c r="G3382" s="143">
        <f t="shared" si="561"/>
        <v>306</v>
      </c>
      <c r="H3382" s="156">
        <v>302</v>
      </c>
      <c r="I3382" s="371">
        <f t="shared" si="562"/>
        <v>1812</v>
      </c>
      <c r="J3382" s="100">
        <f t="shared" si="563"/>
        <v>0.98692810457516345</v>
      </c>
      <c r="K3382" s="51">
        <f>VLOOKUP(B:B,'生產達成率(目標)'!A:C,3,0)</f>
        <v>1</v>
      </c>
      <c r="L3382" s="20">
        <f t="shared" si="564"/>
        <v>-1.2999999999999999E-2</v>
      </c>
      <c r="M3382" s="137" t="str">
        <f>工時!R2570</f>
        <v>192</v>
      </c>
      <c r="N3382" s="374"/>
      <c r="O3382" s="374">
        <f t="shared" si="565"/>
        <v>2</v>
      </c>
      <c r="P3382" s="156">
        <v>300</v>
      </c>
      <c r="Q3382" s="98">
        <f t="shared" si="566"/>
        <v>0.99337748344370858</v>
      </c>
      <c r="R3382" s="371"/>
      <c r="S3382" s="372"/>
      <c r="T3382" s="364"/>
      <c r="U3382" s="264"/>
      <c r="V3382" s="264" t="s">
        <v>1847</v>
      </c>
      <c r="W3382" s="424">
        <v>46280</v>
      </c>
      <c r="X3382" s="264" t="s">
        <v>1867</v>
      </c>
      <c r="Y3382" s="424">
        <v>46282</v>
      </c>
      <c r="Z3382" s="424"/>
      <c r="AA3382" s="424"/>
      <c r="AB3382" s="424"/>
      <c r="AC3382" s="425">
        <f t="shared" si="567"/>
        <v>0</v>
      </c>
      <c r="AD3382" s="425">
        <f t="shared" si="568"/>
        <v>2</v>
      </c>
    </row>
    <row r="3383" spans="1:30" s="361" customFormat="1" x14ac:dyDescent="0.4">
      <c r="A3383" s="402">
        <v>46280</v>
      </c>
      <c r="B3383" s="392" t="s">
        <v>63</v>
      </c>
      <c r="C3383" s="364" t="str">
        <f>VLOOKUP(B3383,'112年全品項生產鍋數'!A:H,2,0)</f>
        <v>草莓蒟蒻餡(1*6kg)</v>
      </c>
      <c r="D3383" s="404">
        <v>24</v>
      </c>
      <c r="E3383" s="48">
        <f>VLOOKUP(B3383,'112年全品項生產鍋數'!A:H,3,0)</f>
        <v>6</v>
      </c>
      <c r="F3383" s="142">
        <f>VLOOKUP(B3383,'112年全品項生產鍋數'!A:H,7,0)</f>
        <v>25.7</v>
      </c>
      <c r="G3383" s="143">
        <f t="shared" si="561"/>
        <v>616.79999999999995</v>
      </c>
      <c r="H3383" s="156">
        <f>302+311</f>
        <v>613</v>
      </c>
      <c r="I3383" s="371">
        <f t="shared" si="562"/>
        <v>3678</v>
      </c>
      <c r="J3383" s="100">
        <f t="shared" si="563"/>
        <v>0.99383916990920884</v>
      </c>
      <c r="K3383" s="51">
        <f>VLOOKUP(B:B,'生產達成率(目標)'!A:C,3,0)</f>
        <v>1</v>
      </c>
      <c r="L3383" s="20">
        <f t="shared" si="564"/>
        <v>-6.0000000000000001E-3</v>
      </c>
      <c r="M3383" s="137" t="str">
        <f>工時!R2571</f>
        <v>299</v>
      </c>
      <c r="N3383" s="374"/>
      <c r="O3383" s="374">
        <f t="shared" si="565"/>
        <v>1</v>
      </c>
      <c r="P3383" s="156">
        <f>301+311</f>
        <v>612</v>
      </c>
      <c r="Q3383" s="98">
        <f t="shared" si="566"/>
        <v>0.99836867862969003</v>
      </c>
      <c r="R3383" s="371"/>
      <c r="S3383" s="372"/>
      <c r="T3383" s="364"/>
      <c r="U3383" s="264"/>
      <c r="V3383" s="264" t="s">
        <v>1847</v>
      </c>
      <c r="W3383" s="424">
        <v>46280</v>
      </c>
      <c r="X3383" s="264" t="s">
        <v>1867</v>
      </c>
      <c r="Y3383" s="424">
        <v>46282</v>
      </c>
      <c r="Z3383" s="424"/>
      <c r="AA3383" s="424"/>
      <c r="AB3383" s="424"/>
      <c r="AC3383" s="425">
        <f t="shared" si="567"/>
        <v>0</v>
      </c>
      <c r="AD3383" s="425">
        <f t="shared" si="568"/>
        <v>2</v>
      </c>
    </row>
    <row r="3384" spans="1:30" s="361" customFormat="1" x14ac:dyDescent="0.4">
      <c r="A3384" s="402">
        <v>46280</v>
      </c>
      <c r="B3384" s="392" t="s">
        <v>642</v>
      </c>
      <c r="C3384" s="364" t="str">
        <f>VLOOKUP(B3384,'112年全品項生產鍋數'!A:H,2,0)</f>
        <v>＃2花生（粒）(1*800g)</v>
      </c>
      <c r="D3384" s="404">
        <v>12</v>
      </c>
      <c r="E3384" s="48">
        <f>VLOOKUP(B3384,'112年全品項生產鍋數'!A:H,3,0)</f>
        <v>0.8</v>
      </c>
      <c r="F3384" s="142">
        <f>VLOOKUP(B3384,'112年全品項生產鍋數'!A:H,7,0)</f>
        <v>155.5</v>
      </c>
      <c r="G3384" s="143">
        <f t="shared" si="561"/>
        <v>1866</v>
      </c>
      <c r="H3384" s="156">
        <v>1840</v>
      </c>
      <c r="I3384" s="371">
        <f t="shared" si="562"/>
        <v>1472</v>
      </c>
      <c r="J3384" s="100">
        <f t="shared" si="563"/>
        <v>0.98606645230439438</v>
      </c>
      <c r="K3384" s="51">
        <f>VLOOKUP(B:B,'生產達成率(目標)'!A:C,3,0)</f>
        <v>1</v>
      </c>
      <c r="L3384" s="20">
        <f t="shared" si="564"/>
        <v>-1.4E-2</v>
      </c>
      <c r="M3384" s="137" t="str">
        <f>工時!R2572</f>
        <v>0</v>
      </c>
      <c r="N3384" s="374"/>
      <c r="O3384" s="374">
        <f t="shared" si="565"/>
        <v>2</v>
      </c>
      <c r="P3384" s="156">
        <v>1838</v>
      </c>
      <c r="Q3384" s="98">
        <f t="shared" si="566"/>
        <v>0.99891304347826082</v>
      </c>
      <c r="R3384" s="371"/>
      <c r="S3384" s="372"/>
      <c r="T3384" s="364" t="s">
        <v>1153</v>
      </c>
      <c r="U3384" s="264"/>
      <c r="V3384" s="264" t="s">
        <v>1848</v>
      </c>
      <c r="W3384" s="424">
        <v>46280</v>
      </c>
      <c r="X3384" s="264" t="s">
        <v>1848</v>
      </c>
      <c r="Y3384" s="424">
        <v>46280</v>
      </c>
      <c r="Z3384" s="424"/>
      <c r="AA3384" s="424"/>
      <c r="AB3384" s="424"/>
      <c r="AC3384" s="425">
        <f t="shared" si="567"/>
        <v>0</v>
      </c>
      <c r="AD3384" s="425">
        <f t="shared" si="568"/>
        <v>0</v>
      </c>
    </row>
    <row r="3385" spans="1:30" s="361" customFormat="1" x14ac:dyDescent="0.4">
      <c r="A3385" s="402">
        <v>46280</v>
      </c>
      <c r="B3385" s="392" t="s">
        <v>104</v>
      </c>
      <c r="C3385" s="364" t="str">
        <f>VLOOKUP(B3385,'112年全品項生產鍋數'!A:H,2,0)</f>
        <v>＃1花生(粒)(1*2.8kg)</v>
      </c>
      <c r="D3385" s="404">
        <v>32</v>
      </c>
      <c r="E3385" s="48">
        <f>VLOOKUP(B3385,'112年全品項生產鍋數'!A:H,3,0)</f>
        <v>2.8</v>
      </c>
      <c r="F3385" s="142">
        <f>VLOOKUP(B3385,'112年全品項生產鍋數'!A:H,7,0)</f>
        <v>44.2</v>
      </c>
      <c r="G3385" s="143">
        <f t="shared" si="561"/>
        <v>1414.4</v>
      </c>
      <c r="H3385" s="156">
        <v>1395</v>
      </c>
      <c r="I3385" s="371">
        <f t="shared" si="562"/>
        <v>3905.9999999999995</v>
      </c>
      <c r="J3385" s="100">
        <f t="shared" si="563"/>
        <v>0.98628393665158365</v>
      </c>
      <c r="K3385" s="51">
        <f>VLOOKUP(B:B,'生產達成率(目標)'!A:C,3,0)</f>
        <v>1</v>
      </c>
      <c r="L3385" s="20">
        <f t="shared" si="564"/>
        <v>-1.4E-2</v>
      </c>
      <c r="M3385" s="137" t="str">
        <f>工時!R2573</f>
        <v>115</v>
      </c>
      <c r="N3385" s="374"/>
      <c r="O3385" s="374">
        <f t="shared" si="565"/>
        <v>1</v>
      </c>
      <c r="P3385" s="156">
        <v>1394</v>
      </c>
      <c r="Q3385" s="98">
        <f t="shared" si="566"/>
        <v>0.99928315412186375</v>
      </c>
      <c r="R3385" s="371"/>
      <c r="S3385" s="372"/>
      <c r="T3385" s="364" t="s">
        <v>1153</v>
      </c>
      <c r="U3385" s="264"/>
      <c r="V3385" s="264" t="s">
        <v>1848</v>
      </c>
      <c r="W3385" s="424">
        <v>46280</v>
      </c>
      <c r="X3385" s="264" t="s">
        <v>1848</v>
      </c>
      <c r="Y3385" s="424">
        <v>46280</v>
      </c>
      <c r="Z3385" s="424"/>
      <c r="AA3385" s="424"/>
      <c r="AB3385" s="424"/>
      <c r="AC3385" s="425">
        <f t="shared" si="567"/>
        <v>0</v>
      </c>
      <c r="AD3385" s="425">
        <f t="shared" si="568"/>
        <v>0</v>
      </c>
    </row>
    <row r="3386" spans="1:30" s="361" customFormat="1" x14ac:dyDescent="0.4">
      <c r="A3386" s="402">
        <v>46280</v>
      </c>
      <c r="B3386" s="392">
        <v>111010</v>
      </c>
      <c r="C3386" s="364" t="str">
        <f>VLOOKUP(B3386,'112年全品項生產鍋數'!A:H,2,0)</f>
        <v>糖漬桔皮絲</v>
      </c>
      <c r="D3386" s="404">
        <v>1</v>
      </c>
      <c r="E3386" s="48">
        <f>VLOOKUP(B3386,'112年全品項生產鍋數'!A:H,3,0)</f>
        <v>1</v>
      </c>
      <c r="F3386" s="142">
        <f>VLOOKUP(B3386,'112年全品項生產鍋數'!A:H,7,0)</f>
        <v>942</v>
      </c>
      <c r="G3386" s="143">
        <f t="shared" si="561"/>
        <v>942</v>
      </c>
      <c r="H3386" s="156">
        <v>690</v>
      </c>
      <c r="I3386" s="371">
        <f t="shared" si="562"/>
        <v>690</v>
      </c>
      <c r="J3386" s="100">
        <f t="shared" si="563"/>
        <v>0.73248407643312097</v>
      </c>
      <c r="K3386" s="51">
        <f>VLOOKUP(B:B,'生產達成率(目標)'!A:C,3,0)</f>
        <v>1</v>
      </c>
      <c r="L3386" s="20">
        <f t="shared" si="564"/>
        <v>-0.26800000000000002</v>
      </c>
      <c r="M3386" s="137" t="str">
        <f>工時!R2574</f>
        <v>0</v>
      </c>
      <c r="N3386" s="374"/>
      <c r="O3386" s="374">
        <f t="shared" si="565"/>
        <v>0</v>
      </c>
      <c r="P3386" s="156">
        <v>690</v>
      </c>
      <c r="Q3386" s="98">
        <f t="shared" si="566"/>
        <v>1</v>
      </c>
      <c r="R3386" s="371"/>
      <c r="S3386" s="372"/>
      <c r="T3386" s="364" t="s">
        <v>1153</v>
      </c>
      <c r="U3386" s="264"/>
      <c r="V3386" s="264" t="s">
        <v>1850</v>
      </c>
      <c r="W3386" s="424"/>
      <c r="X3386" s="264" t="s">
        <v>1850</v>
      </c>
      <c r="Y3386" s="424"/>
      <c r="Z3386" s="424"/>
      <c r="AA3386" s="424"/>
      <c r="AB3386" s="424"/>
      <c r="AC3386" s="425" t="str">
        <f t="shared" si="567"/>
        <v>未收到</v>
      </c>
      <c r="AD3386" s="425" t="str">
        <f t="shared" si="568"/>
        <v>未收到</v>
      </c>
    </row>
    <row r="3387" spans="1:30" s="361" customFormat="1" x14ac:dyDescent="0.4">
      <c r="A3387" s="402">
        <v>46281</v>
      </c>
      <c r="B3387" s="392" t="s">
        <v>61</v>
      </c>
      <c r="C3387" s="364" t="str">
        <f>VLOOKUP(B3387,'112年全品項生產鍋數'!A:H,2,0)</f>
        <v>大圓草莓-新</v>
      </c>
      <c r="D3387" s="404">
        <v>32</v>
      </c>
      <c r="E3387" s="48">
        <f>VLOOKUP(B3387,'112年全品項生產鍋數'!A:H,3,0)</f>
        <v>0.44</v>
      </c>
      <c r="F3387" s="142">
        <f>VLOOKUP(B3387,'112年全品項生產鍋數'!A:H,7,0)</f>
        <v>344</v>
      </c>
      <c r="G3387" s="143">
        <f t="shared" si="561"/>
        <v>11008</v>
      </c>
      <c r="H3387" s="156">
        <v>10827</v>
      </c>
      <c r="I3387" s="371">
        <f t="shared" si="562"/>
        <v>4763.88</v>
      </c>
      <c r="J3387" s="100">
        <f t="shared" si="563"/>
        <v>0.98355741279069764</v>
      </c>
      <c r="K3387" s="51">
        <f>VLOOKUP(B:B,'生產達成率(目標)'!A:C,3,0)</f>
        <v>1</v>
      </c>
      <c r="L3387" s="20">
        <f t="shared" si="564"/>
        <v>-1.6E-2</v>
      </c>
      <c r="M3387" s="137" t="str">
        <f>工時!R2575</f>
        <v>440</v>
      </c>
      <c r="N3387" s="374"/>
      <c r="O3387" s="374">
        <f t="shared" si="565"/>
        <v>10</v>
      </c>
      <c r="P3387" s="156">
        <v>10817</v>
      </c>
      <c r="Q3387" s="98">
        <f t="shared" si="566"/>
        <v>0.99907638311628333</v>
      </c>
      <c r="R3387" s="371"/>
      <c r="S3387" s="372"/>
      <c r="T3387" s="364" t="s">
        <v>1153</v>
      </c>
      <c r="U3387" s="264"/>
      <c r="V3387" s="264" t="s">
        <v>1849</v>
      </c>
      <c r="W3387" s="424">
        <v>46281</v>
      </c>
      <c r="X3387" s="264" t="s">
        <v>1867</v>
      </c>
      <c r="Y3387" s="424">
        <v>46286</v>
      </c>
      <c r="Z3387" s="424"/>
      <c r="AA3387" s="424"/>
      <c r="AB3387" s="424"/>
      <c r="AC3387" s="425">
        <f t="shared" si="567"/>
        <v>0</v>
      </c>
      <c r="AD3387" s="425">
        <f t="shared" si="568"/>
        <v>5</v>
      </c>
    </row>
    <row r="3388" spans="1:30" s="508" customFormat="1" x14ac:dyDescent="0.4">
      <c r="A3388" s="490">
        <v>46281</v>
      </c>
      <c r="B3388" s="491" t="s">
        <v>636</v>
      </c>
      <c r="C3388" s="492" t="s">
        <v>1878</v>
      </c>
      <c r="D3388" s="493">
        <v>0.6</v>
      </c>
      <c r="E3388" s="494">
        <v>0.16</v>
      </c>
      <c r="F3388" s="495" t="e">
        <f>VLOOKUP(B3388,'112年全品項生產鍋數'!A:H,7,0)</f>
        <v>#N/A</v>
      </c>
      <c r="G3388" s="496" t="e">
        <f t="shared" ref="G3388:G3446" si="571">D3388*F3388</f>
        <v>#N/A</v>
      </c>
      <c r="H3388" s="497"/>
      <c r="I3388" s="498">
        <f t="shared" ref="I3388:I3446" si="572">H3388*E3388</f>
        <v>0</v>
      </c>
      <c r="J3388" s="499" t="e">
        <f t="shared" ref="J3388:J3446" si="573">IF(G3388=0,"無法預估數據",H3388/G3388)</f>
        <v>#N/A</v>
      </c>
      <c r="K3388" s="500" t="e">
        <f>VLOOKUP(B:B,'生產達成率(目標)'!A:C,3,0)</f>
        <v>#N/A</v>
      </c>
      <c r="L3388" s="501" t="e">
        <f t="shared" ref="L3388:L3446" si="574">IF(G3388=0,"無法預估數據",ROUND(J3388-K3388,3))</f>
        <v>#N/A</v>
      </c>
      <c r="M3388" s="502" t="str">
        <f>工時!R2576</f>
        <v>70</v>
      </c>
      <c r="N3388" s="498"/>
      <c r="O3388" s="498">
        <f t="shared" ref="O3388:O3446" si="575">H3388-N3388-P3388</f>
        <v>0</v>
      </c>
      <c r="P3388" s="497"/>
      <c r="Q3388" s="503" t="e">
        <f t="shared" ref="Q3388:Q3446" si="576">P3388/H3388</f>
        <v>#DIV/0!</v>
      </c>
      <c r="R3388" s="498"/>
      <c r="S3388" s="504"/>
      <c r="T3388" s="492" t="s">
        <v>1153</v>
      </c>
      <c r="U3388" s="505"/>
      <c r="V3388" s="505" t="s">
        <v>1849</v>
      </c>
      <c r="W3388" s="506">
        <v>46281</v>
      </c>
      <c r="X3388" s="505" t="s">
        <v>1867</v>
      </c>
      <c r="Y3388" s="506">
        <v>46286</v>
      </c>
      <c r="Z3388" s="506"/>
      <c r="AA3388" s="506"/>
      <c r="AB3388" s="506"/>
      <c r="AC3388" s="507">
        <f t="shared" si="567"/>
        <v>0</v>
      </c>
      <c r="AD3388" s="507">
        <f t="shared" si="568"/>
        <v>5</v>
      </c>
    </row>
    <row r="3389" spans="1:30" s="508" customFormat="1" x14ac:dyDescent="0.4">
      <c r="A3389" s="490">
        <v>46281</v>
      </c>
      <c r="B3389" s="491" t="s">
        <v>636</v>
      </c>
      <c r="C3389" s="492" t="s">
        <v>1879</v>
      </c>
      <c r="D3389" s="493">
        <v>0.6</v>
      </c>
      <c r="E3389" s="494">
        <v>0.16</v>
      </c>
      <c r="F3389" s="495" t="e">
        <f>VLOOKUP(B3389,'112年全品項生產鍋數'!A:H,7,0)</f>
        <v>#N/A</v>
      </c>
      <c r="G3389" s="496" t="e">
        <f t="shared" si="571"/>
        <v>#N/A</v>
      </c>
      <c r="H3389" s="497"/>
      <c r="I3389" s="498">
        <f t="shared" si="572"/>
        <v>0</v>
      </c>
      <c r="J3389" s="499" t="e">
        <f t="shared" si="573"/>
        <v>#N/A</v>
      </c>
      <c r="K3389" s="500" t="e">
        <f>VLOOKUP(B:B,'生產達成率(目標)'!A:C,3,0)</f>
        <v>#N/A</v>
      </c>
      <c r="L3389" s="501" t="e">
        <f t="shared" si="574"/>
        <v>#N/A</v>
      </c>
      <c r="M3389" s="502" t="str">
        <f>工時!R2577</f>
        <v>75</v>
      </c>
      <c r="N3389" s="498"/>
      <c r="O3389" s="498">
        <f t="shared" si="575"/>
        <v>0</v>
      </c>
      <c r="P3389" s="497"/>
      <c r="Q3389" s="503" t="e">
        <f t="shared" si="576"/>
        <v>#DIV/0!</v>
      </c>
      <c r="R3389" s="498"/>
      <c r="S3389" s="504"/>
      <c r="T3389" s="492" t="s">
        <v>1153</v>
      </c>
      <c r="U3389" s="505"/>
      <c r="V3389" s="505" t="s">
        <v>1849</v>
      </c>
      <c r="W3389" s="506">
        <v>46281</v>
      </c>
      <c r="X3389" s="505" t="s">
        <v>1867</v>
      </c>
      <c r="Y3389" s="506">
        <v>46286</v>
      </c>
      <c r="Z3389" s="506"/>
      <c r="AA3389" s="506"/>
      <c r="AB3389" s="506"/>
      <c r="AC3389" s="507">
        <f t="shared" si="567"/>
        <v>0</v>
      </c>
      <c r="AD3389" s="507">
        <f t="shared" si="568"/>
        <v>5</v>
      </c>
    </row>
    <row r="3390" spans="1:30" s="508" customFormat="1" x14ac:dyDescent="0.4">
      <c r="A3390" s="490">
        <v>46281</v>
      </c>
      <c r="B3390" s="491" t="s">
        <v>636</v>
      </c>
      <c r="C3390" s="492" t="s">
        <v>1880</v>
      </c>
      <c r="D3390" s="493">
        <v>0.6</v>
      </c>
      <c r="E3390" s="494">
        <v>0.16</v>
      </c>
      <c r="F3390" s="495" t="e">
        <f>VLOOKUP(B3390,'112年全品項生產鍋數'!A:H,7,0)</f>
        <v>#N/A</v>
      </c>
      <c r="G3390" s="496" t="e">
        <f t="shared" si="571"/>
        <v>#N/A</v>
      </c>
      <c r="H3390" s="497"/>
      <c r="I3390" s="498">
        <f t="shared" si="572"/>
        <v>0</v>
      </c>
      <c r="J3390" s="499" t="e">
        <f t="shared" si="573"/>
        <v>#N/A</v>
      </c>
      <c r="K3390" s="500" t="e">
        <f>VLOOKUP(B:B,'生產達成率(目標)'!A:C,3,0)</f>
        <v>#N/A</v>
      </c>
      <c r="L3390" s="501" t="e">
        <f t="shared" si="574"/>
        <v>#N/A</v>
      </c>
      <c r="M3390" s="502" t="str">
        <f>工時!R2578</f>
        <v>6035</v>
      </c>
      <c r="N3390" s="498"/>
      <c r="O3390" s="498">
        <f t="shared" si="575"/>
        <v>0</v>
      </c>
      <c r="P3390" s="497"/>
      <c r="Q3390" s="503" t="e">
        <f t="shared" si="576"/>
        <v>#DIV/0!</v>
      </c>
      <c r="R3390" s="498"/>
      <c r="S3390" s="504"/>
      <c r="T3390" s="492" t="s">
        <v>1153</v>
      </c>
      <c r="U3390" s="505"/>
      <c r="V3390" s="505" t="s">
        <v>1849</v>
      </c>
      <c r="W3390" s="506">
        <v>46281</v>
      </c>
      <c r="X3390" s="505" t="s">
        <v>1867</v>
      </c>
      <c r="Y3390" s="506">
        <v>46286</v>
      </c>
      <c r="Z3390" s="506"/>
      <c r="AA3390" s="506"/>
      <c r="AB3390" s="506"/>
      <c r="AC3390" s="507">
        <f t="shared" si="567"/>
        <v>0</v>
      </c>
      <c r="AD3390" s="507">
        <f t="shared" si="568"/>
        <v>5</v>
      </c>
    </row>
    <row r="3391" spans="1:30" s="361" customFormat="1" x14ac:dyDescent="0.4">
      <c r="A3391" s="402">
        <v>46281</v>
      </c>
      <c r="B3391" s="392" t="s">
        <v>63</v>
      </c>
      <c r="C3391" s="364" t="str">
        <f>VLOOKUP(B3391,'112年全品項生產鍋數'!A:H,2,0)</f>
        <v>草莓蒟蒻餡(1*6kg)</v>
      </c>
      <c r="D3391" s="404">
        <v>20</v>
      </c>
      <c r="E3391" s="48">
        <f>VLOOKUP(B3391,'112年全品項生產鍋數'!A:H,3,0)</f>
        <v>6</v>
      </c>
      <c r="F3391" s="142">
        <f>VLOOKUP(B3391,'112年全品項生產鍋數'!A:H,7,0)</f>
        <v>25.7</v>
      </c>
      <c r="G3391" s="143">
        <f t="shared" si="571"/>
        <v>514</v>
      </c>
      <c r="H3391" s="156">
        <f>307+210</f>
        <v>517</v>
      </c>
      <c r="I3391" s="371">
        <f t="shared" si="572"/>
        <v>3102</v>
      </c>
      <c r="J3391" s="100">
        <f t="shared" si="573"/>
        <v>1.0058365758754864</v>
      </c>
      <c r="K3391" s="51">
        <f>VLOOKUP(B:B,'生產達成率(目標)'!A:C,3,0)</f>
        <v>1</v>
      </c>
      <c r="L3391" s="20">
        <f t="shared" si="574"/>
        <v>6.0000000000000001E-3</v>
      </c>
      <c r="M3391" s="137" t="str">
        <f>工時!R2579</f>
        <v>240</v>
      </c>
      <c r="N3391" s="374"/>
      <c r="O3391" s="374">
        <f t="shared" si="575"/>
        <v>2</v>
      </c>
      <c r="P3391" s="156">
        <f>306+209</f>
        <v>515</v>
      </c>
      <c r="Q3391" s="98">
        <f t="shared" si="576"/>
        <v>0.99613152804642169</v>
      </c>
      <c r="R3391" s="371"/>
      <c r="S3391" s="372"/>
      <c r="T3391" s="364"/>
      <c r="U3391" s="264"/>
      <c r="V3391" s="264" t="s">
        <v>1847</v>
      </c>
      <c r="W3391" s="424">
        <v>46282</v>
      </c>
      <c r="X3391" s="264" t="s">
        <v>1867</v>
      </c>
      <c r="Y3391" s="424">
        <v>46282</v>
      </c>
      <c r="Z3391" s="424"/>
      <c r="AA3391" s="424"/>
      <c r="AB3391" s="424"/>
      <c r="AC3391" s="425">
        <f t="shared" si="567"/>
        <v>1</v>
      </c>
      <c r="AD3391" s="425">
        <f t="shared" si="568"/>
        <v>1</v>
      </c>
    </row>
    <row r="3392" spans="1:30" s="361" customFormat="1" x14ac:dyDescent="0.4">
      <c r="A3392" s="402">
        <v>46281</v>
      </c>
      <c r="B3392" s="392" t="s">
        <v>77</v>
      </c>
      <c r="C3392" s="364" t="str">
        <f>VLOOKUP(B3392,'112年全品項生產鍋數'!A:H,2,0)</f>
        <v>草莓餡50°(1*6Kg)</v>
      </c>
      <c r="D3392" s="404">
        <v>8</v>
      </c>
      <c r="E3392" s="48">
        <f>VLOOKUP(B3392,'112年全品項生產鍋數'!A:H,3,0)</f>
        <v>6</v>
      </c>
      <c r="F3392" s="142">
        <f>VLOOKUP(B3392,'112年全品項生產鍋數'!A:H,7,0)</f>
        <v>25</v>
      </c>
      <c r="G3392" s="143">
        <f t="shared" si="571"/>
        <v>200</v>
      </c>
      <c r="H3392" s="156">
        <v>199</v>
      </c>
      <c r="I3392" s="371">
        <f t="shared" si="572"/>
        <v>1194</v>
      </c>
      <c r="J3392" s="100">
        <f t="shared" si="573"/>
        <v>0.995</v>
      </c>
      <c r="K3392" s="51">
        <f>VLOOKUP(B:B,'生產達成率(目標)'!A:C,3,0)</f>
        <v>1</v>
      </c>
      <c r="L3392" s="20">
        <f t="shared" si="574"/>
        <v>-5.0000000000000001E-3</v>
      </c>
      <c r="M3392" s="137" t="str">
        <f>工時!R2580</f>
        <v>150</v>
      </c>
      <c r="N3392" s="374"/>
      <c r="O3392" s="374">
        <f t="shared" si="575"/>
        <v>1</v>
      </c>
      <c r="P3392" s="156">
        <v>198</v>
      </c>
      <c r="Q3392" s="98">
        <f t="shared" si="576"/>
        <v>0.99497487437185927</v>
      </c>
      <c r="R3392" s="371"/>
      <c r="S3392" s="372"/>
      <c r="T3392" s="364"/>
      <c r="U3392" s="264"/>
      <c r="V3392" s="264" t="s">
        <v>1847</v>
      </c>
      <c r="W3392" s="424">
        <v>46281</v>
      </c>
      <c r="X3392" s="264" t="s">
        <v>1867</v>
      </c>
      <c r="Y3392" s="424">
        <v>46282</v>
      </c>
      <c r="Z3392" s="424"/>
      <c r="AA3392" s="424"/>
      <c r="AB3392" s="424"/>
      <c r="AC3392" s="425">
        <f t="shared" si="567"/>
        <v>0</v>
      </c>
      <c r="AD3392" s="425">
        <f t="shared" si="568"/>
        <v>1</v>
      </c>
    </row>
    <row r="3393" spans="1:30" s="361" customFormat="1" x14ac:dyDescent="0.4">
      <c r="A3393" s="402">
        <v>46281</v>
      </c>
      <c r="B3393" s="392" t="s">
        <v>72</v>
      </c>
      <c r="C3393" s="364" t="str">
        <f>VLOOKUP(B3393,'112年全品項生產鍋數'!A:H,2,0)</f>
        <v>草莓餡45%(1*6Kg)</v>
      </c>
      <c r="D3393" s="404">
        <v>16</v>
      </c>
      <c r="E3393" s="48">
        <f>VLOOKUP(B3393,'112年全品項生產鍋數'!A:H,3,0)</f>
        <v>6</v>
      </c>
      <c r="F3393" s="142">
        <f>VLOOKUP(B3393,'112年全品項生產鍋數'!A:H,7,0)</f>
        <v>26.1</v>
      </c>
      <c r="G3393" s="143">
        <f t="shared" si="571"/>
        <v>417.6</v>
      </c>
      <c r="H3393" s="156">
        <v>414</v>
      </c>
      <c r="I3393" s="371">
        <f t="shared" si="572"/>
        <v>2484</v>
      </c>
      <c r="J3393" s="100">
        <f t="shared" si="573"/>
        <v>0.99137931034482751</v>
      </c>
      <c r="K3393" s="51">
        <f>VLOOKUP(B:B,'生產達成率(目標)'!A:C,3,0)</f>
        <v>1</v>
      </c>
      <c r="L3393" s="20">
        <f t="shared" si="574"/>
        <v>-8.9999999999999993E-3</v>
      </c>
      <c r="M3393" s="137" t="str">
        <f>工時!R2581</f>
        <v>205</v>
      </c>
      <c r="N3393" s="374"/>
      <c r="O3393" s="374">
        <f t="shared" si="575"/>
        <v>2</v>
      </c>
      <c r="P3393" s="156">
        <v>412</v>
      </c>
      <c r="Q3393" s="98">
        <f t="shared" si="576"/>
        <v>0.99516908212560384</v>
      </c>
      <c r="R3393" s="371"/>
      <c r="S3393" s="372"/>
      <c r="T3393" s="364"/>
      <c r="U3393" s="264"/>
      <c r="V3393" s="264" t="s">
        <v>1847</v>
      </c>
      <c r="W3393" s="424">
        <v>46282</v>
      </c>
      <c r="X3393" s="264" t="s">
        <v>1867</v>
      </c>
      <c r="Y3393" s="424">
        <v>46282</v>
      </c>
      <c r="Z3393" s="424"/>
      <c r="AA3393" s="424"/>
      <c r="AB3393" s="424"/>
      <c r="AC3393" s="425">
        <f t="shared" si="567"/>
        <v>1</v>
      </c>
      <c r="AD3393" s="425">
        <f t="shared" si="568"/>
        <v>1</v>
      </c>
    </row>
    <row r="3394" spans="1:30" s="361" customFormat="1" x14ac:dyDescent="0.4">
      <c r="A3394" s="402">
        <v>46281</v>
      </c>
      <c r="B3394" s="392" t="s">
        <v>65</v>
      </c>
      <c r="C3394" s="364" t="str">
        <f>VLOOKUP(B3394,'112年全品項生產鍋數'!A:H,2,0)</f>
        <v>＃1花生(1*2.8kg)</v>
      </c>
      <c r="D3394" s="404">
        <v>72</v>
      </c>
      <c r="E3394" s="48">
        <f>VLOOKUP(B3394,'112年全品項生產鍋數'!A:H,3,0)</f>
        <v>2.8</v>
      </c>
      <c r="F3394" s="142">
        <f>VLOOKUP(B3394,'112年全品項生產鍋數'!A:H,7,0)</f>
        <v>44.5</v>
      </c>
      <c r="G3394" s="143">
        <f>D3394*F3394-120*18/2.8</f>
        <v>2432.5714285714284</v>
      </c>
      <c r="H3394" s="156">
        <f>600+1835</f>
        <v>2435</v>
      </c>
      <c r="I3394" s="371">
        <f t="shared" si="572"/>
        <v>6818</v>
      </c>
      <c r="J3394" s="100">
        <f t="shared" si="573"/>
        <v>1.0009983556495186</v>
      </c>
      <c r="K3394" s="51">
        <f>VLOOKUP(B:B,'生產達成率(目標)'!A:C,3,0)</f>
        <v>1</v>
      </c>
      <c r="L3394" s="20">
        <f t="shared" si="574"/>
        <v>1E-3</v>
      </c>
      <c r="M3394" s="137" t="str">
        <f>工時!R2582</f>
        <v>540</v>
      </c>
      <c r="N3394" s="374"/>
      <c r="O3394" s="374">
        <f t="shared" si="575"/>
        <v>1</v>
      </c>
      <c r="P3394" s="156">
        <f>1834+600</f>
        <v>2434</v>
      </c>
      <c r="Q3394" s="98">
        <f t="shared" si="576"/>
        <v>0.99958932238193021</v>
      </c>
      <c r="R3394" s="371"/>
      <c r="S3394" s="372"/>
      <c r="T3394" s="364" t="s">
        <v>1876</v>
      </c>
      <c r="U3394" s="264"/>
      <c r="V3394" s="264" t="s">
        <v>1848</v>
      </c>
      <c r="W3394" s="424">
        <v>46281</v>
      </c>
      <c r="X3394" s="264" t="s">
        <v>1848</v>
      </c>
      <c r="Y3394" s="424">
        <v>46281</v>
      </c>
      <c r="Z3394" s="424"/>
      <c r="AA3394" s="424"/>
      <c r="AB3394" s="424"/>
      <c r="AC3394" s="425">
        <f t="shared" si="567"/>
        <v>0</v>
      </c>
      <c r="AD3394" s="425">
        <f t="shared" si="568"/>
        <v>0</v>
      </c>
    </row>
    <row r="3395" spans="1:30" s="361" customFormat="1" x14ac:dyDescent="0.4">
      <c r="A3395" s="402">
        <v>46282</v>
      </c>
      <c r="B3395" s="392" t="s">
        <v>87</v>
      </c>
      <c r="C3395" s="364" t="str">
        <f>VLOOKUP(B3395,'112年全品項生產鍋數'!A:H,2,0)</f>
        <v>＃1藍莓(1*3.2kg)</v>
      </c>
      <c r="D3395" s="404">
        <v>36</v>
      </c>
      <c r="E3395" s="48">
        <f>VLOOKUP(B3395,'112年全品項生產鍋數'!A:H,3,0)</f>
        <v>3.2</v>
      </c>
      <c r="F3395" s="142">
        <f>VLOOKUP(B3395,'112年全品項生產鍋數'!A:H,7,0)</f>
        <v>47.5</v>
      </c>
      <c r="G3395" s="143">
        <f t="shared" si="571"/>
        <v>1710</v>
      </c>
      <c r="H3395" s="156">
        <v>1687</v>
      </c>
      <c r="I3395" s="371">
        <f t="shared" si="572"/>
        <v>5398.4000000000005</v>
      </c>
      <c r="J3395" s="100">
        <f t="shared" si="573"/>
        <v>0.98654970760233918</v>
      </c>
      <c r="K3395" s="51">
        <f>VLOOKUP(B:B,'生產達成率(目標)'!A:C,3,0)</f>
        <v>1</v>
      </c>
      <c r="L3395" s="20">
        <f t="shared" si="574"/>
        <v>-1.2999999999999999E-2</v>
      </c>
      <c r="M3395" s="137" t="str">
        <f>工時!R2583</f>
        <v>330</v>
      </c>
      <c r="N3395" s="374"/>
      <c r="O3395" s="374">
        <f t="shared" si="575"/>
        <v>1</v>
      </c>
      <c r="P3395" s="156">
        <v>1686</v>
      </c>
      <c r="Q3395" s="98">
        <f t="shared" si="576"/>
        <v>0.999407231772377</v>
      </c>
      <c r="R3395" s="371"/>
      <c r="S3395" s="372"/>
      <c r="T3395" s="364" t="s">
        <v>1153</v>
      </c>
      <c r="U3395" s="264"/>
      <c r="V3395" s="264" t="s">
        <v>1849</v>
      </c>
      <c r="W3395" s="424">
        <v>46282</v>
      </c>
      <c r="X3395" s="264" t="s">
        <v>1867</v>
      </c>
      <c r="Y3395" s="424">
        <v>46286</v>
      </c>
      <c r="Z3395" s="424"/>
      <c r="AA3395" s="424"/>
      <c r="AB3395" s="424"/>
      <c r="AC3395" s="425">
        <f t="shared" si="567"/>
        <v>0</v>
      </c>
      <c r="AD3395" s="425">
        <f t="shared" si="568"/>
        <v>4</v>
      </c>
    </row>
    <row r="3396" spans="1:30" s="361" customFormat="1" x14ac:dyDescent="0.4">
      <c r="A3396" s="402">
        <v>46282</v>
      </c>
      <c r="B3396" s="392" t="s">
        <v>86</v>
      </c>
      <c r="C3396" s="364" t="str">
        <f>VLOOKUP(B3396,'112年全品項生產鍋數'!A:H,2,0)</f>
        <v>＃2藍莓(1*900g)</v>
      </c>
      <c r="D3396" s="404">
        <v>20</v>
      </c>
      <c r="E3396" s="48">
        <f>VLOOKUP(B3396,'112年全品項生產鍋數'!A:H,3,0)</f>
        <v>0.9</v>
      </c>
      <c r="F3396" s="142">
        <f>VLOOKUP(B3396,'112年全品項生產鍋數'!A:H,7,0)</f>
        <v>163</v>
      </c>
      <c r="G3396" s="143">
        <f t="shared" si="571"/>
        <v>3260</v>
      </c>
      <c r="H3396" s="156">
        <v>3181</v>
      </c>
      <c r="I3396" s="371">
        <f t="shared" si="572"/>
        <v>2862.9</v>
      </c>
      <c r="J3396" s="100">
        <f t="shared" si="573"/>
        <v>0.9757668711656442</v>
      </c>
      <c r="K3396" s="51">
        <f>VLOOKUP(B:B,'生產達成率(目標)'!A:C,3,0)</f>
        <v>1</v>
      </c>
      <c r="L3396" s="20">
        <f t="shared" si="574"/>
        <v>-2.4E-2</v>
      </c>
      <c r="M3396" s="137" t="str">
        <f>工時!R2584</f>
        <v>300</v>
      </c>
      <c r="N3396" s="374"/>
      <c r="O3396" s="374">
        <f t="shared" si="575"/>
        <v>2</v>
      </c>
      <c r="P3396" s="156">
        <v>3179</v>
      </c>
      <c r="Q3396" s="98">
        <f t="shared" si="576"/>
        <v>0.99937126689720213</v>
      </c>
      <c r="R3396" s="371"/>
      <c r="S3396" s="372"/>
      <c r="T3396" s="364" t="s">
        <v>1153</v>
      </c>
      <c r="U3396" s="264"/>
      <c r="V3396" s="264" t="s">
        <v>1849</v>
      </c>
      <c r="W3396" s="424">
        <v>46282</v>
      </c>
      <c r="X3396" s="264" t="s">
        <v>1867</v>
      </c>
      <c r="Y3396" s="424">
        <v>46286</v>
      </c>
      <c r="Z3396" s="424"/>
      <c r="AA3396" s="424"/>
      <c r="AB3396" s="424"/>
      <c r="AC3396" s="425">
        <f t="shared" si="567"/>
        <v>0</v>
      </c>
      <c r="AD3396" s="425">
        <f t="shared" si="568"/>
        <v>4</v>
      </c>
    </row>
    <row r="3397" spans="1:30" s="361" customFormat="1" x14ac:dyDescent="0.4">
      <c r="A3397" s="402">
        <v>46282</v>
      </c>
      <c r="B3397" s="392" t="s">
        <v>611</v>
      </c>
      <c r="C3397" s="364" t="str">
        <f>VLOOKUP(B3397,'112年全品項生產鍋數'!A:H,2,0)</f>
        <v>藍莓餡（大）(1*9.08kg)</v>
      </c>
      <c r="D3397" s="404">
        <v>8</v>
      </c>
      <c r="E3397" s="48">
        <f>VLOOKUP(B3397,'112年全品項生產鍋數'!A:H,3,0)</f>
        <v>9.08</v>
      </c>
      <c r="F3397" s="142">
        <f>VLOOKUP(B3397,'112年全品項生產鍋數'!A:H,7,0)</f>
        <v>17.399999999999999</v>
      </c>
      <c r="G3397" s="143">
        <f t="shared" si="571"/>
        <v>139.19999999999999</v>
      </c>
      <c r="H3397" s="156">
        <v>144</v>
      </c>
      <c r="I3397" s="371">
        <f t="shared" si="572"/>
        <v>1307.52</v>
      </c>
      <c r="J3397" s="100">
        <f t="shared" si="573"/>
        <v>1.0344827586206897</v>
      </c>
      <c r="K3397" s="51">
        <f>VLOOKUP(B:B,'生產達成率(目標)'!A:C,3,0)</f>
        <v>1</v>
      </c>
      <c r="L3397" s="20">
        <f t="shared" si="574"/>
        <v>3.4000000000000002E-2</v>
      </c>
      <c r="M3397" s="137" t="str">
        <f>工時!R2585</f>
        <v>130</v>
      </c>
      <c r="N3397" s="374"/>
      <c r="O3397" s="374">
        <f t="shared" si="575"/>
        <v>0</v>
      </c>
      <c r="P3397" s="156">
        <v>144</v>
      </c>
      <c r="Q3397" s="98">
        <f t="shared" si="576"/>
        <v>1</v>
      </c>
      <c r="R3397" s="371"/>
      <c r="S3397" s="372"/>
      <c r="T3397" s="364" t="s">
        <v>1877</v>
      </c>
      <c r="U3397" s="264"/>
      <c r="V3397" s="264" t="s">
        <v>1847</v>
      </c>
      <c r="W3397" s="424">
        <v>46283</v>
      </c>
      <c r="X3397" s="264" t="s">
        <v>1867</v>
      </c>
      <c r="Y3397" s="424">
        <v>46286</v>
      </c>
      <c r="Z3397" s="424"/>
      <c r="AA3397" s="424"/>
      <c r="AB3397" s="424"/>
      <c r="AC3397" s="425">
        <f t="shared" si="567"/>
        <v>1</v>
      </c>
      <c r="AD3397" s="425">
        <f t="shared" si="568"/>
        <v>4</v>
      </c>
    </row>
    <row r="3398" spans="1:30" s="361" customFormat="1" x14ac:dyDescent="0.4">
      <c r="A3398" s="402">
        <v>46282</v>
      </c>
      <c r="B3398" s="392" t="s">
        <v>1875</v>
      </c>
      <c r="C3398" s="364" t="str">
        <f>VLOOKUP(B3398,'112年全品項生產鍋數'!A:H,2,0)</f>
        <v>上好佳藍莓餡(1*4.5kg)</v>
      </c>
      <c r="D3398" s="404">
        <v>8</v>
      </c>
      <c r="E3398" s="48">
        <f>VLOOKUP(B3398,'112年全品項生產鍋數'!A:H,3,0)</f>
        <v>4.5</v>
      </c>
      <c r="F3398" s="142">
        <f>VLOOKUP(B3398,'112年全品項生產鍋數'!A:H,7,0)</f>
        <v>0</v>
      </c>
      <c r="G3398" s="143">
        <f t="shared" si="571"/>
        <v>0</v>
      </c>
      <c r="H3398" s="156">
        <v>304</v>
      </c>
      <c r="I3398" s="371">
        <f t="shared" si="572"/>
        <v>1368</v>
      </c>
      <c r="J3398" s="100" t="str">
        <f t="shared" si="573"/>
        <v>無法預估數據</v>
      </c>
      <c r="K3398" s="51">
        <f>VLOOKUP(B:B,'生產達成率(目標)'!A:C,3,0)</f>
        <v>1</v>
      </c>
      <c r="L3398" s="20" t="str">
        <f t="shared" si="574"/>
        <v>無法預估數據</v>
      </c>
      <c r="M3398" s="137" t="str">
        <f>工時!R2586</f>
        <v>139</v>
      </c>
      <c r="N3398" s="374"/>
      <c r="O3398" s="374">
        <f t="shared" si="575"/>
        <v>1</v>
      </c>
      <c r="P3398" s="156">
        <v>303</v>
      </c>
      <c r="Q3398" s="98">
        <f t="shared" si="576"/>
        <v>0.99671052631578949</v>
      </c>
      <c r="R3398" s="371"/>
      <c r="S3398" s="372"/>
      <c r="T3398" s="364" t="s">
        <v>1153</v>
      </c>
      <c r="U3398" s="264"/>
      <c r="V3398" s="264" t="s">
        <v>1847</v>
      </c>
      <c r="W3398" s="424">
        <v>46283</v>
      </c>
      <c r="X3398" s="264" t="s">
        <v>1867</v>
      </c>
      <c r="Y3398" s="424">
        <v>46286</v>
      </c>
      <c r="Z3398" s="424"/>
      <c r="AA3398" s="424"/>
      <c r="AB3398" s="424"/>
      <c r="AC3398" s="425">
        <f t="shared" si="567"/>
        <v>1</v>
      </c>
      <c r="AD3398" s="425">
        <f t="shared" si="568"/>
        <v>4</v>
      </c>
    </row>
    <row r="3399" spans="1:30" s="361" customFormat="1" x14ac:dyDescent="0.4">
      <c r="A3399" s="402">
        <v>46282</v>
      </c>
      <c r="B3399" s="392" t="s">
        <v>661</v>
      </c>
      <c r="C3399" s="364" t="str">
        <f>VLOOKUP(B3399,'112年全品項生產鍋數'!A:H,2,0)</f>
        <v>上好佳藍莓餡(大)4.5KG</v>
      </c>
      <c r="D3399" s="404">
        <v>24</v>
      </c>
      <c r="E3399" s="48">
        <f>VLOOKUP(B3399,'112年全品項生產鍋數'!A:H,3,0)</f>
        <v>4.5</v>
      </c>
      <c r="F3399" s="142">
        <f>VLOOKUP(B3399,'112年全品項生產鍋數'!A:H,7,0)</f>
        <v>37</v>
      </c>
      <c r="G3399" s="143">
        <f t="shared" si="571"/>
        <v>888</v>
      </c>
      <c r="H3399" s="156">
        <v>889</v>
      </c>
      <c r="I3399" s="371">
        <f t="shared" si="572"/>
        <v>4000.5</v>
      </c>
      <c r="J3399" s="100">
        <f t="shared" si="573"/>
        <v>1.0011261261261262</v>
      </c>
      <c r="K3399" s="51">
        <f>VLOOKUP(B:B,'生產達成率(目標)'!A:C,3,0)</f>
        <v>1</v>
      </c>
      <c r="L3399" s="20">
        <f t="shared" si="574"/>
        <v>1E-3</v>
      </c>
      <c r="M3399" s="137" t="str">
        <f>工時!R2587</f>
        <v>421</v>
      </c>
      <c r="N3399" s="374"/>
      <c r="O3399" s="374">
        <f t="shared" si="575"/>
        <v>0</v>
      </c>
      <c r="P3399" s="156">
        <v>889</v>
      </c>
      <c r="Q3399" s="98">
        <f t="shared" si="576"/>
        <v>1</v>
      </c>
      <c r="R3399" s="371"/>
      <c r="S3399" s="372"/>
      <c r="T3399" s="364"/>
      <c r="U3399" s="264"/>
      <c r="V3399" s="264" t="s">
        <v>1847</v>
      </c>
      <c r="W3399" s="424">
        <v>46282</v>
      </c>
      <c r="X3399" s="264" t="s">
        <v>1867</v>
      </c>
      <c r="Y3399" s="424">
        <v>46286</v>
      </c>
      <c r="Z3399" s="424"/>
      <c r="AA3399" s="424"/>
      <c r="AB3399" s="424"/>
      <c r="AC3399" s="425">
        <f t="shared" si="567"/>
        <v>0</v>
      </c>
      <c r="AD3399" s="425">
        <f t="shared" si="568"/>
        <v>4</v>
      </c>
    </row>
    <row r="3400" spans="1:30" s="508" customFormat="1" x14ac:dyDescent="0.4">
      <c r="A3400" s="490">
        <v>46282</v>
      </c>
      <c r="B3400" s="491" t="s">
        <v>110</v>
      </c>
      <c r="C3400" s="492" t="str">
        <f>VLOOKUP(B3400,'112年全品項生產鍋數'!A:H,2,0)</f>
        <v>顆粒花生醬(1*12KG)</v>
      </c>
      <c r="D3400" s="493">
        <v>21</v>
      </c>
      <c r="E3400" s="494">
        <f>VLOOKUP(B3400,'112年全品項生產鍋數'!A:H,3,0)</f>
        <v>3</v>
      </c>
      <c r="F3400" s="495">
        <f>VLOOKUP(B3400,'112年全品項生產鍋數'!A:H,7,0)</f>
        <v>30.8</v>
      </c>
      <c r="G3400" s="496">
        <f t="shared" si="571"/>
        <v>646.80000000000007</v>
      </c>
      <c r="H3400" s="497"/>
      <c r="I3400" s="498">
        <f t="shared" si="572"/>
        <v>0</v>
      </c>
      <c r="J3400" s="499">
        <f t="shared" si="573"/>
        <v>0</v>
      </c>
      <c r="K3400" s="500">
        <f>VLOOKUP(B:B,'生產達成率(目標)'!A:C,3,0)</f>
        <v>1</v>
      </c>
      <c r="L3400" s="501">
        <f t="shared" si="574"/>
        <v>-1</v>
      </c>
      <c r="M3400" s="502" t="str">
        <f>工時!R2588</f>
        <v>540</v>
      </c>
      <c r="N3400" s="498"/>
      <c r="O3400" s="498">
        <f t="shared" si="575"/>
        <v>0</v>
      </c>
      <c r="P3400" s="497"/>
      <c r="Q3400" s="503" t="e">
        <f t="shared" si="576"/>
        <v>#DIV/0!</v>
      </c>
      <c r="R3400" s="498"/>
      <c r="S3400" s="504"/>
      <c r="T3400" s="492" t="s">
        <v>1153</v>
      </c>
      <c r="U3400" s="505"/>
      <c r="V3400" s="505" t="s">
        <v>1848</v>
      </c>
      <c r="W3400" s="506"/>
      <c r="X3400" s="505" t="s">
        <v>1848</v>
      </c>
      <c r="Y3400" s="506"/>
      <c r="Z3400" s="506"/>
      <c r="AA3400" s="506"/>
      <c r="AB3400" s="506"/>
      <c r="AC3400" s="507" t="str">
        <f t="shared" si="567"/>
        <v>未收到</v>
      </c>
      <c r="AD3400" s="507" t="str">
        <f t="shared" si="568"/>
        <v>未收到</v>
      </c>
    </row>
    <row r="3401" spans="1:30" s="361" customFormat="1" x14ac:dyDescent="0.4">
      <c r="A3401" s="402">
        <v>46283</v>
      </c>
      <c r="B3401" s="392" t="s">
        <v>1890</v>
      </c>
      <c r="C3401" s="364" t="str">
        <f>VLOOKUP(B3401,'112年全品項生產鍋數'!A:H,2,0)</f>
        <v>藍莓餡(1*6Kg)</v>
      </c>
      <c r="D3401" s="404">
        <v>8</v>
      </c>
      <c r="E3401" s="48">
        <f>VLOOKUP(B3401,'112年全品項生產鍋數'!A:H,3,0)</f>
        <v>6</v>
      </c>
      <c r="F3401" s="142">
        <f>VLOOKUP(B3401,'112年全品項生產鍋數'!A:H,7,0)</f>
        <v>25.1</v>
      </c>
      <c r="G3401" s="143">
        <f t="shared" si="571"/>
        <v>200.8</v>
      </c>
      <c r="H3401" s="156">
        <v>201</v>
      </c>
      <c r="I3401" s="371">
        <f t="shared" si="572"/>
        <v>1206</v>
      </c>
      <c r="J3401" s="100">
        <f t="shared" si="573"/>
        <v>1.000996015936255</v>
      </c>
      <c r="K3401" s="51">
        <f>VLOOKUP(B:B,'生產達成率(目標)'!A:C,3,0)</f>
        <v>1</v>
      </c>
      <c r="L3401" s="20">
        <f t="shared" si="574"/>
        <v>1E-3</v>
      </c>
      <c r="M3401" s="137" t="str">
        <f>工時!R2589</f>
        <v>130</v>
      </c>
      <c r="N3401" s="374"/>
      <c r="O3401" s="374">
        <f t="shared" si="575"/>
        <v>1</v>
      </c>
      <c r="P3401" s="156">
        <v>200</v>
      </c>
      <c r="Q3401" s="98">
        <f t="shared" si="576"/>
        <v>0.99502487562189057</v>
      </c>
      <c r="R3401" s="371"/>
      <c r="S3401" s="372"/>
      <c r="T3401" s="364" t="s">
        <v>1153</v>
      </c>
      <c r="U3401" s="264"/>
      <c r="V3401" s="264" t="s">
        <v>1849</v>
      </c>
      <c r="W3401" s="424">
        <v>46286</v>
      </c>
      <c r="X3401" s="264" t="s">
        <v>1867</v>
      </c>
      <c r="Y3401" s="424">
        <v>46286</v>
      </c>
      <c r="Z3401" s="424"/>
      <c r="AA3401" s="424"/>
      <c r="AB3401" s="424"/>
      <c r="AC3401" s="425">
        <f t="shared" si="567"/>
        <v>3</v>
      </c>
      <c r="AD3401" s="425">
        <f t="shared" si="568"/>
        <v>3</v>
      </c>
    </row>
    <row r="3402" spans="1:30" s="361" customFormat="1" x14ac:dyDescent="0.4">
      <c r="A3402" s="402">
        <v>46283</v>
      </c>
      <c r="B3402" s="392" t="s">
        <v>128</v>
      </c>
      <c r="C3402" s="364" t="str">
        <f>VLOOKUP(B3402,'112年全品項生產鍋數'!A:H,2,0)</f>
        <v>草莓椰果漿(1*6KG)</v>
      </c>
      <c r="D3402" s="404">
        <v>8</v>
      </c>
      <c r="E3402" s="48">
        <f>VLOOKUP(B3402,'112年全品項生產鍋數'!A:H,3,0)</f>
        <v>6</v>
      </c>
      <c r="F3402" s="142">
        <f>VLOOKUP(B3402,'112年全品項生產鍋數'!A:H,7,0)</f>
        <v>25.7</v>
      </c>
      <c r="G3402" s="143">
        <f t="shared" si="571"/>
        <v>205.6</v>
      </c>
      <c r="H3402" s="156">
        <v>206</v>
      </c>
      <c r="I3402" s="371">
        <f t="shared" si="572"/>
        <v>1236</v>
      </c>
      <c r="J3402" s="100">
        <f t="shared" si="573"/>
        <v>1.0019455252918288</v>
      </c>
      <c r="K3402" s="51">
        <f>VLOOKUP(B:B,'生產達成率(目標)'!A:C,3,0)</f>
        <v>1</v>
      </c>
      <c r="L3402" s="20">
        <f t="shared" si="574"/>
        <v>2E-3</v>
      </c>
      <c r="M3402" s="137" t="str">
        <f>工時!R2590</f>
        <v>150</v>
      </c>
      <c r="N3402" s="374"/>
      <c r="O3402" s="374">
        <f t="shared" si="575"/>
        <v>1</v>
      </c>
      <c r="P3402" s="156">
        <v>205</v>
      </c>
      <c r="Q3402" s="98">
        <f t="shared" si="576"/>
        <v>0.99514563106796117</v>
      </c>
      <c r="R3402" s="371"/>
      <c r="S3402" s="372"/>
      <c r="T3402" s="364"/>
      <c r="U3402" s="264"/>
      <c r="V3402" s="264" t="s">
        <v>1849</v>
      </c>
      <c r="W3402" s="424">
        <v>46286</v>
      </c>
      <c r="X3402" s="264" t="s">
        <v>1867</v>
      </c>
      <c r="Y3402" s="424">
        <v>46286</v>
      </c>
      <c r="Z3402" s="424"/>
      <c r="AA3402" s="424"/>
      <c r="AB3402" s="424"/>
      <c r="AC3402" s="425">
        <f t="shared" si="567"/>
        <v>3</v>
      </c>
      <c r="AD3402" s="425">
        <f t="shared" si="568"/>
        <v>3</v>
      </c>
    </row>
    <row r="3403" spans="1:30" s="361" customFormat="1" x14ac:dyDescent="0.4">
      <c r="A3403" s="402">
        <v>46283</v>
      </c>
      <c r="B3403" s="392" t="s">
        <v>63</v>
      </c>
      <c r="C3403" s="364" t="str">
        <f>VLOOKUP(B3403,'112年全品項生產鍋數'!A:H,2,0)</f>
        <v>草莓蒟蒻餡(1*6kg)</v>
      </c>
      <c r="D3403" s="404">
        <v>12</v>
      </c>
      <c r="E3403" s="48">
        <f>VLOOKUP(B3403,'112年全品項生產鍋數'!A:H,3,0)</f>
        <v>6</v>
      </c>
      <c r="F3403" s="142">
        <f>VLOOKUP(B3403,'112年全品項生產鍋數'!A:H,7,0)</f>
        <v>25.7</v>
      </c>
      <c r="G3403" s="143">
        <f t="shared" si="571"/>
        <v>308.39999999999998</v>
      </c>
      <c r="H3403" s="156">
        <v>312</v>
      </c>
      <c r="I3403" s="371">
        <f t="shared" si="572"/>
        <v>1872</v>
      </c>
      <c r="J3403" s="100">
        <f t="shared" si="573"/>
        <v>1.0116731517509729</v>
      </c>
      <c r="K3403" s="51">
        <f>VLOOKUP(B:B,'生產達成率(目標)'!A:C,3,0)</f>
        <v>1</v>
      </c>
      <c r="L3403" s="20">
        <f t="shared" si="574"/>
        <v>1.2E-2</v>
      </c>
      <c r="M3403" s="137" t="str">
        <f>工時!R2591</f>
        <v>210</v>
      </c>
      <c r="N3403" s="374"/>
      <c r="O3403" s="374">
        <f t="shared" si="575"/>
        <v>1</v>
      </c>
      <c r="P3403" s="156">
        <v>311</v>
      </c>
      <c r="Q3403" s="98">
        <f t="shared" si="576"/>
        <v>0.99679487179487181</v>
      </c>
      <c r="R3403" s="371"/>
      <c r="S3403" s="372"/>
      <c r="T3403" s="364"/>
      <c r="U3403" s="264"/>
      <c r="V3403" s="264" t="s">
        <v>1849</v>
      </c>
      <c r="W3403" s="424">
        <v>46286</v>
      </c>
      <c r="X3403" s="264" t="s">
        <v>1867</v>
      </c>
      <c r="Y3403" s="424">
        <v>46286</v>
      </c>
      <c r="Z3403" s="424"/>
      <c r="AA3403" s="424"/>
      <c r="AB3403" s="424"/>
      <c r="AC3403" s="425">
        <f t="shared" si="567"/>
        <v>3</v>
      </c>
      <c r="AD3403" s="425">
        <f t="shared" si="568"/>
        <v>3</v>
      </c>
    </row>
    <row r="3404" spans="1:30" s="361" customFormat="1" x14ac:dyDescent="0.4">
      <c r="A3404" s="402">
        <v>46283</v>
      </c>
      <c r="B3404" s="392" t="s">
        <v>1891</v>
      </c>
      <c r="C3404" s="364" t="str">
        <f>VLOOKUP(B3404,'112年全品項生產鍋數'!A:H,2,0)</f>
        <v>藍莓餡(1*6KG)</v>
      </c>
      <c r="D3404" s="404">
        <v>12</v>
      </c>
      <c r="E3404" s="48">
        <f>VLOOKUP(B3404,'112年全品項生產鍋數'!A:H,3,0)</f>
        <v>6</v>
      </c>
      <c r="F3404" s="142">
        <f>VLOOKUP(B3404,'112年全品項生產鍋數'!A:H,7,0)</f>
        <v>25.4</v>
      </c>
      <c r="G3404" s="143">
        <f t="shared" ref="G3404" si="577">D3404*F3404</f>
        <v>304.79999999999995</v>
      </c>
      <c r="H3404" s="156">
        <v>312</v>
      </c>
      <c r="I3404" s="371">
        <f t="shared" ref="I3404" si="578">H3404*E3404</f>
        <v>1872</v>
      </c>
      <c r="J3404" s="100">
        <f t="shared" ref="J3404" si="579">IF(G3404=0,"無法預估數據",H3404/G3404)</f>
        <v>1.0236220472440947</v>
      </c>
      <c r="K3404" s="51">
        <f>VLOOKUP(B:B,'生產達成率(目標)'!A:C,3,0)</f>
        <v>1</v>
      </c>
      <c r="L3404" s="20">
        <f t="shared" ref="L3404" si="580">IF(G3404=0,"無法預估數據",ROUND(J3404-K3404,3))</f>
        <v>2.4E-2</v>
      </c>
      <c r="M3404" s="137" t="str">
        <f>工時!R2592</f>
        <v>210</v>
      </c>
      <c r="N3404" s="374"/>
      <c r="O3404" s="374">
        <f t="shared" ref="O3404" si="581">H3404-N3404-P3404</f>
        <v>2</v>
      </c>
      <c r="P3404" s="156">
        <v>310</v>
      </c>
      <c r="Q3404" s="98">
        <f t="shared" ref="Q3404" si="582">P3404/H3404</f>
        <v>0.99358974358974361</v>
      </c>
      <c r="R3404" s="371"/>
      <c r="S3404" s="372"/>
      <c r="T3404" s="364"/>
      <c r="U3404" s="264"/>
      <c r="V3404" s="264" t="s">
        <v>1849</v>
      </c>
      <c r="W3404" s="424">
        <v>46283</v>
      </c>
      <c r="X3404" s="264" t="s">
        <v>1867</v>
      </c>
      <c r="Y3404" s="424">
        <v>46286</v>
      </c>
      <c r="Z3404" s="424"/>
      <c r="AA3404" s="424"/>
      <c r="AB3404" s="424"/>
      <c r="AC3404" s="425">
        <f t="shared" ref="AC3404" si="583" xml:space="preserve"> IF((W3404-A3404)&lt;0,"未收到",W3404-A3404)</f>
        <v>0</v>
      </c>
      <c r="AD3404" s="425">
        <f t="shared" ref="AD3404" si="584" xml:space="preserve"> IF((Y3404-A3404)&lt;0,"未收到",Y3404-A3404)</f>
        <v>3</v>
      </c>
    </row>
    <row r="3405" spans="1:30" s="508" customFormat="1" x14ac:dyDescent="0.4">
      <c r="A3405" s="490">
        <v>46283</v>
      </c>
      <c r="B3405" s="491" t="s">
        <v>73</v>
      </c>
      <c r="C3405" s="492" t="str">
        <f>VLOOKUP(B3405,'112年全品項生產鍋數'!A:H,2,0)</f>
        <v>顆粒花生醬(1*12KG)</v>
      </c>
      <c r="D3405" s="493">
        <v>21</v>
      </c>
      <c r="E3405" s="494">
        <f>VLOOKUP(B3405,'112年全品項生產鍋數'!A:H,3,0)</f>
        <v>3</v>
      </c>
      <c r="F3405" s="495">
        <f>VLOOKUP(B3405,'112年全品項生產鍋數'!A:H,7,0)</f>
        <v>29.7</v>
      </c>
      <c r="G3405" s="496">
        <f t="shared" si="571"/>
        <v>623.69999999999993</v>
      </c>
      <c r="H3405" s="497"/>
      <c r="I3405" s="498">
        <f t="shared" si="572"/>
        <v>0</v>
      </c>
      <c r="J3405" s="499">
        <f t="shared" si="573"/>
        <v>0</v>
      </c>
      <c r="K3405" s="500">
        <f>VLOOKUP(B:B,'生產達成率(目標)'!A:C,3,0)</f>
        <v>1</v>
      </c>
      <c r="L3405" s="501">
        <f t="shared" si="574"/>
        <v>-1</v>
      </c>
      <c r="M3405" s="502" t="str">
        <f>工時!R2593</f>
        <v>480</v>
      </c>
      <c r="N3405" s="498"/>
      <c r="O3405" s="498">
        <f t="shared" si="575"/>
        <v>0</v>
      </c>
      <c r="P3405" s="497"/>
      <c r="Q3405" s="503" t="e">
        <f t="shared" si="576"/>
        <v>#DIV/0!</v>
      </c>
      <c r="R3405" s="498"/>
      <c r="S3405" s="504"/>
      <c r="T3405" s="492" t="s">
        <v>1153</v>
      </c>
      <c r="U3405" s="505"/>
      <c r="V3405" s="505" t="s">
        <v>1847</v>
      </c>
      <c r="W3405" s="506">
        <v>46283</v>
      </c>
      <c r="X3405" s="505" t="s">
        <v>1721</v>
      </c>
      <c r="Y3405" s="506" t="s">
        <v>1892</v>
      </c>
      <c r="Z3405" s="506"/>
      <c r="AA3405" s="506"/>
      <c r="AB3405" s="506"/>
      <c r="AC3405" s="507">
        <f t="shared" si="567"/>
        <v>0</v>
      </c>
      <c r="AD3405" s="507">
        <v>0</v>
      </c>
    </row>
    <row r="3406" spans="1:30" s="361" customFormat="1" x14ac:dyDescent="0.4">
      <c r="A3406" s="402">
        <v>46283</v>
      </c>
      <c r="B3406" s="392" t="s">
        <v>65</v>
      </c>
      <c r="C3406" s="364" t="str">
        <f>VLOOKUP(B3406,'112年全品項生產鍋數'!A:H,2,0)</f>
        <v>＃1花生(1*2.8kg)</v>
      </c>
      <c r="D3406" s="404">
        <v>72</v>
      </c>
      <c r="E3406" s="48">
        <f>VLOOKUP(B3406,'112年全品項生產鍋數'!A:H,3,0)</f>
        <v>2.8</v>
      </c>
      <c r="F3406" s="142">
        <f>VLOOKUP(B3406,'112年全品項生產鍋數'!A:H,7,0)</f>
        <v>44.5</v>
      </c>
      <c r="G3406" s="143">
        <f t="shared" si="571"/>
        <v>3204</v>
      </c>
      <c r="H3406" s="156">
        <v>3213</v>
      </c>
      <c r="I3406" s="371">
        <f t="shared" si="572"/>
        <v>8996.4</v>
      </c>
      <c r="J3406" s="100">
        <f t="shared" si="573"/>
        <v>1.002808988764045</v>
      </c>
      <c r="K3406" s="51">
        <f>VLOOKUP(B:B,'生產達成率(目標)'!A:C,3,0)</f>
        <v>1</v>
      </c>
      <c r="L3406" s="20">
        <f t="shared" si="574"/>
        <v>3.0000000000000001E-3</v>
      </c>
      <c r="M3406" s="137" t="str">
        <f>工時!R2594</f>
        <v>490</v>
      </c>
      <c r="N3406" s="374"/>
      <c r="O3406" s="374">
        <f t="shared" si="575"/>
        <v>3213</v>
      </c>
      <c r="P3406" s="156"/>
      <c r="Q3406" s="98">
        <f t="shared" si="576"/>
        <v>0</v>
      </c>
      <c r="R3406" s="371"/>
      <c r="S3406" s="372"/>
      <c r="T3406" s="364" t="s">
        <v>1153</v>
      </c>
      <c r="U3406" s="264"/>
      <c r="V3406" s="264" t="s">
        <v>1848</v>
      </c>
      <c r="W3406" s="424">
        <v>46273</v>
      </c>
      <c r="X3406" s="264" t="s">
        <v>1848</v>
      </c>
      <c r="Y3406" s="424">
        <v>46283</v>
      </c>
      <c r="Z3406" s="424"/>
      <c r="AA3406" s="424"/>
      <c r="AB3406" s="424"/>
      <c r="AC3406" s="425" t="str">
        <f t="shared" si="567"/>
        <v>未收到</v>
      </c>
      <c r="AD3406" s="425">
        <f t="shared" si="568"/>
        <v>0</v>
      </c>
    </row>
    <row r="3407" spans="1:30" s="361" customFormat="1" x14ac:dyDescent="0.4">
      <c r="A3407" s="402">
        <v>46286</v>
      </c>
      <c r="B3407" s="392" t="s">
        <v>106</v>
      </c>
      <c r="C3407" s="364" t="str">
        <f>VLOOKUP(B3407,'112年全品項生產鍋數'!A:H,2,0)</f>
        <v>小藍莓1*260G</v>
      </c>
      <c r="D3407" s="404">
        <v>24</v>
      </c>
      <c r="E3407" s="48">
        <f>VLOOKUP(B3407,'112年全品項生產鍋數'!A:H,3,0)</f>
        <v>0.26</v>
      </c>
      <c r="F3407" s="142">
        <f>VLOOKUP(B3407,'112年全品項生產鍋數'!A:H,7,0)</f>
        <v>584.29999999999995</v>
      </c>
      <c r="G3407" s="143">
        <f t="shared" si="571"/>
        <v>14023.199999999999</v>
      </c>
      <c r="H3407" s="156">
        <v>14103</v>
      </c>
      <c r="I3407" s="371">
        <f t="shared" si="572"/>
        <v>3666.78</v>
      </c>
      <c r="J3407" s="100">
        <f t="shared" si="573"/>
        <v>1.0056905699127161</v>
      </c>
      <c r="K3407" s="51">
        <f>VLOOKUP(B:B,'生產達成率(目標)'!A:C,3,0)</f>
        <v>1</v>
      </c>
      <c r="L3407" s="20">
        <f t="shared" si="574"/>
        <v>6.0000000000000001E-3</v>
      </c>
      <c r="M3407" s="137" t="str">
        <f>工時!R2595</f>
        <v>460</v>
      </c>
      <c r="N3407" s="374"/>
      <c r="O3407" s="374">
        <f t="shared" si="575"/>
        <v>14103</v>
      </c>
      <c r="P3407" s="156"/>
      <c r="Q3407" s="98">
        <f t="shared" si="576"/>
        <v>0</v>
      </c>
      <c r="R3407" s="371"/>
      <c r="S3407" s="372"/>
      <c r="T3407" s="364" t="s">
        <v>1893</v>
      </c>
      <c r="U3407" s="264"/>
      <c r="V3407" s="264" t="s">
        <v>1849</v>
      </c>
      <c r="W3407" s="424">
        <v>46286</v>
      </c>
      <c r="X3407" s="264" t="s">
        <v>1867</v>
      </c>
      <c r="Y3407" s="424"/>
      <c r="Z3407" s="424"/>
      <c r="AA3407" s="424"/>
      <c r="AB3407" s="424"/>
      <c r="AC3407" s="425">
        <f t="shared" si="567"/>
        <v>0</v>
      </c>
      <c r="AD3407" s="425" t="str">
        <f t="shared" si="568"/>
        <v>未收到</v>
      </c>
    </row>
    <row r="3408" spans="1:30" s="361" customFormat="1" x14ac:dyDescent="0.4">
      <c r="A3408" s="402">
        <v>46286</v>
      </c>
      <c r="B3408" s="392" t="s">
        <v>630</v>
      </c>
      <c r="C3408" s="364" t="str">
        <f>VLOOKUP(B3408,'112年全品項生產鍋數'!A:H,2,0)</f>
        <v>藍莓寡糖果醬(1*200G)</v>
      </c>
      <c r="D3408" s="404">
        <v>4</v>
      </c>
      <c r="E3408" s="48">
        <f>VLOOKUP(B3408,'112年全品項生產鍋數'!A:H,3,0)</f>
        <v>0.2</v>
      </c>
      <c r="F3408" s="142">
        <f>VLOOKUP(B3408,'112年全品項生產鍋數'!A:H,7,0)</f>
        <v>763</v>
      </c>
      <c r="G3408" s="143">
        <f t="shared" si="571"/>
        <v>3052</v>
      </c>
      <c r="H3408" s="156">
        <v>3073</v>
      </c>
      <c r="I3408" s="371">
        <f t="shared" si="572"/>
        <v>614.6</v>
      </c>
      <c r="J3408" s="100">
        <f t="shared" si="573"/>
        <v>1.0068807339449541</v>
      </c>
      <c r="K3408" s="51">
        <f>VLOOKUP(B:B,'生產達成率(目標)'!A:C,3,0)</f>
        <v>1</v>
      </c>
      <c r="L3408" s="20">
        <f t="shared" si="574"/>
        <v>7.0000000000000001E-3</v>
      </c>
      <c r="M3408" s="137" t="str">
        <f>工時!R2596</f>
        <v>230</v>
      </c>
      <c r="N3408" s="374"/>
      <c r="O3408" s="374">
        <f t="shared" si="575"/>
        <v>3073</v>
      </c>
      <c r="P3408" s="156"/>
      <c r="Q3408" s="98">
        <f t="shared" si="576"/>
        <v>0</v>
      </c>
      <c r="R3408" s="371"/>
      <c r="S3408" s="372"/>
      <c r="T3408" s="364" t="s">
        <v>1153</v>
      </c>
      <c r="U3408" s="264"/>
      <c r="V3408" s="264" t="s">
        <v>1849</v>
      </c>
      <c r="W3408" s="424">
        <v>46286</v>
      </c>
      <c r="X3408" s="264" t="s">
        <v>1867</v>
      </c>
      <c r="Y3408" s="424"/>
      <c r="Z3408" s="424"/>
      <c r="AA3408" s="424"/>
      <c r="AB3408" s="424"/>
      <c r="AC3408" s="425">
        <f t="shared" si="567"/>
        <v>0</v>
      </c>
      <c r="AD3408" s="425" t="str">
        <f t="shared" si="568"/>
        <v>未收到</v>
      </c>
    </row>
    <row r="3409" spans="1:30" s="361" customFormat="1" x14ac:dyDescent="0.4">
      <c r="A3409" s="402">
        <v>46286</v>
      </c>
      <c r="B3409" s="392" t="s">
        <v>133</v>
      </c>
      <c r="C3409" s="364" t="str">
        <f>VLOOKUP(B3409,'112年全品項生產鍋數'!A:H,2,0)</f>
        <v>藍莓餡(1*6KG)</v>
      </c>
      <c r="D3409" s="404">
        <v>6</v>
      </c>
      <c r="E3409" s="48">
        <f>VLOOKUP(B3409,'112年全品項生產鍋數'!A:H,3,0)</f>
        <v>6</v>
      </c>
      <c r="F3409" s="142">
        <f>VLOOKUP(B3409,'112年全品項生產鍋數'!A:H,7,0)</f>
        <v>25.5</v>
      </c>
      <c r="G3409" s="143">
        <f t="shared" si="571"/>
        <v>153</v>
      </c>
      <c r="H3409" s="156">
        <v>154</v>
      </c>
      <c r="I3409" s="371">
        <f t="shared" si="572"/>
        <v>924</v>
      </c>
      <c r="J3409" s="100">
        <f t="shared" si="573"/>
        <v>1.0065359477124183</v>
      </c>
      <c r="K3409" s="51">
        <f>VLOOKUP(B:B,'生產達成率(目標)'!A:C,3,0)</f>
        <v>1</v>
      </c>
      <c r="L3409" s="20">
        <f t="shared" si="574"/>
        <v>7.0000000000000001E-3</v>
      </c>
      <c r="M3409" s="137" t="str">
        <f>工時!R2597</f>
        <v>130</v>
      </c>
      <c r="N3409" s="374"/>
      <c r="O3409" s="374">
        <f t="shared" si="575"/>
        <v>154</v>
      </c>
      <c r="P3409" s="156"/>
      <c r="Q3409" s="98">
        <f t="shared" si="576"/>
        <v>0</v>
      </c>
      <c r="R3409" s="371"/>
      <c r="S3409" s="372"/>
      <c r="T3409" s="364"/>
      <c r="U3409" s="264"/>
      <c r="V3409" s="264" t="s">
        <v>1847</v>
      </c>
      <c r="W3409" s="424">
        <v>46286</v>
      </c>
      <c r="X3409" s="264" t="s">
        <v>1867</v>
      </c>
      <c r="Y3409" s="424"/>
      <c r="Z3409" s="424"/>
      <c r="AA3409" s="424"/>
      <c r="AB3409" s="424"/>
      <c r="AC3409" s="425">
        <f t="shared" si="567"/>
        <v>0</v>
      </c>
      <c r="AD3409" s="425" t="str">
        <f t="shared" si="568"/>
        <v>未收到</v>
      </c>
    </row>
    <row r="3410" spans="1:30" s="361" customFormat="1" x14ac:dyDescent="0.4">
      <c r="A3410" s="402">
        <v>46286</v>
      </c>
      <c r="B3410" s="392" t="s">
        <v>51</v>
      </c>
      <c r="C3410" s="364" t="str">
        <f>VLOOKUP(B3410,'112年全品項生產鍋數'!A:H,2,0)</f>
        <v>藍莓醬(1*6kg)</v>
      </c>
      <c r="D3410" s="404">
        <v>16</v>
      </c>
      <c r="E3410" s="48">
        <f>VLOOKUP(B3410,'112年全品項生產鍋數'!A:H,3,0)</f>
        <v>6</v>
      </c>
      <c r="F3410" s="142">
        <f>VLOOKUP(B3410,'112年全品項生產鍋數'!A:H,7,0)</f>
        <v>25.5</v>
      </c>
      <c r="G3410" s="143">
        <f t="shared" si="571"/>
        <v>408</v>
      </c>
      <c r="H3410" s="156">
        <v>414</v>
      </c>
      <c r="I3410" s="371">
        <f t="shared" si="572"/>
        <v>2484</v>
      </c>
      <c r="J3410" s="100">
        <f t="shared" si="573"/>
        <v>1.0147058823529411</v>
      </c>
      <c r="K3410" s="51">
        <f>VLOOKUP(B:B,'生產達成率(目標)'!A:C,3,0)</f>
        <v>1</v>
      </c>
      <c r="L3410" s="20">
        <f t="shared" si="574"/>
        <v>1.4999999999999999E-2</v>
      </c>
      <c r="M3410" s="137" t="str">
        <f>工時!R2598</f>
        <v>225</v>
      </c>
      <c r="N3410" s="374"/>
      <c r="O3410" s="374">
        <f t="shared" si="575"/>
        <v>414</v>
      </c>
      <c r="P3410" s="156"/>
      <c r="Q3410" s="98">
        <f t="shared" si="576"/>
        <v>0</v>
      </c>
      <c r="R3410" s="371"/>
      <c r="S3410" s="372"/>
      <c r="T3410" s="364" t="s">
        <v>1153</v>
      </c>
      <c r="U3410" s="264"/>
      <c r="V3410" s="264" t="s">
        <v>1847</v>
      </c>
      <c r="W3410" s="424">
        <v>46286</v>
      </c>
      <c r="X3410" s="264" t="s">
        <v>1867</v>
      </c>
      <c r="Y3410" s="424"/>
      <c r="Z3410" s="424"/>
      <c r="AA3410" s="424"/>
      <c r="AB3410" s="424"/>
      <c r="AC3410" s="425">
        <f t="shared" si="567"/>
        <v>0</v>
      </c>
      <c r="AD3410" s="425" t="str">
        <f t="shared" si="568"/>
        <v>未收到</v>
      </c>
    </row>
    <row r="3411" spans="1:30" s="361" customFormat="1" x14ac:dyDescent="0.4">
      <c r="A3411" s="402">
        <v>46286</v>
      </c>
      <c r="B3411" s="392" t="s">
        <v>63</v>
      </c>
      <c r="C3411" s="364" t="str">
        <f>VLOOKUP(B3411,'112年全品項生產鍋數'!A:H,2,0)</f>
        <v>草莓蒟蒻餡(1*6kg)</v>
      </c>
      <c r="D3411" s="404">
        <v>20</v>
      </c>
      <c r="E3411" s="48">
        <f>VLOOKUP(B3411,'112年全品項生產鍋數'!A:H,3,0)</f>
        <v>6</v>
      </c>
      <c r="F3411" s="142">
        <f>VLOOKUP(B3411,'112年全品項生產鍋數'!A:H,7,0)</f>
        <v>25.7</v>
      </c>
      <c r="G3411" s="143">
        <f t="shared" si="571"/>
        <v>514</v>
      </c>
      <c r="H3411" s="156">
        <f>304+214</f>
        <v>518</v>
      </c>
      <c r="I3411" s="371">
        <f t="shared" si="572"/>
        <v>3108</v>
      </c>
      <c r="J3411" s="100">
        <f t="shared" si="573"/>
        <v>1.0077821011673151</v>
      </c>
      <c r="K3411" s="51">
        <f>VLOOKUP(B:B,'生產達成率(目標)'!A:C,3,0)</f>
        <v>1</v>
      </c>
      <c r="L3411" s="20">
        <f t="shared" si="574"/>
        <v>8.0000000000000002E-3</v>
      </c>
      <c r="M3411" s="137" t="str">
        <f>工時!R2599</f>
        <v>240</v>
      </c>
      <c r="N3411" s="374"/>
      <c r="O3411" s="374">
        <f t="shared" si="575"/>
        <v>518</v>
      </c>
      <c r="P3411" s="156"/>
      <c r="Q3411" s="98">
        <f t="shared" si="576"/>
        <v>0</v>
      </c>
      <c r="R3411" s="371"/>
      <c r="S3411" s="372"/>
      <c r="T3411" s="364"/>
      <c r="U3411" s="264"/>
      <c r="V3411" s="264" t="s">
        <v>1847</v>
      </c>
      <c r="W3411" s="424"/>
      <c r="X3411" s="264" t="s">
        <v>1867</v>
      </c>
      <c r="Y3411" s="424"/>
      <c r="Z3411" s="424"/>
      <c r="AA3411" s="424"/>
      <c r="AB3411" s="424"/>
      <c r="AC3411" s="425" t="str">
        <f t="shared" si="567"/>
        <v>未收到</v>
      </c>
      <c r="AD3411" s="425" t="str">
        <f t="shared" si="568"/>
        <v>未收到</v>
      </c>
    </row>
    <row r="3412" spans="1:30" s="361" customFormat="1" x14ac:dyDescent="0.4">
      <c r="A3412" s="402">
        <v>46286</v>
      </c>
      <c r="B3412" s="392" t="s">
        <v>65</v>
      </c>
      <c r="C3412" s="364" t="str">
        <f>VLOOKUP(B3412,'112年全品項生產鍋數'!A:H,2,0)</f>
        <v>＃1花生(1*2.8kg)</v>
      </c>
      <c r="D3412" s="404">
        <v>68</v>
      </c>
      <c r="E3412" s="48">
        <f>VLOOKUP(B3412,'112年全品項生產鍋數'!A:H,3,0)</f>
        <v>2.8</v>
      </c>
      <c r="F3412" s="142">
        <f>VLOOKUP(B3412,'112年全品項生產鍋數'!A:H,7,0)</f>
        <v>44.5</v>
      </c>
      <c r="G3412" s="143">
        <f>D3412*F3412-100*18/2.8</f>
        <v>2383.1428571428569</v>
      </c>
      <c r="H3412" s="156">
        <v>2379</v>
      </c>
      <c r="I3412" s="371">
        <f t="shared" si="572"/>
        <v>6661.2</v>
      </c>
      <c r="J3412" s="100">
        <f t="shared" si="573"/>
        <v>0.9982615993286178</v>
      </c>
      <c r="K3412" s="51">
        <f>VLOOKUP(B:B,'生產達成率(目標)'!A:C,3,0)</f>
        <v>1</v>
      </c>
      <c r="L3412" s="20">
        <f t="shared" si="574"/>
        <v>-2E-3</v>
      </c>
      <c r="M3412" s="137"/>
      <c r="N3412" s="374"/>
      <c r="O3412" s="374">
        <f t="shared" si="575"/>
        <v>2379</v>
      </c>
      <c r="P3412" s="156"/>
      <c r="Q3412" s="98">
        <f t="shared" si="576"/>
        <v>0</v>
      </c>
      <c r="R3412" s="371"/>
      <c r="S3412" s="372"/>
      <c r="T3412" s="364" t="s">
        <v>1894</v>
      </c>
      <c r="U3412" s="264"/>
      <c r="V3412" s="264" t="s">
        <v>1848</v>
      </c>
      <c r="W3412" s="424">
        <v>46286</v>
      </c>
      <c r="X3412" s="264" t="s">
        <v>1848</v>
      </c>
      <c r="Y3412" s="424">
        <v>46286</v>
      </c>
      <c r="Z3412" s="424"/>
      <c r="AA3412" s="424"/>
      <c r="AB3412" s="424"/>
      <c r="AC3412" s="425">
        <f t="shared" si="567"/>
        <v>0</v>
      </c>
      <c r="AD3412" s="425">
        <f t="shared" si="568"/>
        <v>0</v>
      </c>
    </row>
    <row r="3413" spans="1:30" s="361" customFormat="1" x14ac:dyDescent="0.4">
      <c r="A3413" s="402">
        <v>46287</v>
      </c>
      <c r="B3413" s="392" t="s">
        <v>68</v>
      </c>
      <c r="C3413" s="364" t="str">
        <f>VLOOKUP(B3413,'112年全品項生產鍋數'!A:H,2,0)</f>
        <v>#2草莓果醬(1*900g)</v>
      </c>
      <c r="D3413" s="404">
        <v>40</v>
      </c>
      <c r="E3413" s="48">
        <f>VLOOKUP(B3413,'112年全品項生產鍋數'!A:H,3,0)</f>
        <v>0.9</v>
      </c>
      <c r="F3413" s="142">
        <f>VLOOKUP(B3413,'112年全品項生產鍋數'!A:H,7,0)</f>
        <v>160.5</v>
      </c>
      <c r="G3413" s="143">
        <f t="shared" si="571"/>
        <v>6420</v>
      </c>
      <c r="H3413" s="156"/>
      <c r="I3413" s="371">
        <f t="shared" si="572"/>
        <v>0</v>
      </c>
      <c r="J3413" s="100">
        <f t="shared" si="573"/>
        <v>0</v>
      </c>
      <c r="K3413" s="51">
        <f>VLOOKUP(B:B,'生產達成率(目標)'!A:C,3,0)</f>
        <v>1</v>
      </c>
      <c r="L3413" s="20">
        <f t="shared" si="574"/>
        <v>-1</v>
      </c>
      <c r="M3413" s="137"/>
      <c r="N3413" s="374"/>
      <c r="O3413" s="374">
        <f t="shared" si="575"/>
        <v>0</v>
      </c>
      <c r="P3413" s="156"/>
      <c r="Q3413" s="98" t="e">
        <f t="shared" si="576"/>
        <v>#DIV/0!</v>
      </c>
      <c r="R3413" s="371"/>
      <c r="S3413" s="372"/>
      <c r="T3413" s="364" t="s">
        <v>1153</v>
      </c>
      <c r="U3413" s="264"/>
      <c r="V3413" s="264" t="s">
        <v>1849</v>
      </c>
      <c r="W3413" s="424"/>
      <c r="X3413" s="264" t="s">
        <v>1867</v>
      </c>
      <c r="Y3413" s="424"/>
      <c r="Z3413" s="424"/>
      <c r="AA3413" s="424"/>
      <c r="AB3413" s="424"/>
      <c r="AC3413" s="425" t="str">
        <f t="shared" si="567"/>
        <v>未收到</v>
      </c>
      <c r="AD3413" s="425" t="str">
        <f t="shared" si="568"/>
        <v>未收到</v>
      </c>
    </row>
    <row r="3414" spans="1:30" s="361" customFormat="1" x14ac:dyDescent="0.4">
      <c r="A3414" s="402">
        <v>46287</v>
      </c>
      <c r="B3414" s="392" t="s">
        <v>451</v>
      </c>
      <c r="C3414" s="364" t="str">
        <f>VLOOKUP(B3414,'112年全品項生產鍋數'!A:H,2,0)</f>
        <v>水蜜桃醬(1*6kg)</v>
      </c>
      <c r="D3414" s="404">
        <v>6</v>
      </c>
      <c r="E3414" s="48">
        <f>VLOOKUP(B3414,'112年全品項生產鍋數'!A:H,3,0)</f>
        <v>6</v>
      </c>
      <c r="F3414" s="142">
        <f>VLOOKUP(B3414,'112年全品項生產鍋數'!A:H,7,0)</f>
        <v>24.5</v>
      </c>
      <c r="G3414" s="143">
        <f t="shared" si="571"/>
        <v>147</v>
      </c>
      <c r="H3414" s="156"/>
      <c r="I3414" s="371">
        <f t="shared" si="572"/>
        <v>0</v>
      </c>
      <c r="J3414" s="100">
        <f t="shared" si="573"/>
        <v>0</v>
      </c>
      <c r="K3414" s="51">
        <f>VLOOKUP(B:B,'生產達成率(目標)'!A:C,3,0)</f>
        <v>1</v>
      </c>
      <c r="L3414" s="20">
        <f t="shared" si="574"/>
        <v>-1</v>
      </c>
      <c r="M3414" s="137"/>
      <c r="N3414" s="374"/>
      <c r="O3414" s="374">
        <f t="shared" si="575"/>
        <v>0</v>
      </c>
      <c r="P3414" s="156"/>
      <c r="Q3414" s="98" t="e">
        <f t="shared" si="576"/>
        <v>#DIV/0!</v>
      </c>
      <c r="R3414" s="371"/>
      <c r="S3414" s="372"/>
      <c r="T3414" s="364" t="s">
        <v>1153</v>
      </c>
      <c r="U3414" s="264"/>
      <c r="V3414" s="264" t="s">
        <v>1847</v>
      </c>
      <c r="W3414" s="424">
        <v>46287</v>
      </c>
      <c r="X3414" s="264" t="s">
        <v>1867</v>
      </c>
      <c r="Y3414" s="424"/>
      <c r="Z3414" s="424"/>
      <c r="AA3414" s="424"/>
      <c r="AB3414" s="424"/>
      <c r="AC3414" s="425">
        <f t="shared" si="567"/>
        <v>0</v>
      </c>
      <c r="AD3414" s="425" t="str">
        <f t="shared" si="568"/>
        <v>未收到</v>
      </c>
    </row>
    <row r="3415" spans="1:30" s="361" customFormat="1" x14ac:dyDescent="0.4">
      <c r="A3415" s="402">
        <v>46287</v>
      </c>
      <c r="B3415" s="392" t="s">
        <v>1046</v>
      </c>
      <c r="C3415" s="364" t="str">
        <f>VLOOKUP(B3415,'112年全品項生產鍋數'!A:H,2,0)</f>
        <v>藍莓顆粒果醬(1*6kg)</v>
      </c>
      <c r="D3415" s="404">
        <v>6</v>
      </c>
      <c r="E3415" s="48">
        <f>VLOOKUP(B3415,'112年全品項生產鍋數'!A:H,3,0)</f>
        <v>6</v>
      </c>
      <c r="F3415" s="142">
        <f>VLOOKUP(B3415,'112年全品項生產鍋數'!A:H,7,0)</f>
        <v>0</v>
      </c>
      <c r="G3415" s="143">
        <f t="shared" si="571"/>
        <v>0</v>
      </c>
      <c r="H3415" s="156"/>
      <c r="I3415" s="371">
        <f t="shared" si="572"/>
        <v>0</v>
      </c>
      <c r="J3415" s="100" t="str">
        <f t="shared" si="573"/>
        <v>無法預估數據</v>
      </c>
      <c r="K3415" s="51">
        <f>VLOOKUP(B:B,'生產達成率(目標)'!A:C,3,0)</f>
        <v>1</v>
      </c>
      <c r="L3415" s="20" t="str">
        <f t="shared" si="574"/>
        <v>無法預估數據</v>
      </c>
      <c r="M3415" s="137"/>
      <c r="N3415" s="374"/>
      <c r="O3415" s="374">
        <f t="shared" si="575"/>
        <v>0</v>
      </c>
      <c r="P3415" s="156"/>
      <c r="Q3415" s="98" t="e">
        <f t="shared" si="576"/>
        <v>#DIV/0!</v>
      </c>
      <c r="R3415" s="371"/>
      <c r="S3415" s="372"/>
      <c r="T3415" s="364" t="s">
        <v>1153</v>
      </c>
      <c r="U3415" s="264"/>
      <c r="V3415" s="264" t="s">
        <v>1847</v>
      </c>
      <c r="W3415" s="424">
        <v>46287</v>
      </c>
      <c r="X3415" s="264" t="s">
        <v>1867</v>
      </c>
      <c r="Y3415" s="424"/>
      <c r="Z3415" s="424"/>
      <c r="AA3415" s="424"/>
      <c r="AB3415" s="424"/>
      <c r="AC3415" s="425">
        <f t="shared" si="567"/>
        <v>0</v>
      </c>
      <c r="AD3415" s="425" t="str">
        <f t="shared" si="568"/>
        <v>未收到</v>
      </c>
    </row>
    <row r="3416" spans="1:30" s="361" customFormat="1" x14ac:dyDescent="0.4">
      <c r="A3416" s="402">
        <v>46287</v>
      </c>
      <c r="B3416" s="392" t="s">
        <v>107</v>
      </c>
      <c r="C3416" s="364" t="str">
        <f>VLOOKUP(B3416,'112年全品項生產鍋數'!A:H,2,0)</f>
        <v>藍莓餡(1*6kg)</v>
      </c>
      <c r="D3416" s="404">
        <v>8</v>
      </c>
      <c r="E3416" s="48">
        <f>VLOOKUP(B3416,'112年全品項生產鍋數'!A:H,3,0)</f>
        <v>6</v>
      </c>
      <c r="F3416" s="142">
        <f>VLOOKUP(B3416,'112年全品項生產鍋數'!A:H,7,0)</f>
        <v>26.4</v>
      </c>
      <c r="G3416" s="143">
        <f t="shared" si="571"/>
        <v>211.2</v>
      </c>
      <c r="H3416" s="156"/>
      <c r="I3416" s="371">
        <f t="shared" si="572"/>
        <v>0</v>
      </c>
      <c r="J3416" s="100">
        <f t="shared" si="573"/>
        <v>0</v>
      </c>
      <c r="K3416" s="51">
        <f>VLOOKUP(B:B,'生產達成率(目標)'!A:C,3,0)</f>
        <v>1</v>
      </c>
      <c r="L3416" s="20">
        <f t="shared" si="574"/>
        <v>-1</v>
      </c>
      <c r="M3416" s="137"/>
      <c r="N3416" s="374"/>
      <c r="O3416" s="374">
        <f t="shared" si="575"/>
        <v>0</v>
      </c>
      <c r="P3416" s="156"/>
      <c r="Q3416" s="98" t="e">
        <f t="shared" si="576"/>
        <v>#DIV/0!</v>
      </c>
      <c r="R3416" s="371"/>
      <c r="S3416" s="372"/>
      <c r="T3416" s="364"/>
      <c r="U3416" s="264"/>
      <c r="V3416" s="264" t="s">
        <v>1847</v>
      </c>
      <c r="W3416" s="424">
        <v>46287</v>
      </c>
      <c r="X3416" s="264" t="s">
        <v>1867</v>
      </c>
      <c r="Y3416" s="424"/>
      <c r="Z3416" s="424"/>
      <c r="AA3416" s="424"/>
      <c r="AB3416" s="424"/>
      <c r="AC3416" s="425">
        <f t="shared" si="567"/>
        <v>0</v>
      </c>
      <c r="AD3416" s="425" t="str">
        <f t="shared" si="568"/>
        <v>未收到</v>
      </c>
    </row>
    <row r="3417" spans="1:30" s="361" customFormat="1" x14ac:dyDescent="0.4">
      <c r="A3417" s="402">
        <v>46287</v>
      </c>
      <c r="B3417" s="392" t="s">
        <v>63</v>
      </c>
      <c r="C3417" s="364" t="str">
        <f>VLOOKUP(B3417,'112年全品項生產鍋數'!A:H,2,0)</f>
        <v>草莓蒟蒻餡(1*6kg)</v>
      </c>
      <c r="D3417" s="404">
        <v>20</v>
      </c>
      <c r="E3417" s="48">
        <f>VLOOKUP(B3417,'112年全品項生產鍋數'!A:H,3,0)</f>
        <v>6</v>
      </c>
      <c r="F3417" s="142">
        <f>VLOOKUP(B3417,'112年全品項生產鍋數'!A:H,7,0)</f>
        <v>25.7</v>
      </c>
      <c r="G3417" s="143">
        <f t="shared" si="571"/>
        <v>514</v>
      </c>
      <c r="H3417" s="156"/>
      <c r="I3417" s="371">
        <f t="shared" si="572"/>
        <v>0</v>
      </c>
      <c r="J3417" s="100">
        <f t="shared" si="573"/>
        <v>0</v>
      </c>
      <c r="K3417" s="51">
        <f>VLOOKUP(B:B,'生產達成率(目標)'!A:C,3,0)</f>
        <v>1</v>
      </c>
      <c r="L3417" s="20">
        <f t="shared" si="574"/>
        <v>-1</v>
      </c>
      <c r="M3417" s="137"/>
      <c r="N3417" s="374"/>
      <c r="O3417" s="374">
        <f t="shared" si="575"/>
        <v>0</v>
      </c>
      <c r="P3417" s="156"/>
      <c r="Q3417" s="98" t="e">
        <f t="shared" si="576"/>
        <v>#DIV/0!</v>
      </c>
      <c r="R3417" s="371"/>
      <c r="S3417" s="372"/>
      <c r="T3417" s="364"/>
      <c r="U3417" s="264"/>
      <c r="V3417" s="264" t="s">
        <v>1847</v>
      </c>
      <c r="W3417" s="424">
        <v>46287</v>
      </c>
      <c r="X3417" s="264" t="s">
        <v>1867</v>
      </c>
      <c r="Y3417" s="424"/>
      <c r="Z3417" s="424"/>
      <c r="AA3417" s="424"/>
      <c r="AB3417" s="424"/>
      <c r="AC3417" s="425">
        <f t="shared" ref="AC3417:AC3478" si="585" xml:space="preserve"> IF((W3417-A3417)&lt;0,"未收到",W3417-A3417)</f>
        <v>0</v>
      </c>
      <c r="AD3417" s="425" t="str">
        <f t="shared" ref="AD3417:AD3478" si="586" xml:space="preserve"> IF((Y3417-A3417)&lt;0,"未收到",Y3417-A3417)</f>
        <v>未收到</v>
      </c>
    </row>
    <row r="3418" spans="1:30" s="361" customFormat="1" x14ac:dyDescent="0.4">
      <c r="A3418" s="402">
        <v>46287</v>
      </c>
      <c r="B3418" s="392" t="s">
        <v>58</v>
      </c>
      <c r="C3418" s="364" t="str">
        <f>VLOOKUP(B3418,'112年全品項生產鍋數'!A:H,2,0)</f>
        <v>PET大花生(1*400g)</v>
      </c>
      <c r="D3418" s="404">
        <v>20</v>
      </c>
      <c r="E3418" s="48">
        <f>VLOOKUP(B3418,'112年全品項生產鍋數'!A:H,3,0)</f>
        <v>0.4</v>
      </c>
      <c r="F3418" s="142">
        <f>VLOOKUP(B3418,'112年全品項生產鍋數'!A:H,7,0)</f>
        <v>309.2</v>
      </c>
      <c r="G3418" s="143">
        <f t="shared" si="571"/>
        <v>6184</v>
      </c>
      <c r="H3418" s="156"/>
      <c r="I3418" s="371">
        <f t="shared" si="572"/>
        <v>0</v>
      </c>
      <c r="J3418" s="100">
        <f t="shared" si="573"/>
        <v>0</v>
      </c>
      <c r="K3418" s="51">
        <f>VLOOKUP(B:B,'生產達成率(目標)'!A:C,3,0)</f>
        <v>1</v>
      </c>
      <c r="L3418" s="20">
        <f t="shared" si="574"/>
        <v>-1</v>
      </c>
      <c r="M3418" s="137"/>
      <c r="N3418" s="374"/>
      <c r="O3418" s="374">
        <f t="shared" si="575"/>
        <v>0</v>
      </c>
      <c r="P3418" s="156"/>
      <c r="Q3418" s="98" t="e">
        <f t="shared" si="576"/>
        <v>#DIV/0!</v>
      </c>
      <c r="R3418" s="371"/>
      <c r="S3418" s="372"/>
      <c r="T3418" s="364" t="s">
        <v>1153</v>
      </c>
      <c r="U3418" s="264"/>
      <c r="V3418" s="264" t="s">
        <v>1848</v>
      </c>
      <c r="W3418" s="424">
        <v>46287</v>
      </c>
      <c r="X3418" s="264" t="s">
        <v>1848</v>
      </c>
      <c r="Y3418" s="424">
        <v>46287</v>
      </c>
      <c r="Z3418" s="424"/>
      <c r="AA3418" s="424"/>
      <c r="AB3418" s="424"/>
      <c r="AC3418" s="425">
        <f t="shared" si="585"/>
        <v>0</v>
      </c>
      <c r="AD3418" s="425">
        <f t="shared" si="586"/>
        <v>0</v>
      </c>
    </row>
    <row r="3419" spans="1:30" s="361" customFormat="1" x14ac:dyDescent="0.4">
      <c r="A3419" s="402">
        <v>46287</v>
      </c>
      <c r="B3419" s="392" t="s">
        <v>66</v>
      </c>
      <c r="C3419" s="364" t="str">
        <f>VLOOKUP(B3419,'112年全品項生產鍋數'!A:H,2,0)</f>
        <v>＃2花生(1*800g)</v>
      </c>
      <c r="D3419" s="404">
        <v>20</v>
      </c>
      <c r="E3419" s="48">
        <f>VLOOKUP(B3419,'112年全品項生產鍋數'!A:H,3,0)</f>
        <v>0.8</v>
      </c>
      <c r="F3419" s="142">
        <f>VLOOKUP(B3419,'112年全品項生產鍋數'!A:H,7,0)</f>
        <v>157.69999999999999</v>
      </c>
      <c r="G3419" s="143">
        <f t="shared" si="571"/>
        <v>3154</v>
      </c>
      <c r="H3419" s="156"/>
      <c r="I3419" s="371">
        <f t="shared" si="572"/>
        <v>0</v>
      </c>
      <c r="J3419" s="100">
        <f t="shared" si="573"/>
        <v>0</v>
      </c>
      <c r="K3419" s="51">
        <f>VLOOKUP(B:B,'生產達成率(目標)'!A:C,3,0)</f>
        <v>1</v>
      </c>
      <c r="L3419" s="20">
        <f t="shared" si="574"/>
        <v>-1</v>
      </c>
      <c r="M3419" s="137"/>
      <c r="N3419" s="374"/>
      <c r="O3419" s="374">
        <f t="shared" si="575"/>
        <v>0</v>
      </c>
      <c r="P3419" s="156"/>
      <c r="Q3419" s="98" t="e">
        <f t="shared" si="576"/>
        <v>#DIV/0!</v>
      </c>
      <c r="R3419" s="371"/>
      <c r="S3419" s="372"/>
      <c r="T3419" s="364" t="s">
        <v>1153</v>
      </c>
      <c r="U3419" s="264"/>
      <c r="V3419" s="264" t="s">
        <v>1848</v>
      </c>
      <c r="W3419" s="424">
        <v>46287</v>
      </c>
      <c r="X3419" s="264" t="s">
        <v>1848</v>
      </c>
      <c r="Y3419" s="424">
        <v>46287</v>
      </c>
      <c r="Z3419" s="424"/>
      <c r="AA3419" s="424"/>
      <c r="AB3419" s="424"/>
      <c r="AC3419" s="425">
        <f t="shared" si="585"/>
        <v>0</v>
      </c>
      <c r="AD3419" s="425">
        <f t="shared" si="586"/>
        <v>0</v>
      </c>
    </row>
    <row r="3420" spans="1:30" s="361" customFormat="1" x14ac:dyDescent="0.4">
      <c r="A3420" s="402">
        <v>46288</v>
      </c>
      <c r="B3420" s="392" t="s">
        <v>71</v>
      </c>
      <c r="C3420" s="364" t="str">
        <f>VLOOKUP(B3420,'112年全品項生產鍋數'!A:H,2,0)</f>
        <v>＃1草莓(1*3.2kg)</v>
      </c>
      <c r="D3420" s="404">
        <v>72</v>
      </c>
      <c r="E3420" s="48">
        <f>VLOOKUP(B3420,'112年全品項生產鍋數'!A:H,3,0)</f>
        <v>3.2</v>
      </c>
      <c r="F3420" s="142">
        <f>VLOOKUP(B3420,'112年全品項生產鍋數'!A:H,7,0)</f>
        <v>46.8</v>
      </c>
      <c r="G3420" s="143">
        <f t="shared" si="571"/>
        <v>3369.6</v>
      </c>
      <c r="H3420" s="156"/>
      <c r="I3420" s="371">
        <f t="shared" si="572"/>
        <v>0</v>
      </c>
      <c r="J3420" s="100">
        <f t="shared" si="573"/>
        <v>0</v>
      </c>
      <c r="K3420" s="51">
        <f>VLOOKUP(B:B,'生產達成率(目標)'!A:C,3,0)</f>
        <v>1</v>
      </c>
      <c r="L3420" s="20">
        <f t="shared" si="574"/>
        <v>-1</v>
      </c>
      <c r="M3420" s="137"/>
      <c r="N3420" s="374"/>
      <c r="O3420" s="374">
        <f t="shared" si="575"/>
        <v>0</v>
      </c>
      <c r="P3420" s="156"/>
      <c r="Q3420" s="98" t="e">
        <f t="shared" si="576"/>
        <v>#DIV/0!</v>
      </c>
      <c r="R3420" s="371"/>
      <c r="S3420" s="372"/>
      <c r="T3420" s="364" t="s">
        <v>1153</v>
      </c>
      <c r="U3420" s="264"/>
      <c r="V3420" s="264" t="s">
        <v>1849</v>
      </c>
      <c r="W3420" s="424"/>
      <c r="X3420" s="264" t="s">
        <v>1867</v>
      </c>
      <c r="Y3420" s="424"/>
      <c r="Z3420" s="424"/>
      <c r="AA3420" s="424"/>
      <c r="AB3420" s="424"/>
      <c r="AC3420" s="425" t="str">
        <f t="shared" si="585"/>
        <v>未收到</v>
      </c>
      <c r="AD3420" s="425" t="str">
        <f t="shared" si="586"/>
        <v>未收到</v>
      </c>
    </row>
    <row r="3421" spans="1:30" s="361" customFormat="1" x14ac:dyDescent="0.4">
      <c r="A3421" s="402">
        <v>46288</v>
      </c>
      <c r="B3421" s="392" t="s">
        <v>1061</v>
      </c>
      <c r="C3421" s="364" t="str">
        <f>VLOOKUP(B3421,'112年全品項生產鍋數'!A:H,2,0)</f>
        <v>＃1草莓(1*3.2kg)</v>
      </c>
      <c r="D3421" s="404">
        <v>1</v>
      </c>
      <c r="E3421" s="48">
        <f>VLOOKUP(B3421,'112年全品項生產鍋數'!A:H,3,0)</f>
        <v>3.2</v>
      </c>
      <c r="F3421" s="142">
        <f>VLOOKUP(B3421,'112年全品項生產鍋數'!A:H,7,0)</f>
        <v>46.8</v>
      </c>
      <c r="G3421" s="143">
        <f t="shared" si="571"/>
        <v>46.8</v>
      </c>
      <c r="H3421" s="156"/>
      <c r="I3421" s="371">
        <f t="shared" si="572"/>
        <v>0</v>
      </c>
      <c r="J3421" s="100">
        <f t="shared" si="573"/>
        <v>0</v>
      </c>
      <c r="K3421" s="51" t="e">
        <f>VLOOKUP(B:B,'生產達成率(目標)'!A:C,3,0)</f>
        <v>#N/A</v>
      </c>
      <c r="L3421" s="20" t="e">
        <f t="shared" si="574"/>
        <v>#N/A</v>
      </c>
      <c r="M3421" s="137"/>
      <c r="N3421" s="374"/>
      <c r="O3421" s="374">
        <f t="shared" si="575"/>
        <v>0</v>
      </c>
      <c r="P3421" s="156"/>
      <c r="Q3421" s="98" t="e">
        <f t="shared" si="576"/>
        <v>#DIV/0!</v>
      </c>
      <c r="R3421" s="371"/>
      <c r="S3421" s="372"/>
      <c r="T3421" s="364" t="s">
        <v>1895</v>
      </c>
      <c r="U3421" s="264"/>
      <c r="V3421" s="264" t="s">
        <v>1849</v>
      </c>
      <c r="W3421" s="424"/>
      <c r="X3421" s="264" t="s">
        <v>1867</v>
      </c>
      <c r="Y3421" s="424"/>
      <c r="Z3421" s="424"/>
      <c r="AA3421" s="424"/>
      <c r="AB3421" s="424"/>
      <c r="AC3421" s="425" t="str">
        <f t="shared" si="585"/>
        <v>未收到</v>
      </c>
      <c r="AD3421" s="425" t="str">
        <f t="shared" si="586"/>
        <v>未收到</v>
      </c>
    </row>
    <row r="3422" spans="1:30" s="361" customFormat="1" x14ac:dyDescent="0.4">
      <c r="A3422" s="402">
        <v>46288</v>
      </c>
      <c r="B3422" s="392" t="s">
        <v>117</v>
      </c>
      <c r="C3422" s="364" t="str">
        <f>VLOOKUP(B3422,'112年全品項生產鍋數'!A:H,2,0)</f>
        <v>草莓餡(1*4.5Kg)</v>
      </c>
      <c r="D3422" s="404">
        <v>12</v>
      </c>
      <c r="E3422" s="48">
        <f>VLOOKUP(B3422,'112年全品項生產鍋數'!A:H,3,0)</f>
        <v>4.5</v>
      </c>
      <c r="F3422" s="142">
        <f>VLOOKUP(B3422,'112年全品項生產鍋數'!A:H,7,0)</f>
        <v>35.6</v>
      </c>
      <c r="G3422" s="143">
        <f t="shared" si="571"/>
        <v>427.20000000000005</v>
      </c>
      <c r="H3422" s="156"/>
      <c r="I3422" s="371">
        <f t="shared" si="572"/>
        <v>0</v>
      </c>
      <c r="J3422" s="100">
        <f t="shared" si="573"/>
        <v>0</v>
      </c>
      <c r="K3422" s="51">
        <f>VLOOKUP(B:B,'生產達成率(目標)'!A:C,3,0)</f>
        <v>1</v>
      </c>
      <c r="L3422" s="20">
        <f t="shared" si="574"/>
        <v>-1</v>
      </c>
      <c r="M3422" s="137"/>
      <c r="N3422" s="374"/>
      <c r="O3422" s="374">
        <f t="shared" si="575"/>
        <v>0</v>
      </c>
      <c r="P3422" s="156"/>
      <c r="Q3422" s="98" t="e">
        <f t="shared" si="576"/>
        <v>#DIV/0!</v>
      </c>
      <c r="R3422" s="371"/>
      <c r="S3422" s="372"/>
      <c r="T3422" s="364" t="s">
        <v>1153</v>
      </c>
      <c r="U3422" s="264"/>
      <c r="V3422" s="264" t="s">
        <v>1847</v>
      </c>
      <c r="W3422" s="424"/>
      <c r="X3422" s="264" t="s">
        <v>1867</v>
      </c>
      <c r="Y3422" s="424"/>
      <c r="Z3422" s="424"/>
      <c r="AA3422" s="424"/>
      <c r="AB3422" s="424"/>
      <c r="AC3422" s="425" t="str">
        <f t="shared" si="585"/>
        <v>未收到</v>
      </c>
      <c r="AD3422" s="425" t="str">
        <f t="shared" si="586"/>
        <v>未收到</v>
      </c>
    </row>
    <row r="3423" spans="1:30" s="361" customFormat="1" x14ac:dyDescent="0.4">
      <c r="A3423" s="402">
        <v>46288</v>
      </c>
      <c r="B3423" s="392" t="s">
        <v>57</v>
      </c>
      <c r="C3423" s="364" t="str">
        <f>VLOOKUP(B3423,'112年全品項生產鍋數'!A:H,2,0)</f>
        <v>蘋果藍莓餡(1*9.08kg)</v>
      </c>
      <c r="D3423" s="404">
        <v>12</v>
      </c>
      <c r="E3423" s="48">
        <f>VLOOKUP(B3423,'112年全品項生產鍋數'!A:H,3,0)</f>
        <v>9.08</v>
      </c>
      <c r="F3423" s="142">
        <f>VLOOKUP(B3423,'112年全品項生產鍋數'!A:H,7,0)</f>
        <v>17.3</v>
      </c>
      <c r="G3423" s="143">
        <f t="shared" si="571"/>
        <v>207.60000000000002</v>
      </c>
      <c r="H3423" s="156"/>
      <c r="I3423" s="371">
        <f t="shared" si="572"/>
        <v>0</v>
      </c>
      <c r="J3423" s="100">
        <f t="shared" si="573"/>
        <v>0</v>
      </c>
      <c r="K3423" s="51">
        <f>VLOOKUP(B:B,'生產達成率(目標)'!A:C,3,0)</f>
        <v>1</v>
      </c>
      <c r="L3423" s="20">
        <f t="shared" si="574"/>
        <v>-1</v>
      </c>
      <c r="M3423" s="137"/>
      <c r="N3423" s="374"/>
      <c r="O3423" s="374">
        <f t="shared" si="575"/>
        <v>0</v>
      </c>
      <c r="P3423" s="156"/>
      <c r="Q3423" s="98" t="e">
        <f t="shared" si="576"/>
        <v>#DIV/0!</v>
      </c>
      <c r="R3423" s="371"/>
      <c r="S3423" s="372"/>
      <c r="T3423" s="364" t="s">
        <v>1153</v>
      </c>
      <c r="U3423" s="264"/>
      <c r="V3423" s="264" t="s">
        <v>1847</v>
      </c>
      <c r="W3423" s="424"/>
      <c r="X3423" s="264" t="s">
        <v>1867</v>
      </c>
      <c r="Y3423" s="424"/>
      <c r="Z3423" s="424"/>
      <c r="AA3423" s="424"/>
      <c r="AB3423" s="424"/>
      <c r="AC3423" s="425" t="str">
        <f t="shared" si="585"/>
        <v>未收到</v>
      </c>
      <c r="AD3423" s="425" t="str">
        <f t="shared" si="586"/>
        <v>未收到</v>
      </c>
    </row>
    <row r="3424" spans="1:30" s="361" customFormat="1" x14ac:dyDescent="0.4">
      <c r="A3424" s="402">
        <v>46288</v>
      </c>
      <c r="B3424" s="392" t="s">
        <v>116</v>
      </c>
      <c r="C3424" s="364" t="str">
        <f>VLOOKUP(B3424,'112年全品項生產鍋數'!A:H,2,0)</f>
        <v>藍莓餡（大）(1*9.08kg)</v>
      </c>
      <c r="D3424" s="404">
        <v>12</v>
      </c>
      <c r="E3424" s="48">
        <f>VLOOKUP(B3424,'112年全品項生產鍋數'!A:H,3,0)</f>
        <v>9.08</v>
      </c>
      <c r="F3424" s="142">
        <f>VLOOKUP(B3424,'112年全品項生產鍋數'!A:H,7,0)</f>
        <v>17.8</v>
      </c>
      <c r="G3424" s="143">
        <f t="shared" si="571"/>
        <v>213.60000000000002</v>
      </c>
      <c r="H3424" s="156"/>
      <c r="I3424" s="371">
        <f t="shared" si="572"/>
        <v>0</v>
      </c>
      <c r="J3424" s="100">
        <f t="shared" si="573"/>
        <v>0</v>
      </c>
      <c r="K3424" s="51">
        <f>VLOOKUP(B:B,'生產達成率(目標)'!A:C,3,0)</f>
        <v>1</v>
      </c>
      <c r="L3424" s="20">
        <f t="shared" si="574"/>
        <v>-1</v>
      </c>
      <c r="M3424" s="137"/>
      <c r="N3424" s="374"/>
      <c r="O3424" s="374">
        <f t="shared" si="575"/>
        <v>0</v>
      </c>
      <c r="P3424" s="156"/>
      <c r="Q3424" s="98" t="e">
        <f t="shared" si="576"/>
        <v>#DIV/0!</v>
      </c>
      <c r="R3424" s="371"/>
      <c r="S3424" s="372"/>
      <c r="T3424" s="364" t="s">
        <v>1153</v>
      </c>
      <c r="U3424" s="264"/>
      <c r="V3424" s="264" t="s">
        <v>1847</v>
      </c>
      <c r="W3424" s="424"/>
      <c r="X3424" s="264" t="s">
        <v>1867</v>
      </c>
      <c r="Y3424" s="424"/>
      <c r="Z3424" s="424"/>
      <c r="AA3424" s="424"/>
      <c r="AB3424" s="424"/>
      <c r="AC3424" s="425" t="str">
        <f t="shared" si="585"/>
        <v>未收到</v>
      </c>
      <c r="AD3424" s="425" t="str">
        <f t="shared" si="586"/>
        <v>未收到</v>
      </c>
    </row>
    <row r="3425" spans="1:30" s="361" customFormat="1" x14ac:dyDescent="0.4">
      <c r="A3425" s="402">
        <v>46288</v>
      </c>
      <c r="B3425" s="392" t="s">
        <v>83</v>
      </c>
      <c r="C3425" s="364" t="str">
        <f>VLOOKUP(B3425,'112年全品項生產鍋數'!A:H,2,0)</f>
        <v>PET瓶花生(粒)(1*340g)</v>
      </c>
      <c r="D3425" s="404">
        <v>12</v>
      </c>
      <c r="E3425" s="48">
        <f>VLOOKUP(B3425,'112年全品項生產鍋數'!A:H,3,0)</f>
        <v>0.34</v>
      </c>
      <c r="F3425" s="142">
        <f>VLOOKUP(B3425,'112年全品項生產鍋數'!A:H,7,0)</f>
        <v>366</v>
      </c>
      <c r="G3425" s="143">
        <f t="shared" si="571"/>
        <v>4392</v>
      </c>
      <c r="H3425" s="156"/>
      <c r="I3425" s="371">
        <f t="shared" si="572"/>
        <v>0</v>
      </c>
      <c r="J3425" s="100">
        <f t="shared" si="573"/>
        <v>0</v>
      </c>
      <c r="K3425" s="51">
        <f>VLOOKUP(B:B,'生產達成率(目標)'!A:C,3,0)</f>
        <v>1</v>
      </c>
      <c r="L3425" s="20">
        <f t="shared" si="574"/>
        <v>-1</v>
      </c>
      <c r="M3425" s="137"/>
      <c r="N3425" s="374"/>
      <c r="O3425" s="374">
        <f t="shared" si="575"/>
        <v>0</v>
      </c>
      <c r="P3425" s="156"/>
      <c r="Q3425" s="98" t="e">
        <f t="shared" si="576"/>
        <v>#DIV/0!</v>
      </c>
      <c r="R3425" s="371"/>
      <c r="S3425" s="372"/>
      <c r="T3425" s="364"/>
      <c r="U3425" s="264"/>
      <c r="V3425" s="264" t="s">
        <v>1848</v>
      </c>
      <c r="W3425" s="424"/>
      <c r="X3425" s="264" t="s">
        <v>1867</v>
      </c>
      <c r="Y3425" s="424"/>
      <c r="Z3425" s="424"/>
      <c r="AA3425" s="424"/>
      <c r="AB3425" s="424"/>
      <c r="AC3425" s="425" t="str">
        <f t="shared" si="585"/>
        <v>未收到</v>
      </c>
      <c r="AD3425" s="425" t="str">
        <f t="shared" si="586"/>
        <v>未收到</v>
      </c>
    </row>
    <row r="3426" spans="1:30" s="361" customFormat="1" x14ac:dyDescent="0.4">
      <c r="A3426" s="402">
        <v>46288</v>
      </c>
      <c r="B3426" s="392" t="s">
        <v>82</v>
      </c>
      <c r="C3426" s="364" t="str">
        <f>VLOOKUP(B3426,'112年全品項生產鍋數'!A:H,2,0)</f>
        <v>顆粒花生醬(全)</v>
      </c>
      <c r="D3426" s="404">
        <v>28</v>
      </c>
      <c r="E3426" s="48">
        <f>VLOOKUP(B3426,'112年全品項生產鍋數'!A:H,3,0)</f>
        <v>0.34</v>
      </c>
      <c r="F3426" s="142">
        <f>VLOOKUP(B3426,'112年全品項生產鍋數'!A:H,7,0)</f>
        <v>364.6</v>
      </c>
      <c r="G3426" s="143">
        <f t="shared" si="571"/>
        <v>10208.800000000001</v>
      </c>
      <c r="H3426" s="156"/>
      <c r="I3426" s="371">
        <f t="shared" si="572"/>
        <v>0</v>
      </c>
      <c r="J3426" s="100">
        <f t="shared" si="573"/>
        <v>0</v>
      </c>
      <c r="K3426" s="51">
        <f>VLOOKUP(B:B,'生產達成率(目標)'!A:C,3,0)</f>
        <v>1</v>
      </c>
      <c r="L3426" s="20">
        <f t="shared" si="574"/>
        <v>-1</v>
      </c>
      <c r="M3426" s="137"/>
      <c r="N3426" s="374"/>
      <c r="O3426" s="374">
        <f t="shared" si="575"/>
        <v>0</v>
      </c>
      <c r="P3426" s="156"/>
      <c r="Q3426" s="98" t="e">
        <f t="shared" si="576"/>
        <v>#DIV/0!</v>
      </c>
      <c r="R3426" s="371"/>
      <c r="S3426" s="372"/>
      <c r="T3426" s="364"/>
      <c r="U3426" s="264"/>
      <c r="V3426" s="264" t="s">
        <v>1848</v>
      </c>
      <c r="W3426" s="424"/>
      <c r="X3426" s="264" t="s">
        <v>1867</v>
      </c>
      <c r="Y3426" s="424"/>
      <c r="Z3426" s="424"/>
      <c r="AA3426" s="424"/>
      <c r="AB3426" s="424"/>
      <c r="AC3426" s="425" t="str">
        <f t="shared" si="585"/>
        <v>未收到</v>
      </c>
      <c r="AD3426" s="425" t="str">
        <f t="shared" si="586"/>
        <v>未收到</v>
      </c>
    </row>
    <row r="3427" spans="1:30" s="361" customFormat="1" x14ac:dyDescent="0.4">
      <c r="A3427" s="402">
        <v>46289</v>
      </c>
      <c r="B3427" s="392" t="s">
        <v>61</v>
      </c>
      <c r="C3427" s="364" t="str">
        <f>VLOOKUP(B3427,'112年全品項生產鍋數'!A:H,2,0)</f>
        <v>大圓草莓-新</v>
      </c>
      <c r="D3427" s="404">
        <v>48</v>
      </c>
      <c r="E3427" s="48">
        <f>VLOOKUP(B3427,'112年全品項生產鍋數'!A:H,3,0)</f>
        <v>0.44</v>
      </c>
      <c r="F3427" s="142">
        <f>VLOOKUP(B3427,'112年全品項生產鍋數'!A:H,7,0)</f>
        <v>344</v>
      </c>
      <c r="G3427" s="143">
        <f t="shared" si="571"/>
        <v>16512</v>
      </c>
      <c r="H3427" s="156"/>
      <c r="I3427" s="371">
        <f t="shared" si="572"/>
        <v>0</v>
      </c>
      <c r="J3427" s="100">
        <f t="shared" si="573"/>
        <v>0</v>
      </c>
      <c r="K3427" s="51">
        <f>VLOOKUP(B:B,'生產達成率(目標)'!A:C,3,0)</f>
        <v>1</v>
      </c>
      <c r="L3427" s="20">
        <f t="shared" si="574"/>
        <v>-1</v>
      </c>
      <c r="M3427" s="137"/>
      <c r="N3427" s="374"/>
      <c r="O3427" s="374">
        <f t="shared" si="575"/>
        <v>0</v>
      </c>
      <c r="P3427" s="156"/>
      <c r="Q3427" s="98" t="e">
        <f t="shared" si="576"/>
        <v>#DIV/0!</v>
      </c>
      <c r="R3427" s="371"/>
      <c r="S3427" s="372"/>
      <c r="T3427" s="364" t="s">
        <v>1153</v>
      </c>
      <c r="U3427" s="264"/>
      <c r="V3427" s="264" t="s">
        <v>1849</v>
      </c>
      <c r="W3427" s="424"/>
      <c r="X3427" s="264" t="s">
        <v>1867</v>
      </c>
      <c r="Y3427" s="424"/>
      <c r="Z3427" s="424"/>
      <c r="AA3427" s="424"/>
      <c r="AB3427" s="424"/>
      <c r="AC3427" s="425" t="str">
        <f t="shared" si="585"/>
        <v>未收到</v>
      </c>
      <c r="AD3427" s="425" t="str">
        <f t="shared" si="586"/>
        <v>未收到</v>
      </c>
    </row>
    <row r="3428" spans="1:30" s="361" customFormat="1" x14ac:dyDescent="0.4">
      <c r="A3428" s="402">
        <v>46289</v>
      </c>
      <c r="B3428" s="392" t="s">
        <v>1698</v>
      </c>
      <c r="C3428" s="364" t="str">
        <f>VLOOKUP(B3428,'112年全品項生產鍋數'!A:H,2,0)</f>
        <v>上好佳草莓餡4.5KG</v>
      </c>
      <c r="D3428" s="404">
        <v>16</v>
      </c>
      <c r="E3428" s="48">
        <f>VLOOKUP(B3428,'112年全品項生產鍋數'!A:H,3,0)</f>
        <v>4.5</v>
      </c>
      <c r="F3428" s="142">
        <f>VLOOKUP(B3428,'112年全品項生產鍋數'!A:H,7,0)</f>
        <v>36.299999999999997</v>
      </c>
      <c r="G3428" s="143">
        <f t="shared" si="571"/>
        <v>580.79999999999995</v>
      </c>
      <c r="H3428" s="156"/>
      <c r="I3428" s="371">
        <f t="shared" si="572"/>
        <v>0</v>
      </c>
      <c r="J3428" s="100">
        <f t="shared" si="573"/>
        <v>0</v>
      </c>
      <c r="K3428" s="51">
        <f>VLOOKUP(B:B,'生產達成率(目標)'!A:C,3,0)</f>
        <v>1</v>
      </c>
      <c r="L3428" s="20">
        <f t="shared" si="574"/>
        <v>-1</v>
      </c>
      <c r="M3428" s="137"/>
      <c r="N3428" s="374"/>
      <c r="O3428" s="374">
        <f t="shared" si="575"/>
        <v>0</v>
      </c>
      <c r="P3428" s="156"/>
      <c r="Q3428" s="98" t="e">
        <f t="shared" si="576"/>
        <v>#DIV/0!</v>
      </c>
      <c r="R3428" s="371"/>
      <c r="S3428" s="372"/>
      <c r="T3428" s="364" t="s">
        <v>1153</v>
      </c>
      <c r="U3428" s="264"/>
      <c r="V3428" s="264" t="s">
        <v>1847</v>
      </c>
      <c r="W3428" s="424"/>
      <c r="X3428" s="264" t="s">
        <v>1867</v>
      </c>
      <c r="Y3428" s="424"/>
      <c r="Z3428" s="424"/>
      <c r="AA3428" s="424"/>
      <c r="AB3428" s="424"/>
      <c r="AC3428" s="425" t="str">
        <f t="shared" si="585"/>
        <v>未收到</v>
      </c>
      <c r="AD3428" s="425" t="str">
        <f t="shared" si="586"/>
        <v>未收到</v>
      </c>
    </row>
    <row r="3429" spans="1:30" s="361" customFormat="1" x14ac:dyDescent="0.4">
      <c r="A3429" s="402">
        <v>46289</v>
      </c>
      <c r="B3429" s="392" t="s">
        <v>1162</v>
      </c>
      <c r="C3429" s="364" t="str">
        <f>VLOOKUP(B3429,'112年全品項生產鍋數'!A:H,2,0)</f>
        <v>藍莓餡(1*6KG)</v>
      </c>
      <c r="D3429" s="404">
        <v>24</v>
      </c>
      <c r="E3429" s="48">
        <f>VLOOKUP(B3429,'112年全品項生產鍋數'!A:H,3,0)</f>
        <v>6</v>
      </c>
      <c r="F3429" s="142">
        <f>VLOOKUP(B3429,'112年全品項生產鍋數'!A:H,7,0)</f>
        <v>25.4</v>
      </c>
      <c r="G3429" s="143">
        <f t="shared" si="571"/>
        <v>609.59999999999991</v>
      </c>
      <c r="H3429" s="156"/>
      <c r="I3429" s="371">
        <f t="shared" si="572"/>
        <v>0</v>
      </c>
      <c r="J3429" s="100">
        <f t="shared" si="573"/>
        <v>0</v>
      </c>
      <c r="K3429" s="51" t="e">
        <f>VLOOKUP(B:B,'生產達成率(目標)'!A:C,3,0)</f>
        <v>#N/A</v>
      </c>
      <c r="L3429" s="20" t="e">
        <f t="shared" si="574"/>
        <v>#N/A</v>
      </c>
      <c r="M3429" s="137"/>
      <c r="N3429" s="374"/>
      <c r="O3429" s="374">
        <f t="shared" si="575"/>
        <v>0</v>
      </c>
      <c r="P3429" s="156"/>
      <c r="Q3429" s="98" t="e">
        <f t="shared" si="576"/>
        <v>#DIV/0!</v>
      </c>
      <c r="R3429" s="371"/>
      <c r="S3429" s="372"/>
      <c r="T3429" s="364"/>
      <c r="U3429" s="264"/>
      <c r="V3429" s="264" t="s">
        <v>1847</v>
      </c>
      <c r="W3429" s="424"/>
      <c r="X3429" s="264" t="s">
        <v>1867</v>
      </c>
      <c r="Y3429" s="424"/>
      <c r="Z3429" s="424"/>
      <c r="AA3429" s="424"/>
      <c r="AB3429" s="424"/>
      <c r="AC3429" s="425" t="str">
        <f t="shared" si="585"/>
        <v>未收到</v>
      </c>
      <c r="AD3429" s="425" t="str">
        <f t="shared" si="586"/>
        <v>未收到</v>
      </c>
    </row>
    <row r="3430" spans="1:30" s="361" customFormat="1" x14ac:dyDescent="0.4">
      <c r="A3430" s="402">
        <v>46289</v>
      </c>
      <c r="B3430" s="392" t="s">
        <v>65</v>
      </c>
      <c r="C3430" s="364" t="str">
        <f>VLOOKUP(B3430,'112年全品項生產鍋數'!A:H,2,0)</f>
        <v>＃1花生(1*2.8kg)</v>
      </c>
      <c r="D3430" s="404">
        <v>68</v>
      </c>
      <c r="E3430" s="48">
        <f>VLOOKUP(B3430,'112年全品項生產鍋數'!A:H,3,0)</f>
        <v>2.8</v>
      </c>
      <c r="F3430" s="142">
        <f>VLOOKUP(B3430,'112年全品項生產鍋數'!A:H,7,0)</f>
        <v>44.5</v>
      </c>
      <c r="G3430" s="143">
        <f t="shared" si="571"/>
        <v>3026</v>
      </c>
      <c r="H3430" s="156"/>
      <c r="I3430" s="371">
        <f t="shared" si="572"/>
        <v>0</v>
      </c>
      <c r="J3430" s="100">
        <f t="shared" si="573"/>
        <v>0</v>
      </c>
      <c r="K3430" s="51">
        <f>VLOOKUP(B:B,'生產達成率(目標)'!A:C,3,0)</f>
        <v>1</v>
      </c>
      <c r="L3430" s="20">
        <f t="shared" si="574"/>
        <v>-1</v>
      </c>
      <c r="M3430" s="137"/>
      <c r="N3430" s="374"/>
      <c r="O3430" s="374">
        <f t="shared" si="575"/>
        <v>0</v>
      </c>
      <c r="P3430" s="156"/>
      <c r="Q3430" s="98" t="e">
        <f t="shared" si="576"/>
        <v>#DIV/0!</v>
      </c>
      <c r="R3430" s="371"/>
      <c r="S3430" s="372"/>
      <c r="T3430" s="364" t="s">
        <v>1153</v>
      </c>
      <c r="U3430" s="264"/>
      <c r="V3430" s="264" t="s">
        <v>1848</v>
      </c>
      <c r="W3430" s="424"/>
      <c r="X3430" s="264" t="s">
        <v>1867</v>
      </c>
      <c r="Y3430" s="424"/>
      <c r="Z3430" s="424"/>
      <c r="AA3430" s="424"/>
      <c r="AB3430" s="424"/>
      <c r="AC3430" s="425" t="str">
        <f t="shared" si="585"/>
        <v>未收到</v>
      </c>
      <c r="AD3430" s="425" t="str">
        <f t="shared" si="586"/>
        <v>未收到</v>
      </c>
    </row>
    <row r="3431" spans="1:30" s="361" customFormat="1" x14ac:dyDescent="0.4">
      <c r="A3431" s="402"/>
      <c r="B3431" s="392"/>
      <c r="C3431" s="364" t="e">
        <f>VLOOKUP(B3431,'112年全品項生產鍋數'!A:H,2,0)</f>
        <v>#N/A</v>
      </c>
      <c r="D3431" s="404"/>
      <c r="E3431" s="48" t="e">
        <f>VLOOKUP(B3431,'112年全品項生產鍋數'!A:H,3,0)</f>
        <v>#N/A</v>
      </c>
      <c r="F3431" s="142" t="e">
        <f>VLOOKUP(B3431,'112年全品項生產鍋數'!A:H,7,0)</f>
        <v>#N/A</v>
      </c>
      <c r="G3431" s="143" t="e">
        <f t="shared" si="571"/>
        <v>#N/A</v>
      </c>
      <c r="H3431" s="156"/>
      <c r="I3431" s="371" t="e">
        <f t="shared" si="572"/>
        <v>#N/A</v>
      </c>
      <c r="J3431" s="100" t="e">
        <f t="shared" si="573"/>
        <v>#N/A</v>
      </c>
      <c r="K3431" s="51" t="e">
        <f>VLOOKUP(B:B,'生產達成率(目標)'!A:C,3,0)</f>
        <v>#N/A</v>
      </c>
      <c r="L3431" s="20" t="e">
        <f t="shared" si="574"/>
        <v>#N/A</v>
      </c>
      <c r="M3431" s="137"/>
      <c r="N3431" s="374"/>
      <c r="O3431" s="374">
        <f t="shared" si="575"/>
        <v>0</v>
      </c>
      <c r="P3431" s="156"/>
      <c r="Q3431" s="98" t="e">
        <f t="shared" si="576"/>
        <v>#DIV/0!</v>
      </c>
      <c r="R3431" s="371"/>
      <c r="S3431" s="372"/>
      <c r="T3431" s="364"/>
      <c r="U3431" s="264"/>
      <c r="V3431" s="264"/>
      <c r="W3431" s="424"/>
      <c r="X3431" s="264" t="s">
        <v>1867</v>
      </c>
      <c r="Y3431" s="424"/>
      <c r="Z3431" s="424"/>
      <c r="AA3431" s="424"/>
      <c r="AB3431" s="424"/>
      <c r="AC3431" s="425">
        <f t="shared" si="585"/>
        <v>0</v>
      </c>
      <c r="AD3431" s="425">
        <f t="shared" si="586"/>
        <v>0</v>
      </c>
    </row>
    <row r="3432" spans="1:30" s="361" customFormat="1" x14ac:dyDescent="0.4">
      <c r="A3432" s="402"/>
      <c r="B3432" s="392"/>
      <c r="C3432" s="364" t="e">
        <f>VLOOKUP(B3432,'112年全品項生產鍋數'!A:H,2,0)</f>
        <v>#N/A</v>
      </c>
      <c r="D3432" s="404"/>
      <c r="E3432" s="48" t="e">
        <f>VLOOKUP(B3432,'112年全品項生產鍋數'!A:H,3,0)</f>
        <v>#N/A</v>
      </c>
      <c r="F3432" s="142" t="e">
        <f>VLOOKUP(B3432,'112年全品項生產鍋數'!A:H,7,0)</f>
        <v>#N/A</v>
      </c>
      <c r="G3432" s="143" t="e">
        <f t="shared" si="571"/>
        <v>#N/A</v>
      </c>
      <c r="H3432" s="156"/>
      <c r="I3432" s="371" t="e">
        <f t="shared" si="572"/>
        <v>#N/A</v>
      </c>
      <c r="J3432" s="100" t="e">
        <f t="shared" si="573"/>
        <v>#N/A</v>
      </c>
      <c r="K3432" s="51" t="e">
        <f>VLOOKUP(B:B,'生產達成率(目標)'!A:C,3,0)</f>
        <v>#N/A</v>
      </c>
      <c r="L3432" s="20" t="e">
        <f t="shared" si="574"/>
        <v>#N/A</v>
      </c>
      <c r="M3432" s="137"/>
      <c r="N3432" s="374"/>
      <c r="O3432" s="374">
        <f t="shared" si="575"/>
        <v>0</v>
      </c>
      <c r="P3432" s="156"/>
      <c r="Q3432" s="98" t="e">
        <f t="shared" si="576"/>
        <v>#DIV/0!</v>
      </c>
      <c r="R3432" s="371"/>
      <c r="S3432" s="372"/>
      <c r="T3432" s="364"/>
      <c r="U3432" s="264"/>
      <c r="V3432" s="264"/>
      <c r="W3432" s="424"/>
      <c r="X3432" s="264" t="s">
        <v>1867</v>
      </c>
      <c r="Y3432" s="424"/>
      <c r="Z3432" s="424"/>
      <c r="AA3432" s="424"/>
      <c r="AB3432" s="424"/>
      <c r="AC3432" s="425">
        <f t="shared" si="585"/>
        <v>0</v>
      </c>
      <c r="AD3432" s="425">
        <f t="shared" si="586"/>
        <v>0</v>
      </c>
    </row>
    <row r="3433" spans="1:30" s="361" customFormat="1" x14ac:dyDescent="0.4">
      <c r="A3433" s="402"/>
      <c r="B3433" s="392"/>
      <c r="C3433" s="364" t="e">
        <f>VLOOKUP(B3433,'112年全品項生產鍋數'!A:H,2,0)</f>
        <v>#N/A</v>
      </c>
      <c r="D3433" s="404"/>
      <c r="E3433" s="48" t="e">
        <f>VLOOKUP(B3433,'112年全品項生產鍋數'!A:H,3,0)</f>
        <v>#N/A</v>
      </c>
      <c r="F3433" s="142" t="e">
        <f>VLOOKUP(B3433,'112年全品項生產鍋數'!A:H,7,0)</f>
        <v>#N/A</v>
      </c>
      <c r="G3433" s="143" t="e">
        <f t="shared" si="571"/>
        <v>#N/A</v>
      </c>
      <c r="H3433" s="156"/>
      <c r="I3433" s="371" t="e">
        <f t="shared" si="572"/>
        <v>#N/A</v>
      </c>
      <c r="J3433" s="100" t="e">
        <f t="shared" si="573"/>
        <v>#N/A</v>
      </c>
      <c r="K3433" s="51" t="e">
        <f>VLOOKUP(B:B,'生產達成率(目標)'!A:C,3,0)</f>
        <v>#N/A</v>
      </c>
      <c r="L3433" s="20" t="e">
        <f t="shared" si="574"/>
        <v>#N/A</v>
      </c>
      <c r="M3433" s="137"/>
      <c r="N3433" s="374"/>
      <c r="O3433" s="374">
        <f t="shared" si="575"/>
        <v>0</v>
      </c>
      <c r="P3433" s="156"/>
      <c r="Q3433" s="98" t="e">
        <f t="shared" si="576"/>
        <v>#DIV/0!</v>
      </c>
      <c r="R3433" s="371"/>
      <c r="S3433" s="372"/>
      <c r="T3433" s="364"/>
      <c r="U3433" s="264"/>
      <c r="V3433" s="264"/>
      <c r="W3433" s="424"/>
      <c r="X3433" s="264" t="s">
        <v>1867</v>
      </c>
      <c r="Y3433" s="424"/>
      <c r="Z3433" s="424"/>
      <c r="AA3433" s="424"/>
      <c r="AB3433" s="424"/>
      <c r="AC3433" s="425">
        <f t="shared" si="585"/>
        <v>0</v>
      </c>
      <c r="AD3433" s="425">
        <f t="shared" si="586"/>
        <v>0</v>
      </c>
    </row>
    <row r="3434" spans="1:30" s="361" customFormat="1" x14ac:dyDescent="0.4">
      <c r="A3434" s="402"/>
      <c r="B3434" s="392"/>
      <c r="C3434" s="364" t="e">
        <f>VLOOKUP(B3434,'112年全品項生產鍋數'!A:H,2,0)</f>
        <v>#N/A</v>
      </c>
      <c r="D3434" s="404"/>
      <c r="E3434" s="48" t="e">
        <f>VLOOKUP(B3434,'112年全品項生產鍋數'!A:H,3,0)</f>
        <v>#N/A</v>
      </c>
      <c r="F3434" s="142" t="e">
        <f>VLOOKUP(B3434,'112年全品項生產鍋數'!A:H,7,0)</f>
        <v>#N/A</v>
      </c>
      <c r="G3434" s="143" t="e">
        <f t="shared" si="571"/>
        <v>#N/A</v>
      </c>
      <c r="H3434" s="156"/>
      <c r="I3434" s="371" t="e">
        <f t="shared" si="572"/>
        <v>#N/A</v>
      </c>
      <c r="J3434" s="100" t="e">
        <f t="shared" si="573"/>
        <v>#N/A</v>
      </c>
      <c r="K3434" s="51" t="e">
        <f>VLOOKUP(B:B,'生產達成率(目標)'!A:C,3,0)</f>
        <v>#N/A</v>
      </c>
      <c r="L3434" s="20" t="e">
        <f t="shared" si="574"/>
        <v>#N/A</v>
      </c>
      <c r="M3434" s="137"/>
      <c r="N3434" s="374"/>
      <c r="O3434" s="374">
        <f t="shared" si="575"/>
        <v>0</v>
      </c>
      <c r="P3434" s="156"/>
      <c r="Q3434" s="98" t="e">
        <f t="shared" si="576"/>
        <v>#DIV/0!</v>
      </c>
      <c r="R3434" s="371"/>
      <c r="S3434" s="372"/>
      <c r="T3434" s="364"/>
      <c r="U3434" s="264"/>
      <c r="V3434" s="264"/>
      <c r="W3434" s="424"/>
      <c r="X3434" s="264" t="s">
        <v>1867</v>
      </c>
      <c r="Y3434" s="424"/>
      <c r="Z3434" s="424"/>
      <c r="AA3434" s="424"/>
      <c r="AB3434" s="424"/>
      <c r="AC3434" s="425">
        <f t="shared" si="585"/>
        <v>0</v>
      </c>
      <c r="AD3434" s="425">
        <f t="shared" si="586"/>
        <v>0</v>
      </c>
    </row>
    <row r="3435" spans="1:30" s="361" customFormat="1" x14ac:dyDescent="0.4">
      <c r="A3435" s="402"/>
      <c r="B3435" s="392"/>
      <c r="C3435" s="364" t="e">
        <f>VLOOKUP(B3435,'112年全品項生產鍋數'!A:H,2,0)</f>
        <v>#N/A</v>
      </c>
      <c r="D3435" s="404"/>
      <c r="E3435" s="48" t="e">
        <f>VLOOKUP(B3435,'112年全品項生產鍋數'!A:H,3,0)</f>
        <v>#N/A</v>
      </c>
      <c r="F3435" s="142" t="e">
        <f>VLOOKUP(B3435,'112年全品項生產鍋數'!A:H,7,0)</f>
        <v>#N/A</v>
      </c>
      <c r="G3435" s="143" t="e">
        <f t="shared" si="571"/>
        <v>#N/A</v>
      </c>
      <c r="H3435" s="156"/>
      <c r="I3435" s="371" t="e">
        <f t="shared" si="572"/>
        <v>#N/A</v>
      </c>
      <c r="J3435" s="100" t="e">
        <f t="shared" si="573"/>
        <v>#N/A</v>
      </c>
      <c r="K3435" s="51" t="e">
        <f>VLOOKUP(B:B,'生產達成率(目標)'!A:C,3,0)</f>
        <v>#N/A</v>
      </c>
      <c r="L3435" s="20" t="e">
        <f t="shared" si="574"/>
        <v>#N/A</v>
      </c>
      <c r="M3435" s="137"/>
      <c r="N3435" s="374"/>
      <c r="O3435" s="374">
        <f t="shared" si="575"/>
        <v>0</v>
      </c>
      <c r="P3435" s="156"/>
      <c r="Q3435" s="98" t="e">
        <f t="shared" si="576"/>
        <v>#DIV/0!</v>
      </c>
      <c r="R3435" s="371"/>
      <c r="S3435" s="372"/>
      <c r="T3435" s="364"/>
      <c r="U3435" s="264"/>
      <c r="V3435" s="264"/>
      <c r="W3435" s="424"/>
      <c r="X3435" s="264" t="s">
        <v>1867</v>
      </c>
      <c r="Y3435" s="424"/>
      <c r="Z3435" s="424"/>
      <c r="AA3435" s="424"/>
      <c r="AB3435" s="424"/>
      <c r="AC3435" s="425">
        <f t="shared" si="585"/>
        <v>0</v>
      </c>
      <c r="AD3435" s="425">
        <f t="shared" si="586"/>
        <v>0</v>
      </c>
    </row>
    <row r="3436" spans="1:30" s="361" customFormat="1" x14ac:dyDescent="0.4">
      <c r="A3436" s="402"/>
      <c r="B3436" s="392"/>
      <c r="C3436" s="364" t="e">
        <f>VLOOKUP(B3436,'112年全品項生產鍋數'!A:H,2,0)</f>
        <v>#N/A</v>
      </c>
      <c r="D3436" s="404"/>
      <c r="E3436" s="48" t="e">
        <f>VLOOKUP(B3436,'112年全品項生產鍋數'!A:H,3,0)</f>
        <v>#N/A</v>
      </c>
      <c r="F3436" s="142" t="e">
        <f>VLOOKUP(B3436,'112年全品項生產鍋數'!A:H,7,0)</f>
        <v>#N/A</v>
      </c>
      <c r="G3436" s="143" t="e">
        <f t="shared" si="571"/>
        <v>#N/A</v>
      </c>
      <c r="H3436" s="156"/>
      <c r="I3436" s="371" t="e">
        <f t="shared" si="572"/>
        <v>#N/A</v>
      </c>
      <c r="J3436" s="100" t="e">
        <f t="shared" si="573"/>
        <v>#N/A</v>
      </c>
      <c r="K3436" s="51" t="e">
        <f>VLOOKUP(B:B,'生產達成率(目標)'!A:C,3,0)</f>
        <v>#N/A</v>
      </c>
      <c r="L3436" s="20" t="e">
        <f t="shared" si="574"/>
        <v>#N/A</v>
      </c>
      <c r="M3436" s="137"/>
      <c r="N3436" s="374"/>
      <c r="O3436" s="374">
        <f t="shared" si="575"/>
        <v>0</v>
      </c>
      <c r="P3436" s="156"/>
      <c r="Q3436" s="98" t="e">
        <f t="shared" si="576"/>
        <v>#DIV/0!</v>
      </c>
      <c r="R3436" s="371"/>
      <c r="S3436" s="372"/>
      <c r="T3436" s="364"/>
      <c r="U3436" s="264"/>
      <c r="V3436" s="264"/>
      <c r="W3436" s="424"/>
      <c r="X3436" s="264" t="s">
        <v>1867</v>
      </c>
      <c r="Y3436" s="424"/>
      <c r="Z3436" s="424"/>
      <c r="AA3436" s="424"/>
      <c r="AB3436" s="424"/>
      <c r="AC3436" s="425">
        <f t="shared" si="585"/>
        <v>0</v>
      </c>
      <c r="AD3436" s="425">
        <f t="shared" si="586"/>
        <v>0</v>
      </c>
    </row>
    <row r="3437" spans="1:30" s="361" customFormat="1" x14ac:dyDescent="0.4">
      <c r="A3437" s="402"/>
      <c r="B3437" s="392"/>
      <c r="C3437" s="364" t="e">
        <f>VLOOKUP(B3437,'112年全品項生產鍋數'!A:H,2,0)</f>
        <v>#N/A</v>
      </c>
      <c r="D3437" s="404"/>
      <c r="E3437" s="48" t="e">
        <f>VLOOKUP(B3437,'112年全品項生產鍋數'!A:H,3,0)</f>
        <v>#N/A</v>
      </c>
      <c r="F3437" s="142" t="e">
        <f>VLOOKUP(B3437,'112年全品項生產鍋數'!A:H,7,0)</f>
        <v>#N/A</v>
      </c>
      <c r="G3437" s="143" t="e">
        <f t="shared" si="571"/>
        <v>#N/A</v>
      </c>
      <c r="H3437" s="156"/>
      <c r="I3437" s="371" t="e">
        <f t="shared" si="572"/>
        <v>#N/A</v>
      </c>
      <c r="J3437" s="100" t="e">
        <f t="shared" si="573"/>
        <v>#N/A</v>
      </c>
      <c r="K3437" s="51" t="e">
        <f>VLOOKUP(B:B,'生產達成率(目標)'!A:C,3,0)</f>
        <v>#N/A</v>
      </c>
      <c r="L3437" s="20" t="e">
        <f t="shared" si="574"/>
        <v>#N/A</v>
      </c>
      <c r="M3437" s="137"/>
      <c r="N3437" s="374"/>
      <c r="O3437" s="374">
        <f t="shared" si="575"/>
        <v>0</v>
      </c>
      <c r="P3437" s="156"/>
      <c r="Q3437" s="98" t="e">
        <f t="shared" si="576"/>
        <v>#DIV/0!</v>
      </c>
      <c r="R3437" s="371"/>
      <c r="S3437" s="372"/>
      <c r="T3437" s="364"/>
      <c r="U3437" s="264"/>
      <c r="V3437" s="264"/>
      <c r="W3437" s="424"/>
      <c r="X3437" s="264" t="s">
        <v>1867</v>
      </c>
      <c r="Y3437" s="424"/>
      <c r="Z3437" s="424"/>
      <c r="AA3437" s="424"/>
      <c r="AB3437" s="424"/>
      <c r="AC3437" s="425">
        <f t="shared" si="585"/>
        <v>0</v>
      </c>
      <c r="AD3437" s="425">
        <f t="shared" si="586"/>
        <v>0</v>
      </c>
    </row>
    <row r="3438" spans="1:30" s="361" customFormat="1" x14ac:dyDescent="0.4">
      <c r="A3438" s="402"/>
      <c r="B3438" s="392"/>
      <c r="C3438" s="364" t="e">
        <f>VLOOKUP(B3438,'112年全品項生產鍋數'!A:H,2,0)</f>
        <v>#N/A</v>
      </c>
      <c r="D3438" s="404"/>
      <c r="E3438" s="48" t="e">
        <f>VLOOKUP(B3438,'112年全品項生產鍋數'!A:H,3,0)</f>
        <v>#N/A</v>
      </c>
      <c r="F3438" s="142" t="e">
        <f>VLOOKUP(B3438,'112年全品項生產鍋數'!A:H,7,0)</f>
        <v>#N/A</v>
      </c>
      <c r="G3438" s="143" t="e">
        <f t="shared" si="571"/>
        <v>#N/A</v>
      </c>
      <c r="H3438" s="156"/>
      <c r="I3438" s="371" t="e">
        <f t="shared" si="572"/>
        <v>#N/A</v>
      </c>
      <c r="J3438" s="100" t="e">
        <f t="shared" si="573"/>
        <v>#N/A</v>
      </c>
      <c r="K3438" s="51" t="e">
        <f>VLOOKUP(B:B,'生產達成率(目標)'!A:C,3,0)</f>
        <v>#N/A</v>
      </c>
      <c r="L3438" s="20" t="e">
        <f t="shared" si="574"/>
        <v>#N/A</v>
      </c>
      <c r="M3438" s="137"/>
      <c r="N3438" s="374"/>
      <c r="O3438" s="374">
        <f t="shared" si="575"/>
        <v>0</v>
      </c>
      <c r="P3438" s="156"/>
      <c r="Q3438" s="98" t="e">
        <f t="shared" si="576"/>
        <v>#DIV/0!</v>
      </c>
      <c r="R3438" s="371"/>
      <c r="S3438" s="372"/>
      <c r="T3438" s="364"/>
      <c r="U3438" s="264"/>
      <c r="V3438" s="264"/>
      <c r="W3438" s="424"/>
      <c r="X3438" s="264" t="s">
        <v>1867</v>
      </c>
      <c r="Y3438" s="424"/>
      <c r="Z3438" s="424"/>
      <c r="AA3438" s="424"/>
      <c r="AB3438" s="424"/>
      <c r="AC3438" s="425">
        <f t="shared" si="585"/>
        <v>0</v>
      </c>
      <c r="AD3438" s="425">
        <f t="shared" si="586"/>
        <v>0</v>
      </c>
    </row>
    <row r="3439" spans="1:30" s="361" customFormat="1" x14ac:dyDescent="0.4">
      <c r="A3439" s="402"/>
      <c r="B3439" s="392"/>
      <c r="C3439" s="364" t="e">
        <f>VLOOKUP(B3439,'112年全品項生產鍋數'!A:H,2,0)</f>
        <v>#N/A</v>
      </c>
      <c r="D3439" s="404"/>
      <c r="E3439" s="48" t="e">
        <f>VLOOKUP(B3439,'112年全品項生產鍋數'!A:H,3,0)</f>
        <v>#N/A</v>
      </c>
      <c r="F3439" s="142" t="e">
        <f>VLOOKUP(B3439,'112年全品項生產鍋數'!A:H,7,0)</f>
        <v>#N/A</v>
      </c>
      <c r="G3439" s="143" t="e">
        <f t="shared" si="571"/>
        <v>#N/A</v>
      </c>
      <c r="H3439" s="156"/>
      <c r="I3439" s="371" t="e">
        <f t="shared" si="572"/>
        <v>#N/A</v>
      </c>
      <c r="J3439" s="100" t="e">
        <f t="shared" si="573"/>
        <v>#N/A</v>
      </c>
      <c r="K3439" s="51" t="e">
        <f>VLOOKUP(B:B,'生產達成率(目標)'!A:C,3,0)</f>
        <v>#N/A</v>
      </c>
      <c r="L3439" s="20" t="e">
        <f t="shared" si="574"/>
        <v>#N/A</v>
      </c>
      <c r="M3439" s="137"/>
      <c r="N3439" s="374"/>
      <c r="O3439" s="374">
        <f t="shared" si="575"/>
        <v>0</v>
      </c>
      <c r="P3439" s="156"/>
      <c r="Q3439" s="98" t="e">
        <f t="shared" si="576"/>
        <v>#DIV/0!</v>
      </c>
      <c r="R3439" s="371"/>
      <c r="S3439" s="372"/>
      <c r="T3439" s="364"/>
      <c r="U3439" s="264"/>
      <c r="V3439" s="264"/>
      <c r="W3439" s="424"/>
      <c r="X3439" s="264" t="s">
        <v>1867</v>
      </c>
      <c r="Y3439" s="424"/>
      <c r="Z3439" s="424"/>
      <c r="AA3439" s="424"/>
      <c r="AB3439" s="424"/>
      <c r="AC3439" s="425">
        <f t="shared" si="585"/>
        <v>0</v>
      </c>
      <c r="AD3439" s="425">
        <f t="shared" si="586"/>
        <v>0</v>
      </c>
    </row>
    <row r="3440" spans="1:30" s="361" customFormat="1" x14ac:dyDescent="0.4">
      <c r="A3440" s="402"/>
      <c r="B3440" s="392"/>
      <c r="C3440" s="364" t="e">
        <f>VLOOKUP(B3440,'112年全品項生產鍋數'!A:H,2,0)</f>
        <v>#N/A</v>
      </c>
      <c r="D3440" s="404"/>
      <c r="E3440" s="48" t="e">
        <f>VLOOKUP(B3440,'112年全品項生產鍋數'!A:H,3,0)</f>
        <v>#N/A</v>
      </c>
      <c r="F3440" s="142" t="e">
        <f>VLOOKUP(B3440,'112年全品項生產鍋數'!A:H,7,0)</f>
        <v>#N/A</v>
      </c>
      <c r="G3440" s="143" t="e">
        <f t="shared" si="571"/>
        <v>#N/A</v>
      </c>
      <c r="H3440" s="156"/>
      <c r="I3440" s="371" t="e">
        <f t="shared" si="572"/>
        <v>#N/A</v>
      </c>
      <c r="J3440" s="100" t="e">
        <f t="shared" si="573"/>
        <v>#N/A</v>
      </c>
      <c r="K3440" s="51" t="e">
        <f>VLOOKUP(B:B,'生產達成率(目標)'!A:C,3,0)</f>
        <v>#N/A</v>
      </c>
      <c r="L3440" s="20" t="e">
        <f t="shared" si="574"/>
        <v>#N/A</v>
      </c>
      <c r="M3440" s="137"/>
      <c r="N3440" s="374"/>
      <c r="O3440" s="374">
        <f t="shared" si="575"/>
        <v>0</v>
      </c>
      <c r="P3440" s="156"/>
      <c r="Q3440" s="98" t="e">
        <f t="shared" si="576"/>
        <v>#DIV/0!</v>
      </c>
      <c r="R3440" s="371"/>
      <c r="S3440" s="372"/>
      <c r="T3440" s="364"/>
      <c r="U3440" s="264"/>
      <c r="V3440" s="264"/>
      <c r="W3440" s="424"/>
      <c r="X3440" s="264" t="s">
        <v>1867</v>
      </c>
      <c r="Y3440" s="424"/>
      <c r="Z3440" s="424"/>
      <c r="AA3440" s="424"/>
      <c r="AB3440" s="424"/>
      <c r="AC3440" s="425">
        <f t="shared" si="585"/>
        <v>0</v>
      </c>
      <c r="AD3440" s="425">
        <f t="shared" si="586"/>
        <v>0</v>
      </c>
    </row>
    <row r="3441" spans="1:30" s="361" customFormat="1" x14ac:dyDescent="0.4">
      <c r="A3441" s="402"/>
      <c r="B3441" s="392"/>
      <c r="C3441" s="364" t="e">
        <f>VLOOKUP(B3441,'112年全品項生產鍋數'!A:H,2,0)</f>
        <v>#N/A</v>
      </c>
      <c r="D3441" s="404"/>
      <c r="E3441" s="48" t="e">
        <f>VLOOKUP(B3441,'112年全品項生產鍋數'!A:H,3,0)</f>
        <v>#N/A</v>
      </c>
      <c r="F3441" s="142" t="e">
        <f>VLOOKUP(B3441,'112年全品項生產鍋數'!A:H,7,0)</f>
        <v>#N/A</v>
      </c>
      <c r="G3441" s="143" t="e">
        <f t="shared" si="571"/>
        <v>#N/A</v>
      </c>
      <c r="H3441" s="156"/>
      <c r="I3441" s="371" t="e">
        <f t="shared" si="572"/>
        <v>#N/A</v>
      </c>
      <c r="J3441" s="100" t="e">
        <f t="shared" si="573"/>
        <v>#N/A</v>
      </c>
      <c r="K3441" s="51" t="e">
        <f>VLOOKUP(B:B,'生產達成率(目標)'!A:C,3,0)</f>
        <v>#N/A</v>
      </c>
      <c r="L3441" s="20" t="e">
        <f t="shared" si="574"/>
        <v>#N/A</v>
      </c>
      <c r="M3441" s="137"/>
      <c r="N3441" s="374"/>
      <c r="O3441" s="374">
        <f t="shared" si="575"/>
        <v>0</v>
      </c>
      <c r="P3441" s="156"/>
      <c r="Q3441" s="98" t="e">
        <f t="shared" si="576"/>
        <v>#DIV/0!</v>
      </c>
      <c r="R3441" s="371"/>
      <c r="S3441" s="372"/>
      <c r="T3441" s="364"/>
      <c r="U3441" s="264"/>
      <c r="V3441" s="264"/>
      <c r="W3441" s="424"/>
      <c r="X3441" s="264" t="s">
        <v>1867</v>
      </c>
      <c r="Y3441" s="424"/>
      <c r="Z3441" s="424"/>
      <c r="AA3441" s="424"/>
      <c r="AB3441" s="424"/>
      <c r="AC3441" s="425">
        <f t="shared" si="585"/>
        <v>0</v>
      </c>
      <c r="AD3441" s="425">
        <f t="shared" si="586"/>
        <v>0</v>
      </c>
    </row>
    <row r="3442" spans="1:30" s="361" customFormat="1" x14ac:dyDescent="0.4">
      <c r="A3442" s="402"/>
      <c r="B3442" s="392"/>
      <c r="C3442" s="364" t="e">
        <f>VLOOKUP(B3442,'112年全品項生產鍋數'!A:H,2,0)</f>
        <v>#N/A</v>
      </c>
      <c r="D3442" s="404"/>
      <c r="E3442" s="48" t="e">
        <f>VLOOKUP(B3442,'112年全品項生產鍋數'!A:H,3,0)</f>
        <v>#N/A</v>
      </c>
      <c r="F3442" s="142" t="e">
        <f>VLOOKUP(B3442,'112年全品項生產鍋數'!A:H,7,0)</f>
        <v>#N/A</v>
      </c>
      <c r="G3442" s="143" t="e">
        <f t="shared" si="571"/>
        <v>#N/A</v>
      </c>
      <c r="H3442" s="156"/>
      <c r="I3442" s="371" t="e">
        <f t="shared" si="572"/>
        <v>#N/A</v>
      </c>
      <c r="J3442" s="100" t="e">
        <f t="shared" si="573"/>
        <v>#N/A</v>
      </c>
      <c r="K3442" s="51" t="e">
        <f>VLOOKUP(B:B,'生產達成率(目標)'!A:C,3,0)</f>
        <v>#N/A</v>
      </c>
      <c r="L3442" s="20" t="e">
        <f t="shared" si="574"/>
        <v>#N/A</v>
      </c>
      <c r="M3442" s="137"/>
      <c r="N3442" s="374"/>
      <c r="O3442" s="374">
        <f t="shared" si="575"/>
        <v>0</v>
      </c>
      <c r="P3442" s="156"/>
      <c r="Q3442" s="98" t="e">
        <f t="shared" si="576"/>
        <v>#DIV/0!</v>
      </c>
      <c r="R3442" s="371"/>
      <c r="S3442" s="372"/>
      <c r="T3442" s="364"/>
      <c r="U3442" s="264"/>
      <c r="V3442" s="264"/>
      <c r="W3442" s="424"/>
      <c r="X3442" s="264" t="s">
        <v>1867</v>
      </c>
      <c r="Y3442" s="424"/>
      <c r="Z3442" s="424"/>
      <c r="AA3442" s="424"/>
      <c r="AB3442" s="424"/>
      <c r="AC3442" s="425">
        <f t="shared" si="585"/>
        <v>0</v>
      </c>
      <c r="AD3442" s="425">
        <f t="shared" si="586"/>
        <v>0</v>
      </c>
    </row>
    <row r="3443" spans="1:30" s="361" customFormat="1" x14ac:dyDescent="0.4">
      <c r="A3443" s="402"/>
      <c r="B3443" s="392"/>
      <c r="C3443" s="364" t="e">
        <f>VLOOKUP(B3443,'112年全品項生產鍋數'!A:H,2,0)</f>
        <v>#N/A</v>
      </c>
      <c r="D3443" s="404"/>
      <c r="E3443" s="48" t="e">
        <f>VLOOKUP(B3443,'112年全品項生產鍋數'!A:H,3,0)</f>
        <v>#N/A</v>
      </c>
      <c r="F3443" s="142" t="e">
        <f>VLOOKUP(B3443,'112年全品項生產鍋數'!A:H,7,0)</f>
        <v>#N/A</v>
      </c>
      <c r="G3443" s="143" t="e">
        <f t="shared" si="571"/>
        <v>#N/A</v>
      </c>
      <c r="H3443" s="156"/>
      <c r="I3443" s="371" t="e">
        <f t="shared" si="572"/>
        <v>#N/A</v>
      </c>
      <c r="J3443" s="100" t="e">
        <f t="shared" si="573"/>
        <v>#N/A</v>
      </c>
      <c r="K3443" s="51" t="e">
        <f>VLOOKUP(B:B,'生產達成率(目標)'!A:C,3,0)</f>
        <v>#N/A</v>
      </c>
      <c r="L3443" s="20" t="e">
        <f t="shared" si="574"/>
        <v>#N/A</v>
      </c>
      <c r="M3443" s="137"/>
      <c r="N3443" s="374"/>
      <c r="O3443" s="374">
        <f t="shared" si="575"/>
        <v>0</v>
      </c>
      <c r="P3443" s="156"/>
      <c r="Q3443" s="98" t="e">
        <f t="shared" si="576"/>
        <v>#DIV/0!</v>
      </c>
      <c r="R3443" s="371"/>
      <c r="S3443" s="372"/>
      <c r="T3443" s="364"/>
      <c r="U3443" s="264"/>
      <c r="V3443" s="264"/>
      <c r="W3443" s="424"/>
      <c r="X3443" s="264" t="s">
        <v>1867</v>
      </c>
      <c r="Y3443" s="424"/>
      <c r="Z3443" s="424"/>
      <c r="AA3443" s="424"/>
      <c r="AB3443" s="424"/>
      <c r="AC3443" s="425">
        <f t="shared" si="585"/>
        <v>0</v>
      </c>
      <c r="AD3443" s="425">
        <f t="shared" si="586"/>
        <v>0</v>
      </c>
    </row>
    <row r="3444" spans="1:30" s="361" customFormat="1" x14ac:dyDescent="0.4">
      <c r="A3444" s="402"/>
      <c r="B3444" s="392"/>
      <c r="C3444" s="364" t="e">
        <f>VLOOKUP(B3444,'112年全品項生產鍋數'!A:H,2,0)</f>
        <v>#N/A</v>
      </c>
      <c r="D3444" s="404"/>
      <c r="E3444" s="48" t="e">
        <f>VLOOKUP(B3444,'112年全品項生產鍋數'!A:H,3,0)</f>
        <v>#N/A</v>
      </c>
      <c r="F3444" s="142" t="e">
        <f>VLOOKUP(B3444,'112年全品項生產鍋數'!A:H,7,0)</f>
        <v>#N/A</v>
      </c>
      <c r="G3444" s="143" t="e">
        <f t="shared" si="571"/>
        <v>#N/A</v>
      </c>
      <c r="H3444" s="156"/>
      <c r="I3444" s="371" t="e">
        <f t="shared" si="572"/>
        <v>#N/A</v>
      </c>
      <c r="J3444" s="100" t="e">
        <f t="shared" si="573"/>
        <v>#N/A</v>
      </c>
      <c r="K3444" s="51" t="e">
        <f>VLOOKUP(B:B,'生產達成率(目標)'!A:C,3,0)</f>
        <v>#N/A</v>
      </c>
      <c r="L3444" s="20" t="e">
        <f t="shared" si="574"/>
        <v>#N/A</v>
      </c>
      <c r="M3444" s="137"/>
      <c r="N3444" s="374"/>
      <c r="O3444" s="374">
        <f t="shared" si="575"/>
        <v>0</v>
      </c>
      <c r="P3444" s="156"/>
      <c r="Q3444" s="98" t="e">
        <f t="shared" si="576"/>
        <v>#DIV/0!</v>
      </c>
      <c r="R3444" s="371"/>
      <c r="S3444" s="372"/>
      <c r="T3444" s="364"/>
      <c r="U3444" s="264"/>
      <c r="V3444" s="264"/>
      <c r="W3444" s="424"/>
      <c r="X3444" s="264" t="s">
        <v>1867</v>
      </c>
      <c r="Y3444" s="424"/>
      <c r="Z3444" s="424"/>
      <c r="AA3444" s="424"/>
      <c r="AB3444" s="424"/>
      <c r="AC3444" s="425">
        <f t="shared" si="585"/>
        <v>0</v>
      </c>
      <c r="AD3444" s="425">
        <f t="shared" si="586"/>
        <v>0</v>
      </c>
    </row>
    <row r="3445" spans="1:30" s="361" customFormat="1" x14ac:dyDescent="0.4">
      <c r="A3445" s="402"/>
      <c r="B3445" s="392"/>
      <c r="C3445" s="364" t="e">
        <f>VLOOKUP(B3445,'112年全品項生產鍋數'!A:H,2,0)</f>
        <v>#N/A</v>
      </c>
      <c r="D3445" s="404"/>
      <c r="E3445" s="48" t="e">
        <f>VLOOKUP(B3445,'112年全品項生產鍋數'!A:H,3,0)</f>
        <v>#N/A</v>
      </c>
      <c r="F3445" s="142" t="e">
        <f>VLOOKUP(B3445,'112年全品項生產鍋數'!A:H,7,0)</f>
        <v>#N/A</v>
      </c>
      <c r="G3445" s="143" t="e">
        <f t="shared" si="571"/>
        <v>#N/A</v>
      </c>
      <c r="H3445" s="156"/>
      <c r="I3445" s="371" t="e">
        <f t="shared" si="572"/>
        <v>#N/A</v>
      </c>
      <c r="J3445" s="100" t="e">
        <f t="shared" si="573"/>
        <v>#N/A</v>
      </c>
      <c r="K3445" s="51" t="e">
        <f>VLOOKUP(B:B,'生產達成率(目標)'!A:C,3,0)</f>
        <v>#N/A</v>
      </c>
      <c r="L3445" s="20" t="e">
        <f t="shared" si="574"/>
        <v>#N/A</v>
      </c>
      <c r="M3445" s="137"/>
      <c r="N3445" s="374"/>
      <c r="O3445" s="374">
        <f t="shared" si="575"/>
        <v>0</v>
      </c>
      <c r="P3445" s="156"/>
      <c r="Q3445" s="98" t="e">
        <f t="shared" si="576"/>
        <v>#DIV/0!</v>
      </c>
      <c r="R3445" s="371"/>
      <c r="S3445" s="372"/>
      <c r="T3445" s="364"/>
      <c r="U3445" s="264"/>
      <c r="V3445" s="264"/>
      <c r="W3445" s="424"/>
      <c r="X3445" s="264" t="s">
        <v>1867</v>
      </c>
      <c r="Y3445" s="424"/>
      <c r="Z3445" s="424"/>
      <c r="AA3445" s="424"/>
      <c r="AB3445" s="424"/>
      <c r="AC3445" s="425">
        <f t="shared" si="585"/>
        <v>0</v>
      </c>
      <c r="AD3445" s="425">
        <f t="shared" si="586"/>
        <v>0</v>
      </c>
    </row>
    <row r="3446" spans="1:30" s="361" customFormat="1" x14ac:dyDescent="0.4">
      <c r="A3446" s="402"/>
      <c r="B3446" s="392"/>
      <c r="C3446" s="364" t="e">
        <f>VLOOKUP(B3446,'112年全品項生產鍋數'!A:H,2,0)</f>
        <v>#N/A</v>
      </c>
      <c r="D3446" s="404"/>
      <c r="E3446" s="48" t="e">
        <f>VLOOKUP(B3446,'112年全品項生產鍋數'!A:H,3,0)</f>
        <v>#N/A</v>
      </c>
      <c r="F3446" s="142" t="e">
        <f>VLOOKUP(B3446,'112年全品項生產鍋數'!A:H,7,0)</f>
        <v>#N/A</v>
      </c>
      <c r="G3446" s="143" t="e">
        <f t="shared" si="571"/>
        <v>#N/A</v>
      </c>
      <c r="H3446" s="156"/>
      <c r="I3446" s="371" t="e">
        <f t="shared" si="572"/>
        <v>#N/A</v>
      </c>
      <c r="J3446" s="100" t="e">
        <f t="shared" si="573"/>
        <v>#N/A</v>
      </c>
      <c r="K3446" s="51" t="e">
        <f>VLOOKUP(B:B,'生產達成率(目標)'!A:C,3,0)</f>
        <v>#N/A</v>
      </c>
      <c r="L3446" s="20" t="e">
        <f t="shared" si="574"/>
        <v>#N/A</v>
      </c>
      <c r="M3446" s="137"/>
      <c r="N3446" s="374"/>
      <c r="O3446" s="374">
        <f t="shared" si="575"/>
        <v>0</v>
      </c>
      <c r="P3446" s="156"/>
      <c r="Q3446" s="98" t="e">
        <f t="shared" si="576"/>
        <v>#DIV/0!</v>
      </c>
      <c r="R3446" s="371"/>
      <c r="S3446" s="372"/>
      <c r="T3446" s="364"/>
      <c r="U3446" s="264"/>
      <c r="V3446" s="264"/>
      <c r="W3446" s="424"/>
      <c r="X3446" s="264" t="s">
        <v>1867</v>
      </c>
      <c r="Y3446" s="424"/>
      <c r="Z3446" s="424"/>
      <c r="AA3446" s="424"/>
      <c r="AB3446" s="424"/>
      <c r="AC3446" s="425">
        <f t="shared" si="585"/>
        <v>0</v>
      </c>
      <c r="AD3446" s="425">
        <f t="shared" si="586"/>
        <v>0</v>
      </c>
    </row>
    <row r="3447" spans="1:30" s="361" customFormat="1" x14ac:dyDescent="0.4">
      <c r="A3447" s="402"/>
      <c r="B3447" s="392"/>
      <c r="C3447" s="364" t="e">
        <f>VLOOKUP(B3447,'112年全品項生產鍋數'!A:H,2,0)</f>
        <v>#N/A</v>
      </c>
      <c r="D3447" s="404"/>
      <c r="E3447" s="48" t="e">
        <f>VLOOKUP(B3447,'112年全品項生產鍋數'!A:H,3,0)</f>
        <v>#N/A</v>
      </c>
      <c r="F3447" s="142" t="e">
        <f>VLOOKUP(B3447,'112年全品項生產鍋數'!A:H,7,0)</f>
        <v>#N/A</v>
      </c>
      <c r="G3447" s="143" t="e">
        <f t="shared" ref="G3447:G3510" si="587">D3447*F3447</f>
        <v>#N/A</v>
      </c>
      <c r="H3447" s="156"/>
      <c r="I3447" s="371" t="e">
        <f t="shared" ref="I3447:I3510" si="588">H3447*E3447</f>
        <v>#N/A</v>
      </c>
      <c r="J3447" s="100" t="e">
        <f t="shared" ref="J3447:J3510" si="589">IF(G3447=0,"無法預估數據",H3447/G3447)</f>
        <v>#N/A</v>
      </c>
      <c r="K3447" s="51" t="e">
        <f>VLOOKUP(B:B,'生產達成率(目標)'!A:C,3,0)</f>
        <v>#N/A</v>
      </c>
      <c r="L3447" s="20" t="e">
        <f t="shared" ref="L3447:L3510" si="590">IF(G3447=0,"無法預估數據",ROUND(J3447-K3447,3))</f>
        <v>#N/A</v>
      </c>
      <c r="M3447" s="137"/>
      <c r="N3447" s="374"/>
      <c r="O3447" s="374">
        <f t="shared" ref="O3447:O3510" si="591">H3447-N3447-P3447</f>
        <v>0</v>
      </c>
      <c r="P3447" s="156"/>
      <c r="Q3447" s="98" t="e">
        <f t="shared" ref="Q3447:Q3510" si="592">P3447/H3447</f>
        <v>#DIV/0!</v>
      </c>
      <c r="R3447" s="371"/>
      <c r="S3447" s="372"/>
      <c r="T3447" s="364"/>
      <c r="U3447" s="264"/>
      <c r="V3447" s="264"/>
      <c r="W3447" s="424"/>
      <c r="X3447" s="264" t="s">
        <v>1867</v>
      </c>
      <c r="Y3447" s="424"/>
      <c r="Z3447" s="424"/>
      <c r="AA3447" s="424"/>
      <c r="AB3447" s="424"/>
      <c r="AC3447" s="425">
        <f t="shared" si="585"/>
        <v>0</v>
      </c>
      <c r="AD3447" s="425">
        <f t="shared" si="586"/>
        <v>0</v>
      </c>
    </row>
    <row r="3448" spans="1:30" s="361" customFormat="1" x14ac:dyDescent="0.4">
      <c r="A3448" s="402"/>
      <c r="B3448" s="392"/>
      <c r="C3448" s="364" t="e">
        <f>VLOOKUP(B3448,'112年全品項生產鍋數'!A:H,2,0)</f>
        <v>#N/A</v>
      </c>
      <c r="D3448" s="404"/>
      <c r="E3448" s="48" t="e">
        <f>VLOOKUP(B3448,'112年全品項生產鍋數'!A:H,3,0)</f>
        <v>#N/A</v>
      </c>
      <c r="F3448" s="142" t="e">
        <f>VLOOKUP(B3448,'112年全品項生產鍋數'!A:H,7,0)</f>
        <v>#N/A</v>
      </c>
      <c r="G3448" s="143" t="e">
        <f t="shared" si="587"/>
        <v>#N/A</v>
      </c>
      <c r="H3448" s="156"/>
      <c r="I3448" s="371" t="e">
        <f t="shared" si="588"/>
        <v>#N/A</v>
      </c>
      <c r="J3448" s="100" t="e">
        <f t="shared" si="589"/>
        <v>#N/A</v>
      </c>
      <c r="K3448" s="51" t="e">
        <f>VLOOKUP(B:B,'生產達成率(目標)'!A:C,3,0)</f>
        <v>#N/A</v>
      </c>
      <c r="L3448" s="20" t="e">
        <f t="shared" si="590"/>
        <v>#N/A</v>
      </c>
      <c r="M3448" s="137"/>
      <c r="N3448" s="374"/>
      <c r="O3448" s="374">
        <f t="shared" si="591"/>
        <v>0</v>
      </c>
      <c r="P3448" s="156"/>
      <c r="Q3448" s="98" t="e">
        <f t="shared" si="592"/>
        <v>#DIV/0!</v>
      </c>
      <c r="R3448" s="371"/>
      <c r="S3448" s="372"/>
      <c r="T3448" s="364"/>
      <c r="U3448" s="264"/>
      <c r="V3448" s="264"/>
      <c r="W3448" s="424"/>
      <c r="X3448" s="264" t="s">
        <v>1867</v>
      </c>
      <c r="Y3448" s="424"/>
      <c r="Z3448" s="424"/>
      <c r="AA3448" s="424"/>
      <c r="AB3448" s="424"/>
      <c r="AC3448" s="425">
        <f t="shared" si="585"/>
        <v>0</v>
      </c>
      <c r="AD3448" s="425">
        <f t="shared" si="586"/>
        <v>0</v>
      </c>
    </row>
    <row r="3449" spans="1:30" s="361" customFormat="1" x14ac:dyDescent="0.4">
      <c r="A3449" s="402"/>
      <c r="B3449" s="392"/>
      <c r="C3449" s="364" t="e">
        <f>VLOOKUP(B3449,'112年全品項生產鍋數'!A:H,2,0)</f>
        <v>#N/A</v>
      </c>
      <c r="D3449" s="404"/>
      <c r="E3449" s="48" t="e">
        <f>VLOOKUP(B3449,'112年全品項生產鍋數'!A:H,3,0)</f>
        <v>#N/A</v>
      </c>
      <c r="F3449" s="142" t="e">
        <f>VLOOKUP(B3449,'112年全品項生產鍋數'!A:H,7,0)</f>
        <v>#N/A</v>
      </c>
      <c r="G3449" s="143" t="e">
        <f t="shared" si="587"/>
        <v>#N/A</v>
      </c>
      <c r="H3449" s="156"/>
      <c r="I3449" s="371" t="e">
        <f t="shared" si="588"/>
        <v>#N/A</v>
      </c>
      <c r="J3449" s="100" t="e">
        <f t="shared" si="589"/>
        <v>#N/A</v>
      </c>
      <c r="K3449" s="51" t="e">
        <f>VLOOKUP(B:B,'生產達成率(目標)'!A:C,3,0)</f>
        <v>#N/A</v>
      </c>
      <c r="L3449" s="20" t="e">
        <f t="shared" si="590"/>
        <v>#N/A</v>
      </c>
      <c r="M3449" s="137"/>
      <c r="N3449" s="374"/>
      <c r="O3449" s="374">
        <f t="shared" si="591"/>
        <v>0</v>
      </c>
      <c r="P3449" s="156"/>
      <c r="Q3449" s="98" t="e">
        <f t="shared" si="592"/>
        <v>#DIV/0!</v>
      </c>
      <c r="R3449" s="371"/>
      <c r="S3449" s="372"/>
      <c r="T3449" s="364"/>
      <c r="U3449" s="264"/>
      <c r="V3449" s="264"/>
      <c r="W3449" s="424"/>
      <c r="X3449" s="264" t="s">
        <v>1867</v>
      </c>
      <c r="Y3449" s="424"/>
      <c r="Z3449" s="424"/>
      <c r="AA3449" s="424"/>
      <c r="AB3449" s="424"/>
      <c r="AC3449" s="425">
        <f t="shared" si="585"/>
        <v>0</v>
      </c>
      <c r="AD3449" s="425">
        <f t="shared" si="586"/>
        <v>0</v>
      </c>
    </row>
    <row r="3450" spans="1:30" s="361" customFormat="1" x14ac:dyDescent="0.4">
      <c r="A3450" s="402"/>
      <c r="B3450" s="392"/>
      <c r="C3450" s="364" t="e">
        <f>VLOOKUP(B3450,'112年全品項生產鍋數'!A:H,2,0)</f>
        <v>#N/A</v>
      </c>
      <c r="D3450" s="404"/>
      <c r="E3450" s="48" t="e">
        <f>VLOOKUP(B3450,'112年全品項生產鍋數'!A:H,3,0)</f>
        <v>#N/A</v>
      </c>
      <c r="F3450" s="142" t="e">
        <f>VLOOKUP(B3450,'112年全品項生產鍋數'!A:H,7,0)</f>
        <v>#N/A</v>
      </c>
      <c r="G3450" s="143" t="e">
        <f t="shared" si="587"/>
        <v>#N/A</v>
      </c>
      <c r="H3450" s="156"/>
      <c r="I3450" s="371" t="e">
        <f t="shared" si="588"/>
        <v>#N/A</v>
      </c>
      <c r="J3450" s="100" t="e">
        <f t="shared" si="589"/>
        <v>#N/A</v>
      </c>
      <c r="K3450" s="51" t="e">
        <f>VLOOKUP(B:B,'生產達成率(目標)'!A:C,3,0)</f>
        <v>#N/A</v>
      </c>
      <c r="L3450" s="20" t="e">
        <f t="shared" si="590"/>
        <v>#N/A</v>
      </c>
      <c r="M3450" s="137"/>
      <c r="N3450" s="374"/>
      <c r="O3450" s="374">
        <f t="shared" si="591"/>
        <v>0</v>
      </c>
      <c r="P3450" s="156"/>
      <c r="Q3450" s="98" t="e">
        <f t="shared" si="592"/>
        <v>#DIV/0!</v>
      </c>
      <c r="R3450" s="371"/>
      <c r="S3450" s="372"/>
      <c r="T3450" s="364"/>
      <c r="U3450" s="264"/>
      <c r="V3450" s="264"/>
      <c r="W3450" s="424"/>
      <c r="X3450" s="264" t="s">
        <v>1867</v>
      </c>
      <c r="Y3450" s="424"/>
      <c r="Z3450" s="424"/>
      <c r="AA3450" s="424"/>
      <c r="AB3450" s="424"/>
      <c r="AC3450" s="425">
        <f t="shared" si="585"/>
        <v>0</v>
      </c>
      <c r="AD3450" s="425">
        <f t="shared" si="586"/>
        <v>0</v>
      </c>
    </row>
    <row r="3451" spans="1:30" s="361" customFormat="1" x14ac:dyDescent="0.4">
      <c r="A3451" s="402"/>
      <c r="B3451" s="392"/>
      <c r="C3451" s="364" t="e">
        <f>VLOOKUP(B3451,'112年全品項生產鍋數'!A:H,2,0)</f>
        <v>#N/A</v>
      </c>
      <c r="D3451" s="404"/>
      <c r="E3451" s="48" t="e">
        <f>VLOOKUP(B3451,'112年全品項生產鍋數'!A:H,3,0)</f>
        <v>#N/A</v>
      </c>
      <c r="F3451" s="142" t="e">
        <f>VLOOKUP(B3451,'112年全品項生產鍋數'!A:H,7,0)</f>
        <v>#N/A</v>
      </c>
      <c r="G3451" s="143" t="e">
        <f t="shared" si="587"/>
        <v>#N/A</v>
      </c>
      <c r="H3451" s="156"/>
      <c r="I3451" s="371" t="e">
        <f t="shared" si="588"/>
        <v>#N/A</v>
      </c>
      <c r="J3451" s="100" t="e">
        <f t="shared" si="589"/>
        <v>#N/A</v>
      </c>
      <c r="K3451" s="51" t="e">
        <f>VLOOKUP(B:B,'生產達成率(目標)'!A:C,3,0)</f>
        <v>#N/A</v>
      </c>
      <c r="L3451" s="20" t="e">
        <f t="shared" si="590"/>
        <v>#N/A</v>
      </c>
      <c r="M3451" s="137"/>
      <c r="N3451" s="374"/>
      <c r="O3451" s="374">
        <f t="shared" si="591"/>
        <v>0</v>
      </c>
      <c r="P3451" s="156"/>
      <c r="Q3451" s="98" t="e">
        <f t="shared" si="592"/>
        <v>#DIV/0!</v>
      </c>
      <c r="R3451" s="371"/>
      <c r="S3451" s="372"/>
      <c r="T3451" s="364"/>
      <c r="U3451" s="264"/>
      <c r="V3451" s="264"/>
      <c r="W3451" s="424"/>
      <c r="X3451" s="264" t="s">
        <v>1867</v>
      </c>
      <c r="Y3451" s="424"/>
      <c r="Z3451" s="424"/>
      <c r="AA3451" s="424"/>
      <c r="AB3451" s="424"/>
      <c r="AC3451" s="425">
        <f t="shared" si="585"/>
        <v>0</v>
      </c>
      <c r="AD3451" s="425">
        <f t="shared" si="586"/>
        <v>0</v>
      </c>
    </row>
    <row r="3452" spans="1:30" s="361" customFormat="1" x14ac:dyDescent="0.4">
      <c r="A3452" s="402"/>
      <c r="B3452" s="392"/>
      <c r="C3452" s="364" t="e">
        <f>VLOOKUP(B3452,'112年全品項生產鍋數'!A:H,2,0)</f>
        <v>#N/A</v>
      </c>
      <c r="D3452" s="404"/>
      <c r="E3452" s="48" t="e">
        <f>VLOOKUP(B3452,'112年全品項生產鍋數'!A:H,3,0)</f>
        <v>#N/A</v>
      </c>
      <c r="F3452" s="142" t="e">
        <f>VLOOKUP(B3452,'112年全品項生產鍋數'!A:H,7,0)</f>
        <v>#N/A</v>
      </c>
      <c r="G3452" s="143" t="e">
        <f t="shared" si="587"/>
        <v>#N/A</v>
      </c>
      <c r="H3452" s="156"/>
      <c r="I3452" s="371" t="e">
        <f t="shared" si="588"/>
        <v>#N/A</v>
      </c>
      <c r="J3452" s="100" t="e">
        <f t="shared" si="589"/>
        <v>#N/A</v>
      </c>
      <c r="K3452" s="51" t="e">
        <f>VLOOKUP(B:B,'生產達成率(目標)'!A:C,3,0)</f>
        <v>#N/A</v>
      </c>
      <c r="L3452" s="20" t="e">
        <f t="shared" si="590"/>
        <v>#N/A</v>
      </c>
      <c r="M3452" s="137"/>
      <c r="N3452" s="374"/>
      <c r="O3452" s="374">
        <f t="shared" si="591"/>
        <v>0</v>
      </c>
      <c r="P3452" s="156"/>
      <c r="Q3452" s="98" t="e">
        <f t="shared" si="592"/>
        <v>#DIV/0!</v>
      </c>
      <c r="R3452" s="371"/>
      <c r="S3452" s="372"/>
      <c r="T3452" s="364"/>
      <c r="U3452" s="264"/>
      <c r="V3452" s="264"/>
      <c r="W3452" s="424"/>
      <c r="X3452" s="264" t="s">
        <v>1867</v>
      </c>
      <c r="Y3452" s="424"/>
      <c r="Z3452" s="424"/>
      <c r="AA3452" s="424"/>
      <c r="AB3452" s="424"/>
      <c r="AC3452" s="425">
        <f t="shared" si="585"/>
        <v>0</v>
      </c>
      <c r="AD3452" s="425">
        <f t="shared" si="586"/>
        <v>0</v>
      </c>
    </row>
    <row r="3453" spans="1:30" s="361" customFormat="1" x14ac:dyDescent="0.4">
      <c r="A3453" s="402"/>
      <c r="B3453" s="392"/>
      <c r="C3453" s="364" t="e">
        <f>VLOOKUP(B3453,'112年全品項生產鍋數'!A:H,2,0)</f>
        <v>#N/A</v>
      </c>
      <c r="D3453" s="404"/>
      <c r="E3453" s="48" t="e">
        <f>VLOOKUP(B3453,'112年全品項生產鍋數'!A:H,3,0)</f>
        <v>#N/A</v>
      </c>
      <c r="F3453" s="142" t="e">
        <f>VLOOKUP(B3453,'112年全品項生產鍋數'!A:H,7,0)</f>
        <v>#N/A</v>
      </c>
      <c r="G3453" s="143" t="e">
        <f t="shared" si="587"/>
        <v>#N/A</v>
      </c>
      <c r="H3453" s="156"/>
      <c r="I3453" s="371" t="e">
        <f t="shared" si="588"/>
        <v>#N/A</v>
      </c>
      <c r="J3453" s="100" t="e">
        <f t="shared" si="589"/>
        <v>#N/A</v>
      </c>
      <c r="K3453" s="51" t="e">
        <f>VLOOKUP(B:B,'生產達成率(目標)'!A:C,3,0)</f>
        <v>#N/A</v>
      </c>
      <c r="L3453" s="20" t="e">
        <f t="shared" si="590"/>
        <v>#N/A</v>
      </c>
      <c r="M3453" s="137"/>
      <c r="N3453" s="374"/>
      <c r="O3453" s="374">
        <f t="shared" si="591"/>
        <v>0</v>
      </c>
      <c r="P3453" s="156"/>
      <c r="Q3453" s="98" t="e">
        <f t="shared" si="592"/>
        <v>#DIV/0!</v>
      </c>
      <c r="R3453" s="371"/>
      <c r="S3453" s="372"/>
      <c r="T3453" s="364"/>
      <c r="U3453" s="264"/>
      <c r="V3453" s="264"/>
      <c r="W3453" s="424"/>
      <c r="X3453" s="264" t="s">
        <v>1867</v>
      </c>
      <c r="Y3453" s="424"/>
      <c r="Z3453" s="424"/>
      <c r="AA3453" s="424"/>
      <c r="AB3453" s="424"/>
      <c r="AC3453" s="425">
        <f t="shared" si="585"/>
        <v>0</v>
      </c>
      <c r="AD3453" s="425">
        <f t="shared" si="586"/>
        <v>0</v>
      </c>
    </row>
    <row r="3454" spans="1:30" s="361" customFormat="1" x14ac:dyDescent="0.4">
      <c r="A3454" s="402"/>
      <c r="B3454" s="392"/>
      <c r="C3454" s="364" t="e">
        <f>VLOOKUP(B3454,'112年全品項生產鍋數'!A:H,2,0)</f>
        <v>#N/A</v>
      </c>
      <c r="D3454" s="404"/>
      <c r="E3454" s="48" t="e">
        <f>VLOOKUP(B3454,'112年全品項生產鍋數'!A:H,3,0)</f>
        <v>#N/A</v>
      </c>
      <c r="F3454" s="142" t="e">
        <f>VLOOKUP(B3454,'112年全品項生產鍋數'!A:H,7,0)</f>
        <v>#N/A</v>
      </c>
      <c r="G3454" s="143" t="e">
        <f t="shared" si="587"/>
        <v>#N/A</v>
      </c>
      <c r="H3454" s="156"/>
      <c r="I3454" s="371" t="e">
        <f t="shared" si="588"/>
        <v>#N/A</v>
      </c>
      <c r="J3454" s="100" t="e">
        <f t="shared" si="589"/>
        <v>#N/A</v>
      </c>
      <c r="K3454" s="51" t="e">
        <f>VLOOKUP(B:B,'生產達成率(目標)'!A:C,3,0)</f>
        <v>#N/A</v>
      </c>
      <c r="L3454" s="20" t="e">
        <f t="shared" si="590"/>
        <v>#N/A</v>
      </c>
      <c r="M3454" s="137"/>
      <c r="N3454" s="374"/>
      <c r="O3454" s="374">
        <f t="shared" si="591"/>
        <v>0</v>
      </c>
      <c r="P3454" s="156"/>
      <c r="Q3454" s="98" t="e">
        <f t="shared" si="592"/>
        <v>#DIV/0!</v>
      </c>
      <c r="R3454" s="371"/>
      <c r="S3454" s="372"/>
      <c r="T3454" s="364"/>
      <c r="U3454" s="264"/>
      <c r="V3454" s="264"/>
      <c r="W3454" s="424"/>
      <c r="X3454" s="264" t="s">
        <v>1867</v>
      </c>
      <c r="Y3454" s="424"/>
      <c r="Z3454" s="424"/>
      <c r="AA3454" s="424"/>
      <c r="AB3454" s="424"/>
      <c r="AC3454" s="425">
        <f t="shared" si="585"/>
        <v>0</v>
      </c>
      <c r="AD3454" s="425">
        <f t="shared" si="586"/>
        <v>0</v>
      </c>
    </row>
    <row r="3455" spans="1:30" s="361" customFormat="1" x14ac:dyDescent="0.4">
      <c r="A3455" s="402"/>
      <c r="B3455" s="392"/>
      <c r="C3455" s="364" t="e">
        <f>VLOOKUP(B3455,'112年全品項生產鍋數'!A:H,2,0)</f>
        <v>#N/A</v>
      </c>
      <c r="D3455" s="404"/>
      <c r="E3455" s="48" t="e">
        <f>VLOOKUP(B3455,'112年全品項生產鍋數'!A:H,3,0)</f>
        <v>#N/A</v>
      </c>
      <c r="F3455" s="142" t="e">
        <f>VLOOKUP(B3455,'112年全品項生產鍋數'!A:H,7,0)</f>
        <v>#N/A</v>
      </c>
      <c r="G3455" s="143" t="e">
        <f t="shared" si="587"/>
        <v>#N/A</v>
      </c>
      <c r="H3455" s="156"/>
      <c r="I3455" s="371" t="e">
        <f t="shared" si="588"/>
        <v>#N/A</v>
      </c>
      <c r="J3455" s="100" t="e">
        <f t="shared" si="589"/>
        <v>#N/A</v>
      </c>
      <c r="K3455" s="51" t="e">
        <f>VLOOKUP(B:B,'生產達成率(目標)'!A:C,3,0)</f>
        <v>#N/A</v>
      </c>
      <c r="L3455" s="20" t="e">
        <f t="shared" si="590"/>
        <v>#N/A</v>
      </c>
      <c r="M3455" s="137"/>
      <c r="N3455" s="374"/>
      <c r="O3455" s="374">
        <f t="shared" si="591"/>
        <v>0</v>
      </c>
      <c r="P3455" s="156"/>
      <c r="Q3455" s="98" t="e">
        <f t="shared" si="592"/>
        <v>#DIV/0!</v>
      </c>
      <c r="R3455" s="371"/>
      <c r="S3455" s="372"/>
      <c r="T3455" s="364"/>
      <c r="U3455" s="264"/>
      <c r="V3455" s="264"/>
      <c r="W3455" s="424"/>
      <c r="X3455" s="264" t="s">
        <v>1867</v>
      </c>
      <c r="Y3455" s="424"/>
      <c r="Z3455" s="424"/>
      <c r="AA3455" s="424"/>
      <c r="AB3455" s="424"/>
      <c r="AC3455" s="425">
        <f t="shared" si="585"/>
        <v>0</v>
      </c>
      <c r="AD3455" s="425">
        <f t="shared" si="586"/>
        <v>0</v>
      </c>
    </row>
    <row r="3456" spans="1:30" s="361" customFormat="1" x14ac:dyDescent="0.4">
      <c r="A3456" s="402"/>
      <c r="B3456" s="392"/>
      <c r="C3456" s="364" t="e">
        <f>VLOOKUP(B3456,'112年全品項生產鍋數'!A:H,2,0)</f>
        <v>#N/A</v>
      </c>
      <c r="D3456" s="404"/>
      <c r="E3456" s="48" t="e">
        <f>VLOOKUP(B3456,'112年全品項生產鍋數'!A:H,3,0)</f>
        <v>#N/A</v>
      </c>
      <c r="F3456" s="142" t="e">
        <f>VLOOKUP(B3456,'112年全品項生產鍋數'!A:H,7,0)</f>
        <v>#N/A</v>
      </c>
      <c r="G3456" s="143" t="e">
        <f t="shared" si="587"/>
        <v>#N/A</v>
      </c>
      <c r="H3456" s="156"/>
      <c r="I3456" s="371" t="e">
        <f t="shared" si="588"/>
        <v>#N/A</v>
      </c>
      <c r="J3456" s="100" t="e">
        <f t="shared" si="589"/>
        <v>#N/A</v>
      </c>
      <c r="K3456" s="51" t="e">
        <f>VLOOKUP(B:B,'生產達成率(目標)'!A:C,3,0)</f>
        <v>#N/A</v>
      </c>
      <c r="L3456" s="20" t="e">
        <f t="shared" si="590"/>
        <v>#N/A</v>
      </c>
      <c r="M3456" s="137"/>
      <c r="N3456" s="374"/>
      <c r="O3456" s="374">
        <f t="shared" si="591"/>
        <v>0</v>
      </c>
      <c r="P3456" s="156"/>
      <c r="Q3456" s="98" t="e">
        <f t="shared" si="592"/>
        <v>#DIV/0!</v>
      </c>
      <c r="R3456" s="371"/>
      <c r="S3456" s="372"/>
      <c r="T3456" s="364"/>
      <c r="U3456" s="264"/>
      <c r="V3456" s="264"/>
      <c r="W3456" s="424"/>
      <c r="X3456" s="264" t="s">
        <v>1867</v>
      </c>
      <c r="Y3456" s="424"/>
      <c r="Z3456" s="424"/>
      <c r="AA3456" s="424"/>
      <c r="AB3456" s="424"/>
      <c r="AC3456" s="425">
        <f t="shared" si="585"/>
        <v>0</v>
      </c>
      <c r="AD3456" s="425">
        <f t="shared" si="586"/>
        <v>0</v>
      </c>
    </row>
    <row r="3457" spans="1:30" s="361" customFormat="1" x14ac:dyDescent="0.4">
      <c r="A3457" s="402"/>
      <c r="B3457" s="392"/>
      <c r="C3457" s="364" t="e">
        <f>VLOOKUP(B3457,'112年全品項生產鍋數'!A:H,2,0)</f>
        <v>#N/A</v>
      </c>
      <c r="D3457" s="404"/>
      <c r="E3457" s="48" t="e">
        <f>VLOOKUP(B3457,'112年全品項生產鍋數'!A:H,3,0)</f>
        <v>#N/A</v>
      </c>
      <c r="F3457" s="142" t="e">
        <f>VLOOKUP(B3457,'112年全品項生產鍋數'!A:H,7,0)</f>
        <v>#N/A</v>
      </c>
      <c r="G3457" s="143" t="e">
        <f t="shared" si="587"/>
        <v>#N/A</v>
      </c>
      <c r="H3457" s="156"/>
      <c r="I3457" s="371" t="e">
        <f t="shared" si="588"/>
        <v>#N/A</v>
      </c>
      <c r="J3457" s="100" t="e">
        <f t="shared" si="589"/>
        <v>#N/A</v>
      </c>
      <c r="K3457" s="51" t="e">
        <f>VLOOKUP(B:B,'生產達成率(目標)'!A:C,3,0)</f>
        <v>#N/A</v>
      </c>
      <c r="L3457" s="20" t="e">
        <f t="shared" si="590"/>
        <v>#N/A</v>
      </c>
      <c r="M3457" s="137"/>
      <c r="N3457" s="374"/>
      <c r="O3457" s="374">
        <f t="shared" si="591"/>
        <v>0</v>
      </c>
      <c r="P3457" s="156"/>
      <c r="Q3457" s="98" t="e">
        <f t="shared" si="592"/>
        <v>#DIV/0!</v>
      </c>
      <c r="R3457" s="371"/>
      <c r="S3457" s="372"/>
      <c r="T3457" s="364"/>
      <c r="U3457" s="264"/>
      <c r="V3457" s="264"/>
      <c r="W3457" s="424"/>
      <c r="X3457" s="264" t="s">
        <v>1867</v>
      </c>
      <c r="Y3457" s="424"/>
      <c r="Z3457" s="424"/>
      <c r="AA3457" s="424"/>
      <c r="AB3457" s="424"/>
      <c r="AC3457" s="425">
        <f t="shared" si="585"/>
        <v>0</v>
      </c>
      <c r="AD3457" s="425">
        <f t="shared" si="586"/>
        <v>0</v>
      </c>
    </row>
    <row r="3458" spans="1:30" s="361" customFormat="1" x14ac:dyDescent="0.4">
      <c r="A3458" s="402"/>
      <c r="B3458" s="392"/>
      <c r="C3458" s="364" t="e">
        <f>VLOOKUP(B3458,'112年全品項生產鍋數'!A:H,2,0)</f>
        <v>#N/A</v>
      </c>
      <c r="D3458" s="404"/>
      <c r="E3458" s="48" t="e">
        <f>VLOOKUP(B3458,'112年全品項生產鍋數'!A:H,3,0)</f>
        <v>#N/A</v>
      </c>
      <c r="F3458" s="142" t="e">
        <f>VLOOKUP(B3458,'112年全品項生產鍋數'!A:H,7,0)</f>
        <v>#N/A</v>
      </c>
      <c r="G3458" s="143" t="e">
        <f t="shared" si="587"/>
        <v>#N/A</v>
      </c>
      <c r="H3458" s="156"/>
      <c r="I3458" s="371" t="e">
        <f t="shared" si="588"/>
        <v>#N/A</v>
      </c>
      <c r="J3458" s="100" t="e">
        <f t="shared" si="589"/>
        <v>#N/A</v>
      </c>
      <c r="K3458" s="51" t="e">
        <f>VLOOKUP(B:B,'生產達成率(目標)'!A:C,3,0)</f>
        <v>#N/A</v>
      </c>
      <c r="L3458" s="20" t="e">
        <f t="shared" si="590"/>
        <v>#N/A</v>
      </c>
      <c r="M3458" s="137"/>
      <c r="N3458" s="374"/>
      <c r="O3458" s="374">
        <f t="shared" si="591"/>
        <v>0</v>
      </c>
      <c r="P3458" s="156"/>
      <c r="Q3458" s="98" t="e">
        <f t="shared" si="592"/>
        <v>#DIV/0!</v>
      </c>
      <c r="R3458" s="371"/>
      <c r="S3458" s="372"/>
      <c r="T3458" s="364"/>
      <c r="U3458" s="264"/>
      <c r="V3458" s="264"/>
      <c r="W3458" s="424"/>
      <c r="X3458" s="264" t="s">
        <v>1867</v>
      </c>
      <c r="Y3458" s="424"/>
      <c r="Z3458" s="424"/>
      <c r="AA3458" s="424"/>
      <c r="AB3458" s="424"/>
      <c r="AC3458" s="425">
        <f t="shared" si="585"/>
        <v>0</v>
      </c>
      <c r="AD3458" s="425">
        <f t="shared" si="586"/>
        <v>0</v>
      </c>
    </row>
    <row r="3459" spans="1:30" s="361" customFormat="1" x14ac:dyDescent="0.4">
      <c r="A3459" s="402"/>
      <c r="B3459" s="392"/>
      <c r="C3459" s="364" t="e">
        <f>VLOOKUP(B3459,'112年全品項生產鍋數'!A:H,2,0)</f>
        <v>#N/A</v>
      </c>
      <c r="D3459" s="404"/>
      <c r="E3459" s="48" t="e">
        <f>VLOOKUP(B3459,'112年全品項生產鍋數'!A:H,3,0)</f>
        <v>#N/A</v>
      </c>
      <c r="F3459" s="142" t="e">
        <f>VLOOKUP(B3459,'112年全品項生產鍋數'!A:H,7,0)</f>
        <v>#N/A</v>
      </c>
      <c r="G3459" s="143" t="e">
        <f t="shared" si="587"/>
        <v>#N/A</v>
      </c>
      <c r="H3459" s="156"/>
      <c r="I3459" s="371" t="e">
        <f t="shared" si="588"/>
        <v>#N/A</v>
      </c>
      <c r="J3459" s="100" t="e">
        <f t="shared" si="589"/>
        <v>#N/A</v>
      </c>
      <c r="K3459" s="51" t="e">
        <f>VLOOKUP(B:B,'生產達成率(目標)'!A:C,3,0)</f>
        <v>#N/A</v>
      </c>
      <c r="L3459" s="20" t="e">
        <f t="shared" si="590"/>
        <v>#N/A</v>
      </c>
      <c r="M3459" s="137"/>
      <c r="N3459" s="374"/>
      <c r="O3459" s="374">
        <f t="shared" si="591"/>
        <v>0</v>
      </c>
      <c r="P3459" s="156"/>
      <c r="Q3459" s="98" t="e">
        <f t="shared" si="592"/>
        <v>#DIV/0!</v>
      </c>
      <c r="R3459" s="371"/>
      <c r="S3459" s="372"/>
      <c r="T3459" s="364"/>
      <c r="U3459" s="264"/>
      <c r="V3459" s="264"/>
      <c r="W3459" s="424"/>
      <c r="X3459" s="264" t="s">
        <v>1867</v>
      </c>
      <c r="Y3459" s="424"/>
      <c r="Z3459" s="424"/>
      <c r="AA3459" s="424"/>
      <c r="AB3459" s="424"/>
      <c r="AC3459" s="425">
        <f t="shared" si="585"/>
        <v>0</v>
      </c>
      <c r="AD3459" s="425">
        <f t="shared" si="586"/>
        <v>0</v>
      </c>
    </row>
    <row r="3460" spans="1:30" s="361" customFormat="1" x14ac:dyDescent="0.4">
      <c r="A3460" s="402"/>
      <c r="B3460" s="392"/>
      <c r="C3460" s="364" t="e">
        <f>VLOOKUP(B3460,'112年全品項生產鍋數'!A:H,2,0)</f>
        <v>#N/A</v>
      </c>
      <c r="D3460" s="404"/>
      <c r="E3460" s="48" t="e">
        <f>VLOOKUP(B3460,'112年全品項生產鍋數'!A:H,3,0)</f>
        <v>#N/A</v>
      </c>
      <c r="F3460" s="142" t="e">
        <f>VLOOKUP(B3460,'112年全品項生產鍋數'!A:H,7,0)</f>
        <v>#N/A</v>
      </c>
      <c r="G3460" s="143" t="e">
        <f t="shared" si="587"/>
        <v>#N/A</v>
      </c>
      <c r="H3460" s="156"/>
      <c r="I3460" s="371" t="e">
        <f t="shared" si="588"/>
        <v>#N/A</v>
      </c>
      <c r="J3460" s="100" t="e">
        <f t="shared" si="589"/>
        <v>#N/A</v>
      </c>
      <c r="K3460" s="51" t="e">
        <f>VLOOKUP(B:B,'生產達成率(目標)'!A:C,3,0)</f>
        <v>#N/A</v>
      </c>
      <c r="L3460" s="20" t="e">
        <f t="shared" si="590"/>
        <v>#N/A</v>
      </c>
      <c r="M3460" s="137"/>
      <c r="N3460" s="374"/>
      <c r="O3460" s="374">
        <f t="shared" si="591"/>
        <v>0</v>
      </c>
      <c r="P3460" s="156"/>
      <c r="Q3460" s="98" t="e">
        <f t="shared" si="592"/>
        <v>#DIV/0!</v>
      </c>
      <c r="R3460" s="371"/>
      <c r="S3460" s="372"/>
      <c r="T3460" s="364"/>
      <c r="U3460" s="264"/>
      <c r="V3460" s="264"/>
      <c r="W3460" s="424"/>
      <c r="X3460" s="264" t="s">
        <v>1867</v>
      </c>
      <c r="Y3460" s="424"/>
      <c r="Z3460" s="424"/>
      <c r="AA3460" s="424"/>
      <c r="AB3460" s="424"/>
      <c r="AC3460" s="425">
        <f t="shared" si="585"/>
        <v>0</v>
      </c>
      <c r="AD3460" s="425">
        <f t="shared" si="586"/>
        <v>0</v>
      </c>
    </row>
    <row r="3461" spans="1:30" s="361" customFormat="1" x14ac:dyDescent="0.4">
      <c r="A3461" s="402"/>
      <c r="B3461" s="392"/>
      <c r="C3461" s="364" t="e">
        <f>VLOOKUP(B3461,'112年全品項生產鍋數'!A:H,2,0)</f>
        <v>#N/A</v>
      </c>
      <c r="D3461" s="404"/>
      <c r="E3461" s="48" t="e">
        <f>VLOOKUP(B3461,'112年全品項生產鍋數'!A:H,3,0)</f>
        <v>#N/A</v>
      </c>
      <c r="F3461" s="142" t="e">
        <f>VLOOKUP(B3461,'112年全品項生產鍋數'!A:H,7,0)</f>
        <v>#N/A</v>
      </c>
      <c r="G3461" s="143" t="e">
        <f t="shared" si="587"/>
        <v>#N/A</v>
      </c>
      <c r="H3461" s="156"/>
      <c r="I3461" s="371" t="e">
        <f t="shared" si="588"/>
        <v>#N/A</v>
      </c>
      <c r="J3461" s="100" t="e">
        <f t="shared" si="589"/>
        <v>#N/A</v>
      </c>
      <c r="K3461" s="51" t="e">
        <f>VLOOKUP(B:B,'生產達成率(目標)'!A:C,3,0)</f>
        <v>#N/A</v>
      </c>
      <c r="L3461" s="20" t="e">
        <f t="shared" si="590"/>
        <v>#N/A</v>
      </c>
      <c r="M3461" s="137"/>
      <c r="N3461" s="374"/>
      <c r="O3461" s="374">
        <f t="shared" si="591"/>
        <v>0</v>
      </c>
      <c r="P3461" s="156"/>
      <c r="Q3461" s="98" t="e">
        <f t="shared" si="592"/>
        <v>#DIV/0!</v>
      </c>
      <c r="R3461" s="371"/>
      <c r="S3461" s="372"/>
      <c r="T3461" s="364"/>
      <c r="U3461" s="264"/>
      <c r="V3461" s="264"/>
      <c r="W3461" s="424"/>
      <c r="X3461" s="264" t="s">
        <v>1867</v>
      </c>
      <c r="Y3461" s="424"/>
      <c r="Z3461" s="424"/>
      <c r="AA3461" s="424"/>
      <c r="AB3461" s="424"/>
      <c r="AC3461" s="425">
        <f t="shared" si="585"/>
        <v>0</v>
      </c>
      <c r="AD3461" s="425">
        <f t="shared" si="586"/>
        <v>0</v>
      </c>
    </row>
    <row r="3462" spans="1:30" s="361" customFormat="1" x14ac:dyDescent="0.4">
      <c r="A3462" s="402"/>
      <c r="B3462" s="392"/>
      <c r="C3462" s="364" t="e">
        <f>VLOOKUP(B3462,'112年全品項生產鍋數'!A:H,2,0)</f>
        <v>#N/A</v>
      </c>
      <c r="D3462" s="404"/>
      <c r="E3462" s="48" t="e">
        <f>VLOOKUP(B3462,'112年全品項生產鍋數'!A:H,3,0)</f>
        <v>#N/A</v>
      </c>
      <c r="F3462" s="142" t="e">
        <f>VLOOKUP(B3462,'112年全品項生產鍋數'!A:H,7,0)</f>
        <v>#N/A</v>
      </c>
      <c r="G3462" s="143" t="e">
        <f t="shared" si="587"/>
        <v>#N/A</v>
      </c>
      <c r="H3462" s="156"/>
      <c r="I3462" s="371" t="e">
        <f t="shared" si="588"/>
        <v>#N/A</v>
      </c>
      <c r="J3462" s="100" t="e">
        <f t="shared" si="589"/>
        <v>#N/A</v>
      </c>
      <c r="K3462" s="51" t="e">
        <f>VLOOKUP(B:B,'生產達成率(目標)'!A:C,3,0)</f>
        <v>#N/A</v>
      </c>
      <c r="L3462" s="20" t="e">
        <f t="shared" si="590"/>
        <v>#N/A</v>
      </c>
      <c r="M3462" s="137"/>
      <c r="N3462" s="374"/>
      <c r="O3462" s="374">
        <f t="shared" si="591"/>
        <v>0</v>
      </c>
      <c r="P3462" s="156"/>
      <c r="Q3462" s="98" t="e">
        <f t="shared" si="592"/>
        <v>#DIV/0!</v>
      </c>
      <c r="R3462" s="371"/>
      <c r="S3462" s="372"/>
      <c r="T3462" s="364"/>
      <c r="U3462" s="264"/>
      <c r="V3462" s="264"/>
      <c r="W3462" s="424"/>
      <c r="X3462" s="264" t="s">
        <v>1867</v>
      </c>
      <c r="Y3462" s="424"/>
      <c r="Z3462" s="424"/>
      <c r="AA3462" s="424"/>
      <c r="AB3462" s="424"/>
      <c r="AC3462" s="425">
        <f t="shared" si="585"/>
        <v>0</v>
      </c>
      <c r="AD3462" s="425">
        <f t="shared" si="586"/>
        <v>0</v>
      </c>
    </row>
    <row r="3463" spans="1:30" s="361" customFormat="1" x14ac:dyDescent="0.4">
      <c r="A3463" s="402"/>
      <c r="B3463" s="392"/>
      <c r="C3463" s="364" t="e">
        <f>VLOOKUP(B3463,'112年全品項生產鍋數'!A:H,2,0)</f>
        <v>#N/A</v>
      </c>
      <c r="D3463" s="404"/>
      <c r="E3463" s="48" t="e">
        <f>VLOOKUP(B3463,'112年全品項生產鍋數'!A:H,3,0)</f>
        <v>#N/A</v>
      </c>
      <c r="F3463" s="142" t="e">
        <f>VLOOKUP(B3463,'112年全品項生產鍋數'!A:H,7,0)</f>
        <v>#N/A</v>
      </c>
      <c r="G3463" s="143" t="e">
        <f t="shared" si="587"/>
        <v>#N/A</v>
      </c>
      <c r="H3463" s="156"/>
      <c r="I3463" s="371" t="e">
        <f t="shared" si="588"/>
        <v>#N/A</v>
      </c>
      <c r="J3463" s="100" t="e">
        <f t="shared" si="589"/>
        <v>#N/A</v>
      </c>
      <c r="K3463" s="51" t="e">
        <f>VLOOKUP(B:B,'生產達成率(目標)'!A:C,3,0)</f>
        <v>#N/A</v>
      </c>
      <c r="L3463" s="20" t="e">
        <f t="shared" si="590"/>
        <v>#N/A</v>
      </c>
      <c r="M3463" s="137"/>
      <c r="N3463" s="374"/>
      <c r="O3463" s="374">
        <f t="shared" si="591"/>
        <v>0</v>
      </c>
      <c r="P3463" s="156"/>
      <c r="Q3463" s="98" t="e">
        <f t="shared" si="592"/>
        <v>#DIV/0!</v>
      </c>
      <c r="R3463" s="371"/>
      <c r="S3463" s="372"/>
      <c r="T3463" s="364"/>
      <c r="U3463" s="264"/>
      <c r="V3463" s="264"/>
      <c r="W3463" s="424"/>
      <c r="X3463" s="264" t="s">
        <v>1867</v>
      </c>
      <c r="Y3463" s="424"/>
      <c r="Z3463" s="424"/>
      <c r="AA3463" s="424"/>
      <c r="AB3463" s="424"/>
      <c r="AC3463" s="425">
        <f t="shared" si="585"/>
        <v>0</v>
      </c>
      <c r="AD3463" s="425">
        <f t="shared" si="586"/>
        <v>0</v>
      </c>
    </row>
    <row r="3464" spans="1:30" s="361" customFormat="1" x14ac:dyDescent="0.4">
      <c r="A3464" s="402"/>
      <c r="B3464" s="392"/>
      <c r="C3464" s="364" t="e">
        <f>VLOOKUP(B3464,'112年全品項生產鍋數'!A:H,2,0)</f>
        <v>#N/A</v>
      </c>
      <c r="D3464" s="404"/>
      <c r="E3464" s="48" t="e">
        <f>VLOOKUP(B3464,'112年全品項生產鍋數'!A:H,3,0)</f>
        <v>#N/A</v>
      </c>
      <c r="F3464" s="142" t="e">
        <f>VLOOKUP(B3464,'112年全品項生產鍋數'!A:H,7,0)</f>
        <v>#N/A</v>
      </c>
      <c r="G3464" s="143" t="e">
        <f t="shared" si="587"/>
        <v>#N/A</v>
      </c>
      <c r="H3464" s="156"/>
      <c r="I3464" s="371" t="e">
        <f t="shared" si="588"/>
        <v>#N/A</v>
      </c>
      <c r="J3464" s="100" t="e">
        <f t="shared" si="589"/>
        <v>#N/A</v>
      </c>
      <c r="K3464" s="51" t="e">
        <f>VLOOKUP(B:B,'生產達成率(目標)'!A:C,3,0)</f>
        <v>#N/A</v>
      </c>
      <c r="L3464" s="20" t="e">
        <f t="shared" si="590"/>
        <v>#N/A</v>
      </c>
      <c r="M3464" s="137"/>
      <c r="N3464" s="374"/>
      <c r="O3464" s="374">
        <f t="shared" si="591"/>
        <v>0</v>
      </c>
      <c r="P3464" s="156"/>
      <c r="Q3464" s="98" t="e">
        <f t="shared" si="592"/>
        <v>#DIV/0!</v>
      </c>
      <c r="R3464" s="371"/>
      <c r="S3464" s="372"/>
      <c r="T3464" s="364"/>
      <c r="U3464" s="264"/>
      <c r="V3464" s="264"/>
      <c r="W3464" s="424"/>
      <c r="X3464" s="264" t="s">
        <v>1867</v>
      </c>
      <c r="Y3464" s="424"/>
      <c r="Z3464" s="424"/>
      <c r="AA3464" s="424"/>
      <c r="AB3464" s="424"/>
      <c r="AC3464" s="425">
        <f t="shared" si="585"/>
        <v>0</v>
      </c>
      <c r="AD3464" s="425">
        <f t="shared" si="586"/>
        <v>0</v>
      </c>
    </row>
    <row r="3465" spans="1:30" s="361" customFormat="1" x14ac:dyDescent="0.4">
      <c r="A3465" s="402"/>
      <c r="B3465" s="392"/>
      <c r="C3465" s="364" t="e">
        <f>VLOOKUP(B3465,'112年全品項生產鍋數'!A:H,2,0)</f>
        <v>#N/A</v>
      </c>
      <c r="D3465" s="404"/>
      <c r="E3465" s="48" t="e">
        <f>VLOOKUP(B3465,'112年全品項生產鍋數'!A:H,3,0)</f>
        <v>#N/A</v>
      </c>
      <c r="F3465" s="142" t="e">
        <f>VLOOKUP(B3465,'112年全品項生產鍋數'!A:H,7,0)</f>
        <v>#N/A</v>
      </c>
      <c r="G3465" s="143" t="e">
        <f t="shared" si="587"/>
        <v>#N/A</v>
      </c>
      <c r="H3465" s="156"/>
      <c r="I3465" s="371" t="e">
        <f t="shared" si="588"/>
        <v>#N/A</v>
      </c>
      <c r="J3465" s="100" t="e">
        <f t="shared" si="589"/>
        <v>#N/A</v>
      </c>
      <c r="K3465" s="51" t="e">
        <f>VLOOKUP(B:B,'生產達成率(目標)'!A:C,3,0)</f>
        <v>#N/A</v>
      </c>
      <c r="L3465" s="20" t="e">
        <f t="shared" si="590"/>
        <v>#N/A</v>
      </c>
      <c r="M3465" s="137"/>
      <c r="N3465" s="374"/>
      <c r="O3465" s="374">
        <f t="shared" si="591"/>
        <v>0</v>
      </c>
      <c r="P3465" s="156"/>
      <c r="Q3465" s="98" t="e">
        <f t="shared" si="592"/>
        <v>#DIV/0!</v>
      </c>
      <c r="R3465" s="371"/>
      <c r="S3465" s="372"/>
      <c r="T3465" s="364"/>
      <c r="U3465" s="264"/>
      <c r="V3465" s="264"/>
      <c r="W3465" s="424"/>
      <c r="X3465" s="264" t="s">
        <v>1867</v>
      </c>
      <c r="Y3465" s="424"/>
      <c r="Z3465" s="424"/>
      <c r="AA3465" s="424"/>
      <c r="AB3465" s="424"/>
      <c r="AC3465" s="425">
        <f t="shared" si="585"/>
        <v>0</v>
      </c>
      <c r="AD3465" s="425">
        <f t="shared" si="586"/>
        <v>0</v>
      </c>
    </row>
    <row r="3466" spans="1:30" s="361" customFormat="1" x14ac:dyDescent="0.4">
      <c r="A3466" s="402"/>
      <c r="B3466" s="392"/>
      <c r="C3466" s="364" t="e">
        <f>VLOOKUP(B3466,'112年全品項生產鍋數'!A:H,2,0)</f>
        <v>#N/A</v>
      </c>
      <c r="D3466" s="404"/>
      <c r="E3466" s="48" t="e">
        <f>VLOOKUP(B3466,'112年全品項生產鍋數'!A:H,3,0)</f>
        <v>#N/A</v>
      </c>
      <c r="F3466" s="142" t="e">
        <f>VLOOKUP(B3466,'112年全品項生產鍋數'!A:H,7,0)</f>
        <v>#N/A</v>
      </c>
      <c r="G3466" s="143" t="e">
        <f t="shared" si="587"/>
        <v>#N/A</v>
      </c>
      <c r="H3466" s="156"/>
      <c r="I3466" s="371" t="e">
        <f t="shared" si="588"/>
        <v>#N/A</v>
      </c>
      <c r="J3466" s="100" t="e">
        <f t="shared" si="589"/>
        <v>#N/A</v>
      </c>
      <c r="K3466" s="51" t="e">
        <f>VLOOKUP(B:B,'生產達成率(目標)'!A:C,3,0)</f>
        <v>#N/A</v>
      </c>
      <c r="L3466" s="20" t="e">
        <f t="shared" si="590"/>
        <v>#N/A</v>
      </c>
      <c r="M3466" s="137"/>
      <c r="N3466" s="374"/>
      <c r="O3466" s="374">
        <f t="shared" si="591"/>
        <v>0</v>
      </c>
      <c r="P3466" s="156"/>
      <c r="Q3466" s="98" t="e">
        <f t="shared" si="592"/>
        <v>#DIV/0!</v>
      </c>
      <c r="R3466" s="371"/>
      <c r="S3466" s="372"/>
      <c r="T3466" s="364"/>
      <c r="U3466" s="264"/>
      <c r="V3466" s="264"/>
      <c r="W3466" s="424"/>
      <c r="X3466" s="264" t="s">
        <v>1867</v>
      </c>
      <c r="Y3466" s="424"/>
      <c r="Z3466" s="424"/>
      <c r="AA3466" s="424"/>
      <c r="AB3466" s="424"/>
      <c r="AC3466" s="425">
        <f t="shared" si="585"/>
        <v>0</v>
      </c>
      <c r="AD3466" s="425">
        <f t="shared" si="586"/>
        <v>0</v>
      </c>
    </row>
    <row r="3467" spans="1:30" s="361" customFormat="1" x14ac:dyDescent="0.4">
      <c r="A3467" s="402"/>
      <c r="B3467" s="392"/>
      <c r="C3467" s="364" t="e">
        <f>VLOOKUP(B3467,'112年全品項生產鍋數'!A:H,2,0)</f>
        <v>#N/A</v>
      </c>
      <c r="D3467" s="404"/>
      <c r="E3467" s="48" t="e">
        <f>VLOOKUP(B3467,'112年全品項生產鍋數'!A:H,3,0)</f>
        <v>#N/A</v>
      </c>
      <c r="F3467" s="142" t="e">
        <f>VLOOKUP(B3467,'112年全品項生產鍋數'!A:H,7,0)</f>
        <v>#N/A</v>
      </c>
      <c r="G3467" s="143" t="e">
        <f t="shared" si="587"/>
        <v>#N/A</v>
      </c>
      <c r="H3467" s="156"/>
      <c r="I3467" s="371" t="e">
        <f t="shared" si="588"/>
        <v>#N/A</v>
      </c>
      <c r="J3467" s="100" t="e">
        <f t="shared" si="589"/>
        <v>#N/A</v>
      </c>
      <c r="K3467" s="51" t="e">
        <f>VLOOKUP(B:B,'生產達成率(目標)'!A:C,3,0)</f>
        <v>#N/A</v>
      </c>
      <c r="L3467" s="20" t="e">
        <f t="shared" si="590"/>
        <v>#N/A</v>
      </c>
      <c r="M3467" s="137"/>
      <c r="N3467" s="374"/>
      <c r="O3467" s="374">
        <f t="shared" si="591"/>
        <v>0</v>
      </c>
      <c r="P3467" s="156"/>
      <c r="Q3467" s="98" t="e">
        <f t="shared" si="592"/>
        <v>#DIV/0!</v>
      </c>
      <c r="R3467" s="371"/>
      <c r="S3467" s="372"/>
      <c r="T3467" s="364"/>
      <c r="U3467" s="264"/>
      <c r="V3467" s="264"/>
      <c r="W3467" s="424"/>
      <c r="X3467" s="264" t="s">
        <v>1867</v>
      </c>
      <c r="Y3467" s="424"/>
      <c r="Z3467" s="424"/>
      <c r="AA3467" s="424"/>
      <c r="AB3467" s="424"/>
      <c r="AC3467" s="425">
        <f t="shared" si="585"/>
        <v>0</v>
      </c>
      <c r="AD3467" s="425">
        <f t="shared" si="586"/>
        <v>0</v>
      </c>
    </row>
    <row r="3468" spans="1:30" s="361" customFormat="1" x14ac:dyDescent="0.4">
      <c r="A3468" s="402"/>
      <c r="B3468" s="392"/>
      <c r="C3468" s="364" t="e">
        <f>VLOOKUP(B3468,'112年全品項生產鍋數'!A:H,2,0)</f>
        <v>#N/A</v>
      </c>
      <c r="D3468" s="404"/>
      <c r="E3468" s="48" t="e">
        <f>VLOOKUP(B3468,'112年全品項生產鍋數'!A:H,3,0)</f>
        <v>#N/A</v>
      </c>
      <c r="F3468" s="142" t="e">
        <f>VLOOKUP(B3468,'112年全品項生產鍋數'!A:H,7,0)</f>
        <v>#N/A</v>
      </c>
      <c r="G3468" s="143" t="e">
        <f t="shared" si="587"/>
        <v>#N/A</v>
      </c>
      <c r="H3468" s="156"/>
      <c r="I3468" s="371" t="e">
        <f t="shared" si="588"/>
        <v>#N/A</v>
      </c>
      <c r="J3468" s="100" t="e">
        <f t="shared" si="589"/>
        <v>#N/A</v>
      </c>
      <c r="K3468" s="51" t="e">
        <f>VLOOKUP(B:B,'生產達成率(目標)'!A:C,3,0)</f>
        <v>#N/A</v>
      </c>
      <c r="L3468" s="20" t="e">
        <f t="shared" si="590"/>
        <v>#N/A</v>
      </c>
      <c r="M3468" s="137"/>
      <c r="N3468" s="374"/>
      <c r="O3468" s="374">
        <f t="shared" si="591"/>
        <v>0</v>
      </c>
      <c r="P3468" s="156"/>
      <c r="Q3468" s="98" t="e">
        <f t="shared" si="592"/>
        <v>#DIV/0!</v>
      </c>
      <c r="R3468" s="371"/>
      <c r="S3468" s="372"/>
      <c r="T3468" s="364"/>
      <c r="U3468" s="264"/>
      <c r="V3468" s="264"/>
      <c r="W3468" s="424"/>
      <c r="X3468" s="264" t="s">
        <v>1867</v>
      </c>
      <c r="Y3468" s="424"/>
      <c r="Z3468" s="424"/>
      <c r="AA3468" s="424"/>
      <c r="AB3468" s="424"/>
      <c r="AC3468" s="425">
        <f t="shared" si="585"/>
        <v>0</v>
      </c>
      <c r="AD3468" s="425">
        <f t="shared" si="586"/>
        <v>0</v>
      </c>
    </row>
    <row r="3469" spans="1:30" s="361" customFormat="1" x14ac:dyDescent="0.4">
      <c r="A3469" s="402"/>
      <c r="B3469" s="392"/>
      <c r="C3469" s="364" t="e">
        <f>VLOOKUP(B3469,'112年全品項生產鍋數'!A:H,2,0)</f>
        <v>#N/A</v>
      </c>
      <c r="D3469" s="404"/>
      <c r="E3469" s="48" t="e">
        <f>VLOOKUP(B3469,'112年全品項生產鍋數'!A:H,3,0)</f>
        <v>#N/A</v>
      </c>
      <c r="F3469" s="142" t="e">
        <f>VLOOKUP(B3469,'112年全品項生產鍋數'!A:H,7,0)</f>
        <v>#N/A</v>
      </c>
      <c r="G3469" s="143" t="e">
        <f t="shared" si="587"/>
        <v>#N/A</v>
      </c>
      <c r="H3469" s="156"/>
      <c r="I3469" s="371" t="e">
        <f t="shared" si="588"/>
        <v>#N/A</v>
      </c>
      <c r="J3469" s="100" t="e">
        <f t="shared" si="589"/>
        <v>#N/A</v>
      </c>
      <c r="K3469" s="51" t="e">
        <f>VLOOKUP(B:B,'生產達成率(目標)'!A:C,3,0)</f>
        <v>#N/A</v>
      </c>
      <c r="L3469" s="20" t="e">
        <f t="shared" si="590"/>
        <v>#N/A</v>
      </c>
      <c r="M3469" s="137"/>
      <c r="N3469" s="374"/>
      <c r="O3469" s="374">
        <f t="shared" si="591"/>
        <v>0</v>
      </c>
      <c r="P3469" s="156"/>
      <c r="Q3469" s="98" t="e">
        <f t="shared" si="592"/>
        <v>#DIV/0!</v>
      </c>
      <c r="R3469" s="371"/>
      <c r="S3469" s="372"/>
      <c r="T3469" s="364"/>
      <c r="U3469" s="264"/>
      <c r="V3469" s="264"/>
      <c r="W3469" s="424"/>
      <c r="X3469" s="264" t="s">
        <v>1867</v>
      </c>
      <c r="Y3469" s="424"/>
      <c r="Z3469" s="424"/>
      <c r="AA3469" s="424"/>
      <c r="AB3469" s="424"/>
      <c r="AC3469" s="425">
        <f t="shared" si="585"/>
        <v>0</v>
      </c>
      <c r="AD3469" s="425">
        <f t="shared" si="586"/>
        <v>0</v>
      </c>
    </row>
    <row r="3470" spans="1:30" s="361" customFormat="1" x14ac:dyDescent="0.4">
      <c r="A3470" s="402"/>
      <c r="B3470" s="392"/>
      <c r="C3470" s="364" t="e">
        <f>VLOOKUP(B3470,'112年全品項生產鍋數'!A:H,2,0)</f>
        <v>#N/A</v>
      </c>
      <c r="D3470" s="404"/>
      <c r="E3470" s="48" t="e">
        <f>VLOOKUP(B3470,'112年全品項生產鍋數'!A:H,3,0)</f>
        <v>#N/A</v>
      </c>
      <c r="F3470" s="142" t="e">
        <f>VLOOKUP(B3470,'112年全品項生產鍋數'!A:H,7,0)</f>
        <v>#N/A</v>
      </c>
      <c r="G3470" s="143" t="e">
        <f t="shared" si="587"/>
        <v>#N/A</v>
      </c>
      <c r="H3470" s="156"/>
      <c r="I3470" s="371" t="e">
        <f t="shared" si="588"/>
        <v>#N/A</v>
      </c>
      <c r="J3470" s="100" t="e">
        <f t="shared" si="589"/>
        <v>#N/A</v>
      </c>
      <c r="K3470" s="51" t="e">
        <f>VLOOKUP(B:B,'生產達成率(目標)'!A:C,3,0)</f>
        <v>#N/A</v>
      </c>
      <c r="L3470" s="20" t="e">
        <f t="shared" si="590"/>
        <v>#N/A</v>
      </c>
      <c r="M3470" s="137"/>
      <c r="N3470" s="374"/>
      <c r="O3470" s="374">
        <f t="shared" si="591"/>
        <v>0</v>
      </c>
      <c r="P3470" s="156"/>
      <c r="Q3470" s="98" t="e">
        <f t="shared" si="592"/>
        <v>#DIV/0!</v>
      </c>
      <c r="R3470" s="371"/>
      <c r="S3470" s="372"/>
      <c r="T3470" s="364"/>
      <c r="U3470" s="264"/>
      <c r="V3470" s="264"/>
      <c r="W3470" s="424"/>
      <c r="X3470" s="264" t="s">
        <v>1867</v>
      </c>
      <c r="Y3470" s="424"/>
      <c r="Z3470" s="424"/>
      <c r="AA3470" s="424"/>
      <c r="AB3470" s="424"/>
      <c r="AC3470" s="425">
        <f t="shared" si="585"/>
        <v>0</v>
      </c>
      <c r="AD3470" s="425">
        <f t="shared" si="586"/>
        <v>0</v>
      </c>
    </row>
    <row r="3471" spans="1:30" s="361" customFormat="1" x14ac:dyDescent="0.4">
      <c r="A3471" s="402"/>
      <c r="B3471" s="392"/>
      <c r="C3471" s="364" t="e">
        <f>VLOOKUP(B3471,'112年全品項生產鍋數'!A:H,2,0)</f>
        <v>#N/A</v>
      </c>
      <c r="D3471" s="404"/>
      <c r="E3471" s="48" t="e">
        <f>VLOOKUP(B3471,'112年全品項生產鍋數'!A:H,3,0)</f>
        <v>#N/A</v>
      </c>
      <c r="F3471" s="142" t="e">
        <f>VLOOKUP(B3471,'112年全品項生產鍋數'!A:H,7,0)</f>
        <v>#N/A</v>
      </c>
      <c r="G3471" s="143" t="e">
        <f t="shared" si="587"/>
        <v>#N/A</v>
      </c>
      <c r="H3471" s="156"/>
      <c r="I3471" s="371" t="e">
        <f t="shared" si="588"/>
        <v>#N/A</v>
      </c>
      <c r="J3471" s="100" t="e">
        <f t="shared" si="589"/>
        <v>#N/A</v>
      </c>
      <c r="K3471" s="51" t="e">
        <f>VLOOKUP(B:B,'生產達成率(目標)'!A:C,3,0)</f>
        <v>#N/A</v>
      </c>
      <c r="L3471" s="20" t="e">
        <f t="shared" si="590"/>
        <v>#N/A</v>
      </c>
      <c r="M3471" s="137"/>
      <c r="N3471" s="374"/>
      <c r="O3471" s="374">
        <f t="shared" si="591"/>
        <v>0</v>
      </c>
      <c r="P3471" s="156"/>
      <c r="Q3471" s="98" t="e">
        <f t="shared" si="592"/>
        <v>#DIV/0!</v>
      </c>
      <c r="R3471" s="371"/>
      <c r="S3471" s="372"/>
      <c r="T3471" s="364"/>
      <c r="U3471" s="264"/>
      <c r="V3471" s="264"/>
      <c r="W3471" s="424"/>
      <c r="X3471" s="264" t="s">
        <v>1867</v>
      </c>
      <c r="Y3471" s="424"/>
      <c r="Z3471" s="424"/>
      <c r="AA3471" s="424"/>
      <c r="AB3471" s="424"/>
      <c r="AC3471" s="425">
        <f t="shared" si="585"/>
        <v>0</v>
      </c>
      <c r="AD3471" s="425">
        <f t="shared" si="586"/>
        <v>0</v>
      </c>
    </row>
    <row r="3472" spans="1:30" s="361" customFormat="1" x14ac:dyDescent="0.4">
      <c r="A3472" s="402"/>
      <c r="B3472" s="392"/>
      <c r="C3472" s="364" t="e">
        <f>VLOOKUP(B3472,'112年全品項生產鍋數'!A:H,2,0)</f>
        <v>#N/A</v>
      </c>
      <c r="D3472" s="404"/>
      <c r="E3472" s="48" t="e">
        <f>VLOOKUP(B3472,'112年全品項生產鍋數'!A:H,3,0)</f>
        <v>#N/A</v>
      </c>
      <c r="F3472" s="142" t="e">
        <f>VLOOKUP(B3472,'112年全品項生產鍋數'!A:H,7,0)</f>
        <v>#N/A</v>
      </c>
      <c r="G3472" s="143" t="e">
        <f t="shared" si="587"/>
        <v>#N/A</v>
      </c>
      <c r="H3472" s="156"/>
      <c r="I3472" s="371" t="e">
        <f t="shared" si="588"/>
        <v>#N/A</v>
      </c>
      <c r="J3472" s="100" t="e">
        <f t="shared" si="589"/>
        <v>#N/A</v>
      </c>
      <c r="K3472" s="51" t="e">
        <f>VLOOKUP(B:B,'生產達成率(目標)'!A:C,3,0)</f>
        <v>#N/A</v>
      </c>
      <c r="L3472" s="20" t="e">
        <f t="shared" si="590"/>
        <v>#N/A</v>
      </c>
      <c r="M3472" s="137"/>
      <c r="N3472" s="374"/>
      <c r="O3472" s="374">
        <f t="shared" si="591"/>
        <v>0</v>
      </c>
      <c r="P3472" s="156"/>
      <c r="Q3472" s="98" t="e">
        <f t="shared" si="592"/>
        <v>#DIV/0!</v>
      </c>
      <c r="R3472" s="371"/>
      <c r="S3472" s="372"/>
      <c r="T3472" s="364"/>
      <c r="U3472" s="264"/>
      <c r="V3472" s="264"/>
      <c r="W3472" s="424"/>
      <c r="X3472" s="264" t="s">
        <v>1867</v>
      </c>
      <c r="Y3472" s="424"/>
      <c r="Z3472" s="424"/>
      <c r="AA3472" s="424"/>
      <c r="AB3472" s="424"/>
      <c r="AC3472" s="425">
        <f t="shared" si="585"/>
        <v>0</v>
      </c>
      <c r="AD3472" s="425">
        <f t="shared" si="586"/>
        <v>0</v>
      </c>
    </row>
    <row r="3473" spans="1:30" s="361" customFormat="1" x14ac:dyDescent="0.4">
      <c r="A3473" s="402"/>
      <c r="B3473" s="392"/>
      <c r="C3473" s="364" t="e">
        <f>VLOOKUP(B3473,'112年全品項生產鍋數'!A:H,2,0)</f>
        <v>#N/A</v>
      </c>
      <c r="D3473" s="404"/>
      <c r="E3473" s="48" t="e">
        <f>VLOOKUP(B3473,'112年全品項生產鍋數'!A:H,3,0)</f>
        <v>#N/A</v>
      </c>
      <c r="F3473" s="142" t="e">
        <f>VLOOKUP(B3473,'112年全品項生產鍋數'!A:H,7,0)</f>
        <v>#N/A</v>
      </c>
      <c r="G3473" s="143" t="e">
        <f t="shared" si="587"/>
        <v>#N/A</v>
      </c>
      <c r="H3473" s="156"/>
      <c r="I3473" s="371" t="e">
        <f t="shared" si="588"/>
        <v>#N/A</v>
      </c>
      <c r="J3473" s="100" t="e">
        <f t="shared" si="589"/>
        <v>#N/A</v>
      </c>
      <c r="K3473" s="51" t="e">
        <f>VLOOKUP(B:B,'生產達成率(目標)'!A:C,3,0)</f>
        <v>#N/A</v>
      </c>
      <c r="L3473" s="20" t="e">
        <f t="shared" si="590"/>
        <v>#N/A</v>
      </c>
      <c r="M3473" s="137"/>
      <c r="N3473" s="374"/>
      <c r="O3473" s="374">
        <f t="shared" si="591"/>
        <v>0</v>
      </c>
      <c r="P3473" s="156"/>
      <c r="Q3473" s="98" t="e">
        <f t="shared" si="592"/>
        <v>#DIV/0!</v>
      </c>
      <c r="R3473" s="371"/>
      <c r="S3473" s="372"/>
      <c r="T3473" s="364"/>
      <c r="U3473" s="264"/>
      <c r="V3473" s="264"/>
      <c r="W3473" s="424"/>
      <c r="X3473" s="264" t="s">
        <v>1867</v>
      </c>
      <c r="Y3473" s="424"/>
      <c r="Z3473" s="424"/>
      <c r="AA3473" s="424"/>
      <c r="AB3473" s="424"/>
      <c r="AC3473" s="425">
        <f t="shared" si="585"/>
        <v>0</v>
      </c>
      <c r="AD3473" s="425">
        <f t="shared" si="586"/>
        <v>0</v>
      </c>
    </row>
    <row r="3474" spans="1:30" s="361" customFormat="1" x14ac:dyDescent="0.4">
      <c r="A3474" s="402"/>
      <c r="B3474" s="392"/>
      <c r="C3474" s="364" t="e">
        <f>VLOOKUP(B3474,'112年全品項生產鍋數'!A:H,2,0)</f>
        <v>#N/A</v>
      </c>
      <c r="D3474" s="404"/>
      <c r="E3474" s="48" t="e">
        <f>VLOOKUP(B3474,'112年全品項生產鍋數'!A:H,3,0)</f>
        <v>#N/A</v>
      </c>
      <c r="F3474" s="142" t="e">
        <f>VLOOKUP(B3474,'112年全品項生產鍋數'!A:H,7,0)</f>
        <v>#N/A</v>
      </c>
      <c r="G3474" s="143" t="e">
        <f t="shared" si="587"/>
        <v>#N/A</v>
      </c>
      <c r="H3474" s="156"/>
      <c r="I3474" s="371" t="e">
        <f t="shared" si="588"/>
        <v>#N/A</v>
      </c>
      <c r="J3474" s="100" t="e">
        <f t="shared" si="589"/>
        <v>#N/A</v>
      </c>
      <c r="K3474" s="51" t="e">
        <f>VLOOKUP(B:B,'生產達成率(目標)'!A:C,3,0)</f>
        <v>#N/A</v>
      </c>
      <c r="L3474" s="20" t="e">
        <f t="shared" si="590"/>
        <v>#N/A</v>
      </c>
      <c r="M3474" s="137"/>
      <c r="N3474" s="374"/>
      <c r="O3474" s="374">
        <f t="shared" si="591"/>
        <v>0</v>
      </c>
      <c r="P3474" s="156"/>
      <c r="Q3474" s="98" t="e">
        <f t="shared" si="592"/>
        <v>#DIV/0!</v>
      </c>
      <c r="R3474" s="371"/>
      <c r="S3474" s="372"/>
      <c r="T3474" s="364"/>
      <c r="U3474" s="264"/>
      <c r="V3474" s="264"/>
      <c r="W3474" s="424"/>
      <c r="X3474" s="264" t="s">
        <v>1867</v>
      </c>
      <c r="Y3474" s="424"/>
      <c r="Z3474" s="424"/>
      <c r="AA3474" s="424"/>
      <c r="AB3474" s="424"/>
      <c r="AC3474" s="425">
        <f t="shared" si="585"/>
        <v>0</v>
      </c>
      <c r="AD3474" s="425">
        <f t="shared" si="586"/>
        <v>0</v>
      </c>
    </row>
    <row r="3475" spans="1:30" s="361" customFormat="1" x14ac:dyDescent="0.4">
      <c r="A3475" s="402"/>
      <c r="B3475" s="392"/>
      <c r="C3475" s="364" t="e">
        <f>VLOOKUP(B3475,'112年全品項生產鍋數'!A:H,2,0)</f>
        <v>#N/A</v>
      </c>
      <c r="D3475" s="404"/>
      <c r="E3475" s="48" t="e">
        <f>VLOOKUP(B3475,'112年全品項生產鍋數'!A:H,3,0)</f>
        <v>#N/A</v>
      </c>
      <c r="F3475" s="142" t="e">
        <f>VLOOKUP(B3475,'112年全品項生產鍋數'!A:H,7,0)</f>
        <v>#N/A</v>
      </c>
      <c r="G3475" s="143" t="e">
        <f t="shared" si="587"/>
        <v>#N/A</v>
      </c>
      <c r="H3475" s="156"/>
      <c r="I3475" s="371" t="e">
        <f t="shared" si="588"/>
        <v>#N/A</v>
      </c>
      <c r="J3475" s="100" t="e">
        <f t="shared" si="589"/>
        <v>#N/A</v>
      </c>
      <c r="K3475" s="51" t="e">
        <f>VLOOKUP(B:B,'生產達成率(目標)'!A:C,3,0)</f>
        <v>#N/A</v>
      </c>
      <c r="L3475" s="20" t="e">
        <f t="shared" si="590"/>
        <v>#N/A</v>
      </c>
      <c r="M3475" s="137"/>
      <c r="N3475" s="374"/>
      <c r="O3475" s="374">
        <f t="shared" si="591"/>
        <v>0</v>
      </c>
      <c r="P3475" s="156"/>
      <c r="Q3475" s="98" t="e">
        <f t="shared" si="592"/>
        <v>#DIV/0!</v>
      </c>
      <c r="R3475" s="371"/>
      <c r="S3475" s="372"/>
      <c r="T3475" s="364"/>
      <c r="U3475" s="264"/>
      <c r="V3475" s="264"/>
      <c r="W3475" s="424"/>
      <c r="X3475" s="264" t="s">
        <v>1867</v>
      </c>
      <c r="Y3475" s="424"/>
      <c r="Z3475" s="424"/>
      <c r="AA3475" s="424"/>
      <c r="AB3475" s="424"/>
      <c r="AC3475" s="425">
        <f t="shared" si="585"/>
        <v>0</v>
      </c>
      <c r="AD3475" s="425">
        <f t="shared" si="586"/>
        <v>0</v>
      </c>
    </row>
    <row r="3476" spans="1:30" s="361" customFormat="1" x14ac:dyDescent="0.4">
      <c r="A3476" s="402"/>
      <c r="B3476" s="392"/>
      <c r="C3476" s="364" t="e">
        <f>VLOOKUP(B3476,'112年全品項生產鍋數'!A:H,2,0)</f>
        <v>#N/A</v>
      </c>
      <c r="D3476" s="404"/>
      <c r="E3476" s="48" t="e">
        <f>VLOOKUP(B3476,'112年全品項生產鍋數'!A:H,3,0)</f>
        <v>#N/A</v>
      </c>
      <c r="F3476" s="142" t="e">
        <f>VLOOKUP(B3476,'112年全品項生產鍋數'!A:H,7,0)</f>
        <v>#N/A</v>
      </c>
      <c r="G3476" s="143" t="e">
        <f t="shared" si="587"/>
        <v>#N/A</v>
      </c>
      <c r="H3476" s="156"/>
      <c r="I3476" s="371" t="e">
        <f t="shared" si="588"/>
        <v>#N/A</v>
      </c>
      <c r="J3476" s="100" t="e">
        <f t="shared" si="589"/>
        <v>#N/A</v>
      </c>
      <c r="K3476" s="51" t="e">
        <f>VLOOKUP(B:B,'生產達成率(目標)'!A:C,3,0)</f>
        <v>#N/A</v>
      </c>
      <c r="L3476" s="20" t="e">
        <f t="shared" si="590"/>
        <v>#N/A</v>
      </c>
      <c r="M3476" s="137"/>
      <c r="N3476" s="374"/>
      <c r="O3476" s="374">
        <f t="shared" si="591"/>
        <v>0</v>
      </c>
      <c r="P3476" s="156"/>
      <c r="Q3476" s="98" t="e">
        <f t="shared" si="592"/>
        <v>#DIV/0!</v>
      </c>
      <c r="R3476" s="371"/>
      <c r="S3476" s="372"/>
      <c r="T3476" s="364"/>
      <c r="U3476" s="264"/>
      <c r="V3476" s="264"/>
      <c r="W3476" s="424"/>
      <c r="X3476" s="264" t="s">
        <v>1867</v>
      </c>
      <c r="Y3476" s="424"/>
      <c r="Z3476" s="424"/>
      <c r="AA3476" s="424"/>
      <c r="AB3476" s="424"/>
      <c r="AC3476" s="425">
        <f t="shared" si="585"/>
        <v>0</v>
      </c>
      <c r="AD3476" s="425">
        <f t="shared" si="586"/>
        <v>0</v>
      </c>
    </row>
    <row r="3477" spans="1:30" s="361" customFormat="1" x14ac:dyDescent="0.4">
      <c r="A3477" s="402"/>
      <c r="B3477" s="392"/>
      <c r="C3477" s="364" t="e">
        <f>VLOOKUP(B3477,'112年全品項生產鍋數'!A:H,2,0)</f>
        <v>#N/A</v>
      </c>
      <c r="D3477" s="404"/>
      <c r="E3477" s="48" t="e">
        <f>VLOOKUP(B3477,'112年全品項生產鍋數'!A:H,3,0)</f>
        <v>#N/A</v>
      </c>
      <c r="F3477" s="142" t="e">
        <f>VLOOKUP(B3477,'112年全品項生產鍋數'!A:H,7,0)</f>
        <v>#N/A</v>
      </c>
      <c r="G3477" s="143" t="e">
        <f t="shared" si="587"/>
        <v>#N/A</v>
      </c>
      <c r="H3477" s="156"/>
      <c r="I3477" s="371" t="e">
        <f t="shared" si="588"/>
        <v>#N/A</v>
      </c>
      <c r="J3477" s="100" t="e">
        <f t="shared" si="589"/>
        <v>#N/A</v>
      </c>
      <c r="K3477" s="51" t="e">
        <f>VLOOKUP(B:B,'生產達成率(目標)'!A:C,3,0)</f>
        <v>#N/A</v>
      </c>
      <c r="L3477" s="20" t="e">
        <f t="shared" si="590"/>
        <v>#N/A</v>
      </c>
      <c r="M3477" s="137"/>
      <c r="N3477" s="374"/>
      <c r="O3477" s="374">
        <f t="shared" si="591"/>
        <v>0</v>
      </c>
      <c r="P3477" s="156"/>
      <c r="Q3477" s="98" t="e">
        <f t="shared" si="592"/>
        <v>#DIV/0!</v>
      </c>
      <c r="R3477" s="371"/>
      <c r="S3477" s="372"/>
      <c r="T3477" s="364"/>
      <c r="U3477" s="264"/>
      <c r="V3477" s="264"/>
      <c r="W3477" s="424"/>
      <c r="X3477" s="264" t="s">
        <v>1867</v>
      </c>
      <c r="Y3477" s="424"/>
      <c r="Z3477" s="424"/>
      <c r="AA3477" s="424"/>
      <c r="AB3477" s="424"/>
      <c r="AC3477" s="425">
        <f t="shared" si="585"/>
        <v>0</v>
      </c>
      <c r="AD3477" s="425">
        <f t="shared" si="586"/>
        <v>0</v>
      </c>
    </row>
    <row r="3478" spans="1:30" s="361" customFormat="1" x14ac:dyDescent="0.4">
      <c r="A3478" s="402"/>
      <c r="B3478" s="392"/>
      <c r="C3478" s="364" t="e">
        <f>VLOOKUP(B3478,'112年全品項生產鍋數'!A:H,2,0)</f>
        <v>#N/A</v>
      </c>
      <c r="D3478" s="404"/>
      <c r="E3478" s="48" t="e">
        <f>VLOOKUP(B3478,'112年全品項生產鍋數'!A:H,3,0)</f>
        <v>#N/A</v>
      </c>
      <c r="F3478" s="142" t="e">
        <f>VLOOKUP(B3478,'112年全品項生產鍋數'!A:H,7,0)</f>
        <v>#N/A</v>
      </c>
      <c r="G3478" s="143" t="e">
        <f t="shared" si="587"/>
        <v>#N/A</v>
      </c>
      <c r="H3478" s="156"/>
      <c r="I3478" s="371" t="e">
        <f t="shared" si="588"/>
        <v>#N/A</v>
      </c>
      <c r="J3478" s="100" t="e">
        <f t="shared" si="589"/>
        <v>#N/A</v>
      </c>
      <c r="K3478" s="51" t="e">
        <f>VLOOKUP(B:B,'生產達成率(目標)'!A:C,3,0)</f>
        <v>#N/A</v>
      </c>
      <c r="L3478" s="20" t="e">
        <f t="shared" si="590"/>
        <v>#N/A</v>
      </c>
      <c r="M3478" s="137"/>
      <c r="N3478" s="374"/>
      <c r="O3478" s="374">
        <f t="shared" si="591"/>
        <v>0</v>
      </c>
      <c r="P3478" s="156"/>
      <c r="Q3478" s="98" t="e">
        <f t="shared" si="592"/>
        <v>#DIV/0!</v>
      </c>
      <c r="R3478" s="371"/>
      <c r="S3478" s="372"/>
      <c r="T3478" s="364"/>
      <c r="U3478" s="264"/>
      <c r="V3478" s="264"/>
      <c r="W3478" s="424"/>
      <c r="X3478" s="264" t="s">
        <v>1867</v>
      </c>
      <c r="Y3478" s="424"/>
      <c r="Z3478" s="424"/>
      <c r="AA3478" s="424"/>
      <c r="AB3478" s="424"/>
      <c r="AC3478" s="425">
        <f t="shared" si="585"/>
        <v>0</v>
      </c>
      <c r="AD3478" s="425">
        <f t="shared" si="586"/>
        <v>0</v>
      </c>
    </row>
    <row r="3479" spans="1:30" s="361" customFormat="1" x14ac:dyDescent="0.4">
      <c r="A3479" s="402"/>
      <c r="B3479" s="392"/>
      <c r="C3479" s="364" t="e">
        <f>VLOOKUP(B3479,'112年全品項生產鍋數'!A:H,2,0)</f>
        <v>#N/A</v>
      </c>
      <c r="D3479" s="404"/>
      <c r="E3479" s="48" t="e">
        <f>VLOOKUP(B3479,'112年全品項生產鍋數'!A:H,3,0)</f>
        <v>#N/A</v>
      </c>
      <c r="F3479" s="142" t="e">
        <f>VLOOKUP(B3479,'112年全品項生產鍋數'!A:H,7,0)</f>
        <v>#N/A</v>
      </c>
      <c r="G3479" s="143" t="e">
        <f t="shared" si="587"/>
        <v>#N/A</v>
      </c>
      <c r="H3479" s="156"/>
      <c r="I3479" s="371" t="e">
        <f t="shared" si="588"/>
        <v>#N/A</v>
      </c>
      <c r="J3479" s="100" t="e">
        <f t="shared" si="589"/>
        <v>#N/A</v>
      </c>
      <c r="K3479" s="51" t="e">
        <f>VLOOKUP(B:B,'生產達成率(目標)'!A:C,3,0)</f>
        <v>#N/A</v>
      </c>
      <c r="L3479" s="20" t="e">
        <f t="shared" si="590"/>
        <v>#N/A</v>
      </c>
      <c r="M3479" s="137"/>
      <c r="N3479" s="374"/>
      <c r="O3479" s="374">
        <f t="shared" si="591"/>
        <v>0</v>
      </c>
      <c r="P3479" s="156"/>
      <c r="Q3479" s="98" t="e">
        <f t="shared" si="592"/>
        <v>#DIV/0!</v>
      </c>
      <c r="R3479" s="371"/>
      <c r="S3479" s="372"/>
      <c r="T3479" s="364"/>
      <c r="U3479" s="264"/>
      <c r="V3479" s="264"/>
      <c r="W3479" s="424"/>
      <c r="X3479" s="264" t="s">
        <v>1867</v>
      </c>
      <c r="Y3479" s="424"/>
      <c r="Z3479" s="424"/>
      <c r="AA3479" s="424"/>
      <c r="AB3479" s="424"/>
      <c r="AC3479" s="425">
        <f t="shared" ref="AC3479:AC3542" si="593" xml:space="preserve"> IF((W3479-A3479)&lt;0,"未收到",W3479-A3479)</f>
        <v>0</v>
      </c>
      <c r="AD3479" s="425">
        <f t="shared" ref="AD3479:AD3542" si="594" xml:space="preserve"> IF((Y3479-A3479)&lt;0,"未收到",Y3479-A3479)</f>
        <v>0</v>
      </c>
    </row>
    <row r="3480" spans="1:30" s="361" customFormat="1" x14ac:dyDescent="0.4">
      <c r="A3480" s="402"/>
      <c r="B3480" s="392"/>
      <c r="C3480" s="364" t="e">
        <f>VLOOKUP(B3480,'112年全品項生產鍋數'!A:H,2,0)</f>
        <v>#N/A</v>
      </c>
      <c r="D3480" s="404"/>
      <c r="E3480" s="48" t="e">
        <f>VLOOKUP(B3480,'112年全品項生產鍋數'!A:H,3,0)</f>
        <v>#N/A</v>
      </c>
      <c r="F3480" s="142" t="e">
        <f>VLOOKUP(B3480,'112年全品項生產鍋數'!A:H,7,0)</f>
        <v>#N/A</v>
      </c>
      <c r="G3480" s="143" t="e">
        <f t="shared" si="587"/>
        <v>#N/A</v>
      </c>
      <c r="H3480" s="156"/>
      <c r="I3480" s="371" t="e">
        <f t="shared" si="588"/>
        <v>#N/A</v>
      </c>
      <c r="J3480" s="100" t="e">
        <f t="shared" si="589"/>
        <v>#N/A</v>
      </c>
      <c r="K3480" s="51" t="e">
        <f>VLOOKUP(B:B,'生產達成率(目標)'!A:C,3,0)</f>
        <v>#N/A</v>
      </c>
      <c r="L3480" s="20" t="e">
        <f t="shared" si="590"/>
        <v>#N/A</v>
      </c>
      <c r="M3480" s="137"/>
      <c r="N3480" s="374"/>
      <c r="O3480" s="374">
        <f t="shared" si="591"/>
        <v>0</v>
      </c>
      <c r="P3480" s="156"/>
      <c r="Q3480" s="98" t="e">
        <f t="shared" si="592"/>
        <v>#DIV/0!</v>
      </c>
      <c r="R3480" s="371"/>
      <c r="S3480" s="372"/>
      <c r="T3480" s="364"/>
      <c r="U3480" s="264"/>
      <c r="V3480" s="264"/>
      <c r="W3480" s="424"/>
      <c r="X3480" s="264" t="s">
        <v>1867</v>
      </c>
      <c r="Y3480" s="424"/>
      <c r="Z3480" s="424"/>
      <c r="AA3480" s="424"/>
      <c r="AB3480" s="424"/>
      <c r="AC3480" s="425">
        <f t="shared" si="593"/>
        <v>0</v>
      </c>
      <c r="AD3480" s="425">
        <f t="shared" si="594"/>
        <v>0</v>
      </c>
    </row>
    <row r="3481" spans="1:30" s="361" customFormat="1" x14ac:dyDescent="0.4">
      <c r="A3481" s="402"/>
      <c r="B3481" s="392"/>
      <c r="C3481" s="364" t="e">
        <f>VLOOKUP(B3481,'112年全品項生產鍋數'!A:H,2,0)</f>
        <v>#N/A</v>
      </c>
      <c r="D3481" s="404"/>
      <c r="E3481" s="48" t="e">
        <f>VLOOKUP(B3481,'112年全品項生產鍋數'!A:H,3,0)</f>
        <v>#N/A</v>
      </c>
      <c r="F3481" s="142" t="e">
        <f>VLOOKUP(B3481,'112年全品項生產鍋數'!A:H,7,0)</f>
        <v>#N/A</v>
      </c>
      <c r="G3481" s="143" t="e">
        <f t="shared" si="587"/>
        <v>#N/A</v>
      </c>
      <c r="H3481" s="156"/>
      <c r="I3481" s="371" t="e">
        <f t="shared" si="588"/>
        <v>#N/A</v>
      </c>
      <c r="J3481" s="100" t="e">
        <f t="shared" si="589"/>
        <v>#N/A</v>
      </c>
      <c r="K3481" s="51" t="e">
        <f>VLOOKUP(B:B,'生產達成率(目標)'!A:C,3,0)</f>
        <v>#N/A</v>
      </c>
      <c r="L3481" s="20" t="e">
        <f t="shared" si="590"/>
        <v>#N/A</v>
      </c>
      <c r="M3481" s="137"/>
      <c r="N3481" s="374"/>
      <c r="O3481" s="374">
        <f t="shared" si="591"/>
        <v>0</v>
      </c>
      <c r="P3481" s="156"/>
      <c r="Q3481" s="98" t="e">
        <f t="shared" si="592"/>
        <v>#DIV/0!</v>
      </c>
      <c r="R3481" s="371"/>
      <c r="S3481" s="372"/>
      <c r="T3481" s="364"/>
      <c r="U3481" s="264"/>
      <c r="V3481" s="264"/>
      <c r="W3481" s="424"/>
      <c r="X3481" s="264" t="s">
        <v>1867</v>
      </c>
      <c r="Y3481" s="424"/>
      <c r="Z3481" s="424"/>
      <c r="AA3481" s="424"/>
      <c r="AB3481" s="424"/>
      <c r="AC3481" s="425">
        <f t="shared" si="593"/>
        <v>0</v>
      </c>
      <c r="AD3481" s="425">
        <f t="shared" si="594"/>
        <v>0</v>
      </c>
    </row>
    <row r="3482" spans="1:30" s="361" customFormat="1" x14ac:dyDescent="0.4">
      <c r="A3482" s="402"/>
      <c r="B3482" s="392"/>
      <c r="C3482" s="364" t="e">
        <f>VLOOKUP(B3482,'112年全品項生產鍋數'!A:H,2,0)</f>
        <v>#N/A</v>
      </c>
      <c r="D3482" s="404"/>
      <c r="E3482" s="48" t="e">
        <f>VLOOKUP(B3482,'112年全品項生產鍋數'!A:H,3,0)</f>
        <v>#N/A</v>
      </c>
      <c r="F3482" s="142" t="e">
        <f>VLOOKUP(B3482,'112年全品項生產鍋數'!A:H,7,0)</f>
        <v>#N/A</v>
      </c>
      <c r="G3482" s="143" t="e">
        <f t="shared" si="587"/>
        <v>#N/A</v>
      </c>
      <c r="H3482" s="156"/>
      <c r="I3482" s="371" t="e">
        <f t="shared" si="588"/>
        <v>#N/A</v>
      </c>
      <c r="J3482" s="100" t="e">
        <f t="shared" si="589"/>
        <v>#N/A</v>
      </c>
      <c r="K3482" s="51" t="e">
        <f>VLOOKUP(B:B,'生產達成率(目標)'!A:C,3,0)</f>
        <v>#N/A</v>
      </c>
      <c r="L3482" s="20" t="e">
        <f t="shared" si="590"/>
        <v>#N/A</v>
      </c>
      <c r="M3482" s="137"/>
      <c r="N3482" s="374"/>
      <c r="O3482" s="374">
        <f t="shared" si="591"/>
        <v>0</v>
      </c>
      <c r="P3482" s="156"/>
      <c r="Q3482" s="98" t="e">
        <f t="shared" si="592"/>
        <v>#DIV/0!</v>
      </c>
      <c r="R3482" s="371"/>
      <c r="S3482" s="372"/>
      <c r="T3482" s="364"/>
      <c r="U3482" s="264"/>
      <c r="V3482" s="264"/>
      <c r="W3482" s="424"/>
      <c r="X3482" s="264" t="s">
        <v>1867</v>
      </c>
      <c r="Y3482" s="424"/>
      <c r="Z3482" s="424"/>
      <c r="AA3482" s="424"/>
      <c r="AB3482" s="424"/>
      <c r="AC3482" s="425">
        <f t="shared" si="593"/>
        <v>0</v>
      </c>
      <c r="AD3482" s="425">
        <f t="shared" si="594"/>
        <v>0</v>
      </c>
    </row>
    <row r="3483" spans="1:30" s="361" customFormat="1" x14ac:dyDescent="0.4">
      <c r="A3483" s="402"/>
      <c r="B3483" s="392"/>
      <c r="C3483" s="364" t="e">
        <f>VLOOKUP(B3483,'112年全品項生產鍋數'!A:H,2,0)</f>
        <v>#N/A</v>
      </c>
      <c r="D3483" s="404"/>
      <c r="E3483" s="48" t="e">
        <f>VLOOKUP(B3483,'112年全品項生產鍋數'!A:H,3,0)</f>
        <v>#N/A</v>
      </c>
      <c r="F3483" s="142" t="e">
        <f>VLOOKUP(B3483,'112年全品項生產鍋數'!A:H,7,0)</f>
        <v>#N/A</v>
      </c>
      <c r="G3483" s="143" t="e">
        <f t="shared" si="587"/>
        <v>#N/A</v>
      </c>
      <c r="H3483" s="156"/>
      <c r="I3483" s="371" t="e">
        <f t="shared" si="588"/>
        <v>#N/A</v>
      </c>
      <c r="J3483" s="100" t="e">
        <f t="shared" si="589"/>
        <v>#N/A</v>
      </c>
      <c r="K3483" s="51" t="e">
        <f>VLOOKUP(B:B,'生產達成率(目標)'!A:C,3,0)</f>
        <v>#N/A</v>
      </c>
      <c r="L3483" s="20" t="e">
        <f t="shared" si="590"/>
        <v>#N/A</v>
      </c>
      <c r="M3483" s="137"/>
      <c r="N3483" s="374"/>
      <c r="O3483" s="374">
        <f t="shared" si="591"/>
        <v>0</v>
      </c>
      <c r="P3483" s="156"/>
      <c r="Q3483" s="98" t="e">
        <f t="shared" si="592"/>
        <v>#DIV/0!</v>
      </c>
      <c r="R3483" s="371"/>
      <c r="S3483" s="372"/>
      <c r="T3483" s="364"/>
      <c r="U3483" s="264"/>
      <c r="V3483" s="264"/>
      <c r="W3483" s="424"/>
      <c r="X3483" s="264" t="s">
        <v>1867</v>
      </c>
      <c r="Y3483" s="424"/>
      <c r="Z3483" s="424"/>
      <c r="AA3483" s="424"/>
      <c r="AB3483" s="424"/>
      <c r="AC3483" s="425">
        <f t="shared" si="593"/>
        <v>0</v>
      </c>
      <c r="AD3483" s="425">
        <f t="shared" si="594"/>
        <v>0</v>
      </c>
    </row>
    <row r="3484" spans="1:30" s="361" customFormat="1" x14ac:dyDescent="0.4">
      <c r="A3484" s="402"/>
      <c r="B3484" s="392"/>
      <c r="C3484" s="364" t="e">
        <f>VLOOKUP(B3484,'112年全品項生產鍋數'!A:H,2,0)</f>
        <v>#N/A</v>
      </c>
      <c r="D3484" s="404"/>
      <c r="E3484" s="48" t="e">
        <f>VLOOKUP(B3484,'112年全品項生產鍋數'!A:H,3,0)</f>
        <v>#N/A</v>
      </c>
      <c r="F3484" s="142" t="e">
        <f>VLOOKUP(B3484,'112年全品項生產鍋數'!A:H,7,0)</f>
        <v>#N/A</v>
      </c>
      <c r="G3484" s="143" t="e">
        <f t="shared" si="587"/>
        <v>#N/A</v>
      </c>
      <c r="H3484" s="156"/>
      <c r="I3484" s="371" t="e">
        <f t="shared" si="588"/>
        <v>#N/A</v>
      </c>
      <c r="J3484" s="100" t="e">
        <f t="shared" si="589"/>
        <v>#N/A</v>
      </c>
      <c r="K3484" s="51" t="e">
        <f>VLOOKUP(B:B,'生產達成率(目標)'!A:C,3,0)</f>
        <v>#N/A</v>
      </c>
      <c r="L3484" s="20" t="e">
        <f t="shared" si="590"/>
        <v>#N/A</v>
      </c>
      <c r="M3484" s="137"/>
      <c r="N3484" s="374"/>
      <c r="O3484" s="374">
        <f t="shared" si="591"/>
        <v>0</v>
      </c>
      <c r="P3484" s="156"/>
      <c r="Q3484" s="98" t="e">
        <f t="shared" si="592"/>
        <v>#DIV/0!</v>
      </c>
      <c r="R3484" s="371"/>
      <c r="S3484" s="372"/>
      <c r="T3484" s="364"/>
      <c r="U3484" s="264"/>
      <c r="V3484" s="264"/>
      <c r="W3484" s="424"/>
      <c r="X3484" s="264" t="s">
        <v>1867</v>
      </c>
      <c r="Y3484" s="424"/>
      <c r="Z3484" s="424"/>
      <c r="AA3484" s="424"/>
      <c r="AB3484" s="424"/>
      <c r="AC3484" s="425">
        <f t="shared" si="593"/>
        <v>0</v>
      </c>
      <c r="AD3484" s="425">
        <f t="shared" si="594"/>
        <v>0</v>
      </c>
    </row>
    <row r="3485" spans="1:30" s="361" customFormat="1" x14ac:dyDescent="0.4">
      <c r="A3485" s="402"/>
      <c r="B3485" s="392"/>
      <c r="C3485" s="364" t="e">
        <f>VLOOKUP(B3485,'112年全品項生產鍋數'!A:H,2,0)</f>
        <v>#N/A</v>
      </c>
      <c r="D3485" s="404"/>
      <c r="E3485" s="48" t="e">
        <f>VLOOKUP(B3485,'112年全品項生產鍋數'!A:H,3,0)</f>
        <v>#N/A</v>
      </c>
      <c r="F3485" s="142" t="e">
        <f>VLOOKUP(B3485,'112年全品項生產鍋數'!A:H,7,0)</f>
        <v>#N/A</v>
      </c>
      <c r="G3485" s="143" t="e">
        <f t="shared" si="587"/>
        <v>#N/A</v>
      </c>
      <c r="H3485" s="156"/>
      <c r="I3485" s="371" t="e">
        <f t="shared" si="588"/>
        <v>#N/A</v>
      </c>
      <c r="J3485" s="100" t="e">
        <f t="shared" si="589"/>
        <v>#N/A</v>
      </c>
      <c r="K3485" s="51" t="e">
        <f>VLOOKUP(B:B,'生產達成率(目標)'!A:C,3,0)</f>
        <v>#N/A</v>
      </c>
      <c r="L3485" s="20" t="e">
        <f t="shared" si="590"/>
        <v>#N/A</v>
      </c>
      <c r="M3485" s="137"/>
      <c r="N3485" s="374"/>
      <c r="O3485" s="374">
        <f t="shared" si="591"/>
        <v>0</v>
      </c>
      <c r="P3485" s="156"/>
      <c r="Q3485" s="98" t="e">
        <f t="shared" si="592"/>
        <v>#DIV/0!</v>
      </c>
      <c r="R3485" s="371"/>
      <c r="S3485" s="372"/>
      <c r="T3485" s="364"/>
      <c r="U3485" s="264"/>
      <c r="V3485" s="264"/>
      <c r="W3485" s="424"/>
      <c r="X3485" s="264" t="s">
        <v>1867</v>
      </c>
      <c r="Y3485" s="424"/>
      <c r="Z3485" s="424"/>
      <c r="AA3485" s="424"/>
      <c r="AB3485" s="424"/>
      <c r="AC3485" s="425">
        <f t="shared" si="593"/>
        <v>0</v>
      </c>
      <c r="AD3485" s="425">
        <f t="shared" si="594"/>
        <v>0</v>
      </c>
    </row>
    <row r="3486" spans="1:30" s="361" customFormat="1" x14ac:dyDescent="0.4">
      <c r="A3486" s="402"/>
      <c r="B3486" s="392"/>
      <c r="C3486" s="364" t="e">
        <f>VLOOKUP(B3486,'112年全品項生產鍋數'!A:H,2,0)</f>
        <v>#N/A</v>
      </c>
      <c r="D3486" s="404"/>
      <c r="E3486" s="48" t="e">
        <f>VLOOKUP(B3486,'112年全品項生產鍋數'!A:H,3,0)</f>
        <v>#N/A</v>
      </c>
      <c r="F3486" s="142" t="e">
        <f>VLOOKUP(B3486,'112年全品項生產鍋數'!A:H,7,0)</f>
        <v>#N/A</v>
      </c>
      <c r="G3486" s="143" t="e">
        <f t="shared" si="587"/>
        <v>#N/A</v>
      </c>
      <c r="H3486" s="156"/>
      <c r="I3486" s="371" t="e">
        <f t="shared" si="588"/>
        <v>#N/A</v>
      </c>
      <c r="J3486" s="100" t="e">
        <f t="shared" si="589"/>
        <v>#N/A</v>
      </c>
      <c r="K3486" s="51" t="e">
        <f>VLOOKUP(B:B,'生產達成率(目標)'!A:C,3,0)</f>
        <v>#N/A</v>
      </c>
      <c r="L3486" s="20" t="e">
        <f t="shared" si="590"/>
        <v>#N/A</v>
      </c>
      <c r="M3486" s="137"/>
      <c r="N3486" s="374"/>
      <c r="O3486" s="374">
        <f t="shared" si="591"/>
        <v>0</v>
      </c>
      <c r="P3486" s="156"/>
      <c r="Q3486" s="98" t="e">
        <f t="shared" si="592"/>
        <v>#DIV/0!</v>
      </c>
      <c r="R3486" s="371"/>
      <c r="S3486" s="372"/>
      <c r="T3486" s="364"/>
      <c r="U3486" s="264"/>
      <c r="V3486" s="264"/>
      <c r="W3486" s="424"/>
      <c r="X3486" s="264" t="s">
        <v>1867</v>
      </c>
      <c r="Y3486" s="424"/>
      <c r="Z3486" s="424"/>
      <c r="AA3486" s="424"/>
      <c r="AB3486" s="424"/>
      <c r="AC3486" s="425">
        <f t="shared" si="593"/>
        <v>0</v>
      </c>
      <c r="AD3486" s="425">
        <f t="shared" si="594"/>
        <v>0</v>
      </c>
    </row>
    <row r="3487" spans="1:30" s="361" customFormat="1" x14ac:dyDescent="0.4">
      <c r="A3487" s="402"/>
      <c r="B3487" s="392"/>
      <c r="C3487" s="364" t="e">
        <f>VLOOKUP(B3487,'112年全品項生產鍋數'!A:H,2,0)</f>
        <v>#N/A</v>
      </c>
      <c r="D3487" s="404"/>
      <c r="E3487" s="48" t="e">
        <f>VLOOKUP(B3487,'112年全品項生產鍋數'!A:H,3,0)</f>
        <v>#N/A</v>
      </c>
      <c r="F3487" s="142" t="e">
        <f>VLOOKUP(B3487,'112年全品項生產鍋數'!A:H,7,0)</f>
        <v>#N/A</v>
      </c>
      <c r="G3487" s="143" t="e">
        <f t="shared" si="587"/>
        <v>#N/A</v>
      </c>
      <c r="H3487" s="156"/>
      <c r="I3487" s="371" t="e">
        <f t="shared" si="588"/>
        <v>#N/A</v>
      </c>
      <c r="J3487" s="100" t="e">
        <f t="shared" si="589"/>
        <v>#N/A</v>
      </c>
      <c r="K3487" s="51" t="e">
        <f>VLOOKUP(B:B,'生產達成率(目標)'!A:C,3,0)</f>
        <v>#N/A</v>
      </c>
      <c r="L3487" s="20" t="e">
        <f t="shared" si="590"/>
        <v>#N/A</v>
      </c>
      <c r="M3487" s="137"/>
      <c r="N3487" s="374"/>
      <c r="O3487" s="374">
        <f t="shared" si="591"/>
        <v>0</v>
      </c>
      <c r="P3487" s="156"/>
      <c r="Q3487" s="98" t="e">
        <f t="shared" si="592"/>
        <v>#DIV/0!</v>
      </c>
      <c r="R3487" s="371"/>
      <c r="S3487" s="372"/>
      <c r="T3487" s="364"/>
      <c r="U3487" s="264"/>
      <c r="V3487" s="264"/>
      <c r="W3487" s="424"/>
      <c r="X3487" s="264" t="s">
        <v>1867</v>
      </c>
      <c r="Y3487" s="424"/>
      <c r="Z3487" s="424"/>
      <c r="AA3487" s="424"/>
      <c r="AB3487" s="424"/>
      <c r="AC3487" s="425">
        <f t="shared" si="593"/>
        <v>0</v>
      </c>
      <c r="AD3487" s="425">
        <f t="shared" si="594"/>
        <v>0</v>
      </c>
    </row>
    <row r="3488" spans="1:30" s="361" customFormat="1" x14ac:dyDescent="0.4">
      <c r="A3488" s="402"/>
      <c r="B3488" s="392"/>
      <c r="C3488" s="364" t="e">
        <f>VLOOKUP(B3488,'112年全品項生產鍋數'!A:H,2,0)</f>
        <v>#N/A</v>
      </c>
      <c r="D3488" s="404"/>
      <c r="E3488" s="48" t="e">
        <f>VLOOKUP(B3488,'112年全品項生產鍋數'!A:H,3,0)</f>
        <v>#N/A</v>
      </c>
      <c r="F3488" s="142" t="e">
        <f>VLOOKUP(B3488,'112年全品項生產鍋數'!A:H,7,0)</f>
        <v>#N/A</v>
      </c>
      <c r="G3488" s="143" t="e">
        <f t="shared" si="587"/>
        <v>#N/A</v>
      </c>
      <c r="H3488" s="156"/>
      <c r="I3488" s="371" t="e">
        <f t="shared" si="588"/>
        <v>#N/A</v>
      </c>
      <c r="J3488" s="100" t="e">
        <f t="shared" si="589"/>
        <v>#N/A</v>
      </c>
      <c r="K3488" s="51" t="e">
        <f>VLOOKUP(B:B,'生產達成率(目標)'!A:C,3,0)</f>
        <v>#N/A</v>
      </c>
      <c r="L3488" s="20" t="e">
        <f t="shared" si="590"/>
        <v>#N/A</v>
      </c>
      <c r="M3488" s="137"/>
      <c r="N3488" s="374"/>
      <c r="O3488" s="374">
        <f t="shared" si="591"/>
        <v>0</v>
      </c>
      <c r="P3488" s="156"/>
      <c r="Q3488" s="98" t="e">
        <f t="shared" si="592"/>
        <v>#DIV/0!</v>
      </c>
      <c r="R3488" s="371"/>
      <c r="S3488" s="372"/>
      <c r="T3488" s="364"/>
      <c r="U3488" s="264"/>
      <c r="V3488" s="264"/>
      <c r="W3488" s="424"/>
      <c r="X3488" s="264" t="s">
        <v>1867</v>
      </c>
      <c r="Y3488" s="424"/>
      <c r="Z3488" s="424"/>
      <c r="AA3488" s="424"/>
      <c r="AB3488" s="424"/>
      <c r="AC3488" s="425">
        <f t="shared" si="593"/>
        <v>0</v>
      </c>
      <c r="AD3488" s="425">
        <f t="shared" si="594"/>
        <v>0</v>
      </c>
    </row>
    <row r="3489" spans="1:30" s="361" customFormat="1" x14ac:dyDescent="0.4">
      <c r="A3489" s="402"/>
      <c r="B3489" s="392"/>
      <c r="C3489" s="364" t="e">
        <f>VLOOKUP(B3489,'112年全品項生產鍋數'!A:H,2,0)</f>
        <v>#N/A</v>
      </c>
      <c r="D3489" s="404"/>
      <c r="E3489" s="48" t="e">
        <f>VLOOKUP(B3489,'112年全品項生產鍋數'!A:H,3,0)</f>
        <v>#N/A</v>
      </c>
      <c r="F3489" s="142" t="e">
        <f>VLOOKUP(B3489,'112年全品項生產鍋數'!A:H,7,0)</f>
        <v>#N/A</v>
      </c>
      <c r="G3489" s="143" t="e">
        <f t="shared" si="587"/>
        <v>#N/A</v>
      </c>
      <c r="H3489" s="156"/>
      <c r="I3489" s="371" t="e">
        <f t="shared" si="588"/>
        <v>#N/A</v>
      </c>
      <c r="J3489" s="100" t="e">
        <f t="shared" si="589"/>
        <v>#N/A</v>
      </c>
      <c r="K3489" s="51" t="e">
        <f>VLOOKUP(B:B,'生產達成率(目標)'!A:C,3,0)</f>
        <v>#N/A</v>
      </c>
      <c r="L3489" s="20" t="e">
        <f t="shared" si="590"/>
        <v>#N/A</v>
      </c>
      <c r="M3489" s="137"/>
      <c r="N3489" s="374"/>
      <c r="O3489" s="374">
        <f t="shared" si="591"/>
        <v>0</v>
      </c>
      <c r="P3489" s="156"/>
      <c r="Q3489" s="98" t="e">
        <f t="shared" si="592"/>
        <v>#DIV/0!</v>
      </c>
      <c r="R3489" s="371"/>
      <c r="S3489" s="372"/>
      <c r="T3489" s="364"/>
      <c r="U3489" s="264"/>
      <c r="V3489" s="264"/>
      <c r="W3489" s="424"/>
      <c r="X3489" s="264" t="s">
        <v>1867</v>
      </c>
      <c r="Y3489" s="424"/>
      <c r="Z3489" s="424"/>
      <c r="AA3489" s="424"/>
      <c r="AB3489" s="424"/>
      <c r="AC3489" s="425">
        <f t="shared" si="593"/>
        <v>0</v>
      </c>
      <c r="AD3489" s="425">
        <f t="shared" si="594"/>
        <v>0</v>
      </c>
    </row>
    <row r="3490" spans="1:30" s="361" customFormat="1" x14ac:dyDescent="0.4">
      <c r="A3490" s="402"/>
      <c r="B3490" s="392"/>
      <c r="C3490" s="364" t="e">
        <f>VLOOKUP(B3490,'112年全品項生產鍋數'!A:H,2,0)</f>
        <v>#N/A</v>
      </c>
      <c r="D3490" s="404"/>
      <c r="E3490" s="48" t="e">
        <f>VLOOKUP(B3490,'112年全品項生產鍋數'!A:H,3,0)</f>
        <v>#N/A</v>
      </c>
      <c r="F3490" s="142" t="e">
        <f>VLOOKUP(B3490,'112年全品項生產鍋數'!A:H,7,0)</f>
        <v>#N/A</v>
      </c>
      <c r="G3490" s="143" t="e">
        <f t="shared" si="587"/>
        <v>#N/A</v>
      </c>
      <c r="H3490" s="156"/>
      <c r="I3490" s="371" t="e">
        <f t="shared" si="588"/>
        <v>#N/A</v>
      </c>
      <c r="J3490" s="100" t="e">
        <f t="shared" si="589"/>
        <v>#N/A</v>
      </c>
      <c r="K3490" s="51" t="e">
        <f>VLOOKUP(B:B,'生產達成率(目標)'!A:C,3,0)</f>
        <v>#N/A</v>
      </c>
      <c r="L3490" s="20" t="e">
        <f t="shared" si="590"/>
        <v>#N/A</v>
      </c>
      <c r="M3490" s="137"/>
      <c r="N3490" s="374"/>
      <c r="O3490" s="374">
        <f t="shared" si="591"/>
        <v>0</v>
      </c>
      <c r="P3490" s="156"/>
      <c r="Q3490" s="98" t="e">
        <f t="shared" si="592"/>
        <v>#DIV/0!</v>
      </c>
      <c r="R3490" s="371"/>
      <c r="S3490" s="372"/>
      <c r="T3490" s="364"/>
      <c r="U3490" s="264"/>
      <c r="V3490" s="264"/>
      <c r="W3490" s="424"/>
      <c r="X3490" s="264" t="s">
        <v>1867</v>
      </c>
      <c r="Y3490" s="424"/>
      <c r="Z3490" s="424"/>
      <c r="AA3490" s="424"/>
      <c r="AB3490" s="424"/>
      <c r="AC3490" s="425">
        <f t="shared" si="593"/>
        <v>0</v>
      </c>
      <c r="AD3490" s="425">
        <f t="shared" si="594"/>
        <v>0</v>
      </c>
    </row>
    <row r="3491" spans="1:30" s="361" customFormat="1" x14ac:dyDescent="0.4">
      <c r="A3491" s="402"/>
      <c r="B3491" s="392"/>
      <c r="C3491" s="364" t="e">
        <f>VLOOKUP(B3491,'112年全品項生產鍋數'!A:H,2,0)</f>
        <v>#N/A</v>
      </c>
      <c r="D3491" s="404"/>
      <c r="E3491" s="48" t="e">
        <f>VLOOKUP(B3491,'112年全品項生產鍋數'!A:H,3,0)</f>
        <v>#N/A</v>
      </c>
      <c r="F3491" s="142" t="e">
        <f>VLOOKUP(B3491,'112年全品項生產鍋數'!A:H,7,0)</f>
        <v>#N/A</v>
      </c>
      <c r="G3491" s="143" t="e">
        <f t="shared" si="587"/>
        <v>#N/A</v>
      </c>
      <c r="H3491" s="156"/>
      <c r="I3491" s="371" t="e">
        <f t="shared" si="588"/>
        <v>#N/A</v>
      </c>
      <c r="J3491" s="100" t="e">
        <f t="shared" si="589"/>
        <v>#N/A</v>
      </c>
      <c r="K3491" s="51" t="e">
        <f>VLOOKUP(B:B,'生產達成率(目標)'!A:C,3,0)</f>
        <v>#N/A</v>
      </c>
      <c r="L3491" s="20" t="e">
        <f t="shared" si="590"/>
        <v>#N/A</v>
      </c>
      <c r="M3491" s="137"/>
      <c r="N3491" s="374"/>
      <c r="O3491" s="374">
        <f t="shared" si="591"/>
        <v>0</v>
      </c>
      <c r="P3491" s="156"/>
      <c r="Q3491" s="98" t="e">
        <f t="shared" si="592"/>
        <v>#DIV/0!</v>
      </c>
      <c r="R3491" s="371"/>
      <c r="S3491" s="372"/>
      <c r="T3491" s="364"/>
      <c r="U3491" s="264"/>
      <c r="V3491" s="264"/>
      <c r="W3491" s="424"/>
      <c r="X3491" s="264" t="s">
        <v>1867</v>
      </c>
      <c r="Y3491" s="424"/>
      <c r="Z3491" s="424"/>
      <c r="AA3491" s="424"/>
      <c r="AB3491" s="424"/>
      <c r="AC3491" s="425">
        <f t="shared" si="593"/>
        <v>0</v>
      </c>
      <c r="AD3491" s="425">
        <f t="shared" si="594"/>
        <v>0</v>
      </c>
    </row>
    <row r="3492" spans="1:30" s="361" customFormat="1" x14ac:dyDescent="0.4">
      <c r="A3492" s="402"/>
      <c r="B3492" s="392"/>
      <c r="C3492" s="364" t="e">
        <f>VLOOKUP(B3492,'112年全品項生產鍋數'!A:H,2,0)</f>
        <v>#N/A</v>
      </c>
      <c r="D3492" s="404"/>
      <c r="E3492" s="48" t="e">
        <f>VLOOKUP(B3492,'112年全品項生產鍋數'!A:H,3,0)</f>
        <v>#N/A</v>
      </c>
      <c r="F3492" s="142" t="e">
        <f>VLOOKUP(B3492,'112年全品項生產鍋數'!A:H,7,0)</f>
        <v>#N/A</v>
      </c>
      <c r="G3492" s="143" t="e">
        <f t="shared" si="587"/>
        <v>#N/A</v>
      </c>
      <c r="H3492" s="156"/>
      <c r="I3492" s="371" t="e">
        <f t="shared" si="588"/>
        <v>#N/A</v>
      </c>
      <c r="J3492" s="100" t="e">
        <f t="shared" si="589"/>
        <v>#N/A</v>
      </c>
      <c r="K3492" s="51" t="e">
        <f>VLOOKUP(B:B,'生產達成率(目標)'!A:C,3,0)</f>
        <v>#N/A</v>
      </c>
      <c r="L3492" s="20" t="e">
        <f t="shared" si="590"/>
        <v>#N/A</v>
      </c>
      <c r="M3492" s="137"/>
      <c r="N3492" s="374"/>
      <c r="O3492" s="374">
        <f t="shared" si="591"/>
        <v>0</v>
      </c>
      <c r="P3492" s="156"/>
      <c r="Q3492" s="98" t="e">
        <f t="shared" si="592"/>
        <v>#DIV/0!</v>
      </c>
      <c r="R3492" s="371"/>
      <c r="S3492" s="372"/>
      <c r="T3492" s="364"/>
      <c r="U3492" s="264"/>
      <c r="V3492" s="264"/>
      <c r="W3492" s="424"/>
      <c r="X3492" s="264" t="s">
        <v>1867</v>
      </c>
      <c r="Y3492" s="424"/>
      <c r="Z3492" s="424"/>
      <c r="AA3492" s="424"/>
      <c r="AB3492" s="424"/>
      <c r="AC3492" s="425">
        <f t="shared" si="593"/>
        <v>0</v>
      </c>
      <c r="AD3492" s="425">
        <f t="shared" si="594"/>
        <v>0</v>
      </c>
    </row>
    <row r="3493" spans="1:30" s="361" customFormat="1" x14ac:dyDescent="0.4">
      <c r="A3493" s="402"/>
      <c r="B3493" s="392"/>
      <c r="C3493" s="364" t="e">
        <f>VLOOKUP(B3493,'112年全品項生產鍋數'!A:H,2,0)</f>
        <v>#N/A</v>
      </c>
      <c r="D3493" s="404"/>
      <c r="E3493" s="48" t="e">
        <f>VLOOKUP(B3493,'112年全品項生產鍋數'!A:H,3,0)</f>
        <v>#N/A</v>
      </c>
      <c r="F3493" s="142" t="e">
        <f>VLOOKUP(B3493,'112年全品項生產鍋數'!A:H,7,0)</f>
        <v>#N/A</v>
      </c>
      <c r="G3493" s="143" t="e">
        <f t="shared" si="587"/>
        <v>#N/A</v>
      </c>
      <c r="H3493" s="156"/>
      <c r="I3493" s="371" t="e">
        <f t="shared" si="588"/>
        <v>#N/A</v>
      </c>
      <c r="J3493" s="100" t="e">
        <f t="shared" si="589"/>
        <v>#N/A</v>
      </c>
      <c r="K3493" s="51" t="e">
        <f>VLOOKUP(B:B,'生產達成率(目標)'!A:C,3,0)</f>
        <v>#N/A</v>
      </c>
      <c r="L3493" s="20" t="e">
        <f t="shared" si="590"/>
        <v>#N/A</v>
      </c>
      <c r="M3493" s="137"/>
      <c r="N3493" s="374"/>
      <c r="O3493" s="374">
        <f t="shared" si="591"/>
        <v>0</v>
      </c>
      <c r="P3493" s="156"/>
      <c r="Q3493" s="98" t="e">
        <f t="shared" si="592"/>
        <v>#DIV/0!</v>
      </c>
      <c r="R3493" s="371"/>
      <c r="S3493" s="372"/>
      <c r="T3493" s="364"/>
      <c r="U3493" s="264"/>
      <c r="V3493" s="264"/>
      <c r="W3493" s="424"/>
      <c r="X3493" s="264" t="s">
        <v>1867</v>
      </c>
      <c r="Y3493" s="424"/>
      <c r="Z3493" s="424"/>
      <c r="AA3493" s="424"/>
      <c r="AB3493" s="424"/>
      <c r="AC3493" s="425">
        <f t="shared" si="593"/>
        <v>0</v>
      </c>
      <c r="AD3493" s="425">
        <f t="shared" si="594"/>
        <v>0</v>
      </c>
    </row>
    <row r="3494" spans="1:30" s="361" customFormat="1" x14ac:dyDescent="0.4">
      <c r="A3494" s="402"/>
      <c r="B3494" s="392"/>
      <c r="C3494" s="364" t="e">
        <f>VLOOKUP(B3494,'112年全品項生產鍋數'!A:H,2,0)</f>
        <v>#N/A</v>
      </c>
      <c r="D3494" s="404"/>
      <c r="E3494" s="48" t="e">
        <f>VLOOKUP(B3494,'112年全品項生產鍋數'!A:H,3,0)</f>
        <v>#N/A</v>
      </c>
      <c r="F3494" s="142" t="e">
        <f>VLOOKUP(B3494,'112年全品項生產鍋數'!A:H,7,0)</f>
        <v>#N/A</v>
      </c>
      <c r="G3494" s="143" t="e">
        <f t="shared" si="587"/>
        <v>#N/A</v>
      </c>
      <c r="H3494" s="156"/>
      <c r="I3494" s="371" t="e">
        <f t="shared" si="588"/>
        <v>#N/A</v>
      </c>
      <c r="J3494" s="100" t="e">
        <f t="shared" si="589"/>
        <v>#N/A</v>
      </c>
      <c r="K3494" s="51" t="e">
        <f>VLOOKUP(B:B,'生產達成率(目標)'!A:C,3,0)</f>
        <v>#N/A</v>
      </c>
      <c r="L3494" s="20" t="e">
        <f t="shared" si="590"/>
        <v>#N/A</v>
      </c>
      <c r="M3494" s="137"/>
      <c r="N3494" s="374"/>
      <c r="O3494" s="374">
        <f t="shared" si="591"/>
        <v>0</v>
      </c>
      <c r="P3494" s="156"/>
      <c r="Q3494" s="98" t="e">
        <f t="shared" si="592"/>
        <v>#DIV/0!</v>
      </c>
      <c r="R3494" s="371"/>
      <c r="S3494" s="372"/>
      <c r="T3494" s="364"/>
      <c r="U3494" s="264"/>
      <c r="V3494" s="264"/>
      <c r="W3494" s="424"/>
      <c r="X3494" s="264" t="s">
        <v>1867</v>
      </c>
      <c r="Y3494" s="424"/>
      <c r="Z3494" s="424"/>
      <c r="AA3494" s="424"/>
      <c r="AB3494" s="424"/>
      <c r="AC3494" s="425">
        <f t="shared" si="593"/>
        <v>0</v>
      </c>
      <c r="AD3494" s="425">
        <f t="shared" si="594"/>
        <v>0</v>
      </c>
    </row>
    <row r="3495" spans="1:30" s="361" customFormat="1" x14ac:dyDescent="0.4">
      <c r="A3495" s="402"/>
      <c r="B3495" s="392"/>
      <c r="C3495" s="364" t="e">
        <f>VLOOKUP(B3495,'112年全品項生產鍋數'!A:H,2,0)</f>
        <v>#N/A</v>
      </c>
      <c r="D3495" s="404"/>
      <c r="E3495" s="48" t="e">
        <f>VLOOKUP(B3495,'112年全品項生產鍋數'!A:H,3,0)</f>
        <v>#N/A</v>
      </c>
      <c r="F3495" s="142" t="e">
        <f>VLOOKUP(B3495,'112年全品項生產鍋數'!A:H,7,0)</f>
        <v>#N/A</v>
      </c>
      <c r="G3495" s="143" t="e">
        <f t="shared" si="587"/>
        <v>#N/A</v>
      </c>
      <c r="H3495" s="156"/>
      <c r="I3495" s="371" t="e">
        <f t="shared" si="588"/>
        <v>#N/A</v>
      </c>
      <c r="J3495" s="100" t="e">
        <f t="shared" si="589"/>
        <v>#N/A</v>
      </c>
      <c r="K3495" s="51" t="e">
        <f>VLOOKUP(B:B,'生產達成率(目標)'!A:C,3,0)</f>
        <v>#N/A</v>
      </c>
      <c r="L3495" s="20" t="e">
        <f t="shared" si="590"/>
        <v>#N/A</v>
      </c>
      <c r="M3495" s="137"/>
      <c r="N3495" s="374"/>
      <c r="O3495" s="374">
        <f t="shared" si="591"/>
        <v>0</v>
      </c>
      <c r="P3495" s="156"/>
      <c r="Q3495" s="98" t="e">
        <f t="shared" si="592"/>
        <v>#DIV/0!</v>
      </c>
      <c r="R3495" s="371"/>
      <c r="S3495" s="372"/>
      <c r="T3495" s="364"/>
      <c r="U3495" s="264"/>
      <c r="V3495" s="264"/>
      <c r="W3495" s="424"/>
      <c r="X3495" s="264" t="s">
        <v>1867</v>
      </c>
      <c r="Y3495" s="424"/>
      <c r="Z3495" s="424"/>
      <c r="AA3495" s="424"/>
      <c r="AB3495" s="424"/>
      <c r="AC3495" s="425">
        <f t="shared" si="593"/>
        <v>0</v>
      </c>
      <c r="AD3495" s="425">
        <f t="shared" si="594"/>
        <v>0</v>
      </c>
    </row>
    <row r="3496" spans="1:30" s="361" customFormat="1" x14ac:dyDescent="0.4">
      <c r="A3496" s="402"/>
      <c r="B3496" s="392"/>
      <c r="C3496" s="364" t="e">
        <f>VLOOKUP(B3496,'112年全品項生產鍋數'!A:H,2,0)</f>
        <v>#N/A</v>
      </c>
      <c r="D3496" s="404"/>
      <c r="E3496" s="48" t="e">
        <f>VLOOKUP(B3496,'112年全品項生產鍋數'!A:H,3,0)</f>
        <v>#N/A</v>
      </c>
      <c r="F3496" s="142" t="e">
        <f>VLOOKUP(B3496,'112年全品項生產鍋數'!A:H,7,0)</f>
        <v>#N/A</v>
      </c>
      <c r="G3496" s="143" t="e">
        <f t="shared" si="587"/>
        <v>#N/A</v>
      </c>
      <c r="H3496" s="156"/>
      <c r="I3496" s="371" t="e">
        <f t="shared" si="588"/>
        <v>#N/A</v>
      </c>
      <c r="J3496" s="100" t="e">
        <f t="shared" si="589"/>
        <v>#N/A</v>
      </c>
      <c r="K3496" s="51" t="e">
        <f>VLOOKUP(B:B,'生產達成率(目標)'!A:C,3,0)</f>
        <v>#N/A</v>
      </c>
      <c r="L3496" s="20" t="e">
        <f t="shared" si="590"/>
        <v>#N/A</v>
      </c>
      <c r="M3496" s="137"/>
      <c r="N3496" s="374"/>
      <c r="O3496" s="374">
        <f t="shared" si="591"/>
        <v>0</v>
      </c>
      <c r="P3496" s="156"/>
      <c r="Q3496" s="98" t="e">
        <f t="shared" si="592"/>
        <v>#DIV/0!</v>
      </c>
      <c r="R3496" s="371"/>
      <c r="S3496" s="372"/>
      <c r="T3496" s="364"/>
      <c r="U3496" s="264"/>
      <c r="V3496" s="264"/>
      <c r="W3496" s="424"/>
      <c r="X3496" s="264" t="s">
        <v>1867</v>
      </c>
      <c r="Y3496" s="424"/>
      <c r="Z3496" s="424"/>
      <c r="AA3496" s="424"/>
      <c r="AB3496" s="424"/>
      <c r="AC3496" s="425">
        <f t="shared" si="593"/>
        <v>0</v>
      </c>
      <c r="AD3496" s="425">
        <f t="shared" si="594"/>
        <v>0</v>
      </c>
    </row>
    <row r="3497" spans="1:30" s="361" customFormat="1" x14ac:dyDescent="0.4">
      <c r="A3497" s="402"/>
      <c r="B3497" s="392"/>
      <c r="C3497" s="364" t="e">
        <f>VLOOKUP(B3497,'112年全品項生產鍋數'!A:H,2,0)</f>
        <v>#N/A</v>
      </c>
      <c r="D3497" s="404"/>
      <c r="E3497" s="48" t="e">
        <f>VLOOKUP(B3497,'112年全品項生產鍋數'!A:H,3,0)</f>
        <v>#N/A</v>
      </c>
      <c r="F3497" s="142" t="e">
        <f>VLOOKUP(B3497,'112年全品項生產鍋數'!A:H,7,0)</f>
        <v>#N/A</v>
      </c>
      <c r="G3497" s="143" t="e">
        <f t="shared" si="587"/>
        <v>#N/A</v>
      </c>
      <c r="H3497" s="156"/>
      <c r="I3497" s="371" t="e">
        <f t="shared" si="588"/>
        <v>#N/A</v>
      </c>
      <c r="J3497" s="100" t="e">
        <f t="shared" si="589"/>
        <v>#N/A</v>
      </c>
      <c r="K3497" s="51" t="e">
        <f>VLOOKUP(B:B,'生產達成率(目標)'!A:C,3,0)</f>
        <v>#N/A</v>
      </c>
      <c r="L3497" s="20" t="e">
        <f t="shared" si="590"/>
        <v>#N/A</v>
      </c>
      <c r="M3497" s="137"/>
      <c r="N3497" s="374"/>
      <c r="O3497" s="374">
        <f t="shared" si="591"/>
        <v>0</v>
      </c>
      <c r="P3497" s="156"/>
      <c r="Q3497" s="98" t="e">
        <f t="shared" si="592"/>
        <v>#DIV/0!</v>
      </c>
      <c r="R3497" s="371"/>
      <c r="S3497" s="372"/>
      <c r="T3497" s="364"/>
      <c r="U3497" s="264"/>
      <c r="V3497" s="264"/>
      <c r="W3497" s="424"/>
      <c r="X3497" s="264" t="s">
        <v>1867</v>
      </c>
      <c r="Y3497" s="424"/>
      <c r="Z3497" s="424"/>
      <c r="AA3497" s="424"/>
      <c r="AB3497" s="424"/>
      <c r="AC3497" s="425">
        <f t="shared" si="593"/>
        <v>0</v>
      </c>
      <c r="AD3497" s="425">
        <f t="shared" si="594"/>
        <v>0</v>
      </c>
    </row>
    <row r="3498" spans="1:30" s="361" customFormat="1" x14ac:dyDescent="0.4">
      <c r="A3498" s="402"/>
      <c r="B3498" s="392"/>
      <c r="C3498" s="364" t="e">
        <f>VLOOKUP(B3498,'112年全品項生產鍋數'!A:H,2,0)</f>
        <v>#N/A</v>
      </c>
      <c r="D3498" s="404"/>
      <c r="E3498" s="48" t="e">
        <f>VLOOKUP(B3498,'112年全品項生產鍋數'!A:H,3,0)</f>
        <v>#N/A</v>
      </c>
      <c r="F3498" s="142" t="e">
        <f>VLOOKUP(B3498,'112年全品項生產鍋數'!A:H,7,0)</f>
        <v>#N/A</v>
      </c>
      <c r="G3498" s="143" t="e">
        <f t="shared" si="587"/>
        <v>#N/A</v>
      </c>
      <c r="H3498" s="156"/>
      <c r="I3498" s="371" t="e">
        <f t="shared" si="588"/>
        <v>#N/A</v>
      </c>
      <c r="J3498" s="100" t="e">
        <f t="shared" si="589"/>
        <v>#N/A</v>
      </c>
      <c r="K3498" s="51" t="e">
        <f>VLOOKUP(B:B,'生產達成率(目標)'!A:C,3,0)</f>
        <v>#N/A</v>
      </c>
      <c r="L3498" s="20" t="e">
        <f t="shared" si="590"/>
        <v>#N/A</v>
      </c>
      <c r="M3498" s="137"/>
      <c r="N3498" s="374"/>
      <c r="O3498" s="374">
        <f t="shared" si="591"/>
        <v>0</v>
      </c>
      <c r="P3498" s="156"/>
      <c r="Q3498" s="98" t="e">
        <f t="shared" si="592"/>
        <v>#DIV/0!</v>
      </c>
      <c r="R3498" s="371"/>
      <c r="S3498" s="372"/>
      <c r="T3498" s="364"/>
      <c r="U3498" s="264"/>
      <c r="V3498" s="264"/>
      <c r="W3498" s="424"/>
      <c r="X3498" s="264" t="s">
        <v>1867</v>
      </c>
      <c r="Y3498" s="424"/>
      <c r="Z3498" s="424"/>
      <c r="AA3498" s="424"/>
      <c r="AB3498" s="424"/>
      <c r="AC3498" s="425">
        <f t="shared" si="593"/>
        <v>0</v>
      </c>
      <c r="AD3498" s="425">
        <f t="shared" si="594"/>
        <v>0</v>
      </c>
    </row>
    <row r="3499" spans="1:30" s="361" customFormat="1" x14ac:dyDescent="0.4">
      <c r="A3499" s="402"/>
      <c r="B3499" s="392"/>
      <c r="C3499" s="364" t="e">
        <f>VLOOKUP(B3499,'112年全品項生產鍋數'!A:H,2,0)</f>
        <v>#N/A</v>
      </c>
      <c r="D3499" s="404"/>
      <c r="E3499" s="48" t="e">
        <f>VLOOKUP(B3499,'112年全品項生產鍋數'!A:H,3,0)</f>
        <v>#N/A</v>
      </c>
      <c r="F3499" s="142" t="e">
        <f>VLOOKUP(B3499,'112年全品項生產鍋數'!A:H,7,0)</f>
        <v>#N/A</v>
      </c>
      <c r="G3499" s="143" t="e">
        <f t="shared" si="587"/>
        <v>#N/A</v>
      </c>
      <c r="H3499" s="156"/>
      <c r="I3499" s="371" t="e">
        <f t="shared" si="588"/>
        <v>#N/A</v>
      </c>
      <c r="J3499" s="100" t="e">
        <f t="shared" si="589"/>
        <v>#N/A</v>
      </c>
      <c r="K3499" s="51" t="e">
        <f>VLOOKUP(B:B,'生產達成率(目標)'!A:C,3,0)</f>
        <v>#N/A</v>
      </c>
      <c r="L3499" s="20" t="e">
        <f t="shared" si="590"/>
        <v>#N/A</v>
      </c>
      <c r="M3499" s="137"/>
      <c r="N3499" s="374"/>
      <c r="O3499" s="374">
        <f t="shared" si="591"/>
        <v>0</v>
      </c>
      <c r="P3499" s="156"/>
      <c r="Q3499" s="98" t="e">
        <f t="shared" si="592"/>
        <v>#DIV/0!</v>
      </c>
      <c r="R3499" s="371"/>
      <c r="S3499" s="372"/>
      <c r="T3499" s="364"/>
      <c r="U3499" s="264"/>
      <c r="V3499" s="264"/>
      <c r="W3499" s="424"/>
      <c r="X3499" s="264" t="s">
        <v>1867</v>
      </c>
      <c r="Y3499" s="424"/>
      <c r="Z3499" s="424"/>
      <c r="AA3499" s="424"/>
      <c r="AB3499" s="424"/>
      <c r="AC3499" s="425">
        <f t="shared" si="593"/>
        <v>0</v>
      </c>
      <c r="AD3499" s="425">
        <f t="shared" si="594"/>
        <v>0</v>
      </c>
    </row>
    <row r="3500" spans="1:30" s="361" customFormat="1" x14ac:dyDescent="0.4">
      <c r="A3500" s="402"/>
      <c r="B3500" s="392"/>
      <c r="C3500" s="364" t="e">
        <f>VLOOKUP(B3500,'112年全品項生產鍋數'!A:H,2,0)</f>
        <v>#N/A</v>
      </c>
      <c r="D3500" s="404"/>
      <c r="E3500" s="48" t="e">
        <f>VLOOKUP(B3500,'112年全品項生產鍋數'!A:H,3,0)</f>
        <v>#N/A</v>
      </c>
      <c r="F3500" s="142" t="e">
        <f>VLOOKUP(B3500,'112年全品項生產鍋數'!A:H,7,0)</f>
        <v>#N/A</v>
      </c>
      <c r="G3500" s="143" t="e">
        <f t="shared" si="587"/>
        <v>#N/A</v>
      </c>
      <c r="H3500" s="156"/>
      <c r="I3500" s="371" t="e">
        <f t="shared" si="588"/>
        <v>#N/A</v>
      </c>
      <c r="J3500" s="100" t="e">
        <f t="shared" si="589"/>
        <v>#N/A</v>
      </c>
      <c r="K3500" s="51" t="e">
        <f>VLOOKUP(B:B,'生產達成率(目標)'!A:C,3,0)</f>
        <v>#N/A</v>
      </c>
      <c r="L3500" s="20" t="e">
        <f t="shared" si="590"/>
        <v>#N/A</v>
      </c>
      <c r="M3500" s="137"/>
      <c r="N3500" s="374"/>
      <c r="O3500" s="374">
        <f t="shared" si="591"/>
        <v>0</v>
      </c>
      <c r="P3500" s="156"/>
      <c r="Q3500" s="98" t="e">
        <f t="shared" si="592"/>
        <v>#DIV/0!</v>
      </c>
      <c r="R3500" s="371"/>
      <c r="S3500" s="372"/>
      <c r="T3500" s="364"/>
      <c r="U3500" s="264"/>
      <c r="V3500" s="264"/>
      <c r="W3500" s="424"/>
      <c r="X3500" s="264" t="s">
        <v>1867</v>
      </c>
      <c r="Y3500" s="424"/>
      <c r="Z3500" s="424"/>
      <c r="AA3500" s="424"/>
      <c r="AB3500" s="424"/>
      <c r="AC3500" s="425">
        <f t="shared" si="593"/>
        <v>0</v>
      </c>
      <c r="AD3500" s="425">
        <f t="shared" si="594"/>
        <v>0</v>
      </c>
    </row>
    <row r="3501" spans="1:30" s="361" customFormat="1" x14ac:dyDescent="0.4">
      <c r="A3501" s="402"/>
      <c r="B3501" s="392"/>
      <c r="C3501" s="364" t="e">
        <f>VLOOKUP(B3501,'112年全品項生產鍋數'!A:H,2,0)</f>
        <v>#N/A</v>
      </c>
      <c r="D3501" s="404"/>
      <c r="E3501" s="48" t="e">
        <f>VLOOKUP(B3501,'112年全品項生產鍋數'!A:H,3,0)</f>
        <v>#N/A</v>
      </c>
      <c r="F3501" s="142" t="e">
        <f>VLOOKUP(B3501,'112年全品項生產鍋數'!A:H,7,0)</f>
        <v>#N/A</v>
      </c>
      <c r="G3501" s="143" t="e">
        <f t="shared" si="587"/>
        <v>#N/A</v>
      </c>
      <c r="H3501" s="156"/>
      <c r="I3501" s="371" t="e">
        <f t="shared" si="588"/>
        <v>#N/A</v>
      </c>
      <c r="J3501" s="100" t="e">
        <f t="shared" si="589"/>
        <v>#N/A</v>
      </c>
      <c r="K3501" s="51" t="e">
        <f>VLOOKUP(B:B,'生產達成率(目標)'!A:C,3,0)</f>
        <v>#N/A</v>
      </c>
      <c r="L3501" s="20" t="e">
        <f t="shared" si="590"/>
        <v>#N/A</v>
      </c>
      <c r="M3501" s="137"/>
      <c r="N3501" s="374"/>
      <c r="O3501" s="374">
        <f t="shared" si="591"/>
        <v>0</v>
      </c>
      <c r="P3501" s="156"/>
      <c r="Q3501" s="98" t="e">
        <f t="shared" si="592"/>
        <v>#DIV/0!</v>
      </c>
      <c r="R3501" s="371"/>
      <c r="S3501" s="372"/>
      <c r="T3501" s="364"/>
      <c r="U3501" s="264"/>
      <c r="V3501" s="264"/>
      <c r="W3501" s="424"/>
      <c r="X3501" s="264" t="s">
        <v>1867</v>
      </c>
      <c r="Y3501" s="424"/>
      <c r="Z3501" s="424"/>
      <c r="AA3501" s="424"/>
      <c r="AB3501" s="424"/>
      <c r="AC3501" s="425">
        <f t="shared" si="593"/>
        <v>0</v>
      </c>
      <c r="AD3501" s="425">
        <f t="shared" si="594"/>
        <v>0</v>
      </c>
    </row>
    <row r="3502" spans="1:30" s="361" customFormat="1" x14ac:dyDescent="0.4">
      <c r="A3502" s="402"/>
      <c r="B3502" s="392"/>
      <c r="C3502" s="364" t="e">
        <f>VLOOKUP(B3502,'112年全品項生產鍋數'!A:H,2,0)</f>
        <v>#N/A</v>
      </c>
      <c r="D3502" s="404"/>
      <c r="E3502" s="48" t="e">
        <f>VLOOKUP(B3502,'112年全品項生產鍋數'!A:H,3,0)</f>
        <v>#N/A</v>
      </c>
      <c r="F3502" s="142" t="e">
        <f>VLOOKUP(B3502,'112年全品項生產鍋數'!A:H,7,0)</f>
        <v>#N/A</v>
      </c>
      <c r="G3502" s="143" t="e">
        <f t="shared" si="587"/>
        <v>#N/A</v>
      </c>
      <c r="H3502" s="156"/>
      <c r="I3502" s="371" t="e">
        <f t="shared" si="588"/>
        <v>#N/A</v>
      </c>
      <c r="J3502" s="100" t="e">
        <f t="shared" si="589"/>
        <v>#N/A</v>
      </c>
      <c r="K3502" s="51" t="e">
        <f>VLOOKUP(B:B,'生產達成率(目標)'!A:C,3,0)</f>
        <v>#N/A</v>
      </c>
      <c r="L3502" s="20" t="e">
        <f t="shared" si="590"/>
        <v>#N/A</v>
      </c>
      <c r="M3502" s="137"/>
      <c r="N3502" s="374"/>
      <c r="O3502" s="374">
        <f t="shared" si="591"/>
        <v>0</v>
      </c>
      <c r="P3502" s="156"/>
      <c r="Q3502" s="98" t="e">
        <f t="shared" si="592"/>
        <v>#DIV/0!</v>
      </c>
      <c r="R3502" s="371"/>
      <c r="S3502" s="372"/>
      <c r="T3502" s="364"/>
      <c r="U3502" s="264"/>
      <c r="V3502" s="264"/>
      <c r="W3502" s="424"/>
      <c r="X3502" s="264" t="s">
        <v>1867</v>
      </c>
      <c r="Y3502" s="424"/>
      <c r="Z3502" s="424"/>
      <c r="AA3502" s="424"/>
      <c r="AB3502" s="424"/>
      <c r="AC3502" s="425">
        <f t="shared" si="593"/>
        <v>0</v>
      </c>
      <c r="AD3502" s="425">
        <f t="shared" si="594"/>
        <v>0</v>
      </c>
    </row>
    <row r="3503" spans="1:30" s="361" customFormat="1" x14ac:dyDescent="0.4">
      <c r="A3503" s="402"/>
      <c r="B3503" s="392"/>
      <c r="C3503" s="364" t="e">
        <f>VLOOKUP(B3503,'112年全品項生產鍋數'!A:H,2,0)</f>
        <v>#N/A</v>
      </c>
      <c r="D3503" s="404"/>
      <c r="E3503" s="48" t="e">
        <f>VLOOKUP(B3503,'112年全品項生產鍋數'!A:H,3,0)</f>
        <v>#N/A</v>
      </c>
      <c r="F3503" s="142" t="e">
        <f>VLOOKUP(B3503,'112年全品項生產鍋數'!A:H,7,0)</f>
        <v>#N/A</v>
      </c>
      <c r="G3503" s="143" t="e">
        <f t="shared" si="587"/>
        <v>#N/A</v>
      </c>
      <c r="H3503" s="156"/>
      <c r="I3503" s="371" t="e">
        <f t="shared" si="588"/>
        <v>#N/A</v>
      </c>
      <c r="J3503" s="100" t="e">
        <f t="shared" si="589"/>
        <v>#N/A</v>
      </c>
      <c r="K3503" s="51" t="e">
        <f>VLOOKUP(B:B,'生產達成率(目標)'!A:C,3,0)</f>
        <v>#N/A</v>
      </c>
      <c r="L3503" s="20" t="e">
        <f t="shared" si="590"/>
        <v>#N/A</v>
      </c>
      <c r="M3503" s="137"/>
      <c r="N3503" s="374"/>
      <c r="O3503" s="374">
        <f t="shared" si="591"/>
        <v>0</v>
      </c>
      <c r="P3503" s="156"/>
      <c r="Q3503" s="98" t="e">
        <f t="shared" si="592"/>
        <v>#DIV/0!</v>
      </c>
      <c r="R3503" s="371"/>
      <c r="S3503" s="372"/>
      <c r="T3503" s="364"/>
      <c r="U3503" s="264"/>
      <c r="V3503" s="264"/>
      <c r="W3503" s="424"/>
      <c r="X3503" s="264" t="s">
        <v>1867</v>
      </c>
      <c r="Y3503" s="424"/>
      <c r="Z3503" s="424"/>
      <c r="AA3503" s="424"/>
      <c r="AB3503" s="424"/>
      <c r="AC3503" s="425">
        <f t="shared" si="593"/>
        <v>0</v>
      </c>
      <c r="AD3503" s="425">
        <f t="shared" si="594"/>
        <v>0</v>
      </c>
    </row>
    <row r="3504" spans="1:30" s="361" customFormat="1" x14ac:dyDescent="0.4">
      <c r="A3504" s="402"/>
      <c r="B3504" s="392"/>
      <c r="C3504" s="364" t="e">
        <f>VLOOKUP(B3504,'112年全品項生產鍋數'!A:H,2,0)</f>
        <v>#N/A</v>
      </c>
      <c r="D3504" s="404"/>
      <c r="E3504" s="48" t="e">
        <f>VLOOKUP(B3504,'112年全品項生產鍋數'!A:H,3,0)</f>
        <v>#N/A</v>
      </c>
      <c r="F3504" s="142" t="e">
        <f>VLOOKUP(B3504,'112年全品項生產鍋數'!A:H,7,0)</f>
        <v>#N/A</v>
      </c>
      <c r="G3504" s="143" t="e">
        <f t="shared" si="587"/>
        <v>#N/A</v>
      </c>
      <c r="H3504" s="156"/>
      <c r="I3504" s="371" t="e">
        <f t="shared" si="588"/>
        <v>#N/A</v>
      </c>
      <c r="J3504" s="100" t="e">
        <f t="shared" si="589"/>
        <v>#N/A</v>
      </c>
      <c r="K3504" s="51" t="e">
        <f>VLOOKUP(B:B,'生產達成率(目標)'!A:C,3,0)</f>
        <v>#N/A</v>
      </c>
      <c r="L3504" s="20" t="e">
        <f t="shared" si="590"/>
        <v>#N/A</v>
      </c>
      <c r="M3504" s="137"/>
      <c r="N3504" s="374"/>
      <c r="O3504" s="374">
        <f t="shared" si="591"/>
        <v>0</v>
      </c>
      <c r="P3504" s="156"/>
      <c r="Q3504" s="98" t="e">
        <f t="shared" si="592"/>
        <v>#DIV/0!</v>
      </c>
      <c r="R3504" s="371"/>
      <c r="S3504" s="372"/>
      <c r="T3504" s="364"/>
      <c r="U3504" s="264"/>
      <c r="V3504" s="264"/>
      <c r="W3504" s="424"/>
      <c r="X3504" s="264" t="s">
        <v>1867</v>
      </c>
      <c r="Y3504" s="424"/>
      <c r="Z3504" s="424"/>
      <c r="AA3504" s="424"/>
      <c r="AB3504" s="424"/>
      <c r="AC3504" s="425">
        <f t="shared" si="593"/>
        <v>0</v>
      </c>
      <c r="AD3504" s="425">
        <f t="shared" si="594"/>
        <v>0</v>
      </c>
    </row>
    <row r="3505" spans="1:30" s="361" customFormat="1" x14ac:dyDescent="0.4">
      <c r="A3505" s="402"/>
      <c r="B3505" s="392"/>
      <c r="C3505" s="364" t="e">
        <f>VLOOKUP(B3505,'112年全品項生產鍋數'!A:H,2,0)</f>
        <v>#N/A</v>
      </c>
      <c r="D3505" s="404"/>
      <c r="E3505" s="48" t="e">
        <f>VLOOKUP(B3505,'112年全品項生產鍋數'!A:H,3,0)</f>
        <v>#N/A</v>
      </c>
      <c r="F3505" s="142" t="e">
        <f>VLOOKUP(B3505,'112年全品項生產鍋數'!A:H,7,0)</f>
        <v>#N/A</v>
      </c>
      <c r="G3505" s="143" t="e">
        <f t="shared" si="587"/>
        <v>#N/A</v>
      </c>
      <c r="H3505" s="156"/>
      <c r="I3505" s="371" t="e">
        <f t="shared" si="588"/>
        <v>#N/A</v>
      </c>
      <c r="J3505" s="100" t="e">
        <f t="shared" si="589"/>
        <v>#N/A</v>
      </c>
      <c r="K3505" s="51" t="e">
        <f>VLOOKUP(B:B,'生產達成率(目標)'!A:C,3,0)</f>
        <v>#N/A</v>
      </c>
      <c r="L3505" s="20" t="e">
        <f t="shared" si="590"/>
        <v>#N/A</v>
      </c>
      <c r="M3505" s="137"/>
      <c r="N3505" s="374"/>
      <c r="O3505" s="374">
        <f t="shared" si="591"/>
        <v>0</v>
      </c>
      <c r="P3505" s="156"/>
      <c r="Q3505" s="98" t="e">
        <f t="shared" si="592"/>
        <v>#DIV/0!</v>
      </c>
      <c r="R3505" s="371"/>
      <c r="S3505" s="372"/>
      <c r="T3505" s="364"/>
      <c r="U3505" s="264"/>
      <c r="V3505" s="264"/>
      <c r="W3505" s="424"/>
      <c r="X3505" s="264" t="s">
        <v>1867</v>
      </c>
      <c r="Y3505" s="424"/>
      <c r="Z3505" s="424"/>
      <c r="AA3505" s="424"/>
      <c r="AB3505" s="424"/>
      <c r="AC3505" s="425">
        <f t="shared" si="593"/>
        <v>0</v>
      </c>
      <c r="AD3505" s="425">
        <f t="shared" si="594"/>
        <v>0</v>
      </c>
    </row>
    <row r="3506" spans="1:30" s="361" customFormat="1" x14ac:dyDescent="0.4">
      <c r="A3506" s="402"/>
      <c r="B3506" s="392"/>
      <c r="C3506" s="364" t="e">
        <f>VLOOKUP(B3506,'112年全品項生產鍋數'!A:H,2,0)</f>
        <v>#N/A</v>
      </c>
      <c r="D3506" s="404"/>
      <c r="E3506" s="48" t="e">
        <f>VLOOKUP(B3506,'112年全品項生產鍋數'!A:H,3,0)</f>
        <v>#N/A</v>
      </c>
      <c r="F3506" s="142" t="e">
        <f>VLOOKUP(B3506,'112年全品項生產鍋數'!A:H,7,0)</f>
        <v>#N/A</v>
      </c>
      <c r="G3506" s="143" t="e">
        <f t="shared" si="587"/>
        <v>#N/A</v>
      </c>
      <c r="H3506" s="156"/>
      <c r="I3506" s="371" t="e">
        <f t="shared" si="588"/>
        <v>#N/A</v>
      </c>
      <c r="J3506" s="100" t="e">
        <f t="shared" si="589"/>
        <v>#N/A</v>
      </c>
      <c r="K3506" s="51" t="e">
        <f>VLOOKUP(B:B,'生產達成率(目標)'!A:C,3,0)</f>
        <v>#N/A</v>
      </c>
      <c r="L3506" s="20" t="e">
        <f t="shared" si="590"/>
        <v>#N/A</v>
      </c>
      <c r="M3506" s="137"/>
      <c r="N3506" s="374"/>
      <c r="O3506" s="374">
        <f t="shared" si="591"/>
        <v>0</v>
      </c>
      <c r="P3506" s="156"/>
      <c r="Q3506" s="98" t="e">
        <f t="shared" si="592"/>
        <v>#DIV/0!</v>
      </c>
      <c r="R3506" s="371"/>
      <c r="S3506" s="372"/>
      <c r="T3506" s="364"/>
      <c r="U3506" s="264"/>
      <c r="V3506" s="264"/>
      <c r="W3506" s="424"/>
      <c r="X3506" s="264" t="s">
        <v>1867</v>
      </c>
      <c r="Y3506" s="424"/>
      <c r="Z3506" s="424"/>
      <c r="AA3506" s="424"/>
      <c r="AB3506" s="424"/>
      <c r="AC3506" s="425">
        <f t="shared" si="593"/>
        <v>0</v>
      </c>
      <c r="AD3506" s="425">
        <f t="shared" si="594"/>
        <v>0</v>
      </c>
    </row>
    <row r="3507" spans="1:30" s="361" customFormat="1" x14ac:dyDescent="0.4">
      <c r="A3507" s="402"/>
      <c r="B3507" s="392"/>
      <c r="C3507" s="364" t="e">
        <f>VLOOKUP(B3507,'112年全品項生產鍋數'!A:H,2,0)</f>
        <v>#N/A</v>
      </c>
      <c r="D3507" s="404"/>
      <c r="E3507" s="48" t="e">
        <f>VLOOKUP(B3507,'112年全品項生產鍋數'!A:H,3,0)</f>
        <v>#N/A</v>
      </c>
      <c r="F3507" s="142" t="e">
        <f>VLOOKUP(B3507,'112年全品項生產鍋數'!A:H,7,0)</f>
        <v>#N/A</v>
      </c>
      <c r="G3507" s="143" t="e">
        <f t="shared" si="587"/>
        <v>#N/A</v>
      </c>
      <c r="H3507" s="156"/>
      <c r="I3507" s="371" t="e">
        <f t="shared" si="588"/>
        <v>#N/A</v>
      </c>
      <c r="J3507" s="100" t="e">
        <f t="shared" si="589"/>
        <v>#N/A</v>
      </c>
      <c r="K3507" s="51" t="e">
        <f>VLOOKUP(B:B,'生產達成率(目標)'!A:C,3,0)</f>
        <v>#N/A</v>
      </c>
      <c r="L3507" s="20" t="e">
        <f t="shared" si="590"/>
        <v>#N/A</v>
      </c>
      <c r="M3507" s="137"/>
      <c r="N3507" s="374"/>
      <c r="O3507" s="374">
        <f t="shared" si="591"/>
        <v>0</v>
      </c>
      <c r="P3507" s="156"/>
      <c r="Q3507" s="98" t="e">
        <f t="shared" si="592"/>
        <v>#DIV/0!</v>
      </c>
      <c r="R3507" s="371"/>
      <c r="S3507" s="372"/>
      <c r="T3507" s="364"/>
      <c r="U3507" s="264"/>
      <c r="V3507" s="264"/>
      <c r="W3507" s="424"/>
      <c r="X3507" s="264" t="s">
        <v>1867</v>
      </c>
      <c r="Y3507" s="424"/>
      <c r="Z3507" s="424"/>
      <c r="AA3507" s="424"/>
      <c r="AB3507" s="424"/>
      <c r="AC3507" s="425">
        <f t="shared" si="593"/>
        <v>0</v>
      </c>
      <c r="AD3507" s="425">
        <f t="shared" si="594"/>
        <v>0</v>
      </c>
    </row>
    <row r="3508" spans="1:30" s="361" customFormat="1" x14ac:dyDescent="0.4">
      <c r="A3508" s="402"/>
      <c r="B3508" s="392"/>
      <c r="C3508" s="364" t="e">
        <f>VLOOKUP(B3508,'112年全品項生產鍋數'!A:H,2,0)</f>
        <v>#N/A</v>
      </c>
      <c r="D3508" s="404"/>
      <c r="E3508" s="48" t="e">
        <f>VLOOKUP(B3508,'112年全品項生產鍋數'!A:H,3,0)</f>
        <v>#N/A</v>
      </c>
      <c r="F3508" s="142" t="e">
        <f>VLOOKUP(B3508,'112年全品項生產鍋數'!A:H,7,0)</f>
        <v>#N/A</v>
      </c>
      <c r="G3508" s="143" t="e">
        <f t="shared" si="587"/>
        <v>#N/A</v>
      </c>
      <c r="H3508" s="156"/>
      <c r="I3508" s="371" t="e">
        <f t="shared" si="588"/>
        <v>#N/A</v>
      </c>
      <c r="J3508" s="100" t="e">
        <f t="shared" si="589"/>
        <v>#N/A</v>
      </c>
      <c r="K3508" s="51" t="e">
        <f>VLOOKUP(B:B,'生產達成率(目標)'!A:C,3,0)</f>
        <v>#N/A</v>
      </c>
      <c r="L3508" s="20" t="e">
        <f t="shared" si="590"/>
        <v>#N/A</v>
      </c>
      <c r="M3508" s="137"/>
      <c r="N3508" s="374"/>
      <c r="O3508" s="374">
        <f t="shared" si="591"/>
        <v>0</v>
      </c>
      <c r="P3508" s="156"/>
      <c r="Q3508" s="98" t="e">
        <f t="shared" si="592"/>
        <v>#DIV/0!</v>
      </c>
      <c r="R3508" s="371"/>
      <c r="S3508" s="372"/>
      <c r="T3508" s="364"/>
      <c r="U3508" s="264"/>
      <c r="V3508" s="264"/>
      <c r="W3508" s="424"/>
      <c r="X3508" s="264" t="s">
        <v>1867</v>
      </c>
      <c r="Y3508" s="424"/>
      <c r="Z3508" s="424"/>
      <c r="AA3508" s="424"/>
      <c r="AB3508" s="424"/>
      <c r="AC3508" s="425">
        <f t="shared" si="593"/>
        <v>0</v>
      </c>
      <c r="AD3508" s="425">
        <f t="shared" si="594"/>
        <v>0</v>
      </c>
    </row>
    <row r="3509" spans="1:30" s="361" customFormat="1" x14ac:dyDescent="0.4">
      <c r="A3509" s="402"/>
      <c r="B3509" s="392"/>
      <c r="C3509" s="364" t="e">
        <f>VLOOKUP(B3509,'112年全品項生產鍋數'!A:H,2,0)</f>
        <v>#N/A</v>
      </c>
      <c r="D3509" s="404"/>
      <c r="E3509" s="48" t="e">
        <f>VLOOKUP(B3509,'112年全品項生產鍋數'!A:H,3,0)</f>
        <v>#N/A</v>
      </c>
      <c r="F3509" s="142" t="e">
        <f>VLOOKUP(B3509,'112年全品項生產鍋數'!A:H,7,0)</f>
        <v>#N/A</v>
      </c>
      <c r="G3509" s="143" t="e">
        <f t="shared" si="587"/>
        <v>#N/A</v>
      </c>
      <c r="H3509" s="156"/>
      <c r="I3509" s="371" t="e">
        <f t="shared" si="588"/>
        <v>#N/A</v>
      </c>
      <c r="J3509" s="100" t="e">
        <f t="shared" si="589"/>
        <v>#N/A</v>
      </c>
      <c r="K3509" s="51" t="e">
        <f>VLOOKUP(B:B,'生產達成率(目標)'!A:C,3,0)</f>
        <v>#N/A</v>
      </c>
      <c r="L3509" s="20" t="e">
        <f t="shared" si="590"/>
        <v>#N/A</v>
      </c>
      <c r="M3509" s="137"/>
      <c r="N3509" s="374"/>
      <c r="O3509" s="374">
        <f t="shared" si="591"/>
        <v>0</v>
      </c>
      <c r="P3509" s="156"/>
      <c r="Q3509" s="98" t="e">
        <f t="shared" si="592"/>
        <v>#DIV/0!</v>
      </c>
      <c r="R3509" s="371"/>
      <c r="S3509" s="372"/>
      <c r="T3509" s="364"/>
      <c r="U3509" s="264"/>
      <c r="V3509" s="264"/>
      <c r="W3509" s="424"/>
      <c r="X3509" s="264" t="s">
        <v>1867</v>
      </c>
      <c r="Y3509" s="424"/>
      <c r="Z3509" s="424"/>
      <c r="AA3509" s="424"/>
      <c r="AB3509" s="424"/>
      <c r="AC3509" s="425">
        <f t="shared" si="593"/>
        <v>0</v>
      </c>
      <c r="AD3509" s="425">
        <f t="shared" si="594"/>
        <v>0</v>
      </c>
    </row>
    <row r="3510" spans="1:30" s="361" customFormat="1" x14ac:dyDescent="0.4">
      <c r="A3510" s="402"/>
      <c r="B3510" s="392"/>
      <c r="C3510" s="364" t="e">
        <f>VLOOKUP(B3510,'112年全品項生產鍋數'!A:H,2,0)</f>
        <v>#N/A</v>
      </c>
      <c r="D3510" s="404"/>
      <c r="E3510" s="48" t="e">
        <f>VLOOKUP(B3510,'112年全品項生產鍋數'!A:H,3,0)</f>
        <v>#N/A</v>
      </c>
      <c r="F3510" s="142" t="e">
        <f>VLOOKUP(B3510,'112年全品項生產鍋數'!A:H,7,0)</f>
        <v>#N/A</v>
      </c>
      <c r="G3510" s="143" t="e">
        <f t="shared" si="587"/>
        <v>#N/A</v>
      </c>
      <c r="H3510" s="156"/>
      <c r="I3510" s="371" t="e">
        <f t="shared" si="588"/>
        <v>#N/A</v>
      </c>
      <c r="J3510" s="100" t="e">
        <f t="shared" si="589"/>
        <v>#N/A</v>
      </c>
      <c r="K3510" s="51" t="e">
        <f>VLOOKUP(B:B,'生產達成率(目標)'!A:C,3,0)</f>
        <v>#N/A</v>
      </c>
      <c r="L3510" s="20" t="e">
        <f t="shared" si="590"/>
        <v>#N/A</v>
      </c>
      <c r="M3510" s="137"/>
      <c r="N3510" s="374"/>
      <c r="O3510" s="374">
        <f t="shared" si="591"/>
        <v>0</v>
      </c>
      <c r="P3510" s="156"/>
      <c r="Q3510" s="98" t="e">
        <f t="shared" si="592"/>
        <v>#DIV/0!</v>
      </c>
      <c r="R3510" s="371"/>
      <c r="S3510" s="372"/>
      <c r="T3510" s="364"/>
      <c r="U3510" s="264"/>
      <c r="V3510" s="264"/>
      <c r="W3510" s="424"/>
      <c r="X3510" s="264" t="s">
        <v>1867</v>
      </c>
      <c r="Y3510" s="424"/>
      <c r="Z3510" s="424"/>
      <c r="AA3510" s="424"/>
      <c r="AB3510" s="424"/>
      <c r="AC3510" s="425">
        <f t="shared" si="593"/>
        <v>0</v>
      </c>
      <c r="AD3510" s="425">
        <f t="shared" si="594"/>
        <v>0</v>
      </c>
    </row>
    <row r="3511" spans="1:30" s="361" customFormat="1" x14ac:dyDescent="0.4">
      <c r="A3511" s="402"/>
      <c r="B3511" s="392"/>
      <c r="C3511" s="364" t="e">
        <f>VLOOKUP(B3511,'112年全品項生產鍋數'!A:H,2,0)</f>
        <v>#N/A</v>
      </c>
      <c r="D3511" s="404"/>
      <c r="E3511" s="48" t="e">
        <f>VLOOKUP(B3511,'112年全品項生產鍋數'!A:H,3,0)</f>
        <v>#N/A</v>
      </c>
      <c r="F3511" s="142" t="e">
        <f>VLOOKUP(B3511,'112年全品項生產鍋數'!A:H,7,0)</f>
        <v>#N/A</v>
      </c>
      <c r="G3511" s="143" t="e">
        <f t="shared" ref="G3511:G3574" si="595">D3511*F3511</f>
        <v>#N/A</v>
      </c>
      <c r="H3511" s="156"/>
      <c r="I3511" s="371" t="e">
        <f t="shared" ref="I3511:I3574" si="596">H3511*E3511</f>
        <v>#N/A</v>
      </c>
      <c r="J3511" s="100" t="e">
        <f t="shared" ref="J3511:J3574" si="597">IF(G3511=0,"無法預估數據",H3511/G3511)</f>
        <v>#N/A</v>
      </c>
      <c r="K3511" s="51" t="e">
        <f>VLOOKUP(B:B,'生產達成率(目標)'!A:C,3,0)</f>
        <v>#N/A</v>
      </c>
      <c r="L3511" s="20" t="e">
        <f t="shared" ref="L3511:L3574" si="598">IF(G3511=0,"無法預估數據",ROUND(J3511-K3511,3))</f>
        <v>#N/A</v>
      </c>
      <c r="M3511" s="137"/>
      <c r="N3511" s="374"/>
      <c r="O3511" s="374">
        <f t="shared" ref="O3511:O3574" si="599">H3511-N3511-P3511</f>
        <v>0</v>
      </c>
      <c r="P3511" s="156"/>
      <c r="Q3511" s="98" t="e">
        <f t="shared" ref="Q3511:Q3574" si="600">P3511/H3511</f>
        <v>#DIV/0!</v>
      </c>
      <c r="R3511" s="371"/>
      <c r="S3511" s="372"/>
      <c r="T3511" s="364"/>
      <c r="U3511" s="264"/>
      <c r="V3511" s="264"/>
      <c r="W3511" s="424"/>
      <c r="X3511" s="264" t="s">
        <v>1867</v>
      </c>
      <c r="Y3511" s="424"/>
      <c r="Z3511" s="424"/>
      <c r="AA3511" s="424"/>
      <c r="AB3511" s="424"/>
      <c r="AC3511" s="425">
        <f t="shared" si="593"/>
        <v>0</v>
      </c>
      <c r="AD3511" s="425">
        <f t="shared" si="594"/>
        <v>0</v>
      </c>
    </row>
    <row r="3512" spans="1:30" s="361" customFormat="1" x14ac:dyDescent="0.4">
      <c r="A3512" s="402"/>
      <c r="B3512" s="392"/>
      <c r="C3512" s="364" t="e">
        <f>VLOOKUP(B3512,'112年全品項生產鍋數'!A:H,2,0)</f>
        <v>#N/A</v>
      </c>
      <c r="D3512" s="404"/>
      <c r="E3512" s="48" t="e">
        <f>VLOOKUP(B3512,'112年全品項生產鍋數'!A:H,3,0)</f>
        <v>#N/A</v>
      </c>
      <c r="F3512" s="142" t="e">
        <f>VLOOKUP(B3512,'112年全品項生產鍋數'!A:H,7,0)</f>
        <v>#N/A</v>
      </c>
      <c r="G3512" s="143" t="e">
        <f t="shared" si="595"/>
        <v>#N/A</v>
      </c>
      <c r="H3512" s="156"/>
      <c r="I3512" s="371" t="e">
        <f t="shared" si="596"/>
        <v>#N/A</v>
      </c>
      <c r="J3512" s="100" t="e">
        <f t="shared" si="597"/>
        <v>#N/A</v>
      </c>
      <c r="K3512" s="51" t="e">
        <f>VLOOKUP(B:B,'生產達成率(目標)'!A:C,3,0)</f>
        <v>#N/A</v>
      </c>
      <c r="L3512" s="20" t="e">
        <f t="shared" si="598"/>
        <v>#N/A</v>
      </c>
      <c r="M3512" s="137"/>
      <c r="N3512" s="374"/>
      <c r="O3512" s="374">
        <f t="shared" si="599"/>
        <v>0</v>
      </c>
      <c r="P3512" s="156"/>
      <c r="Q3512" s="98" t="e">
        <f t="shared" si="600"/>
        <v>#DIV/0!</v>
      </c>
      <c r="R3512" s="371"/>
      <c r="S3512" s="372"/>
      <c r="T3512" s="364"/>
      <c r="U3512" s="264"/>
      <c r="V3512" s="264"/>
      <c r="W3512" s="424"/>
      <c r="X3512" s="264" t="s">
        <v>1867</v>
      </c>
      <c r="Y3512" s="424"/>
      <c r="Z3512" s="424"/>
      <c r="AA3512" s="424"/>
      <c r="AB3512" s="424"/>
      <c r="AC3512" s="425">
        <f t="shared" si="593"/>
        <v>0</v>
      </c>
      <c r="AD3512" s="425">
        <f t="shared" si="594"/>
        <v>0</v>
      </c>
    </row>
    <row r="3513" spans="1:30" s="361" customFormat="1" x14ac:dyDescent="0.4">
      <c r="A3513" s="402"/>
      <c r="B3513" s="392"/>
      <c r="C3513" s="364" t="e">
        <f>VLOOKUP(B3513,'112年全品項生產鍋數'!A:H,2,0)</f>
        <v>#N/A</v>
      </c>
      <c r="D3513" s="404"/>
      <c r="E3513" s="48" t="e">
        <f>VLOOKUP(B3513,'112年全品項生產鍋數'!A:H,3,0)</f>
        <v>#N/A</v>
      </c>
      <c r="F3513" s="142" t="e">
        <f>VLOOKUP(B3513,'112年全品項生產鍋數'!A:H,7,0)</f>
        <v>#N/A</v>
      </c>
      <c r="G3513" s="143" t="e">
        <f t="shared" si="595"/>
        <v>#N/A</v>
      </c>
      <c r="H3513" s="156"/>
      <c r="I3513" s="371" t="e">
        <f t="shared" si="596"/>
        <v>#N/A</v>
      </c>
      <c r="J3513" s="100" t="e">
        <f t="shared" si="597"/>
        <v>#N/A</v>
      </c>
      <c r="K3513" s="51" t="e">
        <f>VLOOKUP(B:B,'生產達成率(目標)'!A:C,3,0)</f>
        <v>#N/A</v>
      </c>
      <c r="L3513" s="20" t="e">
        <f t="shared" si="598"/>
        <v>#N/A</v>
      </c>
      <c r="M3513" s="137"/>
      <c r="N3513" s="374"/>
      <c r="O3513" s="374">
        <f t="shared" si="599"/>
        <v>0</v>
      </c>
      <c r="P3513" s="156"/>
      <c r="Q3513" s="98" t="e">
        <f t="shared" si="600"/>
        <v>#DIV/0!</v>
      </c>
      <c r="R3513" s="371"/>
      <c r="S3513" s="372"/>
      <c r="T3513" s="364"/>
      <c r="U3513" s="264"/>
      <c r="V3513" s="264"/>
      <c r="W3513" s="424"/>
      <c r="X3513" s="264" t="s">
        <v>1867</v>
      </c>
      <c r="Y3513" s="424"/>
      <c r="Z3513" s="424"/>
      <c r="AA3513" s="424"/>
      <c r="AB3513" s="424"/>
      <c r="AC3513" s="425">
        <f t="shared" si="593"/>
        <v>0</v>
      </c>
      <c r="AD3513" s="425">
        <f t="shared" si="594"/>
        <v>0</v>
      </c>
    </row>
    <row r="3514" spans="1:30" s="361" customFormat="1" x14ac:dyDescent="0.4">
      <c r="A3514" s="402"/>
      <c r="B3514" s="392"/>
      <c r="C3514" s="364" t="e">
        <f>VLOOKUP(B3514,'112年全品項生產鍋數'!A:H,2,0)</f>
        <v>#N/A</v>
      </c>
      <c r="D3514" s="404"/>
      <c r="E3514" s="48" t="e">
        <f>VLOOKUP(B3514,'112年全品項生產鍋數'!A:H,3,0)</f>
        <v>#N/A</v>
      </c>
      <c r="F3514" s="142" t="e">
        <f>VLOOKUP(B3514,'112年全品項生產鍋數'!A:H,7,0)</f>
        <v>#N/A</v>
      </c>
      <c r="G3514" s="143" t="e">
        <f t="shared" si="595"/>
        <v>#N/A</v>
      </c>
      <c r="H3514" s="156"/>
      <c r="I3514" s="371" t="e">
        <f t="shared" si="596"/>
        <v>#N/A</v>
      </c>
      <c r="J3514" s="100" t="e">
        <f t="shared" si="597"/>
        <v>#N/A</v>
      </c>
      <c r="K3514" s="51" t="e">
        <f>VLOOKUP(B:B,'生產達成率(目標)'!A:C,3,0)</f>
        <v>#N/A</v>
      </c>
      <c r="L3514" s="20" t="e">
        <f t="shared" si="598"/>
        <v>#N/A</v>
      </c>
      <c r="M3514" s="137"/>
      <c r="N3514" s="374"/>
      <c r="O3514" s="374">
        <f t="shared" si="599"/>
        <v>0</v>
      </c>
      <c r="P3514" s="156"/>
      <c r="Q3514" s="98" t="e">
        <f t="shared" si="600"/>
        <v>#DIV/0!</v>
      </c>
      <c r="R3514" s="371"/>
      <c r="S3514" s="372"/>
      <c r="T3514" s="364"/>
      <c r="U3514" s="264"/>
      <c r="V3514" s="264"/>
      <c r="W3514" s="424"/>
      <c r="X3514" s="264" t="s">
        <v>1867</v>
      </c>
      <c r="Y3514" s="424"/>
      <c r="Z3514" s="424"/>
      <c r="AA3514" s="424"/>
      <c r="AB3514" s="424"/>
      <c r="AC3514" s="425">
        <f t="shared" si="593"/>
        <v>0</v>
      </c>
      <c r="AD3514" s="425">
        <f t="shared" si="594"/>
        <v>0</v>
      </c>
    </row>
    <row r="3515" spans="1:30" s="361" customFormat="1" x14ac:dyDescent="0.4">
      <c r="A3515" s="402"/>
      <c r="B3515" s="392"/>
      <c r="C3515" s="364" t="e">
        <f>VLOOKUP(B3515,'112年全品項生產鍋數'!A:H,2,0)</f>
        <v>#N/A</v>
      </c>
      <c r="D3515" s="404"/>
      <c r="E3515" s="48" t="e">
        <f>VLOOKUP(B3515,'112年全品項生產鍋數'!A:H,3,0)</f>
        <v>#N/A</v>
      </c>
      <c r="F3515" s="142" t="e">
        <f>VLOOKUP(B3515,'112年全品項生產鍋數'!A:H,7,0)</f>
        <v>#N/A</v>
      </c>
      <c r="G3515" s="143" t="e">
        <f t="shared" si="595"/>
        <v>#N/A</v>
      </c>
      <c r="H3515" s="156"/>
      <c r="I3515" s="371" t="e">
        <f t="shared" si="596"/>
        <v>#N/A</v>
      </c>
      <c r="J3515" s="100" t="e">
        <f t="shared" si="597"/>
        <v>#N/A</v>
      </c>
      <c r="K3515" s="51" t="e">
        <f>VLOOKUP(B:B,'生產達成率(目標)'!A:C,3,0)</f>
        <v>#N/A</v>
      </c>
      <c r="L3515" s="20" t="e">
        <f t="shared" si="598"/>
        <v>#N/A</v>
      </c>
      <c r="M3515" s="137"/>
      <c r="N3515" s="374"/>
      <c r="O3515" s="374">
        <f t="shared" si="599"/>
        <v>0</v>
      </c>
      <c r="P3515" s="156"/>
      <c r="Q3515" s="98" t="e">
        <f t="shared" si="600"/>
        <v>#DIV/0!</v>
      </c>
      <c r="R3515" s="371"/>
      <c r="S3515" s="372"/>
      <c r="T3515" s="364"/>
      <c r="U3515" s="264"/>
      <c r="V3515" s="264"/>
      <c r="W3515" s="424"/>
      <c r="X3515" s="264" t="s">
        <v>1867</v>
      </c>
      <c r="Y3515" s="424"/>
      <c r="Z3515" s="424"/>
      <c r="AA3515" s="424"/>
      <c r="AB3515" s="424"/>
      <c r="AC3515" s="425">
        <f t="shared" si="593"/>
        <v>0</v>
      </c>
      <c r="AD3515" s="425">
        <f t="shared" si="594"/>
        <v>0</v>
      </c>
    </row>
    <row r="3516" spans="1:30" s="361" customFormat="1" x14ac:dyDescent="0.4">
      <c r="A3516" s="402"/>
      <c r="B3516" s="392"/>
      <c r="C3516" s="364" t="e">
        <f>VLOOKUP(B3516,'112年全品項生產鍋數'!A:H,2,0)</f>
        <v>#N/A</v>
      </c>
      <c r="D3516" s="404"/>
      <c r="E3516" s="48" t="e">
        <f>VLOOKUP(B3516,'112年全品項生產鍋數'!A:H,3,0)</f>
        <v>#N/A</v>
      </c>
      <c r="F3516" s="142" t="e">
        <f>VLOOKUP(B3516,'112年全品項生產鍋數'!A:H,7,0)</f>
        <v>#N/A</v>
      </c>
      <c r="G3516" s="143" t="e">
        <f t="shared" si="595"/>
        <v>#N/A</v>
      </c>
      <c r="H3516" s="156"/>
      <c r="I3516" s="371" t="e">
        <f t="shared" si="596"/>
        <v>#N/A</v>
      </c>
      <c r="J3516" s="100" t="e">
        <f t="shared" si="597"/>
        <v>#N/A</v>
      </c>
      <c r="K3516" s="51" t="e">
        <f>VLOOKUP(B:B,'生產達成率(目標)'!A:C,3,0)</f>
        <v>#N/A</v>
      </c>
      <c r="L3516" s="20" t="e">
        <f t="shared" si="598"/>
        <v>#N/A</v>
      </c>
      <c r="M3516" s="137"/>
      <c r="N3516" s="374"/>
      <c r="O3516" s="374">
        <f t="shared" si="599"/>
        <v>0</v>
      </c>
      <c r="P3516" s="156"/>
      <c r="Q3516" s="98" t="e">
        <f t="shared" si="600"/>
        <v>#DIV/0!</v>
      </c>
      <c r="R3516" s="371"/>
      <c r="S3516" s="372"/>
      <c r="T3516" s="364"/>
      <c r="U3516" s="264"/>
      <c r="V3516" s="264"/>
      <c r="W3516" s="424"/>
      <c r="X3516" s="264" t="s">
        <v>1867</v>
      </c>
      <c r="Y3516" s="424"/>
      <c r="Z3516" s="424"/>
      <c r="AA3516" s="424"/>
      <c r="AB3516" s="424"/>
      <c r="AC3516" s="425">
        <f t="shared" si="593"/>
        <v>0</v>
      </c>
      <c r="AD3516" s="425">
        <f t="shared" si="594"/>
        <v>0</v>
      </c>
    </row>
    <row r="3517" spans="1:30" s="361" customFormat="1" x14ac:dyDescent="0.4">
      <c r="A3517" s="402"/>
      <c r="B3517" s="392"/>
      <c r="C3517" s="364" t="e">
        <f>VLOOKUP(B3517,'112年全品項生產鍋數'!A:H,2,0)</f>
        <v>#N/A</v>
      </c>
      <c r="D3517" s="404"/>
      <c r="E3517" s="48" t="e">
        <f>VLOOKUP(B3517,'112年全品項生產鍋數'!A:H,3,0)</f>
        <v>#N/A</v>
      </c>
      <c r="F3517" s="142" t="e">
        <f>VLOOKUP(B3517,'112年全品項生產鍋數'!A:H,7,0)</f>
        <v>#N/A</v>
      </c>
      <c r="G3517" s="143" t="e">
        <f t="shared" si="595"/>
        <v>#N/A</v>
      </c>
      <c r="H3517" s="156"/>
      <c r="I3517" s="371" t="e">
        <f t="shared" si="596"/>
        <v>#N/A</v>
      </c>
      <c r="J3517" s="100" t="e">
        <f t="shared" si="597"/>
        <v>#N/A</v>
      </c>
      <c r="K3517" s="51" t="e">
        <f>VLOOKUP(B:B,'生產達成率(目標)'!A:C,3,0)</f>
        <v>#N/A</v>
      </c>
      <c r="L3517" s="20" t="e">
        <f t="shared" si="598"/>
        <v>#N/A</v>
      </c>
      <c r="M3517" s="137"/>
      <c r="N3517" s="374"/>
      <c r="O3517" s="374">
        <f t="shared" si="599"/>
        <v>0</v>
      </c>
      <c r="P3517" s="156"/>
      <c r="Q3517" s="98" t="e">
        <f t="shared" si="600"/>
        <v>#DIV/0!</v>
      </c>
      <c r="R3517" s="371"/>
      <c r="S3517" s="372"/>
      <c r="T3517" s="364"/>
      <c r="U3517" s="264"/>
      <c r="V3517" s="264"/>
      <c r="W3517" s="424"/>
      <c r="X3517" s="264" t="s">
        <v>1867</v>
      </c>
      <c r="Y3517" s="424"/>
      <c r="Z3517" s="424"/>
      <c r="AA3517" s="424"/>
      <c r="AB3517" s="424"/>
      <c r="AC3517" s="425">
        <f t="shared" si="593"/>
        <v>0</v>
      </c>
      <c r="AD3517" s="425">
        <f t="shared" si="594"/>
        <v>0</v>
      </c>
    </row>
    <row r="3518" spans="1:30" s="361" customFormat="1" x14ac:dyDescent="0.4">
      <c r="A3518" s="402"/>
      <c r="B3518" s="392"/>
      <c r="C3518" s="364" t="e">
        <f>VLOOKUP(B3518,'112年全品項生產鍋數'!A:H,2,0)</f>
        <v>#N/A</v>
      </c>
      <c r="D3518" s="404"/>
      <c r="E3518" s="48" t="e">
        <f>VLOOKUP(B3518,'112年全品項生產鍋數'!A:H,3,0)</f>
        <v>#N/A</v>
      </c>
      <c r="F3518" s="142" t="e">
        <f>VLOOKUP(B3518,'112年全品項生產鍋數'!A:H,7,0)</f>
        <v>#N/A</v>
      </c>
      <c r="G3518" s="143" t="e">
        <f t="shared" si="595"/>
        <v>#N/A</v>
      </c>
      <c r="H3518" s="156"/>
      <c r="I3518" s="371" t="e">
        <f t="shared" si="596"/>
        <v>#N/A</v>
      </c>
      <c r="J3518" s="100" t="e">
        <f t="shared" si="597"/>
        <v>#N/A</v>
      </c>
      <c r="K3518" s="51" t="e">
        <f>VLOOKUP(B:B,'生產達成率(目標)'!A:C,3,0)</f>
        <v>#N/A</v>
      </c>
      <c r="L3518" s="20" t="e">
        <f t="shared" si="598"/>
        <v>#N/A</v>
      </c>
      <c r="M3518" s="137"/>
      <c r="N3518" s="374"/>
      <c r="O3518" s="374">
        <f t="shared" si="599"/>
        <v>0</v>
      </c>
      <c r="P3518" s="156"/>
      <c r="Q3518" s="98" t="e">
        <f t="shared" si="600"/>
        <v>#DIV/0!</v>
      </c>
      <c r="R3518" s="371"/>
      <c r="S3518" s="372"/>
      <c r="T3518" s="364"/>
      <c r="U3518" s="264"/>
      <c r="V3518" s="264"/>
      <c r="W3518" s="424"/>
      <c r="X3518" s="264" t="s">
        <v>1867</v>
      </c>
      <c r="Y3518" s="424"/>
      <c r="Z3518" s="424"/>
      <c r="AA3518" s="424"/>
      <c r="AB3518" s="424"/>
      <c r="AC3518" s="425">
        <f t="shared" si="593"/>
        <v>0</v>
      </c>
      <c r="AD3518" s="425">
        <f t="shared" si="594"/>
        <v>0</v>
      </c>
    </row>
    <row r="3519" spans="1:30" s="361" customFormat="1" x14ac:dyDescent="0.4">
      <c r="A3519" s="402"/>
      <c r="B3519" s="392"/>
      <c r="C3519" s="364" t="e">
        <f>VLOOKUP(B3519,'112年全品項生產鍋數'!A:H,2,0)</f>
        <v>#N/A</v>
      </c>
      <c r="D3519" s="404"/>
      <c r="E3519" s="48" t="e">
        <f>VLOOKUP(B3519,'112年全品項生產鍋數'!A:H,3,0)</f>
        <v>#N/A</v>
      </c>
      <c r="F3519" s="142" t="e">
        <f>VLOOKUP(B3519,'112年全品項生產鍋數'!A:H,7,0)</f>
        <v>#N/A</v>
      </c>
      <c r="G3519" s="143" t="e">
        <f t="shared" si="595"/>
        <v>#N/A</v>
      </c>
      <c r="H3519" s="156"/>
      <c r="I3519" s="371" t="e">
        <f t="shared" si="596"/>
        <v>#N/A</v>
      </c>
      <c r="J3519" s="100" t="e">
        <f t="shared" si="597"/>
        <v>#N/A</v>
      </c>
      <c r="K3519" s="51" t="e">
        <f>VLOOKUP(B:B,'生產達成率(目標)'!A:C,3,0)</f>
        <v>#N/A</v>
      </c>
      <c r="L3519" s="20" t="e">
        <f t="shared" si="598"/>
        <v>#N/A</v>
      </c>
      <c r="M3519" s="137"/>
      <c r="N3519" s="374"/>
      <c r="O3519" s="374">
        <f t="shared" si="599"/>
        <v>0</v>
      </c>
      <c r="P3519" s="156"/>
      <c r="Q3519" s="98" t="e">
        <f t="shared" si="600"/>
        <v>#DIV/0!</v>
      </c>
      <c r="R3519" s="371"/>
      <c r="S3519" s="372"/>
      <c r="T3519" s="364"/>
      <c r="U3519" s="264"/>
      <c r="V3519" s="264"/>
      <c r="W3519" s="424"/>
      <c r="X3519" s="264" t="s">
        <v>1867</v>
      </c>
      <c r="Y3519" s="424"/>
      <c r="Z3519" s="424"/>
      <c r="AA3519" s="424"/>
      <c r="AB3519" s="424"/>
      <c r="AC3519" s="425">
        <f t="shared" si="593"/>
        <v>0</v>
      </c>
      <c r="AD3519" s="425">
        <f t="shared" si="594"/>
        <v>0</v>
      </c>
    </row>
    <row r="3520" spans="1:30" s="361" customFormat="1" x14ac:dyDescent="0.4">
      <c r="A3520" s="402"/>
      <c r="B3520" s="392"/>
      <c r="C3520" s="364" t="e">
        <f>VLOOKUP(B3520,'112年全品項生產鍋數'!A:H,2,0)</f>
        <v>#N/A</v>
      </c>
      <c r="D3520" s="404"/>
      <c r="E3520" s="48" t="e">
        <f>VLOOKUP(B3520,'112年全品項生產鍋數'!A:H,3,0)</f>
        <v>#N/A</v>
      </c>
      <c r="F3520" s="142" t="e">
        <f>VLOOKUP(B3520,'112年全品項生產鍋數'!A:H,7,0)</f>
        <v>#N/A</v>
      </c>
      <c r="G3520" s="143" t="e">
        <f t="shared" si="595"/>
        <v>#N/A</v>
      </c>
      <c r="H3520" s="156"/>
      <c r="I3520" s="371" t="e">
        <f t="shared" si="596"/>
        <v>#N/A</v>
      </c>
      <c r="J3520" s="100" t="e">
        <f t="shared" si="597"/>
        <v>#N/A</v>
      </c>
      <c r="K3520" s="51" t="e">
        <f>VLOOKUP(B:B,'生產達成率(目標)'!A:C,3,0)</f>
        <v>#N/A</v>
      </c>
      <c r="L3520" s="20" t="e">
        <f t="shared" si="598"/>
        <v>#N/A</v>
      </c>
      <c r="M3520" s="137"/>
      <c r="N3520" s="374"/>
      <c r="O3520" s="374">
        <f t="shared" si="599"/>
        <v>0</v>
      </c>
      <c r="P3520" s="156"/>
      <c r="Q3520" s="98" t="e">
        <f t="shared" si="600"/>
        <v>#DIV/0!</v>
      </c>
      <c r="R3520" s="371"/>
      <c r="S3520" s="372"/>
      <c r="T3520" s="364"/>
      <c r="U3520" s="264"/>
      <c r="V3520" s="264"/>
      <c r="W3520" s="424"/>
      <c r="X3520" s="264" t="s">
        <v>1867</v>
      </c>
      <c r="Y3520" s="424"/>
      <c r="Z3520" s="424"/>
      <c r="AA3520" s="424"/>
      <c r="AB3520" s="424"/>
      <c r="AC3520" s="425">
        <f t="shared" si="593"/>
        <v>0</v>
      </c>
      <c r="AD3520" s="425">
        <f t="shared" si="594"/>
        <v>0</v>
      </c>
    </row>
    <row r="3521" spans="1:30" s="361" customFormat="1" x14ac:dyDescent="0.4">
      <c r="A3521" s="402"/>
      <c r="B3521" s="392"/>
      <c r="C3521" s="364" t="e">
        <f>VLOOKUP(B3521,'112年全品項生產鍋數'!A:H,2,0)</f>
        <v>#N/A</v>
      </c>
      <c r="D3521" s="404"/>
      <c r="E3521" s="48" t="e">
        <f>VLOOKUP(B3521,'112年全品項生產鍋數'!A:H,3,0)</f>
        <v>#N/A</v>
      </c>
      <c r="F3521" s="142" t="e">
        <f>VLOOKUP(B3521,'112年全品項生產鍋數'!A:H,7,0)</f>
        <v>#N/A</v>
      </c>
      <c r="G3521" s="143" t="e">
        <f t="shared" si="595"/>
        <v>#N/A</v>
      </c>
      <c r="H3521" s="156"/>
      <c r="I3521" s="371" t="e">
        <f t="shared" si="596"/>
        <v>#N/A</v>
      </c>
      <c r="J3521" s="100" t="e">
        <f t="shared" si="597"/>
        <v>#N/A</v>
      </c>
      <c r="K3521" s="51" t="e">
        <f>VLOOKUP(B:B,'生產達成率(目標)'!A:C,3,0)</f>
        <v>#N/A</v>
      </c>
      <c r="L3521" s="20" t="e">
        <f t="shared" si="598"/>
        <v>#N/A</v>
      </c>
      <c r="M3521" s="137"/>
      <c r="N3521" s="374"/>
      <c r="O3521" s="374">
        <f t="shared" si="599"/>
        <v>0</v>
      </c>
      <c r="P3521" s="156"/>
      <c r="Q3521" s="98" t="e">
        <f t="shared" si="600"/>
        <v>#DIV/0!</v>
      </c>
      <c r="R3521" s="371"/>
      <c r="S3521" s="372"/>
      <c r="T3521" s="364"/>
      <c r="U3521" s="264"/>
      <c r="V3521" s="264"/>
      <c r="W3521" s="424"/>
      <c r="X3521" s="264" t="s">
        <v>1867</v>
      </c>
      <c r="Y3521" s="424"/>
      <c r="Z3521" s="424"/>
      <c r="AA3521" s="424"/>
      <c r="AB3521" s="424"/>
      <c r="AC3521" s="425">
        <f t="shared" si="593"/>
        <v>0</v>
      </c>
      <c r="AD3521" s="425">
        <f t="shared" si="594"/>
        <v>0</v>
      </c>
    </row>
    <row r="3522" spans="1:30" s="361" customFormat="1" x14ac:dyDescent="0.4">
      <c r="A3522" s="402"/>
      <c r="B3522" s="392"/>
      <c r="C3522" s="364" t="e">
        <f>VLOOKUP(B3522,'112年全品項生產鍋數'!A:H,2,0)</f>
        <v>#N/A</v>
      </c>
      <c r="D3522" s="404"/>
      <c r="E3522" s="48" t="e">
        <f>VLOOKUP(B3522,'112年全品項生產鍋數'!A:H,3,0)</f>
        <v>#N/A</v>
      </c>
      <c r="F3522" s="142" t="e">
        <f>VLOOKUP(B3522,'112年全品項生產鍋數'!A:H,7,0)</f>
        <v>#N/A</v>
      </c>
      <c r="G3522" s="143" t="e">
        <f t="shared" si="595"/>
        <v>#N/A</v>
      </c>
      <c r="H3522" s="156"/>
      <c r="I3522" s="371" t="e">
        <f t="shared" si="596"/>
        <v>#N/A</v>
      </c>
      <c r="J3522" s="100" t="e">
        <f t="shared" si="597"/>
        <v>#N/A</v>
      </c>
      <c r="K3522" s="51" t="e">
        <f>VLOOKUP(B:B,'生產達成率(目標)'!A:C,3,0)</f>
        <v>#N/A</v>
      </c>
      <c r="L3522" s="20" t="e">
        <f t="shared" si="598"/>
        <v>#N/A</v>
      </c>
      <c r="M3522" s="137"/>
      <c r="N3522" s="374"/>
      <c r="O3522" s="374">
        <f t="shared" si="599"/>
        <v>0</v>
      </c>
      <c r="P3522" s="156"/>
      <c r="Q3522" s="98" t="e">
        <f t="shared" si="600"/>
        <v>#DIV/0!</v>
      </c>
      <c r="R3522" s="371"/>
      <c r="S3522" s="372"/>
      <c r="T3522" s="364"/>
      <c r="U3522" s="264"/>
      <c r="V3522" s="264"/>
      <c r="W3522" s="424"/>
      <c r="X3522" s="264" t="s">
        <v>1867</v>
      </c>
      <c r="Y3522" s="424"/>
      <c r="Z3522" s="424"/>
      <c r="AA3522" s="424"/>
      <c r="AB3522" s="424"/>
      <c r="AC3522" s="425">
        <f t="shared" si="593"/>
        <v>0</v>
      </c>
      <c r="AD3522" s="425">
        <f t="shared" si="594"/>
        <v>0</v>
      </c>
    </row>
    <row r="3523" spans="1:30" s="361" customFormat="1" x14ac:dyDescent="0.4">
      <c r="A3523" s="402"/>
      <c r="B3523" s="392"/>
      <c r="C3523" s="364" t="e">
        <f>VLOOKUP(B3523,'112年全品項生產鍋數'!A:H,2,0)</f>
        <v>#N/A</v>
      </c>
      <c r="D3523" s="404"/>
      <c r="E3523" s="48" t="e">
        <f>VLOOKUP(B3523,'112年全品項生產鍋數'!A:H,3,0)</f>
        <v>#N/A</v>
      </c>
      <c r="F3523" s="142" t="e">
        <f>VLOOKUP(B3523,'112年全品項生產鍋數'!A:H,7,0)</f>
        <v>#N/A</v>
      </c>
      <c r="G3523" s="143" t="e">
        <f t="shared" si="595"/>
        <v>#N/A</v>
      </c>
      <c r="H3523" s="156"/>
      <c r="I3523" s="371" t="e">
        <f t="shared" si="596"/>
        <v>#N/A</v>
      </c>
      <c r="J3523" s="100" t="e">
        <f t="shared" si="597"/>
        <v>#N/A</v>
      </c>
      <c r="K3523" s="51" t="e">
        <f>VLOOKUP(B:B,'生產達成率(目標)'!A:C,3,0)</f>
        <v>#N/A</v>
      </c>
      <c r="L3523" s="20" t="e">
        <f t="shared" si="598"/>
        <v>#N/A</v>
      </c>
      <c r="M3523" s="137"/>
      <c r="N3523" s="374"/>
      <c r="O3523" s="374">
        <f t="shared" si="599"/>
        <v>0</v>
      </c>
      <c r="P3523" s="156"/>
      <c r="Q3523" s="98" t="e">
        <f t="shared" si="600"/>
        <v>#DIV/0!</v>
      </c>
      <c r="R3523" s="371"/>
      <c r="S3523" s="372"/>
      <c r="T3523" s="364"/>
      <c r="U3523" s="264"/>
      <c r="V3523" s="264"/>
      <c r="W3523" s="424"/>
      <c r="X3523" s="264" t="s">
        <v>1867</v>
      </c>
      <c r="Y3523" s="424"/>
      <c r="Z3523" s="424"/>
      <c r="AA3523" s="424"/>
      <c r="AB3523" s="424"/>
      <c r="AC3523" s="425">
        <f t="shared" si="593"/>
        <v>0</v>
      </c>
      <c r="AD3523" s="425">
        <f t="shared" si="594"/>
        <v>0</v>
      </c>
    </row>
    <row r="3524" spans="1:30" s="361" customFormat="1" x14ac:dyDescent="0.4">
      <c r="A3524" s="402"/>
      <c r="B3524" s="392"/>
      <c r="C3524" s="364" t="e">
        <f>VLOOKUP(B3524,'112年全品項生產鍋數'!A:H,2,0)</f>
        <v>#N/A</v>
      </c>
      <c r="D3524" s="404"/>
      <c r="E3524" s="48" t="e">
        <f>VLOOKUP(B3524,'112年全品項生產鍋數'!A:H,3,0)</f>
        <v>#N/A</v>
      </c>
      <c r="F3524" s="142" t="e">
        <f>VLOOKUP(B3524,'112年全品項生產鍋數'!A:H,7,0)</f>
        <v>#N/A</v>
      </c>
      <c r="G3524" s="143" t="e">
        <f t="shared" si="595"/>
        <v>#N/A</v>
      </c>
      <c r="H3524" s="156"/>
      <c r="I3524" s="371" t="e">
        <f t="shared" si="596"/>
        <v>#N/A</v>
      </c>
      <c r="J3524" s="100" t="e">
        <f t="shared" si="597"/>
        <v>#N/A</v>
      </c>
      <c r="K3524" s="51" t="e">
        <f>VLOOKUP(B:B,'生產達成率(目標)'!A:C,3,0)</f>
        <v>#N/A</v>
      </c>
      <c r="L3524" s="20" t="e">
        <f t="shared" si="598"/>
        <v>#N/A</v>
      </c>
      <c r="M3524" s="137"/>
      <c r="N3524" s="374"/>
      <c r="O3524" s="374">
        <f t="shared" si="599"/>
        <v>0</v>
      </c>
      <c r="P3524" s="156"/>
      <c r="Q3524" s="98" t="e">
        <f t="shared" si="600"/>
        <v>#DIV/0!</v>
      </c>
      <c r="R3524" s="371"/>
      <c r="S3524" s="372"/>
      <c r="T3524" s="364"/>
      <c r="U3524" s="264"/>
      <c r="V3524" s="264"/>
      <c r="W3524" s="424"/>
      <c r="X3524" s="264" t="s">
        <v>1867</v>
      </c>
      <c r="Y3524" s="424"/>
      <c r="Z3524" s="424"/>
      <c r="AA3524" s="424"/>
      <c r="AB3524" s="424"/>
      <c r="AC3524" s="425">
        <f t="shared" si="593"/>
        <v>0</v>
      </c>
      <c r="AD3524" s="425">
        <f t="shared" si="594"/>
        <v>0</v>
      </c>
    </row>
    <row r="3525" spans="1:30" s="361" customFormat="1" x14ac:dyDescent="0.4">
      <c r="A3525" s="402"/>
      <c r="B3525" s="392"/>
      <c r="C3525" s="364" t="e">
        <f>VLOOKUP(B3525,'112年全品項生產鍋數'!A:H,2,0)</f>
        <v>#N/A</v>
      </c>
      <c r="D3525" s="404"/>
      <c r="E3525" s="48" t="e">
        <f>VLOOKUP(B3525,'112年全品項生產鍋數'!A:H,3,0)</f>
        <v>#N/A</v>
      </c>
      <c r="F3525" s="142" t="e">
        <f>VLOOKUP(B3525,'112年全品項生產鍋數'!A:H,7,0)</f>
        <v>#N/A</v>
      </c>
      <c r="G3525" s="143" t="e">
        <f t="shared" si="595"/>
        <v>#N/A</v>
      </c>
      <c r="H3525" s="156"/>
      <c r="I3525" s="371" t="e">
        <f t="shared" si="596"/>
        <v>#N/A</v>
      </c>
      <c r="J3525" s="100" t="e">
        <f t="shared" si="597"/>
        <v>#N/A</v>
      </c>
      <c r="K3525" s="51" t="e">
        <f>VLOOKUP(B:B,'生產達成率(目標)'!A:C,3,0)</f>
        <v>#N/A</v>
      </c>
      <c r="L3525" s="20" t="e">
        <f t="shared" si="598"/>
        <v>#N/A</v>
      </c>
      <c r="M3525" s="137"/>
      <c r="N3525" s="374"/>
      <c r="O3525" s="374">
        <f t="shared" si="599"/>
        <v>0</v>
      </c>
      <c r="P3525" s="156"/>
      <c r="Q3525" s="98" t="e">
        <f t="shared" si="600"/>
        <v>#DIV/0!</v>
      </c>
      <c r="R3525" s="371"/>
      <c r="S3525" s="372"/>
      <c r="T3525" s="364"/>
      <c r="U3525" s="264"/>
      <c r="V3525" s="264"/>
      <c r="W3525" s="424"/>
      <c r="X3525" s="264" t="s">
        <v>1867</v>
      </c>
      <c r="Y3525" s="424"/>
      <c r="Z3525" s="424"/>
      <c r="AA3525" s="424"/>
      <c r="AB3525" s="424"/>
      <c r="AC3525" s="425">
        <f t="shared" si="593"/>
        <v>0</v>
      </c>
      <c r="AD3525" s="425">
        <f t="shared" si="594"/>
        <v>0</v>
      </c>
    </row>
    <row r="3526" spans="1:30" s="361" customFormat="1" x14ac:dyDescent="0.4">
      <c r="A3526" s="402"/>
      <c r="B3526" s="392"/>
      <c r="C3526" s="364" t="e">
        <f>VLOOKUP(B3526,'112年全品項生產鍋數'!A:H,2,0)</f>
        <v>#N/A</v>
      </c>
      <c r="D3526" s="404"/>
      <c r="E3526" s="48" t="e">
        <f>VLOOKUP(B3526,'112年全品項生產鍋數'!A:H,3,0)</f>
        <v>#N/A</v>
      </c>
      <c r="F3526" s="142" t="e">
        <f>VLOOKUP(B3526,'112年全品項生產鍋數'!A:H,7,0)</f>
        <v>#N/A</v>
      </c>
      <c r="G3526" s="143" t="e">
        <f t="shared" si="595"/>
        <v>#N/A</v>
      </c>
      <c r="H3526" s="156"/>
      <c r="I3526" s="371" t="e">
        <f t="shared" si="596"/>
        <v>#N/A</v>
      </c>
      <c r="J3526" s="100" t="e">
        <f t="shared" si="597"/>
        <v>#N/A</v>
      </c>
      <c r="K3526" s="51" t="e">
        <f>VLOOKUP(B:B,'生產達成率(目標)'!A:C,3,0)</f>
        <v>#N/A</v>
      </c>
      <c r="L3526" s="20" t="e">
        <f t="shared" si="598"/>
        <v>#N/A</v>
      </c>
      <c r="M3526" s="137"/>
      <c r="N3526" s="374"/>
      <c r="O3526" s="374">
        <f t="shared" si="599"/>
        <v>0</v>
      </c>
      <c r="P3526" s="156"/>
      <c r="Q3526" s="98" t="e">
        <f t="shared" si="600"/>
        <v>#DIV/0!</v>
      </c>
      <c r="R3526" s="371"/>
      <c r="S3526" s="372"/>
      <c r="T3526" s="364"/>
      <c r="U3526" s="264"/>
      <c r="V3526" s="264"/>
      <c r="W3526" s="424"/>
      <c r="X3526" s="264" t="s">
        <v>1867</v>
      </c>
      <c r="Y3526" s="424"/>
      <c r="Z3526" s="424"/>
      <c r="AA3526" s="424"/>
      <c r="AB3526" s="424"/>
      <c r="AC3526" s="425">
        <f t="shared" si="593"/>
        <v>0</v>
      </c>
      <c r="AD3526" s="425">
        <f t="shared" si="594"/>
        <v>0</v>
      </c>
    </row>
    <row r="3527" spans="1:30" s="361" customFormat="1" x14ac:dyDescent="0.4">
      <c r="A3527" s="402"/>
      <c r="B3527" s="392"/>
      <c r="C3527" s="364" t="e">
        <f>VLOOKUP(B3527,'112年全品項生產鍋數'!A:H,2,0)</f>
        <v>#N/A</v>
      </c>
      <c r="D3527" s="404"/>
      <c r="E3527" s="48" t="e">
        <f>VLOOKUP(B3527,'112年全品項生產鍋數'!A:H,3,0)</f>
        <v>#N/A</v>
      </c>
      <c r="F3527" s="142" t="e">
        <f>VLOOKUP(B3527,'112年全品項生產鍋數'!A:H,7,0)</f>
        <v>#N/A</v>
      </c>
      <c r="G3527" s="143" t="e">
        <f t="shared" si="595"/>
        <v>#N/A</v>
      </c>
      <c r="H3527" s="156"/>
      <c r="I3527" s="371" t="e">
        <f t="shared" si="596"/>
        <v>#N/A</v>
      </c>
      <c r="J3527" s="100" t="e">
        <f t="shared" si="597"/>
        <v>#N/A</v>
      </c>
      <c r="K3527" s="51" t="e">
        <f>VLOOKUP(B:B,'生產達成率(目標)'!A:C,3,0)</f>
        <v>#N/A</v>
      </c>
      <c r="L3527" s="20" t="e">
        <f t="shared" si="598"/>
        <v>#N/A</v>
      </c>
      <c r="M3527" s="137"/>
      <c r="N3527" s="374"/>
      <c r="O3527" s="374">
        <f t="shared" si="599"/>
        <v>0</v>
      </c>
      <c r="P3527" s="156"/>
      <c r="Q3527" s="98" t="e">
        <f t="shared" si="600"/>
        <v>#DIV/0!</v>
      </c>
      <c r="R3527" s="371"/>
      <c r="S3527" s="372"/>
      <c r="T3527" s="364"/>
      <c r="U3527" s="264"/>
      <c r="V3527" s="264"/>
      <c r="W3527" s="424"/>
      <c r="X3527" s="264" t="s">
        <v>1867</v>
      </c>
      <c r="Y3527" s="424"/>
      <c r="Z3527" s="424"/>
      <c r="AA3527" s="424"/>
      <c r="AB3527" s="424"/>
      <c r="AC3527" s="425">
        <f t="shared" si="593"/>
        <v>0</v>
      </c>
      <c r="AD3527" s="425">
        <f t="shared" si="594"/>
        <v>0</v>
      </c>
    </row>
    <row r="3528" spans="1:30" s="361" customFormat="1" x14ac:dyDescent="0.4">
      <c r="A3528" s="402"/>
      <c r="B3528" s="392"/>
      <c r="C3528" s="364" t="e">
        <f>VLOOKUP(B3528,'112年全品項生產鍋數'!A:H,2,0)</f>
        <v>#N/A</v>
      </c>
      <c r="D3528" s="404"/>
      <c r="E3528" s="48" t="e">
        <f>VLOOKUP(B3528,'112年全品項生產鍋數'!A:H,3,0)</f>
        <v>#N/A</v>
      </c>
      <c r="F3528" s="142" t="e">
        <f>VLOOKUP(B3528,'112年全品項生產鍋數'!A:H,7,0)</f>
        <v>#N/A</v>
      </c>
      <c r="G3528" s="143" t="e">
        <f t="shared" si="595"/>
        <v>#N/A</v>
      </c>
      <c r="H3528" s="156"/>
      <c r="I3528" s="371" t="e">
        <f t="shared" si="596"/>
        <v>#N/A</v>
      </c>
      <c r="J3528" s="100" t="e">
        <f t="shared" si="597"/>
        <v>#N/A</v>
      </c>
      <c r="K3528" s="51" t="e">
        <f>VLOOKUP(B:B,'生產達成率(目標)'!A:C,3,0)</f>
        <v>#N/A</v>
      </c>
      <c r="L3528" s="20" t="e">
        <f t="shared" si="598"/>
        <v>#N/A</v>
      </c>
      <c r="M3528" s="137"/>
      <c r="N3528" s="374"/>
      <c r="O3528" s="374">
        <f t="shared" si="599"/>
        <v>0</v>
      </c>
      <c r="P3528" s="156"/>
      <c r="Q3528" s="98" t="e">
        <f t="shared" si="600"/>
        <v>#DIV/0!</v>
      </c>
      <c r="R3528" s="371"/>
      <c r="S3528" s="372"/>
      <c r="T3528" s="364"/>
      <c r="U3528" s="264"/>
      <c r="V3528" s="264"/>
      <c r="W3528" s="424"/>
      <c r="X3528" s="264" t="s">
        <v>1867</v>
      </c>
      <c r="Y3528" s="424"/>
      <c r="Z3528" s="424"/>
      <c r="AA3528" s="424"/>
      <c r="AB3528" s="424"/>
      <c r="AC3528" s="425">
        <f t="shared" si="593"/>
        <v>0</v>
      </c>
      <c r="AD3528" s="425">
        <f t="shared" si="594"/>
        <v>0</v>
      </c>
    </row>
    <row r="3529" spans="1:30" s="361" customFormat="1" x14ac:dyDescent="0.4">
      <c r="A3529" s="402"/>
      <c r="B3529" s="392"/>
      <c r="C3529" s="364" t="e">
        <f>VLOOKUP(B3529,'112年全品項生產鍋數'!A:H,2,0)</f>
        <v>#N/A</v>
      </c>
      <c r="D3529" s="404"/>
      <c r="E3529" s="48" t="e">
        <f>VLOOKUP(B3529,'112年全品項生產鍋數'!A:H,3,0)</f>
        <v>#N/A</v>
      </c>
      <c r="F3529" s="142" t="e">
        <f>VLOOKUP(B3529,'112年全品項生產鍋數'!A:H,7,0)</f>
        <v>#N/A</v>
      </c>
      <c r="G3529" s="143" t="e">
        <f t="shared" si="595"/>
        <v>#N/A</v>
      </c>
      <c r="H3529" s="156"/>
      <c r="I3529" s="371" t="e">
        <f t="shared" si="596"/>
        <v>#N/A</v>
      </c>
      <c r="J3529" s="100" t="e">
        <f t="shared" si="597"/>
        <v>#N/A</v>
      </c>
      <c r="K3529" s="51" t="e">
        <f>VLOOKUP(B:B,'生產達成率(目標)'!A:C,3,0)</f>
        <v>#N/A</v>
      </c>
      <c r="L3529" s="20" t="e">
        <f t="shared" si="598"/>
        <v>#N/A</v>
      </c>
      <c r="M3529" s="137"/>
      <c r="N3529" s="374"/>
      <c r="O3529" s="374">
        <f t="shared" si="599"/>
        <v>0</v>
      </c>
      <c r="P3529" s="156"/>
      <c r="Q3529" s="98" t="e">
        <f t="shared" si="600"/>
        <v>#DIV/0!</v>
      </c>
      <c r="R3529" s="371"/>
      <c r="S3529" s="372"/>
      <c r="T3529" s="364"/>
      <c r="U3529" s="264"/>
      <c r="V3529" s="264"/>
      <c r="W3529" s="424"/>
      <c r="X3529" s="264" t="s">
        <v>1867</v>
      </c>
      <c r="Y3529" s="424"/>
      <c r="Z3529" s="424"/>
      <c r="AA3529" s="424"/>
      <c r="AB3529" s="424"/>
      <c r="AC3529" s="425">
        <f t="shared" si="593"/>
        <v>0</v>
      </c>
      <c r="AD3529" s="425">
        <f t="shared" si="594"/>
        <v>0</v>
      </c>
    </row>
    <row r="3530" spans="1:30" s="361" customFormat="1" x14ac:dyDescent="0.4">
      <c r="A3530" s="402"/>
      <c r="B3530" s="392"/>
      <c r="C3530" s="364" t="e">
        <f>VLOOKUP(B3530,'112年全品項生產鍋數'!A:H,2,0)</f>
        <v>#N/A</v>
      </c>
      <c r="D3530" s="404"/>
      <c r="E3530" s="48" t="e">
        <f>VLOOKUP(B3530,'112年全品項生產鍋數'!A:H,3,0)</f>
        <v>#N/A</v>
      </c>
      <c r="F3530" s="142" t="e">
        <f>VLOOKUP(B3530,'112年全品項生產鍋數'!A:H,7,0)</f>
        <v>#N/A</v>
      </c>
      <c r="G3530" s="143" t="e">
        <f t="shared" si="595"/>
        <v>#N/A</v>
      </c>
      <c r="H3530" s="156"/>
      <c r="I3530" s="371" t="e">
        <f t="shared" si="596"/>
        <v>#N/A</v>
      </c>
      <c r="J3530" s="100" t="e">
        <f t="shared" si="597"/>
        <v>#N/A</v>
      </c>
      <c r="K3530" s="51" t="e">
        <f>VLOOKUP(B:B,'生產達成率(目標)'!A:C,3,0)</f>
        <v>#N/A</v>
      </c>
      <c r="L3530" s="20" t="e">
        <f t="shared" si="598"/>
        <v>#N/A</v>
      </c>
      <c r="M3530" s="137"/>
      <c r="N3530" s="374"/>
      <c r="O3530" s="374">
        <f t="shared" si="599"/>
        <v>0</v>
      </c>
      <c r="P3530" s="156"/>
      <c r="Q3530" s="98" t="e">
        <f t="shared" si="600"/>
        <v>#DIV/0!</v>
      </c>
      <c r="R3530" s="371"/>
      <c r="S3530" s="372"/>
      <c r="T3530" s="364"/>
      <c r="U3530" s="264"/>
      <c r="V3530" s="264"/>
      <c r="W3530" s="424"/>
      <c r="X3530" s="264" t="s">
        <v>1867</v>
      </c>
      <c r="Y3530" s="424"/>
      <c r="Z3530" s="424"/>
      <c r="AA3530" s="424"/>
      <c r="AB3530" s="424"/>
      <c r="AC3530" s="425">
        <f t="shared" si="593"/>
        <v>0</v>
      </c>
      <c r="AD3530" s="425">
        <f t="shared" si="594"/>
        <v>0</v>
      </c>
    </row>
    <row r="3531" spans="1:30" s="361" customFormat="1" x14ac:dyDescent="0.4">
      <c r="A3531" s="402"/>
      <c r="B3531" s="392"/>
      <c r="C3531" s="364" t="e">
        <f>VLOOKUP(B3531,'112年全品項生產鍋數'!A:H,2,0)</f>
        <v>#N/A</v>
      </c>
      <c r="D3531" s="404"/>
      <c r="E3531" s="48" t="e">
        <f>VLOOKUP(B3531,'112年全品項生產鍋數'!A:H,3,0)</f>
        <v>#N/A</v>
      </c>
      <c r="F3531" s="142" t="e">
        <f>VLOOKUP(B3531,'112年全品項生產鍋數'!A:H,7,0)</f>
        <v>#N/A</v>
      </c>
      <c r="G3531" s="143" t="e">
        <f t="shared" si="595"/>
        <v>#N/A</v>
      </c>
      <c r="H3531" s="156"/>
      <c r="I3531" s="371" t="e">
        <f t="shared" si="596"/>
        <v>#N/A</v>
      </c>
      <c r="J3531" s="100" t="e">
        <f t="shared" si="597"/>
        <v>#N/A</v>
      </c>
      <c r="K3531" s="51" t="e">
        <f>VLOOKUP(B:B,'生產達成率(目標)'!A:C,3,0)</f>
        <v>#N/A</v>
      </c>
      <c r="L3531" s="20" t="e">
        <f t="shared" si="598"/>
        <v>#N/A</v>
      </c>
      <c r="M3531" s="137"/>
      <c r="N3531" s="374"/>
      <c r="O3531" s="374">
        <f t="shared" si="599"/>
        <v>0</v>
      </c>
      <c r="P3531" s="156"/>
      <c r="Q3531" s="98" t="e">
        <f t="shared" si="600"/>
        <v>#DIV/0!</v>
      </c>
      <c r="R3531" s="371"/>
      <c r="S3531" s="372"/>
      <c r="T3531" s="364"/>
      <c r="U3531" s="264"/>
      <c r="V3531" s="264"/>
      <c r="W3531" s="424"/>
      <c r="X3531" s="264" t="s">
        <v>1867</v>
      </c>
      <c r="Y3531" s="424"/>
      <c r="Z3531" s="424"/>
      <c r="AA3531" s="424"/>
      <c r="AB3531" s="424"/>
      <c r="AC3531" s="425">
        <f t="shared" si="593"/>
        <v>0</v>
      </c>
      <c r="AD3531" s="425">
        <f t="shared" si="594"/>
        <v>0</v>
      </c>
    </row>
    <row r="3532" spans="1:30" s="361" customFormat="1" x14ac:dyDescent="0.4">
      <c r="A3532" s="402"/>
      <c r="B3532" s="392"/>
      <c r="C3532" s="364" t="e">
        <f>VLOOKUP(B3532,'112年全品項生產鍋數'!A:H,2,0)</f>
        <v>#N/A</v>
      </c>
      <c r="D3532" s="404"/>
      <c r="E3532" s="48" t="e">
        <f>VLOOKUP(B3532,'112年全品項生產鍋數'!A:H,3,0)</f>
        <v>#N/A</v>
      </c>
      <c r="F3532" s="142" t="e">
        <f>VLOOKUP(B3532,'112年全品項生產鍋數'!A:H,7,0)</f>
        <v>#N/A</v>
      </c>
      <c r="G3532" s="143" t="e">
        <f t="shared" si="595"/>
        <v>#N/A</v>
      </c>
      <c r="H3532" s="156"/>
      <c r="I3532" s="371" t="e">
        <f t="shared" si="596"/>
        <v>#N/A</v>
      </c>
      <c r="J3532" s="100" t="e">
        <f t="shared" si="597"/>
        <v>#N/A</v>
      </c>
      <c r="K3532" s="51" t="e">
        <f>VLOOKUP(B:B,'生產達成率(目標)'!A:C,3,0)</f>
        <v>#N/A</v>
      </c>
      <c r="L3532" s="20" t="e">
        <f t="shared" si="598"/>
        <v>#N/A</v>
      </c>
      <c r="M3532" s="137"/>
      <c r="N3532" s="374"/>
      <c r="O3532" s="374">
        <f t="shared" si="599"/>
        <v>0</v>
      </c>
      <c r="P3532" s="156"/>
      <c r="Q3532" s="98" t="e">
        <f t="shared" si="600"/>
        <v>#DIV/0!</v>
      </c>
      <c r="R3532" s="371"/>
      <c r="S3532" s="372"/>
      <c r="T3532" s="364"/>
      <c r="U3532" s="264"/>
      <c r="V3532" s="264"/>
      <c r="W3532" s="424"/>
      <c r="X3532" s="264" t="s">
        <v>1867</v>
      </c>
      <c r="Y3532" s="424"/>
      <c r="Z3532" s="424"/>
      <c r="AA3532" s="424"/>
      <c r="AB3532" s="424"/>
      <c r="AC3532" s="425">
        <f t="shared" si="593"/>
        <v>0</v>
      </c>
      <c r="AD3532" s="425">
        <f t="shared" si="594"/>
        <v>0</v>
      </c>
    </row>
    <row r="3533" spans="1:30" s="361" customFormat="1" x14ac:dyDescent="0.4">
      <c r="A3533" s="402"/>
      <c r="B3533" s="392"/>
      <c r="C3533" s="364" t="e">
        <f>VLOOKUP(B3533,'112年全品項生產鍋數'!A:H,2,0)</f>
        <v>#N/A</v>
      </c>
      <c r="D3533" s="404"/>
      <c r="E3533" s="48" t="e">
        <f>VLOOKUP(B3533,'112年全品項生產鍋數'!A:H,3,0)</f>
        <v>#N/A</v>
      </c>
      <c r="F3533" s="142" t="e">
        <f>VLOOKUP(B3533,'112年全品項生產鍋數'!A:H,7,0)</f>
        <v>#N/A</v>
      </c>
      <c r="G3533" s="143" t="e">
        <f t="shared" si="595"/>
        <v>#N/A</v>
      </c>
      <c r="H3533" s="156"/>
      <c r="I3533" s="371" t="e">
        <f t="shared" si="596"/>
        <v>#N/A</v>
      </c>
      <c r="J3533" s="100" t="e">
        <f t="shared" si="597"/>
        <v>#N/A</v>
      </c>
      <c r="K3533" s="51" t="e">
        <f>VLOOKUP(B:B,'生產達成率(目標)'!A:C,3,0)</f>
        <v>#N/A</v>
      </c>
      <c r="L3533" s="20" t="e">
        <f t="shared" si="598"/>
        <v>#N/A</v>
      </c>
      <c r="M3533" s="137"/>
      <c r="N3533" s="374"/>
      <c r="O3533" s="374">
        <f t="shared" si="599"/>
        <v>0</v>
      </c>
      <c r="P3533" s="156"/>
      <c r="Q3533" s="98" t="e">
        <f t="shared" si="600"/>
        <v>#DIV/0!</v>
      </c>
      <c r="R3533" s="371"/>
      <c r="S3533" s="372"/>
      <c r="T3533" s="364"/>
      <c r="U3533" s="264"/>
      <c r="V3533" s="264"/>
      <c r="W3533" s="424"/>
      <c r="X3533" s="264" t="s">
        <v>1867</v>
      </c>
      <c r="Y3533" s="424"/>
      <c r="Z3533" s="424"/>
      <c r="AA3533" s="424"/>
      <c r="AB3533" s="424"/>
      <c r="AC3533" s="425">
        <f t="shared" si="593"/>
        <v>0</v>
      </c>
      <c r="AD3533" s="425">
        <f t="shared" si="594"/>
        <v>0</v>
      </c>
    </row>
    <row r="3534" spans="1:30" s="361" customFormat="1" x14ac:dyDescent="0.4">
      <c r="A3534" s="402"/>
      <c r="B3534" s="392"/>
      <c r="C3534" s="364" t="e">
        <f>VLOOKUP(B3534,'112年全品項生產鍋數'!A:H,2,0)</f>
        <v>#N/A</v>
      </c>
      <c r="D3534" s="404"/>
      <c r="E3534" s="48" t="e">
        <f>VLOOKUP(B3534,'112年全品項生產鍋數'!A:H,3,0)</f>
        <v>#N/A</v>
      </c>
      <c r="F3534" s="142" t="e">
        <f>VLOOKUP(B3534,'112年全品項生產鍋數'!A:H,7,0)</f>
        <v>#N/A</v>
      </c>
      <c r="G3534" s="143" t="e">
        <f t="shared" si="595"/>
        <v>#N/A</v>
      </c>
      <c r="H3534" s="156"/>
      <c r="I3534" s="371" t="e">
        <f t="shared" si="596"/>
        <v>#N/A</v>
      </c>
      <c r="J3534" s="100" t="e">
        <f t="shared" si="597"/>
        <v>#N/A</v>
      </c>
      <c r="K3534" s="51" t="e">
        <f>VLOOKUP(B:B,'生產達成率(目標)'!A:C,3,0)</f>
        <v>#N/A</v>
      </c>
      <c r="L3534" s="20" t="e">
        <f t="shared" si="598"/>
        <v>#N/A</v>
      </c>
      <c r="M3534" s="137"/>
      <c r="N3534" s="374"/>
      <c r="O3534" s="374">
        <f t="shared" si="599"/>
        <v>0</v>
      </c>
      <c r="P3534" s="156"/>
      <c r="Q3534" s="98" t="e">
        <f t="shared" si="600"/>
        <v>#DIV/0!</v>
      </c>
      <c r="R3534" s="371"/>
      <c r="S3534" s="372"/>
      <c r="T3534" s="364"/>
      <c r="U3534" s="264"/>
      <c r="V3534" s="264"/>
      <c r="W3534" s="424"/>
      <c r="X3534" s="264" t="s">
        <v>1867</v>
      </c>
      <c r="Y3534" s="424"/>
      <c r="Z3534" s="424"/>
      <c r="AA3534" s="424"/>
      <c r="AB3534" s="424"/>
      <c r="AC3534" s="425">
        <f t="shared" si="593"/>
        <v>0</v>
      </c>
      <c r="AD3534" s="425">
        <f t="shared" si="594"/>
        <v>0</v>
      </c>
    </row>
    <row r="3535" spans="1:30" s="361" customFormat="1" x14ac:dyDescent="0.4">
      <c r="A3535" s="402"/>
      <c r="B3535" s="392"/>
      <c r="C3535" s="364" t="e">
        <f>VLOOKUP(B3535,'112年全品項生產鍋數'!A:H,2,0)</f>
        <v>#N/A</v>
      </c>
      <c r="D3535" s="404"/>
      <c r="E3535" s="48" t="e">
        <f>VLOOKUP(B3535,'112年全品項生產鍋數'!A:H,3,0)</f>
        <v>#N/A</v>
      </c>
      <c r="F3535" s="142" t="e">
        <f>VLOOKUP(B3535,'112年全品項生產鍋數'!A:H,7,0)</f>
        <v>#N/A</v>
      </c>
      <c r="G3535" s="143" t="e">
        <f t="shared" si="595"/>
        <v>#N/A</v>
      </c>
      <c r="H3535" s="156"/>
      <c r="I3535" s="371" t="e">
        <f t="shared" si="596"/>
        <v>#N/A</v>
      </c>
      <c r="J3535" s="100" t="e">
        <f t="shared" si="597"/>
        <v>#N/A</v>
      </c>
      <c r="K3535" s="51" t="e">
        <f>VLOOKUP(B:B,'生產達成率(目標)'!A:C,3,0)</f>
        <v>#N/A</v>
      </c>
      <c r="L3535" s="20" t="e">
        <f t="shared" si="598"/>
        <v>#N/A</v>
      </c>
      <c r="M3535" s="137"/>
      <c r="N3535" s="374"/>
      <c r="O3535" s="374">
        <f t="shared" si="599"/>
        <v>0</v>
      </c>
      <c r="P3535" s="156"/>
      <c r="Q3535" s="98" t="e">
        <f t="shared" si="600"/>
        <v>#DIV/0!</v>
      </c>
      <c r="R3535" s="371"/>
      <c r="S3535" s="372"/>
      <c r="T3535" s="364"/>
      <c r="U3535" s="264"/>
      <c r="V3535" s="264"/>
      <c r="W3535" s="424"/>
      <c r="X3535" s="264" t="s">
        <v>1867</v>
      </c>
      <c r="Y3535" s="424"/>
      <c r="Z3535" s="424"/>
      <c r="AA3535" s="424"/>
      <c r="AB3535" s="424"/>
      <c r="AC3535" s="425">
        <f t="shared" si="593"/>
        <v>0</v>
      </c>
      <c r="AD3535" s="425">
        <f t="shared" si="594"/>
        <v>0</v>
      </c>
    </row>
    <row r="3536" spans="1:30" s="361" customFormat="1" x14ac:dyDescent="0.4">
      <c r="A3536" s="402"/>
      <c r="B3536" s="392"/>
      <c r="C3536" s="364" t="e">
        <f>VLOOKUP(B3536,'112年全品項生產鍋數'!A:H,2,0)</f>
        <v>#N/A</v>
      </c>
      <c r="D3536" s="404"/>
      <c r="E3536" s="48" t="e">
        <f>VLOOKUP(B3536,'112年全品項生產鍋數'!A:H,3,0)</f>
        <v>#N/A</v>
      </c>
      <c r="F3536" s="142" t="e">
        <f>VLOOKUP(B3536,'112年全品項生產鍋數'!A:H,7,0)</f>
        <v>#N/A</v>
      </c>
      <c r="G3536" s="143" t="e">
        <f t="shared" si="595"/>
        <v>#N/A</v>
      </c>
      <c r="H3536" s="156"/>
      <c r="I3536" s="371" t="e">
        <f t="shared" si="596"/>
        <v>#N/A</v>
      </c>
      <c r="J3536" s="100" t="e">
        <f t="shared" si="597"/>
        <v>#N/A</v>
      </c>
      <c r="K3536" s="51" t="e">
        <f>VLOOKUP(B:B,'生產達成率(目標)'!A:C,3,0)</f>
        <v>#N/A</v>
      </c>
      <c r="L3536" s="20" t="e">
        <f t="shared" si="598"/>
        <v>#N/A</v>
      </c>
      <c r="M3536" s="137"/>
      <c r="N3536" s="374"/>
      <c r="O3536" s="374">
        <f t="shared" si="599"/>
        <v>0</v>
      </c>
      <c r="P3536" s="156"/>
      <c r="Q3536" s="98" t="e">
        <f t="shared" si="600"/>
        <v>#DIV/0!</v>
      </c>
      <c r="R3536" s="371"/>
      <c r="S3536" s="372"/>
      <c r="T3536" s="364"/>
      <c r="U3536" s="264"/>
      <c r="V3536" s="264"/>
      <c r="W3536" s="424"/>
      <c r="X3536" s="264" t="s">
        <v>1867</v>
      </c>
      <c r="Y3536" s="424"/>
      <c r="Z3536" s="424"/>
      <c r="AA3536" s="424"/>
      <c r="AB3536" s="424"/>
      <c r="AC3536" s="425">
        <f t="shared" si="593"/>
        <v>0</v>
      </c>
      <c r="AD3536" s="425">
        <f t="shared" si="594"/>
        <v>0</v>
      </c>
    </row>
    <row r="3537" spans="1:30" s="361" customFormat="1" x14ac:dyDescent="0.4">
      <c r="A3537" s="402"/>
      <c r="B3537" s="392"/>
      <c r="C3537" s="364" t="e">
        <f>VLOOKUP(B3537,'112年全品項生產鍋數'!A:H,2,0)</f>
        <v>#N/A</v>
      </c>
      <c r="D3537" s="404"/>
      <c r="E3537" s="48" t="e">
        <f>VLOOKUP(B3537,'112年全品項生產鍋數'!A:H,3,0)</f>
        <v>#N/A</v>
      </c>
      <c r="F3537" s="142" t="e">
        <f>VLOOKUP(B3537,'112年全品項生產鍋數'!A:H,7,0)</f>
        <v>#N/A</v>
      </c>
      <c r="G3537" s="143" t="e">
        <f t="shared" si="595"/>
        <v>#N/A</v>
      </c>
      <c r="H3537" s="156"/>
      <c r="I3537" s="371" t="e">
        <f t="shared" si="596"/>
        <v>#N/A</v>
      </c>
      <c r="J3537" s="100" t="e">
        <f t="shared" si="597"/>
        <v>#N/A</v>
      </c>
      <c r="K3537" s="51" t="e">
        <f>VLOOKUP(B:B,'生產達成率(目標)'!A:C,3,0)</f>
        <v>#N/A</v>
      </c>
      <c r="L3537" s="20" t="e">
        <f t="shared" si="598"/>
        <v>#N/A</v>
      </c>
      <c r="M3537" s="137"/>
      <c r="N3537" s="374"/>
      <c r="O3537" s="374">
        <f t="shared" si="599"/>
        <v>0</v>
      </c>
      <c r="P3537" s="156"/>
      <c r="Q3537" s="98" t="e">
        <f t="shared" si="600"/>
        <v>#DIV/0!</v>
      </c>
      <c r="R3537" s="371"/>
      <c r="S3537" s="372"/>
      <c r="T3537" s="364"/>
      <c r="U3537" s="264"/>
      <c r="V3537" s="264"/>
      <c r="W3537" s="424"/>
      <c r="X3537" s="264" t="s">
        <v>1867</v>
      </c>
      <c r="Y3537" s="424"/>
      <c r="Z3537" s="424"/>
      <c r="AA3537" s="424"/>
      <c r="AB3537" s="424"/>
      <c r="AC3537" s="425">
        <f t="shared" si="593"/>
        <v>0</v>
      </c>
      <c r="AD3537" s="425">
        <f t="shared" si="594"/>
        <v>0</v>
      </c>
    </row>
    <row r="3538" spans="1:30" s="361" customFormat="1" x14ac:dyDescent="0.4">
      <c r="A3538" s="402"/>
      <c r="B3538" s="392"/>
      <c r="C3538" s="364" t="e">
        <f>VLOOKUP(B3538,'112年全品項生產鍋數'!A:H,2,0)</f>
        <v>#N/A</v>
      </c>
      <c r="D3538" s="404"/>
      <c r="E3538" s="48" t="e">
        <f>VLOOKUP(B3538,'112年全品項生產鍋數'!A:H,3,0)</f>
        <v>#N/A</v>
      </c>
      <c r="F3538" s="142" t="e">
        <f>VLOOKUP(B3538,'112年全品項生產鍋數'!A:H,7,0)</f>
        <v>#N/A</v>
      </c>
      <c r="G3538" s="143" t="e">
        <f t="shared" si="595"/>
        <v>#N/A</v>
      </c>
      <c r="H3538" s="156"/>
      <c r="I3538" s="371" t="e">
        <f t="shared" si="596"/>
        <v>#N/A</v>
      </c>
      <c r="J3538" s="100" t="e">
        <f t="shared" si="597"/>
        <v>#N/A</v>
      </c>
      <c r="K3538" s="51" t="e">
        <f>VLOOKUP(B:B,'生產達成率(目標)'!A:C,3,0)</f>
        <v>#N/A</v>
      </c>
      <c r="L3538" s="20" t="e">
        <f t="shared" si="598"/>
        <v>#N/A</v>
      </c>
      <c r="M3538" s="137"/>
      <c r="N3538" s="374"/>
      <c r="O3538" s="374">
        <f t="shared" si="599"/>
        <v>0</v>
      </c>
      <c r="P3538" s="156"/>
      <c r="Q3538" s="98" t="e">
        <f t="shared" si="600"/>
        <v>#DIV/0!</v>
      </c>
      <c r="R3538" s="371"/>
      <c r="S3538" s="372"/>
      <c r="T3538" s="364"/>
      <c r="U3538" s="264"/>
      <c r="V3538" s="264"/>
      <c r="W3538" s="424"/>
      <c r="X3538" s="264" t="s">
        <v>1867</v>
      </c>
      <c r="Y3538" s="424"/>
      <c r="Z3538" s="424"/>
      <c r="AA3538" s="424"/>
      <c r="AB3538" s="424"/>
      <c r="AC3538" s="425">
        <f t="shared" si="593"/>
        <v>0</v>
      </c>
      <c r="AD3538" s="425">
        <f t="shared" si="594"/>
        <v>0</v>
      </c>
    </row>
    <row r="3539" spans="1:30" s="361" customFormat="1" x14ac:dyDescent="0.4">
      <c r="A3539" s="402"/>
      <c r="B3539" s="392"/>
      <c r="C3539" s="364" t="e">
        <f>VLOOKUP(B3539,'112年全品項生產鍋數'!A:H,2,0)</f>
        <v>#N/A</v>
      </c>
      <c r="D3539" s="404"/>
      <c r="E3539" s="48" t="e">
        <f>VLOOKUP(B3539,'112年全品項生產鍋數'!A:H,3,0)</f>
        <v>#N/A</v>
      </c>
      <c r="F3539" s="142" t="e">
        <f>VLOOKUP(B3539,'112年全品項生產鍋數'!A:H,7,0)</f>
        <v>#N/A</v>
      </c>
      <c r="G3539" s="143" t="e">
        <f t="shared" si="595"/>
        <v>#N/A</v>
      </c>
      <c r="H3539" s="156"/>
      <c r="I3539" s="371" t="e">
        <f t="shared" si="596"/>
        <v>#N/A</v>
      </c>
      <c r="J3539" s="100" t="e">
        <f t="shared" si="597"/>
        <v>#N/A</v>
      </c>
      <c r="K3539" s="51" t="e">
        <f>VLOOKUP(B:B,'生產達成率(目標)'!A:C,3,0)</f>
        <v>#N/A</v>
      </c>
      <c r="L3539" s="20" t="e">
        <f t="shared" si="598"/>
        <v>#N/A</v>
      </c>
      <c r="M3539" s="137"/>
      <c r="N3539" s="374"/>
      <c r="O3539" s="374">
        <f t="shared" si="599"/>
        <v>0</v>
      </c>
      <c r="P3539" s="156"/>
      <c r="Q3539" s="98" t="e">
        <f t="shared" si="600"/>
        <v>#DIV/0!</v>
      </c>
      <c r="R3539" s="371"/>
      <c r="S3539" s="372"/>
      <c r="T3539" s="364"/>
      <c r="U3539" s="264"/>
      <c r="V3539" s="264"/>
      <c r="W3539" s="424"/>
      <c r="X3539" s="264" t="s">
        <v>1867</v>
      </c>
      <c r="Y3539" s="424"/>
      <c r="Z3539" s="424"/>
      <c r="AA3539" s="424"/>
      <c r="AB3539" s="424"/>
      <c r="AC3539" s="425">
        <f t="shared" si="593"/>
        <v>0</v>
      </c>
      <c r="AD3539" s="425">
        <f t="shared" si="594"/>
        <v>0</v>
      </c>
    </row>
    <row r="3540" spans="1:30" s="361" customFormat="1" x14ac:dyDescent="0.4">
      <c r="A3540" s="402"/>
      <c r="B3540" s="392"/>
      <c r="C3540" s="364" t="e">
        <f>VLOOKUP(B3540,'112年全品項生產鍋數'!A:H,2,0)</f>
        <v>#N/A</v>
      </c>
      <c r="D3540" s="404"/>
      <c r="E3540" s="48" t="e">
        <f>VLOOKUP(B3540,'112年全品項生產鍋數'!A:H,3,0)</f>
        <v>#N/A</v>
      </c>
      <c r="F3540" s="142" t="e">
        <f>VLOOKUP(B3540,'112年全品項生產鍋數'!A:H,7,0)</f>
        <v>#N/A</v>
      </c>
      <c r="G3540" s="143" t="e">
        <f t="shared" si="595"/>
        <v>#N/A</v>
      </c>
      <c r="H3540" s="156"/>
      <c r="I3540" s="371" t="e">
        <f t="shared" si="596"/>
        <v>#N/A</v>
      </c>
      <c r="J3540" s="100" t="e">
        <f t="shared" si="597"/>
        <v>#N/A</v>
      </c>
      <c r="K3540" s="51" t="e">
        <f>VLOOKUP(B:B,'生產達成率(目標)'!A:C,3,0)</f>
        <v>#N/A</v>
      </c>
      <c r="L3540" s="20" t="e">
        <f t="shared" si="598"/>
        <v>#N/A</v>
      </c>
      <c r="M3540" s="137"/>
      <c r="N3540" s="374"/>
      <c r="O3540" s="374">
        <f t="shared" si="599"/>
        <v>0</v>
      </c>
      <c r="P3540" s="156"/>
      <c r="Q3540" s="98" t="e">
        <f t="shared" si="600"/>
        <v>#DIV/0!</v>
      </c>
      <c r="R3540" s="371"/>
      <c r="S3540" s="372"/>
      <c r="T3540" s="364"/>
      <c r="U3540" s="264"/>
      <c r="V3540" s="264"/>
      <c r="W3540" s="424"/>
      <c r="X3540" s="264" t="s">
        <v>1867</v>
      </c>
      <c r="Y3540" s="424"/>
      <c r="Z3540" s="424"/>
      <c r="AA3540" s="424"/>
      <c r="AB3540" s="424"/>
      <c r="AC3540" s="425">
        <f t="shared" si="593"/>
        <v>0</v>
      </c>
      <c r="AD3540" s="425">
        <f t="shared" si="594"/>
        <v>0</v>
      </c>
    </row>
    <row r="3541" spans="1:30" s="361" customFormat="1" x14ac:dyDescent="0.4">
      <c r="A3541" s="402"/>
      <c r="B3541" s="392"/>
      <c r="C3541" s="364" t="e">
        <f>VLOOKUP(B3541,'112年全品項生產鍋數'!A:H,2,0)</f>
        <v>#N/A</v>
      </c>
      <c r="D3541" s="404"/>
      <c r="E3541" s="48" t="e">
        <f>VLOOKUP(B3541,'112年全品項生產鍋數'!A:H,3,0)</f>
        <v>#N/A</v>
      </c>
      <c r="F3541" s="142" t="e">
        <f>VLOOKUP(B3541,'112年全品項生產鍋數'!A:H,7,0)</f>
        <v>#N/A</v>
      </c>
      <c r="G3541" s="143" t="e">
        <f t="shared" si="595"/>
        <v>#N/A</v>
      </c>
      <c r="H3541" s="156"/>
      <c r="I3541" s="371" t="e">
        <f t="shared" si="596"/>
        <v>#N/A</v>
      </c>
      <c r="J3541" s="100" t="e">
        <f t="shared" si="597"/>
        <v>#N/A</v>
      </c>
      <c r="K3541" s="51" t="e">
        <f>VLOOKUP(B:B,'生產達成率(目標)'!A:C,3,0)</f>
        <v>#N/A</v>
      </c>
      <c r="L3541" s="20" t="e">
        <f t="shared" si="598"/>
        <v>#N/A</v>
      </c>
      <c r="M3541" s="137"/>
      <c r="N3541" s="374"/>
      <c r="O3541" s="374">
        <f t="shared" si="599"/>
        <v>0</v>
      </c>
      <c r="P3541" s="156"/>
      <c r="Q3541" s="98" t="e">
        <f t="shared" si="600"/>
        <v>#DIV/0!</v>
      </c>
      <c r="R3541" s="371"/>
      <c r="S3541" s="372"/>
      <c r="T3541" s="364"/>
      <c r="U3541" s="264"/>
      <c r="V3541" s="264"/>
      <c r="W3541" s="424"/>
      <c r="X3541" s="264" t="s">
        <v>1867</v>
      </c>
      <c r="Y3541" s="424"/>
      <c r="Z3541" s="424"/>
      <c r="AA3541" s="424"/>
      <c r="AB3541" s="424"/>
      <c r="AC3541" s="425">
        <f t="shared" si="593"/>
        <v>0</v>
      </c>
      <c r="AD3541" s="425">
        <f t="shared" si="594"/>
        <v>0</v>
      </c>
    </row>
    <row r="3542" spans="1:30" s="361" customFormat="1" x14ac:dyDescent="0.4">
      <c r="A3542" s="402"/>
      <c r="B3542" s="392"/>
      <c r="C3542" s="364" t="e">
        <f>VLOOKUP(B3542,'112年全品項生產鍋數'!A:H,2,0)</f>
        <v>#N/A</v>
      </c>
      <c r="D3542" s="404"/>
      <c r="E3542" s="48" t="e">
        <f>VLOOKUP(B3542,'112年全品項生產鍋數'!A:H,3,0)</f>
        <v>#N/A</v>
      </c>
      <c r="F3542" s="142" t="e">
        <f>VLOOKUP(B3542,'112年全品項生產鍋數'!A:H,7,0)</f>
        <v>#N/A</v>
      </c>
      <c r="G3542" s="143" t="e">
        <f t="shared" si="595"/>
        <v>#N/A</v>
      </c>
      <c r="H3542" s="156"/>
      <c r="I3542" s="371" t="e">
        <f t="shared" si="596"/>
        <v>#N/A</v>
      </c>
      <c r="J3542" s="100" t="e">
        <f t="shared" si="597"/>
        <v>#N/A</v>
      </c>
      <c r="K3542" s="51" t="e">
        <f>VLOOKUP(B:B,'生產達成率(目標)'!A:C,3,0)</f>
        <v>#N/A</v>
      </c>
      <c r="L3542" s="20" t="e">
        <f t="shared" si="598"/>
        <v>#N/A</v>
      </c>
      <c r="M3542" s="137"/>
      <c r="N3542" s="374"/>
      <c r="O3542" s="374">
        <f t="shared" si="599"/>
        <v>0</v>
      </c>
      <c r="P3542" s="156"/>
      <c r="Q3542" s="98" t="e">
        <f t="shared" si="600"/>
        <v>#DIV/0!</v>
      </c>
      <c r="R3542" s="371"/>
      <c r="S3542" s="372"/>
      <c r="T3542" s="364"/>
      <c r="U3542" s="264"/>
      <c r="V3542" s="264"/>
      <c r="W3542" s="424"/>
      <c r="X3542" s="264" t="s">
        <v>1867</v>
      </c>
      <c r="Y3542" s="424"/>
      <c r="Z3542" s="424"/>
      <c r="AA3542" s="424"/>
      <c r="AB3542" s="424"/>
      <c r="AC3542" s="425">
        <f t="shared" si="593"/>
        <v>0</v>
      </c>
      <c r="AD3542" s="425">
        <f t="shared" si="594"/>
        <v>0</v>
      </c>
    </row>
    <row r="3543" spans="1:30" s="361" customFormat="1" x14ac:dyDescent="0.4">
      <c r="A3543" s="402"/>
      <c r="B3543" s="392"/>
      <c r="C3543" s="364" t="e">
        <f>VLOOKUP(B3543,'112年全品項生產鍋數'!A:H,2,0)</f>
        <v>#N/A</v>
      </c>
      <c r="D3543" s="404"/>
      <c r="E3543" s="48" t="e">
        <f>VLOOKUP(B3543,'112年全品項生產鍋數'!A:H,3,0)</f>
        <v>#N/A</v>
      </c>
      <c r="F3543" s="142" t="e">
        <f>VLOOKUP(B3543,'112年全品項生產鍋數'!A:H,7,0)</f>
        <v>#N/A</v>
      </c>
      <c r="G3543" s="143" t="e">
        <f t="shared" si="595"/>
        <v>#N/A</v>
      </c>
      <c r="H3543" s="156"/>
      <c r="I3543" s="371" t="e">
        <f t="shared" si="596"/>
        <v>#N/A</v>
      </c>
      <c r="J3543" s="100" t="e">
        <f t="shared" si="597"/>
        <v>#N/A</v>
      </c>
      <c r="K3543" s="51" t="e">
        <f>VLOOKUP(B:B,'生產達成率(目標)'!A:C,3,0)</f>
        <v>#N/A</v>
      </c>
      <c r="L3543" s="20" t="e">
        <f t="shared" si="598"/>
        <v>#N/A</v>
      </c>
      <c r="M3543" s="137"/>
      <c r="N3543" s="374"/>
      <c r="O3543" s="374">
        <f t="shared" si="599"/>
        <v>0</v>
      </c>
      <c r="P3543" s="156"/>
      <c r="Q3543" s="98" t="e">
        <f t="shared" si="600"/>
        <v>#DIV/0!</v>
      </c>
      <c r="R3543" s="371"/>
      <c r="S3543" s="372"/>
      <c r="T3543" s="364"/>
      <c r="U3543" s="264"/>
      <c r="V3543" s="264"/>
      <c r="W3543" s="424"/>
      <c r="X3543" s="264" t="s">
        <v>1867</v>
      </c>
      <c r="Y3543" s="424"/>
      <c r="Z3543" s="424"/>
      <c r="AA3543" s="424"/>
      <c r="AB3543" s="424"/>
      <c r="AC3543" s="425">
        <f t="shared" ref="AC3543:AC3606" si="601" xml:space="preserve"> IF((W3543-A3543)&lt;0,"未收到",W3543-A3543)</f>
        <v>0</v>
      </c>
      <c r="AD3543" s="425">
        <f t="shared" ref="AD3543:AD3606" si="602" xml:space="preserve"> IF((Y3543-A3543)&lt;0,"未收到",Y3543-A3543)</f>
        <v>0</v>
      </c>
    </row>
    <row r="3544" spans="1:30" s="361" customFormat="1" x14ac:dyDescent="0.4">
      <c r="A3544" s="402"/>
      <c r="B3544" s="392"/>
      <c r="C3544" s="364" t="e">
        <f>VLOOKUP(B3544,'112年全品項生產鍋數'!A:H,2,0)</f>
        <v>#N/A</v>
      </c>
      <c r="D3544" s="404"/>
      <c r="E3544" s="48" t="e">
        <f>VLOOKUP(B3544,'112年全品項生產鍋數'!A:H,3,0)</f>
        <v>#N/A</v>
      </c>
      <c r="F3544" s="142" t="e">
        <f>VLOOKUP(B3544,'112年全品項生產鍋數'!A:H,7,0)</f>
        <v>#N/A</v>
      </c>
      <c r="G3544" s="143" t="e">
        <f t="shared" si="595"/>
        <v>#N/A</v>
      </c>
      <c r="H3544" s="156"/>
      <c r="I3544" s="371" t="e">
        <f t="shared" si="596"/>
        <v>#N/A</v>
      </c>
      <c r="J3544" s="100" t="e">
        <f t="shared" si="597"/>
        <v>#N/A</v>
      </c>
      <c r="K3544" s="51" t="e">
        <f>VLOOKUP(B:B,'生產達成率(目標)'!A:C,3,0)</f>
        <v>#N/A</v>
      </c>
      <c r="L3544" s="20" t="e">
        <f t="shared" si="598"/>
        <v>#N/A</v>
      </c>
      <c r="M3544" s="137"/>
      <c r="N3544" s="374"/>
      <c r="O3544" s="374">
        <f t="shared" si="599"/>
        <v>0</v>
      </c>
      <c r="P3544" s="156"/>
      <c r="Q3544" s="98" t="e">
        <f t="shared" si="600"/>
        <v>#DIV/0!</v>
      </c>
      <c r="R3544" s="371"/>
      <c r="S3544" s="372"/>
      <c r="T3544" s="364"/>
      <c r="U3544" s="264"/>
      <c r="V3544" s="264"/>
      <c r="W3544" s="424"/>
      <c r="X3544" s="264" t="s">
        <v>1867</v>
      </c>
      <c r="Y3544" s="424"/>
      <c r="Z3544" s="424"/>
      <c r="AA3544" s="424"/>
      <c r="AB3544" s="424"/>
      <c r="AC3544" s="425">
        <f t="shared" si="601"/>
        <v>0</v>
      </c>
      <c r="AD3544" s="425">
        <f t="shared" si="602"/>
        <v>0</v>
      </c>
    </row>
    <row r="3545" spans="1:30" s="361" customFormat="1" x14ac:dyDescent="0.4">
      <c r="A3545" s="402"/>
      <c r="B3545" s="392"/>
      <c r="C3545" s="364" t="e">
        <f>VLOOKUP(B3545,'112年全品項生產鍋數'!A:H,2,0)</f>
        <v>#N/A</v>
      </c>
      <c r="D3545" s="404"/>
      <c r="E3545" s="48" t="e">
        <f>VLOOKUP(B3545,'112年全品項生產鍋數'!A:H,3,0)</f>
        <v>#N/A</v>
      </c>
      <c r="F3545" s="142" t="e">
        <f>VLOOKUP(B3545,'112年全品項生產鍋數'!A:H,7,0)</f>
        <v>#N/A</v>
      </c>
      <c r="G3545" s="143" t="e">
        <f t="shared" si="595"/>
        <v>#N/A</v>
      </c>
      <c r="H3545" s="156"/>
      <c r="I3545" s="371" t="e">
        <f t="shared" si="596"/>
        <v>#N/A</v>
      </c>
      <c r="J3545" s="100" t="e">
        <f t="shared" si="597"/>
        <v>#N/A</v>
      </c>
      <c r="K3545" s="51" t="e">
        <f>VLOOKUP(B:B,'生產達成率(目標)'!A:C,3,0)</f>
        <v>#N/A</v>
      </c>
      <c r="L3545" s="20" t="e">
        <f t="shared" si="598"/>
        <v>#N/A</v>
      </c>
      <c r="M3545" s="137"/>
      <c r="N3545" s="374"/>
      <c r="O3545" s="374">
        <f t="shared" si="599"/>
        <v>0</v>
      </c>
      <c r="P3545" s="156"/>
      <c r="Q3545" s="98" t="e">
        <f t="shared" si="600"/>
        <v>#DIV/0!</v>
      </c>
      <c r="R3545" s="371"/>
      <c r="S3545" s="372"/>
      <c r="T3545" s="364"/>
      <c r="U3545" s="264"/>
      <c r="V3545" s="264"/>
      <c r="W3545" s="424"/>
      <c r="X3545" s="264" t="s">
        <v>1867</v>
      </c>
      <c r="Y3545" s="424"/>
      <c r="Z3545" s="424"/>
      <c r="AA3545" s="424"/>
      <c r="AB3545" s="424"/>
      <c r="AC3545" s="425">
        <f t="shared" si="601"/>
        <v>0</v>
      </c>
      <c r="AD3545" s="425">
        <f t="shared" si="602"/>
        <v>0</v>
      </c>
    </row>
    <row r="3546" spans="1:30" s="361" customFormat="1" x14ac:dyDescent="0.4">
      <c r="A3546" s="402"/>
      <c r="B3546" s="392"/>
      <c r="C3546" s="364" t="e">
        <f>VLOOKUP(B3546,'112年全品項生產鍋數'!A:H,2,0)</f>
        <v>#N/A</v>
      </c>
      <c r="D3546" s="404"/>
      <c r="E3546" s="48" t="e">
        <f>VLOOKUP(B3546,'112年全品項生產鍋數'!A:H,3,0)</f>
        <v>#N/A</v>
      </c>
      <c r="F3546" s="142" t="e">
        <f>VLOOKUP(B3546,'112年全品項生產鍋數'!A:H,7,0)</f>
        <v>#N/A</v>
      </c>
      <c r="G3546" s="143" t="e">
        <f t="shared" si="595"/>
        <v>#N/A</v>
      </c>
      <c r="H3546" s="156"/>
      <c r="I3546" s="371" t="e">
        <f t="shared" si="596"/>
        <v>#N/A</v>
      </c>
      <c r="J3546" s="100" t="e">
        <f t="shared" si="597"/>
        <v>#N/A</v>
      </c>
      <c r="K3546" s="51" t="e">
        <f>VLOOKUP(B:B,'生產達成率(目標)'!A:C,3,0)</f>
        <v>#N/A</v>
      </c>
      <c r="L3546" s="20" t="e">
        <f t="shared" si="598"/>
        <v>#N/A</v>
      </c>
      <c r="M3546" s="137"/>
      <c r="N3546" s="374"/>
      <c r="O3546" s="374">
        <f t="shared" si="599"/>
        <v>0</v>
      </c>
      <c r="P3546" s="156"/>
      <c r="Q3546" s="98" t="e">
        <f t="shared" si="600"/>
        <v>#DIV/0!</v>
      </c>
      <c r="R3546" s="371"/>
      <c r="S3546" s="372"/>
      <c r="T3546" s="364"/>
      <c r="U3546" s="264"/>
      <c r="V3546" s="264"/>
      <c r="W3546" s="424"/>
      <c r="X3546" s="264" t="s">
        <v>1867</v>
      </c>
      <c r="Y3546" s="424"/>
      <c r="Z3546" s="424"/>
      <c r="AA3546" s="424"/>
      <c r="AB3546" s="424"/>
      <c r="AC3546" s="425">
        <f t="shared" si="601"/>
        <v>0</v>
      </c>
      <c r="AD3546" s="425">
        <f t="shared" si="602"/>
        <v>0</v>
      </c>
    </row>
    <row r="3547" spans="1:30" s="361" customFormat="1" x14ac:dyDescent="0.4">
      <c r="A3547" s="402"/>
      <c r="B3547" s="392"/>
      <c r="C3547" s="364" t="e">
        <f>VLOOKUP(B3547,'112年全品項生產鍋數'!A:H,2,0)</f>
        <v>#N/A</v>
      </c>
      <c r="D3547" s="404"/>
      <c r="E3547" s="48" t="e">
        <f>VLOOKUP(B3547,'112年全品項生產鍋數'!A:H,3,0)</f>
        <v>#N/A</v>
      </c>
      <c r="F3547" s="142" t="e">
        <f>VLOOKUP(B3547,'112年全品項生產鍋數'!A:H,7,0)</f>
        <v>#N/A</v>
      </c>
      <c r="G3547" s="143" t="e">
        <f t="shared" si="595"/>
        <v>#N/A</v>
      </c>
      <c r="H3547" s="156"/>
      <c r="I3547" s="371" t="e">
        <f t="shared" si="596"/>
        <v>#N/A</v>
      </c>
      <c r="J3547" s="100" t="e">
        <f t="shared" si="597"/>
        <v>#N/A</v>
      </c>
      <c r="K3547" s="51" t="e">
        <f>VLOOKUP(B:B,'生產達成率(目標)'!A:C,3,0)</f>
        <v>#N/A</v>
      </c>
      <c r="L3547" s="20" t="e">
        <f t="shared" si="598"/>
        <v>#N/A</v>
      </c>
      <c r="M3547" s="137"/>
      <c r="N3547" s="374"/>
      <c r="O3547" s="374">
        <f t="shared" si="599"/>
        <v>0</v>
      </c>
      <c r="P3547" s="156"/>
      <c r="Q3547" s="98" t="e">
        <f t="shared" si="600"/>
        <v>#DIV/0!</v>
      </c>
      <c r="R3547" s="371"/>
      <c r="S3547" s="372"/>
      <c r="T3547" s="364"/>
      <c r="U3547" s="264"/>
      <c r="V3547" s="264"/>
      <c r="W3547" s="424"/>
      <c r="X3547" s="264" t="s">
        <v>1867</v>
      </c>
      <c r="Y3547" s="424"/>
      <c r="Z3547" s="424"/>
      <c r="AA3547" s="424"/>
      <c r="AB3547" s="424"/>
      <c r="AC3547" s="425">
        <f t="shared" si="601"/>
        <v>0</v>
      </c>
      <c r="AD3547" s="425">
        <f t="shared" si="602"/>
        <v>0</v>
      </c>
    </row>
    <row r="3548" spans="1:30" s="361" customFormat="1" x14ac:dyDescent="0.4">
      <c r="A3548" s="402"/>
      <c r="B3548" s="392"/>
      <c r="C3548" s="364" t="e">
        <f>VLOOKUP(B3548,'112年全品項生產鍋數'!A:H,2,0)</f>
        <v>#N/A</v>
      </c>
      <c r="D3548" s="404"/>
      <c r="E3548" s="48" t="e">
        <f>VLOOKUP(B3548,'112年全品項生產鍋數'!A:H,3,0)</f>
        <v>#N/A</v>
      </c>
      <c r="F3548" s="142" t="e">
        <f>VLOOKUP(B3548,'112年全品項生產鍋數'!A:H,7,0)</f>
        <v>#N/A</v>
      </c>
      <c r="G3548" s="143" t="e">
        <f t="shared" si="595"/>
        <v>#N/A</v>
      </c>
      <c r="H3548" s="156"/>
      <c r="I3548" s="371" t="e">
        <f t="shared" si="596"/>
        <v>#N/A</v>
      </c>
      <c r="J3548" s="100" t="e">
        <f t="shared" si="597"/>
        <v>#N/A</v>
      </c>
      <c r="K3548" s="51" t="e">
        <f>VLOOKUP(B:B,'生產達成率(目標)'!A:C,3,0)</f>
        <v>#N/A</v>
      </c>
      <c r="L3548" s="20" t="e">
        <f t="shared" si="598"/>
        <v>#N/A</v>
      </c>
      <c r="M3548" s="137"/>
      <c r="N3548" s="374"/>
      <c r="O3548" s="374">
        <f t="shared" si="599"/>
        <v>0</v>
      </c>
      <c r="P3548" s="156"/>
      <c r="Q3548" s="98" t="e">
        <f t="shared" si="600"/>
        <v>#DIV/0!</v>
      </c>
      <c r="R3548" s="371"/>
      <c r="S3548" s="372"/>
      <c r="T3548" s="364"/>
      <c r="U3548" s="264"/>
      <c r="V3548" s="264"/>
      <c r="W3548" s="424"/>
      <c r="X3548" s="264" t="s">
        <v>1867</v>
      </c>
      <c r="Y3548" s="424"/>
      <c r="Z3548" s="424"/>
      <c r="AA3548" s="424"/>
      <c r="AB3548" s="424"/>
      <c r="AC3548" s="425">
        <f t="shared" si="601"/>
        <v>0</v>
      </c>
      <c r="AD3548" s="425">
        <f t="shared" si="602"/>
        <v>0</v>
      </c>
    </row>
    <row r="3549" spans="1:30" s="361" customFormat="1" x14ac:dyDescent="0.4">
      <c r="A3549" s="402"/>
      <c r="B3549" s="392"/>
      <c r="C3549" s="364" t="e">
        <f>VLOOKUP(B3549,'112年全品項生產鍋數'!A:H,2,0)</f>
        <v>#N/A</v>
      </c>
      <c r="D3549" s="404"/>
      <c r="E3549" s="48" t="e">
        <f>VLOOKUP(B3549,'112年全品項生產鍋數'!A:H,3,0)</f>
        <v>#N/A</v>
      </c>
      <c r="F3549" s="142" t="e">
        <f>VLOOKUP(B3549,'112年全品項生產鍋數'!A:H,7,0)</f>
        <v>#N/A</v>
      </c>
      <c r="G3549" s="143" t="e">
        <f t="shared" si="595"/>
        <v>#N/A</v>
      </c>
      <c r="H3549" s="156"/>
      <c r="I3549" s="371" t="e">
        <f t="shared" si="596"/>
        <v>#N/A</v>
      </c>
      <c r="J3549" s="100" t="e">
        <f t="shared" si="597"/>
        <v>#N/A</v>
      </c>
      <c r="K3549" s="51" t="e">
        <f>VLOOKUP(B:B,'生產達成率(目標)'!A:C,3,0)</f>
        <v>#N/A</v>
      </c>
      <c r="L3549" s="20" t="e">
        <f t="shared" si="598"/>
        <v>#N/A</v>
      </c>
      <c r="M3549" s="137"/>
      <c r="N3549" s="374"/>
      <c r="O3549" s="374">
        <f t="shared" si="599"/>
        <v>0</v>
      </c>
      <c r="P3549" s="156"/>
      <c r="Q3549" s="98" t="e">
        <f t="shared" si="600"/>
        <v>#DIV/0!</v>
      </c>
      <c r="R3549" s="371"/>
      <c r="S3549" s="372"/>
      <c r="T3549" s="364"/>
      <c r="U3549" s="264"/>
      <c r="V3549" s="264"/>
      <c r="W3549" s="424"/>
      <c r="X3549" s="264" t="s">
        <v>1867</v>
      </c>
      <c r="Y3549" s="424"/>
      <c r="Z3549" s="424"/>
      <c r="AA3549" s="424"/>
      <c r="AB3549" s="424"/>
      <c r="AC3549" s="425">
        <f t="shared" si="601"/>
        <v>0</v>
      </c>
      <c r="AD3549" s="425">
        <f t="shared" si="602"/>
        <v>0</v>
      </c>
    </row>
    <row r="3550" spans="1:30" s="361" customFormat="1" x14ac:dyDescent="0.4">
      <c r="A3550" s="402"/>
      <c r="B3550" s="392"/>
      <c r="C3550" s="364" t="e">
        <f>VLOOKUP(B3550,'112年全品項生產鍋數'!A:H,2,0)</f>
        <v>#N/A</v>
      </c>
      <c r="D3550" s="404"/>
      <c r="E3550" s="48" t="e">
        <f>VLOOKUP(B3550,'112年全品項生產鍋數'!A:H,3,0)</f>
        <v>#N/A</v>
      </c>
      <c r="F3550" s="142" t="e">
        <f>VLOOKUP(B3550,'112年全品項生產鍋數'!A:H,7,0)</f>
        <v>#N/A</v>
      </c>
      <c r="G3550" s="143" t="e">
        <f t="shared" si="595"/>
        <v>#N/A</v>
      </c>
      <c r="H3550" s="156"/>
      <c r="I3550" s="371" t="e">
        <f t="shared" si="596"/>
        <v>#N/A</v>
      </c>
      <c r="J3550" s="100" t="e">
        <f t="shared" si="597"/>
        <v>#N/A</v>
      </c>
      <c r="K3550" s="51" t="e">
        <f>VLOOKUP(B:B,'生產達成率(目標)'!A:C,3,0)</f>
        <v>#N/A</v>
      </c>
      <c r="L3550" s="20" t="e">
        <f t="shared" si="598"/>
        <v>#N/A</v>
      </c>
      <c r="M3550" s="137"/>
      <c r="N3550" s="374"/>
      <c r="O3550" s="374">
        <f t="shared" si="599"/>
        <v>0</v>
      </c>
      <c r="P3550" s="156"/>
      <c r="Q3550" s="98" t="e">
        <f t="shared" si="600"/>
        <v>#DIV/0!</v>
      </c>
      <c r="R3550" s="371"/>
      <c r="S3550" s="372"/>
      <c r="T3550" s="364"/>
      <c r="U3550" s="264"/>
      <c r="V3550" s="264"/>
      <c r="W3550" s="424"/>
      <c r="X3550" s="264" t="s">
        <v>1867</v>
      </c>
      <c r="Y3550" s="424"/>
      <c r="Z3550" s="424"/>
      <c r="AA3550" s="424"/>
      <c r="AB3550" s="424"/>
      <c r="AC3550" s="425">
        <f t="shared" si="601"/>
        <v>0</v>
      </c>
      <c r="AD3550" s="425">
        <f t="shared" si="602"/>
        <v>0</v>
      </c>
    </row>
    <row r="3551" spans="1:30" s="361" customFormat="1" x14ac:dyDescent="0.4">
      <c r="A3551" s="402"/>
      <c r="B3551" s="392"/>
      <c r="C3551" s="364" t="e">
        <f>VLOOKUP(B3551,'112年全品項生產鍋數'!A:H,2,0)</f>
        <v>#N/A</v>
      </c>
      <c r="D3551" s="404"/>
      <c r="E3551" s="48" t="e">
        <f>VLOOKUP(B3551,'112年全品項生產鍋數'!A:H,3,0)</f>
        <v>#N/A</v>
      </c>
      <c r="F3551" s="142" t="e">
        <f>VLOOKUP(B3551,'112年全品項生產鍋數'!A:H,7,0)</f>
        <v>#N/A</v>
      </c>
      <c r="G3551" s="143" t="e">
        <f t="shared" si="595"/>
        <v>#N/A</v>
      </c>
      <c r="H3551" s="156"/>
      <c r="I3551" s="371" t="e">
        <f t="shared" si="596"/>
        <v>#N/A</v>
      </c>
      <c r="J3551" s="100" t="e">
        <f t="shared" si="597"/>
        <v>#N/A</v>
      </c>
      <c r="K3551" s="51" t="e">
        <f>VLOOKUP(B:B,'生產達成率(目標)'!A:C,3,0)</f>
        <v>#N/A</v>
      </c>
      <c r="L3551" s="20" t="e">
        <f t="shared" si="598"/>
        <v>#N/A</v>
      </c>
      <c r="M3551" s="137"/>
      <c r="N3551" s="374"/>
      <c r="O3551" s="374">
        <f t="shared" si="599"/>
        <v>0</v>
      </c>
      <c r="P3551" s="156"/>
      <c r="Q3551" s="98" t="e">
        <f t="shared" si="600"/>
        <v>#DIV/0!</v>
      </c>
      <c r="R3551" s="371"/>
      <c r="S3551" s="372"/>
      <c r="T3551" s="364"/>
      <c r="U3551" s="264"/>
      <c r="V3551" s="264"/>
      <c r="W3551" s="424"/>
      <c r="X3551" s="264" t="s">
        <v>1867</v>
      </c>
      <c r="Y3551" s="424"/>
      <c r="Z3551" s="424"/>
      <c r="AA3551" s="424"/>
      <c r="AB3551" s="424"/>
      <c r="AC3551" s="425">
        <f t="shared" si="601"/>
        <v>0</v>
      </c>
      <c r="AD3551" s="425">
        <f t="shared" si="602"/>
        <v>0</v>
      </c>
    </row>
    <row r="3552" spans="1:30" s="361" customFormat="1" x14ac:dyDescent="0.4">
      <c r="A3552" s="402"/>
      <c r="B3552" s="392"/>
      <c r="C3552" s="364" t="e">
        <f>VLOOKUP(B3552,'112年全品項生產鍋數'!A:H,2,0)</f>
        <v>#N/A</v>
      </c>
      <c r="D3552" s="404"/>
      <c r="E3552" s="48" t="e">
        <f>VLOOKUP(B3552,'112年全品項生產鍋數'!A:H,3,0)</f>
        <v>#N/A</v>
      </c>
      <c r="F3552" s="142" t="e">
        <f>VLOOKUP(B3552,'112年全品項生產鍋數'!A:H,7,0)</f>
        <v>#N/A</v>
      </c>
      <c r="G3552" s="143" t="e">
        <f t="shared" si="595"/>
        <v>#N/A</v>
      </c>
      <c r="H3552" s="156"/>
      <c r="I3552" s="371" t="e">
        <f t="shared" si="596"/>
        <v>#N/A</v>
      </c>
      <c r="J3552" s="100" t="e">
        <f t="shared" si="597"/>
        <v>#N/A</v>
      </c>
      <c r="K3552" s="51" t="e">
        <f>VLOOKUP(B:B,'生產達成率(目標)'!A:C,3,0)</f>
        <v>#N/A</v>
      </c>
      <c r="L3552" s="20" t="e">
        <f t="shared" si="598"/>
        <v>#N/A</v>
      </c>
      <c r="M3552" s="137"/>
      <c r="N3552" s="374"/>
      <c r="O3552" s="374">
        <f t="shared" si="599"/>
        <v>0</v>
      </c>
      <c r="P3552" s="156"/>
      <c r="Q3552" s="98" t="e">
        <f t="shared" si="600"/>
        <v>#DIV/0!</v>
      </c>
      <c r="R3552" s="371"/>
      <c r="S3552" s="372"/>
      <c r="T3552" s="364"/>
      <c r="U3552" s="264"/>
      <c r="V3552" s="264"/>
      <c r="W3552" s="424"/>
      <c r="X3552" s="264" t="s">
        <v>1867</v>
      </c>
      <c r="Y3552" s="424"/>
      <c r="Z3552" s="424"/>
      <c r="AA3552" s="424"/>
      <c r="AB3552" s="424"/>
      <c r="AC3552" s="425">
        <f t="shared" si="601"/>
        <v>0</v>
      </c>
      <c r="AD3552" s="425">
        <f t="shared" si="602"/>
        <v>0</v>
      </c>
    </row>
    <row r="3553" spans="1:30" s="361" customFormat="1" x14ac:dyDescent="0.4">
      <c r="A3553" s="402"/>
      <c r="B3553" s="392"/>
      <c r="C3553" s="364" t="e">
        <f>VLOOKUP(B3553,'112年全品項生產鍋數'!A:H,2,0)</f>
        <v>#N/A</v>
      </c>
      <c r="D3553" s="404"/>
      <c r="E3553" s="48" t="e">
        <f>VLOOKUP(B3553,'112年全品項生產鍋數'!A:H,3,0)</f>
        <v>#N/A</v>
      </c>
      <c r="F3553" s="142" t="e">
        <f>VLOOKUP(B3553,'112年全品項生產鍋數'!A:H,7,0)</f>
        <v>#N/A</v>
      </c>
      <c r="G3553" s="143" t="e">
        <f t="shared" si="595"/>
        <v>#N/A</v>
      </c>
      <c r="H3553" s="156"/>
      <c r="I3553" s="371" t="e">
        <f t="shared" si="596"/>
        <v>#N/A</v>
      </c>
      <c r="J3553" s="100" t="e">
        <f t="shared" si="597"/>
        <v>#N/A</v>
      </c>
      <c r="K3553" s="51" t="e">
        <f>VLOOKUP(B:B,'生產達成率(目標)'!A:C,3,0)</f>
        <v>#N/A</v>
      </c>
      <c r="L3553" s="20" t="e">
        <f t="shared" si="598"/>
        <v>#N/A</v>
      </c>
      <c r="M3553" s="137"/>
      <c r="N3553" s="374"/>
      <c r="O3553" s="374">
        <f t="shared" si="599"/>
        <v>0</v>
      </c>
      <c r="P3553" s="156"/>
      <c r="Q3553" s="98" t="e">
        <f t="shared" si="600"/>
        <v>#DIV/0!</v>
      </c>
      <c r="R3553" s="371"/>
      <c r="S3553" s="372"/>
      <c r="T3553" s="364"/>
      <c r="U3553" s="264"/>
      <c r="V3553" s="264"/>
      <c r="W3553" s="424"/>
      <c r="X3553" s="264" t="s">
        <v>1867</v>
      </c>
      <c r="Y3553" s="424"/>
      <c r="Z3553" s="424"/>
      <c r="AA3553" s="424"/>
      <c r="AB3553" s="424"/>
      <c r="AC3553" s="425">
        <f t="shared" si="601"/>
        <v>0</v>
      </c>
      <c r="AD3553" s="425">
        <f t="shared" si="602"/>
        <v>0</v>
      </c>
    </row>
    <row r="3554" spans="1:30" s="361" customFormat="1" x14ac:dyDescent="0.4">
      <c r="A3554" s="402"/>
      <c r="B3554" s="392"/>
      <c r="C3554" s="364" t="e">
        <f>VLOOKUP(B3554,'112年全品項生產鍋數'!A:H,2,0)</f>
        <v>#N/A</v>
      </c>
      <c r="D3554" s="404"/>
      <c r="E3554" s="48" t="e">
        <f>VLOOKUP(B3554,'112年全品項生產鍋數'!A:H,3,0)</f>
        <v>#N/A</v>
      </c>
      <c r="F3554" s="142" t="e">
        <f>VLOOKUP(B3554,'112年全品項生產鍋數'!A:H,7,0)</f>
        <v>#N/A</v>
      </c>
      <c r="G3554" s="143" t="e">
        <f t="shared" si="595"/>
        <v>#N/A</v>
      </c>
      <c r="H3554" s="156"/>
      <c r="I3554" s="371" t="e">
        <f t="shared" si="596"/>
        <v>#N/A</v>
      </c>
      <c r="J3554" s="100" t="e">
        <f t="shared" si="597"/>
        <v>#N/A</v>
      </c>
      <c r="K3554" s="51" t="e">
        <f>VLOOKUP(B:B,'生產達成率(目標)'!A:C,3,0)</f>
        <v>#N/A</v>
      </c>
      <c r="L3554" s="20" t="e">
        <f t="shared" si="598"/>
        <v>#N/A</v>
      </c>
      <c r="M3554" s="137"/>
      <c r="N3554" s="374"/>
      <c r="O3554" s="374">
        <f t="shared" si="599"/>
        <v>0</v>
      </c>
      <c r="P3554" s="156"/>
      <c r="Q3554" s="98" t="e">
        <f t="shared" si="600"/>
        <v>#DIV/0!</v>
      </c>
      <c r="R3554" s="371"/>
      <c r="S3554" s="372"/>
      <c r="T3554" s="364"/>
      <c r="U3554" s="264"/>
      <c r="V3554" s="264"/>
      <c r="W3554" s="424"/>
      <c r="X3554" s="264" t="s">
        <v>1867</v>
      </c>
      <c r="Y3554" s="424"/>
      <c r="Z3554" s="424"/>
      <c r="AA3554" s="424"/>
      <c r="AB3554" s="424"/>
      <c r="AC3554" s="425">
        <f t="shared" si="601"/>
        <v>0</v>
      </c>
      <c r="AD3554" s="425">
        <f t="shared" si="602"/>
        <v>0</v>
      </c>
    </row>
    <row r="3555" spans="1:30" s="361" customFormat="1" x14ac:dyDescent="0.4">
      <c r="A3555" s="402"/>
      <c r="B3555" s="392"/>
      <c r="C3555" s="364" t="e">
        <f>VLOOKUP(B3555,'112年全品項生產鍋數'!A:H,2,0)</f>
        <v>#N/A</v>
      </c>
      <c r="D3555" s="404"/>
      <c r="E3555" s="48" t="e">
        <f>VLOOKUP(B3555,'112年全品項生產鍋數'!A:H,3,0)</f>
        <v>#N/A</v>
      </c>
      <c r="F3555" s="142" t="e">
        <f>VLOOKUP(B3555,'112年全品項生產鍋數'!A:H,7,0)</f>
        <v>#N/A</v>
      </c>
      <c r="G3555" s="143" t="e">
        <f t="shared" si="595"/>
        <v>#N/A</v>
      </c>
      <c r="H3555" s="156"/>
      <c r="I3555" s="371" t="e">
        <f t="shared" si="596"/>
        <v>#N/A</v>
      </c>
      <c r="J3555" s="100" t="e">
        <f t="shared" si="597"/>
        <v>#N/A</v>
      </c>
      <c r="K3555" s="51" t="e">
        <f>VLOOKUP(B:B,'生產達成率(目標)'!A:C,3,0)</f>
        <v>#N/A</v>
      </c>
      <c r="L3555" s="20" t="e">
        <f t="shared" si="598"/>
        <v>#N/A</v>
      </c>
      <c r="M3555" s="137"/>
      <c r="N3555" s="374"/>
      <c r="O3555" s="374">
        <f t="shared" si="599"/>
        <v>0</v>
      </c>
      <c r="P3555" s="156"/>
      <c r="Q3555" s="98" t="e">
        <f t="shared" si="600"/>
        <v>#DIV/0!</v>
      </c>
      <c r="R3555" s="371"/>
      <c r="S3555" s="372"/>
      <c r="T3555" s="364"/>
      <c r="U3555" s="264"/>
      <c r="V3555" s="264"/>
      <c r="W3555" s="424"/>
      <c r="X3555" s="264" t="s">
        <v>1867</v>
      </c>
      <c r="Y3555" s="424"/>
      <c r="Z3555" s="424"/>
      <c r="AA3555" s="424"/>
      <c r="AB3555" s="424"/>
      <c r="AC3555" s="425">
        <f t="shared" si="601"/>
        <v>0</v>
      </c>
      <c r="AD3555" s="425">
        <f t="shared" si="602"/>
        <v>0</v>
      </c>
    </row>
    <row r="3556" spans="1:30" s="361" customFormat="1" x14ac:dyDescent="0.4">
      <c r="A3556" s="402"/>
      <c r="B3556" s="392"/>
      <c r="C3556" s="364" t="e">
        <f>VLOOKUP(B3556,'112年全品項生產鍋數'!A:H,2,0)</f>
        <v>#N/A</v>
      </c>
      <c r="D3556" s="404"/>
      <c r="E3556" s="48" t="e">
        <f>VLOOKUP(B3556,'112年全品項生產鍋數'!A:H,3,0)</f>
        <v>#N/A</v>
      </c>
      <c r="F3556" s="142" t="e">
        <f>VLOOKUP(B3556,'112年全品項生產鍋數'!A:H,7,0)</f>
        <v>#N/A</v>
      </c>
      <c r="G3556" s="143" t="e">
        <f t="shared" si="595"/>
        <v>#N/A</v>
      </c>
      <c r="H3556" s="156"/>
      <c r="I3556" s="371" t="e">
        <f t="shared" si="596"/>
        <v>#N/A</v>
      </c>
      <c r="J3556" s="100" t="e">
        <f t="shared" si="597"/>
        <v>#N/A</v>
      </c>
      <c r="K3556" s="51" t="e">
        <f>VLOOKUP(B:B,'生產達成率(目標)'!A:C,3,0)</f>
        <v>#N/A</v>
      </c>
      <c r="L3556" s="20" t="e">
        <f t="shared" si="598"/>
        <v>#N/A</v>
      </c>
      <c r="M3556" s="137"/>
      <c r="N3556" s="374"/>
      <c r="O3556" s="374">
        <f t="shared" si="599"/>
        <v>0</v>
      </c>
      <c r="P3556" s="156"/>
      <c r="Q3556" s="98" t="e">
        <f t="shared" si="600"/>
        <v>#DIV/0!</v>
      </c>
      <c r="R3556" s="371"/>
      <c r="S3556" s="372"/>
      <c r="T3556" s="364"/>
      <c r="U3556" s="264"/>
      <c r="V3556" s="264"/>
      <c r="W3556" s="424"/>
      <c r="X3556" s="264" t="s">
        <v>1867</v>
      </c>
      <c r="Y3556" s="424"/>
      <c r="Z3556" s="424"/>
      <c r="AA3556" s="424"/>
      <c r="AB3556" s="424"/>
      <c r="AC3556" s="425">
        <f t="shared" si="601"/>
        <v>0</v>
      </c>
      <c r="AD3556" s="425">
        <f t="shared" si="602"/>
        <v>0</v>
      </c>
    </row>
    <row r="3557" spans="1:30" s="361" customFormat="1" x14ac:dyDescent="0.4">
      <c r="A3557" s="402"/>
      <c r="B3557" s="392"/>
      <c r="C3557" s="364" t="e">
        <f>VLOOKUP(B3557,'112年全品項生產鍋數'!A:H,2,0)</f>
        <v>#N/A</v>
      </c>
      <c r="D3557" s="404"/>
      <c r="E3557" s="48" t="e">
        <f>VLOOKUP(B3557,'112年全品項生產鍋數'!A:H,3,0)</f>
        <v>#N/A</v>
      </c>
      <c r="F3557" s="142" t="e">
        <f>VLOOKUP(B3557,'112年全品項生產鍋數'!A:H,7,0)</f>
        <v>#N/A</v>
      </c>
      <c r="G3557" s="143" t="e">
        <f t="shared" si="595"/>
        <v>#N/A</v>
      </c>
      <c r="H3557" s="156"/>
      <c r="I3557" s="371" t="e">
        <f t="shared" si="596"/>
        <v>#N/A</v>
      </c>
      <c r="J3557" s="100" t="e">
        <f t="shared" si="597"/>
        <v>#N/A</v>
      </c>
      <c r="K3557" s="51" t="e">
        <f>VLOOKUP(B:B,'生產達成率(目標)'!A:C,3,0)</f>
        <v>#N/A</v>
      </c>
      <c r="L3557" s="20" t="e">
        <f t="shared" si="598"/>
        <v>#N/A</v>
      </c>
      <c r="M3557" s="137"/>
      <c r="N3557" s="374"/>
      <c r="O3557" s="374">
        <f t="shared" si="599"/>
        <v>0</v>
      </c>
      <c r="P3557" s="156"/>
      <c r="Q3557" s="98" t="e">
        <f t="shared" si="600"/>
        <v>#DIV/0!</v>
      </c>
      <c r="R3557" s="371"/>
      <c r="S3557" s="372"/>
      <c r="T3557" s="364"/>
      <c r="U3557" s="264"/>
      <c r="V3557" s="264"/>
      <c r="W3557" s="424"/>
      <c r="X3557" s="264" t="s">
        <v>1867</v>
      </c>
      <c r="Y3557" s="424"/>
      <c r="Z3557" s="424"/>
      <c r="AA3557" s="424"/>
      <c r="AB3557" s="424"/>
      <c r="AC3557" s="425">
        <f t="shared" si="601"/>
        <v>0</v>
      </c>
      <c r="AD3557" s="425">
        <f t="shared" si="602"/>
        <v>0</v>
      </c>
    </row>
    <row r="3558" spans="1:30" s="361" customFormat="1" x14ac:dyDescent="0.4">
      <c r="A3558" s="402"/>
      <c r="B3558" s="392"/>
      <c r="C3558" s="364" t="e">
        <f>VLOOKUP(B3558,'112年全品項生產鍋數'!A:H,2,0)</f>
        <v>#N/A</v>
      </c>
      <c r="D3558" s="404"/>
      <c r="E3558" s="48" t="e">
        <f>VLOOKUP(B3558,'112年全品項生產鍋數'!A:H,3,0)</f>
        <v>#N/A</v>
      </c>
      <c r="F3558" s="142" t="e">
        <f>VLOOKUP(B3558,'112年全品項生產鍋數'!A:H,7,0)</f>
        <v>#N/A</v>
      </c>
      <c r="G3558" s="143" t="e">
        <f t="shared" si="595"/>
        <v>#N/A</v>
      </c>
      <c r="H3558" s="156"/>
      <c r="I3558" s="371" t="e">
        <f t="shared" si="596"/>
        <v>#N/A</v>
      </c>
      <c r="J3558" s="100" t="e">
        <f t="shared" si="597"/>
        <v>#N/A</v>
      </c>
      <c r="K3558" s="51" t="e">
        <f>VLOOKUP(B:B,'生產達成率(目標)'!A:C,3,0)</f>
        <v>#N/A</v>
      </c>
      <c r="L3558" s="20" t="e">
        <f t="shared" si="598"/>
        <v>#N/A</v>
      </c>
      <c r="M3558" s="137"/>
      <c r="N3558" s="374"/>
      <c r="O3558" s="374">
        <f t="shared" si="599"/>
        <v>0</v>
      </c>
      <c r="P3558" s="156"/>
      <c r="Q3558" s="98" t="e">
        <f t="shared" si="600"/>
        <v>#DIV/0!</v>
      </c>
      <c r="R3558" s="371"/>
      <c r="S3558" s="372"/>
      <c r="T3558" s="364"/>
      <c r="U3558" s="264"/>
      <c r="V3558" s="264"/>
      <c r="W3558" s="424"/>
      <c r="X3558" s="264" t="s">
        <v>1867</v>
      </c>
      <c r="Y3558" s="424"/>
      <c r="Z3558" s="424"/>
      <c r="AA3558" s="424"/>
      <c r="AB3558" s="424"/>
      <c r="AC3558" s="425">
        <f t="shared" si="601"/>
        <v>0</v>
      </c>
      <c r="AD3558" s="425">
        <f t="shared" si="602"/>
        <v>0</v>
      </c>
    </row>
    <row r="3559" spans="1:30" s="361" customFormat="1" x14ac:dyDescent="0.4">
      <c r="A3559" s="402"/>
      <c r="B3559" s="392"/>
      <c r="C3559" s="364" t="e">
        <f>VLOOKUP(B3559,'112年全品項生產鍋數'!A:H,2,0)</f>
        <v>#N/A</v>
      </c>
      <c r="D3559" s="404"/>
      <c r="E3559" s="48" t="e">
        <f>VLOOKUP(B3559,'112年全品項生產鍋數'!A:H,3,0)</f>
        <v>#N/A</v>
      </c>
      <c r="F3559" s="142" t="e">
        <f>VLOOKUP(B3559,'112年全品項生產鍋數'!A:H,7,0)</f>
        <v>#N/A</v>
      </c>
      <c r="G3559" s="143" t="e">
        <f t="shared" si="595"/>
        <v>#N/A</v>
      </c>
      <c r="H3559" s="156"/>
      <c r="I3559" s="371" t="e">
        <f t="shared" si="596"/>
        <v>#N/A</v>
      </c>
      <c r="J3559" s="100" t="e">
        <f t="shared" si="597"/>
        <v>#N/A</v>
      </c>
      <c r="K3559" s="51" t="e">
        <f>VLOOKUP(B:B,'生產達成率(目標)'!A:C,3,0)</f>
        <v>#N/A</v>
      </c>
      <c r="L3559" s="20" t="e">
        <f t="shared" si="598"/>
        <v>#N/A</v>
      </c>
      <c r="M3559" s="137"/>
      <c r="N3559" s="374"/>
      <c r="O3559" s="374">
        <f t="shared" si="599"/>
        <v>0</v>
      </c>
      <c r="P3559" s="156"/>
      <c r="Q3559" s="98" t="e">
        <f t="shared" si="600"/>
        <v>#DIV/0!</v>
      </c>
      <c r="R3559" s="371"/>
      <c r="S3559" s="372"/>
      <c r="T3559" s="364"/>
      <c r="U3559" s="264"/>
      <c r="V3559" s="264"/>
      <c r="W3559" s="424"/>
      <c r="X3559" s="264" t="s">
        <v>1867</v>
      </c>
      <c r="Y3559" s="424"/>
      <c r="Z3559" s="424"/>
      <c r="AA3559" s="424"/>
      <c r="AB3559" s="424"/>
      <c r="AC3559" s="425">
        <f t="shared" si="601"/>
        <v>0</v>
      </c>
      <c r="AD3559" s="425">
        <f t="shared" si="602"/>
        <v>0</v>
      </c>
    </row>
    <row r="3560" spans="1:30" s="361" customFormat="1" x14ac:dyDescent="0.4">
      <c r="A3560" s="402"/>
      <c r="B3560" s="392"/>
      <c r="C3560" s="364" t="e">
        <f>VLOOKUP(B3560,'112年全品項生產鍋數'!A:H,2,0)</f>
        <v>#N/A</v>
      </c>
      <c r="D3560" s="404"/>
      <c r="E3560" s="48" t="e">
        <f>VLOOKUP(B3560,'112年全品項生產鍋數'!A:H,3,0)</f>
        <v>#N/A</v>
      </c>
      <c r="F3560" s="142" t="e">
        <f>VLOOKUP(B3560,'112年全品項生產鍋數'!A:H,7,0)</f>
        <v>#N/A</v>
      </c>
      <c r="G3560" s="143" t="e">
        <f t="shared" si="595"/>
        <v>#N/A</v>
      </c>
      <c r="H3560" s="156"/>
      <c r="I3560" s="371" t="e">
        <f t="shared" si="596"/>
        <v>#N/A</v>
      </c>
      <c r="J3560" s="100" t="e">
        <f t="shared" si="597"/>
        <v>#N/A</v>
      </c>
      <c r="K3560" s="51" t="e">
        <f>VLOOKUP(B:B,'生產達成率(目標)'!A:C,3,0)</f>
        <v>#N/A</v>
      </c>
      <c r="L3560" s="20" t="e">
        <f t="shared" si="598"/>
        <v>#N/A</v>
      </c>
      <c r="M3560" s="137"/>
      <c r="N3560" s="374"/>
      <c r="O3560" s="374">
        <f t="shared" si="599"/>
        <v>0</v>
      </c>
      <c r="P3560" s="156"/>
      <c r="Q3560" s="98" t="e">
        <f t="shared" si="600"/>
        <v>#DIV/0!</v>
      </c>
      <c r="R3560" s="371"/>
      <c r="S3560" s="372"/>
      <c r="T3560" s="364"/>
      <c r="U3560" s="264"/>
      <c r="V3560" s="264"/>
      <c r="W3560" s="424"/>
      <c r="X3560" s="264" t="s">
        <v>1867</v>
      </c>
      <c r="Y3560" s="424"/>
      <c r="Z3560" s="424"/>
      <c r="AA3560" s="424"/>
      <c r="AB3560" s="424"/>
      <c r="AC3560" s="425">
        <f t="shared" si="601"/>
        <v>0</v>
      </c>
      <c r="AD3560" s="425">
        <f t="shared" si="602"/>
        <v>0</v>
      </c>
    </row>
    <row r="3561" spans="1:30" s="361" customFormat="1" x14ac:dyDescent="0.4">
      <c r="A3561" s="402"/>
      <c r="B3561" s="392"/>
      <c r="C3561" s="364" t="e">
        <f>VLOOKUP(B3561,'112年全品項生產鍋數'!A:H,2,0)</f>
        <v>#N/A</v>
      </c>
      <c r="D3561" s="404"/>
      <c r="E3561" s="48" t="e">
        <f>VLOOKUP(B3561,'112年全品項生產鍋數'!A:H,3,0)</f>
        <v>#N/A</v>
      </c>
      <c r="F3561" s="142" t="e">
        <f>VLOOKUP(B3561,'112年全品項生產鍋數'!A:H,7,0)</f>
        <v>#N/A</v>
      </c>
      <c r="G3561" s="143" t="e">
        <f t="shared" si="595"/>
        <v>#N/A</v>
      </c>
      <c r="H3561" s="156"/>
      <c r="I3561" s="371" t="e">
        <f t="shared" si="596"/>
        <v>#N/A</v>
      </c>
      <c r="J3561" s="100" t="e">
        <f t="shared" si="597"/>
        <v>#N/A</v>
      </c>
      <c r="K3561" s="51" t="e">
        <f>VLOOKUP(B:B,'生產達成率(目標)'!A:C,3,0)</f>
        <v>#N/A</v>
      </c>
      <c r="L3561" s="20" t="e">
        <f t="shared" si="598"/>
        <v>#N/A</v>
      </c>
      <c r="M3561" s="137"/>
      <c r="N3561" s="374"/>
      <c r="O3561" s="374">
        <f t="shared" si="599"/>
        <v>0</v>
      </c>
      <c r="P3561" s="156"/>
      <c r="Q3561" s="98" t="e">
        <f t="shared" si="600"/>
        <v>#DIV/0!</v>
      </c>
      <c r="R3561" s="371"/>
      <c r="S3561" s="372"/>
      <c r="T3561" s="364"/>
      <c r="U3561" s="264"/>
      <c r="V3561" s="264"/>
      <c r="W3561" s="424"/>
      <c r="X3561" s="264" t="s">
        <v>1867</v>
      </c>
      <c r="Y3561" s="424"/>
      <c r="Z3561" s="424"/>
      <c r="AA3561" s="424"/>
      <c r="AB3561" s="424"/>
      <c r="AC3561" s="425">
        <f t="shared" si="601"/>
        <v>0</v>
      </c>
      <c r="AD3561" s="425">
        <f t="shared" si="602"/>
        <v>0</v>
      </c>
    </row>
    <row r="3562" spans="1:30" s="361" customFormat="1" x14ac:dyDescent="0.4">
      <c r="A3562" s="402"/>
      <c r="B3562" s="392"/>
      <c r="C3562" s="364" t="e">
        <f>VLOOKUP(B3562,'112年全品項生產鍋數'!A:H,2,0)</f>
        <v>#N/A</v>
      </c>
      <c r="D3562" s="404"/>
      <c r="E3562" s="48" t="e">
        <f>VLOOKUP(B3562,'112年全品項生產鍋數'!A:H,3,0)</f>
        <v>#N/A</v>
      </c>
      <c r="F3562" s="142" t="e">
        <f>VLOOKUP(B3562,'112年全品項生產鍋數'!A:H,7,0)</f>
        <v>#N/A</v>
      </c>
      <c r="G3562" s="143" t="e">
        <f t="shared" si="595"/>
        <v>#N/A</v>
      </c>
      <c r="H3562" s="156"/>
      <c r="I3562" s="371" t="e">
        <f t="shared" si="596"/>
        <v>#N/A</v>
      </c>
      <c r="J3562" s="100" t="e">
        <f t="shared" si="597"/>
        <v>#N/A</v>
      </c>
      <c r="K3562" s="51" t="e">
        <f>VLOOKUP(B:B,'生產達成率(目標)'!A:C,3,0)</f>
        <v>#N/A</v>
      </c>
      <c r="L3562" s="20" t="e">
        <f t="shared" si="598"/>
        <v>#N/A</v>
      </c>
      <c r="M3562" s="137"/>
      <c r="N3562" s="374"/>
      <c r="O3562" s="374">
        <f t="shared" si="599"/>
        <v>0</v>
      </c>
      <c r="P3562" s="156"/>
      <c r="Q3562" s="98" t="e">
        <f t="shared" si="600"/>
        <v>#DIV/0!</v>
      </c>
      <c r="R3562" s="371"/>
      <c r="S3562" s="372"/>
      <c r="T3562" s="364"/>
      <c r="U3562" s="264"/>
      <c r="V3562" s="264"/>
      <c r="W3562" s="424"/>
      <c r="X3562" s="264" t="s">
        <v>1867</v>
      </c>
      <c r="Y3562" s="424"/>
      <c r="Z3562" s="424"/>
      <c r="AA3562" s="424"/>
      <c r="AB3562" s="424"/>
      <c r="AC3562" s="425">
        <f t="shared" si="601"/>
        <v>0</v>
      </c>
      <c r="AD3562" s="425">
        <f t="shared" si="602"/>
        <v>0</v>
      </c>
    </row>
    <row r="3563" spans="1:30" s="361" customFormat="1" x14ac:dyDescent="0.4">
      <c r="A3563" s="402"/>
      <c r="B3563" s="392"/>
      <c r="C3563" s="364" t="e">
        <f>VLOOKUP(B3563,'112年全品項生產鍋數'!A:H,2,0)</f>
        <v>#N/A</v>
      </c>
      <c r="D3563" s="404"/>
      <c r="E3563" s="48" t="e">
        <f>VLOOKUP(B3563,'112年全品項生產鍋數'!A:H,3,0)</f>
        <v>#N/A</v>
      </c>
      <c r="F3563" s="142" t="e">
        <f>VLOOKUP(B3563,'112年全品項生產鍋數'!A:H,7,0)</f>
        <v>#N/A</v>
      </c>
      <c r="G3563" s="143" t="e">
        <f t="shared" si="595"/>
        <v>#N/A</v>
      </c>
      <c r="H3563" s="156"/>
      <c r="I3563" s="371" t="e">
        <f t="shared" si="596"/>
        <v>#N/A</v>
      </c>
      <c r="J3563" s="100" t="e">
        <f t="shared" si="597"/>
        <v>#N/A</v>
      </c>
      <c r="K3563" s="51" t="e">
        <f>VLOOKUP(B:B,'生產達成率(目標)'!A:C,3,0)</f>
        <v>#N/A</v>
      </c>
      <c r="L3563" s="20" t="e">
        <f t="shared" si="598"/>
        <v>#N/A</v>
      </c>
      <c r="M3563" s="137"/>
      <c r="N3563" s="374"/>
      <c r="O3563" s="374">
        <f t="shared" si="599"/>
        <v>0</v>
      </c>
      <c r="P3563" s="156"/>
      <c r="Q3563" s="98" t="e">
        <f t="shared" si="600"/>
        <v>#DIV/0!</v>
      </c>
      <c r="R3563" s="371"/>
      <c r="S3563" s="372"/>
      <c r="T3563" s="364"/>
      <c r="U3563" s="264"/>
      <c r="V3563" s="264"/>
      <c r="W3563" s="424"/>
      <c r="X3563" s="264" t="s">
        <v>1867</v>
      </c>
      <c r="Y3563" s="424"/>
      <c r="Z3563" s="424"/>
      <c r="AA3563" s="424"/>
      <c r="AB3563" s="424"/>
      <c r="AC3563" s="425">
        <f t="shared" si="601"/>
        <v>0</v>
      </c>
      <c r="AD3563" s="425">
        <f t="shared" si="602"/>
        <v>0</v>
      </c>
    </row>
    <row r="3564" spans="1:30" s="361" customFormat="1" x14ac:dyDescent="0.4">
      <c r="A3564" s="402"/>
      <c r="B3564" s="392"/>
      <c r="C3564" s="364" t="e">
        <f>VLOOKUP(B3564,'112年全品項生產鍋數'!A:H,2,0)</f>
        <v>#N/A</v>
      </c>
      <c r="D3564" s="404"/>
      <c r="E3564" s="48" t="e">
        <f>VLOOKUP(B3564,'112年全品項生產鍋數'!A:H,3,0)</f>
        <v>#N/A</v>
      </c>
      <c r="F3564" s="142" t="e">
        <f>VLOOKUP(B3564,'112年全品項生產鍋數'!A:H,7,0)</f>
        <v>#N/A</v>
      </c>
      <c r="G3564" s="143" t="e">
        <f t="shared" si="595"/>
        <v>#N/A</v>
      </c>
      <c r="H3564" s="156"/>
      <c r="I3564" s="371" t="e">
        <f t="shared" si="596"/>
        <v>#N/A</v>
      </c>
      <c r="J3564" s="100" t="e">
        <f t="shared" si="597"/>
        <v>#N/A</v>
      </c>
      <c r="K3564" s="51" t="e">
        <f>VLOOKUP(B:B,'生產達成率(目標)'!A:C,3,0)</f>
        <v>#N/A</v>
      </c>
      <c r="L3564" s="20" t="e">
        <f t="shared" si="598"/>
        <v>#N/A</v>
      </c>
      <c r="M3564" s="137"/>
      <c r="N3564" s="374"/>
      <c r="O3564" s="374">
        <f t="shared" si="599"/>
        <v>0</v>
      </c>
      <c r="P3564" s="156"/>
      <c r="Q3564" s="98" t="e">
        <f t="shared" si="600"/>
        <v>#DIV/0!</v>
      </c>
      <c r="R3564" s="371"/>
      <c r="S3564" s="372"/>
      <c r="T3564" s="364"/>
      <c r="U3564" s="264"/>
      <c r="V3564" s="264"/>
      <c r="W3564" s="424"/>
      <c r="X3564" s="264" t="s">
        <v>1867</v>
      </c>
      <c r="Y3564" s="424"/>
      <c r="Z3564" s="424"/>
      <c r="AA3564" s="424"/>
      <c r="AB3564" s="424"/>
      <c r="AC3564" s="425">
        <f t="shared" si="601"/>
        <v>0</v>
      </c>
      <c r="AD3564" s="425">
        <f t="shared" si="602"/>
        <v>0</v>
      </c>
    </row>
    <row r="3565" spans="1:30" s="361" customFormat="1" x14ac:dyDescent="0.4">
      <c r="A3565" s="402"/>
      <c r="B3565" s="392"/>
      <c r="C3565" s="364" t="e">
        <f>VLOOKUP(B3565,'112年全品項生產鍋數'!A:H,2,0)</f>
        <v>#N/A</v>
      </c>
      <c r="D3565" s="404"/>
      <c r="E3565" s="48" t="e">
        <f>VLOOKUP(B3565,'112年全品項生產鍋數'!A:H,3,0)</f>
        <v>#N/A</v>
      </c>
      <c r="F3565" s="142" t="e">
        <f>VLOOKUP(B3565,'112年全品項生產鍋數'!A:H,7,0)</f>
        <v>#N/A</v>
      </c>
      <c r="G3565" s="143" t="e">
        <f t="shared" si="595"/>
        <v>#N/A</v>
      </c>
      <c r="H3565" s="156"/>
      <c r="I3565" s="371" t="e">
        <f t="shared" si="596"/>
        <v>#N/A</v>
      </c>
      <c r="J3565" s="100" t="e">
        <f t="shared" si="597"/>
        <v>#N/A</v>
      </c>
      <c r="K3565" s="51" t="e">
        <f>VLOOKUP(B:B,'生產達成率(目標)'!A:C,3,0)</f>
        <v>#N/A</v>
      </c>
      <c r="L3565" s="20" t="e">
        <f t="shared" si="598"/>
        <v>#N/A</v>
      </c>
      <c r="M3565" s="137"/>
      <c r="N3565" s="374"/>
      <c r="O3565" s="374">
        <f t="shared" si="599"/>
        <v>0</v>
      </c>
      <c r="P3565" s="156"/>
      <c r="Q3565" s="98" t="e">
        <f t="shared" si="600"/>
        <v>#DIV/0!</v>
      </c>
      <c r="R3565" s="371"/>
      <c r="S3565" s="372"/>
      <c r="T3565" s="364"/>
      <c r="U3565" s="264"/>
      <c r="V3565" s="264"/>
      <c r="W3565" s="424"/>
      <c r="X3565" s="264" t="s">
        <v>1867</v>
      </c>
      <c r="Y3565" s="424"/>
      <c r="Z3565" s="424"/>
      <c r="AA3565" s="424"/>
      <c r="AB3565" s="424"/>
      <c r="AC3565" s="425">
        <f t="shared" si="601"/>
        <v>0</v>
      </c>
      <c r="AD3565" s="425">
        <f t="shared" si="602"/>
        <v>0</v>
      </c>
    </row>
    <row r="3566" spans="1:30" s="361" customFormat="1" x14ac:dyDescent="0.4">
      <c r="A3566" s="402"/>
      <c r="B3566" s="392"/>
      <c r="C3566" s="364" t="e">
        <f>VLOOKUP(B3566,'112年全品項生產鍋數'!A:H,2,0)</f>
        <v>#N/A</v>
      </c>
      <c r="D3566" s="404"/>
      <c r="E3566" s="48" t="e">
        <f>VLOOKUP(B3566,'112年全品項生產鍋數'!A:H,3,0)</f>
        <v>#N/A</v>
      </c>
      <c r="F3566" s="142" t="e">
        <f>VLOOKUP(B3566,'112年全品項生產鍋數'!A:H,7,0)</f>
        <v>#N/A</v>
      </c>
      <c r="G3566" s="143" t="e">
        <f t="shared" si="595"/>
        <v>#N/A</v>
      </c>
      <c r="H3566" s="156"/>
      <c r="I3566" s="371" t="e">
        <f t="shared" si="596"/>
        <v>#N/A</v>
      </c>
      <c r="J3566" s="100" t="e">
        <f t="shared" si="597"/>
        <v>#N/A</v>
      </c>
      <c r="K3566" s="51" t="e">
        <f>VLOOKUP(B:B,'生產達成率(目標)'!A:C,3,0)</f>
        <v>#N/A</v>
      </c>
      <c r="L3566" s="20" t="e">
        <f t="shared" si="598"/>
        <v>#N/A</v>
      </c>
      <c r="M3566" s="137"/>
      <c r="N3566" s="374"/>
      <c r="O3566" s="374">
        <f t="shared" si="599"/>
        <v>0</v>
      </c>
      <c r="P3566" s="156"/>
      <c r="Q3566" s="98" t="e">
        <f t="shared" si="600"/>
        <v>#DIV/0!</v>
      </c>
      <c r="R3566" s="371"/>
      <c r="S3566" s="372"/>
      <c r="T3566" s="364"/>
      <c r="U3566" s="264"/>
      <c r="V3566" s="264"/>
      <c r="W3566" s="424"/>
      <c r="X3566" s="264" t="s">
        <v>1867</v>
      </c>
      <c r="Y3566" s="424"/>
      <c r="Z3566" s="424"/>
      <c r="AA3566" s="424"/>
      <c r="AB3566" s="424"/>
      <c r="AC3566" s="425">
        <f t="shared" si="601"/>
        <v>0</v>
      </c>
      <c r="AD3566" s="425">
        <f t="shared" si="602"/>
        <v>0</v>
      </c>
    </row>
    <row r="3567" spans="1:30" s="361" customFormat="1" x14ac:dyDescent="0.4">
      <c r="A3567" s="402"/>
      <c r="B3567" s="392"/>
      <c r="C3567" s="364" t="e">
        <f>VLOOKUP(B3567,'112年全品項生產鍋數'!A:H,2,0)</f>
        <v>#N/A</v>
      </c>
      <c r="D3567" s="404"/>
      <c r="E3567" s="48" t="e">
        <f>VLOOKUP(B3567,'112年全品項生產鍋數'!A:H,3,0)</f>
        <v>#N/A</v>
      </c>
      <c r="F3567" s="142" t="e">
        <f>VLOOKUP(B3567,'112年全品項生產鍋數'!A:H,7,0)</f>
        <v>#N/A</v>
      </c>
      <c r="G3567" s="143" t="e">
        <f t="shared" si="595"/>
        <v>#N/A</v>
      </c>
      <c r="H3567" s="156"/>
      <c r="I3567" s="371" t="e">
        <f t="shared" si="596"/>
        <v>#N/A</v>
      </c>
      <c r="J3567" s="100" t="e">
        <f t="shared" si="597"/>
        <v>#N/A</v>
      </c>
      <c r="K3567" s="51" t="e">
        <f>VLOOKUP(B:B,'生產達成率(目標)'!A:C,3,0)</f>
        <v>#N/A</v>
      </c>
      <c r="L3567" s="20" t="e">
        <f t="shared" si="598"/>
        <v>#N/A</v>
      </c>
      <c r="M3567" s="137"/>
      <c r="N3567" s="374"/>
      <c r="O3567" s="374">
        <f t="shared" si="599"/>
        <v>0</v>
      </c>
      <c r="P3567" s="156"/>
      <c r="Q3567" s="98" t="e">
        <f t="shared" si="600"/>
        <v>#DIV/0!</v>
      </c>
      <c r="R3567" s="371"/>
      <c r="S3567" s="372"/>
      <c r="T3567" s="364"/>
      <c r="U3567" s="264"/>
      <c r="V3567" s="264"/>
      <c r="W3567" s="424"/>
      <c r="X3567" s="264" t="s">
        <v>1867</v>
      </c>
      <c r="Y3567" s="424"/>
      <c r="Z3567" s="424"/>
      <c r="AA3567" s="424"/>
      <c r="AB3567" s="424"/>
      <c r="AC3567" s="425">
        <f t="shared" si="601"/>
        <v>0</v>
      </c>
      <c r="AD3567" s="425">
        <f t="shared" si="602"/>
        <v>0</v>
      </c>
    </row>
    <row r="3568" spans="1:30" s="361" customFormat="1" x14ac:dyDescent="0.4">
      <c r="A3568" s="402"/>
      <c r="B3568" s="392"/>
      <c r="C3568" s="364" t="e">
        <f>VLOOKUP(B3568,'112年全品項生產鍋數'!A:H,2,0)</f>
        <v>#N/A</v>
      </c>
      <c r="D3568" s="404"/>
      <c r="E3568" s="48" t="e">
        <f>VLOOKUP(B3568,'112年全品項生產鍋數'!A:H,3,0)</f>
        <v>#N/A</v>
      </c>
      <c r="F3568" s="142" t="e">
        <f>VLOOKUP(B3568,'112年全品項生產鍋數'!A:H,7,0)</f>
        <v>#N/A</v>
      </c>
      <c r="G3568" s="143" t="e">
        <f t="shared" si="595"/>
        <v>#N/A</v>
      </c>
      <c r="H3568" s="156"/>
      <c r="I3568" s="371" t="e">
        <f t="shared" si="596"/>
        <v>#N/A</v>
      </c>
      <c r="J3568" s="100" t="e">
        <f t="shared" si="597"/>
        <v>#N/A</v>
      </c>
      <c r="K3568" s="51" t="e">
        <f>VLOOKUP(B:B,'生產達成率(目標)'!A:C,3,0)</f>
        <v>#N/A</v>
      </c>
      <c r="L3568" s="20" t="e">
        <f t="shared" si="598"/>
        <v>#N/A</v>
      </c>
      <c r="M3568" s="137"/>
      <c r="N3568" s="374"/>
      <c r="O3568" s="374">
        <f t="shared" si="599"/>
        <v>0</v>
      </c>
      <c r="P3568" s="156"/>
      <c r="Q3568" s="98" t="e">
        <f t="shared" si="600"/>
        <v>#DIV/0!</v>
      </c>
      <c r="R3568" s="371"/>
      <c r="S3568" s="372"/>
      <c r="T3568" s="364"/>
      <c r="U3568" s="264"/>
      <c r="V3568" s="264"/>
      <c r="W3568" s="424"/>
      <c r="X3568" s="264" t="s">
        <v>1867</v>
      </c>
      <c r="Y3568" s="424"/>
      <c r="Z3568" s="424"/>
      <c r="AA3568" s="424"/>
      <c r="AB3568" s="424"/>
      <c r="AC3568" s="425">
        <f t="shared" si="601"/>
        <v>0</v>
      </c>
      <c r="AD3568" s="425">
        <f t="shared" si="602"/>
        <v>0</v>
      </c>
    </row>
    <row r="3569" spans="1:30" s="361" customFormat="1" x14ac:dyDescent="0.4">
      <c r="A3569" s="402"/>
      <c r="B3569" s="392"/>
      <c r="C3569" s="364" t="e">
        <f>VLOOKUP(B3569,'112年全品項生產鍋數'!A:H,2,0)</f>
        <v>#N/A</v>
      </c>
      <c r="D3569" s="404"/>
      <c r="E3569" s="48" t="e">
        <f>VLOOKUP(B3569,'112年全品項生產鍋數'!A:H,3,0)</f>
        <v>#N/A</v>
      </c>
      <c r="F3569" s="142" t="e">
        <f>VLOOKUP(B3569,'112年全品項生產鍋數'!A:H,7,0)</f>
        <v>#N/A</v>
      </c>
      <c r="G3569" s="143" t="e">
        <f t="shared" si="595"/>
        <v>#N/A</v>
      </c>
      <c r="H3569" s="156"/>
      <c r="I3569" s="371" t="e">
        <f t="shared" si="596"/>
        <v>#N/A</v>
      </c>
      <c r="J3569" s="100" t="e">
        <f t="shared" si="597"/>
        <v>#N/A</v>
      </c>
      <c r="K3569" s="51" t="e">
        <f>VLOOKUP(B:B,'生產達成率(目標)'!A:C,3,0)</f>
        <v>#N/A</v>
      </c>
      <c r="L3569" s="20" t="e">
        <f t="shared" si="598"/>
        <v>#N/A</v>
      </c>
      <c r="M3569" s="137"/>
      <c r="N3569" s="374"/>
      <c r="O3569" s="374">
        <f t="shared" si="599"/>
        <v>0</v>
      </c>
      <c r="P3569" s="156"/>
      <c r="Q3569" s="98" t="e">
        <f t="shared" si="600"/>
        <v>#DIV/0!</v>
      </c>
      <c r="R3569" s="371"/>
      <c r="S3569" s="372"/>
      <c r="T3569" s="364"/>
      <c r="U3569" s="264"/>
      <c r="V3569" s="264"/>
      <c r="W3569" s="424"/>
      <c r="X3569" s="264" t="s">
        <v>1867</v>
      </c>
      <c r="Y3569" s="424"/>
      <c r="Z3569" s="424"/>
      <c r="AA3569" s="424"/>
      <c r="AB3569" s="424"/>
      <c r="AC3569" s="425">
        <f t="shared" si="601"/>
        <v>0</v>
      </c>
      <c r="AD3569" s="425">
        <f t="shared" si="602"/>
        <v>0</v>
      </c>
    </row>
    <row r="3570" spans="1:30" s="361" customFormat="1" x14ac:dyDescent="0.4">
      <c r="A3570" s="402"/>
      <c r="B3570" s="392"/>
      <c r="C3570" s="364" t="e">
        <f>VLOOKUP(B3570,'112年全品項生產鍋數'!A:H,2,0)</f>
        <v>#N/A</v>
      </c>
      <c r="D3570" s="404"/>
      <c r="E3570" s="48" t="e">
        <f>VLOOKUP(B3570,'112年全品項生產鍋數'!A:H,3,0)</f>
        <v>#N/A</v>
      </c>
      <c r="F3570" s="142" t="e">
        <f>VLOOKUP(B3570,'112年全品項生產鍋數'!A:H,7,0)</f>
        <v>#N/A</v>
      </c>
      <c r="G3570" s="143" t="e">
        <f t="shared" si="595"/>
        <v>#N/A</v>
      </c>
      <c r="H3570" s="156"/>
      <c r="I3570" s="371" t="e">
        <f t="shared" si="596"/>
        <v>#N/A</v>
      </c>
      <c r="J3570" s="100" t="e">
        <f t="shared" si="597"/>
        <v>#N/A</v>
      </c>
      <c r="K3570" s="51" t="e">
        <f>VLOOKUP(B:B,'生產達成率(目標)'!A:C,3,0)</f>
        <v>#N/A</v>
      </c>
      <c r="L3570" s="20" t="e">
        <f t="shared" si="598"/>
        <v>#N/A</v>
      </c>
      <c r="M3570" s="137"/>
      <c r="N3570" s="374"/>
      <c r="O3570" s="374">
        <f t="shared" si="599"/>
        <v>0</v>
      </c>
      <c r="P3570" s="156"/>
      <c r="Q3570" s="98" t="e">
        <f t="shared" si="600"/>
        <v>#DIV/0!</v>
      </c>
      <c r="R3570" s="371"/>
      <c r="S3570" s="372"/>
      <c r="T3570" s="364"/>
      <c r="U3570" s="264"/>
      <c r="V3570" s="264"/>
      <c r="W3570" s="424"/>
      <c r="X3570" s="264" t="s">
        <v>1867</v>
      </c>
      <c r="Y3570" s="424"/>
      <c r="Z3570" s="424"/>
      <c r="AA3570" s="424"/>
      <c r="AB3570" s="424"/>
      <c r="AC3570" s="425">
        <f t="shared" si="601"/>
        <v>0</v>
      </c>
      <c r="AD3570" s="425">
        <f t="shared" si="602"/>
        <v>0</v>
      </c>
    </row>
    <row r="3571" spans="1:30" s="361" customFormat="1" x14ac:dyDescent="0.4">
      <c r="A3571" s="402"/>
      <c r="B3571" s="392"/>
      <c r="C3571" s="364" t="e">
        <f>VLOOKUP(B3571,'112年全品項生產鍋數'!A:H,2,0)</f>
        <v>#N/A</v>
      </c>
      <c r="D3571" s="404"/>
      <c r="E3571" s="48" t="e">
        <f>VLOOKUP(B3571,'112年全品項生產鍋數'!A:H,3,0)</f>
        <v>#N/A</v>
      </c>
      <c r="F3571" s="142" t="e">
        <f>VLOOKUP(B3571,'112年全品項生產鍋數'!A:H,7,0)</f>
        <v>#N/A</v>
      </c>
      <c r="G3571" s="143" t="e">
        <f t="shared" si="595"/>
        <v>#N/A</v>
      </c>
      <c r="H3571" s="156"/>
      <c r="I3571" s="371" t="e">
        <f t="shared" si="596"/>
        <v>#N/A</v>
      </c>
      <c r="J3571" s="100" t="e">
        <f t="shared" si="597"/>
        <v>#N/A</v>
      </c>
      <c r="K3571" s="51" t="e">
        <f>VLOOKUP(B:B,'生產達成率(目標)'!A:C,3,0)</f>
        <v>#N/A</v>
      </c>
      <c r="L3571" s="20" t="e">
        <f t="shared" si="598"/>
        <v>#N/A</v>
      </c>
      <c r="M3571" s="137"/>
      <c r="N3571" s="374"/>
      <c r="O3571" s="374">
        <f t="shared" si="599"/>
        <v>0</v>
      </c>
      <c r="P3571" s="156"/>
      <c r="Q3571" s="98" t="e">
        <f t="shared" si="600"/>
        <v>#DIV/0!</v>
      </c>
      <c r="R3571" s="371"/>
      <c r="S3571" s="372"/>
      <c r="T3571" s="364"/>
      <c r="U3571" s="264"/>
      <c r="V3571" s="264"/>
      <c r="W3571" s="424"/>
      <c r="X3571" s="264" t="s">
        <v>1867</v>
      </c>
      <c r="Y3571" s="424"/>
      <c r="Z3571" s="424"/>
      <c r="AA3571" s="424"/>
      <c r="AB3571" s="424"/>
      <c r="AC3571" s="425">
        <f t="shared" si="601"/>
        <v>0</v>
      </c>
      <c r="AD3571" s="425">
        <f t="shared" si="602"/>
        <v>0</v>
      </c>
    </row>
    <row r="3572" spans="1:30" s="361" customFormat="1" x14ac:dyDescent="0.4">
      <c r="A3572" s="402"/>
      <c r="B3572" s="392"/>
      <c r="C3572" s="364" t="e">
        <f>VLOOKUP(B3572,'112年全品項生產鍋數'!A:H,2,0)</f>
        <v>#N/A</v>
      </c>
      <c r="D3572" s="404"/>
      <c r="E3572" s="48" t="e">
        <f>VLOOKUP(B3572,'112年全品項生產鍋數'!A:H,3,0)</f>
        <v>#N/A</v>
      </c>
      <c r="F3572" s="142" t="e">
        <f>VLOOKUP(B3572,'112年全品項生產鍋數'!A:H,7,0)</f>
        <v>#N/A</v>
      </c>
      <c r="G3572" s="143" t="e">
        <f t="shared" si="595"/>
        <v>#N/A</v>
      </c>
      <c r="H3572" s="156"/>
      <c r="I3572" s="371" t="e">
        <f t="shared" si="596"/>
        <v>#N/A</v>
      </c>
      <c r="J3572" s="100" t="e">
        <f t="shared" si="597"/>
        <v>#N/A</v>
      </c>
      <c r="K3572" s="51" t="e">
        <f>VLOOKUP(B:B,'生產達成率(目標)'!A:C,3,0)</f>
        <v>#N/A</v>
      </c>
      <c r="L3572" s="20" t="e">
        <f t="shared" si="598"/>
        <v>#N/A</v>
      </c>
      <c r="M3572" s="137"/>
      <c r="N3572" s="374"/>
      <c r="O3572" s="374">
        <f t="shared" si="599"/>
        <v>0</v>
      </c>
      <c r="P3572" s="156"/>
      <c r="Q3572" s="98" t="e">
        <f t="shared" si="600"/>
        <v>#DIV/0!</v>
      </c>
      <c r="R3572" s="371"/>
      <c r="S3572" s="372"/>
      <c r="T3572" s="364"/>
      <c r="U3572" s="264"/>
      <c r="V3572" s="264"/>
      <c r="W3572" s="424"/>
      <c r="X3572" s="264" t="s">
        <v>1867</v>
      </c>
      <c r="Y3572" s="424"/>
      <c r="Z3572" s="424"/>
      <c r="AA3572" s="424"/>
      <c r="AB3572" s="424"/>
      <c r="AC3572" s="425">
        <f t="shared" si="601"/>
        <v>0</v>
      </c>
      <c r="AD3572" s="425">
        <f t="shared" si="602"/>
        <v>0</v>
      </c>
    </row>
    <row r="3573" spans="1:30" s="361" customFormat="1" x14ac:dyDescent="0.4">
      <c r="A3573" s="402"/>
      <c r="B3573" s="392"/>
      <c r="C3573" s="364" t="e">
        <f>VLOOKUP(B3573,'112年全品項生產鍋數'!A:H,2,0)</f>
        <v>#N/A</v>
      </c>
      <c r="D3573" s="404"/>
      <c r="E3573" s="48" t="e">
        <f>VLOOKUP(B3573,'112年全品項生產鍋數'!A:H,3,0)</f>
        <v>#N/A</v>
      </c>
      <c r="F3573" s="142" t="e">
        <f>VLOOKUP(B3573,'112年全品項生產鍋數'!A:H,7,0)</f>
        <v>#N/A</v>
      </c>
      <c r="G3573" s="143" t="e">
        <f t="shared" si="595"/>
        <v>#N/A</v>
      </c>
      <c r="H3573" s="156"/>
      <c r="I3573" s="371" t="e">
        <f t="shared" si="596"/>
        <v>#N/A</v>
      </c>
      <c r="J3573" s="100" t="e">
        <f t="shared" si="597"/>
        <v>#N/A</v>
      </c>
      <c r="K3573" s="51" t="e">
        <f>VLOOKUP(B:B,'生產達成率(目標)'!A:C,3,0)</f>
        <v>#N/A</v>
      </c>
      <c r="L3573" s="20" t="e">
        <f t="shared" si="598"/>
        <v>#N/A</v>
      </c>
      <c r="M3573" s="137"/>
      <c r="N3573" s="374"/>
      <c r="O3573" s="374">
        <f t="shared" si="599"/>
        <v>0</v>
      </c>
      <c r="P3573" s="156"/>
      <c r="Q3573" s="98" t="e">
        <f t="shared" si="600"/>
        <v>#DIV/0!</v>
      </c>
      <c r="R3573" s="371"/>
      <c r="S3573" s="372"/>
      <c r="T3573" s="364"/>
      <c r="U3573" s="264"/>
      <c r="V3573" s="264"/>
      <c r="W3573" s="424"/>
      <c r="X3573" s="264" t="s">
        <v>1867</v>
      </c>
      <c r="Y3573" s="424"/>
      <c r="Z3573" s="424"/>
      <c r="AA3573" s="424"/>
      <c r="AB3573" s="424"/>
      <c r="AC3573" s="425">
        <f t="shared" si="601"/>
        <v>0</v>
      </c>
      <c r="AD3573" s="425">
        <f t="shared" si="602"/>
        <v>0</v>
      </c>
    </row>
    <row r="3574" spans="1:30" s="361" customFormat="1" x14ac:dyDescent="0.4">
      <c r="A3574" s="402"/>
      <c r="B3574" s="392"/>
      <c r="C3574" s="364" t="e">
        <f>VLOOKUP(B3574,'112年全品項生產鍋數'!A:H,2,0)</f>
        <v>#N/A</v>
      </c>
      <c r="D3574" s="404"/>
      <c r="E3574" s="48" t="e">
        <f>VLOOKUP(B3574,'112年全品項生產鍋數'!A:H,3,0)</f>
        <v>#N/A</v>
      </c>
      <c r="F3574" s="142" t="e">
        <f>VLOOKUP(B3574,'112年全品項生產鍋數'!A:H,7,0)</f>
        <v>#N/A</v>
      </c>
      <c r="G3574" s="143" t="e">
        <f t="shared" si="595"/>
        <v>#N/A</v>
      </c>
      <c r="H3574" s="156"/>
      <c r="I3574" s="371" t="e">
        <f t="shared" si="596"/>
        <v>#N/A</v>
      </c>
      <c r="J3574" s="100" t="e">
        <f t="shared" si="597"/>
        <v>#N/A</v>
      </c>
      <c r="K3574" s="51" t="e">
        <f>VLOOKUP(B:B,'生產達成率(目標)'!A:C,3,0)</f>
        <v>#N/A</v>
      </c>
      <c r="L3574" s="20" t="e">
        <f t="shared" si="598"/>
        <v>#N/A</v>
      </c>
      <c r="M3574" s="137"/>
      <c r="N3574" s="374"/>
      <c r="O3574" s="374">
        <f t="shared" si="599"/>
        <v>0</v>
      </c>
      <c r="P3574" s="156"/>
      <c r="Q3574" s="98" t="e">
        <f t="shared" si="600"/>
        <v>#DIV/0!</v>
      </c>
      <c r="R3574" s="371"/>
      <c r="S3574" s="372"/>
      <c r="T3574" s="364"/>
      <c r="U3574" s="264"/>
      <c r="V3574" s="264"/>
      <c r="W3574" s="424"/>
      <c r="X3574" s="264" t="s">
        <v>1867</v>
      </c>
      <c r="Y3574" s="424"/>
      <c r="Z3574" s="424"/>
      <c r="AA3574" s="424"/>
      <c r="AB3574" s="424"/>
      <c r="AC3574" s="425">
        <f t="shared" si="601"/>
        <v>0</v>
      </c>
      <c r="AD3574" s="425">
        <f t="shared" si="602"/>
        <v>0</v>
      </c>
    </row>
    <row r="3575" spans="1:30" s="361" customFormat="1" x14ac:dyDescent="0.4">
      <c r="A3575" s="402"/>
      <c r="B3575" s="392"/>
      <c r="C3575" s="364" t="e">
        <f>VLOOKUP(B3575,'112年全品項生產鍋數'!A:H,2,0)</f>
        <v>#N/A</v>
      </c>
      <c r="D3575" s="404"/>
      <c r="E3575" s="48" t="e">
        <f>VLOOKUP(B3575,'112年全品項生產鍋數'!A:H,3,0)</f>
        <v>#N/A</v>
      </c>
      <c r="F3575" s="142" t="e">
        <f>VLOOKUP(B3575,'112年全品項生產鍋數'!A:H,7,0)</f>
        <v>#N/A</v>
      </c>
      <c r="G3575" s="143" t="e">
        <f t="shared" ref="G3575:G3638" si="603">D3575*F3575</f>
        <v>#N/A</v>
      </c>
      <c r="H3575" s="156"/>
      <c r="I3575" s="371" t="e">
        <f t="shared" ref="I3575:I3638" si="604">H3575*E3575</f>
        <v>#N/A</v>
      </c>
      <c r="J3575" s="100" t="e">
        <f t="shared" ref="J3575:J3638" si="605">IF(G3575=0,"無法預估數據",H3575/G3575)</f>
        <v>#N/A</v>
      </c>
      <c r="K3575" s="51" t="e">
        <f>VLOOKUP(B:B,'生產達成率(目標)'!A:C,3,0)</f>
        <v>#N/A</v>
      </c>
      <c r="L3575" s="20" t="e">
        <f t="shared" ref="L3575:L3638" si="606">IF(G3575=0,"無法預估數據",ROUND(J3575-K3575,3))</f>
        <v>#N/A</v>
      </c>
      <c r="M3575" s="137"/>
      <c r="N3575" s="374"/>
      <c r="O3575" s="374">
        <f t="shared" ref="O3575:O3638" si="607">H3575-N3575-P3575</f>
        <v>0</v>
      </c>
      <c r="P3575" s="156"/>
      <c r="Q3575" s="98" t="e">
        <f t="shared" ref="Q3575:Q3638" si="608">P3575/H3575</f>
        <v>#DIV/0!</v>
      </c>
      <c r="R3575" s="371"/>
      <c r="S3575" s="372"/>
      <c r="T3575" s="364"/>
      <c r="U3575" s="264"/>
      <c r="V3575" s="264"/>
      <c r="W3575" s="424"/>
      <c r="X3575" s="264" t="s">
        <v>1867</v>
      </c>
      <c r="Y3575" s="424"/>
      <c r="Z3575" s="424"/>
      <c r="AA3575" s="424"/>
      <c r="AB3575" s="424"/>
      <c r="AC3575" s="425">
        <f t="shared" si="601"/>
        <v>0</v>
      </c>
      <c r="AD3575" s="425">
        <f t="shared" si="602"/>
        <v>0</v>
      </c>
    </row>
    <row r="3576" spans="1:30" s="361" customFormat="1" x14ac:dyDescent="0.4">
      <c r="A3576" s="402"/>
      <c r="B3576" s="392"/>
      <c r="C3576" s="364" t="e">
        <f>VLOOKUP(B3576,'112年全品項生產鍋數'!A:H,2,0)</f>
        <v>#N/A</v>
      </c>
      <c r="D3576" s="404"/>
      <c r="E3576" s="48" t="e">
        <f>VLOOKUP(B3576,'112年全品項生產鍋數'!A:H,3,0)</f>
        <v>#N/A</v>
      </c>
      <c r="F3576" s="142" t="e">
        <f>VLOOKUP(B3576,'112年全品項生產鍋數'!A:H,7,0)</f>
        <v>#N/A</v>
      </c>
      <c r="G3576" s="143" t="e">
        <f t="shared" si="603"/>
        <v>#N/A</v>
      </c>
      <c r="H3576" s="156"/>
      <c r="I3576" s="371" t="e">
        <f t="shared" si="604"/>
        <v>#N/A</v>
      </c>
      <c r="J3576" s="100" t="e">
        <f t="shared" si="605"/>
        <v>#N/A</v>
      </c>
      <c r="K3576" s="51" t="e">
        <f>VLOOKUP(B:B,'生產達成率(目標)'!A:C,3,0)</f>
        <v>#N/A</v>
      </c>
      <c r="L3576" s="20" t="e">
        <f t="shared" si="606"/>
        <v>#N/A</v>
      </c>
      <c r="M3576" s="137"/>
      <c r="N3576" s="374"/>
      <c r="O3576" s="374">
        <f t="shared" si="607"/>
        <v>0</v>
      </c>
      <c r="P3576" s="156"/>
      <c r="Q3576" s="98" t="e">
        <f t="shared" si="608"/>
        <v>#DIV/0!</v>
      </c>
      <c r="R3576" s="371"/>
      <c r="S3576" s="372"/>
      <c r="T3576" s="364"/>
      <c r="U3576" s="264"/>
      <c r="V3576" s="264"/>
      <c r="W3576" s="424"/>
      <c r="X3576" s="264" t="s">
        <v>1867</v>
      </c>
      <c r="Y3576" s="424"/>
      <c r="Z3576" s="424"/>
      <c r="AA3576" s="424"/>
      <c r="AB3576" s="424"/>
      <c r="AC3576" s="425">
        <f t="shared" si="601"/>
        <v>0</v>
      </c>
      <c r="AD3576" s="425">
        <f t="shared" si="602"/>
        <v>0</v>
      </c>
    </row>
    <row r="3577" spans="1:30" s="361" customFormat="1" x14ac:dyDescent="0.4">
      <c r="A3577" s="402"/>
      <c r="B3577" s="392"/>
      <c r="C3577" s="364" t="e">
        <f>VLOOKUP(B3577,'112年全品項生產鍋數'!A:H,2,0)</f>
        <v>#N/A</v>
      </c>
      <c r="D3577" s="404"/>
      <c r="E3577" s="48" t="e">
        <f>VLOOKUP(B3577,'112年全品項生產鍋數'!A:H,3,0)</f>
        <v>#N/A</v>
      </c>
      <c r="F3577" s="142" t="e">
        <f>VLOOKUP(B3577,'112年全品項生產鍋數'!A:H,7,0)</f>
        <v>#N/A</v>
      </c>
      <c r="G3577" s="143" t="e">
        <f t="shared" si="603"/>
        <v>#N/A</v>
      </c>
      <c r="H3577" s="156"/>
      <c r="I3577" s="371" t="e">
        <f t="shared" si="604"/>
        <v>#N/A</v>
      </c>
      <c r="J3577" s="100" t="e">
        <f t="shared" si="605"/>
        <v>#N/A</v>
      </c>
      <c r="K3577" s="51" t="e">
        <f>VLOOKUP(B:B,'生產達成率(目標)'!A:C,3,0)</f>
        <v>#N/A</v>
      </c>
      <c r="L3577" s="20" t="e">
        <f t="shared" si="606"/>
        <v>#N/A</v>
      </c>
      <c r="M3577" s="137"/>
      <c r="N3577" s="374"/>
      <c r="O3577" s="374">
        <f t="shared" si="607"/>
        <v>0</v>
      </c>
      <c r="P3577" s="156"/>
      <c r="Q3577" s="98" t="e">
        <f t="shared" si="608"/>
        <v>#DIV/0!</v>
      </c>
      <c r="R3577" s="371"/>
      <c r="S3577" s="372"/>
      <c r="T3577" s="364"/>
      <c r="U3577" s="264"/>
      <c r="V3577" s="264"/>
      <c r="W3577" s="424"/>
      <c r="X3577" s="264" t="s">
        <v>1867</v>
      </c>
      <c r="Y3577" s="424"/>
      <c r="Z3577" s="424"/>
      <c r="AA3577" s="424"/>
      <c r="AB3577" s="424"/>
      <c r="AC3577" s="425">
        <f t="shared" si="601"/>
        <v>0</v>
      </c>
      <c r="AD3577" s="425">
        <f t="shared" si="602"/>
        <v>0</v>
      </c>
    </row>
    <row r="3578" spans="1:30" s="361" customFormat="1" x14ac:dyDescent="0.4">
      <c r="A3578" s="402"/>
      <c r="B3578" s="392"/>
      <c r="C3578" s="364" t="e">
        <f>VLOOKUP(B3578,'112年全品項生產鍋數'!A:H,2,0)</f>
        <v>#N/A</v>
      </c>
      <c r="D3578" s="404"/>
      <c r="E3578" s="48" t="e">
        <f>VLOOKUP(B3578,'112年全品項生產鍋數'!A:H,3,0)</f>
        <v>#N/A</v>
      </c>
      <c r="F3578" s="142" t="e">
        <f>VLOOKUP(B3578,'112年全品項生產鍋數'!A:H,7,0)</f>
        <v>#N/A</v>
      </c>
      <c r="G3578" s="143" t="e">
        <f t="shared" si="603"/>
        <v>#N/A</v>
      </c>
      <c r="H3578" s="156"/>
      <c r="I3578" s="371" t="e">
        <f t="shared" si="604"/>
        <v>#N/A</v>
      </c>
      <c r="J3578" s="100" t="e">
        <f t="shared" si="605"/>
        <v>#N/A</v>
      </c>
      <c r="K3578" s="51" t="e">
        <f>VLOOKUP(B:B,'生產達成率(目標)'!A:C,3,0)</f>
        <v>#N/A</v>
      </c>
      <c r="L3578" s="20" t="e">
        <f t="shared" si="606"/>
        <v>#N/A</v>
      </c>
      <c r="M3578" s="137"/>
      <c r="N3578" s="374"/>
      <c r="O3578" s="374">
        <f t="shared" si="607"/>
        <v>0</v>
      </c>
      <c r="P3578" s="156"/>
      <c r="Q3578" s="98" t="e">
        <f t="shared" si="608"/>
        <v>#DIV/0!</v>
      </c>
      <c r="R3578" s="371"/>
      <c r="S3578" s="372"/>
      <c r="T3578" s="364"/>
      <c r="U3578" s="264"/>
      <c r="V3578" s="264"/>
      <c r="W3578" s="424"/>
      <c r="X3578" s="264" t="s">
        <v>1867</v>
      </c>
      <c r="Y3578" s="424"/>
      <c r="Z3578" s="424"/>
      <c r="AA3578" s="424"/>
      <c r="AB3578" s="424"/>
      <c r="AC3578" s="425">
        <f t="shared" si="601"/>
        <v>0</v>
      </c>
      <c r="AD3578" s="425">
        <f t="shared" si="602"/>
        <v>0</v>
      </c>
    </row>
    <row r="3579" spans="1:30" s="361" customFormat="1" x14ac:dyDescent="0.4">
      <c r="A3579" s="402"/>
      <c r="B3579" s="392"/>
      <c r="C3579" s="364" t="e">
        <f>VLOOKUP(B3579,'112年全品項生產鍋數'!A:H,2,0)</f>
        <v>#N/A</v>
      </c>
      <c r="D3579" s="404"/>
      <c r="E3579" s="48" t="e">
        <f>VLOOKUP(B3579,'112年全品項生產鍋數'!A:H,3,0)</f>
        <v>#N/A</v>
      </c>
      <c r="F3579" s="142" t="e">
        <f>VLOOKUP(B3579,'112年全品項生產鍋數'!A:H,7,0)</f>
        <v>#N/A</v>
      </c>
      <c r="G3579" s="143" t="e">
        <f t="shared" si="603"/>
        <v>#N/A</v>
      </c>
      <c r="H3579" s="156"/>
      <c r="I3579" s="371" t="e">
        <f t="shared" si="604"/>
        <v>#N/A</v>
      </c>
      <c r="J3579" s="100" t="e">
        <f t="shared" si="605"/>
        <v>#N/A</v>
      </c>
      <c r="K3579" s="51" t="e">
        <f>VLOOKUP(B:B,'生產達成率(目標)'!A:C,3,0)</f>
        <v>#N/A</v>
      </c>
      <c r="L3579" s="20" t="e">
        <f t="shared" si="606"/>
        <v>#N/A</v>
      </c>
      <c r="M3579" s="137"/>
      <c r="N3579" s="374"/>
      <c r="O3579" s="374">
        <f t="shared" si="607"/>
        <v>0</v>
      </c>
      <c r="P3579" s="156"/>
      <c r="Q3579" s="98" t="e">
        <f t="shared" si="608"/>
        <v>#DIV/0!</v>
      </c>
      <c r="R3579" s="371"/>
      <c r="S3579" s="372"/>
      <c r="T3579" s="364"/>
      <c r="U3579" s="264"/>
      <c r="V3579" s="264"/>
      <c r="W3579" s="424"/>
      <c r="X3579" s="264" t="s">
        <v>1867</v>
      </c>
      <c r="Y3579" s="424"/>
      <c r="Z3579" s="424"/>
      <c r="AA3579" s="424"/>
      <c r="AB3579" s="424"/>
      <c r="AC3579" s="425">
        <f t="shared" si="601"/>
        <v>0</v>
      </c>
      <c r="AD3579" s="425">
        <f t="shared" si="602"/>
        <v>0</v>
      </c>
    </row>
    <row r="3580" spans="1:30" s="361" customFormat="1" x14ac:dyDescent="0.4">
      <c r="A3580" s="402"/>
      <c r="B3580" s="392"/>
      <c r="C3580" s="364" t="e">
        <f>VLOOKUP(B3580,'112年全品項生產鍋數'!A:H,2,0)</f>
        <v>#N/A</v>
      </c>
      <c r="D3580" s="404"/>
      <c r="E3580" s="48" t="e">
        <f>VLOOKUP(B3580,'112年全品項生產鍋數'!A:H,3,0)</f>
        <v>#N/A</v>
      </c>
      <c r="F3580" s="142" t="e">
        <f>VLOOKUP(B3580,'112年全品項生產鍋數'!A:H,7,0)</f>
        <v>#N/A</v>
      </c>
      <c r="G3580" s="143" t="e">
        <f t="shared" si="603"/>
        <v>#N/A</v>
      </c>
      <c r="H3580" s="156"/>
      <c r="I3580" s="371" t="e">
        <f t="shared" si="604"/>
        <v>#N/A</v>
      </c>
      <c r="J3580" s="100" t="e">
        <f t="shared" si="605"/>
        <v>#N/A</v>
      </c>
      <c r="K3580" s="51" t="e">
        <f>VLOOKUP(B:B,'生產達成率(目標)'!A:C,3,0)</f>
        <v>#N/A</v>
      </c>
      <c r="L3580" s="20" t="e">
        <f t="shared" si="606"/>
        <v>#N/A</v>
      </c>
      <c r="M3580" s="137"/>
      <c r="N3580" s="374"/>
      <c r="O3580" s="374">
        <f t="shared" si="607"/>
        <v>0</v>
      </c>
      <c r="P3580" s="156"/>
      <c r="Q3580" s="98" t="e">
        <f t="shared" si="608"/>
        <v>#DIV/0!</v>
      </c>
      <c r="R3580" s="371"/>
      <c r="S3580" s="372"/>
      <c r="T3580" s="364"/>
      <c r="U3580" s="264"/>
      <c r="V3580" s="264"/>
      <c r="W3580" s="424"/>
      <c r="X3580" s="264" t="s">
        <v>1867</v>
      </c>
      <c r="Y3580" s="424"/>
      <c r="Z3580" s="424"/>
      <c r="AA3580" s="424"/>
      <c r="AB3580" s="424"/>
      <c r="AC3580" s="425">
        <f t="shared" si="601"/>
        <v>0</v>
      </c>
      <c r="AD3580" s="425">
        <f t="shared" si="602"/>
        <v>0</v>
      </c>
    </row>
    <row r="3581" spans="1:30" s="361" customFormat="1" x14ac:dyDescent="0.4">
      <c r="A3581" s="402"/>
      <c r="B3581" s="392"/>
      <c r="C3581" s="364" t="e">
        <f>VLOOKUP(B3581,'112年全品項生產鍋數'!A:H,2,0)</f>
        <v>#N/A</v>
      </c>
      <c r="D3581" s="404"/>
      <c r="E3581" s="48" t="e">
        <f>VLOOKUP(B3581,'112年全品項生產鍋數'!A:H,3,0)</f>
        <v>#N/A</v>
      </c>
      <c r="F3581" s="142" t="e">
        <f>VLOOKUP(B3581,'112年全品項生產鍋數'!A:H,7,0)</f>
        <v>#N/A</v>
      </c>
      <c r="G3581" s="143" t="e">
        <f t="shared" si="603"/>
        <v>#N/A</v>
      </c>
      <c r="H3581" s="156"/>
      <c r="I3581" s="371" t="e">
        <f t="shared" si="604"/>
        <v>#N/A</v>
      </c>
      <c r="J3581" s="100" t="e">
        <f t="shared" si="605"/>
        <v>#N/A</v>
      </c>
      <c r="K3581" s="51" t="e">
        <f>VLOOKUP(B:B,'生產達成率(目標)'!A:C,3,0)</f>
        <v>#N/A</v>
      </c>
      <c r="L3581" s="20" t="e">
        <f t="shared" si="606"/>
        <v>#N/A</v>
      </c>
      <c r="M3581" s="137"/>
      <c r="N3581" s="374"/>
      <c r="O3581" s="374">
        <f t="shared" si="607"/>
        <v>0</v>
      </c>
      <c r="P3581" s="156"/>
      <c r="Q3581" s="98" t="e">
        <f t="shared" si="608"/>
        <v>#DIV/0!</v>
      </c>
      <c r="R3581" s="371"/>
      <c r="S3581" s="372"/>
      <c r="T3581" s="364"/>
      <c r="U3581" s="264"/>
      <c r="V3581" s="264"/>
      <c r="W3581" s="424"/>
      <c r="X3581" s="264" t="s">
        <v>1867</v>
      </c>
      <c r="Y3581" s="424"/>
      <c r="Z3581" s="424"/>
      <c r="AA3581" s="424"/>
      <c r="AB3581" s="424"/>
      <c r="AC3581" s="425">
        <f t="shared" si="601"/>
        <v>0</v>
      </c>
      <c r="AD3581" s="425">
        <f t="shared" si="602"/>
        <v>0</v>
      </c>
    </row>
    <row r="3582" spans="1:30" s="361" customFormat="1" x14ac:dyDescent="0.4">
      <c r="A3582" s="402"/>
      <c r="B3582" s="392"/>
      <c r="C3582" s="364" t="e">
        <f>VLOOKUP(B3582,'112年全品項生產鍋數'!A:H,2,0)</f>
        <v>#N/A</v>
      </c>
      <c r="D3582" s="404"/>
      <c r="E3582" s="48" t="e">
        <f>VLOOKUP(B3582,'112年全品項生產鍋數'!A:H,3,0)</f>
        <v>#N/A</v>
      </c>
      <c r="F3582" s="142" t="e">
        <f>VLOOKUP(B3582,'112年全品項生產鍋數'!A:H,7,0)</f>
        <v>#N/A</v>
      </c>
      <c r="G3582" s="143" t="e">
        <f t="shared" si="603"/>
        <v>#N/A</v>
      </c>
      <c r="H3582" s="156"/>
      <c r="I3582" s="371" t="e">
        <f t="shared" si="604"/>
        <v>#N/A</v>
      </c>
      <c r="J3582" s="100" t="e">
        <f t="shared" si="605"/>
        <v>#N/A</v>
      </c>
      <c r="K3582" s="51" t="e">
        <f>VLOOKUP(B:B,'生產達成率(目標)'!A:C,3,0)</f>
        <v>#N/A</v>
      </c>
      <c r="L3582" s="20" t="e">
        <f t="shared" si="606"/>
        <v>#N/A</v>
      </c>
      <c r="M3582" s="137"/>
      <c r="N3582" s="374"/>
      <c r="O3582" s="374">
        <f t="shared" si="607"/>
        <v>0</v>
      </c>
      <c r="P3582" s="156"/>
      <c r="Q3582" s="98" t="e">
        <f t="shared" si="608"/>
        <v>#DIV/0!</v>
      </c>
      <c r="R3582" s="371"/>
      <c r="S3582" s="372"/>
      <c r="T3582" s="364"/>
      <c r="U3582" s="264"/>
      <c r="V3582" s="264"/>
      <c r="W3582" s="424"/>
      <c r="X3582" s="264" t="s">
        <v>1867</v>
      </c>
      <c r="Y3582" s="424"/>
      <c r="Z3582" s="424"/>
      <c r="AA3582" s="424"/>
      <c r="AB3582" s="424"/>
      <c r="AC3582" s="425">
        <f t="shared" si="601"/>
        <v>0</v>
      </c>
      <c r="AD3582" s="425">
        <f t="shared" si="602"/>
        <v>0</v>
      </c>
    </row>
    <row r="3583" spans="1:30" s="361" customFormat="1" x14ac:dyDescent="0.4">
      <c r="A3583" s="402"/>
      <c r="B3583" s="392"/>
      <c r="C3583" s="364" t="e">
        <f>VLOOKUP(B3583,'112年全品項生產鍋數'!A:H,2,0)</f>
        <v>#N/A</v>
      </c>
      <c r="D3583" s="404"/>
      <c r="E3583" s="48" t="e">
        <f>VLOOKUP(B3583,'112年全品項生產鍋數'!A:H,3,0)</f>
        <v>#N/A</v>
      </c>
      <c r="F3583" s="142" t="e">
        <f>VLOOKUP(B3583,'112年全品項生產鍋數'!A:H,7,0)</f>
        <v>#N/A</v>
      </c>
      <c r="G3583" s="143" t="e">
        <f t="shared" si="603"/>
        <v>#N/A</v>
      </c>
      <c r="H3583" s="156"/>
      <c r="I3583" s="371" t="e">
        <f t="shared" si="604"/>
        <v>#N/A</v>
      </c>
      <c r="J3583" s="100" t="e">
        <f t="shared" si="605"/>
        <v>#N/A</v>
      </c>
      <c r="K3583" s="51" t="e">
        <f>VLOOKUP(B:B,'生產達成率(目標)'!A:C,3,0)</f>
        <v>#N/A</v>
      </c>
      <c r="L3583" s="20" t="e">
        <f t="shared" si="606"/>
        <v>#N/A</v>
      </c>
      <c r="M3583" s="137"/>
      <c r="N3583" s="374"/>
      <c r="O3583" s="374">
        <f t="shared" si="607"/>
        <v>0</v>
      </c>
      <c r="P3583" s="156"/>
      <c r="Q3583" s="98" t="e">
        <f t="shared" si="608"/>
        <v>#DIV/0!</v>
      </c>
      <c r="R3583" s="371"/>
      <c r="S3583" s="372"/>
      <c r="T3583" s="364"/>
      <c r="U3583" s="264"/>
      <c r="V3583" s="264"/>
      <c r="W3583" s="424"/>
      <c r="X3583" s="264" t="s">
        <v>1867</v>
      </c>
      <c r="Y3583" s="424"/>
      <c r="Z3583" s="424"/>
      <c r="AA3583" s="424"/>
      <c r="AB3583" s="424"/>
      <c r="AC3583" s="425">
        <f t="shared" si="601"/>
        <v>0</v>
      </c>
      <c r="AD3583" s="425">
        <f t="shared" si="602"/>
        <v>0</v>
      </c>
    </row>
    <row r="3584" spans="1:30" s="361" customFormat="1" x14ac:dyDescent="0.4">
      <c r="A3584" s="402"/>
      <c r="B3584" s="392"/>
      <c r="C3584" s="364" t="e">
        <f>VLOOKUP(B3584,'112年全品項生產鍋數'!A:H,2,0)</f>
        <v>#N/A</v>
      </c>
      <c r="D3584" s="404"/>
      <c r="E3584" s="48" t="e">
        <f>VLOOKUP(B3584,'112年全品項生產鍋數'!A:H,3,0)</f>
        <v>#N/A</v>
      </c>
      <c r="F3584" s="142" t="e">
        <f>VLOOKUP(B3584,'112年全品項生產鍋數'!A:H,7,0)</f>
        <v>#N/A</v>
      </c>
      <c r="G3584" s="143" t="e">
        <f t="shared" si="603"/>
        <v>#N/A</v>
      </c>
      <c r="H3584" s="156"/>
      <c r="I3584" s="371" t="e">
        <f t="shared" si="604"/>
        <v>#N/A</v>
      </c>
      <c r="J3584" s="100" t="e">
        <f t="shared" si="605"/>
        <v>#N/A</v>
      </c>
      <c r="K3584" s="51" t="e">
        <f>VLOOKUP(B:B,'生產達成率(目標)'!A:C,3,0)</f>
        <v>#N/A</v>
      </c>
      <c r="L3584" s="20" t="e">
        <f t="shared" si="606"/>
        <v>#N/A</v>
      </c>
      <c r="M3584" s="137"/>
      <c r="N3584" s="374"/>
      <c r="O3584" s="374">
        <f t="shared" si="607"/>
        <v>0</v>
      </c>
      <c r="P3584" s="156"/>
      <c r="Q3584" s="98" t="e">
        <f t="shared" si="608"/>
        <v>#DIV/0!</v>
      </c>
      <c r="R3584" s="371"/>
      <c r="S3584" s="372"/>
      <c r="T3584" s="364"/>
      <c r="U3584" s="264"/>
      <c r="V3584" s="264"/>
      <c r="W3584" s="424"/>
      <c r="X3584" s="264" t="s">
        <v>1867</v>
      </c>
      <c r="Y3584" s="424"/>
      <c r="Z3584" s="424"/>
      <c r="AA3584" s="424"/>
      <c r="AB3584" s="424"/>
      <c r="AC3584" s="425">
        <f t="shared" si="601"/>
        <v>0</v>
      </c>
      <c r="AD3584" s="425">
        <f t="shared" si="602"/>
        <v>0</v>
      </c>
    </row>
    <row r="3585" spans="1:30" s="361" customFormat="1" x14ac:dyDescent="0.4">
      <c r="A3585" s="402"/>
      <c r="B3585" s="392"/>
      <c r="C3585" s="364" t="e">
        <f>VLOOKUP(B3585,'112年全品項生產鍋數'!A:H,2,0)</f>
        <v>#N/A</v>
      </c>
      <c r="D3585" s="404"/>
      <c r="E3585" s="48" t="e">
        <f>VLOOKUP(B3585,'112年全品項生產鍋數'!A:H,3,0)</f>
        <v>#N/A</v>
      </c>
      <c r="F3585" s="142" t="e">
        <f>VLOOKUP(B3585,'112年全品項生產鍋數'!A:H,7,0)</f>
        <v>#N/A</v>
      </c>
      <c r="G3585" s="143" t="e">
        <f t="shared" si="603"/>
        <v>#N/A</v>
      </c>
      <c r="H3585" s="156"/>
      <c r="I3585" s="371" t="e">
        <f t="shared" si="604"/>
        <v>#N/A</v>
      </c>
      <c r="J3585" s="100" t="e">
        <f t="shared" si="605"/>
        <v>#N/A</v>
      </c>
      <c r="K3585" s="51" t="e">
        <f>VLOOKUP(B:B,'生產達成率(目標)'!A:C,3,0)</f>
        <v>#N/A</v>
      </c>
      <c r="L3585" s="20" t="e">
        <f t="shared" si="606"/>
        <v>#N/A</v>
      </c>
      <c r="M3585" s="137"/>
      <c r="N3585" s="374"/>
      <c r="O3585" s="374">
        <f t="shared" si="607"/>
        <v>0</v>
      </c>
      <c r="P3585" s="156"/>
      <c r="Q3585" s="98" t="e">
        <f t="shared" si="608"/>
        <v>#DIV/0!</v>
      </c>
      <c r="R3585" s="371"/>
      <c r="S3585" s="372"/>
      <c r="T3585" s="364"/>
      <c r="U3585" s="264"/>
      <c r="V3585" s="264"/>
      <c r="W3585" s="424"/>
      <c r="X3585" s="264" t="s">
        <v>1867</v>
      </c>
      <c r="Y3585" s="424"/>
      <c r="Z3585" s="424"/>
      <c r="AA3585" s="424"/>
      <c r="AB3585" s="424"/>
      <c r="AC3585" s="425">
        <f t="shared" si="601"/>
        <v>0</v>
      </c>
      <c r="AD3585" s="425">
        <f t="shared" si="602"/>
        <v>0</v>
      </c>
    </row>
    <row r="3586" spans="1:30" s="361" customFormat="1" x14ac:dyDescent="0.4">
      <c r="A3586" s="402"/>
      <c r="B3586" s="392"/>
      <c r="C3586" s="364" t="e">
        <f>VLOOKUP(B3586,'112年全品項生產鍋數'!A:H,2,0)</f>
        <v>#N/A</v>
      </c>
      <c r="D3586" s="404"/>
      <c r="E3586" s="48" t="e">
        <f>VLOOKUP(B3586,'112年全品項生產鍋數'!A:H,3,0)</f>
        <v>#N/A</v>
      </c>
      <c r="F3586" s="142" t="e">
        <f>VLOOKUP(B3586,'112年全品項生產鍋數'!A:H,7,0)</f>
        <v>#N/A</v>
      </c>
      <c r="G3586" s="143" t="e">
        <f t="shared" si="603"/>
        <v>#N/A</v>
      </c>
      <c r="H3586" s="156"/>
      <c r="I3586" s="371" t="e">
        <f t="shared" si="604"/>
        <v>#N/A</v>
      </c>
      <c r="J3586" s="100" t="e">
        <f t="shared" si="605"/>
        <v>#N/A</v>
      </c>
      <c r="K3586" s="51" t="e">
        <f>VLOOKUP(B:B,'生產達成率(目標)'!A:C,3,0)</f>
        <v>#N/A</v>
      </c>
      <c r="L3586" s="20" t="e">
        <f t="shared" si="606"/>
        <v>#N/A</v>
      </c>
      <c r="M3586" s="137"/>
      <c r="N3586" s="374"/>
      <c r="O3586" s="374">
        <f t="shared" si="607"/>
        <v>0</v>
      </c>
      <c r="P3586" s="156"/>
      <c r="Q3586" s="98" t="e">
        <f t="shared" si="608"/>
        <v>#DIV/0!</v>
      </c>
      <c r="R3586" s="371"/>
      <c r="S3586" s="372"/>
      <c r="T3586" s="364"/>
      <c r="U3586" s="264"/>
      <c r="V3586" s="264"/>
      <c r="W3586" s="424"/>
      <c r="X3586" s="264" t="s">
        <v>1867</v>
      </c>
      <c r="Y3586" s="424"/>
      <c r="Z3586" s="424"/>
      <c r="AA3586" s="424"/>
      <c r="AB3586" s="424"/>
      <c r="AC3586" s="425">
        <f t="shared" si="601"/>
        <v>0</v>
      </c>
      <c r="AD3586" s="425">
        <f t="shared" si="602"/>
        <v>0</v>
      </c>
    </row>
    <row r="3587" spans="1:30" s="361" customFormat="1" x14ac:dyDescent="0.4">
      <c r="A3587" s="402"/>
      <c r="B3587" s="392"/>
      <c r="C3587" s="364" t="e">
        <f>VLOOKUP(B3587,'112年全品項生產鍋數'!A:H,2,0)</f>
        <v>#N/A</v>
      </c>
      <c r="D3587" s="404"/>
      <c r="E3587" s="48" t="e">
        <f>VLOOKUP(B3587,'112年全品項生產鍋數'!A:H,3,0)</f>
        <v>#N/A</v>
      </c>
      <c r="F3587" s="142" t="e">
        <f>VLOOKUP(B3587,'112年全品項生產鍋數'!A:H,7,0)</f>
        <v>#N/A</v>
      </c>
      <c r="G3587" s="143" t="e">
        <f t="shared" si="603"/>
        <v>#N/A</v>
      </c>
      <c r="H3587" s="156"/>
      <c r="I3587" s="371" t="e">
        <f t="shared" si="604"/>
        <v>#N/A</v>
      </c>
      <c r="J3587" s="100" t="e">
        <f t="shared" si="605"/>
        <v>#N/A</v>
      </c>
      <c r="K3587" s="51" t="e">
        <f>VLOOKUP(B:B,'生產達成率(目標)'!A:C,3,0)</f>
        <v>#N/A</v>
      </c>
      <c r="L3587" s="20" t="e">
        <f t="shared" si="606"/>
        <v>#N/A</v>
      </c>
      <c r="M3587" s="137"/>
      <c r="N3587" s="374"/>
      <c r="O3587" s="374">
        <f t="shared" si="607"/>
        <v>0</v>
      </c>
      <c r="P3587" s="156"/>
      <c r="Q3587" s="98" t="e">
        <f t="shared" si="608"/>
        <v>#DIV/0!</v>
      </c>
      <c r="R3587" s="371"/>
      <c r="S3587" s="372"/>
      <c r="T3587" s="364"/>
      <c r="U3587" s="264"/>
      <c r="V3587" s="264"/>
      <c r="W3587" s="424"/>
      <c r="X3587" s="264" t="s">
        <v>1867</v>
      </c>
      <c r="Y3587" s="424"/>
      <c r="Z3587" s="424"/>
      <c r="AA3587" s="424"/>
      <c r="AB3587" s="424"/>
      <c r="AC3587" s="425">
        <f t="shared" si="601"/>
        <v>0</v>
      </c>
      <c r="AD3587" s="425">
        <f t="shared" si="602"/>
        <v>0</v>
      </c>
    </row>
    <row r="3588" spans="1:30" s="361" customFormat="1" x14ac:dyDescent="0.4">
      <c r="A3588" s="402"/>
      <c r="B3588" s="392"/>
      <c r="C3588" s="364" t="e">
        <f>VLOOKUP(B3588,'112年全品項生產鍋數'!A:H,2,0)</f>
        <v>#N/A</v>
      </c>
      <c r="D3588" s="404"/>
      <c r="E3588" s="48" t="e">
        <f>VLOOKUP(B3588,'112年全品項生產鍋數'!A:H,3,0)</f>
        <v>#N/A</v>
      </c>
      <c r="F3588" s="142" t="e">
        <f>VLOOKUP(B3588,'112年全品項生產鍋數'!A:H,7,0)</f>
        <v>#N/A</v>
      </c>
      <c r="G3588" s="143" t="e">
        <f t="shared" si="603"/>
        <v>#N/A</v>
      </c>
      <c r="H3588" s="156"/>
      <c r="I3588" s="371" t="e">
        <f t="shared" si="604"/>
        <v>#N/A</v>
      </c>
      <c r="J3588" s="100" t="e">
        <f t="shared" si="605"/>
        <v>#N/A</v>
      </c>
      <c r="K3588" s="51" t="e">
        <f>VLOOKUP(B:B,'生產達成率(目標)'!A:C,3,0)</f>
        <v>#N/A</v>
      </c>
      <c r="L3588" s="20" t="e">
        <f t="shared" si="606"/>
        <v>#N/A</v>
      </c>
      <c r="M3588" s="137"/>
      <c r="N3588" s="374"/>
      <c r="O3588" s="374">
        <f t="shared" si="607"/>
        <v>0</v>
      </c>
      <c r="P3588" s="156"/>
      <c r="Q3588" s="98" t="e">
        <f t="shared" si="608"/>
        <v>#DIV/0!</v>
      </c>
      <c r="R3588" s="371"/>
      <c r="S3588" s="372"/>
      <c r="T3588" s="364"/>
      <c r="U3588" s="264"/>
      <c r="V3588" s="264"/>
      <c r="W3588" s="424"/>
      <c r="X3588" s="264" t="s">
        <v>1867</v>
      </c>
      <c r="Y3588" s="424"/>
      <c r="Z3588" s="424"/>
      <c r="AA3588" s="424"/>
      <c r="AB3588" s="424"/>
      <c r="AC3588" s="425">
        <f t="shared" si="601"/>
        <v>0</v>
      </c>
      <c r="AD3588" s="425">
        <f t="shared" si="602"/>
        <v>0</v>
      </c>
    </row>
    <row r="3589" spans="1:30" s="361" customFormat="1" x14ac:dyDescent="0.4">
      <c r="A3589" s="402"/>
      <c r="B3589" s="392"/>
      <c r="C3589" s="364" t="e">
        <f>VLOOKUP(B3589,'112年全品項生產鍋數'!A:H,2,0)</f>
        <v>#N/A</v>
      </c>
      <c r="D3589" s="404"/>
      <c r="E3589" s="48" t="e">
        <f>VLOOKUP(B3589,'112年全品項生產鍋數'!A:H,3,0)</f>
        <v>#N/A</v>
      </c>
      <c r="F3589" s="142" t="e">
        <f>VLOOKUP(B3589,'112年全品項生產鍋數'!A:H,7,0)</f>
        <v>#N/A</v>
      </c>
      <c r="G3589" s="143" t="e">
        <f t="shared" si="603"/>
        <v>#N/A</v>
      </c>
      <c r="H3589" s="156"/>
      <c r="I3589" s="371" t="e">
        <f t="shared" si="604"/>
        <v>#N/A</v>
      </c>
      <c r="J3589" s="100" t="e">
        <f t="shared" si="605"/>
        <v>#N/A</v>
      </c>
      <c r="K3589" s="51" t="e">
        <f>VLOOKUP(B:B,'生產達成率(目標)'!A:C,3,0)</f>
        <v>#N/A</v>
      </c>
      <c r="L3589" s="20" t="e">
        <f t="shared" si="606"/>
        <v>#N/A</v>
      </c>
      <c r="M3589" s="137"/>
      <c r="N3589" s="374"/>
      <c r="O3589" s="374">
        <f t="shared" si="607"/>
        <v>0</v>
      </c>
      <c r="P3589" s="156"/>
      <c r="Q3589" s="98" t="e">
        <f t="shared" si="608"/>
        <v>#DIV/0!</v>
      </c>
      <c r="R3589" s="371"/>
      <c r="S3589" s="372"/>
      <c r="T3589" s="364"/>
      <c r="U3589" s="264"/>
      <c r="V3589" s="264"/>
      <c r="W3589" s="424"/>
      <c r="X3589" s="264" t="s">
        <v>1867</v>
      </c>
      <c r="Y3589" s="424"/>
      <c r="Z3589" s="424"/>
      <c r="AA3589" s="424"/>
      <c r="AB3589" s="424"/>
      <c r="AC3589" s="425">
        <f t="shared" si="601"/>
        <v>0</v>
      </c>
      <c r="AD3589" s="425">
        <f t="shared" si="602"/>
        <v>0</v>
      </c>
    </row>
    <row r="3590" spans="1:30" s="361" customFormat="1" x14ac:dyDescent="0.4">
      <c r="A3590" s="402"/>
      <c r="B3590" s="392"/>
      <c r="C3590" s="364" t="e">
        <f>VLOOKUP(B3590,'112年全品項生產鍋數'!A:H,2,0)</f>
        <v>#N/A</v>
      </c>
      <c r="D3590" s="404"/>
      <c r="E3590" s="48" t="e">
        <f>VLOOKUP(B3590,'112年全品項生產鍋數'!A:H,3,0)</f>
        <v>#N/A</v>
      </c>
      <c r="F3590" s="142" t="e">
        <f>VLOOKUP(B3590,'112年全品項生產鍋數'!A:H,7,0)</f>
        <v>#N/A</v>
      </c>
      <c r="G3590" s="143" t="e">
        <f t="shared" si="603"/>
        <v>#N/A</v>
      </c>
      <c r="H3590" s="156"/>
      <c r="I3590" s="371" t="e">
        <f t="shared" si="604"/>
        <v>#N/A</v>
      </c>
      <c r="J3590" s="100" t="e">
        <f t="shared" si="605"/>
        <v>#N/A</v>
      </c>
      <c r="K3590" s="51" t="e">
        <f>VLOOKUP(B:B,'生產達成率(目標)'!A:C,3,0)</f>
        <v>#N/A</v>
      </c>
      <c r="L3590" s="20" t="e">
        <f t="shared" si="606"/>
        <v>#N/A</v>
      </c>
      <c r="M3590" s="137"/>
      <c r="N3590" s="374"/>
      <c r="O3590" s="374">
        <f t="shared" si="607"/>
        <v>0</v>
      </c>
      <c r="P3590" s="156"/>
      <c r="Q3590" s="98" t="e">
        <f t="shared" si="608"/>
        <v>#DIV/0!</v>
      </c>
      <c r="R3590" s="371"/>
      <c r="S3590" s="372"/>
      <c r="T3590" s="364"/>
      <c r="U3590" s="264"/>
      <c r="V3590" s="264"/>
      <c r="W3590" s="424"/>
      <c r="X3590" s="264" t="s">
        <v>1867</v>
      </c>
      <c r="Y3590" s="424"/>
      <c r="Z3590" s="424"/>
      <c r="AA3590" s="424"/>
      <c r="AB3590" s="424"/>
      <c r="AC3590" s="425">
        <f t="shared" si="601"/>
        <v>0</v>
      </c>
      <c r="AD3590" s="425">
        <f t="shared" si="602"/>
        <v>0</v>
      </c>
    </row>
    <row r="3591" spans="1:30" s="361" customFormat="1" x14ac:dyDescent="0.4">
      <c r="A3591" s="402"/>
      <c r="B3591" s="392"/>
      <c r="C3591" s="364" t="e">
        <f>VLOOKUP(B3591,'112年全品項生產鍋數'!A:H,2,0)</f>
        <v>#N/A</v>
      </c>
      <c r="D3591" s="404"/>
      <c r="E3591" s="48" t="e">
        <f>VLOOKUP(B3591,'112年全品項生產鍋數'!A:H,3,0)</f>
        <v>#N/A</v>
      </c>
      <c r="F3591" s="142" t="e">
        <f>VLOOKUP(B3591,'112年全品項生產鍋數'!A:H,7,0)</f>
        <v>#N/A</v>
      </c>
      <c r="G3591" s="143" t="e">
        <f t="shared" si="603"/>
        <v>#N/A</v>
      </c>
      <c r="H3591" s="156"/>
      <c r="I3591" s="371" t="e">
        <f t="shared" si="604"/>
        <v>#N/A</v>
      </c>
      <c r="J3591" s="100" t="e">
        <f t="shared" si="605"/>
        <v>#N/A</v>
      </c>
      <c r="K3591" s="51" t="e">
        <f>VLOOKUP(B:B,'生產達成率(目標)'!A:C,3,0)</f>
        <v>#N/A</v>
      </c>
      <c r="L3591" s="20" t="e">
        <f t="shared" si="606"/>
        <v>#N/A</v>
      </c>
      <c r="M3591" s="137"/>
      <c r="N3591" s="374"/>
      <c r="O3591" s="374">
        <f t="shared" si="607"/>
        <v>0</v>
      </c>
      <c r="P3591" s="156"/>
      <c r="Q3591" s="98" t="e">
        <f t="shared" si="608"/>
        <v>#DIV/0!</v>
      </c>
      <c r="R3591" s="371"/>
      <c r="S3591" s="372"/>
      <c r="T3591" s="364"/>
      <c r="U3591" s="264"/>
      <c r="V3591" s="264"/>
      <c r="W3591" s="424"/>
      <c r="X3591" s="264" t="s">
        <v>1867</v>
      </c>
      <c r="Y3591" s="424"/>
      <c r="Z3591" s="424"/>
      <c r="AA3591" s="424"/>
      <c r="AB3591" s="424"/>
      <c r="AC3591" s="425">
        <f t="shared" si="601"/>
        <v>0</v>
      </c>
      <c r="AD3591" s="425">
        <f t="shared" si="602"/>
        <v>0</v>
      </c>
    </row>
    <row r="3592" spans="1:30" s="361" customFormat="1" x14ac:dyDescent="0.4">
      <c r="A3592" s="402"/>
      <c r="B3592" s="392"/>
      <c r="C3592" s="364" t="e">
        <f>VLOOKUP(B3592,'112年全品項生產鍋數'!A:H,2,0)</f>
        <v>#N/A</v>
      </c>
      <c r="D3592" s="404"/>
      <c r="E3592" s="48" t="e">
        <f>VLOOKUP(B3592,'112年全品項生產鍋數'!A:H,3,0)</f>
        <v>#N/A</v>
      </c>
      <c r="F3592" s="142" t="e">
        <f>VLOOKUP(B3592,'112年全品項生產鍋數'!A:H,7,0)</f>
        <v>#N/A</v>
      </c>
      <c r="G3592" s="143" t="e">
        <f t="shared" si="603"/>
        <v>#N/A</v>
      </c>
      <c r="H3592" s="156"/>
      <c r="I3592" s="371" t="e">
        <f t="shared" si="604"/>
        <v>#N/A</v>
      </c>
      <c r="J3592" s="100" t="e">
        <f t="shared" si="605"/>
        <v>#N/A</v>
      </c>
      <c r="K3592" s="51" t="e">
        <f>VLOOKUP(B:B,'生產達成率(目標)'!A:C,3,0)</f>
        <v>#N/A</v>
      </c>
      <c r="L3592" s="20" t="e">
        <f t="shared" si="606"/>
        <v>#N/A</v>
      </c>
      <c r="M3592" s="137"/>
      <c r="N3592" s="374"/>
      <c r="O3592" s="374">
        <f t="shared" si="607"/>
        <v>0</v>
      </c>
      <c r="P3592" s="156"/>
      <c r="Q3592" s="98" t="e">
        <f t="shared" si="608"/>
        <v>#DIV/0!</v>
      </c>
      <c r="R3592" s="371"/>
      <c r="S3592" s="372"/>
      <c r="T3592" s="364"/>
      <c r="U3592" s="264"/>
      <c r="V3592" s="264"/>
      <c r="W3592" s="424"/>
      <c r="X3592" s="264" t="s">
        <v>1867</v>
      </c>
      <c r="Y3592" s="424"/>
      <c r="Z3592" s="424"/>
      <c r="AA3592" s="424"/>
      <c r="AB3592" s="424"/>
      <c r="AC3592" s="425">
        <f t="shared" si="601"/>
        <v>0</v>
      </c>
      <c r="AD3592" s="425">
        <f t="shared" si="602"/>
        <v>0</v>
      </c>
    </row>
    <row r="3593" spans="1:30" s="361" customFormat="1" x14ac:dyDescent="0.4">
      <c r="A3593" s="402"/>
      <c r="B3593" s="392"/>
      <c r="C3593" s="364" t="e">
        <f>VLOOKUP(B3593,'112年全品項生產鍋數'!A:H,2,0)</f>
        <v>#N/A</v>
      </c>
      <c r="D3593" s="404"/>
      <c r="E3593" s="48" t="e">
        <f>VLOOKUP(B3593,'112年全品項生產鍋數'!A:H,3,0)</f>
        <v>#N/A</v>
      </c>
      <c r="F3593" s="142" t="e">
        <f>VLOOKUP(B3593,'112年全品項生產鍋數'!A:H,7,0)</f>
        <v>#N/A</v>
      </c>
      <c r="G3593" s="143" t="e">
        <f t="shared" si="603"/>
        <v>#N/A</v>
      </c>
      <c r="H3593" s="156"/>
      <c r="I3593" s="371" t="e">
        <f t="shared" si="604"/>
        <v>#N/A</v>
      </c>
      <c r="J3593" s="100" t="e">
        <f t="shared" si="605"/>
        <v>#N/A</v>
      </c>
      <c r="K3593" s="51" t="e">
        <f>VLOOKUP(B:B,'生產達成率(目標)'!A:C,3,0)</f>
        <v>#N/A</v>
      </c>
      <c r="L3593" s="20" t="e">
        <f t="shared" si="606"/>
        <v>#N/A</v>
      </c>
      <c r="M3593" s="137"/>
      <c r="N3593" s="374"/>
      <c r="O3593" s="374">
        <f t="shared" si="607"/>
        <v>0</v>
      </c>
      <c r="P3593" s="156"/>
      <c r="Q3593" s="98" t="e">
        <f t="shared" si="608"/>
        <v>#DIV/0!</v>
      </c>
      <c r="R3593" s="371"/>
      <c r="S3593" s="372"/>
      <c r="T3593" s="364"/>
      <c r="U3593" s="264"/>
      <c r="V3593" s="264"/>
      <c r="W3593" s="424"/>
      <c r="X3593" s="264" t="s">
        <v>1867</v>
      </c>
      <c r="Y3593" s="424"/>
      <c r="Z3593" s="424"/>
      <c r="AA3593" s="424"/>
      <c r="AB3593" s="424"/>
      <c r="AC3593" s="425">
        <f t="shared" si="601"/>
        <v>0</v>
      </c>
      <c r="AD3593" s="425">
        <f t="shared" si="602"/>
        <v>0</v>
      </c>
    </row>
    <row r="3594" spans="1:30" s="361" customFormat="1" x14ac:dyDescent="0.4">
      <c r="A3594" s="402"/>
      <c r="B3594" s="392"/>
      <c r="C3594" s="364" t="e">
        <f>VLOOKUP(B3594,'112年全品項生產鍋數'!A:H,2,0)</f>
        <v>#N/A</v>
      </c>
      <c r="D3594" s="404"/>
      <c r="E3594" s="48" t="e">
        <f>VLOOKUP(B3594,'112年全品項生產鍋數'!A:H,3,0)</f>
        <v>#N/A</v>
      </c>
      <c r="F3594" s="142" t="e">
        <f>VLOOKUP(B3594,'112年全品項生產鍋數'!A:H,7,0)</f>
        <v>#N/A</v>
      </c>
      <c r="G3594" s="143" t="e">
        <f t="shared" si="603"/>
        <v>#N/A</v>
      </c>
      <c r="H3594" s="156"/>
      <c r="I3594" s="371" t="e">
        <f t="shared" si="604"/>
        <v>#N/A</v>
      </c>
      <c r="J3594" s="100" t="e">
        <f t="shared" si="605"/>
        <v>#N/A</v>
      </c>
      <c r="K3594" s="51" t="e">
        <f>VLOOKUP(B:B,'生產達成率(目標)'!A:C,3,0)</f>
        <v>#N/A</v>
      </c>
      <c r="L3594" s="20" t="e">
        <f t="shared" si="606"/>
        <v>#N/A</v>
      </c>
      <c r="M3594" s="137"/>
      <c r="N3594" s="374"/>
      <c r="O3594" s="374">
        <f t="shared" si="607"/>
        <v>0</v>
      </c>
      <c r="P3594" s="156"/>
      <c r="Q3594" s="98" t="e">
        <f t="shared" si="608"/>
        <v>#DIV/0!</v>
      </c>
      <c r="R3594" s="371"/>
      <c r="S3594" s="372"/>
      <c r="T3594" s="364"/>
      <c r="U3594" s="264"/>
      <c r="V3594" s="264"/>
      <c r="W3594" s="424"/>
      <c r="X3594" s="264" t="s">
        <v>1867</v>
      </c>
      <c r="Y3594" s="424"/>
      <c r="Z3594" s="424"/>
      <c r="AA3594" s="424"/>
      <c r="AB3594" s="424"/>
      <c r="AC3594" s="425">
        <f t="shared" si="601"/>
        <v>0</v>
      </c>
      <c r="AD3594" s="425">
        <f t="shared" si="602"/>
        <v>0</v>
      </c>
    </row>
    <row r="3595" spans="1:30" s="361" customFormat="1" x14ac:dyDescent="0.4">
      <c r="A3595" s="402"/>
      <c r="B3595" s="392"/>
      <c r="C3595" s="364" t="e">
        <f>VLOOKUP(B3595,'112年全品項生產鍋數'!A:H,2,0)</f>
        <v>#N/A</v>
      </c>
      <c r="D3595" s="404"/>
      <c r="E3595" s="48" t="e">
        <f>VLOOKUP(B3595,'112年全品項生產鍋數'!A:H,3,0)</f>
        <v>#N/A</v>
      </c>
      <c r="F3595" s="142" t="e">
        <f>VLOOKUP(B3595,'112年全品項生產鍋數'!A:H,7,0)</f>
        <v>#N/A</v>
      </c>
      <c r="G3595" s="143" t="e">
        <f t="shared" si="603"/>
        <v>#N/A</v>
      </c>
      <c r="H3595" s="156"/>
      <c r="I3595" s="371" t="e">
        <f t="shared" si="604"/>
        <v>#N/A</v>
      </c>
      <c r="J3595" s="100" t="e">
        <f t="shared" si="605"/>
        <v>#N/A</v>
      </c>
      <c r="K3595" s="51" t="e">
        <f>VLOOKUP(B:B,'生產達成率(目標)'!A:C,3,0)</f>
        <v>#N/A</v>
      </c>
      <c r="L3595" s="20" t="e">
        <f t="shared" si="606"/>
        <v>#N/A</v>
      </c>
      <c r="M3595" s="137"/>
      <c r="N3595" s="374"/>
      <c r="O3595" s="374">
        <f t="shared" si="607"/>
        <v>0</v>
      </c>
      <c r="P3595" s="156"/>
      <c r="Q3595" s="98" t="e">
        <f t="shared" si="608"/>
        <v>#DIV/0!</v>
      </c>
      <c r="R3595" s="371"/>
      <c r="S3595" s="372"/>
      <c r="T3595" s="364"/>
      <c r="U3595" s="264"/>
      <c r="V3595" s="264"/>
      <c r="W3595" s="424"/>
      <c r="X3595" s="264" t="s">
        <v>1867</v>
      </c>
      <c r="Y3595" s="424"/>
      <c r="Z3595" s="424"/>
      <c r="AA3595" s="424"/>
      <c r="AB3595" s="424"/>
      <c r="AC3595" s="425">
        <f t="shared" si="601"/>
        <v>0</v>
      </c>
      <c r="AD3595" s="425">
        <f t="shared" si="602"/>
        <v>0</v>
      </c>
    </row>
    <row r="3596" spans="1:30" s="361" customFormat="1" x14ac:dyDescent="0.4">
      <c r="A3596" s="402"/>
      <c r="B3596" s="392"/>
      <c r="C3596" s="364" t="e">
        <f>VLOOKUP(B3596,'112年全品項生產鍋數'!A:H,2,0)</f>
        <v>#N/A</v>
      </c>
      <c r="D3596" s="404"/>
      <c r="E3596" s="48" t="e">
        <f>VLOOKUP(B3596,'112年全品項生產鍋數'!A:H,3,0)</f>
        <v>#N/A</v>
      </c>
      <c r="F3596" s="142" t="e">
        <f>VLOOKUP(B3596,'112年全品項生產鍋數'!A:H,7,0)</f>
        <v>#N/A</v>
      </c>
      <c r="G3596" s="143" t="e">
        <f t="shared" si="603"/>
        <v>#N/A</v>
      </c>
      <c r="H3596" s="156"/>
      <c r="I3596" s="371" t="e">
        <f t="shared" si="604"/>
        <v>#N/A</v>
      </c>
      <c r="J3596" s="100" t="e">
        <f t="shared" si="605"/>
        <v>#N/A</v>
      </c>
      <c r="K3596" s="51" t="e">
        <f>VLOOKUP(B:B,'生產達成率(目標)'!A:C,3,0)</f>
        <v>#N/A</v>
      </c>
      <c r="L3596" s="20" t="e">
        <f t="shared" si="606"/>
        <v>#N/A</v>
      </c>
      <c r="M3596" s="137"/>
      <c r="N3596" s="374"/>
      <c r="O3596" s="374">
        <f t="shared" si="607"/>
        <v>0</v>
      </c>
      <c r="P3596" s="156"/>
      <c r="Q3596" s="98" t="e">
        <f t="shared" si="608"/>
        <v>#DIV/0!</v>
      </c>
      <c r="R3596" s="371"/>
      <c r="S3596" s="372"/>
      <c r="T3596" s="364"/>
      <c r="U3596" s="264"/>
      <c r="V3596" s="264"/>
      <c r="W3596" s="424"/>
      <c r="X3596" s="264" t="s">
        <v>1867</v>
      </c>
      <c r="Y3596" s="424"/>
      <c r="Z3596" s="424"/>
      <c r="AA3596" s="424"/>
      <c r="AB3596" s="424"/>
      <c r="AC3596" s="425">
        <f t="shared" si="601"/>
        <v>0</v>
      </c>
      <c r="AD3596" s="425">
        <f t="shared" si="602"/>
        <v>0</v>
      </c>
    </row>
    <row r="3597" spans="1:30" s="361" customFormat="1" x14ac:dyDescent="0.4">
      <c r="A3597" s="402"/>
      <c r="B3597" s="392"/>
      <c r="C3597" s="364" t="e">
        <f>VLOOKUP(B3597,'112年全品項生產鍋數'!A:H,2,0)</f>
        <v>#N/A</v>
      </c>
      <c r="D3597" s="404"/>
      <c r="E3597" s="48" t="e">
        <f>VLOOKUP(B3597,'112年全品項生產鍋數'!A:H,3,0)</f>
        <v>#N/A</v>
      </c>
      <c r="F3597" s="142" t="e">
        <f>VLOOKUP(B3597,'112年全品項生產鍋數'!A:H,7,0)</f>
        <v>#N/A</v>
      </c>
      <c r="G3597" s="143" t="e">
        <f t="shared" si="603"/>
        <v>#N/A</v>
      </c>
      <c r="H3597" s="156"/>
      <c r="I3597" s="371" t="e">
        <f t="shared" si="604"/>
        <v>#N/A</v>
      </c>
      <c r="J3597" s="100" t="e">
        <f t="shared" si="605"/>
        <v>#N/A</v>
      </c>
      <c r="K3597" s="51" t="e">
        <f>VLOOKUP(B:B,'生產達成率(目標)'!A:C,3,0)</f>
        <v>#N/A</v>
      </c>
      <c r="L3597" s="20" t="e">
        <f t="shared" si="606"/>
        <v>#N/A</v>
      </c>
      <c r="M3597" s="137"/>
      <c r="N3597" s="374"/>
      <c r="O3597" s="374">
        <f t="shared" si="607"/>
        <v>0</v>
      </c>
      <c r="P3597" s="156"/>
      <c r="Q3597" s="98" t="e">
        <f t="shared" si="608"/>
        <v>#DIV/0!</v>
      </c>
      <c r="R3597" s="371"/>
      <c r="S3597" s="372"/>
      <c r="T3597" s="364"/>
      <c r="U3597" s="264"/>
      <c r="V3597" s="264"/>
      <c r="W3597" s="424"/>
      <c r="X3597" s="264" t="s">
        <v>1867</v>
      </c>
      <c r="Y3597" s="424"/>
      <c r="Z3597" s="424"/>
      <c r="AA3597" s="424"/>
      <c r="AB3597" s="424"/>
      <c r="AC3597" s="425">
        <f t="shared" si="601"/>
        <v>0</v>
      </c>
      <c r="AD3597" s="425">
        <f t="shared" si="602"/>
        <v>0</v>
      </c>
    </row>
    <row r="3598" spans="1:30" s="361" customFormat="1" x14ac:dyDescent="0.4">
      <c r="A3598" s="402"/>
      <c r="B3598" s="392"/>
      <c r="C3598" s="364" t="e">
        <f>VLOOKUP(B3598,'112年全品項生產鍋數'!A:H,2,0)</f>
        <v>#N/A</v>
      </c>
      <c r="D3598" s="404"/>
      <c r="E3598" s="48" t="e">
        <f>VLOOKUP(B3598,'112年全品項生產鍋數'!A:H,3,0)</f>
        <v>#N/A</v>
      </c>
      <c r="F3598" s="142" t="e">
        <f>VLOOKUP(B3598,'112年全品項生產鍋數'!A:H,7,0)</f>
        <v>#N/A</v>
      </c>
      <c r="G3598" s="143" t="e">
        <f t="shared" si="603"/>
        <v>#N/A</v>
      </c>
      <c r="H3598" s="156"/>
      <c r="I3598" s="371" t="e">
        <f t="shared" si="604"/>
        <v>#N/A</v>
      </c>
      <c r="J3598" s="100" t="e">
        <f t="shared" si="605"/>
        <v>#N/A</v>
      </c>
      <c r="K3598" s="51" t="e">
        <f>VLOOKUP(B:B,'生產達成率(目標)'!A:C,3,0)</f>
        <v>#N/A</v>
      </c>
      <c r="L3598" s="20" t="e">
        <f t="shared" si="606"/>
        <v>#N/A</v>
      </c>
      <c r="M3598" s="137"/>
      <c r="N3598" s="374"/>
      <c r="O3598" s="374">
        <f t="shared" si="607"/>
        <v>0</v>
      </c>
      <c r="P3598" s="156"/>
      <c r="Q3598" s="98" t="e">
        <f t="shared" si="608"/>
        <v>#DIV/0!</v>
      </c>
      <c r="R3598" s="371"/>
      <c r="S3598" s="372"/>
      <c r="T3598" s="364"/>
      <c r="U3598" s="264"/>
      <c r="V3598" s="264"/>
      <c r="W3598" s="424"/>
      <c r="X3598" s="264" t="s">
        <v>1867</v>
      </c>
      <c r="Y3598" s="424"/>
      <c r="Z3598" s="424"/>
      <c r="AA3598" s="424"/>
      <c r="AB3598" s="424"/>
      <c r="AC3598" s="425">
        <f t="shared" si="601"/>
        <v>0</v>
      </c>
      <c r="AD3598" s="425">
        <f t="shared" si="602"/>
        <v>0</v>
      </c>
    </row>
    <row r="3599" spans="1:30" s="361" customFormat="1" x14ac:dyDescent="0.4">
      <c r="A3599" s="402"/>
      <c r="B3599" s="392"/>
      <c r="C3599" s="364" t="e">
        <f>VLOOKUP(B3599,'112年全品項生產鍋數'!A:H,2,0)</f>
        <v>#N/A</v>
      </c>
      <c r="D3599" s="404"/>
      <c r="E3599" s="48" t="e">
        <f>VLOOKUP(B3599,'112年全品項生產鍋數'!A:H,3,0)</f>
        <v>#N/A</v>
      </c>
      <c r="F3599" s="142" t="e">
        <f>VLOOKUP(B3599,'112年全品項生產鍋數'!A:H,7,0)</f>
        <v>#N/A</v>
      </c>
      <c r="G3599" s="143" t="e">
        <f t="shared" si="603"/>
        <v>#N/A</v>
      </c>
      <c r="H3599" s="156"/>
      <c r="I3599" s="371" t="e">
        <f t="shared" si="604"/>
        <v>#N/A</v>
      </c>
      <c r="J3599" s="100" t="e">
        <f t="shared" si="605"/>
        <v>#N/A</v>
      </c>
      <c r="K3599" s="51" t="e">
        <f>VLOOKUP(B:B,'生產達成率(目標)'!A:C,3,0)</f>
        <v>#N/A</v>
      </c>
      <c r="L3599" s="20" t="e">
        <f t="shared" si="606"/>
        <v>#N/A</v>
      </c>
      <c r="M3599" s="137"/>
      <c r="N3599" s="374"/>
      <c r="O3599" s="374">
        <f t="shared" si="607"/>
        <v>0</v>
      </c>
      <c r="P3599" s="156"/>
      <c r="Q3599" s="98" t="e">
        <f t="shared" si="608"/>
        <v>#DIV/0!</v>
      </c>
      <c r="R3599" s="371"/>
      <c r="S3599" s="372"/>
      <c r="T3599" s="364"/>
      <c r="U3599" s="264"/>
      <c r="V3599" s="264"/>
      <c r="W3599" s="424"/>
      <c r="X3599" s="264" t="s">
        <v>1867</v>
      </c>
      <c r="Y3599" s="424"/>
      <c r="Z3599" s="424"/>
      <c r="AA3599" s="424"/>
      <c r="AB3599" s="424"/>
      <c r="AC3599" s="425">
        <f t="shared" si="601"/>
        <v>0</v>
      </c>
      <c r="AD3599" s="425">
        <f t="shared" si="602"/>
        <v>0</v>
      </c>
    </row>
    <row r="3600" spans="1:30" s="361" customFormat="1" x14ac:dyDescent="0.4">
      <c r="A3600" s="402"/>
      <c r="B3600" s="392"/>
      <c r="C3600" s="364" t="e">
        <f>VLOOKUP(B3600,'112年全品項生產鍋數'!A:H,2,0)</f>
        <v>#N/A</v>
      </c>
      <c r="D3600" s="404"/>
      <c r="E3600" s="48" t="e">
        <f>VLOOKUP(B3600,'112年全品項生產鍋數'!A:H,3,0)</f>
        <v>#N/A</v>
      </c>
      <c r="F3600" s="142" t="e">
        <f>VLOOKUP(B3600,'112年全品項生產鍋數'!A:H,7,0)</f>
        <v>#N/A</v>
      </c>
      <c r="G3600" s="143" t="e">
        <f t="shared" si="603"/>
        <v>#N/A</v>
      </c>
      <c r="H3600" s="156"/>
      <c r="I3600" s="371" t="e">
        <f t="shared" si="604"/>
        <v>#N/A</v>
      </c>
      <c r="J3600" s="100" t="e">
        <f t="shared" si="605"/>
        <v>#N/A</v>
      </c>
      <c r="K3600" s="51" t="e">
        <f>VLOOKUP(B:B,'生產達成率(目標)'!A:C,3,0)</f>
        <v>#N/A</v>
      </c>
      <c r="L3600" s="20" t="e">
        <f t="shared" si="606"/>
        <v>#N/A</v>
      </c>
      <c r="M3600" s="137"/>
      <c r="N3600" s="374"/>
      <c r="O3600" s="374">
        <f t="shared" si="607"/>
        <v>0</v>
      </c>
      <c r="P3600" s="156"/>
      <c r="Q3600" s="98" t="e">
        <f t="shared" si="608"/>
        <v>#DIV/0!</v>
      </c>
      <c r="R3600" s="371"/>
      <c r="S3600" s="372"/>
      <c r="T3600" s="364"/>
      <c r="U3600" s="264"/>
      <c r="V3600" s="264"/>
      <c r="W3600" s="424"/>
      <c r="X3600" s="264" t="s">
        <v>1867</v>
      </c>
      <c r="Y3600" s="424"/>
      <c r="Z3600" s="424"/>
      <c r="AA3600" s="424"/>
      <c r="AB3600" s="424"/>
      <c r="AC3600" s="425">
        <f t="shared" si="601"/>
        <v>0</v>
      </c>
      <c r="AD3600" s="425">
        <f t="shared" si="602"/>
        <v>0</v>
      </c>
    </row>
    <row r="3601" spans="1:30" s="361" customFormat="1" x14ac:dyDescent="0.4">
      <c r="A3601" s="402"/>
      <c r="B3601" s="392"/>
      <c r="C3601" s="364" t="e">
        <f>VLOOKUP(B3601,'112年全品項生產鍋數'!A:H,2,0)</f>
        <v>#N/A</v>
      </c>
      <c r="D3601" s="404"/>
      <c r="E3601" s="48" t="e">
        <f>VLOOKUP(B3601,'112年全品項生產鍋數'!A:H,3,0)</f>
        <v>#N/A</v>
      </c>
      <c r="F3601" s="142" t="e">
        <f>VLOOKUP(B3601,'112年全品項生產鍋數'!A:H,7,0)</f>
        <v>#N/A</v>
      </c>
      <c r="G3601" s="143" t="e">
        <f t="shared" si="603"/>
        <v>#N/A</v>
      </c>
      <c r="H3601" s="156"/>
      <c r="I3601" s="371" t="e">
        <f t="shared" si="604"/>
        <v>#N/A</v>
      </c>
      <c r="J3601" s="100" t="e">
        <f t="shared" si="605"/>
        <v>#N/A</v>
      </c>
      <c r="K3601" s="51" t="e">
        <f>VLOOKUP(B:B,'生產達成率(目標)'!A:C,3,0)</f>
        <v>#N/A</v>
      </c>
      <c r="L3601" s="20" t="e">
        <f t="shared" si="606"/>
        <v>#N/A</v>
      </c>
      <c r="M3601" s="137"/>
      <c r="N3601" s="374"/>
      <c r="O3601" s="374">
        <f t="shared" si="607"/>
        <v>0</v>
      </c>
      <c r="P3601" s="156"/>
      <c r="Q3601" s="98" t="e">
        <f t="shared" si="608"/>
        <v>#DIV/0!</v>
      </c>
      <c r="R3601" s="371"/>
      <c r="S3601" s="372"/>
      <c r="T3601" s="364"/>
      <c r="U3601" s="264"/>
      <c r="V3601" s="264"/>
      <c r="W3601" s="424"/>
      <c r="X3601" s="264" t="s">
        <v>1867</v>
      </c>
      <c r="Y3601" s="424"/>
      <c r="Z3601" s="424"/>
      <c r="AA3601" s="424"/>
      <c r="AB3601" s="424"/>
      <c r="AC3601" s="425">
        <f t="shared" si="601"/>
        <v>0</v>
      </c>
      <c r="AD3601" s="425">
        <f t="shared" si="602"/>
        <v>0</v>
      </c>
    </row>
    <row r="3602" spans="1:30" s="361" customFormat="1" x14ac:dyDescent="0.4">
      <c r="A3602" s="402"/>
      <c r="B3602" s="392"/>
      <c r="C3602" s="364" t="e">
        <f>VLOOKUP(B3602,'112年全品項生產鍋數'!A:H,2,0)</f>
        <v>#N/A</v>
      </c>
      <c r="D3602" s="404"/>
      <c r="E3602" s="48" t="e">
        <f>VLOOKUP(B3602,'112年全品項生產鍋數'!A:H,3,0)</f>
        <v>#N/A</v>
      </c>
      <c r="F3602" s="142" t="e">
        <f>VLOOKUP(B3602,'112年全品項生產鍋數'!A:H,7,0)</f>
        <v>#N/A</v>
      </c>
      <c r="G3602" s="143" t="e">
        <f t="shared" si="603"/>
        <v>#N/A</v>
      </c>
      <c r="H3602" s="156"/>
      <c r="I3602" s="371" t="e">
        <f t="shared" si="604"/>
        <v>#N/A</v>
      </c>
      <c r="J3602" s="100" t="e">
        <f t="shared" si="605"/>
        <v>#N/A</v>
      </c>
      <c r="K3602" s="51" t="e">
        <f>VLOOKUP(B:B,'生產達成率(目標)'!A:C,3,0)</f>
        <v>#N/A</v>
      </c>
      <c r="L3602" s="20" t="e">
        <f t="shared" si="606"/>
        <v>#N/A</v>
      </c>
      <c r="M3602" s="137"/>
      <c r="N3602" s="374"/>
      <c r="O3602" s="374">
        <f t="shared" si="607"/>
        <v>0</v>
      </c>
      <c r="P3602" s="156"/>
      <c r="Q3602" s="98" t="e">
        <f t="shared" si="608"/>
        <v>#DIV/0!</v>
      </c>
      <c r="R3602" s="371"/>
      <c r="S3602" s="372"/>
      <c r="T3602" s="364"/>
      <c r="U3602" s="264"/>
      <c r="V3602" s="264"/>
      <c r="W3602" s="424"/>
      <c r="X3602" s="264" t="s">
        <v>1867</v>
      </c>
      <c r="Y3602" s="424"/>
      <c r="Z3602" s="424"/>
      <c r="AA3602" s="424"/>
      <c r="AB3602" s="424"/>
      <c r="AC3602" s="425">
        <f t="shared" si="601"/>
        <v>0</v>
      </c>
      <c r="AD3602" s="425">
        <f t="shared" si="602"/>
        <v>0</v>
      </c>
    </row>
    <row r="3603" spans="1:30" s="361" customFormat="1" x14ac:dyDescent="0.4">
      <c r="A3603" s="402"/>
      <c r="B3603" s="392"/>
      <c r="C3603" s="364" t="e">
        <f>VLOOKUP(B3603,'112年全品項生產鍋數'!A:H,2,0)</f>
        <v>#N/A</v>
      </c>
      <c r="D3603" s="404"/>
      <c r="E3603" s="48" t="e">
        <f>VLOOKUP(B3603,'112年全品項生產鍋數'!A:H,3,0)</f>
        <v>#N/A</v>
      </c>
      <c r="F3603" s="142" t="e">
        <f>VLOOKUP(B3603,'112年全品項生產鍋數'!A:H,7,0)</f>
        <v>#N/A</v>
      </c>
      <c r="G3603" s="143" t="e">
        <f t="shared" si="603"/>
        <v>#N/A</v>
      </c>
      <c r="H3603" s="156"/>
      <c r="I3603" s="371" t="e">
        <f t="shared" si="604"/>
        <v>#N/A</v>
      </c>
      <c r="J3603" s="100" t="e">
        <f t="shared" si="605"/>
        <v>#N/A</v>
      </c>
      <c r="K3603" s="51" t="e">
        <f>VLOOKUP(B:B,'生產達成率(目標)'!A:C,3,0)</f>
        <v>#N/A</v>
      </c>
      <c r="L3603" s="20" t="e">
        <f t="shared" si="606"/>
        <v>#N/A</v>
      </c>
      <c r="M3603" s="137"/>
      <c r="N3603" s="374"/>
      <c r="O3603" s="374">
        <f t="shared" si="607"/>
        <v>0</v>
      </c>
      <c r="P3603" s="156"/>
      <c r="Q3603" s="98" t="e">
        <f t="shared" si="608"/>
        <v>#DIV/0!</v>
      </c>
      <c r="R3603" s="371"/>
      <c r="S3603" s="372"/>
      <c r="T3603" s="364"/>
      <c r="U3603" s="264"/>
      <c r="V3603" s="264"/>
      <c r="W3603" s="424"/>
      <c r="X3603" s="264" t="s">
        <v>1867</v>
      </c>
      <c r="Y3603" s="424"/>
      <c r="Z3603" s="424"/>
      <c r="AA3603" s="424"/>
      <c r="AB3603" s="424"/>
      <c r="AC3603" s="425">
        <f t="shared" si="601"/>
        <v>0</v>
      </c>
      <c r="AD3603" s="425">
        <f t="shared" si="602"/>
        <v>0</v>
      </c>
    </row>
    <row r="3604" spans="1:30" s="361" customFormat="1" x14ac:dyDescent="0.4">
      <c r="A3604" s="402"/>
      <c r="B3604" s="392"/>
      <c r="C3604" s="364" t="e">
        <f>VLOOKUP(B3604,'112年全品項生產鍋數'!A:H,2,0)</f>
        <v>#N/A</v>
      </c>
      <c r="D3604" s="404"/>
      <c r="E3604" s="48" t="e">
        <f>VLOOKUP(B3604,'112年全品項生產鍋數'!A:H,3,0)</f>
        <v>#N/A</v>
      </c>
      <c r="F3604" s="142" t="e">
        <f>VLOOKUP(B3604,'112年全品項生產鍋數'!A:H,7,0)</f>
        <v>#N/A</v>
      </c>
      <c r="G3604" s="143" t="e">
        <f t="shared" si="603"/>
        <v>#N/A</v>
      </c>
      <c r="H3604" s="156"/>
      <c r="I3604" s="371" t="e">
        <f t="shared" si="604"/>
        <v>#N/A</v>
      </c>
      <c r="J3604" s="100" t="e">
        <f t="shared" si="605"/>
        <v>#N/A</v>
      </c>
      <c r="K3604" s="51" t="e">
        <f>VLOOKUP(B:B,'生產達成率(目標)'!A:C,3,0)</f>
        <v>#N/A</v>
      </c>
      <c r="L3604" s="20" t="e">
        <f t="shared" si="606"/>
        <v>#N/A</v>
      </c>
      <c r="M3604" s="137"/>
      <c r="N3604" s="374"/>
      <c r="O3604" s="374">
        <f t="shared" si="607"/>
        <v>0</v>
      </c>
      <c r="P3604" s="156"/>
      <c r="Q3604" s="98" t="e">
        <f t="shared" si="608"/>
        <v>#DIV/0!</v>
      </c>
      <c r="R3604" s="371"/>
      <c r="S3604" s="372"/>
      <c r="T3604" s="364"/>
      <c r="U3604" s="264"/>
      <c r="V3604" s="264"/>
      <c r="W3604" s="424"/>
      <c r="X3604" s="264" t="s">
        <v>1867</v>
      </c>
      <c r="Y3604" s="424"/>
      <c r="Z3604" s="424"/>
      <c r="AA3604" s="424"/>
      <c r="AB3604" s="424"/>
      <c r="AC3604" s="425">
        <f t="shared" si="601"/>
        <v>0</v>
      </c>
      <c r="AD3604" s="425">
        <f t="shared" si="602"/>
        <v>0</v>
      </c>
    </row>
    <row r="3605" spans="1:30" s="361" customFormat="1" x14ac:dyDescent="0.4">
      <c r="A3605" s="402"/>
      <c r="B3605" s="392"/>
      <c r="C3605" s="364" t="e">
        <f>VLOOKUP(B3605,'112年全品項生產鍋數'!A:H,2,0)</f>
        <v>#N/A</v>
      </c>
      <c r="D3605" s="404"/>
      <c r="E3605" s="48" t="e">
        <f>VLOOKUP(B3605,'112年全品項生產鍋數'!A:H,3,0)</f>
        <v>#N/A</v>
      </c>
      <c r="F3605" s="142" t="e">
        <f>VLOOKUP(B3605,'112年全品項生產鍋數'!A:H,7,0)</f>
        <v>#N/A</v>
      </c>
      <c r="G3605" s="143" t="e">
        <f t="shared" si="603"/>
        <v>#N/A</v>
      </c>
      <c r="H3605" s="156"/>
      <c r="I3605" s="371" t="e">
        <f t="shared" si="604"/>
        <v>#N/A</v>
      </c>
      <c r="J3605" s="100" t="e">
        <f t="shared" si="605"/>
        <v>#N/A</v>
      </c>
      <c r="K3605" s="51" t="e">
        <f>VLOOKUP(B:B,'生產達成率(目標)'!A:C,3,0)</f>
        <v>#N/A</v>
      </c>
      <c r="L3605" s="20" t="e">
        <f t="shared" si="606"/>
        <v>#N/A</v>
      </c>
      <c r="M3605" s="137"/>
      <c r="N3605" s="374"/>
      <c r="O3605" s="374">
        <f t="shared" si="607"/>
        <v>0</v>
      </c>
      <c r="P3605" s="156"/>
      <c r="Q3605" s="98" t="e">
        <f t="shared" si="608"/>
        <v>#DIV/0!</v>
      </c>
      <c r="R3605" s="371"/>
      <c r="S3605" s="372"/>
      <c r="T3605" s="364"/>
      <c r="U3605" s="264"/>
      <c r="V3605" s="264"/>
      <c r="W3605" s="424"/>
      <c r="X3605" s="264" t="s">
        <v>1867</v>
      </c>
      <c r="Y3605" s="424"/>
      <c r="Z3605" s="424"/>
      <c r="AA3605" s="424"/>
      <c r="AB3605" s="424"/>
      <c r="AC3605" s="425">
        <f t="shared" si="601"/>
        <v>0</v>
      </c>
      <c r="AD3605" s="425">
        <f t="shared" si="602"/>
        <v>0</v>
      </c>
    </row>
    <row r="3606" spans="1:30" s="361" customFormat="1" x14ac:dyDescent="0.4">
      <c r="A3606" s="402"/>
      <c r="B3606" s="392"/>
      <c r="C3606" s="364" t="e">
        <f>VLOOKUP(B3606,'112年全品項生產鍋數'!A:H,2,0)</f>
        <v>#N/A</v>
      </c>
      <c r="D3606" s="404"/>
      <c r="E3606" s="48" t="e">
        <f>VLOOKUP(B3606,'112年全品項生產鍋數'!A:H,3,0)</f>
        <v>#N/A</v>
      </c>
      <c r="F3606" s="142" t="e">
        <f>VLOOKUP(B3606,'112年全品項生產鍋數'!A:H,7,0)</f>
        <v>#N/A</v>
      </c>
      <c r="G3606" s="143" t="e">
        <f t="shared" si="603"/>
        <v>#N/A</v>
      </c>
      <c r="H3606" s="156"/>
      <c r="I3606" s="371" t="e">
        <f t="shared" si="604"/>
        <v>#N/A</v>
      </c>
      <c r="J3606" s="100" t="e">
        <f t="shared" si="605"/>
        <v>#N/A</v>
      </c>
      <c r="K3606" s="51" t="e">
        <f>VLOOKUP(B:B,'生產達成率(目標)'!A:C,3,0)</f>
        <v>#N/A</v>
      </c>
      <c r="L3606" s="20" t="e">
        <f t="shared" si="606"/>
        <v>#N/A</v>
      </c>
      <c r="M3606" s="137"/>
      <c r="N3606" s="374"/>
      <c r="O3606" s="374">
        <f t="shared" si="607"/>
        <v>0</v>
      </c>
      <c r="P3606" s="156"/>
      <c r="Q3606" s="98" t="e">
        <f t="shared" si="608"/>
        <v>#DIV/0!</v>
      </c>
      <c r="R3606" s="371"/>
      <c r="S3606" s="372"/>
      <c r="T3606" s="364"/>
      <c r="U3606" s="264"/>
      <c r="V3606" s="264"/>
      <c r="W3606" s="424"/>
      <c r="X3606" s="264" t="s">
        <v>1867</v>
      </c>
      <c r="Y3606" s="424"/>
      <c r="Z3606" s="424"/>
      <c r="AA3606" s="424"/>
      <c r="AB3606" s="424"/>
      <c r="AC3606" s="425">
        <f t="shared" si="601"/>
        <v>0</v>
      </c>
      <c r="AD3606" s="425">
        <f t="shared" si="602"/>
        <v>0</v>
      </c>
    </row>
    <row r="3607" spans="1:30" s="361" customFormat="1" x14ac:dyDescent="0.4">
      <c r="A3607" s="402"/>
      <c r="B3607" s="392"/>
      <c r="C3607" s="364" t="e">
        <f>VLOOKUP(B3607,'112年全品項生產鍋數'!A:H,2,0)</f>
        <v>#N/A</v>
      </c>
      <c r="D3607" s="404"/>
      <c r="E3607" s="48" t="e">
        <f>VLOOKUP(B3607,'112年全品項生產鍋數'!A:H,3,0)</f>
        <v>#N/A</v>
      </c>
      <c r="F3607" s="142" t="e">
        <f>VLOOKUP(B3607,'112年全品項生產鍋數'!A:H,7,0)</f>
        <v>#N/A</v>
      </c>
      <c r="G3607" s="143" t="e">
        <f t="shared" si="603"/>
        <v>#N/A</v>
      </c>
      <c r="H3607" s="156"/>
      <c r="I3607" s="371" t="e">
        <f t="shared" si="604"/>
        <v>#N/A</v>
      </c>
      <c r="J3607" s="100" t="e">
        <f t="shared" si="605"/>
        <v>#N/A</v>
      </c>
      <c r="K3607" s="51" t="e">
        <f>VLOOKUP(B:B,'生產達成率(目標)'!A:C,3,0)</f>
        <v>#N/A</v>
      </c>
      <c r="L3607" s="20" t="e">
        <f t="shared" si="606"/>
        <v>#N/A</v>
      </c>
      <c r="M3607" s="137"/>
      <c r="N3607" s="374"/>
      <c r="O3607" s="374">
        <f t="shared" si="607"/>
        <v>0</v>
      </c>
      <c r="P3607" s="156"/>
      <c r="Q3607" s="98" t="e">
        <f t="shared" si="608"/>
        <v>#DIV/0!</v>
      </c>
      <c r="R3607" s="371"/>
      <c r="S3607" s="372"/>
      <c r="T3607" s="364"/>
      <c r="U3607" s="264"/>
      <c r="V3607" s="264"/>
      <c r="W3607" s="424"/>
      <c r="X3607" s="264" t="s">
        <v>1867</v>
      </c>
      <c r="Y3607" s="424"/>
      <c r="Z3607" s="424"/>
      <c r="AA3607" s="424"/>
      <c r="AB3607" s="424"/>
      <c r="AC3607" s="425">
        <f t="shared" ref="AC3607:AC3670" si="609" xml:space="preserve"> IF((W3607-A3607)&lt;0,"未收到",W3607-A3607)</f>
        <v>0</v>
      </c>
      <c r="AD3607" s="425">
        <f t="shared" ref="AD3607:AD3670" si="610" xml:space="preserve"> IF((Y3607-A3607)&lt;0,"未收到",Y3607-A3607)</f>
        <v>0</v>
      </c>
    </row>
    <row r="3608" spans="1:30" s="361" customFormat="1" x14ac:dyDescent="0.4">
      <c r="A3608" s="402"/>
      <c r="B3608" s="392"/>
      <c r="C3608" s="364" t="e">
        <f>VLOOKUP(B3608,'112年全品項生產鍋數'!A:H,2,0)</f>
        <v>#N/A</v>
      </c>
      <c r="D3608" s="404"/>
      <c r="E3608" s="48" t="e">
        <f>VLOOKUP(B3608,'112年全品項生產鍋數'!A:H,3,0)</f>
        <v>#N/A</v>
      </c>
      <c r="F3608" s="142" t="e">
        <f>VLOOKUP(B3608,'112年全品項生產鍋數'!A:H,7,0)</f>
        <v>#N/A</v>
      </c>
      <c r="G3608" s="143" t="e">
        <f t="shared" si="603"/>
        <v>#N/A</v>
      </c>
      <c r="H3608" s="156"/>
      <c r="I3608" s="371" t="e">
        <f t="shared" si="604"/>
        <v>#N/A</v>
      </c>
      <c r="J3608" s="100" t="e">
        <f t="shared" si="605"/>
        <v>#N/A</v>
      </c>
      <c r="K3608" s="51" t="e">
        <f>VLOOKUP(B:B,'生產達成率(目標)'!A:C,3,0)</f>
        <v>#N/A</v>
      </c>
      <c r="L3608" s="20" t="e">
        <f t="shared" si="606"/>
        <v>#N/A</v>
      </c>
      <c r="M3608" s="137"/>
      <c r="N3608" s="374"/>
      <c r="O3608" s="374">
        <f t="shared" si="607"/>
        <v>0</v>
      </c>
      <c r="P3608" s="156"/>
      <c r="Q3608" s="98" t="e">
        <f t="shared" si="608"/>
        <v>#DIV/0!</v>
      </c>
      <c r="R3608" s="371"/>
      <c r="S3608" s="372"/>
      <c r="T3608" s="364"/>
      <c r="U3608" s="264"/>
      <c r="V3608" s="264"/>
      <c r="W3608" s="424"/>
      <c r="X3608" s="264" t="s">
        <v>1867</v>
      </c>
      <c r="Y3608" s="424"/>
      <c r="Z3608" s="424"/>
      <c r="AA3608" s="424"/>
      <c r="AB3608" s="424"/>
      <c r="AC3608" s="425">
        <f t="shared" si="609"/>
        <v>0</v>
      </c>
      <c r="AD3608" s="425">
        <f t="shared" si="610"/>
        <v>0</v>
      </c>
    </row>
    <row r="3609" spans="1:30" s="361" customFormat="1" x14ac:dyDescent="0.4">
      <c r="A3609" s="402"/>
      <c r="B3609" s="392"/>
      <c r="C3609" s="364" t="e">
        <f>VLOOKUP(B3609,'112年全品項生產鍋數'!A:H,2,0)</f>
        <v>#N/A</v>
      </c>
      <c r="D3609" s="404"/>
      <c r="E3609" s="48" t="e">
        <f>VLOOKUP(B3609,'112年全品項生產鍋數'!A:H,3,0)</f>
        <v>#N/A</v>
      </c>
      <c r="F3609" s="142" t="e">
        <f>VLOOKUP(B3609,'112年全品項生產鍋數'!A:H,7,0)</f>
        <v>#N/A</v>
      </c>
      <c r="G3609" s="143" t="e">
        <f t="shared" si="603"/>
        <v>#N/A</v>
      </c>
      <c r="H3609" s="156"/>
      <c r="I3609" s="371" t="e">
        <f t="shared" si="604"/>
        <v>#N/A</v>
      </c>
      <c r="J3609" s="100" t="e">
        <f t="shared" si="605"/>
        <v>#N/A</v>
      </c>
      <c r="K3609" s="51" t="e">
        <f>VLOOKUP(B:B,'生產達成率(目標)'!A:C,3,0)</f>
        <v>#N/A</v>
      </c>
      <c r="L3609" s="20" t="e">
        <f t="shared" si="606"/>
        <v>#N/A</v>
      </c>
      <c r="M3609" s="137"/>
      <c r="N3609" s="374"/>
      <c r="O3609" s="374">
        <f t="shared" si="607"/>
        <v>0</v>
      </c>
      <c r="P3609" s="156"/>
      <c r="Q3609" s="98" t="e">
        <f t="shared" si="608"/>
        <v>#DIV/0!</v>
      </c>
      <c r="R3609" s="371"/>
      <c r="S3609" s="372"/>
      <c r="T3609" s="364"/>
      <c r="U3609" s="264"/>
      <c r="V3609" s="264"/>
      <c r="W3609" s="424"/>
      <c r="X3609" s="264" t="s">
        <v>1867</v>
      </c>
      <c r="Y3609" s="424"/>
      <c r="Z3609" s="424"/>
      <c r="AA3609" s="424"/>
      <c r="AB3609" s="424"/>
      <c r="AC3609" s="425">
        <f t="shared" si="609"/>
        <v>0</v>
      </c>
      <c r="AD3609" s="425">
        <f t="shared" si="610"/>
        <v>0</v>
      </c>
    </row>
    <row r="3610" spans="1:30" s="361" customFormat="1" x14ac:dyDescent="0.4">
      <c r="A3610" s="402"/>
      <c r="B3610" s="392"/>
      <c r="C3610" s="364" t="e">
        <f>VLOOKUP(B3610,'112年全品項生產鍋數'!A:H,2,0)</f>
        <v>#N/A</v>
      </c>
      <c r="D3610" s="404"/>
      <c r="E3610" s="48" t="e">
        <f>VLOOKUP(B3610,'112年全品項生產鍋數'!A:H,3,0)</f>
        <v>#N/A</v>
      </c>
      <c r="F3610" s="142" t="e">
        <f>VLOOKUP(B3610,'112年全品項生產鍋數'!A:H,7,0)</f>
        <v>#N/A</v>
      </c>
      <c r="G3610" s="143" t="e">
        <f t="shared" si="603"/>
        <v>#N/A</v>
      </c>
      <c r="H3610" s="156"/>
      <c r="I3610" s="371" t="e">
        <f t="shared" si="604"/>
        <v>#N/A</v>
      </c>
      <c r="J3610" s="100" t="e">
        <f t="shared" si="605"/>
        <v>#N/A</v>
      </c>
      <c r="K3610" s="51" t="e">
        <f>VLOOKUP(B:B,'生產達成率(目標)'!A:C,3,0)</f>
        <v>#N/A</v>
      </c>
      <c r="L3610" s="20" t="e">
        <f t="shared" si="606"/>
        <v>#N/A</v>
      </c>
      <c r="M3610" s="137"/>
      <c r="N3610" s="374"/>
      <c r="O3610" s="374">
        <f t="shared" si="607"/>
        <v>0</v>
      </c>
      <c r="P3610" s="156"/>
      <c r="Q3610" s="98" t="e">
        <f t="shared" si="608"/>
        <v>#DIV/0!</v>
      </c>
      <c r="R3610" s="371"/>
      <c r="S3610" s="372"/>
      <c r="T3610" s="364"/>
      <c r="U3610" s="264"/>
      <c r="V3610" s="264"/>
      <c r="W3610" s="424"/>
      <c r="X3610" s="264" t="s">
        <v>1867</v>
      </c>
      <c r="Y3610" s="424"/>
      <c r="Z3610" s="424"/>
      <c r="AA3610" s="424"/>
      <c r="AB3610" s="424"/>
      <c r="AC3610" s="425">
        <f t="shared" si="609"/>
        <v>0</v>
      </c>
      <c r="AD3610" s="425">
        <f t="shared" si="610"/>
        <v>0</v>
      </c>
    </row>
    <row r="3611" spans="1:30" s="361" customFormat="1" x14ac:dyDescent="0.4">
      <c r="A3611" s="402"/>
      <c r="B3611" s="392"/>
      <c r="C3611" s="364" t="e">
        <f>VLOOKUP(B3611,'112年全品項生產鍋數'!A:H,2,0)</f>
        <v>#N/A</v>
      </c>
      <c r="D3611" s="404"/>
      <c r="E3611" s="48" t="e">
        <f>VLOOKUP(B3611,'112年全品項生產鍋數'!A:H,3,0)</f>
        <v>#N/A</v>
      </c>
      <c r="F3611" s="142" t="e">
        <f>VLOOKUP(B3611,'112年全品項生產鍋數'!A:H,7,0)</f>
        <v>#N/A</v>
      </c>
      <c r="G3611" s="143" t="e">
        <f t="shared" si="603"/>
        <v>#N/A</v>
      </c>
      <c r="H3611" s="156"/>
      <c r="I3611" s="371" t="e">
        <f t="shared" si="604"/>
        <v>#N/A</v>
      </c>
      <c r="J3611" s="100" t="e">
        <f t="shared" si="605"/>
        <v>#N/A</v>
      </c>
      <c r="K3611" s="51" t="e">
        <f>VLOOKUP(B:B,'生產達成率(目標)'!A:C,3,0)</f>
        <v>#N/A</v>
      </c>
      <c r="L3611" s="20" t="e">
        <f t="shared" si="606"/>
        <v>#N/A</v>
      </c>
      <c r="M3611" s="137"/>
      <c r="N3611" s="374"/>
      <c r="O3611" s="374">
        <f t="shared" si="607"/>
        <v>0</v>
      </c>
      <c r="P3611" s="156"/>
      <c r="Q3611" s="98" t="e">
        <f t="shared" si="608"/>
        <v>#DIV/0!</v>
      </c>
      <c r="R3611" s="371"/>
      <c r="S3611" s="372"/>
      <c r="T3611" s="364"/>
      <c r="U3611" s="264"/>
      <c r="V3611" s="264"/>
      <c r="W3611" s="424"/>
      <c r="X3611" s="264" t="s">
        <v>1867</v>
      </c>
      <c r="Y3611" s="424"/>
      <c r="Z3611" s="424"/>
      <c r="AA3611" s="424"/>
      <c r="AB3611" s="424"/>
      <c r="AC3611" s="425">
        <f t="shared" si="609"/>
        <v>0</v>
      </c>
      <c r="AD3611" s="425">
        <f t="shared" si="610"/>
        <v>0</v>
      </c>
    </row>
    <row r="3612" spans="1:30" s="361" customFormat="1" x14ac:dyDescent="0.4">
      <c r="A3612" s="402"/>
      <c r="B3612" s="392"/>
      <c r="C3612" s="364" t="e">
        <f>VLOOKUP(B3612,'112年全品項生產鍋數'!A:H,2,0)</f>
        <v>#N/A</v>
      </c>
      <c r="D3612" s="404"/>
      <c r="E3612" s="48" t="e">
        <f>VLOOKUP(B3612,'112年全品項生產鍋數'!A:H,3,0)</f>
        <v>#N/A</v>
      </c>
      <c r="F3612" s="142" t="e">
        <f>VLOOKUP(B3612,'112年全品項生產鍋數'!A:H,7,0)</f>
        <v>#N/A</v>
      </c>
      <c r="G3612" s="143" t="e">
        <f t="shared" si="603"/>
        <v>#N/A</v>
      </c>
      <c r="H3612" s="156"/>
      <c r="I3612" s="371" t="e">
        <f t="shared" si="604"/>
        <v>#N/A</v>
      </c>
      <c r="J3612" s="100" t="e">
        <f t="shared" si="605"/>
        <v>#N/A</v>
      </c>
      <c r="K3612" s="51" t="e">
        <f>VLOOKUP(B:B,'生產達成率(目標)'!A:C,3,0)</f>
        <v>#N/A</v>
      </c>
      <c r="L3612" s="20" t="e">
        <f t="shared" si="606"/>
        <v>#N/A</v>
      </c>
      <c r="M3612" s="137"/>
      <c r="N3612" s="374"/>
      <c r="O3612" s="374">
        <f t="shared" si="607"/>
        <v>0</v>
      </c>
      <c r="P3612" s="156"/>
      <c r="Q3612" s="98" t="e">
        <f t="shared" si="608"/>
        <v>#DIV/0!</v>
      </c>
      <c r="R3612" s="371"/>
      <c r="S3612" s="372"/>
      <c r="T3612" s="364"/>
      <c r="U3612" s="264"/>
      <c r="V3612" s="264"/>
      <c r="W3612" s="424"/>
      <c r="X3612" s="264" t="s">
        <v>1867</v>
      </c>
      <c r="Y3612" s="424"/>
      <c r="Z3612" s="424"/>
      <c r="AA3612" s="424"/>
      <c r="AB3612" s="424"/>
      <c r="AC3612" s="425">
        <f t="shared" si="609"/>
        <v>0</v>
      </c>
      <c r="AD3612" s="425">
        <f t="shared" si="610"/>
        <v>0</v>
      </c>
    </row>
    <row r="3613" spans="1:30" s="361" customFormat="1" x14ac:dyDescent="0.4">
      <c r="A3613" s="402"/>
      <c r="B3613" s="392"/>
      <c r="C3613" s="364" t="e">
        <f>VLOOKUP(B3613,'112年全品項生產鍋數'!A:H,2,0)</f>
        <v>#N/A</v>
      </c>
      <c r="D3613" s="404"/>
      <c r="E3613" s="48" t="e">
        <f>VLOOKUP(B3613,'112年全品項生產鍋數'!A:H,3,0)</f>
        <v>#N/A</v>
      </c>
      <c r="F3613" s="142" t="e">
        <f>VLOOKUP(B3613,'112年全品項生產鍋數'!A:H,7,0)</f>
        <v>#N/A</v>
      </c>
      <c r="G3613" s="143" t="e">
        <f t="shared" si="603"/>
        <v>#N/A</v>
      </c>
      <c r="H3613" s="156"/>
      <c r="I3613" s="371" t="e">
        <f t="shared" si="604"/>
        <v>#N/A</v>
      </c>
      <c r="J3613" s="100" t="e">
        <f t="shared" si="605"/>
        <v>#N/A</v>
      </c>
      <c r="K3613" s="51" t="e">
        <f>VLOOKUP(B:B,'生產達成率(目標)'!A:C,3,0)</f>
        <v>#N/A</v>
      </c>
      <c r="L3613" s="20" t="e">
        <f t="shared" si="606"/>
        <v>#N/A</v>
      </c>
      <c r="M3613" s="137"/>
      <c r="N3613" s="374"/>
      <c r="O3613" s="374">
        <f t="shared" si="607"/>
        <v>0</v>
      </c>
      <c r="P3613" s="156"/>
      <c r="Q3613" s="98" t="e">
        <f t="shared" si="608"/>
        <v>#DIV/0!</v>
      </c>
      <c r="R3613" s="371"/>
      <c r="S3613" s="372"/>
      <c r="T3613" s="364"/>
      <c r="U3613" s="264"/>
      <c r="V3613" s="264"/>
      <c r="W3613" s="424"/>
      <c r="X3613" s="264" t="s">
        <v>1867</v>
      </c>
      <c r="Y3613" s="424"/>
      <c r="Z3613" s="424"/>
      <c r="AA3613" s="424"/>
      <c r="AB3613" s="424"/>
      <c r="AC3613" s="425">
        <f t="shared" si="609"/>
        <v>0</v>
      </c>
      <c r="AD3613" s="425">
        <f t="shared" si="610"/>
        <v>0</v>
      </c>
    </row>
    <row r="3614" spans="1:30" s="361" customFormat="1" x14ac:dyDescent="0.4">
      <c r="A3614" s="402"/>
      <c r="B3614" s="392"/>
      <c r="C3614" s="364" t="e">
        <f>VLOOKUP(B3614,'112年全品項生產鍋數'!A:H,2,0)</f>
        <v>#N/A</v>
      </c>
      <c r="D3614" s="404"/>
      <c r="E3614" s="48" t="e">
        <f>VLOOKUP(B3614,'112年全品項生產鍋數'!A:H,3,0)</f>
        <v>#N/A</v>
      </c>
      <c r="F3614" s="142" t="e">
        <f>VLOOKUP(B3614,'112年全品項生產鍋數'!A:H,7,0)</f>
        <v>#N/A</v>
      </c>
      <c r="G3614" s="143" t="e">
        <f t="shared" si="603"/>
        <v>#N/A</v>
      </c>
      <c r="H3614" s="156"/>
      <c r="I3614" s="371" t="e">
        <f t="shared" si="604"/>
        <v>#N/A</v>
      </c>
      <c r="J3614" s="100" t="e">
        <f t="shared" si="605"/>
        <v>#N/A</v>
      </c>
      <c r="K3614" s="51" t="e">
        <f>VLOOKUP(B:B,'生產達成率(目標)'!A:C,3,0)</f>
        <v>#N/A</v>
      </c>
      <c r="L3614" s="20" t="e">
        <f t="shared" si="606"/>
        <v>#N/A</v>
      </c>
      <c r="M3614" s="137"/>
      <c r="N3614" s="374"/>
      <c r="O3614" s="374">
        <f t="shared" si="607"/>
        <v>0</v>
      </c>
      <c r="P3614" s="156"/>
      <c r="Q3614" s="98" t="e">
        <f t="shared" si="608"/>
        <v>#DIV/0!</v>
      </c>
      <c r="R3614" s="371"/>
      <c r="S3614" s="372"/>
      <c r="T3614" s="364"/>
      <c r="U3614" s="264"/>
      <c r="V3614" s="264"/>
      <c r="W3614" s="424"/>
      <c r="X3614" s="264" t="s">
        <v>1867</v>
      </c>
      <c r="Y3614" s="424"/>
      <c r="Z3614" s="424"/>
      <c r="AA3614" s="424"/>
      <c r="AB3614" s="424"/>
      <c r="AC3614" s="425">
        <f t="shared" si="609"/>
        <v>0</v>
      </c>
      <c r="AD3614" s="425">
        <f t="shared" si="610"/>
        <v>0</v>
      </c>
    </row>
    <row r="3615" spans="1:30" s="361" customFormat="1" x14ac:dyDescent="0.4">
      <c r="A3615" s="402"/>
      <c r="B3615" s="392"/>
      <c r="C3615" s="364" t="e">
        <f>VLOOKUP(B3615,'112年全品項生產鍋數'!A:H,2,0)</f>
        <v>#N/A</v>
      </c>
      <c r="D3615" s="404"/>
      <c r="E3615" s="48" t="e">
        <f>VLOOKUP(B3615,'112年全品項生產鍋數'!A:H,3,0)</f>
        <v>#N/A</v>
      </c>
      <c r="F3615" s="142" t="e">
        <f>VLOOKUP(B3615,'112年全品項生產鍋數'!A:H,7,0)</f>
        <v>#N/A</v>
      </c>
      <c r="G3615" s="143" t="e">
        <f t="shared" si="603"/>
        <v>#N/A</v>
      </c>
      <c r="H3615" s="156"/>
      <c r="I3615" s="371" t="e">
        <f t="shared" si="604"/>
        <v>#N/A</v>
      </c>
      <c r="J3615" s="100" t="e">
        <f t="shared" si="605"/>
        <v>#N/A</v>
      </c>
      <c r="K3615" s="51" t="e">
        <f>VLOOKUP(B:B,'生產達成率(目標)'!A:C,3,0)</f>
        <v>#N/A</v>
      </c>
      <c r="L3615" s="20" t="e">
        <f t="shared" si="606"/>
        <v>#N/A</v>
      </c>
      <c r="M3615" s="137"/>
      <c r="N3615" s="374"/>
      <c r="O3615" s="374">
        <f t="shared" si="607"/>
        <v>0</v>
      </c>
      <c r="P3615" s="156"/>
      <c r="Q3615" s="98" t="e">
        <f t="shared" si="608"/>
        <v>#DIV/0!</v>
      </c>
      <c r="R3615" s="371"/>
      <c r="S3615" s="372"/>
      <c r="T3615" s="364"/>
      <c r="U3615" s="264"/>
      <c r="V3615" s="264"/>
      <c r="W3615" s="424"/>
      <c r="X3615" s="264" t="s">
        <v>1867</v>
      </c>
      <c r="Y3615" s="424"/>
      <c r="Z3615" s="424"/>
      <c r="AA3615" s="424"/>
      <c r="AB3615" s="424"/>
      <c r="AC3615" s="425">
        <f t="shared" si="609"/>
        <v>0</v>
      </c>
      <c r="AD3615" s="425">
        <f t="shared" si="610"/>
        <v>0</v>
      </c>
    </row>
    <row r="3616" spans="1:30" s="361" customFormat="1" x14ac:dyDescent="0.4">
      <c r="A3616" s="402"/>
      <c r="B3616" s="392"/>
      <c r="C3616" s="364" t="e">
        <f>VLOOKUP(B3616,'112年全品項生產鍋數'!A:H,2,0)</f>
        <v>#N/A</v>
      </c>
      <c r="D3616" s="404"/>
      <c r="E3616" s="48" t="e">
        <f>VLOOKUP(B3616,'112年全品項生產鍋數'!A:H,3,0)</f>
        <v>#N/A</v>
      </c>
      <c r="F3616" s="142" t="e">
        <f>VLOOKUP(B3616,'112年全品項生產鍋數'!A:H,7,0)</f>
        <v>#N/A</v>
      </c>
      <c r="G3616" s="143" t="e">
        <f t="shared" si="603"/>
        <v>#N/A</v>
      </c>
      <c r="H3616" s="156"/>
      <c r="I3616" s="371" t="e">
        <f t="shared" si="604"/>
        <v>#N/A</v>
      </c>
      <c r="J3616" s="100" t="e">
        <f t="shared" si="605"/>
        <v>#N/A</v>
      </c>
      <c r="K3616" s="51" t="e">
        <f>VLOOKUP(B:B,'生產達成率(目標)'!A:C,3,0)</f>
        <v>#N/A</v>
      </c>
      <c r="L3616" s="20" t="e">
        <f t="shared" si="606"/>
        <v>#N/A</v>
      </c>
      <c r="M3616" s="137"/>
      <c r="N3616" s="374"/>
      <c r="O3616" s="374">
        <f t="shared" si="607"/>
        <v>0</v>
      </c>
      <c r="P3616" s="156"/>
      <c r="Q3616" s="98" t="e">
        <f t="shared" si="608"/>
        <v>#DIV/0!</v>
      </c>
      <c r="R3616" s="371"/>
      <c r="S3616" s="372"/>
      <c r="T3616" s="364"/>
      <c r="U3616" s="264"/>
      <c r="V3616" s="264"/>
      <c r="W3616" s="424"/>
      <c r="X3616" s="264" t="s">
        <v>1867</v>
      </c>
      <c r="Y3616" s="424"/>
      <c r="Z3616" s="424"/>
      <c r="AA3616" s="424"/>
      <c r="AB3616" s="424"/>
      <c r="AC3616" s="425">
        <f t="shared" si="609"/>
        <v>0</v>
      </c>
      <c r="AD3616" s="425">
        <f t="shared" si="610"/>
        <v>0</v>
      </c>
    </row>
    <row r="3617" spans="1:30" s="361" customFormat="1" x14ac:dyDescent="0.4">
      <c r="A3617" s="402"/>
      <c r="B3617" s="392"/>
      <c r="C3617" s="364" t="e">
        <f>VLOOKUP(B3617,'112年全品項生產鍋數'!A:H,2,0)</f>
        <v>#N/A</v>
      </c>
      <c r="D3617" s="404"/>
      <c r="E3617" s="48" t="e">
        <f>VLOOKUP(B3617,'112年全品項生產鍋數'!A:H,3,0)</f>
        <v>#N/A</v>
      </c>
      <c r="F3617" s="142" t="e">
        <f>VLOOKUP(B3617,'112年全品項生產鍋數'!A:H,7,0)</f>
        <v>#N/A</v>
      </c>
      <c r="G3617" s="143" t="e">
        <f t="shared" si="603"/>
        <v>#N/A</v>
      </c>
      <c r="H3617" s="156"/>
      <c r="I3617" s="371" t="e">
        <f t="shared" si="604"/>
        <v>#N/A</v>
      </c>
      <c r="J3617" s="100" t="e">
        <f t="shared" si="605"/>
        <v>#N/A</v>
      </c>
      <c r="K3617" s="51" t="e">
        <f>VLOOKUP(B:B,'生產達成率(目標)'!A:C,3,0)</f>
        <v>#N/A</v>
      </c>
      <c r="L3617" s="20" t="e">
        <f t="shared" si="606"/>
        <v>#N/A</v>
      </c>
      <c r="M3617" s="137"/>
      <c r="N3617" s="374"/>
      <c r="O3617" s="374">
        <f t="shared" si="607"/>
        <v>0</v>
      </c>
      <c r="P3617" s="156"/>
      <c r="Q3617" s="98" t="e">
        <f t="shared" si="608"/>
        <v>#DIV/0!</v>
      </c>
      <c r="R3617" s="371"/>
      <c r="S3617" s="372"/>
      <c r="T3617" s="364"/>
      <c r="U3617" s="264"/>
      <c r="V3617" s="264"/>
      <c r="W3617" s="424"/>
      <c r="X3617" s="264" t="s">
        <v>1867</v>
      </c>
      <c r="Y3617" s="424"/>
      <c r="Z3617" s="424"/>
      <c r="AA3617" s="424"/>
      <c r="AB3617" s="424"/>
      <c r="AC3617" s="425">
        <f t="shared" si="609"/>
        <v>0</v>
      </c>
      <c r="AD3617" s="425">
        <f t="shared" si="610"/>
        <v>0</v>
      </c>
    </row>
    <row r="3618" spans="1:30" s="361" customFormat="1" x14ac:dyDescent="0.4">
      <c r="A3618" s="402"/>
      <c r="B3618" s="392"/>
      <c r="C3618" s="364" t="e">
        <f>VLOOKUP(B3618,'112年全品項生產鍋數'!A:H,2,0)</f>
        <v>#N/A</v>
      </c>
      <c r="D3618" s="404"/>
      <c r="E3618" s="48" t="e">
        <f>VLOOKUP(B3618,'112年全品項生產鍋數'!A:H,3,0)</f>
        <v>#N/A</v>
      </c>
      <c r="F3618" s="142" t="e">
        <f>VLOOKUP(B3618,'112年全品項生產鍋數'!A:H,7,0)</f>
        <v>#N/A</v>
      </c>
      <c r="G3618" s="143" t="e">
        <f t="shared" si="603"/>
        <v>#N/A</v>
      </c>
      <c r="H3618" s="156"/>
      <c r="I3618" s="371" t="e">
        <f t="shared" si="604"/>
        <v>#N/A</v>
      </c>
      <c r="J3618" s="100" t="e">
        <f t="shared" si="605"/>
        <v>#N/A</v>
      </c>
      <c r="K3618" s="51" t="e">
        <f>VLOOKUP(B:B,'生產達成率(目標)'!A:C,3,0)</f>
        <v>#N/A</v>
      </c>
      <c r="L3618" s="20" t="e">
        <f t="shared" si="606"/>
        <v>#N/A</v>
      </c>
      <c r="M3618" s="137"/>
      <c r="N3618" s="374"/>
      <c r="O3618" s="374">
        <f t="shared" si="607"/>
        <v>0</v>
      </c>
      <c r="P3618" s="156"/>
      <c r="Q3618" s="98" t="e">
        <f t="shared" si="608"/>
        <v>#DIV/0!</v>
      </c>
      <c r="R3618" s="371"/>
      <c r="S3618" s="372"/>
      <c r="T3618" s="364"/>
      <c r="U3618" s="264"/>
      <c r="V3618" s="264"/>
      <c r="W3618" s="424"/>
      <c r="X3618" s="264" t="s">
        <v>1867</v>
      </c>
      <c r="Y3618" s="424"/>
      <c r="Z3618" s="424"/>
      <c r="AA3618" s="424"/>
      <c r="AB3618" s="424"/>
      <c r="AC3618" s="425">
        <f t="shared" si="609"/>
        <v>0</v>
      </c>
      <c r="AD3618" s="425">
        <f t="shared" si="610"/>
        <v>0</v>
      </c>
    </row>
    <row r="3619" spans="1:30" s="361" customFormat="1" x14ac:dyDescent="0.4">
      <c r="A3619" s="402"/>
      <c r="B3619" s="392"/>
      <c r="C3619" s="364" t="e">
        <f>VLOOKUP(B3619,'112年全品項生產鍋數'!A:H,2,0)</f>
        <v>#N/A</v>
      </c>
      <c r="D3619" s="404"/>
      <c r="E3619" s="48" t="e">
        <f>VLOOKUP(B3619,'112年全品項生產鍋數'!A:H,3,0)</f>
        <v>#N/A</v>
      </c>
      <c r="F3619" s="142" t="e">
        <f>VLOOKUP(B3619,'112年全品項生產鍋數'!A:H,7,0)</f>
        <v>#N/A</v>
      </c>
      <c r="G3619" s="143" t="e">
        <f t="shared" si="603"/>
        <v>#N/A</v>
      </c>
      <c r="H3619" s="156"/>
      <c r="I3619" s="371" t="e">
        <f t="shared" si="604"/>
        <v>#N/A</v>
      </c>
      <c r="J3619" s="100" t="e">
        <f t="shared" si="605"/>
        <v>#N/A</v>
      </c>
      <c r="K3619" s="51" t="e">
        <f>VLOOKUP(B:B,'生產達成率(目標)'!A:C,3,0)</f>
        <v>#N/A</v>
      </c>
      <c r="L3619" s="20" t="e">
        <f t="shared" si="606"/>
        <v>#N/A</v>
      </c>
      <c r="M3619" s="137"/>
      <c r="N3619" s="374"/>
      <c r="O3619" s="374">
        <f t="shared" si="607"/>
        <v>0</v>
      </c>
      <c r="P3619" s="156"/>
      <c r="Q3619" s="98" t="e">
        <f t="shared" si="608"/>
        <v>#DIV/0!</v>
      </c>
      <c r="R3619" s="371"/>
      <c r="S3619" s="372"/>
      <c r="T3619" s="364"/>
      <c r="U3619" s="264"/>
      <c r="V3619" s="264"/>
      <c r="W3619" s="424"/>
      <c r="X3619" s="264" t="s">
        <v>1867</v>
      </c>
      <c r="Y3619" s="424"/>
      <c r="Z3619" s="424"/>
      <c r="AA3619" s="424"/>
      <c r="AB3619" s="424"/>
      <c r="AC3619" s="425">
        <f t="shared" si="609"/>
        <v>0</v>
      </c>
      <c r="AD3619" s="425">
        <f t="shared" si="610"/>
        <v>0</v>
      </c>
    </row>
    <row r="3620" spans="1:30" s="361" customFormat="1" x14ac:dyDescent="0.4">
      <c r="A3620" s="402"/>
      <c r="B3620" s="392"/>
      <c r="C3620" s="364" t="e">
        <f>VLOOKUP(B3620,'112年全品項生產鍋數'!A:H,2,0)</f>
        <v>#N/A</v>
      </c>
      <c r="D3620" s="404"/>
      <c r="E3620" s="48" t="e">
        <f>VLOOKUP(B3620,'112年全品項生產鍋數'!A:H,3,0)</f>
        <v>#N/A</v>
      </c>
      <c r="F3620" s="142" t="e">
        <f>VLOOKUP(B3620,'112年全品項生產鍋數'!A:H,7,0)</f>
        <v>#N/A</v>
      </c>
      <c r="G3620" s="143" t="e">
        <f t="shared" si="603"/>
        <v>#N/A</v>
      </c>
      <c r="H3620" s="156"/>
      <c r="I3620" s="371" t="e">
        <f t="shared" si="604"/>
        <v>#N/A</v>
      </c>
      <c r="J3620" s="100" t="e">
        <f t="shared" si="605"/>
        <v>#N/A</v>
      </c>
      <c r="K3620" s="51" t="e">
        <f>VLOOKUP(B:B,'生產達成率(目標)'!A:C,3,0)</f>
        <v>#N/A</v>
      </c>
      <c r="L3620" s="20" t="e">
        <f t="shared" si="606"/>
        <v>#N/A</v>
      </c>
      <c r="M3620" s="137"/>
      <c r="N3620" s="374"/>
      <c r="O3620" s="374">
        <f t="shared" si="607"/>
        <v>0</v>
      </c>
      <c r="P3620" s="156"/>
      <c r="Q3620" s="98" t="e">
        <f t="shared" si="608"/>
        <v>#DIV/0!</v>
      </c>
      <c r="R3620" s="371"/>
      <c r="S3620" s="372"/>
      <c r="T3620" s="364"/>
      <c r="U3620" s="264"/>
      <c r="V3620" s="264"/>
      <c r="W3620" s="424"/>
      <c r="X3620" s="264" t="s">
        <v>1867</v>
      </c>
      <c r="Y3620" s="424"/>
      <c r="Z3620" s="424"/>
      <c r="AA3620" s="424"/>
      <c r="AB3620" s="424"/>
      <c r="AC3620" s="425">
        <f t="shared" si="609"/>
        <v>0</v>
      </c>
      <c r="AD3620" s="425">
        <f t="shared" si="610"/>
        <v>0</v>
      </c>
    </row>
    <row r="3621" spans="1:30" s="361" customFormat="1" x14ac:dyDescent="0.4">
      <c r="A3621" s="402"/>
      <c r="B3621" s="392"/>
      <c r="C3621" s="364" t="e">
        <f>VLOOKUP(B3621,'112年全品項生產鍋數'!A:H,2,0)</f>
        <v>#N/A</v>
      </c>
      <c r="D3621" s="404"/>
      <c r="E3621" s="48" t="e">
        <f>VLOOKUP(B3621,'112年全品項生產鍋數'!A:H,3,0)</f>
        <v>#N/A</v>
      </c>
      <c r="F3621" s="142" t="e">
        <f>VLOOKUP(B3621,'112年全品項生產鍋數'!A:H,7,0)</f>
        <v>#N/A</v>
      </c>
      <c r="G3621" s="143" t="e">
        <f t="shared" si="603"/>
        <v>#N/A</v>
      </c>
      <c r="H3621" s="156"/>
      <c r="I3621" s="371" t="e">
        <f t="shared" si="604"/>
        <v>#N/A</v>
      </c>
      <c r="J3621" s="100" t="e">
        <f t="shared" si="605"/>
        <v>#N/A</v>
      </c>
      <c r="K3621" s="51" t="e">
        <f>VLOOKUP(B:B,'生產達成率(目標)'!A:C,3,0)</f>
        <v>#N/A</v>
      </c>
      <c r="L3621" s="20" t="e">
        <f t="shared" si="606"/>
        <v>#N/A</v>
      </c>
      <c r="M3621" s="137"/>
      <c r="N3621" s="374"/>
      <c r="O3621" s="374">
        <f t="shared" si="607"/>
        <v>0</v>
      </c>
      <c r="P3621" s="156"/>
      <c r="Q3621" s="98" t="e">
        <f t="shared" si="608"/>
        <v>#DIV/0!</v>
      </c>
      <c r="R3621" s="371"/>
      <c r="S3621" s="372"/>
      <c r="T3621" s="364"/>
      <c r="U3621" s="264"/>
      <c r="V3621" s="264"/>
      <c r="W3621" s="424"/>
      <c r="X3621" s="264" t="s">
        <v>1867</v>
      </c>
      <c r="Y3621" s="424"/>
      <c r="Z3621" s="424"/>
      <c r="AA3621" s="424"/>
      <c r="AB3621" s="424"/>
      <c r="AC3621" s="425">
        <f t="shared" si="609"/>
        <v>0</v>
      </c>
      <c r="AD3621" s="425">
        <f t="shared" si="610"/>
        <v>0</v>
      </c>
    </row>
    <row r="3622" spans="1:30" s="361" customFormat="1" x14ac:dyDescent="0.4">
      <c r="A3622" s="402"/>
      <c r="B3622" s="392"/>
      <c r="C3622" s="364" t="e">
        <f>VLOOKUP(B3622,'112年全品項生產鍋數'!A:H,2,0)</f>
        <v>#N/A</v>
      </c>
      <c r="D3622" s="404"/>
      <c r="E3622" s="48" t="e">
        <f>VLOOKUP(B3622,'112年全品項生產鍋數'!A:H,3,0)</f>
        <v>#N/A</v>
      </c>
      <c r="F3622" s="142" t="e">
        <f>VLOOKUP(B3622,'112年全品項生產鍋數'!A:H,7,0)</f>
        <v>#N/A</v>
      </c>
      <c r="G3622" s="143" t="e">
        <f t="shared" si="603"/>
        <v>#N/A</v>
      </c>
      <c r="H3622" s="156"/>
      <c r="I3622" s="371" t="e">
        <f t="shared" si="604"/>
        <v>#N/A</v>
      </c>
      <c r="J3622" s="100" t="e">
        <f t="shared" si="605"/>
        <v>#N/A</v>
      </c>
      <c r="K3622" s="51" t="e">
        <f>VLOOKUP(B:B,'生產達成率(目標)'!A:C,3,0)</f>
        <v>#N/A</v>
      </c>
      <c r="L3622" s="20" t="e">
        <f t="shared" si="606"/>
        <v>#N/A</v>
      </c>
      <c r="M3622" s="137"/>
      <c r="N3622" s="374"/>
      <c r="O3622" s="374">
        <f t="shared" si="607"/>
        <v>0</v>
      </c>
      <c r="P3622" s="156"/>
      <c r="Q3622" s="98" t="e">
        <f t="shared" si="608"/>
        <v>#DIV/0!</v>
      </c>
      <c r="R3622" s="371"/>
      <c r="S3622" s="372"/>
      <c r="T3622" s="364"/>
      <c r="U3622" s="264"/>
      <c r="V3622" s="264"/>
      <c r="W3622" s="424"/>
      <c r="X3622" s="264" t="s">
        <v>1867</v>
      </c>
      <c r="Y3622" s="424"/>
      <c r="Z3622" s="424"/>
      <c r="AA3622" s="424"/>
      <c r="AB3622" s="424"/>
      <c r="AC3622" s="425">
        <f t="shared" si="609"/>
        <v>0</v>
      </c>
      <c r="AD3622" s="425">
        <f t="shared" si="610"/>
        <v>0</v>
      </c>
    </row>
    <row r="3623" spans="1:30" s="361" customFormat="1" x14ac:dyDescent="0.4">
      <c r="A3623" s="402"/>
      <c r="B3623" s="392"/>
      <c r="C3623" s="364" t="e">
        <f>VLOOKUP(B3623,'112年全品項生產鍋數'!A:H,2,0)</f>
        <v>#N/A</v>
      </c>
      <c r="D3623" s="404"/>
      <c r="E3623" s="48" t="e">
        <f>VLOOKUP(B3623,'112年全品項生產鍋數'!A:H,3,0)</f>
        <v>#N/A</v>
      </c>
      <c r="F3623" s="142" t="e">
        <f>VLOOKUP(B3623,'112年全品項生產鍋數'!A:H,7,0)</f>
        <v>#N/A</v>
      </c>
      <c r="G3623" s="143" t="e">
        <f t="shared" si="603"/>
        <v>#N/A</v>
      </c>
      <c r="H3623" s="156"/>
      <c r="I3623" s="371" t="e">
        <f t="shared" si="604"/>
        <v>#N/A</v>
      </c>
      <c r="J3623" s="100" t="e">
        <f t="shared" si="605"/>
        <v>#N/A</v>
      </c>
      <c r="K3623" s="51" t="e">
        <f>VLOOKUP(B:B,'生產達成率(目標)'!A:C,3,0)</f>
        <v>#N/A</v>
      </c>
      <c r="L3623" s="20" t="e">
        <f t="shared" si="606"/>
        <v>#N/A</v>
      </c>
      <c r="M3623" s="137"/>
      <c r="N3623" s="374"/>
      <c r="O3623" s="374">
        <f t="shared" si="607"/>
        <v>0</v>
      </c>
      <c r="P3623" s="156"/>
      <c r="Q3623" s="98" t="e">
        <f t="shared" si="608"/>
        <v>#DIV/0!</v>
      </c>
      <c r="R3623" s="371"/>
      <c r="S3623" s="372"/>
      <c r="T3623" s="364"/>
      <c r="U3623" s="264"/>
      <c r="V3623" s="264"/>
      <c r="W3623" s="424"/>
      <c r="X3623" s="264" t="s">
        <v>1867</v>
      </c>
      <c r="Y3623" s="424"/>
      <c r="Z3623" s="424"/>
      <c r="AA3623" s="424"/>
      <c r="AB3623" s="424"/>
      <c r="AC3623" s="425">
        <f t="shared" si="609"/>
        <v>0</v>
      </c>
      <c r="AD3623" s="425">
        <f t="shared" si="610"/>
        <v>0</v>
      </c>
    </row>
    <row r="3624" spans="1:30" s="361" customFormat="1" x14ac:dyDescent="0.4">
      <c r="A3624" s="402"/>
      <c r="B3624" s="392"/>
      <c r="C3624" s="364" t="e">
        <f>VLOOKUP(B3624,'112年全品項生產鍋數'!A:H,2,0)</f>
        <v>#N/A</v>
      </c>
      <c r="D3624" s="404"/>
      <c r="E3624" s="48" t="e">
        <f>VLOOKUP(B3624,'112年全品項生產鍋數'!A:H,3,0)</f>
        <v>#N/A</v>
      </c>
      <c r="F3624" s="142" t="e">
        <f>VLOOKUP(B3624,'112年全品項生產鍋數'!A:H,7,0)</f>
        <v>#N/A</v>
      </c>
      <c r="G3624" s="143" t="e">
        <f t="shared" si="603"/>
        <v>#N/A</v>
      </c>
      <c r="H3624" s="156"/>
      <c r="I3624" s="371" t="e">
        <f t="shared" si="604"/>
        <v>#N/A</v>
      </c>
      <c r="J3624" s="100" t="e">
        <f t="shared" si="605"/>
        <v>#N/A</v>
      </c>
      <c r="K3624" s="51" t="e">
        <f>VLOOKUP(B:B,'生產達成率(目標)'!A:C,3,0)</f>
        <v>#N/A</v>
      </c>
      <c r="L3624" s="20" t="e">
        <f t="shared" si="606"/>
        <v>#N/A</v>
      </c>
      <c r="M3624" s="137"/>
      <c r="N3624" s="374"/>
      <c r="O3624" s="374">
        <f t="shared" si="607"/>
        <v>0</v>
      </c>
      <c r="P3624" s="156"/>
      <c r="Q3624" s="98" t="e">
        <f t="shared" si="608"/>
        <v>#DIV/0!</v>
      </c>
      <c r="R3624" s="371"/>
      <c r="S3624" s="372"/>
      <c r="T3624" s="364"/>
      <c r="U3624" s="264"/>
      <c r="V3624" s="264"/>
      <c r="W3624" s="424"/>
      <c r="X3624" s="264" t="s">
        <v>1867</v>
      </c>
      <c r="Y3624" s="424"/>
      <c r="Z3624" s="424"/>
      <c r="AA3624" s="424"/>
      <c r="AB3624" s="424"/>
      <c r="AC3624" s="425">
        <f t="shared" si="609"/>
        <v>0</v>
      </c>
      <c r="AD3624" s="425">
        <f t="shared" si="610"/>
        <v>0</v>
      </c>
    </row>
    <row r="3625" spans="1:30" s="361" customFormat="1" x14ac:dyDescent="0.4">
      <c r="A3625" s="402"/>
      <c r="B3625" s="392"/>
      <c r="C3625" s="364" t="e">
        <f>VLOOKUP(B3625,'112年全品項生產鍋數'!A:H,2,0)</f>
        <v>#N/A</v>
      </c>
      <c r="D3625" s="404"/>
      <c r="E3625" s="48" t="e">
        <f>VLOOKUP(B3625,'112年全品項生產鍋數'!A:H,3,0)</f>
        <v>#N/A</v>
      </c>
      <c r="F3625" s="142" t="e">
        <f>VLOOKUP(B3625,'112年全品項生產鍋數'!A:H,7,0)</f>
        <v>#N/A</v>
      </c>
      <c r="G3625" s="143" t="e">
        <f t="shared" si="603"/>
        <v>#N/A</v>
      </c>
      <c r="H3625" s="156"/>
      <c r="I3625" s="371" t="e">
        <f t="shared" si="604"/>
        <v>#N/A</v>
      </c>
      <c r="J3625" s="100" t="e">
        <f t="shared" si="605"/>
        <v>#N/A</v>
      </c>
      <c r="K3625" s="51" t="e">
        <f>VLOOKUP(B:B,'生產達成率(目標)'!A:C,3,0)</f>
        <v>#N/A</v>
      </c>
      <c r="L3625" s="20" t="e">
        <f t="shared" si="606"/>
        <v>#N/A</v>
      </c>
      <c r="M3625" s="137"/>
      <c r="N3625" s="374"/>
      <c r="O3625" s="374">
        <f t="shared" si="607"/>
        <v>0</v>
      </c>
      <c r="P3625" s="156"/>
      <c r="Q3625" s="98" t="e">
        <f t="shared" si="608"/>
        <v>#DIV/0!</v>
      </c>
      <c r="R3625" s="371"/>
      <c r="S3625" s="372"/>
      <c r="T3625" s="364"/>
      <c r="U3625" s="264"/>
      <c r="V3625" s="264"/>
      <c r="W3625" s="424"/>
      <c r="X3625" s="264" t="s">
        <v>1867</v>
      </c>
      <c r="Y3625" s="424"/>
      <c r="Z3625" s="424"/>
      <c r="AA3625" s="424"/>
      <c r="AB3625" s="424"/>
      <c r="AC3625" s="425">
        <f t="shared" si="609"/>
        <v>0</v>
      </c>
      <c r="AD3625" s="425">
        <f t="shared" si="610"/>
        <v>0</v>
      </c>
    </row>
    <row r="3626" spans="1:30" s="361" customFormat="1" x14ac:dyDescent="0.4">
      <c r="A3626" s="402"/>
      <c r="B3626" s="392"/>
      <c r="C3626" s="364" t="e">
        <f>VLOOKUP(B3626,'112年全品項生產鍋數'!A:H,2,0)</f>
        <v>#N/A</v>
      </c>
      <c r="D3626" s="404"/>
      <c r="E3626" s="48" t="e">
        <f>VLOOKUP(B3626,'112年全品項生產鍋數'!A:H,3,0)</f>
        <v>#N/A</v>
      </c>
      <c r="F3626" s="142" t="e">
        <f>VLOOKUP(B3626,'112年全品項生產鍋數'!A:H,7,0)</f>
        <v>#N/A</v>
      </c>
      <c r="G3626" s="143" t="e">
        <f t="shared" si="603"/>
        <v>#N/A</v>
      </c>
      <c r="H3626" s="156"/>
      <c r="I3626" s="371" t="e">
        <f t="shared" si="604"/>
        <v>#N/A</v>
      </c>
      <c r="J3626" s="100" t="e">
        <f t="shared" si="605"/>
        <v>#N/A</v>
      </c>
      <c r="K3626" s="51" t="e">
        <f>VLOOKUP(B:B,'生產達成率(目標)'!A:C,3,0)</f>
        <v>#N/A</v>
      </c>
      <c r="L3626" s="20" t="e">
        <f t="shared" si="606"/>
        <v>#N/A</v>
      </c>
      <c r="M3626" s="137"/>
      <c r="N3626" s="374"/>
      <c r="O3626" s="374">
        <f t="shared" si="607"/>
        <v>0</v>
      </c>
      <c r="P3626" s="156"/>
      <c r="Q3626" s="98" t="e">
        <f t="shared" si="608"/>
        <v>#DIV/0!</v>
      </c>
      <c r="R3626" s="371"/>
      <c r="S3626" s="372"/>
      <c r="T3626" s="364"/>
      <c r="U3626" s="264"/>
      <c r="V3626" s="264"/>
      <c r="W3626" s="424"/>
      <c r="X3626" s="264" t="s">
        <v>1867</v>
      </c>
      <c r="Y3626" s="424"/>
      <c r="Z3626" s="424"/>
      <c r="AA3626" s="424"/>
      <c r="AB3626" s="424"/>
      <c r="AC3626" s="425">
        <f t="shared" si="609"/>
        <v>0</v>
      </c>
      <c r="AD3626" s="425">
        <f t="shared" si="610"/>
        <v>0</v>
      </c>
    </row>
    <row r="3627" spans="1:30" s="361" customFormat="1" x14ac:dyDescent="0.4">
      <c r="A3627" s="402"/>
      <c r="B3627" s="392"/>
      <c r="C3627" s="364" t="e">
        <f>VLOOKUP(B3627,'112年全品項生產鍋數'!A:H,2,0)</f>
        <v>#N/A</v>
      </c>
      <c r="D3627" s="404"/>
      <c r="E3627" s="48" t="e">
        <f>VLOOKUP(B3627,'112年全品項生產鍋數'!A:H,3,0)</f>
        <v>#N/A</v>
      </c>
      <c r="F3627" s="142" t="e">
        <f>VLOOKUP(B3627,'112年全品項生產鍋數'!A:H,7,0)</f>
        <v>#N/A</v>
      </c>
      <c r="G3627" s="143" t="e">
        <f t="shared" si="603"/>
        <v>#N/A</v>
      </c>
      <c r="H3627" s="156"/>
      <c r="I3627" s="371" t="e">
        <f t="shared" si="604"/>
        <v>#N/A</v>
      </c>
      <c r="J3627" s="100" t="e">
        <f t="shared" si="605"/>
        <v>#N/A</v>
      </c>
      <c r="K3627" s="51" t="e">
        <f>VLOOKUP(B:B,'生產達成率(目標)'!A:C,3,0)</f>
        <v>#N/A</v>
      </c>
      <c r="L3627" s="20" t="e">
        <f t="shared" si="606"/>
        <v>#N/A</v>
      </c>
      <c r="M3627" s="137"/>
      <c r="N3627" s="374"/>
      <c r="O3627" s="374">
        <f t="shared" si="607"/>
        <v>0</v>
      </c>
      <c r="P3627" s="156"/>
      <c r="Q3627" s="98" t="e">
        <f t="shared" si="608"/>
        <v>#DIV/0!</v>
      </c>
      <c r="R3627" s="371"/>
      <c r="S3627" s="372"/>
      <c r="T3627" s="364"/>
      <c r="U3627" s="264"/>
      <c r="V3627" s="264"/>
      <c r="W3627" s="424"/>
      <c r="X3627" s="264" t="s">
        <v>1867</v>
      </c>
      <c r="Y3627" s="424"/>
      <c r="Z3627" s="424"/>
      <c r="AA3627" s="424"/>
      <c r="AB3627" s="424"/>
      <c r="AC3627" s="425">
        <f t="shared" si="609"/>
        <v>0</v>
      </c>
      <c r="AD3627" s="425">
        <f t="shared" si="610"/>
        <v>0</v>
      </c>
    </row>
    <row r="3628" spans="1:30" s="361" customFormat="1" x14ac:dyDescent="0.4">
      <c r="A3628" s="402"/>
      <c r="B3628" s="392"/>
      <c r="C3628" s="364" t="e">
        <f>VLOOKUP(B3628,'112年全品項生產鍋數'!A:H,2,0)</f>
        <v>#N/A</v>
      </c>
      <c r="D3628" s="404"/>
      <c r="E3628" s="48" t="e">
        <f>VLOOKUP(B3628,'112年全品項生產鍋數'!A:H,3,0)</f>
        <v>#N/A</v>
      </c>
      <c r="F3628" s="142" t="e">
        <f>VLOOKUP(B3628,'112年全品項生產鍋數'!A:H,7,0)</f>
        <v>#N/A</v>
      </c>
      <c r="G3628" s="143" t="e">
        <f t="shared" si="603"/>
        <v>#N/A</v>
      </c>
      <c r="H3628" s="156"/>
      <c r="I3628" s="371" t="e">
        <f t="shared" si="604"/>
        <v>#N/A</v>
      </c>
      <c r="J3628" s="100" t="e">
        <f t="shared" si="605"/>
        <v>#N/A</v>
      </c>
      <c r="K3628" s="51" t="e">
        <f>VLOOKUP(B:B,'生產達成率(目標)'!A:C,3,0)</f>
        <v>#N/A</v>
      </c>
      <c r="L3628" s="20" t="e">
        <f t="shared" si="606"/>
        <v>#N/A</v>
      </c>
      <c r="M3628" s="137"/>
      <c r="N3628" s="374"/>
      <c r="O3628" s="374">
        <f t="shared" si="607"/>
        <v>0</v>
      </c>
      <c r="P3628" s="156"/>
      <c r="Q3628" s="98" t="e">
        <f t="shared" si="608"/>
        <v>#DIV/0!</v>
      </c>
      <c r="R3628" s="371"/>
      <c r="S3628" s="372"/>
      <c r="T3628" s="364"/>
      <c r="U3628" s="264"/>
      <c r="V3628" s="264"/>
      <c r="W3628" s="424"/>
      <c r="X3628" s="264" t="s">
        <v>1867</v>
      </c>
      <c r="Y3628" s="424"/>
      <c r="Z3628" s="424"/>
      <c r="AA3628" s="424"/>
      <c r="AB3628" s="424"/>
      <c r="AC3628" s="425">
        <f t="shared" si="609"/>
        <v>0</v>
      </c>
      <c r="AD3628" s="425">
        <f t="shared" si="610"/>
        <v>0</v>
      </c>
    </row>
    <row r="3629" spans="1:30" s="361" customFormat="1" x14ac:dyDescent="0.4">
      <c r="A3629" s="402"/>
      <c r="B3629" s="392"/>
      <c r="C3629" s="364" t="e">
        <f>VLOOKUP(B3629,'112年全品項生產鍋數'!A:H,2,0)</f>
        <v>#N/A</v>
      </c>
      <c r="D3629" s="404"/>
      <c r="E3629" s="48" t="e">
        <f>VLOOKUP(B3629,'112年全品項生產鍋數'!A:H,3,0)</f>
        <v>#N/A</v>
      </c>
      <c r="F3629" s="142" t="e">
        <f>VLOOKUP(B3629,'112年全品項生產鍋數'!A:H,7,0)</f>
        <v>#N/A</v>
      </c>
      <c r="G3629" s="143" t="e">
        <f t="shared" si="603"/>
        <v>#N/A</v>
      </c>
      <c r="H3629" s="156"/>
      <c r="I3629" s="371" t="e">
        <f t="shared" si="604"/>
        <v>#N/A</v>
      </c>
      <c r="J3629" s="100" t="e">
        <f t="shared" si="605"/>
        <v>#N/A</v>
      </c>
      <c r="K3629" s="51" t="e">
        <f>VLOOKUP(B:B,'生產達成率(目標)'!A:C,3,0)</f>
        <v>#N/A</v>
      </c>
      <c r="L3629" s="20" t="e">
        <f t="shared" si="606"/>
        <v>#N/A</v>
      </c>
      <c r="M3629" s="137"/>
      <c r="N3629" s="374"/>
      <c r="O3629" s="374">
        <f t="shared" si="607"/>
        <v>0</v>
      </c>
      <c r="P3629" s="156"/>
      <c r="Q3629" s="98" t="e">
        <f t="shared" si="608"/>
        <v>#DIV/0!</v>
      </c>
      <c r="R3629" s="371"/>
      <c r="S3629" s="372"/>
      <c r="T3629" s="364"/>
      <c r="U3629" s="264"/>
      <c r="V3629" s="264"/>
      <c r="W3629" s="424"/>
      <c r="X3629" s="264" t="s">
        <v>1867</v>
      </c>
      <c r="Y3629" s="424"/>
      <c r="Z3629" s="424"/>
      <c r="AA3629" s="424"/>
      <c r="AB3629" s="424"/>
      <c r="AC3629" s="425">
        <f t="shared" si="609"/>
        <v>0</v>
      </c>
      <c r="AD3629" s="425">
        <f t="shared" si="610"/>
        <v>0</v>
      </c>
    </row>
    <row r="3630" spans="1:30" s="361" customFormat="1" x14ac:dyDescent="0.4">
      <c r="A3630" s="402"/>
      <c r="B3630" s="392"/>
      <c r="C3630" s="364" t="e">
        <f>VLOOKUP(B3630,'112年全品項生產鍋數'!A:H,2,0)</f>
        <v>#N/A</v>
      </c>
      <c r="D3630" s="404"/>
      <c r="E3630" s="48" t="e">
        <f>VLOOKUP(B3630,'112年全品項生產鍋數'!A:H,3,0)</f>
        <v>#N/A</v>
      </c>
      <c r="F3630" s="142" t="e">
        <f>VLOOKUP(B3630,'112年全品項生產鍋數'!A:H,7,0)</f>
        <v>#N/A</v>
      </c>
      <c r="G3630" s="143" t="e">
        <f t="shared" si="603"/>
        <v>#N/A</v>
      </c>
      <c r="H3630" s="156"/>
      <c r="I3630" s="371" t="e">
        <f t="shared" si="604"/>
        <v>#N/A</v>
      </c>
      <c r="J3630" s="100" t="e">
        <f t="shared" si="605"/>
        <v>#N/A</v>
      </c>
      <c r="K3630" s="51" t="e">
        <f>VLOOKUP(B:B,'生產達成率(目標)'!A:C,3,0)</f>
        <v>#N/A</v>
      </c>
      <c r="L3630" s="20" t="e">
        <f t="shared" si="606"/>
        <v>#N/A</v>
      </c>
      <c r="M3630" s="137"/>
      <c r="N3630" s="374"/>
      <c r="O3630" s="374">
        <f t="shared" si="607"/>
        <v>0</v>
      </c>
      <c r="P3630" s="156"/>
      <c r="Q3630" s="98" t="e">
        <f t="shared" si="608"/>
        <v>#DIV/0!</v>
      </c>
      <c r="R3630" s="371"/>
      <c r="S3630" s="372"/>
      <c r="T3630" s="364"/>
      <c r="U3630" s="264"/>
      <c r="V3630" s="264"/>
      <c r="W3630" s="424"/>
      <c r="X3630" s="264" t="s">
        <v>1867</v>
      </c>
      <c r="Y3630" s="424"/>
      <c r="Z3630" s="424"/>
      <c r="AA3630" s="424"/>
      <c r="AB3630" s="424"/>
      <c r="AC3630" s="425">
        <f t="shared" si="609"/>
        <v>0</v>
      </c>
      <c r="AD3630" s="425">
        <f t="shared" si="610"/>
        <v>0</v>
      </c>
    </row>
    <row r="3631" spans="1:30" s="361" customFormat="1" x14ac:dyDescent="0.4">
      <c r="A3631" s="402"/>
      <c r="B3631" s="392"/>
      <c r="C3631" s="364" t="e">
        <f>VLOOKUP(B3631,'112年全品項生產鍋數'!A:H,2,0)</f>
        <v>#N/A</v>
      </c>
      <c r="D3631" s="404"/>
      <c r="E3631" s="48" t="e">
        <f>VLOOKUP(B3631,'112年全品項生產鍋數'!A:H,3,0)</f>
        <v>#N/A</v>
      </c>
      <c r="F3631" s="142" t="e">
        <f>VLOOKUP(B3631,'112年全品項生產鍋數'!A:H,7,0)</f>
        <v>#N/A</v>
      </c>
      <c r="G3631" s="143" t="e">
        <f t="shared" si="603"/>
        <v>#N/A</v>
      </c>
      <c r="H3631" s="156"/>
      <c r="I3631" s="371" t="e">
        <f t="shared" si="604"/>
        <v>#N/A</v>
      </c>
      <c r="J3631" s="100" t="e">
        <f t="shared" si="605"/>
        <v>#N/A</v>
      </c>
      <c r="K3631" s="51" t="e">
        <f>VLOOKUP(B:B,'生產達成率(目標)'!A:C,3,0)</f>
        <v>#N/A</v>
      </c>
      <c r="L3631" s="20" t="e">
        <f t="shared" si="606"/>
        <v>#N/A</v>
      </c>
      <c r="M3631" s="137"/>
      <c r="N3631" s="374"/>
      <c r="O3631" s="374">
        <f t="shared" si="607"/>
        <v>0</v>
      </c>
      <c r="P3631" s="156"/>
      <c r="Q3631" s="98" t="e">
        <f t="shared" si="608"/>
        <v>#DIV/0!</v>
      </c>
      <c r="R3631" s="371"/>
      <c r="S3631" s="372"/>
      <c r="T3631" s="364"/>
      <c r="U3631" s="264"/>
      <c r="V3631" s="264"/>
      <c r="W3631" s="424"/>
      <c r="X3631" s="264" t="s">
        <v>1867</v>
      </c>
      <c r="Y3631" s="424"/>
      <c r="Z3631" s="424"/>
      <c r="AA3631" s="424"/>
      <c r="AB3631" s="424"/>
      <c r="AC3631" s="425">
        <f t="shared" si="609"/>
        <v>0</v>
      </c>
      <c r="AD3631" s="425">
        <f t="shared" si="610"/>
        <v>0</v>
      </c>
    </row>
    <row r="3632" spans="1:30" s="361" customFormat="1" x14ac:dyDescent="0.4">
      <c r="A3632" s="402"/>
      <c r="B3632" s="392"/>
      <c r="C3632" s="364" t="e">
        <f>VLOOKUP(B3632,'112年全品項生產鍋數'!A:H,2,0)</f>
        <v>#N/A</v>
      </c>
      <c r="D3632" s="404"/>
      <c r="E3632" s="48" t="e">
        <f>VLOOKUP(B3632,'112年全品項生產鍋數'!A:H,3,0)</f>
        <v>#N/A</v>
      </c>
      <c r="F3632" s="142" t="e">
        <f>VLOOKUP(B3632,'112年全品項生產鍋數'!A:H,7,0)</f>
        <v>#N/A</v>
      </c>
      <c r="G3632" s="143" t="e">
        <f t="shared" si="603"/>
        <v>#N/A</v>
      </c>
      <c r="H3632" s="156"/>
      <c r="I3632" s="371" t="e">
        <f t="shared" si="604"/>
        <v>#N/A</v>
      </c>
      <c r="J3632" s="100" t="e">
        <f t="shared" si="605"/>
        <v>#N/A</v>
      </c>
      <c r="K3632" s="51" t="e">
        <f>VLOOKUP(B:B,'生產達成率(目標)'!A:C,3,0)</f>
        <v>#N/A</v>
      </c>
      <c r="L3632" s="20" t="e">
        <f t="shared" si="606"/>
        <v>#N/A</v>
      </c>
      <c r="M3632" s="137"/>
      <c r="N3632" s="374"/>
      <c r="O3632" s="374">
        <f t="shared" si="607"/>
        <v>0</v>
      </c>
      <c r="P3632" s="156"/>
      <c r="Q3632" s="98" t="e">
        <f t="shared" si="608"/>
        <v>#DIV/0!</v>
      </c>
      <c r="R3632" s="371"/>
      <c r="S3632" s="372"/>
      <c r="T3632" s="364"/>
      <c r="U3632" s="264"/>
      <c r="V3632" s="264"/>
      <c r="W3632" s="424"/>
      <c r="X3632" s="264" t="s">
        <v>1867</v>
      </c>
      <c r="Y3632" s="424"/>
      <c r="Z3632" s="424"/>
      <c r="AA3632" s="424"/>
      <c r="AB3632" s="424"/>
      <c r="AC3632" s="425">
        <f t="shared" si="609"/>
        <v>0</v>
      </c>
      <c r="AD3632" s="425">
        <f t="shared" si="610"/>
        <v>0</v>
      </c>
    </row>
    <row r="3633" spans="1:30" s="361" customFormat="1" x14ac:dyDescent="0.4">
      <c r="A3633" s="402"/>
      <c r="B3633" s="392"/>
      <c r="C3633" s="364" t="e">
        <f>VLOOKUP(B3633,'112年全品項生產鍋數'!A:H,2,0)</f>
        <v>#N/A</v>
      </c>
      <c r="D3633" s="404"/>
      <c r="E3633" s="48" t="e">
        <f>VLOOKUP(B3633,'112年全品項生產鍋數'!A:H,3,0)</f>
        <v>#N/A</v>
      </c>
      <c r="F3633" s="142" t="e">
        <f>VLOOKUP(B3633,'112年全品項生產鍋數'!A:H,7,0)</f>
        <v>#N/A</v>
      </c>
      <c r="G3633" s="143" t="e">
        <f t="shared" si="603"/>
        <v>#N/A</v>
      </c>
      <c r="H3633" s="156"/>
      <c r="I3633" s="371" t="e">
        <f t="shared" si="604"/>
        <v>#N/A</v>
      </c>
      <c r="J3633" s="100" t="e">
        <f t="shared" si="605"/>
        <v>#N/A</v>
      </c>
      <c r="K3633" s="51" t="e">
        <f>VLOOKUP(B:B,'生產達成率(目標)'!A:C,3,0)</f>
        <v>#N/A</v>
      </c>
      <c r="L3633" s="20" t="e">
        <f t="shared" si="606"/>
        <v>#N/A</v>
      </c>
      <c r="M3633" s="137"/>
      <c r="N3633" s="374"/>
      <c r="O3633" s="374">
        <f t="shared" si="607"/>
        <v>0</v>
      </c>
      <c r="P3633" s="156"/>
      <c r="Q3633" s="98" t="e">
        <f t="shared" si="608"/>
        <v>#DIV/0!</v>
      </c>
      <c r="R3633" s="371"/>
      <c r="S3633" s="372"/>
      <c r="T3633" s="364"/>
      <c r="U3633" s="264"/>
      <c r="V3633" s="264"/>
      <c r="W3633" s="424"/>
      <c r="X3633" s="264" t="s">
        <v>1867</v>
      </c>
      <c r="Y3633" s="424"/>
      <c r="Z3633" s="424"/>
      <c r="AA3633" s="424"/>
      <c r="AB3633" s="424"/>
      <c r="AC3633" s="425">
        <f t="shared" si="609"/>
        <v>0</v>
      </c>
      <c r="AD3633" s="425">
        <f t="shared" si="610"/>
        <v>0</v>
      </c>
    </row>
    <row r="3634" spans="1:30" s="361" customFormat="1" x14ac:dyDescent="0.4">
      <c r="A3634" s="402"/>
      <c r="B3634" s="392"/>
      <c r="C3634" s="364" t="e">
        <f>VLOOKUP(B3634,'112年全品項生產鍋數'!A:H,2,0)</f>
        <v>#N/A</v>
      </c>
      <c r="D3634" s="404"/>
      <c r="E3634" s="48" t="e">
        <f>VLOOKUP(B3634,'112年全品項生產鍋數'!A:H,3,0)</f>
        <v>#N/A</v>
      </c>
      <c r="F3634" s="142" t="e">
        <f>VLOOKUP(B3634,'112年全品項生產鍋數'!A:H,7,0)</f>
        <v>#N/A</v>
      </c>
      <c r="G3634" s="143" t="e">
        <f t="shared" si="603"/>
        <v>#N/A</v>
      </c>
      <c r="H3634" s="156"/>
      <c r="I3634" s="371" t="e">
        <f t="shared" si="604"/>
        <v>#N/A</v>
      </c>
      <c r="J3634" s="100" t="e">
        <f t="shared" si="605"/>
        <v>#N/A</v>
      </c>
      <c r="K3634" s="51" t="e">
        <f>VLOOKUP(B:B,'生產達成率(目標)'!A:C,3,0)</f>
        <v>#N/A</v>
      </c>
      <c r="L3634" s="20" t="e">
        <f t="shared" si="606"/>
        <v>#N/A</v>
      </c>
      <c r="M3634" s="137"/>
      <c r="N3634" s="374"/>
      <c r="O3634" s="374">
        <f t="shared" si="607"/>
        <v>0</v>
      </c>
      <c r="P3634" s="156"/>
      <c r="Q3634" s="98" t="e">
        <f t="shared" si="608"/>
        <v>#DIV/0!</v>
      </c>
      <c r="R3634" s="371"/>
      <c r="S3634" s="372"/>
      <c r="T3634" s="364"/>
      <c r="U3634" s="264"/>
      <c r="V3634" s="264"/>
      <c r="W3634" s="424"/>
      <c r="X3634" s="264" t="s">
        <v>1867</v>
      </c>
      <c r="Y3634" s="424"/>
      <c r="Z3634" s="424"/>
      <c r="AA3634" s="424"/>
      <c r="AB3634" s="424"/>
      <c r="AC3634" s="425">
        <f t="shared" si="609"/>
        <v>0</v>
      </c>
      <c r="AD3634" s="425">
        <f t="shared" si="610"/>
        <v>0</v>
      </c>
    </row>
    <row r="3635" spans="1:30" s="361" customFormat="1" x14ac:dyDescent="0.4">
      <c r="A3635" s="402"/>
      <c r="B3635" s="392"/>
      <c r="C3635" s="364" t="e">
        <f>VLOOKUP(B3635,'112年全品項生產鍋數'!A:H,2,0)</f>
        <v>#N/A</v>
      </c>
      <c r="D3635" s="404"/>
      <c r="E3635" s="48" t="e">
        <f>VLOOKUP(B3635,'112年全品項生產鍋數'!A:H,3,0)</f>
        <v>#N/A</v>
      </c>
      <c r="F3635" s="142" t="e">
        <f>VLOOKUP(B3635,'112年全品項生產鍋數'!A:H,7,0)</f>
        <v>#N/A</v>
      </c>
      <c r="G3635" s="143" t="e">
        <f t="shared" si="603"/>
        <v>#N/A</v>
      </c>
      <c r="H3635" s="156"/>
      <c r="I3635" s="371" t="e">
        <f t="shared" si="604"/>
        <v>#N/A</v>
      </c>
      <c r="J3635" s="100" t="e">
        <f t="shared" si="605"/>
        <v>#N/A</v>
      </c>
      <c r="K3635" s="51" t="e">
        <f>VLOOKUP(B:B,'生產達成率(目標)'!A:C,3,0)</f>
        <v>#N/A</v>
      </c>
      <c r="L3635" s="20" t="e">
        <f t="shared" si="606"/>
        <v>#N/A</v>
      </c>
      <c r="M3635" s="137"/>
      <c r="N3635" s="374"/>
      <c r="O3635" s="374">
        <f t="shared" si="607"/>
        <v>0</v>
      </c>
      <c r="P3635" s="156"/>
      <c r="Q3635" s="98" t="e">
        <f t="shared" si="608"/>
        <v>#DIV/0!</v>
      </c>
      <c r="R3635" s="371"/>
      <c r="S3635" s="372"/>
      <c r="T3635" s="364"/>
      <c r="U3635" s="264"/>
      <c r="V3635" s="264"/>
      <c r="W3635" s="424"/>
      <c r="X3635" s="264" t="s">
        <v>1867</v>
      </c>
      <c r="Y3635" s="424"/>
      <c r="Z3635" s="424"/>
      <c r="AA3635" s="424"/>
      <c r="AB3635" s="424"/>
      <c r="AC3635" s="425">
        <f t="shared" si="609"/>
        <v>0</v>
      </c>
      <c r="AD3635" s="425">
        <f t="shared" si="610"/>
        <v>0</v>
      </c>
    </row>
    <row r="3636" spans="1:30" s="361" customFormat="1" x14ac:dyDescent="0.4">
      <c r="A3636" s="402"/>
      <c r="B3636" s="392"/>
      <c r="C3636" s="364" t="e">
        <f>VLOOKUP(B3636,'112年全品項生產鍋數'!A:H,2,0)</f>
        <v>#N/A</v>
      </c>
      <c r="D3636" s="404"/>
      <c r="E3636" s="48" t="e">
        <f>VLOOKUP(B3636,'112年全品項生產鍋數'!A:H,3,0)</f>
        <v>#N/A</v>
      </c>
      <c r="F3636" s="142" t="e">
        <f>VLOOKUP(B3636,'112年全品項生產鍋數'!A:H,7,0)</f>
        <v>#N/A</v>
      </c>
      <c r="G3636" s="143" t="e">
        <f t="shared" si="603"/>
        <v>#N/A</v>
      </c>
      <c r="H3636" s="156"/>
      <c r="I3636" s="371" t="e">
        <f t="shared" si="604"/>
        <v>#N/A</v>
      </c>
      <c r="J3636" s="100" t="e">
        <f t="shared" si="605"/>
        <v>#N/A</v>
      </c>
      <c r="K3636" s="51" t="e">
        <f>VLOOKUP(B:B,'生產達成率(目標)'!A:C,3,0)</f>
        <v>#N/A</v>
      </c>
      <c r="L3636" s="20" t="e">
        <f t="shared" si="606"/>
        <v>#N/A</v>
      </c>
      <c r="M3636" s="137"/>
      <c r="N3636" s="374"/>
      <c r="O3636" s="374">
        <f t="shared" si="607"/>
        <v>0</v>
      </c>
      <c r="P3636" s="156"/>
      <c r="Q3636" s="98" t="e">
        <f t="shared" si="608"/>
        <v>#DIV/0!</v>
      </c>
      <c r="R3636" s="371"/>
      <c r="S3636" s="372"/>
      <c r="T3636" s="364"/>
      <c r="U3636" s="264"/>
      <c r="V3636" s="264"/>
      <c r="W3636" s="424"/>
      <c r="X3636" s="264" t="s">
        <v>1867</v>
      </c>
      <c r="Y3636" s="424"/>
      <c r="Z3636" s="424"/>
      <c r="AA3636" s="424"/>
      <c r="AB3636" s="424"/>
      <c r="AC3636" s="425">
        <f t="shared" si="609"/>
        <v>0</v>
      </c>
      <c r="AD3636" s="425">
        <f t="shared" si="610"/>
        <v>0</v>
      </c>
    </row>
    <row r="3637" spans="1:30" s="361" customFormat="1" x14ac:dyDescent="0.4">
      <c r="A3637" s="402"/>
      <c r="B3637" s="392"/>
      <c r="C3637" s="364" t="e">
        <f>VLOOKUP(B3637,'112年全品項生產鍋數'!A:H,2,0)</f>
        <v>#N/A</v>
      </c>
      <c r="D3637" s="404"/>
      <c r="E3637" s="48" t="e">
        <f>VLOOKUP(B3637,'112年全品項生產鍋數'!A:H,3,0)</f>
        <v>#N/A</v>
      </c>
      <c r="F3637" s="142" t="e">
        <f>VLOOKUP(B3637,'112年全品項生產鍋數'!A:H,7,0)</f>
        <v>#N/A</v>
      </c>
      <c r="G3637" s="143" t="e">
        <f t="shared" si="603"/>
        <v>#N/A</v>
      </c>
      <c r="H3637" s="156"/>
      <c r="I3637" s="371" t="e">
        <f t="shared" si="604"/>
        <v>#N/A</v>
      </c>
      <c r="J3637" s="100" t="e">
        <f t="shared" si="605"/>
        <v>#N/A</v>
      </c>
      <c r="K3637" s="51" t="e">
        <f>VLOOKUP(B:B,'生產達成率(目標)'!A:C,3,0)</f>
        <v>#N/A</v>
      </c>
      <c r="L3637" s="20" t="e">
        <f t="shared" si="606"/>
        <v>#N/A</v>
      </c>
      <c r="M3637" s="137"/>
      <c r="N3637" s="374"/>
      <c r="O3637" s="374">
        <f t="shared" si="607"/>
        <v>0</v>
      </c>
      <c r="P3637" s="156"/>
      <c r="Q3637" s="98" t="e">
        <f t="shared" si="608"/>
        <v>#DIV/0!</v>
      </c>
      <c r="R3637" s="371"/>
      <c r="S3637" s="372"/>
      <c r="T3637" s="364"/>
      <c r="U3637" s="264"/>
      <c r="V3637" s="264"/>
      <c r="W3637" s="424"/>
      <c r="X3637" s="264" t="s">
        <v>1867</v>
      </c>
      <c r="Y3637" s="424"/>
      <c r="Z3637" s="424"/>
      <c r="AA3637" s="424"/>
      <c r="AB3637" s="424"/>
      <c r="AC3637" s="425">
        <f t="shared" si="609"/>
        <v>0</v>
      </c>
      <c r="AD3637" s="425">
        <f t="shared" si="610"/>
        <v>0</v>
      </c>
    </row>
    <row r="3638" spans="1:30" s="361" customFormat="1" x14ac:dyDescent="0.4">
      <c r="A3638" s="402"/>
      <c r="B3638" s="392"/>
      <c r="C3638" s="364" t="e">
        <f>VLOOKUP(B3638,'112年全品項生產鍋數'!A:H,2,0)</f>
        <v>#N/A</v>
      </c>
      <c r="D3638" s="404"/>
      <c r="E3638" s="48" t="e">
        <f>VLOOKUP(B3638,'112年全品項生產鍋數'!A:H,3,0)</f>
        <v>#N/A</v>
      </c>
      <c r="F3638" s="142" t="e">
        <f>VLOOKUP(B3638,'112年全品項生產鍋數'!A:H,7,0)</f>
        <v>#N/A</v>
      </c>
      <c r="G3638" s="143" t="e">
        <f t="shared" si="603"/>
        <v>#N/A</v>
      </c>
      <c r="H3638" s="156"/>
      <c r="I3638" s="371" t="e">
        <f t="shared" si="604"/>
        <v>#N/A</v>
      </c>
      <c r="J3638" s="100" t="e">
        <f t="shared" si="605"/>
        <v>#N/A</v>
      </c>
      <c r="K3638" s="51" t="e">
        <f>VLOOKUP(B:B,'生產達成率(目標)'!A:C,3,0)</f>
        <v>#N/A</v>
      </c>
      <c r="L3638" s="20" t="e">
        <f t="shared" si="606"/>
        <v>#N/A</v>
      </c>
      <c r="M3638" s="137"/>
      <c r="N3638" s="374"/>
      <c r="O3638" s="374">
        <f t="shared" si="607"/>
        <v>0</v>
      </c>
      <c r="P3638" s="156"/>
      <c r="Q3638" s="98" t="e">
        <f t="shared" si="608"/>
        <v>#DIV/0!</v>
      </c>
      <c r="R3638" s="371"/>
      <c r="S3638" s="372"/>
      <c r="T3638" s="364"/>
      <c r="U3638" s="264"/>
      <c r="V3638" s="264"/>
      <c r="W3638" s="424"/>
      <c r="X3638" s="264" t="s">
        <v>1867</v>
      </c>
      <c r="Y3638" s="424"/>
      <c r="Z3638" s="424"/>
      <c r="AA3638" s="424"/>
      <c r="AB3638" s="424"/>
      <c r="AC3638" s="425">
        <f t="shared" si="609"/>
        <v>0</v>
      </c>
      <c r="AD3638" s="425">
        <f t="shared" si="610"/>
        <v>0</v>
      </c>
    </row>
    <row r="3639" spans="1:30" s="361" customFormat="1" x14ac:dyDescent="0.4">
      <c r="A3639" s="402"/>
      <c r="B3639" s="392"/>
      <c r="C3639" s="364" t="e">
        <f>VLOOKUP(B3639,'112年全品項生產鍋數'!A:H,2,0)</f>
        <v>#N/A</v>
      </c>
      <c r="D3639" s="404"/>
      <c r="E3639" s="48" t="e">
        <f>VLOOKUP(B3639,'112年全品項生產鍋數'!A:H,3,0)</f>
        <v>#N/A</v>
      </c>
      <c r="F3639" s="142" t="e">
        <f>VLOOKUP(B3639,'112年全品項生產鍋數'!A:H,7,0)</f>
        <v>#N/A</v>
      </c>
      <c r="G3639" s="143" t="e">
        <f t="shared" ref="G3639:G3702" si="611">D3639*F3639</f>
        <v>#N/A</v>
      </c>
      <c r="H3639" s="156"/>
      <c r="I3639" s="371" t="e">
        <f t="shared" ref="I3639:I3702" si="612">H3639*E3639</f>
        <v>#N/A</v>
      </c>
      <c r="J3639" s="100" t="e">
        <f t="shared" ref="J3639:J3702" si="613">IF(G3639=0,"無法預估數據",H3639/G3639)</f>
        <v>#N/A</v>
      </c>
      <c r="K3639" s="51" t="e">
        <f>VLOOKUP(B:B,'生產達成率(目標)'!A:C,3,0)</f>
        <v>#N/A</v>
      </c>
      <c r="L3639" s="20" t="e">
        <f t="shared" ref="L3639:L3702" si="614">IF(G3639=0,"無法預估數據",ROUND(J3639-K3639,3))</f>
        <v>#N/A</v>
      </c>
      <c r="M3639" s="137"/>
      <c r="N3639" s="374"/>
      <c r="O3639" s="374">
        <f t="shared" ref="O3639:O3702" si="615">H3639-N3639-P3639</f>
        <v>0</v>
      </c>
      <c r="P3639" s="156"/>
      <c r="Q3639" s="98" t="e">
        <f t="shared" ref="Q3639:Q3702" si="616">P3639/H3639</f>
        <v>#DIV/0!</v>
      </c>
      <c r="R3639" s="371"/>
      <c r="S3639" s="372"/>
      <c r="T3639" s="364"/>
      <c r="U3639" s="264"/>
      <c r="V3639" s="264"/>
      <c r="W3639" s="424"/>
      <c r="X3639" s="264" t="s">
        <v>1867</v>
      </c>
      <c r="Y3639" s="424"/>
      <c r="Z3639" s="424"/>
      <c r="AA3639" s="424"/>
      <c r="AB3639" s="424"/>
      <c r="AC3639" s="425">
        <f t="shared" si="609"/>
        <v>0</v>
      </c>
      <c r="AD3639" s="425">
        <f t="shared" si="610"/>
        <v>0</v>
      </c>
    </row>
    <row r="3640" spans="1:30" s="361" customFormat="1" x14ac:dyDescent="0.4">
      <c r="A3640" s="402"/>
      <c r="B3640" s="392"/>
      <c r="C3640" s="364" t="e">
        <f>VLOOKUP(B3640,'112年全品項生產鍋數'!A:H,2,0)</f>
        <v>#N/A</v>
      </c>
      <c r="D3640" s="404"/>
      <c r="E3640" s="48" t="e">
        <f>VLOOKUP(B3640,'112年全品項生產鍋數'!A:H,3,0)</f>
        <v>#N/A</v>
      </c>
      <c r="F3640" s="142" t="e">
        <f>VLOOKUP(B3640,'112年全品項生產鍋數'!A:H,7,0)</f>
        <v>#N/A</v>
      </c>
      <c r="G3640" s="143" t="e">
        <f t="shared" si="611"/>
        <v>#N/A</v>
      </c>
      <c r="H3640" s="156"/>
      <c r="I3640" s="371" t="e">
        <f t="shared" si="612"/>
        <v>#N/A</v>
      </c>
      <c r="J3640" s="100" t="e">
        <f t="shared" si="613"/>
        <v>#N/A</v>
      </c>
      <c r="K3640" s="51" t="e">
        <f>VLOOKUP(B:B,'生產達成率(目標)'!A:C,3,0)</f>
        <v>#N/A</v>
      </c>
      <c r="L3640" s="20" t="e">
        <f t="shared" si="614"/>
        <v>#N/A</v>
      </c>
      <c r="M3640" s="137"/>
      <c r="N3640" s="374"/>
      <c r="O3640" s="374">
        <f t="shared" si="615"/>
        <v>0</v>
      </c>
      <c r="P3640" s="156"/>
      <c r="Q3640" s="98" t="e">
        <f t="shared" si="616"/>
        <v>#DIV/0!</v>
      </c>
      <c r="R3640" s="371"/>
      <c r="S3640" s="372"/>
      <c r="T3640" s="364"/>
      <c r="U3640" s="264"/>
      <c r="V3640" s="264"/>
      <c r="W3640" s="424"/>
      <c r="X3640" s="264" t="s">
        <v>1867</v>
      </c>
      <c r="Y3640" s="424"/>
      <c r="Z3640" s="424"/>
      <c r="AA3640" s="424"/>
      <c r="AB3640" s="424"/>
      <c r="AC3640" s="425">
        <f t="shared" si="609"/>
        <v>0</v>
      </c>
      <c r="AD3640" s="425">
        <f t="shared" si="610"/>
        <v>0</v>
      </c>
    </row>
    <row r="3641" spans="1:30" s="361" customFormat="1" x14ac:dyDescent="0.4">
      <c r="A3641" s="402"/>
      <c r="B3641" s="392"/>
      <c r="C3641" s="364" t="e">
        <f>VLOOKUP(B3641,'112年全品項生產鍋數'!A:H,2,0)</f>
        <v>#N/A</v>
      </c>
      <c r="D3641" s="404"/>
      <c r="E3641" s="48" t="e">
        <f>VLOOKUP(B3641,'112年全品項生產鍋數'!A:H,3,0)</f>
        <v>#N/A</v>
      </c>
      <c r="F3641" s="142" t="e">
        <f>VLOOKUP(B3641,'112年全品項生產鍋數'!A:H,7,0)</f>
        <v>#N/A</v>
      </c>
      <c r="G3641" s="143" t="e">
        <f t="shared" si="611"/>
        <v>#N/A</v>
      </c>
      <c r="H3641" s="156"/>
      <c r="I3641" s="371" t="e">
        <f t="shared" si="612"/>
        <v>#N/A</v>
      </c>
      <c r="J3641" s="100" t="e">
        <f t="shared" si="613"/>
        <v>#N/A</v>
      </c>
      <c r="K3641" s="51" t="e">
        <f>VLOOKUP(B:B,'生產達成率(目標)'!A:C,3,0)</f>
        <v>#N/A</v>
      </c>
      <c r="L3641" s="20" t="e">
        <f t="shared" si="614"/>
        <v>#N/A</v>
      </c>
      <c r="M3641" s="137"/>
      <c r="N3641" s="374"/>
      <c r="O3641" s="374">
        <f t="shared" si="615"/>
        <v>0</v>
      </c>
      <c r="P3641" s="156"/>
      <c r="Q3641" s="98" t="e">
        <f t="shared" si="616"/>
        <v>#DIV/0!</v>
      </c>
      <c r="R3641" s="371"/>
      <c r="S3641" s="372"/>
      <c r="T3641" s="364"/>
      <c r="U3641" s="264"/>
      <c r="V3641" s="264"/>
      <c r="W3641" s="424"/>
      <c r="X3641" s="264" t="s">
        <v>1867</v>
      </c>
      <c r="Y3641" s="424"/>
      <c r="Z3641" s="424"/>
      <c r="AA3641" s="424"/>
      <c r="AB3641" s="424"/>
      <c r="AC3641" s="425">
        <f t="shared" si="609"/>
        <v>0</v>
      </c>
      <c r="AD3641" s="425">
        <f t="shared" si="610"/>
        <v>0</v>
      </c>
    </row>
    <row r="3642" spans="1:30" s="361" customFormat="1" x14ac:dyDescent="0.4">
      <c r="A3642" s="402"/>
      <c r="B3642" s="392"/>
      <c r="C3642" s="364" t="e">
        <f>VLOOKUP(B3642,'112年全品項生產鍋數'!A:H,2,0)</f>
        <v>#N/A</v>
      </c>
      <c r="D3642" s="404"/>
      <c r="E3642" s="48" t="e">
        <f>VLOOKUP(B3642,'112年全品項生產鍋數'!A:H,3,0)</f>
        <v>#N/A</v>
      </c>
      <c r="F3642" s="142" t="e">
        <f>VLOOKUP(B3642,'112年全品項生產鍋數'!A:H,7,0)</f>
        <v>#N/A</v>
      </c>
      <c r="G3642" s="143" t="e">
        <f t="shared" si="611"/>
        <v>#N/A</v>
      </c>
      <c r="H3642" s="156"/>
      <c r="I3642" s="371" t="e">
        <f t="shared" si="612"/>
        <v>#N/A</v>
      </c>
      <c r="J3642" s="100" t="e">
        <f t="shared" si="613"/>
        <v>#N/A</v>
      </c>
      <c r="K3642" s="51" t="e">
        <f>VLOOKUP(B:B,'生產達成率(目標)'!A:C,3,0)</f>
        <v>#N/A</v>
      </c>
      <c r="L3642" s="20" t="e">
        <f t="shared" si="614"/>
        <v>#N/A</v>
      </c>
      <c r="M3642" s="137"/>
      <c r="N3642" s="374"/>
      <c r="O3642" s="374">
        <f t="shared" si="615"/>
        <v>0</v>
      </c>
      <c r="P3642" s="156"/>
      <c r="Q3642" s="98" t="e">
        <f t="shared" si="616"/>
        <v>#DIV/0!</v>
      </c>
      <c r="R3642" s="371"/>
      <c r="S3642" s="372"/>
      <c r="T3642" s="364"/>
      <c r="U3642" s="264"/>
      <c r="V3642" s="264"/>
      <c r="W3642" s="424"/>
      <c r="X3642" s="264" t="s">
        <v>1867</v>
      </c>
      <c r="Y3642" s="424"/>
      <c r="Z3642" s="424"/>
      <c r="AA3642" s="424"/>
      <c r="AB3642" s="424"/>
      <c r="AC3642" s="425">
        <f t="shared" si="609"/>
        <v>0</v>
      </c>
      <c r="AD3642" s="425">
        <f t="shared" si="610"/>
        <v>0</v>
      </c>
    </row>
    <row r="3643" spans="1:30" s="361" customFormat="1" x14ac:dyDescent="0.4">
      <c r="A3643" s="402"/>
      <c r="B3643" s="392"/>
      <c r="C3643" s="364" t="e">
        <f>VLOOKUP(B3643,'112年全品項生產鍋數'!A:H,2,0)</f>
        <v>#N/A</v>
      </c>
      <c r="D3643" s="404"/>
      <c r="E3643" s="48" t="e">
        <f>VLOOKUP(B3643,'112年全品項生產鍋數'!A:H,3,0)</f>
        <v>#N/A</v>
      </c>
      <c r="F3643" s="142" t="e">
        <f>VLOOKUP(B3643,'112年全品項生產鍋數'!A:H,7,0)</f>
        <v>#N/A</v>
      </c>
      <c r="G3643" s="143" t="e">
        <f t="shared" si="611"/>
        <v>#N/A</v>
      </c>
      <c r="H3643" s="156"/>
      <c r="I3643" s="371" t="e">
        <f t="shared" si="612"/>
        <v>#N/A</v>
      </c>
      <c r="J3643" s="100" t="e">
        <f t="shared" si="613"/>
        <v>#N/A</v>
      </c>
      <c r="K3643" s="51" t="e">
        <f>VLOOKUP(B:B,'生產達成率(目標)'!A:C,3,0)</f>
        <v>#N/A</v>
      </c>
      <c r="L3643" s="20" t="e">
        <f t="shared" si="614"/>
        <v>#N/A</v>
      </c>
      <c r="M3643" s="137"/>
      <c r="N3643" s="374"/>
      <c r="O3643" s="374">
        <f t="shared" si="615"/>
        <v>0</v>
      </c>
      <c r="P3643" s="156"/>
      <c r="Q3643" s="98" t="e">
        <f t="shared" si="616"/>
        <v>#DIV/0!</v>
      </c>
      <c r="R3643" s="371"/>
      <c r="S3643" s="372"/>
      <c r="T3643" s="364"/>
      <c r="U3643" s="264"/>
      <c r="V3643" s="264"/>
      <c r="W3643" s="424"/>
      <c r="X3643" s="264" t="s">
        <v>1867</v>
      </c>
      <c r="Y3643" s="424"/>
      <c r="Z3643" s="424"/>
      <c r="AA3643" s="424"/>
      <c r="AB3643" s="424"/>
      <c r="AC3643" s="425">
        <f t="shared" si="609"/>
        <v>0</v>
      </c>
      <c r="AD3643" s="425">
        <f t="shared" si="610"/>
        <v>0</v>
      </c>
    </row>
    <row r="3644" spans="1:30" s="361" customFormat="1" x14ac:dyDescent="0.4">
      <c r="A3644" s="402"/>
      <c r="B3644" s="392"/>
      <c r="C3644" s="364" t="e">
        <f>VLOOKUP(B3644,'112年全品項生產鍋數'!A:H,2,0)</f>
        <v>#N/A</v>
      </c>
      <c r="D3644" s="404"/>
      <c r="E3644" s="48" t="e">
        <f>VLOOKUP(B3644,'112年全品項生產鍋數'!A:H,3,0)</f>
        <v>#N/A</v>
      </c>
      <c r="F3644" s="142" t="e">
        <f>VLOOKUP(B3644,'112年全品項生產鍋數'!A:H,7,0)</f>
        <v>#N/A</v>
      </c>
      <c r="G3644" s="143" t="e">
        <f t="shared" si="611"/>
        <v>#N/A</v>
      </c>
      <c r="H3644" s="156"/>
      <c r="I3644" s="371" t="e">
        <f t="shared" si="612"/>
        <v>#N/A</v>
      </c>
      <c r="J3644" s="100" t="e">
        <f t="shared" si="613"/>
        <v>#N/A</v>
      </c>
      <c r="K3644" s="51" t="e">
        <f>VLOOKUP(B:B,'生產達成率(目標)'!A:C,3,0)</f>
        <v>#N/A</v>
      </c>
      <c r="L3644" s="20" t="e">
        <f t="shared" si="614"/>
        <v>#N/A</v>
      </c>
      <c r="M3644" s="137"/>
      <c r="N3644" s="374"/>
      <c r="O3644" s="374">
        <f t="shared" si="615"/>
        <v>0</v>
      </c>
      <c r="P3644" s="156"/>
      <c r="Q3644" s="98" t="e">
        <f t="shared" si="616"/>
        <v>#DIV/0!</v>
      </c>
      <c r="R3644" s="371"/>
      <c r="S3644" s="372"/>
      <c r="T3644" s="364"/>
      <c r="U3644" s="264"/>
      <c r="V3644" s="264"/>
      <c r="W3644" s="424"/>
      <c r="X3644" s="264" t="s">
        <v>1867</v>
      </c>
      <c r="Y3644" s="424"/>
      <c r="Z3644" s="424"/>
      <c r="AA3644" s="424"/>
      <c r="AB3644" s="424"/>
      <c r="AC3644" s="425">
        <f t="shared" si="609"/>
        <v>0</v>
      </c>
      <c r="AD3644" s="425">
        <f t="shared" si="610"/>
        <v>0</v>
      </c>
    </row>
    <row r="3645" spans="1:30" s="361" customFormat="1" x14ac:dyDescent="0.4">
      <c r="A3645" s="402"/>
      <c r="B3645" s="392"/>
      <c r="C3645" s="364" t="e">
        <f>VLOOKUP(B3645,'112年全品項生產鍋數'!A:H,2,0)</f>
        <v>#N/A</v>
      </c>
      <c r="D3645" s="404"/>
      <c r="E3645" s="48" t="e">
        <f>VLOOKUP(B3645,'112年全品項生產鍋數'!A:H,3,0)</f>
        <v>#N/A</v>
      </c>
      <c r="F3645" s="142" t="e">
        <f>VLOOKUP(B3645,'112年全品項生產鍋數'!A:H,7,0)</f>
        <v>#N/A</v>
      </c>
      <c r="G3645" s="143" t="e">
        <f t="shared" si="611"/>
        <v>#N/A</v>
      </c>
      <c r="H3645" s="156"/>
      <c r="I3645" s="371" t="e">
        <f t="shared" si="612"/>
        <v>#N/A</v>
      </c>
      <c r="J3645" s="100" t="e">
        <f t="shared" si="613"/>
        <v>#N/A</v>
      </c>
      <c r="K3645" s="51" t="e">
        <f>VLOOKUP(B:B,'生產達成率(目標)'!A:C,3,0)</f>
        <v>#N/A</v>
      </c>
      <c r="L3645" s="20" t="e">
        <f t="shared" si="614"/>
        <v>#N/A</v>
      </c>
      <c r="M3645" s="137"/>
      <c r="N3645" s="374"/>
      <c r="O3645" s="374">
        <f t="shared" si="615"/>
        <v>0</v>
      </c>
      <c r="P3645" s="156"/>
      <c r="Q3645" s="98" t="e">
        <f t="shared" si="616"/>
        <v>#DIV/0!</v>
      </c>
      <c r="R3645" s="371"/>
      <c r="S3645" s="372"/>
      <c r="T3645" s="364"/>
      <c r="U3645" s="264"/>
      <c r="V3645" s="264"/>
      <c r="W3645" s="424"/>
      <c r="X3645" s="264" t="s">
        <v>1867</v>
      </c>
      <c r="Y3645" s="424"/>
      <c r="Z3645" s="424"/>
      <c r="AA3645" s="424"/>
      <c r="AB3645" s="424"/>
      <c r="AC3645" s="425">
        <f t="shared" si="609"/>
        <v>0</v>
      </c>
      <c r="AD3645" s="425">
        <f t="shared" si="610"/>
        <v>0</v>
      </c>
    </row>
    <row r="3646" spans="1:30" s="361" customFormat="1" x14ac:dyDescent="0.4">
      <c r="A3646" s="402"/>
      <c r="B3646" s="392"/>
      <c r="C3646" s="364" t="e">
        <f>VLOOKUP(B3646,'112年全品項生產鍋數'!A:H,2,0)</f>
        <v>#N/A</v>
      </c>
      <c r="D3646" s="404"/>
      <c r="E3646" s="48" t="e">
        <f>VLOOKUP(B3646,'112年全品項生產鍋數'!A:H,3,0)</f>
        <v>#N/A</v>
      </c>
      <c r="F3646" s="142" t="e">
        <f>VLOOKUP(B3646,'112年全品項生產鍋數'!A:H,7,0)</f>
        <v>#N/A</v>
      </c>
      <c r="G3646" s="143" t="e">
        <f t="shared" si="611"/>
        <v>#N/A</v>
      </c>
      <c r="H3646" s="156"/>
      <c r="I3646" s="371" t="e">
        <f t="shared" si="612"/>
        <v>#N/A</v>
      </c>
      <c r="J3646" s="100" t="e">
        <f t="shared" si="613"/>
        <v>#N/A</v>
      </c>
      <c r="K3646" s="51" t="e">
        <f>VLOOKUP(B:B,'生產達成率(目標)'!A:C,3,0)</f>
        <v>#N/A</v>
      </c>
      <c r="L3646" s="20" t="e">
        <f t="shared" si="614"/>
        <v>#N/A</v>
      </c>
      <c r="M3646" s="137"/>
      <c r="N3646" s="374"/>
      <c r="O3646" s="374">
        <f t="shared" si="615"/>
        <v>0</v>
      </c>
      <c r="P3646" s="156"/>
      <c r="Q3646" s="98" t="e">
        <f t="shared" si="616"/>
        <v>#DIV/0!</v>
      </c>
      <c r="R3646" s="371"/>
      <c r="S3646" s="372"/>
      <c r="T3646" s="364"/>
      <c r="U3646" s="264"/>
      <c r="V3646" s="264"/>
      <c r="W3646" s="424"/>
      <c r="X3646" s="264" t="s">
        <v>1867</v>
      </c>
      <c r="Y3646" s="424"/>
      <c r="Z3646" s="424"/>
      <c r="AA3646" s="424"/>
      <c r="AB3646" s="424"/>
      <c r="AC3646" s="425">
        <f t="shared" si="609"/>
        <v>0</v>
      </c>
      <c r="AD3646" s="425">
        <f t="shared" si="610"/>
        <v>0</v>
      </c>
    </row>
    <row r="3647" spans="1:30" s="361" customFormat="1" x14ac:dyDescent="0.4">
      <c r="A3647" s="402"/>
      <c r="B3647" s="392"/>
      <c r="C3647" s="364" t="e">
        <f>VLOOKUP(B3647,'112年全品項生產鍋數'!A:H,2,0)</f>
        <v>#N/A</v>
      </c>
      <c r="D3647" s="404"/>
      <c r="E3647" s="48" t="e">
        <f>VLOOKUP(B3647,'112年全品項生產鍋數'!A:H,3,0)</f>
        <v>#N/A</v>
      </c>
      <c r="F3647" s="142" t="e">
        <f>VLOOKUP(B3647,'112年全品項生產鍋數'!A:H,7,0)</f>
        <v>#N/A</v>
      </c>
      <c r="G3647" s="143" t="e">
        <f t="shared" si="611"/>
        <v>#N/A</v>
      </c>
      <c r="H3647" s="156"/>
      <c r="I3647" s="371" t="e">
        <f t="shared" si="612"/>
        <v>#N/A</v>
      </c>
      <c r="J3647" s="100" t="e">
        <f t="shared" si="613"/>
        <v>#N/A</v>
      </c>
      <c r="K3647" s="51" t="e">
        <f>VLOOKUP(B:B,'生產達成率(目標)'!A:C,3,0)</f>
        <v>#N/A</v>
      </c>
      <c r="L3647" s="20" t="e">
        <f t="shared" si="614"/>
        <v>#N/A</v>
      </c>
      <c r="M3647" s="137"/>
      <c r="N3647" s="374"/>
      <c r="O3647" s="374">
        <f t="shared" si="615"/>
        <v>0</v>
      </c>
      <c r="P3647" s="156"/>
      <c r="Q3647" s="98" t="e">
        <f t="shared" si="616"/>
        <v>#DIV/0!</v>
      </c>
      <c r="R3647" s="371"/>
      <c r="S3647" s="372"/>
      <c r="T3647" s="364"/>
      <c r="U3647" s="264"/>
      <c r="V3647" s="264"/>
      <c r="W3647" s="424"/>
      <c r="X3647" s="264" t="s">
        <v>1867</v>
      </c>
      <c r="Y3647" s="424"/>
      <c r="Z3647" s="424"/>
      <c r="AA3647" s="424"/>
      <c r="AB3647" s="424"/>
      <c r="AC3647" s="425">
        <f t="shared" si="609"/>
        <v>0</v>
      </c>
      <c r="AD3647" s="425">
        <f t="shared" si="610"/>
        <v>0</v>
      </c>
    </row>
    <row r="3648" spans="1:30" s="361" customFormat="1" x14ac:dyDescent="0.4">
      <c r="A3648" s="402"/>
      <c r="B3648" s="392"/>
      <c r="C3648" s="364" t="e">
        <f>VLOOKUP(B3648,'112年全品項生產鍋數'!A:H,2,0)</f>
        <v>#N/A</v>
      </c>
      <c r="D3648" s="404"/>
      <c r="E3648" s="48" t="e">
        <f>VLOOKUP(B3648,'112年全品項生產鍋數'!A:H,3,0)</f>
        <v>#N/A</v>
      </c>
      <c r="F3648" s="142" t="e">
        <f>VLOOKUP(B3648,'112年全品項生產鍋數'!A:H,7,0)</f>
        <v>#N/A</v>
      </c>
      <c r="G3648" s="143" t="e">
        <f t="shared" si="611"/>
        <v>#N/A</v>
      </c>
      <c r="H3648" s="156"/>
      <c r="I3648" s="371" t="e">
        <f t="shared" si="612"/>
        <v>#N/A</v>
      </c>
      <c r="J3648" s="100" t="e">
        <f t="shared" si="613"/>
        <v>#N/A</v>
      </c>
      <c r="K3648" s="51" t="e">
        <f>VLOOKUP(B:B,'生產達成率(目標)'!A:C,3,0)</f>
        <v>#N/A</v>
      </c>
      <c r="L3648" s="20" t="e">
        <f t="shared" si="614"/>
        <v>#N/A</v>
      </c>
      <c r="M3648" s="137"/>
      <c r="N3648" s="374"/>
      <c r="O3648" s="374">
        <f t="shared" si="615"/>
        <v>0</v>
      </c>
      <c r="P3648" s="156"/>
      <c r="Q3648" s="98" t="e">
        <f t="shared" si="616"/>
        <v>#DIV/0!</v>
      </c>
      <c r="R3648" s="371"/>
      <c r="S3648" s="372"/>
      <c r="T3648" s="364"/>
      <c r="U3648" s="264"/>
      <c r="V3648" s="264"/>
      <c r="W3648" s="424"/>
      <c r="X3648" s="264" t="s">
        <v>1867</v>
      </c>
      <c r="Y3648" s="424"/>
      <c r="Z3648" s="424"/>
      <c r="AA3648" s="424"/>
      <c r="AB3648" s="424"/>
      <c r="AC3648" s="425">
        <f t="shared" si="609"/>
        <v>0</v>
      </c>
      <c r="AD3648" s="425">
        <f t="shared" si="610"/>
        <v>0</v>
      </c>
    </row>
    <row r="3649" spans="1:30" s="361" customFormat="1" x14ac:dyDescent="0.4">
      <c r="A3649" s="402"/>
      <c r="B3649" s="392"/>
      <c r="C3649" s="364" t="e">
        <f>VLOOKUP(B3649,'112年全品項生產鍋數'!A:H,2,0)</f>
        <v>#N/A</v>
      </c>
      <c r="D3649" s="404"/>
      <c r="E3649" s="48" t="e">
        <f>VLOOKUP(B3649,'112年全品項生產鍋數'!A:H,3,0)</f>
        <v>#N/A</v>
      </c>
      <c r="F3649" s="142" t="e">
        <f>VLOOKUP(B3649,'112年全品項生產鍋數'!A:H,7,0)</f>
        <v>#N/A</v>
      </c>
      <c r="G3649" s="143" t="e">
        <f t="shared" si="611"/>
        <v>#N/A</v>
      </c>
      <c r="H3649" s="156"/>
      <c r="I3649" s="371" t="e">
        <f t="shared" si="612"/>
        <v>#N/A</v>
      </c>
      <c r="J3649" s="100" t="e">
        <f t="shared" si="613"/>
        <v>#N/A</v>
      </c>
      <c r="K3649" s="51" t="e">
        <f>VLOOKUP(B:B,'生產達成率(目標)'!A:C,3,0)</f>
        <v>#N/A</v>
      </c>
      <c r="L3649" s="20" t="e">
        <f t="shared" si="614"/>
        <v>#N/A</v>
      </c>
      <c r="M3649" s="137"/>
      <c r="N3649" s="374"/>
      <c r="O3649" s="374">
        <f t="shared" si="615"/>
        <v>0</v>
      </c>
      <c r="P3649" s="156"/>
      <c r="Q3649" s="98" t="e">
        <f t="shared" si="616"/>
        <v>#DIV/0!</v>
      </c>
      <c r="R3649" s="371"/>
      <c r="S3649" s="372"/>
      <c r="T3649" s="364"/>
      <c r="U3649" s="264"/>
      <c r="V3649" s="264"/>
      <c r="W3649" s="424"/>
      <c r="X3649" s="264" t="s">
        <v>1867</v>
      </c>
      <c r="Y3649" s="424"/>
      <c r="Z3649" s="424"/>
      <c r="AA3649" s="424"/>
      <c r="AB3649" s="424"/>
      <c r="AC3649" s="425">
        <f t="shared" si="609"/>
        <v>0</v>
      </c>
      <c r="AD3649" s="425">
        <f t="shared" si="610"/>
        <v>0</v>
      </c>
    </row>
    <row r="3650" spans="1:30" s="361" customFormat="1" x14ac:dyDescent="0.4">
      <c r="A3650" s="402"/>
      <c r="B3650" s="392"/>
      <c r="C3650" s="364" t="e">
        <f>VLOOKUP(B3650,'112年全品項生產鍋數'!A:H,2,0)</f>
        <v>#N/A</v>
      </c>
      <c r="D3650" s="404"/>
      <c r="E3650" s="48" t="e">
        <f>VLOOKUP(B3650,'112年全品項生產鍋數'!A:H,3,0)</f>
        <v>#N/A</v>
      </c>
      <c r="F3650" s="142" t="e">
        <f>VLOOKUP(B3650,'112年全品項生產鍋數'!A:H,7,0)</f>
        <v>#N/A</v>
      </c>
      <c r="G3650" s="143" t="e">
        <f t="shared" si="611"/>
        <v>#N/A</v>
      </c>
      <c r="H3650" s="156"/>
      <c r="I3650" s="371" t="e">
        <f t="shared" si="612"/>
        <v>#N/A</v>
      </c>
      <c r="J3650" s="100" t="e">
        <f t="shared" si="613"/>
        <v>#N/A</v>
      </c>
      <c r="K3650" s="51" t="e">
        <f>VLOOKUP(B:B,'生產達成率(目標)'!A:C,3,0)</f>
        <v>#N/A</v>
      </c>
      <c r="L3650" s="20" t="e">
        <f t="shared" si="614"/>
        <v>#N/A</v>
      </c>
      <c r="M3650" s="137"/>
      <c r="N3650" s="374"/>
      <c r="O3650" s="374">
        <f t="shared" si="615"/>
        <v>0</v>
      </c>
      <c r="P3650" s="156"/>
      <c r="Q3650" s="98" t="e">
        <f t="shared" si="616"/>
        <v>#DIV/0!</v>
      </c>
      <c r="R3650" s="371"/>
      <c r="S3650" s="372"/>
      <c r="T3650" s="364"/>
      <c r="U3650" s="264"/>
      <c r="V3650" s="264"/>
      <c r="W3650" s="424"/>
      <c r="X3650" s="264" t="s">
        <v>1867</v>
      </c>
      <c r="Y3650" s="424"/>
      <c r="Z3650" s="424"/>
      <c r="AA3650" s="424"/>
      <c r="AB3650" s="424"/>
      <c r="AC3650" s="425">
        <f t="shared" si="609"/>
        <v>0</v>
      </c>
      <c r="AD3650" s="425">
        <f t="shared" si="610"/>
        <v>0</v>
      </c>
    </row>
    <row r="3651" spans="1:30" s="361" customFormat="1" x14ac:dyDescent="0.4">
      <c r="A3651" s="402"/>
      <c r="B3651" s="392"/>
      <c r="C3651" s="364" t="e">
        <f>VLOOKUP(B3651,'112年全品項生產鍋數'!A:H,2,0)</f>
        <v>#N/A</v>
      </c>
      <c r="D3651" s="404"/>
      <c r="E3651" s="48" t="e">
        <f>VLOOKUP(B3651,'112年全品項生產鍋數'!A:H,3,0)</f>
        <v>#N/A</v>
      </c>
      <c r="F3651" s="142" t="e">
        <f>VLOOKUP(B3651,'112年全品項生產鍋數'!A:H,7,0)</f>
        <v>#N/A</v>
      </c>
      <c r="G3651" s="143" t="e">
        <f t="shared" si="611"/>
        <v>#N/A</v>
      </c>
      <c r="H3651" s="156"/>
      <c r="I3651" s="371" t="e">
        <f t="shared" si="612"/>
        <v>#N/A</v>
      </c>
      <c r="J3651" s="100" t="e">
        <f t="shared" si="613"/>
        <v>#N/A</v>
      </c>
      <c r="K3651" s="51" t="e">
        <f>VLOOKUP(B:B,'生產達成率(目標)'!A:C,3,0)</f>
        <v>#N/A</v>
      </c>
      <c r="L3651" s="20" t="e">
        <f t="shared" si="614"/>
        <v>#N/A</v>
      </c>
      <c r="M3651" s="137"/>
      <c r="N3651" s="374"/>
      <c r="O3651" s="374">
        <f t="shared" si="615"/>
        <v>0</v>
      </c>
      <c r="P3651" s="156"/>
      <c r="Q3651" s="98" t="e">
        <f t="shared" si="616"/>
        <v>#DIV/0!</v>
      </c>
      <c r="R3651" s="371"/>
      <c r="S3651" s="372"/>
      <c r="T3651" s="364"/>
      <c r="U3651" s="264"/>
      <c r="V3651" s="264"/>
      <c r="W3651" s="424"/>
      <c r="X3651" s="264" t="s">
        <v>1867</v>
      </c>
      <c r="Y3651" s="424"/>
      <c r="Z3651" s="424"/>
      <c r="AA3651" s="424"/>
      <c r="AB3651" s="424"/>
      <c r="AC3651" s="425">
        <f t="shared" si="609"/>
        <v>0</v>
      </c>
      <c r="AD3651" s="425">
        <f t="shared" si="610"/>
        <v>0</v>
      </c>
    </row>
    <row r="3652" spans="1:30" s="361" customFormat="1" x14ac:dyDescent="0.4">
      <c r="A3652" s="402"/>
      <c r="B3652" s="392"/>
      <c r="C3652" s="364" t="e">
        <f>VLOOKUP(B3652,'112年全品項生產鍋數'!A:H,2,0)</f>
        <v>#N/A</v>
      </c>
      <c r="D3652" s="404"/>
      <c r="E3652" s="48" t="e">
        <f>VLOOKUP(B3652,'112年全品項生產鍋數'!A:H,3,0)</f>
        <v>#N/A</v>
      </c>
      <c r="F3652" s="142" t="e">
        <f>VLOOKUP(B3652,'112年全品項生產鍋數'!A:H,7,0)</f>
        <v>#N/A</v>
      </c>
      <c r="G3652" s="143" t="e">
        <f t="shared" si="611"/>
        <v>#N/A</v>
      </c>
      <c r="H3652" s="156"/>
      <c r="I3652" s="371" t="e">
        <f t="shared" si="612"/>
        <v>#N/A</v>
      </c>
      <c r="J3652" s="100" t="e">
        <f t="shared" si="613"/>
        <v>#N/A</v>
      </c>
      <c r="K3652" s="51" t="e">
        <f>VLOOKUP(B:B,'生產達成率(目標)'!A:C,3,0)</f>
        <v>#N/A</v>
      </c>
      <c r="L3652" s="20" t="e">
        <f t="shared" si="614"/>
        <v>#N/A</v>
      </c>
      <c r="M3652" s="137"/>
      <c r="N3652" s="374"/>
      <c r="O3652" s="374">
        <f t="shared" si="615"/>
        <v>0</v>
      </c>
      <c r="P3652" s="156"/>
      <c r="Q3652" s="98" t="e">
        <f t="shared" si="616"/>
        <v>#DIV/0!</v>
      </c>
      <c r="R3652" s="371"/>
      <c r="S3652" s="372"/>
      <c r="T3652" s="364"/>
      <c r="U3652" s="264"/>
      <c r="V3652" s="264"/>
      <c r="W3652" s="424"/>
      <c r="X3652" s="264" t="s">
        <v>1867</v>
      </c>
      <c r="Y3652" s="424"/>
      <c r="Z3652" s="424"/>
      <c r="AA3652" s="424"/>
      <c r="AB3652" s="424"/>
      <c r="AC3652" s="425">
        <f t="shared" si="609"/>
        <v>0</v>
      </c>
      <c r="AD3652" s="425">
        <f t="shared" si="610"/>
        <v>0</v>
      </c>
    </row>
    <row r="3653" spans="1:30" s="361" customFormat="1" x14ac:dyDescent="0.4">
      <c r="A3653" s="402"/>
      <c r="B3653" s="392"/>
      <c r="C3653" s="364" t="e">
        <f>VLOOKUP(B3653,'112年全品項生產鍋數'!A:H,2,0)</f>
        <v>#N/A</v>
      </c>
      <c r="D3653" s="404"/>
      <c r="E3653" s="48" t="e">
        <f>VLOOKUP(B3653,'112年全品項生產鍋數'!A:H,3,0)</f>
        <v>#N/A</v>
      </c>
      <c r="F3653" s="142" t="e">
        <f>VLOOKUP(B3653,'112年全品項生產鍋數'!A:H,7,0)</f>
        <v>#N/A</v>
      </c>
      <c r="G3653" s="143" t="e">
        <f t="shared" si="611"/>
        <v>#N/A</v>
      </c>
      <c r="H3653" s="156"/>
      <c r="I3653" s="371" t="e">
        <f t="shared" si="612"/>
        <v>#N/A</v>
      </c>
      <c r="J3653" s="100" t="e">
        <f t="shared" si="613"/>
        <v>#N/A</v>
      </c>
      <c r="K3653" s="51" t="e">
        <f>VLOOKUP(B:B,'生產達成率(目標)'!A:C,3,0)</f>
        <v>#N/A</v>
      </c>
      <c r="L3653" s="20" t="e">
        <f t="shared" si="614"/>
        <v>#N/A</v>
      </c>
      <c r="M3653" s="137"/>
      <c r="N3653" s="374"/>
      <c r="O3653" s="374">
        <f t="shared" si="615"/>
        <v>0</v>
      </c>
      <c r="P3653" s="156"/>
      <c r="Q3653" s="98" t="e">
        <f t="shared" si="616"/>
        <v>#DIV/0!</v>
      </c>
      <c r="R3653" s="371"/>
      <c r="S3653" s="372"/>
      <c r="T3653" s="364"/>
      <c r="U3653" s="264"/>
      <c r="V3653" s="264"/>
      <c r="W3653" s="424"/>
      <c r="X3653" s="264" t="s">
        <v>1867</v>
      </c>
      <c r="Y3653" s="424"/>
      <c r="Z3653" s="424"/>
      <c r="AA3653" s="424"/>
      <c r="AB3653" s="424"/>
      <c r="AC3653" s="425">
        <f t="shared" si="609"/>
        <v>0</v>
      </c>
      <c r="AD3653" s="425">
        <f t="shared" si="610"/>
        <v>0</v>
      </c>
    </row>
    <row r="3654" spans="1:30" s="361" customFormat="1" x14ac:dyDescent="0.4">
      <c r="A3654" s="402"/>
      <c r="B3654" s="392"/>
      <c r="C3654" s="364" t="e">
        <f>VLOOKUP(B3654,'112年全品項生產鍋數'!A:H,2,0)</f>
        <v>#N/A</v>
      </c>
      <c r="D3654" s="404"/>
      <c r="E3654" s="48" t="e">
        <f>VLOOKUP(B3654,'112年全品項生產鍋數'!A:H,3,0)</f>
        <v>#N/A</v>
      </c>
      <c r="F3654" s="142" t="e">
        <f>VLOOKUP(B3654,'112年全品項生產鍋數'!A:H,7,0)</f>
        <v>#N/A</v>
      </c>
      <c r="G3654" s="143" t="e">
        <f t="shared" si="611"/>
        <v>#N/A</v>
      </c>
      <c r="H3654" s="156"/>
      <c r="I3654" s="371" t="e">
        <f t="shared" si="612"/>
        <v>#N/A</v>
      </c>
      <c r="J3654" s="100" t="e">
        <f t="shared" si="613"/>
        <v>#N/A</v>
      </c>
      <c r="K3654" s="51" t="e">
        <f>VLOOKUP(B:B,'生產達成率(目標)'!A:C,3,0)</f>
        <v>#N/A</v>
      </c>
      <c r="L3654" s="20" t="e">
        <f t="shared" si="614"/>
        <v>#N/A</v>
      </c>
      <c r="M3654" s="137"/>
      <c r="N3654" s="374"/>
      <c r="O3654" s="374">
        <f t="shared" si="615"/>
        <v>0</v>
      </c>
      <c r="P3654" s="156"/>
      <c r="Q3654" s="98" t="e">
        <f t="shared" si="616"/>
        <v>#DIV/0!</v>
      </c>
      <c r="R3654" s="371"/>
      <c r="S3654" s="372"/>
      <c r="T3654" s="364"/>
      <c r="U3654" s="264"/>
      <c r="V3654" s="264"/>
      <c r="W3654" s="424"/>
      <c r="X3654" s="264" t="s">
        <v>1867</v>
      </c>
      <c r="Y3654" s="424"/>
      <c r="Z3654" s="424"/>
      <c r="AA3654" s="424"/>
      <c r="AB3654" s="424"/>
      <c r="AC3654" s="425">
        <f t="shared" si="609"/>
        <v>0</v>
      </c>
      <c r="AD3654" s="425">
        <f t="shared" si="610"/>
        <v>0</v>
      </c>
    </row>
    <row r="3655" spans="1:30" s="361" customFormat="1" x14ac:dyDescent="0.4">
      <c r="A3655" s="402"/>
      <c r="B3655" s="392"/>
      <c r="C3655" s="364" t="e">
        <f>VLOOKUP(B3655,'112年全品項生產鍋數'!A:H,2,0)</f>
        <v>#N/A</v>
      </c>
      <c r="D3655" s="404"/>
      <c r="E3655" s="48" t="e">
        <f>VLOOKUP(B3655,'112年全品項生產鍋數'!A:H,3,0)</f>
        <v>#N/A</v>
      </c>
      <c r="F3655" s="142" t="e">
        <f>VLOOKUP(B3655,'112年全品項生產鍋數'!A:H,7,0)</f>
        <v>#N/A</v>
      </c>
      <c r="G3655" s="143" t="e">
        <f t="shared" si="611"/>
        <v>#N/A</v>
      </c>
      <c r="H3655" s="156"/>
      <c r="I3655" s="371" t="e">
        <f t="shared" si="612"/>
        <v>#N/A</v>
      </c>
      <c r="J3655" s="100" t="e">
        <f t="shared" si="613"/>
        <v>#N/A</v>
      </c>
      <c r="K3655" s="51" t="e">
        <f>VLOOKUP(B:B,'生產達成率(目標)'!A:C,3,0)</f>
        <v>#N/A</v>
      </c>
      <c r="L3655" s="20" t="e">
        <f t="shared" si="614"/>
        <v>#N/A</v>
      </c>
      <c r="M3655" s="137"/>
      <c r="N3655" s="374"/>
      <c r="O3655" s="374">
        <f t="shared" si="615"/>
        <v>0</v>
      </c>
      <c r="P3655" s="156"/>
      <c r="Q3655" s="98" t="e">
        <f t="shared" si="616"/>
        <v>#DIV/0!</v>
      </c>
      <c r="R3655" s="371"/>
      <c r="S3655" s="372"/>
      <c r="T3655" s="364"/>
      <c r="U3655" s="264"/>
      <c r="V3655" s="264"/>
      <c r="W3655" s="424"/>
      <c r="X3655" s="264" t="s">
        <v>1867</v>
      </c>
      <c r="Y3655" s="424"/>
      <c r="Z3655" s="424"/>
      <c r="AA3655" s="424"/>
      <c r="AB3655" s="424"/>
      <c r="AC3655" s="425">
        <f t="shared" si="609"/>
        <v>0</v>
      </c>
      <c r="AD3655" s="425">
        <f t="shared" si="610"/>
        <v>0</v>
      </c>
    </row>
    <row r="3656" spans="1:30" s="361" customFormat="1" x14ac:dyDescent="0.4">
      <c r="A3656" s="402"/>
      <c r="B3656" s="392"/>
      <c r="C3656" s="364" t="e">
        <f>VLOOKUP(B3656,'112年全品項生產鍋數'!A:H,2,0)</f>
        <v>#N/A</v>
      </c>
      <c r="D3656" s="404"/>
      <c r="E3656" s="48" t="e">
        <f>VLOOKUP(B3656,'112年全品項生產鍋數'!A:H,3,0)</f>
        <v>#N/A</v>
      </c>
      <c r="F3656" s="142" t="e">
        <f>VLOOKUP(B3656,'112年全品項生產鍋數'!A:H,7,0)</f>
        <v>#N/A</v>
      </c>
      <c r="G3656" s="143" t="e">
        <f t="shared" si="611"/>
        <v>#N/A</v>
      </c>
      <c r="H3656" s="156"/>
      <c r="I3656" s="371" t="e">
        <f t="shared" si="612"/>
        <v>#N/A</v>
      </c>
      <c r="J3656" s="100" t="e">
        <f t="shared" si="613"/>
        <v>#N/A</v>
      </c>
      <c r="K3656" s="51" t="e">
        <f>VLOOKUP(B:B,'生產達成率(目標)'!A:C,3,0)</f>
        <v>#N/A</v>
      </c>
      <c r="L3656" s="20" t="e">
        <f t="shared" si="614"/>
        <v>#N/A</v>
      </c>
      <c r="M3656" s="137"/>
      <c r="N3656" s="374"/>
      <c r="O3656" s="374">
        <f t="shared" si="615"/>
        <v>0</v>
      </c>
      <c r="P3656" s="156"/>
      <c r="Q3656" s="98" t="e">
        <f t="shared" si="616"/>
        <v>#DIV/0!</v>
      </c>
      <c r="R3656" s="371"/>
      <c r="S3656" s="372"/>
      <c r="T3656" s="364"/>
      <c r="U3656" s="264"/>
      <c r="V3656" s="264"/>
      <c r="W3656" s="424"/>
      <c r="X3656" s="264" t="s">
        <v>1867</v>
      </c>
      <c r="Y3656" s="424"/>
      <c r="Z3656" s="424"/>
      <c r="AA3656" s="424"/>
      <c r="AB3656" s="424"/>
      <c r="AC3656" s="425">
        <f t="shared" si="609"/>
        <v>0</v>
      </c>
      <c r="AD3656" s="425">
        <f t="shared" si="610"/>
        <v>0</v>
      </c>
    </row>
    <row r="3657" spans="1:30" s="361" customFormat="1" x14ac:dyDescent="0.4">
      <c r="A3657" s="402"/>
      <c r="B3657" s="392"/>
      <c r="C3657" s="364" t="e">
        <f>VLOOKUP(B3657,'112年全品項生產鍋數'!A:H,2,0)</f>
        <v>#N/A</v>
      </c>
      <c r="D3657" s="404"/>
      <c r="E3657" s="48" t="e">
        <f>VLOOKUP(B3657,'112年全品項生產鍋數'!A:H,3,0)</f>
        <v>#N/A</v>
      </c>
      <c r="F3657" s="142" t="e">
        <f>VLOOKUP(B3657,'112年全品項生產鍋數'!A:H,7,0)</f>
        <v>#N/A</v>
      </c>
      <c r="G3657" s="143" t="e">
        <f t="shared" si="611"/>
        <v>#N/A</v>
      </c>
      <c r="H3657" s="156"/>
      <c r="I3657" s="371" t="e">
        <f t="shared" si="612"/>
        <v>#N/A</v>
      </c>
      <c r="J3657" s="100" t="e">
        <f t="shared" si="613"/>
        <v>#N/A</v>
      </c>
      <c r="K3657" s="51" t="e">
        <f>VLOOKUP(B:B,'生產達成率(目標)'!A:C,3,0)</f>
        <v>#N/A</v>
      </c>
      <c r="L3657" s="20" t="e">
        <f t="shared" si="614"/>
        <v>#N/A</v>
      </c>
      <c r="M3657" s="137"/>
      <c r="N3657" s="374"/>
      <c r="O3657" s="374">
        <f t="shared" si="615"/>
        <v>0</v>
      </c>
      <c r="P3657" s="156"/>
      <c r="Q3657" s="98" t="e">
        <f t="shared" si="616"/>
        <v>#DIV/0!</v>
      </c>
      <c r="R3657" s="371"/>
      <c r="S3657" s="372"/>
      <c r="T3657" s="364"/>
      <c r="U3657" s="264"/>
      <c r="V3657" s="264"/>
      <c r="W3657" s="424"/>
      <c r="X3657" s="264" t="s">
        <v>1867</v>
      </c>
      <c r="Y3657" s="424"/>
      <c r="Z3657" s="424"/>
      <c r="AA3657" s="424"/>
      <c r="AB3657" s="424"/>
      <c r="AC3657" s="425">
        <f t="shared" si="609"/>
        <v>0</v>
      </c>
      <c r="AD3657" s="425">
        <f t="shared" si="610"/>
        <v>0</v>
      </c>
    </row>
    <row r="3658" spans="1:30" s="361" customFormat="1" x14ac:dyDescent="0.4">
      <c r="A3658" s="402"/>
      <c r="B3658" s="392"/>
      <c r="C3658" s="364" t="e">
        <f>VLOOKUP(B3658,'112年全品項生產鍋數'!A:H,2,0)</f>
        <v>#N/A</v>
      </c>
      <c r="D3658" s="404"/>
      <c r="E3658" s="48" t="e">
        <f>VLOOKUP(B3658,'112年全品項生產鍋數'!A:H,3,0)</f>
        <v>#N/A</v>
      </c>
      <c r="F3658" s="142" t="e">
        <f>VLOOKUP(B3658,'112年全品項生產鍋數'!A:H,7,0)</f>
        <v>#N/A</v>
      </c>
      <c r="G3658" s="143" t="e">
        <f t="shared" si="611"/>
        <v>#N/A</v>
      </c>
      <c r="H3658" s="156"/>
      <c r="I3658" s="371" t="e">
        <f t="shared" si="612"/>
        <v>#N/A</v>
      </c>
      <c r="J3658" s="100" t="e">
        <f t="shared" si="613"/>
        <v>#N/A</v>
      </c>
      <c r="K3658" s="51" t="e">
        <f>VLOOKUP(B:B,'生產達成率(目標)'!A:C,3,0)</f>
        <v>#N/A</v>
      </c>
      <c r="L3658" s="20" t="e">
        <f t="shared" si="614"/>
        <v>#N/A</v>
      </c>
      <c r="M3658" s="137"/>
      <c r="N3658" s="374"/>
      <c r="O3658" s="374">
        <f t="shared" si="615"/>
        <v>0</v>
      </c>
      <c r="P3658" s="156"/>
      <c r="Q3658" s="98" t="e">
        <f t="shared" si="616"/>
        <v>#DIV/0!</v>
      </c>
      <c r="R3658" s="371"/>
      <c r="S3658" s="372"/>
      <c r="T3658" s="364"/>
      <c r="U3658" s="264"/>
      <c r="V3658" s="264"/>
      <c r="W3658" s="424"/>
      <c r="X3658" s="264" t="s">
        <v>1867</v>
      </c>
      <c r="Y3658" s="424"/>
      <c r="Z3658" s="424"/>
      <c r="AA3658" s="424"/>
      <c r="AB3658" s="424"/>
      <c r="AC3658" s="425">
        <f t="shared" si="609"/>
        <v>0</v>
      </c>
      <c r="AD3658" s="425">
        <f t="shared" si="610"/>
        <v>0</v>
      </c>
    </row>
    <row r="3659" spans="1:30" s="361" customFormat="1" x14ac:dyDescent="0.4">
      <c r="A3659" s="402"/>
      <c r="B3659" s="392"/>
      <c r="C3659" s="364" t="e">
        <f>VLOOKUP(B3659,'112年全品項生產鍋數'!A:H,2,0)</f>
        <v>#N/A</v>
      </c>
      <c r="D3659" s="404"/>
      <c r="E3659" s="48" t="e">
        <f>VLOOKUP(B3659,'112年全品項生產鍋數'!A:H,3,0)</f>
        <v>#N/A</v>
      </c>
      <c r="F3659" s="142" t="e">
        <f>VLOOKUP(B3659,'112年全品項生產鍋數'!A:H,7,0)</f>
        <v>#N/A</v>
      </c>
      <c r="G3659" s="143" t="e">
        <f t="shared" si="611"/>
        <v>#N/A</v>
      </c>
      <c r="H3659" s="156"/>
      <c r="I3659" s="371" t="e">
        <f t="shared" si="612"/>
        <v>#N/A</v>
      </c>
      <c r="J3659" s="100" t="e">
        <f t="shared" si="613"/>
        <v>#N/A</v>
      </c>
      <c r="K3659" s="51" t="e">
        <f>VLOOKUP(B:B,'生產達成率(目標)'!A:C,3,0)</f>
        <v>#N/A</v>
      </c>
      <c r="L3659" s="20" t="e">
        <f t="shared" si="614"/>
        <v>#N/A</v>
      </c>
      <c r="M3659" s="137"/>
      <c r="N3659" s="374"/>
      <c r="O3659" s="374">
        <f t="shared" si="615"/>
        <v>0</v>
      </c>
      <c r="P3659" s="156"/>
      <c r="Q3659" s="98" t="e">
        <f t="shared" si="616"/>
        <v>#DIV/0!</v>
      </c>
      <c r="R3659" s="371"/>
      <c r="S3659" s="372"/>
      <c r="T3659" s="364"/>
      <c r="U3659" s="264"/>
      <c r="V3659" s="264"/>
      <c r="W3659" s="424"/>
      <c r="X3659" s="264" t="s">
        <v>1867</v>
      </c>
      <c r="Y3659" s="424"/>
      <c r="Z3659" s="424"/>
      <c r="AA3659" s="424"/>
      <c r="AB3659" s="424"/>
      <c r="AC3659" s="425">
        <f t="shared" si="609"/>
        <v>0</v>
      </c>
      <c r="AD3659" s="425">
        <f t="shared" si="610"/>
        <v>0</v>
      </c>
    </row>
    <row r="3660" spans="1:30" s="361" customFormat="1" x14ac:dyDescent="0.4">
      <c r="A3660" s="402"/>
      <c r="B3660" s="392"/>
      <c r="C3660" s="364" t="e">
        <f>VLOOKUP(B3660,'112年全品項生產鍋數'!A:H,2,0)</f>
        <v>#N/A</v>
      </c>
      <c r="D3660" s="404"/>
      <c r="E3660" s="48" t="e">
        <f>VLOOKUP(B3660,'112年全品項生產鍋數'!A:H,3,0)</f>
        <v>#N/A</v>
      </c>
      <c r="F3660" s="142" t="e">
        <f>VLOOKUP(B3660,'112年全品項生產鍋數'!A:H,7,0)</f>
        <v>#N/A</v>
      </c>
      <c r="G3660" s="143" t="e">
        <f t="shared" si="611"/>
        <v>#N/A</v>
      </c>
      <c r="H3660" s="156"/>
      <c r="I3660" s="371" t="e">
        <f t="shared" si="612"/>
        <v>#N/A</v>
      </c>
      <c r="J3660" s="100" t="e">
        <f t="shared" si="613"/>
        <v>#N/A</v>
      </c>
      <c r="K3660" s="51" t="e">
        <f>VLOOKUP(B:B,'生產達成率(目標)'!A:C,3,0)</f>
        <v>#N/A</v>
      </c>
      <c r="L3660" s="20" t="e">
        <f t="shared" si="614"/>
        <v>#N/A</v>
      </c>
      <c r="M3660" s="137"/>
      <c r="N3660" s="374"/>
      <c r="O3660" s="374">
        <f t="shared" si="615"/>
        <v>0</v>
      </c>
      <c r="P3660" s="156"/>
      <c r="Q3660" s="98" t="e">
        <f t="shared" si="616"/>
        <v>#DIV/0!</v>
      </c>
      <c r="R3660" s="371"/>
      <c r="S3660" s="372"/>
      <c r="T3660" s="364"/>
      <c r="U3660" s="264"/>
      <c r="V3660" s="264"/>
      <c r="W3660" s="424"/>
      <c r="X3660" s="264" t="s">
        <v>1867</v>
      </c>
      <c r="Y3660" s="424"/>
      <c r="Z3660" s="424"/>
      <c r="AA3660" s="424"/>
      <c r="AB3660" s="424"/>
      <c r="AC3660" s="425">
        <f t="shared" si="609"/>
        <v>0</v>
      </c>
      <c r="AD3660" s="425">
        <f t="shared" si="610"/>
        <v>0</v>
      </c>
    </row>
    <row r="3661" spans="1:30" s="361" customFormat="1" x14ac:dyDescent="0.4">
      <c r="A3661" s="402"/>
      <c r="B3661" s="392"/>
      <c r="C3661" s="364" t="e">
        <f>VLOOKUP(B3661,'112年全品項生產鍋數'!A:H,2,0)</f>
        <v>#N/A</v>
      </c>
      <c r="D3661" s="404"/>
      <c r="E3661" s="48" t="e">
        <f>VLOOKUP(B3661,'112年全品項生產鍋數'!A:H,3,0)</f>
        <v>#N/A</v>
      </c>
      <c r="F3661" s="142" t="e">
        <f>VLOOKUP(B3661,'112年全品項生產鍋數'!A:H,7,0)</f>
        <v>#N/A</v>
      </c>
      <c r="G3661" s="143" t="e">
        <f t="shared" si="611"/>
        <v>#N/A</v>
      </c>
      <c r="H3661" s="156"/>
      <c r="I3661" s="371" t="e">
        <f t="shared" si="612"/>
        <v>#N/A</v>
      </c>
      <c r="J3661" s="100" t="e">
        <f t="shared" si="613"/>
        <v>#N/A</v>
      </c>
      <c r="K3661" s="51" t="e">
        <f>VLOOKUP(B:B,'生產達成率(目標)'!A:C,3,0)</f>
        <v>#N/A</v>
      </c>
      <c r="L3661" s="20" t="e">
        <f t="shared" si="614"/>
        <v>#N/A</v>
      </c>
      <c r="M3661" s="137"/>
      <c r="N3661" s="374"/>
      <c r="O3661" s="374">
        <f t="shared" si="615"/>
        <v>0</v>
      </c>
      <c r="P3661" s="156"/>
      <c r="Q3661" s="98" t="e">
        <f t="shared" si="616"/>
        <v>#DIV/0!</v>
      </c>
      <c r="R3661" s="371"/>
      <c r="S3661" s="372"/>
      <c r="T3661" s="364"/>
      <c r="U3661" s="264"/>
      <c r="V3661" s="264"/>
      <c r="W3661" s="424"/>
      <c r="X3661" s="264" t="s">
        <v>1867</v>
      </c>
      <c r="Y3661" s="424"/>
      <c r="Z3661" s="424"/>
      <c r="AA3661" s="424"/>
      <c r="AB3661" s="424"/>
      <c r="AC3661" s="425">
        <f t="shared" si="609"/>
        <v>0</v>
      </c>
      <c r="AD3661" s="425">
        <f t="shared" si="610"/>
        <v>0</v>
      </c>
    </row>
    <row r="3662" spans="1:30" s="361" customFormat="1" x14ac:dyDescent="0.4">
      <c r="A3662" s="402"/>
      <c r="B3662" s="392"/>
      <c r="C3662" s="364" t="e">
        <f>VLOOKUP(B3662,'112年全品項生產鍋數'!A:H,2,0)</f>
        <v>#N/A</v>
      </c>
      <c r="D3662" s="404"/>
      <c r="E3662" s="48" t="e">
        <f>VLOOKUP(B3662,'112年全品項生產鍋數'!A:H,3,0)</f>
        <v>#N/A</v>
      </c>
      <c r="F3662" s="142" t="e">
        <f>VLOOKUP(B3662,'112年全品項生產鍋數'!A:H,7,0)</f>
        <v>#N/A</v>
      </c>
      <c r="G3662" s="143" t="e">
        <f t="shared" si="611"/>
        <v>#N/A</v>
      </c>
      <c r="H3662" s="156"/>
      <c r="I3662" s="371" t="e">
        <f t="shared" si="612"/>
        <v>#N/A</v>
      </c>
      <c r="J3662" s="100" t="e">
        <f t="shared" si="613"/>
        <v>#N/A</v>
      </c>
      <c r="K3662" s="51" t="e">
        <f>VLOOKUP(B:B,'生產達成率(目標)'!A:C,3,0)</f>
        <v>#N/A</v>
      </c>
      <c r="L3662" s="20" t="e">
        <f t="shared" si="614"/>
        <v>#N/A</v>
      </c>
      <c r="M3662" s="137"/>
      <c r="N3662" s="374"/>
      <c r="O3662" s="374">
        <f t="shared" si="615"/>
        <v>0</v>
      </c>
      <c r="P3662" s="156"/>
      <c r="Q3662" s="98" t="e">
        <f t="shared" si="616"/>
        <v>#DIV/0!</v>
      </c>
      <c r="R3662" s="371"/>
      <c r="S3662" s="372"/>
      <c r="T3662" s="364"/>
      <c r="U3662" s="264"/>
      <c r="V3662" s="264"/>
      <c r="W3662" s="424"/>
      <c r="X3662" s="264" t="s">
        <v>1867</v>
      </c>
      <c r="Y3662" s="424"/>
      <c r="Z3662" s="424"/>
      <c r="AA3662" s="424"/>
      <c r="AB3662" s="424"/>
      <c r="AC3662" s="425">
        <f t="shared" si="609"/>
        <v>0</v>
      </c>
      <c r="AD3662" s="425">
        <f t="shared" si="610"/>
        <v>0</v>
      </c>
    </row>
    <row r="3663" spans="1:30" s="361" customFormat="1" x14ac:dyDescent="0.4">
      <c r="A3663" s="402"/>
      <c r="B3663" s="392"/>
      <c r="C3663" s="364" t="e">
        <f>VLOOKUP(B3663,'112年全品項生產鍋數'!A:H,2,0)</f>
        <v>#N/A</v>
      </c>
      <c r="D3663" s="404"/>
      <c r="E3663" s="48" t="e">
        <f>VLOOKUP(B3663,'112年全品項生產鍋數'!A:H,3,0)</f>
        <v>#N/A</v>
      </c>
      <c r="F3663" s="142" t="e">
        <f>VLOOKUP(B3663,'112年全品項生產鍋數'!A:H,7,0)</f>
        <v>#N/A</v>
      </c>
      <c r="G3663" s="143" t="e">
        <f t="shared" si="611"/>
        <v>#N/A</v>
      </c>
      <c r="H3663" s="156"/>
      <c r="I3663" s="371" t="e">
        <f t="shared" si="612"/>
        <v>#N/A</v>
      </c>
      <c r="J3663" s="100" t="e">
        <f t="shared" si="613"/>
        <v>#N/A</v>
      </c>
      <c r="K3663" s="51" t="e">
        <f>VLOOKUP(B:B,'生產達成率(目標)'!A:C,3,0)</f>
        <v>#N/A</v>
      </c>
      <c r="L3663" s="20" t="e">
        <f t="shared" si="614"/>
        <v>#N/A</v>
      </c>
      <c r="M3663" s="137"/>
      <c r="N3663" s="374"/>
      <c r="O3663" s="374">
        <f t="shared" si="615"/>
        <v>0</v>
      </c>
      <c r="P3663" s="156"/>
      <c r="Q3663" s="98" t="e">
        <f t="shared" si="616"/>
        <v>#DIV/0!</v>
      </c>
      <c r="R3663" s="371"/>
      <c r="S3663" s="372"/>
      <c r="T3663" s="364"/>
      <c r="U3663" s="264"/>
      <c r="V3663" s="264"/>
      <c r="W3663" s="424"/>
      <c r="X3663" s="264" t="s">
        <v>1867</v>
      </c>
      <c r="Y3663" s="424"/>
      <c r="Z3663" s="424"/>
      <c r="AA3663" s="424"/>
      <c r="AB3663" s="424"/>
      <c r="AC3663" s="425">
        <f t="shared" si="609"/>
        <v>0</v>
      </c>
      <c r="AD3663" s="425">
        <f t="shared" si="610"/>
        <v>0</v>
      </c>
    </row>
    <row r="3664" spans="1:30" s="361" customFormat="1" x14ac:dyDescent="0.4">
      <c r="A3664" s="402"/>
      <c r="B3664" s="392"/>
      <c r="C3664" s="364" t="e">
        <f>VLOOKUP(B3664,'112年全品項生產鍋數'!A:H,2,0)</f>
        <v>#N/A</v>
      </c>
      <c r="D3664" s="404"/>
      <c r="E3664" s="48" t="e">
        <f>VLOOKUP(B3664,'112年全品項生產鍋數'!A:H,3,0)</f>
        <v>#N/A</v>
      </c>
      <c r="F3664" s="142" t="e">
        <f>VLOOKUP(B3664,'112年全品項生產鍋數'!A:H,7,0)</f>
        <v>#N/A</v>
      </c>
      <c r="G3664" s="143" t="e">
        <f t="shared" si="611"/>
        <v>#N/A</v>
      </c>
      <c r="H3664" s="156"/>
      <c r="I3664" s="371" t="e">
        <f t="shared" si="612"/>
        <v>#N/A</v>
      </c>
      <c r="J3664" s="100" t="e">
        <f t="shared" si="613"/>
        <v>#N/A</v>
      </c>
      <c r="K3664" s="51" t="e">
        <f>VLOOKUP(B:B,'生產達成率(目標)'!A:C,3,0)</f>
        <v>#N/A</v>
      </c>
      <c r="L3664" s="20" t="e">
        <f t="shared" si="614"/>
        <v>#N/A</v>
      </c>
      <c r="M3664" s="137"/>
      <c r="N3664" s="374"/>
      <c r="O3664" s="374">
        <f t="shared" si="615"/>
        <v>0</v>
      </c>
      <c r="P3664" s="156"/>
      <c r="Q3664" s="98" t="e">
        <f t="shared" si="616"/>
        <v>#DIV/0!</v>
      </c>
      <c r="R3664" s="371"/>
      <c r="S3664" s="372"/>
      <c r="T3664" s="364"/>
      <c r="U3664" s="264"/>
      <c r="V3664" s="264"/>
      <c r="W3664" s="424"/>
      <c r="X3664" s="264" t="s">
        <v>1867</v>
      </c>
      <c r="Y3664" s="424"/>
      <c r="Z3664" s="424"/>
      <c r="AA3664" s="424"/>
      <c r="AB3664" s="424"/>
      <c r="AC3664" s="425">
        <f t="shared" si="609"/>
        <v>0</v>
      </c>
      <c r="AD3664" s="425">
        <f t="shared" si="610"/>
        <v>0</v>
      </c>
    </row>
    <row r="3665" spans="1:30" s="361" customFormat="1" x14ac:dyDescent="0.4">
      <c r="A3665" s="402"/>
      <c r="B3665" s="392"/>
      <c r="C3665" s="364" t="e">
        <f>VLOOKUP(B3665,'112年全品項生產鍋數'!A:H,2,0)</f>
        <v>#N/A</v>
      </c>
      <c r="D3665" s="404"/>
      <c r="E3665" s="48" t="e">
        <f>VLOOKUP(B3665,'112年全品項生產鍋數'!A:H,3,0)</f>
        <v>#N/A</v>
      </c>
      <c r="F3665" s="142" t="e">
        <f>VLOOKUP(B3665,'112年全品項生產鍋數'!A:H,7,0)</f>
        <v>#N/A</v>
      </c>
      <c r="G3665" s="143" t="e">
        <f t="shared" si="611"/>
        <v>#N/A</v>
      </c>
      <c r="H3665" s="156"/>
      <c r="I3665" s="371" t="e">
        <f t="shared" si="612"/>
        <v>#N/A</v>
      </c>
      <c r="J3665" s="100" t="e">
        <f t="shared" si="613"/>
        <v>#N/A</v>
      </c>
      <c r="K3665" s="51" t="e">
        <f>VLOOKUP(B:B,'生產達成率(目標)'!A:C,3,0)</f>
        <v>#N/A</v>
      </c>
      <c r="L3665" s="20" t="e">
        <f t="shared" si="614"/>
        <v>#N/A</v>
      </c>
      <c r="M3665" s="137"/>
      <c r="N3665" s="374"/>
      <c r="O3665" s="374">
        <f t="shared" si="615"/>
        <v>0</v>
      </c>
      <c r="P3665" s="156"/>
      <c r="Q3665" s="98" t="e">
        <f t="shared" si="616"/>
        <v>#DIV/0!</v>
      </c>
      <c r="R3665" s="371"/>
      <c r="S3665" s="372"/>
      <c r="T3665" s="364"/>
      <c r="U3665" s="264"/>
      <c r="V3665" s="264"/>
      <c r="W3665" s="424"/>
      <c r="X3665" s="264" t="s">
        <v>1867</v>
      </c>
      <c r="Y3665" s="424"/>
      <c r="Z3665" s="424"/>
      <c r="AA3665" s="424"/>
      <c r="AB3665" s="424"/>
      <c r="AC3665" s="425">
        <f t="shared" si="609"/>
        <v>0</v>
      </c>
      <c r="AD3665" s="425">
        <f t="shared" si="610"/>
        <v>0</v>
      </c>
    </row>
    <row r="3666" spans="1:30" s="361" customFormat="1" x14ac:dyDescent="0.4">
      <c r="A3666" s="402"/>
      <c r="B3666" s="392"/>
      <c r="C3666" s="364" t="e">
        <f>VLOOKUP(B3666,'112年全品項生產鍋數'!A:H,2,0)</f>
        <v>#N/A</v>
      </c>
      <c r="D3666" s="404"/>
      <c r="E3666" s="48" t="e">
        <f>VLOOKUP(B3666,'112年全品項生產鍋數'!A:H,3,0)</f>
        <v>#N/A</v>
      </c>
      <c r="F3666" s="142" t="e">
        <f>VLOOKUP(B3666,'112年全品項生產鍋數'!A:H,7,0)</f>
        <v>#N/A</v>
      </c>
      <c r="G3666" s="143" t="e">
        <f t="shared" si="611"/>
        <v>#N/A</v>
      </c>
      <c r="H3666" s="156"/>
      <c r="I3666" s="371" t="e">
        <f t="shared" si="612"/>
        <v>#N/A</v>
      </c>
      <c r="J3666" s="100" t="e">
        <f t="shared" si="613"/>
        <v>#N/A</v>
      </c>
      <c r="K3666" s="51" t="e">
        <f>VLOOKUP(B:B,'生產達成率(目標)'!A:C,3,0)</f>
        <v>#N/A</v>
      </c>
      <c r="L3666" s="20" t="e">
        <f t="shared" si="614"/>
        <v>#N/A</v>
      </c>
      <c r="M3666" s="137"/>
      <c r="N3666" s="374"/>
      <c r="O3666" s="374">
        <f t="shared" si="615"/>
        <v>0</v>
      </c>
      <c r="P3666" s="156"/>
      <c r="Q3666" s="98" t="e">
        <f t="shared" si="616"/>
        <v>#DIV/0!</v>
      </c>
      <c r="R3666" s="371"/>
      <c r="S3666" s="372"/>
      <c r="T3666" s="364"/>
      <c r="U3666" s="264"/>
      <c r="V3666" s="264"/>
      <c r="W3666" s="424"/>
      <c r="X3666" s="264" t="s">
        <v>1867</v>
      </c>
      <c r="Y3666" s="424"/>
      <c r="Z3666" s="424"/>
      <c r="AA3666" s="424"/>
      <c r="AB3666" s="424"/>
      <c r="AC3666" s="425">
        <f t="shared" si="609"/>
        <v>0</v>
      </c>
      <c r="AD3666" s="425">
        <f t="shared" si="610"/>
        <v>0</v>
      </c>
    </row>
    <row r="3667" spans="1:30" s="361" customFormat="1" x14ac:dyDescent="0.4">
      <c r="A3667" s="402"/>
      <c r="B3667" s="392"/>
      <c r="C3667" s="364" t="e">
        <f>VLOOKUP(B3667,'112年全品項生產鍋數'!A:H,2,0)</f>
        <v>#N/A</v>
      </c>
      <c r="D3667" s="404"/>
      <c r="E3667" s="48" t="e">
        <f>VLOOKUP(B3667,'112年全品項生產鍋數'!A:H,3,0)</f>
        <v>#N/A</v>
      </c>
      <c r="F3667" s="142" t="e">
        <f>VLOOKUP(B3667,'112年全品項生產鍋數'!A:H,7,0)</f>
        <v>#N/A</v>
      </c>
      <c r="G3667" s="143" t="e">
        <f t="shared" si="611"/>
        <v>#N/A</v>
      </c>
      <c r="H3667" s="156"/>
      <c r="I3667" s="371" t="e">
        <f t="shared" si="612"/>
        <v>#N/A</v>
      </c>
      <c r="J3667" s="100" t="e">
        <f t="shared" si="613"/>
        <v>#N/A</v>
      </c>
      <c r="K3667" s="51" t="e">
        <f>VLOOKUP(B:B,'生產達成率(目標)'!A:C,3,0)</f>
        <v>#N/A</v>
      </c>
      <c r="L3667" s="20" t="e">
        <f t="shared" si="614"/>
        <v>#N/A</v>
      </c>
      <c r="M3667" s="137"/>
      <c r="N3667" s="374"/>
      <c r="O3667" s="374">
        <f t="shared" si="615"/>
        <v>0</v>
      </c>
      <c r="P3667" s="156"/>
      <c r="Q3667" s="98" t="e">
        <f t="shared" si="616"/>
        <v>#DIV/0!</v>
      </c>
      <c r="R3667" s="371"/>
      <c r="S3667" s="372"/>
      <c r="T3667" s="364"/>
      <c r="U3667" s="264"/>
      <c r="V3667" s="264"/>
      <c r="W3667" s="424"/>
      <c r="X3667" s="264" t="s">
        <v>1867</v>
      </c>
      <c r="Y3667" s="424"/>
      <c r="Z3667" s="424"/>
      <c r="AA3667" s="424"/>
      <c r="AB3667" s="424"/>
      <c r="AC3667" s="425">
        <f t="shared" si="609"/>
        <v>0</v>
      </c>
      <c r="AD3667" s="425">
        <f t="shared" si="610"/>
        <v>0</v>
      </c>
    </row>
    <row r="3668" spans="1:30" s="361" customFormat="1" x14ac:dyDescent="0.4">
      <c r="A3668" s="402"/>
      <c r="B3668" s="392"/>
      <c r="C3668" s="364" t="e">
        <f>VLOOKUP(B3668,'112年全品項生產鍋數'!A:H,2,0)</f>
        <v>#N/A</v>
      </c>
      <c r="D3668" s="404"/>
      <c r="E3668" s="48" t="e">
        <f>VLOOKUP(B3668,'112年全品項生產鍋數'!A:H,3,0)</f>
        <v>#N/A</v>
      </c>
      <c r="F3668" s="142" t="e">
        <f>VLOOKUP(B3668,'112年全品項生產鍋數'!A:H,7,0)</f>
        <v>#N/A</v>
      </c>
      <c r="G3668" s="143" t="e">
        <f t="shared" si="611"/>
        <v>#N/A</v>
      </c>
      <c r="H3668" s="156"/>
      <c r="I3668" s="371" t="e">
        <f t="shared" si="612"/>
        <v>#N/A</v>
      </c>
      <c r="J3668" s="100" t="e">
        <f t="shared" si="613"/>
        <v>#N/A</v>
      </c>
      <c r="K3668" s="51" t="e">
        <f>VLOOKUP(B:B,'生產達成率(目標)'!A:C,3,0)</f>
        <v>#N/A</v>
      </c>
      <c r="L3668" s="20" t="e">
        <f t="shared" si="614"/>
        <v>#N/A</v>
      </c>
      <c r="M3668" s="137"/>
      <c r="N3668" s="374"/>
      <c r="O3668" s="374">
        <f t="shared" si="615"/>
        <v>0</v>
      </c>
      <c r="P3668" s="156"/>
      <c r="Q3668" s="98" t="e">
        <f t="shared" si="616"/>
        <v>#DIV/0!</v>
      </c>
      <c r="R3668" s="371"/>
      <c r="S3668" s="372"/>
      <c r="T3668" s="364"/>
      <c r="U3668" s="264"/>
      <c r="V3668" s="264"/>
      <c r="W3668" s="424"/>
      <c r="X3668" s="264" t="s">
        <v>1867</v>
      </c>
      <c r="Y3668" s="424"/>
      <c r="Z3668" s="424"/>
      <c r="AA3668" s="424"/>
      <c r="AB3668" s="424"/>
      <c r="AC3668" s="425">
        <f t="shared" si="609"/>
        <v>0</v>
      </c>
      <c r="AD3668" s="425">
        <f t="shared" si="610"/>
        <v>0</v>
      </c>
    </row>
    <row r="3669" spans="1:30" s="361" customFormat="1" x14ac:dyDescent="0.4">
      <c r="A3669" s="402"/>
      <c r="B3669" s="392"/>
      <c r="C3669" s="364" t="e">
        <f>VLOOKUP(B3669,'112年全品項生產鍋數'!A:H,2,0)</f>
        <v>#N/A</v>
      </c>
      <c r="D3669" s="404"/>
      <c r="E3669" s="48" t="e">
        <f>VLOOKUP(B3669,'112年全品項生產鍋數'!A:H,3,0)</f>
        <v>#N/A</v>
      </c>
      <c r="F3669" s="142" t="e">
        <f>VLOOKUP(B3669,'112年全品項生產鍋數'!A:H,7,0)</f>
        <v>#N/A</v>
      </c>
      <c r="G3669" s="143" t="e">
        <f t="shared" si="611"/>
        <v>#N/A</v>
      </c>
      <c r="H3669" s="156"/>
      <c r="I3669" s="371" t="e">
        <f t="shared" si="612"/>
        <v>#N/A</v>
      </c>
      <c r="J3669" s="100" t="e">
        <f t="shared" si="613"/>
        <v>#N/A</v>
      </c>
      <c r="K3669" s="51" t="e">
        <f>VLOOKUP(B:B,'生產達成率(目標)'!A:C,3,0)</f>
        <v>#N/A</v>
      </c>
      <c r="L3669" s="20" t="e">
        <f t="shared" si="614"/>
        <v>#N/A</v>
      </c>
      <c r="M3669" s="137"/>
      <c r="N3669" s="374"/>
      <c r="O3669" s="374">
        <f t="shared" si="615"/>
        <v>0</v>
      </c>
      <c r="P3669" s="156"/>
      <c r="Q3669" s="98" t="e">
        <f t="shared" si="616"/>
        <v>#DIV/0!</v>
      </c>
      <c r="R3669" s="371"/>
      <c r="S3669" s="372"/>
      <c r="T3669" s="364"/>
      <c r="U3669" s="264"/>
      <c r="V3669" s="264"/>
      <c r="W3669" s="424"/>
      <c r="X3669" s="264" t="s">
        <v>1867</v>
      </c>
      <c r="Y3669" s="424"/>
      <c r="Z3669" s="424"/>
      <c r="AA3669" s="424"/>
      <c r="AB3669" s="424"/>
      <c r="AC3669" s="425">
        <f t="shared" si="609"/>
        <v>0</v>
      </c>
      <c r="AD3669" s="425">
        <f t="shared" si="610"/>
        <v>0</v>
      </c>
    </row>
    <row r="3670" spans="1:30" s="361" customFormat="1" x14ac:dyDescent="0.4">
      <c r="A3670" s="402"/>
      <c r="B3670" s="392"/>
      <c r="C3670" s="364" t="e">
        <f>VLOOKUP(B3670,'112年全品項生產鍋數'!A:H,2,0)</f>
        <v>#N/A</v>
      </c>
      <c r="D3670" s="404"/>
      <c r="E3670" s="48" t="e">
        <f>VLOOKUP(B3670,'112年全品項生產鍋數'!A:H,3,0)</f>
        <v>#N/A</v>
      </c>
      <c r="F3670" s="142" t="e">
        <f>VLOOKUP(B3670,'112年全品項生產鍋數'!A:H,7,0)</f>
        <v>#N/A</v>
      </c>
      <c r="G3670" s="143" t="e">
        <f t="shared" si="611"/>
        <v>#N/A</v>
      </c>
      <c r="H3670" s="156"/>
      <c r="I3670" s="371" t="e">
        <f t="shared" si="612"/>
        <v>#N/A</v>
      </c>
      <c r="J3670" s="100" t="e">
        <f t="shared" si="613"/>
        <v>#N/A</v>
      </c>
      <c r="K3670" s="51" t="e">
        <f>VLOOKUP(B:B,'生產達成率(目標)'!A:C,3,0)</f>
        <v>#N/A</v>
      </c>
      <c r="L3670" s="20" t="e">
        <f t="shared" si="614"/>
        <v>#N/A</v>
      </c>
      <c r="M3670" s="137"/>
      <c r="N3670" s="374"/>
      <c r="O3670" s="374">
        <f t="shared" si="615"/>
        <v>0</v>
      </c>
      <c r="P3670" s="156"/>
      <c r="Q3670" s="98" t="e">
        <f t="shared" si="616"/>
        <v>#DIV/0!</v>
      </c>
      <c r="R3670" s="371"/>
      <c r="S3670" s="372"/>
      <c r="T3670" s="364"/>
      <c r="U3670" s="264"/>
      <c r="V3670" s="264"/>
      <c r="W3670" s="424"/>
      <c r="X3670" s="264" t="s">
        <v>1867</v>
      </c>
      <c r="Y3670" s="424"/>
      <c r="Z3670" s="424"/>
      <c r="AA3670" s="424"/>
      <c r="AB3670" s="424"/>
      <c r="AC3670" s="425">
        <f t="shared" si="609"/>
        <v>0</v>
      </c>
      <c r="AD3670" s="425">
        <f t="shared" si="610"/>
        <v>0</v>
      </c>
    </row>
    <row r="3671" spans="1:30" s="361" customFormat="1" x14ac:dyDescent="0.4">
      <c r="A3671" s="402"/>
      <c r="B3671" s="392"/>
      <c r="C3671" s="364" t="e">
        <f>VLOOKUP(B3671,'112年全品項生產鍋數'!A:H,2,0)</f>
        <v>#N/A</v>
      </c>
      <c r="D3671" s="404"/>
      <c r="E3671" s="48" t="e">
        <f>VLOOKUP(B3671,'112年全品項生產鍋數'!A:H,3,0)</f>
        <v>#N/A</v>
      </c>
      <c r="F3671" s="142" t="e">
        <f>VLOOKUP(B3671,'112年全品項生產鍋數'!A:H,7,0)</f>
        <v>#N/A</v>
      </c>
      <c r="G3671" s="143" t="e">
        <f t="shared" si="611"/>
        <v>#N/A</v>
      </c>
      <c r="H3671" s="156"/>
      <c r="I3671" s="371" t="e">
        <f t="shared" si="612"/>
        <v>#N/A</v>
      </c>
      <c r="J3671" s="100" t="e">
        <f t="shared" si="613"/>
        <v>#N/A</v>
      </c>
      <c r="K3671" s="51" t="e">
        <f>VLOOKUP(B:B,'生產達成率(目標)'!A:C,3,0)</f>
        <v>#N/A</v>
      </c>
      <c r="L3671" s="20" t="e">
        <f t="shared" si="614"/>
        <v>#N/A</v>
      </c>
      <c r="M3671" s="137"/>
      <c r="N3671" s="374"/>
      <c r="O3671" s="374">
        <f t="shared" si="615"/>
        <v>0</v>
      </c>
      <c r="P3671" s="156"/>
      <c r="Q3671" s="98" t="e">
        <f t="shared" si="616"/>
        <v>#DIV/0!</v>
      </c>
      <c r="R3671" s="371"/>
      <c r="S3671" s="372"/>
      <c r="T3671" s="364"/>
      <c r="U3671" s="264"/>
      <c r="V3671" s="264"/>
      <c r="W3671" s="424"/>
      <c r="X3671" s="264" t="s">
        <v>1867</v>
      </c>
      <c r="Y3671" s="424"/>
      <c r="Z3671" s="424"/>
      <c r="AA3671" s="424"/>
      <c r="AB3671" s="424"/>
      <c r="AC3671" s="425">
        <f t="shared" ref="AC3671:AC3734" si="617" xml:space="preserve"> IF((W3671-A3671)&lt;0,"未收到",W3671-A3671)</f>
        <v>0</v>
      </c>
      <c r="AD3671" s="425">
        <f t="shared" ref="AD3671:AD3734" si="618" xml:space="preserve"> IF((Y3671-A3671)&lt;0,"未收到",Y3671-A3671)</f>
        <v>0</v>
      </c>
    </row>
    <row r="3672" spans="1:30" s="361" customFormat="1" x14ac:dyDescent="0.4">
      <c r="A3672" s="402"/>
      <c r="B3672" s="392"/>
      <c r="C3672" s="364" t="e">
        <f>VLOOKUP(B3672,'112年全品項生產鍋數'!A:H,2,0)</f>
        <v>#N/A</v>
      </c>
      <c r="D3672" s="404"/>
      <c r="E3672" s="48" t="e">
        <f>VLOOKUP(B3672,'112年全品項生產鍋數'!A:H,3,0)</f>
        <v>#N/A</v>
      </c>
      <c r="F3672" s="142" t="e">
        <f>VLOOKUP(B3672,'112年全品項生產鍋數'!A:H,7,0)</f>
        <v>#N/A</v>
      </c>
      <c r="G3672" s="143" t="e">
        <f t="shared" si="611"/>
        <v>#N/A</v>
      </c>
      <c r="H3672" s="156"/>
      <c r="I3672" s="371" t="e">
        <f t="shared" si="612"/>
        <v>#N/A</v>
      </c>
      <c r="J3672" s="100" t="e">
        <f t="shared" si="613"/>
        <v>#N/A</v>
      </c>
      <c r="K3672" s="51" t="e">
        <f>VLOOKUP(B:B,'生產達成率(目標)'!A:C,3,0)</f>
        <v>#N/A</v>
      </c>
      <c r="L3672" s="20" t="e">
        <f t="shared" si="614"/>
        <v>#N/A</v>
      </c>
      <c r="M3672" s="137"/>
      <c r="N3672" s="374"/>
      <c r="O3672" s="374">
        <f t="shared" si="615"/>
        <v>0</v>
      </c>
      <c r="P3672" s="156"/>
      <c r="Q3672" s="98" t="e">
        <f t="shared" si="616"/>
        <v>#DIV/0!</v>
      </c>
      <c r="R3672" s="371"/>
      <c r="S3672" s="372"/>
      <c r="T3672" s="364"/>
      <c r="U3672" s="264"/>
      <c r="V3672" s="264"/>
      <c r="W3672" s="424"/>
      <c r="X3672" s="264" t="s">
        <v>1867</v>
      </c>
      <c r="Y3672" s="424"/>
      <c r="Z3672" s="424"/>
      <c r="AA3672" s="424"/>
      <c r="AB3672" s="424"/>
      <c r="AC3672" s="425">
        <f t="shared" si="617"/>
        <v>0</v>
      </c>
      <c r="AD3672" s="425">
        <f t="shared" si="618"/>
        <v>0</v>
      </c>
    </row>
    <row r="3673" spans="1:30" s="361" customFormat="1" x14ac:dyDescent="0.4">
      <c r="A3673" s="402"/>
      <c r="B3673" s="392"/>
      <c r="C3673" s="364" t="e">
        <f>VLOOKUP(B3673,'112年全品項生產鍋數'!A:H,2,0)</f>
        <v>#N/A</v>
      </c>
      <c r="D3673" s="404"/>
      <c r="E3673" s="48" t="e">
        <f>VLOOKUP(B3673,'112年全品項生產鍋數'!A:H,3,0)</f>
        <v>#N/A</v>
      </c>
      <c r="F3673" s="142" t="e">
        <f>VLOOKUP(B3673,'112年全品項生產鍋數'!A:H,7,0)</f>
        <v>#N/A</v>
      </c>
      <c r="G3673" s="143" t="e">
        <f t="shared" si="611"/>
        <v>#N/A</v>
      </c>
      <c r="H3673" s="156"/>
      <c r="I3673" s="371" t="e">
        <f t="shared" si="612"/>
        <v>#N/A</v>
      </c>
      <c r="J3673" s="100" t="e">
        <f t="shared" si="613"/>
        <v>#N/A</v>
      </c>
      <c r="K3673" s="51" t="e">
        <f>VLOOKUP(B:B,'生產達成率(目標)'!A:C,3,0)</f>
        <v>#N/A</v>
      </c>
      <c r="L3673" s="20" t="e">
        <f t="shared" si="614"/>
        <v>#N/A</v>
      </c>
      <c r="M3673" s="137"/>
      <c r="N3673" s="374"/>
      <c r="O3673" s="374">
        <f t="shared" si="615"/>
        <v>0</v>
      </c>
      <c r="P3673" s="156"/>
      <c r="Q3673" s="98" t="e">
        <f t="shared" si="616"/>
        <v>#DIV/0!</v>
      </c>
      <c r="R3673" s="371"/>
      <c r="S3673" s="372"/>
      <c r="T3673" s="364"/>
      <c r="U3673" s="264"/>
      <c r="V3673" s="264"/>
      <c r="W3673" s="424"/>
      <c r="X3673" s="264" t="s">
        <v>1867</v>
      </c>
      <c r="Y3673" s="424"/>
      <c r="Z3673" s="424"/>
      <c r="AA3673" s="424"/>
      <c r="AB3673" s="424"/>
      <c r="AC3673" s="425">
        <f t="shared" si="617"/>
        <v>0</v>
      </c>
      <c r="AD3673" s="425">
        <f t="shared" si="618"/>
        <v>0</v>
      </c>
    </row>
    <row r="3674" spans="1:30" s="361" customFormat="1" x14ac:dyDescent="0.4">
      <c r="A3674" s="402"/>
      <c r="B3674" s="392"/>
      <c r="C3674" s="364" t="e">
        <f>VLOOKUP(B3674,'112年全品項生產鍋數'!A:H,2,0)</f>
        <v>#N/A</v>
      </c>
      <c r="D3674" s="404"/>
      <c r="E3674" s="48" t="e">
        <f>VLOOKUP(B3674,'112年全品項生產鍋數'!A:H,3,0)</f>
        <v>#N/A</v>
      </c>
      <c r="F3674" s="142" t="e">
        <f>VLOOKUP(B3674,'112年全品項生產鍋數'!A:H,7,0)</f>
        <v>#N/A</v>
      </c>
      <c r="G3674" s="143" t="e">
        <f t="shared" si="611"/>
        <v>#N/A</v>
      </c>
      <c r="H3674" s="156"/>
      <c r="I3674" s="371" t="e">
        <f t="shared" si="612"/>
        <v>#N/A</v>
      </c>
      <c r="J3674" s="100" t="e">
        <f t="shared" si="613"/>
        <v>#N/A</v>
      </c>
      <c r="K3674" s="51" t="e">
        <f>VLOOKUP(B:B,'生產達成率(目標)'!A:C,3,0)</f>
        <v>#N/A</v>
      </c>
      <c r="L3674" s="20" t="e">
        <f t="shared" si="614"/>
        <v>#N/A</v>
      </c>
      <c r="M3674" s="137"/>
      <c r="N3674" s="374"/>
      <c r="O3674" s="374">
        <f t="shared" si="615"/>
        <v>0</v>
      </c>
      <c r="P3674" s="156"/>
      <c r="Q3674" s="98" t="e">
        <f t="shared" si="616"/>
        <v>#DIV/0!</v>
      </c>
      <c r="R3674" s="371"/>
      <c r="S3674" s="372"/>
      <c r="T3674" s="364"/>
      <c r="U3674" s="264"/>
      <c r="V3674" s="264"/>
      <c r="W3674" s="424"/>
      <c r="X3674" s="264" t="s">
        <v>1867</v>
      </c>
      <c r="Y3674" s="424"/>
      <c r="Z3674" s="424"/>
      <c r="AA3674" s="424"/>
      <c r="AB3674" s="424"/>
      <c r="AC3674" s="425">
        <f t="shared" si="617"/>
        <v>0</v>
      </c>
      <c r="AD3674" s="425">
        <f t="shared" si="618"/>
        <v>0</v>
      </c>
    </row>
    <row r="3675" spans="1:30" s="361" customFormat="1" x14ac:dyDescent="0.4">
      <c r="A3675" s="402"/>
      <c r="B3675" s="392"/>
      <c r="C3675" s="364" t="e">
        <f>VLOOKUP(B3675,'112年全品項生產鍋數'!A:H,2,0)</f>
        <v>#N/A</v>
      </c>
      <c r="D3675" s="404"/>
      <c r="E3675" s="48" t="e">
        <f>VLOOKUP(B3675,'112年全品項生產鍋數'!A:H,3,0)</f>
        <v>#N/A</v>
      </c>
      <c r="F3675" s="142" t="e">
        <f>VLOOKUP(B3675,'112年全品項生產鍋數'!A:H,7,0)</f>
        <v>#N/A</v>
      </c>
      <c r="G3675" s="143" t="e">
        <f t="shared" si="611"/>
        <v>#N/A</v>
      </c>
      <c r="H3675" s="156"/>
      <c r="I3675" s="371" t="e">
        <f t="shared" si="612"/>
        <v>#N/A</v>
      </c>
      <c r="J3675" s="100" t="e">
        <f t="shared" si="613"/>
        <v>#N/A</v>
      </c>
      <c r="K3675" s="51" t="e">
        <f>VLOOKUP(B:B,'生產達成率(目標)'!A:C,3,0)</f>
        <v>#N/A</v>
      </c>
      <c r="L3675" s="20" t="e">
        <f t="shared" si="614"/>
        <v>#N/A</v>
      </c>
      <c r="M3675" s="137"/>
      <c r="N3675" s="374"/>
      <c r="O3675" s="374">
        <f t="shared" si="615"/>
        <v>0</v>
      </c>
      <c r="P3675" s="156"/>
      <c r="Q3675" s="98" t="e">
        <f t="shared" si="616"/>
        <v>#DIV/0!</v>
      </c>
      <c r="R3675" s="371"/>
      <c r="S3675" s="372"/>
      <c r="T3675" s="364"/>
      <c r="U3675" s="264"/>
      <c r="V3675" s="264"/>
      <c r="W3675" s="424"/>
      <c r="X3675" s="264" t="s">
        <v>1867</v>
      </c>
      <c r="Y3675" s="424"/>
      <c r="Z3675" s="424"/>
      <c r="AA3675" s="424"/>
      <c r="AB3675" s="424"/>
      <c r="AC3675" s="425">
        <f t="shared" si="617"/>
        <v>0</v>
      </c>
      <c r="AD3675" s="425">
        <f t="shared" si="618"/>
        <v>0</v>
      </c>
    </row>
    <row r="3676" spans="1:30" s="361" customFormat="1" x14ac:dyDescent="0.4">
      <c r="A3676" s="402"/>
      <c r="B3676" s="392"/>
      <c r="C3676" s="364" t="e">
        <f>VLOOKUP(B3676,'112年全品項生產鍋數'!A:H,2,0)</f>
        <v>#N/A</v>
      </c>
      <c r="D3676" s="404"/>
      <c r="E3676" s="48" t="e">
        <f>VLOOKUP(B3676,'112年全品項生產鍋數'!A:H,3,0)</f>
        <v>#N/A</v>
      </c>
      <c r="F3676" s="142" t="e">
        <f>VLOOKUP(B3676,'112年全品項生產鍋數'!A:H,7,0)</f>
        <v>#N/A</v>
      </c>
      <c r="G3676" s="143" t="e">
        <f t="shared" si="611"/>
        <v>#N/A</v>
      </c>
      <c r="H3676" s="156"/>
      <c r="I3676" s="371" t="e">
        <f t="shared" si="612"/>
        <v>#N/A</v>
      </c>
      <c r="J3676" s="100" t="e">
        <f t="shared" si="613"/>
        <v>#N/A</v>
      </c>
      <c r="K3676" s="51" t="e">
        <f>VLOOKUP(B:B,'生產達成率(目標)'!A:C,3,0)</f>
        <v>#N/A</v>
      </c>
      <c r="L3676" s="20" t="e">
        <f t="shared" si="614"/>
        <v>#N/A</v>
      </c>
      <c r="M3676" s="137"/>
      <c r="N3676" s="374"/>
      <c r="O3676" s="374">
        <f t="shared" si="615"/>
        <v>0</v>
      </c>
      <c r="P3676" s="156"/>
      <c r="Q3676" s="98" t="e">
        <f t="shared" si="616"/>
        <v>#DIV/0!</v>
      </c>
      <c r="R3676" s="371"/>
      <c r="S3676" s="372"/>
      <c r="T3676" s="364"/>
      <c r="U3676" s="264"/>
      <c r="V3676" s="264"/>
      <c r="W3676" s="424"/>
      <c r="X3676" s="264" t="s">
        <v>1867</v>
      </c>
      <c r="Y3676" s="424"/>
      <c r="Z3676" s="424"/>
      <c r="AA3676" s="424"/>
      <c r="AB3676" s="424"/>
      <c r="AC3676" s="425">
        <f t="shared" si="617"/>
        <v>0</v>
      </c>
      <c r="AD3676" s="425">
        <f t="shared" si="618"/>
        <v>0</v>
      </c>
    </row>
    <row r="3677" spans="1:30" s="361" customFormat="1" x14ac:dyDescent="0.4">
      <c r="A3677" s="402"/>
      <c r="B3677" s="392"/>
      <c r="C3677" s="364" t="e">
        <f>VLOOKUP(B3677,'112年全品項生產鍋數'!A:H,2,0)</f>
        <v>#N/A</v>
      </c>
      <c r="D3677" s="404"/>
      <c r="E3677" s="48" t="e">
        <f>VLOOKUP(B3677,'112年全品項生產鍋數'!A:H,3,0)</f>
        <v>#N/A</v>
      </c>
      <c r="F3677" s="142" t="e">
        <f>VLOOKUP(B3677,'112年全品項生產鍋數'!A:H,7,0)</f>
        <v>#N/A</v>
      </c>
      <c r="G3677" s="143" t="e">
        <f t="shared" si="611"/>
        <v>#N/A</v>
      </c>
      <c r="H3677" s="156"/>
      <c r="I3677" s="371" t="e">
        <f t="shared" si="612"/>
        <v>#N/A</v>
      </c>
      <c r="J3677" s="100" t="e">
        <f t="shared" si="613"/>
        <v>#N/A</v>
      </c>
      <c r="K3677" s="51" t="e">
        <f>VLOOKUP(B:B,'生產達成率(目標)'!A:C,3,0)</f>
        <v>#N/A</v>
      </c>
      <c r="L3677" s="20" t="e">
        <f t="shared" si="614"/>
        <v>#N/A</v>
      </c>
      <c r="M3677" s="137"/>
      <c r="N3677" s="374"/>
      <c r="O3677" s="374">
        <f t="shared" si="615"/>
        <v>0</v>
      </c>
      <c r="P3677" s="156"/>
      <c r="Q3677" s="98" t="e">
        <f t="shared" si="616"/>
        <v>#DIV/0!</v>
      </c>
      <c r="R3677" s="371"/>
      <c r="S3677" s="372"/>
      <c r="T3677" s="364"/>
      <c r="U3677" s="264"/>
      <c r="V3677" s="264"/>
      <c r="W3677" s="424"/>
      <c r="X3677" s="264" t="s">
        <v>1867</v>
      </c>
      <c r="Y3677" s="424"/>
      <c r="Z3677" s="424"/>
      <c r="AA3677" s="424"/>
      <c r="AB3677" s="424"/>
      <c r="AC3677" s="425">
        <f t="shared" si="617"/>
        <v>0</v>
      </c>
      <c r="AD3677" s="425">
        <f t="shared" si="618"/>
        <v>0</v>
      </c>
    </row>
    <row r="3678" spans="1:30" s="361" customFormat="1" x14ac:dyDescent="0.4">
      <c r="A3678" s="402"/>
      <c r="B3678" s="392"/>
      <c r="C3678" s="364" t="e">
        <f>VLOOKUP(B3678,'112年全品項生產鍋數'!A:H,2,0)</f>
        <v>#N/A</v>
      </c>
      <c r="D3678" s="404"/>
      <c r="E3678" s="48" t="e">
        <f>VLOOKUP(B3678,'112年全品項生產鍋數'!A:H,3,0)</f>
        <v>#N/A</v>
      </c>
      <c r="F3678" s="142" t="e">
        <f>VLOOKUP(B3678,'112年全品項生產鍋數'!A:H,7,0)</f>
        <v>#N/A</v>
      </c>
      <c r="G3678" s="143" t="e">
        <f t="shared" si="611"/>
        <v>#N/A</v>
      </c>
      <c r="H3678" s="156"/>
      <c r="I3678" s="371" t="e">
        <f t="shared" si="612"/>
        <v>#N/A</v>
      </c>
      <c r="J3678" s="100" t="e">
        <f t="shared" si="613"/>
        <v>#N/A</v>
      </c>
      <c r="K3678" s="51" t="e">
        <f>VLOOKUP(B:B,'生產達成率(目標)'!A:C,3,0)</f>
        <v>#N/A</v>
      </c>
      <c r="L3678" s="20" t="e">
        <f t="shared" si="614"/>
        <v>#N/A</v>
      </c>
      <c r="M3678" s="137"/>
      <c r="N3678" s="374"/>
      <c r="O3678" s="374">
        <f t="shared" si="615"/>
        <v>0</v>
      </c>
      <c r="P3678" s="156"/>
      <c r="Q3678" s="98" t="e">
        <f t="shared" si="616"/>
        <v>#DIV/0!</v>
      </c>
      <c r="R3678" s="371"/>
      <c r="S3678" s="372"/>
      <c r="T3678" s="364"/>
      <c r="U3678" s="264"/>
      <c r="V3678" s="264"/>
      <c r="W3678" s="424"/>
      <c r="X3678" s="264" t="s">
        <v>1867</v>
      </c>
      <c r="Y3678" s="424"/>
      <c r="Z3678" s="424"/>
      <c r="AA3678" s="424"/>
      <c r="AB3678" s="424"/>
      <c r="AC3678" s="425">
        <f t="shared" si="617"/>
        <v>0</v>
      </c>
      <c r="AD3678" s="425">
        <f t="shared" si="618"/>
        <v>0</v>
      </c>
    </row>
    <row r="3679" spans="1:30" s="361" customFormat="1" x14ac:dyDescent="0.4">
      <c r="A3679" s="402"/>
      <c r="B3679" s="392"/>
      <c r="C3679" s="364" t="e">
        <f>VLOOKUP(B3679,'112年全品項生產鍋數'!A:H,2,0)</f>
        <v>#N/A</v>
      </c>
      <c r="D3679" s="404"/>
      <c r="E3679" s="48" t="e">
        <f>VLOOKUP(B3679,'112年全品項生產鍋數'!A:H,3,0)</f>
        <v>#N/A</v>
      </c>
      <c r="F3679" s="142" t="e">
        <f>VLOOKUP(B3679,'112年全品項生產鍋數'!A:H,7,0)</f>
        <v>#N/A</v>
      </c>
      <c r="G3679" s="143" t="e">
        <f t="shared" si="611"/>
        <v>#N/A</v>
      </c>
      <c r="H3679" s="156"/>
      <c r="I3679" s="371" t="e">
        <f t="shared" si="612"/>
        <v>#N/A</v>
      </c>
      <c r="J3679" s="100" t="e">
        <f t="shared" si="613"/>
        <v>#N/A</v>
      </c>
      <c r="K3679" s="51" t="e">
        <f>VLOOKUP(B:B,'生產達成率(目標)'!A:C,3,0)</f>
        <v>#N/A</v>
      </c>
      <c r="L3679" s="20" t="e">
        <f t="shared" si="614"/>
        <v>#N/A</v>
      </c>
      <c r="M3679" s="137"/>
      <c r="N3679" s="374"/>
      <c r="O3679" s="374">
        <f t="shared" si="615"/>
        <v>0</v>
      </c>
      <c r="P3679" s="156"/>
      <c r="Q3679" s="98" t="e">
        <f t="shared" si="616"/>
        <v>#DIV/0!</v>
      </c>
      <c r="R3679" s="371"/>
      <c r="S3679" s="372"/>
      <c r="T3679" s="364"/>
      <c r="U3679" s="264"/>
      <c r="V3679" s="264"/>
      <c r="W3679" s="424"/>
      <c r="X3679" s="264" t="s">
        <v>1867</v>
      </c>
      <c r="Y3679" s="424"/>
      <c r="Z3679" s="424"/>
      <c r="AA3679" s="424"/>
      <c r="AB3679" s="424"/>
      <c r="AC3679" s="425">
        <f t="shared" si="617"/>
        <v>0</v>
      </c>
      <c r="AD3679" s="425">
        <f t="shared" si="618"/>
        <v>0</v>
      </c>
    </row>
    <row r="3680" spans="1:30" s="361" customFormat="1" x14ac:dyDescent="0.4">
      <c r="A3680" s="402"/>
      <c r="B3680" s="392"/>
      <c r="C3680" s="364" t="e">
        <f>VLOOKUP(B3680,'112年全品項生產鍋數'!A:H,2,0)</f>
        <v>#N/A</v>
      </c>
      <c r="D3680" s="404"/>
      <c r="E3680" s="48" t="e">
        <f>VLOOKUP(B3680,'112年全品項生產鍋數'!A:H,3,0)</f>
        <v>#N/A</v>
      </c>
      <c r="F3680" s="142" t="e">
        <f>VLOOKUP(B3680,'112年全品項生產鍋數'!A:H,7,0)</f>
        <v>#N/A</v>
      </c>
      <c r="G3680" s="143" t="e">
        <f t="shared" si="611"/>
        <v>#N/A</v>
      </c>
      <c r="H3680" s="156"/>
      <c r="I3680" s="371" t="e">
        <f t="shared" si="612"/>
        <v>#N/A</v>
      </c>
      <c r="J3680" s="100" t="e">
        <f t="shared" si="613"/>
        <v>#N/A</v>
      </c>
      <c r="K3680" s="51" t="e">
        <f>VLOOKUP(B:B,'生產達成率(目標)'!A:C,3,0)</f>
        <v>#N/A</v>
      </c>
      <c r="L3680" s="20" t="e">
        <f t="shared" si="614"/>
        <v>#N/A</v>
      </c>
      <c r="M3680" s="137"/>
      <c r="N3680" s="374"/>
      <c r="O3680" s="374">
        <f t="shared" si="615"/>
        <v>0</v>
      </c>
      <c r="P3680" s="156"/>
      <c r="Q3680" s="98" t="e">
        <f t="shared" si="616"/>
        <v>#DIV/0!</v>
      </c>
      <c r="R3680" s="371"/>
      <c r="S3680" s="372"/>
      <c r="T3680" s="364"/>
      <c r="U3680" s="264"/>
      <c r="V3680" s="264"/>
      <c r="W3680" s="424"/>
      <c r="X3680" s="264" t="s">
        <v>1867</v>
      </c>
      <c r="Y3680" s="424"/>
      <c r="Z3680" s="424"/>
      <c r="AA3680" s="424"/>
      <c r="AB3680" s="424"/>
      <c r="AC3680" s="425">
        <f t="shared" si="617"/>
        <v>0</v>
      </c>
      <c r="AD3680" s="425">
        <f t="shared" si="618"/>
        <v>0</v>
      </c>
    </row>
    <row r="3681" spans="1:30" s="361" customFormat="1" x14ac:dyDescent="0.4">
      <c r="A3681" s="402"/>
      <c r="B3681" s="392"/>
      <c r="C3681" s="364" t="e">
        <f>VLOOKUP(B3681,'112年全品項生產鍋數'!A:H,2,0)</f>
        <v>#N/A</v>
      </c>
      <c r="D3681" s="404"/>
      <c r="E3681" s="48" t="e">
        <f>VLOOKUP(B3681,'112年全品項生產鍋數'!A:H,3,0)</f>
        <v>#N/A</v>
      </c>
      <c r="F3681" s="142" t="e">
        <f>VLOOKUP(B3681,'112年全品項生產鍋數'!A:H,7,0)</f>
        <v>#N/A</v>
      </c>
      <c r="G3681" s="143" t="e">
        <f t="shared" si="611"/>
        <v>#N/A</v>
      </c>
      <c r="H3681" s="156"/>
      <c r="I3681" s="371" t="e">
        <f t="shared" si="612"/>
        <v>#N/A</v>
      </c>
      <c r="J3681" s="100" t="e">
        <f t="shared" si="613"/>
        <v>#N/A</v>
      </c>
      <c r="K3681" s="51" t="e">
        <f>VLOOKUP(B:B,'生產達成率(目標)'!A:C,3,0)</f>
        <v>#N/A</v>
      </c>
      <c r="L3681" s="20" t="e">
        <f t="shared" si="614"/>
        <v>#N/A</v>
      </c>
      <c r="M3681" s="137"/>
      <c r="N3681" s="374"/>
      <c r="O3681" s="374">
        <f t="shared" si="615"/>
        <v>0</v>
      </c>
      <c r="P3681" s="156"/>
      <c r="Q3681" s="98" t="e">
        <f t="shared" si="616"/>
        <v>#DIV/0!</v>
      </c>
      <c r="R3681" s="371"/>
      <c r="S3681" s="372"/>
      <c r="T3681" s="364"/>
      <c r="U3681" s="264"/>
      <c r="V3681" s="264"/>
      <c r="W3681" s="424"/>
      <c r="X3681" s="264" t="s">
        <v>1867</v>
      </c>
      <c r="Y3681" s="424"/>
      <c r="Z3681" s="424"/>
      <c r="AA3681" s="424"/>
      <c r="AB3681" s="424"/>
      <c r="AC3681" s="425">
        <f t="shared" si="617"/>
        <v>0</v>
      </c>
      <c r="AD3681" s="425">
        <f t="shared" si="618"/>
        <v>0</v>
      </c>
    </row>
    <row r="3682" spans="1:30" s="361" customFormat="1" x14ac:dyDescent="0.4">
      <c r="A3682" s="402"/>
      <c r="B3682" s="392"/>
      <c r="C3682" s="364" t="e">
        <f>VLOOKUP(B3682,'112年全品項生產鍋數'!A:H,2,0)</f>
        <v>#N/A</v>
      </c>
      <c r="D3682" s="404"/>
      <c r="E3682" s="48" t="e">
        <f>VLOOKUP(B3682,'112年全品項生產鍋數'!A:H,3,0)</f>
        <v>#N/A</v>
      </c>
      <c r="F3682" s="142" t="e">
        <f>VLOOKUP(B3682,'112年全品項生產鍋數'!A:H,7,0)</f>
        <v>#N/A</v>
      </c>
      <c r="G3682" s="143" t="e">
        <f t="shared" si="611"/>
        <v>#N/A</v>
      </c>
      <c r="H3682" s="156"/>
      <c r="I3682" s="371" t="e">
        <f t="shared" si="612"/>
        <v>#N/A</v>
      </c>
      <c r="J3682" s="100" t="e">
        <f t="shared" si="613"/>
        <v>#N/A</v>
      </c>
      <c r="K3682" s="51" t="e">
        <f>VLOOKUP(B:B,'生產達成率(目標)'!A:C,3,0)</f>
        <v>#N/A</v>
      </c>
      <c r="L3682" s="20" t="e">
        <f t="shared" si="614"/>
        <v>#N/A</v>
      </c>
      <c r="M3682" s="137"/>
      <c r="N3682" s="374"/>
      <c r="O3682" s="374">
        <f t="shared" si="615"/>
        <v>0</v>
      </c>
      <c r="P3682" s="156"/>
      <c r="Q3682" s="98" t="e">
        <f t="shared" si="616"/>
        <v>#DIV/0!</v>
      </c>
      <c r="R3682" s="371"/>
      <c r="S3682" s="372"/>
      <c r="T3682" s="364"/>
      <c r="U3682" s="264"/>
      <c r="V3682" s="264"/>
      <c r="W3682" s="424"/>
      <c r="X3682" s="264" t="s">
        <v>1867</v>
      </c>
      <c r="Y3682" s="424"/>
      <c r="Z3682" s="424"/>
      <c r="AA3682" s="424"/>
      <c r="AB3682" s="424"/>
      <c r="AC3682" s="425">
        <f t="shared" si="617"/>
        <v>0</v>
      </c>
      <c r="AD3682" s="425">
        <f t="shared" si="618"/>
        <v>0</v>
      </c>
    </row>
    <row r="3683" spans="1:30" s="361" customFormat="1" x14ac:dyDescent="0.4">
      <c r="A3683" s="402"/>
      <c r="B3683" s="392"/>
      <c r="C3683" s="364" t="e">
        <f>VLOOKUP(B3683,'112年全品項生產鍋數'!A:H,2,0)</f>
        <v>#N/A</v>
      </c>
      <c r="D3683" s="404"/>
      <c r="E3683" s="48" t="e">
        <f>VLOOKUP(B3683,'112年全品項生產鍋數'!A:H,3,0)</f>
        <v>#N/A</v>
      </c>
      <c r="F3683" s="142" t="e">
        <f>VLOOKUP(B3683,'112年全品項生產鍋數'!A:H,7,0)</f>
        <v>#N/A</v>
      </c>
      <c r="G3683" s="143" t="e">
        <f t="shared" si="611"/>
        <v>#N/A</v>
      </c>
      <c r="H3683" s="156"/>
      <c r="I3683" s="371" t="e">
        <f t="shared" si="612"/>
        <v>#N/A</v>
      </c>
      <c r="J3683" s="100" t="e">
        <f t="shared" si="613"/>
        <v>#N/A</v>
      </c>
      <c r="K3683" s="51" t="e">
        <f>VLOOKUP(B:B,'生產達成率(目標)'!A:C,3,0)</f>
        <v>#N/A</v>
      </c>
      <c r="L3683" s="20" t="e">
        <f t="shared" si="614"/>
        <v>#N/A</v>
      </c>
      <c r="M3683" s="137"/>
      <c r="N3683" s="374"/>
      <c r="O3683" s="374">
        <f t="shared" si="615"/>
        <v>0</v>
      </c>
      <c r="P3683" s="156"/>
      <c r="Q3683" s="98" t="e">
        <f t="shared" si="616"/>
        <v>#DIV/0!</v>
      </c>
      <c r="R3683" s="371"/>
      <c r="S3683" s="372"/>
      <c r="T3683" s="364"/>
      <c r="U3683" s="264"/>
      <c r="V3683" s="264"/>
      <c r="W3683" s="424"/>
      <c r="X3683" s="264" t="s">
        <v>1867</v>
      </c>
      <c r="Y3683" s="424"/>
      <c r="Z3683" s="424"/>
      <c r="AA3683" s="424"/>
      <c r="AB3683" s="424"/>
      <c r="AC3683" s="425">
        <f t="shared" si="617"/>
        <v>0</v>
      </c>
      <c r="AD3683" s="425">
        <f t="shared" si="618"/>
        <v>0</v>
      </c>
    </row>
    <row r="3684" spans="1:30" s="361" customFormat="1" x14ac:dyDescent="0.4">
      <c r="A3684" s="402"/>
      <c r="B3684" s="392"/>
      <c r="C3684" s="364" t="e">
        <f>VLOOKUP(B3684,'112年全品項生產鍋數'!A:H,2,0)</f>
        <v>#N/A</v>
      </c>
      <c r="D3684" s="404"/>
      <c r="E3684" s="48" t="e">
        <f>VLOOKUP(B3684,'112年全品項生產鍋數'!A:H,3,0)</f>
        <v>#N/A</v>
      </c>
      <c r="F3684" s="142" t="e">
        <f>VLOOKUP(B3684,'112年全品項生產鍋數'!A:H,7,0)</f>
        <v>#N/A</v>
      </c>
      <c r="G3684" s="143" t="e">
        <f t="shared" si="611"/>
        <v>#N/A</v>
      </c>
      <c r="H3684" s="156"/>
      <c r="I3684" s="371" t="e">
        <f t="shared" si="612"/>
        <v>#N/A</v>
      </c>
      <c r="J3684" s="100" t="e">
        <f t="shared" si="613"/>
        <v>#N/A</v>
      </c>
      <c r="K3684" s="51" t="e">
        <f>VLOOKUP(B:B,'生產達成率(目標)'!A:C,3,0)</f>
        <v>#N/A</v>
      </c>
      <c r="L3684" s="20" t="e">
        <f t="shared" si="614"/>
        <v>#N/A</v>
      </c>
      <c r="M3684" s="137"/>
      <c r="N3684" s="374"/>
      <c r="O3684" s="374">
        <f t="shared" si="615"/>
        <v>0</v>
      </c>
      <c r="P3684" s="156"/>
      <c r="Q3684" s="98" t="e">
        <f t="shared" si="616"/>
        <v>#DIV/0!</v>
      </c>
      <c r="R3684" s="371"/>
      <c r="S3684" s="372"/>
      <c r="T3684" s="364"/>
      <c r="U3684" s="264"/>
      <c r="V3684" s="264"/>
      <c r="W3684" s="424"/>
      <c r="X3684" s="264" t="s">
        <v>1867</v>
      </c>
      <c r="Y3684" s="424"/>
      <c r="Z3684" s="424"/>
      <c r="AA3684" s="424"/>
      <c r="AB3684" s="424"/>
      <c r="AC3684" s="425">
        <f t="shared" si="617"/>
        <v>0</v>
      </c>
      <c r="AD3684" s="425">
        <f t="shared" si="618"/>
        <v>0</v>
      </c>
    </row>
    <row r="3685" spans="1:30" s="361" customFormat="1" x14ac:dyDescent="0.4">
      <c r="A3685" s="402"/>
      <c r="B3685" s="392"/>
      <c r="C3685" s="364" t="e">
        <f>VLOOKUP(B3685,'112年全品項生產鍋數'!A:H,2,0)</f>
        <v>#N/A</v>
      </c>
      <c r="D3685" s="404"/>
      <c r="E3685" s="48" t="e">
        <f>VLOOKUP(B3685,'112年全品項生產鍋數'!A:H,3,0)</f>
        <v>#N/A</v>
      </c>
      <c r="F3685" s="142" t="e">
        <f>VLOOKUP(B3685,'112年全品項生產鍋數'!A:H,7,0)</f>
        <v>#N/A</v>
      </c>
      <c r="G3685" s="143" t="e">
        <f t="shared" si="611"/>
        <v>#N/A</v>
      </c>
      <c r="H3685" s="156"/>
      <c r="I3685" s="371" t="e">
        <f t="shared" si="612"/>
        <v>#N/A</v>
      </c>
      <c r="J3685" s="100" t="e">
        <f t="shared" si="613"/>
        <v>#N/A</v>
      </c>
      <c r="K3685" s="51" t="e">
        <f>VLOOKUP(B:B,'生產達成率(目標)'!A:C,3,0)</f>
        <v>#N/A</v>
      </c>
      <c r="L3685" s="20" t="e">
        <f t="shared" si="614"/>
        <v>#N/A</v>
      </c>
      <c r="M3685" s="137"/>
      <c r="N3685" s="374"/>
      <c r="O3685" s="374">
        <f t="shared" si="615"/>
        <v>0</v>
      </c>
      <c r="P3685" s="156"/>
      <c r="Q3685" s="98" t="e">
        <f t="shared" si="616"/>
        <v>#DIV/0!</v>
      </c>
      <c r="R3685" s="371"/>
      <c r="S3685" s="372"/>
      <c r="T3685" s="364"/>
      <c r="U3685" s="264"/>
      <c r="V3685" s="264"/>
      <c r="W3685" s="424"/>
      <c r="X3685" s="264" t="s">
        <v>1867</v>
      </c>
      <c r="Y3685" s="424"/>
      <c r="Z3685" s="424"/>
      <c r="AA3685" s="424"/>
      <c r="AB3685" s="424"/>
      <c r="AC3685" s="425">
        <f t="shared" si="617"/>
        <v>0</v>
      </c>
      <c r="AD3685" s="425">
        <f t="shared" si="618"/>
        <v>0</v>
      </c>
    </row>
    <row r="3686" spans="1:30" s="361" customFormat="1" x14ac:dyDescent="0.4">
      <c r="A3686" s="402"/>
      <c r="B3686" s="392"/>
      <c r="C3686" s="364" t="e">
        <f>VLOOKUP(B3686,'112年全品項生產鍋數'!A:H,2,0)</f>
        <v>#N/A</v>
      </c>
      <c r="D3686" s="404"/>
      <c r="E3686" s="48" t="e">
        <f>VLOOKUP(B3686,'112年全品項生產鍋數'!A:H,3,0)</f>
        <v>#N/A</v>
      </c>
      <c r="F3686" s="142" t="e">
        <f>VLOOKUP(B3686,'112年全品項生產鍋數'!A:H,7,0)</f>
        <v>#N/A</v>
      </c>
      <c r="G3686" s="143" t="e">
        <f t="shared" si="611"/>
        <v>#N/A</v>
      </c>
      <c r="H3686" s="156"/>
      <c r="I3686" s="371" t="e">
        <f t="shared" si="612"/>
        <v>#N/A</v>
      </c>
      <c r="J3686" s="100" t="e">
        <f t="shared" si="613"/>
        <v>#N/A</v>
      </c>
      <c r="K3686" s="51" t="e">
        <f>VLOOKUP(B:B,'生產達成率(目標)'!A:C,3,0)</f>
        <v>#N/A</v>
      </c>
      <c r="L3686" s="20" t="e">
        <f t="shared" si="614"/>
        <v>#N/A</v>
      </c>
      <c r="M3686" s="137"/>
      <c r="N3686" s="374"/>
      <c r="O3686" s="374">
        <f t="shared" si="615"/>
        <v>0</v>
      </c>
      <c r="P3686" s="156"/>
      <c r="Q3686" s="98" t="e">
        <f t="shared" si="616"/>
        <v>#DIV/0!</v>
      </c>
      <c r="R3686" s="371"/>
      <c r="S3686" s="372"/>
      <c r="T3686" s="364"/>
      <c r="U3686" s="264"/>
      <c r="V3686" s="264"/>
      <c r="W3686" s="424"/>
      <c r="X3686" s="264" t="s">
        <v>1867</v>
      </c>
      <c r="Y3686" s="424"/>
      <c r="Z3686" s="424"/>
      <c r="AA3686" s="424"/>
      <c r="AB3686" s="424"/>
      <c r="AC3686" s="425">
        <f t="shared" si="617"/>
        <v>0</v>
      </c>
      <c r="AD3686" s="425">
        <f t="shared" si="618"/>
        <v>0</v>
      </c>
    </row>
    <row r="3687" spans="1:30" s="361" customFormat="1" x14ac:dyDescent="0.4">
      <c r="A3687" s="402"/>
      <c r="B3687" s="392"/>
      <c r="C3687" s="364" t="e">
        <f>VLOOKUP(B3687,'112年全品項生產鍋數'!A:H,2,0)</f>
        <v>#N/A</v>
      </c>
      <c r="D3687" s="404"/>
      <c r="E3687" s="48" t="e">
        <f>VLOOKUP(B3687,'112年全品項生產鍋數'!A:H,3,0)</f>
        <v>#N/A</v>
      </c>
      <c r="F3687" s="142" t="e">
        <f>VLOOKUP(B3687,'112年全品項生產鍋數'!A:H,7,0)</f>
        <v>#N/A</v>
      </c>
      <c r="G3687" s="143" t="e">
        <f t="shared" si="611"/>
        <v>#N/A</v>
      </c>
      <c r="H3687" s="156"/>
      <c r="I3687" s="371" t="e">
        <f t="shared" si="612"/>
        <v>#N/A</v>
      </c>
      <c r="J3687" s="100" t="e">
        <f t="shared" si="613"/>
        <v>#N/A</v>
      </c>
      <c r="K3687" s="51" t="e">
        <f>VLOOKUP(B:B,'生產達成率(目標)'!A:C,3,0)</f>
        <v>#N/A</v>
      </c>
      <c r="L3687" s="20" t="e">
        <f t="shared" si="614"/>
        <v>#N/A</v>
      </c>
      <c r="M3687" s="137"/>
      <c r="N3687" s="374"/>
      <c r="O3687" s="374">
        <f t="shared" si="615"/>
        <v>0</v>
      </c>
      <c r="P3687" s="156"/>
      <c r="Q3687" s="98" t="e">
        <f t="shared" si="616"/>
        <v>#DIV/0!</v>
      </c>
      <c r="R3687" s="371"/>
      <c r="S3687" s="372"/>
      <c r="T3687" s="364"/>
      <c r="U3687" s="264"/>
      <c r="V3687" s="264"/>
      <c r="W3687" s="424"/>
      <c r="X3687" s="264" t="s">
        <v>1867</v>
      </c>
      <c r="Y3687" s="424"/>
      <c r="Z3687" s="424"/>
      <c r="AA3687" s="424"/>
      <c r="AB3687" s="424"/>
      <c r="AC3687" s="425">
        <f t="shared" si="617"/>
        <v>0</v>
      </c>
      <c r="AD3687" s="425">
        <f t="shared" si="618"/>
        <v>0</v>
      </c>
    </row>
    <row r="3688" spans="1:30" s="361" customFormat="1" x14ac:dyDescent="0.4">
      <c r="A3688" s="402"/>
      <c r="B3688" s="392"/>
      <c r="C3688" s="364" t="e">
        <f>VLOOKUP(B3688,'112年全品項生產鍋數'!A:H,2,0)</f>
        <v>#N/A</v>
      </c>
      <c r="D3688" s="404"/>
      <c r="E3688" s="48" t="e">
        <f>VLOOKUP(B3688,'112年全品項生產鍋數'!A:H,3,0)</f>
        <v>#N/A</v>
      </c>
      <c r="F3688" s="142" t="e">
        <f>VLOOKUP(B3688,'112年全品項生產鍋數'!A:H,7,0)</f>
        <v>#N/A</v>
      </c>
      <c r="G3688" s="143" t="e">
        <f t="shared" si="611"/>
        <v>#N/A</v>
      </c>
      <c r="H3688" s="156"/>
      <c r="I3688" s="371" t="e">
        <f t="shared" si="612"/>
        <v>#N/A</v>
      </c>
      <c r="J3688" s="100" t="e">
        <f t="shared" si="613"/>
        <v>#N/A</v>
      </c>
      <c r="K3688" s="51" t="e">
        <f>VLOOKUP(B:B,'生產達成率(目標)'!A:C,3,0)</f>
        <v>#N/A</v>
      </c>
      <c r="L3688" s="20" t="e">
        <f t="shared" si="614"/>
        <v>#N/A</v>
      </c>
      <c r="M3688" s="137"/>
      <c r="N3688" s="374"/>
      <c r="O3688" s="374">
        <f t="shared" si="615"/>
        <v>0</v>
      </c>
      <c r="P3688" s="156"/>
      <c r="Q3688" s="98" t="e">
        <f t="shared" si="616"/>
        <v>#DIV/0!</v>
      </c>
      <c r="R3688" s="371"/>
      <c r="S3688" s="372"/>
      <c r="T3688" s="364"/>
      <c r="U3688" s="264"/>
      <c r="V3688" s="264"/>
      <c r="W3688" s="424"/>
      <c r="X3688" s="264" t="s">
        <v>1867</v>
      </c>
      <c r="Y3688" s="424"/>
      <c r="Z3688" s="424"/>
      <c r="AA3688" s="424"/>
      <c r="AB3688" s="424"/>
      <c r="AC3688" s="425">
        <f t="shared" si="617"/>
        <v>0</v>
      </c>
      <c r="AD3688" s="425">
        <f t="shared" si="618"/>
        <v>0</v>
      </c>
    </row>
    <row r="3689" spans="1:30" s="361" customFormat="1" x14ac:dyDescent="0.4">
      <c r="A3689" s="402"/>
      <c r="B3689" s="392"/>
      <c r="C3689" s="364" t="e">
        <f>VLOOKUP(B3689,'112年全品項生產鍋數'!A:H,2,0)</f>
        <v>#N/A</v>
      </c>
      <c r="D3689" s="404"/>
      <c r="E3689" s="48" t="e">
        <f>VLOOKUP(B3689,'112年全品項生產鍋數'!A:H,3,0)</f>
        <v>#N/A</v>
      </c>
      <c r="F3689" s="142" t="e">
        <f>VLOOKUP(B3689,'112年全品項生產鍋數'!A:H,7,0)</f>
        <v>#N/A</v>
      </c>
      <c r="G3689" s="143" t="e">
        <f t="shared" si="611"/>
        <v>#N/A</v>
      </c>
      <c r="H3689" s="156"/>
      <c r="I3689" s="371" t="e">
        <f t="shared" si="612"/>
        <v>#N/A</v>
      </c>
      <c r="J3689" s="100" t="e">
        <f t="shared" si="613"/>
        <v>#N/A</v>
      </c>
      <c r="K3689" s="51" t="e">
        <f>VLOOKUP(B:B,'生產達成率(目標)'!A:C,3,0)</f>
        <v>#N/A</v>
      </c>
      <c r="L3689" s="20" t="e">
        <f t="shared" si="614"/>
        <v>#N/A</v>
      </c>
      <c r="M3689" s="137"/>
      <c r="N3689" s="374"/>
      <c r="O3689" s="374">
        <f t="shared" si="615"/>
        <v>0</v>
      </c>
      <c r="P3689" s="156"/>
      <c r="Q3689" s="98" t="e">
        <f t="shared" si="616"/>
        <v>#DIV/0!</v>
      </c>
      <c r="R3689" s="371"/>
      <c r="S3689" s="372"/>
      <c r="T3689" s="364"/>
      <c r="U3689" s="264"/>
      <c r="V3689" s="264"/>
      <c r="W3689" s="424"/>
      <c r="X3689" s="264" t="s">
        <v>1867</v>
      </c>
      <c r="Y3689" s="424"/>
      <c r="Z3689" s="424"/>
      <c r="AA3689" s="424"/>
      <c r="AB3689" s="424"/>
      <c r="AC3689" s="425">
        <f t="shared" si="617"/>
        <v>0</v>
      </c>
      <c r="AD3689" s="425">
        <f t="shared" si="618"/>
        <v>0</v>
      </c>
    </row>
    <row r="3690" spans="1:30" s="361" customFormat="1" x14ac:dyDescent="0.4">
      <c r="A3690" s="402"/>
      <c r="B3690" s="392"/>
      <c r="C3690" s="364" t="e">
        <f>VLOOKUP(B3690,'112年全品項生產鍋數'!A:H,2,0)</f>
        <v>#N/A</v>
      </c>
      <c r="D3690" s="404"/>
      <c r="E3690" s="48" t="e">
        <f>VLOOKUP(B3690,'112年全品項生產鍋數'!A:H,3,0)</f>
        <v>#N/A</v>
      </c>
      <c r="F3690" s="142" t="e">
        <f>VLOOKUP(B3690,'112年全品項生產鍋數'!A:H,7,0)</f>
        <v>#N/A</v>
      </c>
      <c r="G3690" s="143" t="e">
        <f t="shared" si="611"/>
        <v>#N/A</v>
      </c>
      <c r="H3690" s="156"/>
      <c r="I3690" s="371" t="e">
        <f t="shared" si="612"/>
        <v>#N/A</v>
      </c>
      <c r="J3690" s="100" t="e">
        <f t="shared" si="613"/>
        <v>#N/A</v>
      </c>
      <c r="K3690" s="51" t="e">
        <f>VLOOKUP(B:B,'生產達成率(目標)'!A:C,3,0)</f>
        <v>#N/A</v>
      </c>
      <c r="L3690" s="20" t="e">
        <f t="shared" si="614"/>
        <v>#N/A</v>
      </c>
      <c r="M3690" s="137"/>
      <c r="N3690" s="374"/>
      <c r="O3690" s="374">
        <f t="shared" si="615"/>
        <v>0</v>
      </c>
      <c r="P3690" s="156"/>
      <c r="Q3690" s="98" t="e">
        <f t="shared" si="616"/>
        <v>#DIV/0!</v>
      </c>
      <c r="R3690" s="371"/>
      <c r="S3690" s="372"/>
      <c r="T3690" s="364"/>
      <c r="U3690" s="264"/>
      <c r="V3690" s="264"/>
      <c r="W3690" s="424"/>
      <c r="X3690" s="264" t="s">
        <v>1867</v>
      </c>
      <c r="Y3690" s="424"/>
      <c r="Z3690" s="424"/>
      <c r="AA3690" s="424"/>
      <c r="AB3690" s="424"/>
      <c r="AC3690" s="425">
        <f t="shared" si="617"/>
        <v>0</v>
      </c>
      <c r="AD3690" s="425">
        <f t="shared" si="618"/>
        <v>0</v>
      </c>
    </row>
    <row r="3691" spans="1:30" s="361" customFormat="1" x14ac:dyDescent="0.4">
      <c r="A3691" s="402"/>
      <c r="B3691" s="392"/>
      <c r="C3691" s="364" t="e">
        <f>VLOOKUP(B3691,'112年全品項生產鍋數'!A:H,2,0)</f>
        <v>#N/A</v>
      </c>
      <c r="D3691" s="404"/>
      <c r="E3691" s="48" t="e">
        <f>VLOOKUP(B3691,'112年全品項生產鍋數'!A:H,3,0)</f>
        <v>#N/A</v>
      </c>
      <c r="F3691" s="142" t="e">
        <f>VLOOKUP(B3691,'112年全品項生產鍋數'!A:H,7,0)</f>
        <v>#N/A</v>
      </c>
      <c r="G3691" s="143" t="e">
        <f t="shared" si="611"/>
        <v>#N/A</v>
      </c>
      <c r="H3691" s="156"/>
      <c r="I3691" s="371" t="e">
        <f t="shared" si="612"/>
        <v>#N/A</v>
      </c>
      <c r="J3691" s="100" t="e">
        <f t="shared" si="613"/>
        <v>#N/A</v>
      </c>
      <c r="K3691" s="51" t="e">
        <f>VLOOKUP(B:B,'生產達成率(目標)'!A:C,3,0)</f>
        <v>#N/A</v>
      </c>
      <c r="L3691" s="20" t="e">
        <f t="shared" si="614"/>
        <v>#N/A</v>
      </c>
      <c r="M3691" s="137"/>
      <c r="N3691" s="374"/>
      <c r="O3691" s="374">
        <f t="shared" si="615"/>
        <v>0</v>
      </c>
      <c r="P3691" s="156"/>
      <c r="Q3691" s="98" t="e">
        <f t="shared" si="616"/>
        <v>#DIV/0!</v>
      </c>
      <c r="R3691" s="371"/>
      <c r="S3691" s="372"/>
      <c r="T3691" s="364"/>
      <c r="U3691" s="264"/>
      <c r="V3691" s="264"/>
      <c r="W3691" s="424"/>
      <c r="X3691" s="264" t="s">
        <v>1867</v>
      </c>
      <c r="Y3691" s="424"/>
      <c r="Z3691" s="424"/>
      <c r="AA3691" s="424"/>
      <c r="AB3691" s="424"/>
      <c r="AC3691" s="425">
        <f t="shared" si="617"/>
        <v>0</v>
      </c>
      <c r="AD3691" s="425">
        <f t="shared" si="618"/>
        <v>0</v>
      </c>
    </row>
    <row r="3692" spans="1:30" s="361" customFormat="1" x14ac:dyDescent="0.4">
      <c r="A3692" s="402"/>
      <c r="B3692" s="392"/>
      <c r="C3692" s="364" t="e">
        <f>VLOOKUP(B3692,'112年全品項生產鍋數'!A:H,2,0)</f>
        <v>#N/A</v>
      </c>
      <c r="D3692" s="404"/>
      <c r="E3692" s="48" t="e">
        <f>VLOOKUP(B3692,'112年全品項生產鍋數'!A:H,3,0)</f>
        <v>#N/A</v>
      </c>
      <c r="F3692" s="142" t="e">
        <f>VLOOKUP(B3692,'112年全品項生產鍋數'!A:H,7,0)</f>
        <v>#N/A</v>
      </c>
      <c r="G3692" s="143" t="e">
        <f t="shared" si="611"/>
        <v>#N/A</v>
      </c>
      <c r="H3692" s="156"/>
      <c r="I3692" s="371" t="e">
        <f t="shared" si="612"/>
        <v>#N/A</v>
      </c>
      <c r="J3692" s="100" t="e">
        <f t="shared" si="613"/>
        <v>#N/A</v>
      </c>
      <c r="K3692" s="51" t="e">
        <f>VLOOKUP(B:B,'生產達成率(目標)'!A:C,3,0)</f>
        <v>#N/A</v>
      </c>
      <c r="L3692" s="20" t="e">
        <f t="shared" si="614"/>
        <v>#N/A</v>
      </c>
      <c r="M3692" s="137"/>
      <c r="N3692" s="374"/>
      <c r="O3692" s="374">
        <f t="shared" si="615"/>
        <v>0</v>
      </c>
      <c r="P3692" s="156"/>
      <c r="Q3692" s="98" t="e">
        <f t="shared" si="616"/>
        <v>#DIV/0!</v>
      </c>
      <c r="R3692" s="371"/>
      <c r="S3692" s="372"/>
      <c r="T3692" s="364"/>
      <c r="U3692" s="264"/>
      <c r="V3692" s="264"/>
      <c r="W3692" s="424"/>
      <c r="X3692" s="264" t="s">
        <v>1867</v>
      </c>
      <c r="Y3692" s="424"/>
      <c r="Z3692" s="424"/>
      <c r="AA3692" s="424"/>
      <c r="AB3692" s="424"/>
      <c r="AC3692" s="425">
        <f t="shared" si="617"/>
        <v>0</v>
      </c>
      <c r="AD3692" s="425">
        <f t="shared" si="618"/>
        <v>0</v>
      </c>
    </row>
    <row r="3693" spans="1:30" s="361" customFormat="1" x14ac:dyDescent="0.4">
      <c r="A3693" s="402"/>
      <c r="B3693" s="392"/>
      <c r="C3693" s="364" t="e">
        <f>VLOOKUP(B3693,'112年全品項生產鍋數'!A:H,2,0)</f>
        <v>#N/A</v>
      </c>
      <c r="D3693" s="404"/>
      <c r="E3693" s="48" t="e">
        <f>VLOOKUP(B3693,'112年全品項生產鍋數'!A:H,3,0)</f>
        <v>#N/A</v>
      </c>
      <c r="F3693" s="142" t="e">
        <f>VLOOKUP(B3693,'112年全品項生產鍋數'!A:H,7,0)</f>
        <v>#N/A</v>
      </c>
      <c r="G3693" s="143" t="e">
        <f t="shared" si="611"/>
        <v>#N/A</v>
      </c>
      <c r="H3693" s="156"/>
      <c r="I3693" s="371" t="e">
        <f t="shared" si="612"/>
        <v>#N/A</v>
      </c>
      <c r="J3693" s="100" t="e">
        <f t="shared" si="613"/>
        <v>#N/A</v>
      </c>
      <c r="K3693" s="51" t="e">
        <f>VLOOKUP(B:B,'生產達成率(目標)'!A:C,3,0)</f>
        <v>#N/A</v>
      </c>
      <c r="L3693" s="20" t="e">
        <f t="shared" si="614"/>
        <v>#N/A</v>
      </c>
      <c r="M3693" s="137"/>
      <c r="N3693" s="374"/>
      <c r="O3693" s="374">
        <f t="shared" si="615"/>
        <v>0</v>
      </c>
      <c r="P3693" s="156"/>
      <c r="Q3693" s="98" t="e">
        <f t="shared" si="616"/>
        <v>#DIV/0!</v>
      </c>
      <c r="R3693" s="371"/>
      <c r="S3693" s="372"/>
      <c r="T3693" s="364"/>
      <c r="U3693" s="264"/>
      <c r="V3693" s="264"/>
      <c r="W3693" s="424"/>
      <c r="X3693" s="264" t="s">
        <v>1867</v>
      </c>
      <c r="Y3693" s="424"/>
      <c r="Z3693" s="424"/>
      <c r="AA3693" s="424"/>
      <c r="AB3693" s="424"/>
      <c r="AC3693" s="425">
        <f t="shared" si="617"/>
        <v>0</v>
      </c>
      <c r="AD3693" s="425">
        <f t="shared" si="618"/>
        <v>0</v>
      </c>
    </row>
    <row r="3694" spans="1:30" s="361" customFormat="1" x14ac:dyDescent="0.4">
      <c r="A3694" s="402"/>
      <c r="B3694" s="392"/>
      <c r="C3694" s="364" t="e">
        <f>VLOOKUP(B3694,'112年全品項生產鍋數'!A:H,2,0)</f>
        <v>#N/A</v>
      </c>
      <c r="D3694" s="404"/>
      <c r="E3694" s="48" t="e">
        <f>VLOOKUP(B3694,'112年全品項生產鍋數'!A:H,3,0)</f>
        <v>#N/A</v>
      </c>
      <c r="F3694" s="142" t="e">
        <f>VLOOKUP(B3694,'112年全品項生產鍋數'!A:H,7,0)</f>
        <v>#N/A</v>
      </c>
      <c r="G3694" s="143" t="e">
        <f t="shared" si="611"/>
        <v>#N/A</v>
      </c>
      <c r="H3694" s="156"/>
      <c r="I3694" s="371" t="e">
        <f t="shared" si="612"/>
        <v>#N/A</v>
      </c>
      <c r="J3694" s="100" t="e">
        <f t="shared" si="613"/>
        <v>#N/A</v>
      </c>
      <c r="K3694" s="51" t="e">
        <f>VLOOKUP(B:B,'生產達成率(目標)'!A:C,3,0)</f>
        <v>#N/A</v>
      </c>
      <c r="L3694" s="20" t="e">
        <f t="shared" si="614"/>
        <v>#N/A</v>
      </c>
      <c r="M3694" s="137"/>
      <c r="N3694" s="374"/>
      <c r="O3694" s="374">
        <f t="shared" si="615"/>
        <v>0</v>
      </c>
      <c r="P3694" s="156"/>
      <c r="Q3694" s="98" t="e">
        <f t="shared" si="616"/>
        <v>#DIV/0!</v>
      </c>
      <c r="R3694" s="371"/>
      <c r="S3694" s="372"/>
      <c r="T3694" s="364"/>
      <c r="U3694" s="264"/>
      <c r="V3694" s="264"/>
      <c r="W3694" s="424"/>
      <c r="X3694" s="264" t="s">
        <v>1867</v>
      </c>
      <c r="Y3694" s="424"/>
      <c r="Z3694" s="424"/>
      <c r="AA3694" s="424"/>
      <c r="AB3694" s="424"/>
      <c r="AC3694" s="425">
        <f t="shared" si="617"/>
        <v>0</v>
      </c>
      <c r="AD3694" s="425">
        <f t="shared" si="618"/>
        <v>0</v>
      </c>
    </row>
    <row r="3695" spans="1:30" s="361" customFormat="1" x14ac:dyDescent="0.4">
      <c r="A3695" s="402"/>
      <c r="B3695" s="392"/>
      <c r="C3695" s="364" t="e">
        <f>VLOOKUP(B3695,'112年全品項生產鍋數'!A:H,2,0)</f>
        <v>#N/A</v>
      </c>
      <c r="D3695" s="404"/>
      <c r="E3695" s="48" t="e">
        <f>VLOOKUP(B3695,'112年全品項生產鍋數'!A:H,3,0)</f>
        <v>#N/A</v>
      </c>
      <c r="F3695" s="142" t="e">
        <f>VLOOKUP(B3695,'112年全品項生產鍋數'!A:H,7,0)</f>
        <v>#N/A</v>
      </c>
      <c r="G3695" s="143" t="e">
        <f t="shared" si="611"/>
        <v>#N/A</v>
      </c>
      <c r="H3695" s="156"/>
      <c r="I3695" s="371" t="e">
        <f t="shared" si="612"/>
        <v>#N/A</v>
      </c>
      <c r="J3695" s="100" t="e">
        <f t="shared" si="613"/>
        <v>#N/A</v>
      </c>
      <c r="K3695" s="51" t="e">
        <f>VLOOKUP(B:B,'生產達成率(目標)'!A:C,3,0)</f>
        <v>#N/A</v>
      </c>
      <c r="L3695" s="20" t="e">
        <f t="shared" si="614"/>
        <v>#N/A</v>
      </c>
      <c r="M3695" s="137"/>
      <c r="N3695" s="374"/>
      <c r="O3695" s="374">
        <f t="shared" si="615"/>
        <v>0</v>
      </c>
      <c r="P3695" s="156"/>
      <c r="Q3695" s="98" t="e">
        <f t="shared" si="616"/>
        <v>#DIV/0!</v>
      </c>
      <c r="R3695" s="371"/>
      <c r="S3695" s="372"/>
      <c r="T3695" s="364"/>
      <c r="U3695" s="264"/>
      <c r="V3695" s="264"/>
      <c r="W3695" s="424"/>
      <c r="X3695" s="264" t="s">
        <v>1867</v>
      </c>
      <c r="Y3695" s="424"/>
      <c r="Z3695" s="424"/>
      <c r="AA3695" s="424"/>
      <c r="AB3695" s="424"/>
      <c r="AC3695" s="425">
        <f t="shared" si="617"/>
        <v>0</v>
      </c>
      <c r="AD3695" s="425">
        <f t="shared" si="618"/>
        <v>0</v>
      </c>
    </row>
    <row r="3696" spans="1:30" s="361" customFormat="1" x14ac:dyDescent="0.4">
      <c r="A3696" s="402"/>
      <c r="B3696" s="392"/>
      <c r="C3696" s="364" t="e">
        <f>VLOOKUP(B3696,'112年全品項生產鍋數'!A:H,2,0)</f>
        <v>#N/A</v>
      </c>
      <c r="D3696" s="404"/>
      <c r="E3696" s="48" t="e">
        <f>VLOOKUP(B3696,'112年全品項生產鍋數'!A:H,3,0)</f>
        <v>#N/A</v>
      </c>
      <c r="F3696" s="142" t="e">
        <f>VLOOKUP(B3696,'112年全品項生產鍋數'!A:H,7,0)</f>
        <v>#N/A</v>
      </c>
      <c r="G3696" s="143" t="e">
        <f t="shared" si="611"/>
        <v>#N/A</v>
      </c>
      <c r="H3696" s="156"/>
      <c r="I3696" s="371" t="e">
        <f t="shared" si="612"/>
        <v>#N/A</v>
      </c>
      <c r="J3696" s="100" t="e">
        <f t="shared" si="613"/>
        <v>#N/A</v>
      </c>
      <c r="K3696" s="51" t="e">
        <f>VLOOKUP(B:B,'生產達成率(目標)'!A:C,3,0)</f>
        <v>#N/A</v>
      </c>
      <c r="L3696" s="20" t="e">
        <f t="shared" si="614"/>
        <v>#N/A</v>
      </c>
      <c r="M3696" s="137"/>
      <c r="N3696" s="374"/>
      <c r="O3696" s="374">
        <f t="shared" si="615"/>
        <v>0</v>
      </c>
      <c r="P3696" s="156"/>
      <c r="Q3696" s="98" t="e">
        <f t="shared" si="616"/>
        <v>#DIV/0!</v>
      </c>
      <c r="R3696" s="371"/>
      <c r="S3696" s="372"/>
      <c r="T3696" s="364"/>
      <c r="U3696" s="264"/>
      <c r="V3696" s="264"/>
      <c r="W3696" s="424"/>
      <c r="X3696" s="264" t="s">
        <v>1867</v>
      </c>
      <c r="Y3696" s="424"/>
      <c r="Z3696" s="424"/>
      <c r="AA3696" s="424"/>
      <c r="AB3696" s="424"/>
      <c r="AC3696" s="425">
        <f t="shared" si="617"/>
        <v>0</v>
      </c>
      <c r="AD3696" s="425">
        <f t="shared" si="618"/>
        <v>0</v>
      </c>
    </row>
    <row r="3697" spans="1:30" s="361" customFormat="1" x14ac:dyDescent="0.4">
      <c r="A3697" s="402"/>
      <c r="B3697" s="392"/>
      <c r="C3697" s="364" t="e">
        <f>VLOOKUP(B3697,'112年全品項生產鍋數'!A:H,2,0)</f>
        <v>#N/A</v>
      </c>
      <c r="D3697" s="404"/>
      <c r="E3697" s="48" t="e">
        <f>VLOOKUP(B3697,'112年全品項生產鍋數'!A:H,3,0)</f>
        <v>#N/A</v>
      </c>
      <c r="F3697" s="142" t="e">
        <f>VLOOKUP(B3697,'112年全品項生產鍋數'!A:H,7,0)</f>
        <v>#N/A</v>
      </c>
      <c r="G3697" s="143" t="e">
        <f t="shared" si="611"/>
        <v>#N/A</v>
      </c>
      <c r="H3697" s="156"/>
      <c r="I3697" s="371" t="e">
        <f t="shared" si="612"/>
        <v>#N/A</v>
      </c>
      <c r="J3697" s="100" t="e">
        <f t="shared" si="613"/>
        <v>#N/A</v>
      </c>
      <c r="K3697" s="51" t="e">
        <f>VLOOKUP(B:B,'生產達成率(目標)'!A:C,3,0)</f>
        <v>#N/A</v>
      </c>
      <c r="L3697" s="20" t="e">
        <f t="shared" si="614"/>
        <v>#N/A</v>
      </c>
      <c r="M3697" s="137"/>
      <c r="N3697" s="374"/>
      <c r="O3697" s="374">
        <f t="shared" si="615"/>
        <v>0</v>
      </c>
      <c r="P3697" s="156"/>
      <c r="Q3697" s="98" t="e">
        <f t="shared" si="616"/>
        <v>#DIV/0!</v>
      </c>
      <c r="R3697" s="371"/>
      <c r="S3697" s="372"/>
      <c r="T3697" s="364"/>
      <c r="U3697" s="264"/>
      <c r="V3697" s="264"/>
      <c r="W3697" s="424"/>
      <c r="X3697" s="264" t="s">
        <v>1867</v>
      </c>
      <c r="Y3697" s="424"/>
      <c r="Z3697" s="424"/>
      <c r="AA3697" s="424"/>
      <c r="AB3697" s="424"/>
      <c r="AC3697" s="425">
        <f t="shared" si="617"/>
        <v>0</v>
      </c>
      <c r="AD3697" s="425">
        <f t="shared" si="618"/>
        <v>0</v>
      </c>
    </row>
    <row r="3698" spans="1:30" s="361" customFormat="1" x14ac:dyDescent="0.4">
      <c r="A3698" s="402"/>
      <c r="B3698" s="392"/>
      <c r="C3698" s="364" t="e">
        <f>VLOOKUP(B3698,'112年全品項生產鍋數'!A:H,2,0)</f>
        <v>#N/A</v>
      </c>
      <c r="D3698" s="404"/>
      <c r="E3698" s="48" t="e">
        <f>VLOOKUP(B3698,'112年全品項生產鍋數'!A:H,3,0)</f>
        <v>#N/A</v>
      </c>
      <c r="F3698" s="142" t="e">
        <f>VLOOKUP(B3698,'112年全品項生產鍋數'!A:H,7,0)</f>
        <v>#N/A</v>
      </c>
      <c r="G3698" s="143" t="e">
        <f t="shared" si="611"/>
        <v>#N/A</v>
      </c>
      <c r="H3698" s="156"/>
      <c r="I3698" s="371" t="e">
        <f t="shared" si="612"/>
        <v>#N/A</v>
      </c>
      <c r="J3698" s="100" t="e">
        <f t="shared" si="613"/>
        <v>#N/A</v>
      </c>
      <c r="K3698" s="51" t="e">
        <f>VLOOKUP(B:B,'生產達成率(目標)'!A:C,3,0)</f>
        <v>#N/A</v>
      </c>
      <c r="L3698" s="20" t="e">
        <f t="shared" si="614"/>
        <v>#N/A</v>
      </c>
      <c r="M3698" s="137"/>
      <c r="N3698" s="374"/>
      <c r="O3698" s="374">
        <f t="shared" si="615"/>
        <v>0</v>
      </c>
      <c r="P3698" s="156"/>
      <c r="Q3698" s="98" t="e">
        <f t="shared" si="616"/>
        <v>#DIV/0!</v>
      </c>
      <c r="R3698" s="371"/>
      <c r="S3698" s="372"/>
      <c r="T3698" s="364"/>
      <c r="U3698" s="264"/>
      <c r="V3698" s="264"/>
      <c r="W3698" s="424"/>
      <c r="X3698" s="264" t="s">
        <v>1867</v>
      </c>
      <c r="Y3698" s="424"/>
      <c r="Z3698" s="424"/>
      <c r="AA3698" s="424"/>
      <c r="AB3698" s="424"/>
      <c r="AC3698" s="425">
        <f t="shared" si="617"/>
        <v>0</v>
      </c>
      <c r="AD3698" s="425">
        <f t="shared" si="618"/>
        <v>0</v>
      </c>
    </row>
    <row r="3699" spans="1:30" s="361" customFormat="1" x14ac:dyDescent="0.4">
      <c r="A3699" s="402"/>
      <c r="B3699" s="392"/>
      <c r="C3699" s="364" t="e">
        <f>VLOOKUP(B3699,'112年全品項生產鍋數'!A:H,2,0)</f>
        <v>#N/A</v>
      </c>
      <c r="D3699" s="404"/>
      <c r="E3699" s="48" t="e">
        <f>VLOOKUP(B3699,'112年全品項生產鍋數'!A:H,3,0)</f>
        <v>#N/A</v>
      </c>
      <c r="F3699" s="142" t="e">
        <f>VLOOKUP(B3699,'112年全品項生產鍋數'!A:H,7,0)</f>
        <v>#N/A</v>
      </c>
      <c r="G3699" s="143" t="e">
        <f t="shared" si="611"/>
        <v>#N/A</v>
      </c>
      <c r="H3699" s="156"/>
      <c r="I3699" s="371" t="e">
        <f t="shared" si="612"/>
        <v>#N/A</v>
      </c>
      <c r="J3699" s="100" t="e">
        <f t="shared" si="613"/>
        <v>#N/A</v>
      </c>
      <c r="K3699" s="51" t="e">
        <f>VLOOKUP(B:B,'生產達成率(目標)'!A:C,3,0)</f>
        <v>#N/A</v>
      </c>
      <c r="L3699" s="20" t="e">
        <f t="shared" si="614"/>
        <v>#N/A</v>
      </c>
      <c r="M3699" s="137"/>
      <c r="N3699" s="374"/>
      <c r="O3699" s="374">
        <f t="shared" si="615"/>
        <v>0</v>
      </c>
      <c r="P3699" s="156"/>
      <c r="Q3699" s="98" t="e">
        <f t="shared" si="616"/>
        <v>#DIV/0!</v>
      </c>
      <c r="R3699" s="371"/>
      <c r="S3699" s="372"/>
      <c r="T3699" s="364"/>
      <c r="U3699" s="264"/>
      <c r="V3699" s="264"/>
      <c r="W3699" s="424"/>
      <c r="X3699" s="264" t="s">
        <v>1867</v>
      </c>
      <c r="Y3699" s="424"/>
      <c r="Z3699" s="424"/>
      <c r="AA3699" s="424"/>
      <c r="AB3699" s="424"/>
      <c r="AC3699" s="425">
        <f t="shared" si="617"/>
        <v>0</v>
      </c>
      <c r="AD3699" s="425">
        <f t="shared" si="618"/>
        <v>0</v>
      </c>
    </row>
    <row r="3700" spans="1:30" s="361" customFormat="1" x14ac:dyDescent="0.4">
      <c r="A3700" s="402"/>
      <c r="B3700" s="392"/>
      <c r="C3700" s="364" t="e">
        <f>VLOOKUP(B3700,'112年全品項生產鍋數'!A:H,2,0)</f>
        <v>#N/A</v>
      </c>
      <c r="D3700" s="404"/>
      <c r="E3700" s="48" t="e">
        <f>VLOOKUP(B3700,'112年全品項生產鍋數'!A:H,3,0)</f>
        <v>#N/A</v>
      </c>
      <c r="F3700" s="142" t="e">
        <f>VLOOKUP(B3700,'112年全品項生產鍋數'!A:H,7,0)</f>
        <v>#N/A</v>
      </c>
      <c r="G3700" s="143" t="e">
        <f t="shared" si="611"/>
        <v>#N/A</v>
      </c>
      <c r="H3700" s="156"/>
      <c r="I3700" s="371" t="e">
        <f t="shared" si="612"/>
        <v>#N/A</v>
      </c>
      <c r="J3700" s="100" t="e">
        <f t="shared" si="613"/>
        <v>#N/A</v>
      </c>
      <c r="K3700" s="51" t="e">
        <f>VLOOKUP(B:B,'生產達成率(目標)'!A:C,3,0)</f>
        <v>#N/A</v>
      </c>
      <c r="L3700" s="20" t="e">
        <f t="shared" si="614"/>
        <v>#N/A</v>
      </c>
      <c r="M3700" s="137"/>
      <c r="N3700" s="374"/>
      <c r="O3700" s="374">
        <f t="shared" si="615"/>
        <v>0</v>
      </c>
      <c r="P3700" s="156"/>
      <c r="Q3700" s="98" t="e">
        <f t="shared" si="616"/>
        <v>#DIV/0!</v>
      </c>
      <c r="R3700" s="371"/>
      <c r="S3700" s="372"/>
      <c r="T3700" s="364"/>
      <c r="U3700" s="264"/>
      <c r="V3700" s="264"/>
      <c r="W3700" s="424"/>
      <c r="X3700" s="264" t="s">
        <v>1867</v>
      </c>
      <c r="Y3700" s="424"/>
      <c r="Z3700" s="424"/>
      <c r="AA3700" s="424"/>
      <c r="AB3700" s="424"/>
      <c r="AC3700" s="425">
        <f t="shared" si="617"/>
        <v>0</v>
      </c>
      <c r="AD3700" s="425">
        <f t="shared" si="618"/>
        <v>0</v>
      </c>
    </row>
    <row r="3701" spans="1:30" s="361" customFormat="1" x14ac:dyDescent="0.4">
      <c r="A3701" s="402"/>
      <c r="B3701" s="392"/>
      <c r="C3701" s="364" t="e">
        <f>VLOOKUP(B3701,'112年全品項生產鍋數'!A:H,2,0)</f>
        <v>#N/A</v>
      </c>
      <c r="D3701" s="404"/>
      <c r="E3701" s="48" t="e">
        <f>VLOOKUP(B3701,'112年全品項生產鍋數'!A:H,3,0)</f>
        <v>#N/A</v>
      </c>
      <c r="F3701" s="142" t="e">
        <f>VLOOKUP(B3701,'112年全品項生產鍋數'!A:H,7,0)</f>
        <v>#N/A</v>
      </c>
      <c r="G3701" s="143" t="e">
        <f t="shared" si="611"/>
        <v>#N/A</v>
      </c>
      <c r="H3701" s="156"/>
      <c r="I3701" s="371" t="e">
        <f t="shared" si="612"/>
        <v>#N/A</v>
      </c>
      <c r="J3701" s="100" t="e">
        <f t="shared" si="613"/>
        <v>#N/A</v>
      </c>
      <c r="K3701" s="51" t="e">
        <f>VLOOKUP(B:B,'生產達成率(目標)'!A:C,3,0)</f>
        <v>#N/A</v>
      </c>
      <c r="L3701" s="20" t="e">
        <f t="shared" si="614"/>
        <v>#N/A</v>
      </c>
      <c r="M3701" s="137"/>
      <c r="N3701" s="374"/>
      <c r="O3701" s="374">
        <f t="shared" si="615"/>
        <v>0</v>
      </c>
      <c r="P3701" s="156"/>
      <c r="Q3701" s="98" t="e">
        <f t="shared" si="616"/>
        <v>#DIV/0!</v>
      </c>
      <c r="R3701" s="371"/>
      <c r="S3701" s="372"/>
      <c r="T3701" s="364"/>
      <c r="U3701" s="264"/>
      <c r="V3701" s="264"/>
      <c r="W3701" s="424"/>
      <c r="X3701" s="264" t="s">
        <v>1867</v>
      </c>
      <c r="Y3701" s="424"/>
      <c r="Z3701" s="424"/>
      <c r="AA3701" s="424"/>
      <c r="AB3701" s="424"/>
      <c r="AC3701" s="425">
        <f t="shared" si="617"/>
        <v>0</v>
      </c>
      <c r="AD3701" s="425">
        <f t="shared" si="618"/>
        <v>0</v>
      </c>
    </row>
    <row r="3702" spans="1:30" s="361" customFormat="1" x14ac:dyDescent="0.4">
      <c r="A3702" s="402"/>
      <c r="B3702" s="392"/>
      <c r="C3702" s="364" t="e">
        <f>VLOOKUP(B3702,'112年全品項生產鍋數'!A:H,2,0)</f>
        <v>#N/A</v>
      </c>
      <c r="D3702" s="404"/>
      <c r="E3702" s="48" t="e">
        <f>VLOOKUP(B3702,'112年全品項生產鍋數'!A:H,3,0)</f>
        <v>#N/A</v>
      </c>
      <c r="F3702" s="142" t="e">
        <f>VLOOKUP(B3702,'112年全品項生產鍋數'!A:H,7,0)</f>
        <v>#N/A</v>
      </c>
      <c r="G3702" s="143" t="e">
        <f t="shared" si="611"/>
        <v>#N/A</v>
      </c>
      <c r="H3702" s="156"/>
      <c r="I3702" s="371" t="e">
        <f t="shared" si="612"/>
        <v>#N/A</v>
      </c>
      <c r="J3702" s="100" t="e">
        <f t="shared" si="613"/>
        <v>#N/A</v>
      </c>
      <c r="K3702" s="51" t="e">
        <f>VLOOKUP(B:B,'生產達成率(目標)'!A:C,3,0)</f>
        <v>#N/A</v>
      </c>
      <c r="L3702" s="20" t="e">
        <f t="shared" si="614"/>
        <v>#N/A</v>
      </c>
      <c r="M3702" s="137"/>
      <c r="N3702" s="374"/>
      <c r="O3702" s="374">
        <f t="shared" si="615"/>
        <v>0</v>
      </c>
      <c r="P3702" s="156"/>
      <c r="Q3702" s="98" t="e">
        <f t="shared" si="616"/>
        <v>#DIV/0!</v>
      </c>
      <c r="R3702" s="371"/>
      <c r="S3702" s="372"/>
      <c r="T3702" s="364"/>
      <c r="U3702" s="264"/>
      <c r="V3702" s="264"/>
      <c r="W3702" s="424"/>
      <c r="X3702" s="264" t="s">
        <v>1867</v>
      </c>
      <c r="Y3702" s="424"/>
      <c r="Z3702" s="424"/>
      <c r="AA3702" s="424"/>
      <c r="AB3702" s="424"/>
      <c r="AC3702" s="425">
        <f t="shared" si="617"/>
        <v>0</v>
      </c>
      <c r="AD3702" s="425">
        <f t="shared" si="618"/>
        <v>0</v>
      </c>
    </row>
    <row r="3703" spans="1:30" s="361" customFormat="1" x14ac:dyDescent="0.4">
      <c r="A3703" s="402"/>
      <c r="B3703" s="392"/>
      <c r="C3703" s="364" t="e">
        <f>VLOOKUP(B3703,'112年全品項生產鍋數'!A:H,2,0)</f>
        <v>#N/A</v>
      </c>
      <c r="D3703" s="404"/>
      <c r="E3703" s="48" t="e">
        <f>VLOOKUP(B3703,'112年全品項生產鍋數'!A:H,3,0)</f>
        <v>#N/A</v>
      </c>
      <c r="F3703" s="142" t="e">
        <f>VLOOKUP(B3703,'112年全品項生產鍋數'!A:H,7,0)</f>
        <v>#N/A</v>
      </c>
      <c r="G3703" s="143" t="e">
        <f t="shared" ref="G3703:G3766" si="619">D3703*F3703</f>
        <v>#N/A</v>
      </c>
      <c r="H3703" s="156"/>
      <c r="I3703" s="371" t="e">
        <f t="shared" ref="I3703:I3766" si="620">H3703*E3703</f>
        <v>#N/A</v>
      </c>
      <c r="J3703" s="100" t="e">
        <f t="shared" ref="J3703:J3766" si="621">IF(G3703=0,"無法預估數據",H3703/G3703)</f>
        <v>#N/A</v>
      </c>
      <c r="K3703" s="51" t="e">
        <f>VLOOKUP(B:B,'生產達成率(目標)'!A:C,3,0)</f>
        <v>#N/A</v>
      </c>
      <c r="L3703" s="20" t="e">
        <f t="shared" ref="L3703:L3766" si="622">IF(G3703=0,"無法預估數據",ROUND(J3703-K3703,3))</f>
        <v>#N/A</v>
      </c>
      <c r="M3703" s="137"/>
      <c r="N3703" s="374"/>
      <c r="O3703" s="374">
        <f t="shared" ref="O3703:O3766" si="623">H3703-N3703-P3703</f>
        <v>0</v>
      </c>
      <c r="P3703" s="156"/>
      <c r="Q3703" s="98" t="e">
        <f t="shared" ref="Q3703:Q3766" si="624">P3703/H3703</f>
        <v>#DIV/0!</v>
      </c>
      <c r="R3703" s="371"/>
      <c r="S3703" s="372"/>
      <c r="T3703" s="364"/>
      <c r="U3703" s="264"/>
      <c r="V3703" s="264"/>
      <c r="W3703" s="424"/>
      <c r="X3703" s="264" t="s">
        <v>1867</v>
      </c>
      <c r="Y3703" s="424"/>
      <c r="Z3703" s="424"/>
      <c r="AA3703" s="424"/>
      <c r="AB3703" s="424"/>
      <c r="AC3703" s="425">
        <f t="shared" si="617"/>
        <v>0</v>
      </c>
      <c r="AD3703" s="425">
        <f t="shared" si="618"/>
        <v>0</v>
      </c>
    </row>
    <row r="3704" spans="1:30" s="361" customFormat="1" x14ac:dyDescent="0.4">
      <c r="A3704" s="402"/>
      <c r="B3704" s="392"/>
      <c r="C3704" s="364" t="e">
        <f>VLOOKUP(B3704,'112年全品項生產鍋數'!A:H,2,0)</f>
        <v>#N/A</v>
      </c>
      <c r="D3704" s="404"/>
      <c r="E3704" s="48" t="e">
        <f>VLOOKUP(B3704,'112年全品項生產鍋數'!A:H,3,0)</f>
        <v>#N/A</v>
      </c>
      <c r="F3704" s="142" t="e">
        <f>VLOOKUP(B3704,'112年全品項生產鍋數'!A:H,7,0)</f>
        <v>#N/A</v>
      </c>
      <c r="G3704" s="143" t="e">
        <f t="shared" si="619"/>
        <v>#N/A</v>
      </c>
      <c r="H3704" s="156"/>
      <c r="I3704" s="371" t="e">
        <f t="shared" si="620"/>
        <v>#N/A</v>
      </c>
      <c r="J3704" s="100" t="e">
        <f t="shared" si="621"/>
        <v>#N/A</v>
      </c>
      <c r="K3704" s="51" t="e">
        <f>VLOOKUP(B:B,'生產達成率(目標)'!A:C,3,0)</f>
        <v>#N/A</v>
      </c>
      <c r="L3704" s="20" t="e">
        <f t="shared" si="622"/>
        <v>#N/A</v>
      </c>
      <c r="M3704" s="137"/>
      <c r="N3704" s="374"/>
      <c r="O3704" s="374">
        <f t="shared" si="623"/>
        <v>0</v>
      </c>
      <c r="P3704" s="156"/>
      <c r="Q3704" s="98" t="e">
        <f t="shared" si="624"/>
        <v>#DIV/0!</v>
      </c>
      <c r="R3704" s="371"/>
      <c r="S3704" s="372"/>
      <c r="T3704" s="364"/>
      <c r="U3704" s="264"/>
      <c r="V3704" s="264"/>
      <c r="W3704" s="424"/>
      <c r="X3704" s="264" t="s">
        <v>1867</v>
      </c>
      <c r="Y3704" s="424"/>
      <c r="Z3704" s="424"/>
      <c r="AA3704" s="424"/>
      <c r="AB3704" s="424"/>
      <c r="AC3704" s="425">
        <f t="shared" si="617"/>
        <v>0</v>
      </c>
      <c r="AD3704" s="425">
        <f t="shared" si="618"/>
        <v>0</v>
      </c>
    </row>
    <row r="3705" spans="1:30" s="361" customFormat="1" x14ac:dyDescent="0.4">
      <c r="A3705" s="402"/>
      <c r="B3705" s="392"/>
      <c r="C3705" s="364" t="e">
        <f>VLOOKUP(B3705,'112年全品項生產鍋數'!A:H,2,0)</f>
        <v>#N/A</v>
      </c>
      <c r="D3705" s="404"/>
      <c r="E3705" s="48" t="e">
        <f>VLOOKUP(B3705,'112年全品項生產鍋數'!A:H,3,0)</f>
        <v>#N/A</v>
      </c>
      <c r="F3705" s="142" t="e">
        <f>VLOOKUP(B3705,'112年全品項生產鍋數'!A:H,7,0)</f>
        <v>#N/A</v>
      </c>
      <c r="G3705" s="143" t="e">
        <f t="shared" si="619"/>
        <v>#N/A</v>
      </c>
      <c r="H3705" s="156"/>
      <c r="I3705" s="371" t="e">
        <f t="shared" si="620"/>
        <v>#N/A</v>
      </c>
      <c r="J3705" s="100" t="e">
        <f t="shared" si="621"/>
        <v>#N/A</v>
      </c>
      <c r="K3705" s="51" t="e">
        <f>VLOOKUP(B:B,'生產達成率(目標)'!A:C,3,0)</f>
        <v>#N/A</v>
      </c>
      <c r="L3705" s="20" t="e">
        <f t="shared" si="622"/>
        <v>#N/A</v>
      </c>
      <c r="M3705" s="137"/>
      <c r="N3705" s="374"/>
      <c r="O3705" s="374">
        <f t="shared" si="623"/>
        <v>0</v>
      </c>
      <c r="P3705" s="156"/>
      <c r="Q3705" s="98" t="e">
        <f t="shared" si="624"/>
        <v>#DIV/0!</v>
      </c>
      <c r="R3705" s="371"/>
      <c r="S3705" s="372"/>
      <c r="T3705" s="364"/>
      <c r="U3705" s="264"/>
      <c r="V3705" s="264"/>
      <c r="W3705" s="424"/>
      <c r="X3705" s="264" t="s">
        <v>1867</v>
      </c>
      <c r="Y3705" s="424"/>
      <c r="Z3705" s="424"/>
      <c r="AA3705" s="424"/>
      <c r="AB3705" s="424"/>
      <c r="AC3705" s="425">
        <f t="shared" si="617"/>
        <v>0</v>
      </c>
      <c r="AD3705" s="425">
        <f t="shared" si="618"/>
        <v>0</v>
      </c>
    </row>
    <row r="3706" spans="1:30" s="361" customFormat="1" x14ac:dyDescent="0.4">
      <c r="A3706" s="402"/>
      <c r="B3706" s="392"/>
      <c r="C3706" s="364" t="e">
        <f>VLOOKUP(B3706,'112年全品項生產鍋數'!A:H,2,0)</f>
        <v>#N/A</v>
      </c>
      <c r="D3706" s="404"/>
      <c r="E3706" s="48" t="e">
        <f>VLOOKUP(B3706,'112年全品項生產鍋數'!A:H,3,0)</f>
        <v>#N/A</v>
      </c>
      <c r="F3706" s="142" t="e">
        <f>VLOOKUP(B3706,'112年全品項生產鍋數'!A:H,7,0)</f>
        <v>#N/A</v>
      </c>
      <c r="G3706" s="143" t="e">
        <f t="shared" si="619"/>
        <v>#N/A</v>
      </c>
      <c r="H3706" s="156"/>
      <c r="I3706" s="371" t="e">
        <f t="shared" si="620"/>
        <v>#N/A</v>
      </c>
      <c r="J3706" s="100" t="e">
        <f t="shared" si="621"/>
        <v>#N/A</v>
      </c>
      <c r="K3706" s="51" t="e">
        <f>VLOOKUP(B:B,'生產達成率(目標)'!A:C,3,0)</f>
        <v>#N/A</v>
      </c>
      <c r="L3706" s="20" t="e">
        <f t="shared" si="622"/>
        <v>#N/A</v>
      </c>
      <c r="M3706" s="137"/>
      <c r="N3706" s="374"/>
      <c r="O3706" s="374">
        <f t="shared" si="623"/>
        <v>0</v>
      </c>
      <c r="P3706" s="156"/>
      <c r="Q3706" s="98" t="e">
        <f t="shared" si="624"/>
        <v>#DIV/0!</v>
      </c>
      <c r="R3706" s="371"/>
      <c r="S3706" s="372"/>
      <c r="T3706" s="364"/>
      <c r="U3706" s="264"/>
      <c r="V3706" s="264"/>
      <c r="W3706" s="424"/>
      <c r="X3706" s="264" t="s">
        <v>1867</v>
      </c>
      <c r="Y3706" s="424"/>
      <c r="Z3706" s="424"/>
      <c r="AA3706" s="424"/>
      <c r="AB3706" s="424"/>
      <c r="AC3706" s="425">
        <f t="shared" si="617"/>
        <v>0</v>
      </c>
      <c r="AD3706" s="425">
        <f t="shared" si="618"/>
        <v>0</v>
      </c>
    </row>
    <row r="3707" spans="1:30" s="361" customFormat="1" x14ac:dyDescent="0.4">
      <c r="A3707" s="402"/>
      <c r="B3707" s="392"/>
      <c r="C3707" s="364" t="e">
        <f>VLOOKUP(B3707,'112年全品項生產鍋數'!A:H,2,0)</f>
        <v>#N/A</v>
      </c>
      <c r="D3707" s="404"/>
      <c r="E3707" s="48" t="e">
        <f>VLOOKUP(B3707,'112年全品項生產鍋數'!A:H,3,0)</f>
        <v>#N/A</v>
      </c>
      <c r="F3707" s="142" t="e">
        <f>VLOOKUP(B3707,'112年全品項生產鍋數'!A:H,7,0)</f>
        <v>#N/A</v>
      </c>
      <c r="G3707" s="143" t="e">
        <f t="shared" si="619"/>
        <v>#N/A</v>
      </c>
      <c r="H3707" s="156"/>
      <c r="I3707" s="371" t="e">
        <f t="shared" si="620"/>
        <v>#N/A</v>
      </c>
      <c r="J3707" s="100" t="e">
        <f t="shared" si="621"/>
        <v>#N/A</v>
      </c>
      <c r="K3707" s="51" t="e">
        <f>VLOOKUP(B:B,'生產達成率(目標)'!A:C,3,0)</f>
        <v>#N/A</v>
      </c>
      <c r="L3707" s="20" t="e">
        <f t="shared" si="622"/>
        <v>#N/A</v>
      </c>
      <c r="M3707" s="137"/>
      <c r="N3707" s="374"/>
      <c r="O3707" s="374">
        <f t="shared" si="623"/>
        <v>0</v>
      </c>
      <c r="P3707" s="156"/>
      <c r="Q3707" s="98" t="e">
        <f t="shared" si="624"/>
        <v>#DIV/0!</v>
      </c>
      <c r="R3707" s="371"/>
      <c r="S3707" s="372"/>
      <c r="T3707" s="364"/>
      <c r="U3707" s="264"/>
      <c r="V3707" s="264"/>
      <c r="W3707" s="424"/>
      <c r="X3707" s="264" t="s">
        <v>1867</v>
      </c>
      <c r="Y3707" s="424"/>
      <c r="Z3707" s="424"/>
      <c r="AA3707" s="424"/>
      <c r="AB3707" s="424"/>
      <c r="AC3707" s="425">
        <f t="shared" si="617"/>
        <v>0</v>
      </c>
      <c r="AD3707" s="425">
        <f t="shared" si="618"/>
        <v>0</v>
      </c>
    </row>
    <row r="3708" spans="1:30" s="361" customFormat="1" x14ac:dyDescent="0.4">
      <c r="A3708" s="402"/>
      <c r="B3708" s="392"/>
      <c r="C3708" s="364" t="e">
        <f>VLOOKUP(B3708,'112年全品項生產鍋數'!A:H,2,0)</f>
        <v>#N/A</v>
      </c>
      <c r="D3708" s="404"/>
      <c r="E3708" s="48" t="e">
        <f>VLOOKUP(B3708,'112年全品項生產鍋數'!A:H,3,0)</f>
        <v>#N/A</v>
      </c>
      <c r="F3708" s="142" t="e">
        <f>VLOOKUP(B3708,'112年全品項生產鍋數'!A:H,7,0)</f>
        <v>#N/A</v>
      </c>
      <c r="G3708" s="143" t="e">
        <f t="shared" si="619"/>
        <v>#N/A</v>
      </c>
      <c r="H3708" s="156"/>
      <c r="I3708" s="371" t="e">
        <f t="shared" si="620"/>
        <v>#N/A</v>
      </c>
      <c r="J3708" s="100" t="e">
        <f t="shared" si="621"/>
        <v>#N/A</v>
      </c>
      <c r="K3708" s="51" t="e">
        <f>VLOOKUP(B:B,'生產達成率(目標)'!A:C,3,0)</f>
        <v>#N/A</v>
      </c>
      <c r="L3708" s="20" t="e">
        <f t="shared" si="622"/>
        <v>#N/A</v>
      </c>
      <c r="M3708" s="137"/>
      <c r="N3708" s="374"/>
      <c r="O3708" s="374">
        <f t="shared" si="623"/>
        <v>0</v>
      </c>
      <c r="P3708" s="156"/>
      <c r="Q3708" s="98" t="e">
        <f t="shared" si="624"/>
        <v>#DIV/0!</v>
      </c>
      <c r="R3708" s="371"/>
      <c r="S3708" s="372"/>
      <c r="T3708" s="364"/>
      <c r="U3708" s="264"/>
      <c r="V3708" s="264"/>
      <c r="W3708" s="424"/>
      <c r="X3708" s="264" t="s">
        <v>1867</v>
      </c>
      <c r="Y3708" s="424"/>
      <c r="Z3708" s="424"/>
      <c r="AA3708" s="424"/>
      <c r="AB3708" s="424"/>
      <c r="AC3708" s="425">
        <f t="shared" si="617"/>
        <v>0</v>
      </c>
      <c r="AD3708" s="425">
        <f t="shared" si="618"/>
        <v>0</v>
      </c>
    </row>
    <row r="3709" spans="1:30" s="361" customFormat="1" x14ac:dyDescent="0.4">
      <c r="A3709" s="402"/>
      <c r="B3709" s="392"/>
      <c r="C3709" s="364" t="e">
        <f>VLOOKUP(B3709,'112年全品項生產鍋數'!A:H,2,0)</f>
        <v>#N/A</v>
      </c>
      <c r="D3709" s="404"/>
      <c r="E3709" s="48" t="e">
        <f>VLOOKUP(B3709,'112年全品項生產鍋數'!A:H,3,0)</f>
        <v>#N/A</v>
      </c>
      <c r="F3709" s="142" t="e">
        <f>VLOOKUP(B3709,'112年全品項生產鍋數'!A:H,7,0)</f>
        <v>#N/A</v>
      </c>
      <c r="G3709" s="143" t="e">
        <f t="shared" si="619"/>
        <v>#N/A</v>
      </c>
      <c r="H3709" s="156"/>
      <c r="I3709" s="371" t="e">
        <f t="shared" si="620"/>
        <v>#N/A</v>
      </c>
      <c r="J3709" s="100" t="e">
        <f t="shared" si="621"/>
        <v>#N/A</v>
      </c>
      <c r="K3709" s="51" t="e">
        <f>VLOOKUP(B:B,'生產達成率(目標)'!A:C,3,0)</f>
        <v>#N/A</v>
      </c>
      <c r="L3709" s="20" t="e">
        <f t="shared" si="622"/>
        <v>#N/A</v>
      </c>
      <c r="M3709" s="137"/>
      <c r="N3709" s="374"/>
      <c r="O3709" s="374">
        <f t="shared" si="623"/>
        <v>0</v>
      </c>
      <c r="P3709" s="156"/>
      <c r="Q3709" s="98" t="e">
        <f t="shared" si="624"/>
        <v>#DIV/0!</v>
      </c>
      <c r="R3709" s="371"/>
      <c r="S3709" s="372"/>
      <c r="T3709" s="364"/>
      <c r="U3709" s="264"/>
      <c r="V3709" s="264"/>
      <c r="W3709" s="424"/>
      <c r="X3709" s="264" t="s">
        <v>1867</v>
      </c>
      <c r="Y3709" s="424"/>
      <c r="Z3709" s="424"/>
      <c r="AA3709" s="424"/>
      <c r="AB3709" s="424"/>
      <c r="AC3709" s="425">
        <f t="shared" si="617"/>
        <v>0</v>
      </c>
      <c r="AD3709" s="425">
        <f t="shared" si="618"/>
        <v>0</v>
      </c>
    </row>
    <row r="3710" spans="1:30" s="361" customFormat="1" x14ac:dyDescent="0.4">
      <c r="A3710" s="402"/>
      <c r="B3710" s="392"/>
      <c r="C3710" s="364" t="e">
        <f>VLOOKUP(B3710,'112年全品項生產鍋數'!A:H,2,0)</f>
        <v>#N/A</v>
      </c>
      <c r="D3710" s="404"/>
      <c r="E3710" s="48" t="e">
        <f>VLOOKUP(B3710,'112年全品項生產鍋數'!A:H,3,0)</f>
        <v>#N/A</v>
      </c>
      <c r="F3710" s="142" t="e">
        <f>VLOOKUP(B3710,'112年全品項生產鍋數'!A:H,7,0)</f>
        <v>#N/A</v>
      </c>
      <c r="G3710" s="143" t="e">
        <f t="shared" si="619"/>
        <v>#N/A</v>
      </c>
      <c r="H3710" s="156"/>
      <c r="I3710" s="371" t="e">
        <f t="shared" si="620"/>
        <v>#N/A</v>
      </c>
      <c r="J3710" s="100" t="e">
        <f t="shared" si="621"/>
        <v>#N/A</v>
      </c>
      <c r="K3710" s="51" t="e">
        <f>VLOOKUP(B:B,'生產達成率(目標)'!A:C,3,0)</f>
        <v>#N/A</v>
      </c>
      <c r="L3710" s="20" t="e">
        <f t="shared" si="622"/>
        <v>#N/A</v>
      </c>
      <c r="M3710" s="137"/>
      <c r="N3710" s="374"/>
      <c r="O3710" s="374">
        <f t="shared" si="623"/>
        <v>0</v>
      </c>
      <c r="P3710" s="156"/>
      <c r="Q3710" s="98" t="e">
        <f t="shared" si="624"/>
        <v>#DIV/0!</v>
      </c>
      <c r="R3710" s="371"/>
      <c r="S3710" s="372"/>
      <c r="T3710" s="364"/>
      <c r="U3710" s="264"/>
      <c r="V3710" s="264"/>
      <c r="W3710" s="424"/>
      <c r="X3710" s="264" t="s">
        <v>1867</v>
      </c>
      <c r="Y3710" s="424"/>
      <c r="Z3710" s="424"/>
      <c r="AA3710" s="424"/>
      <c r="AB3710" s="424"/>
      <c r="AC3710" s="425">
        <f t="shared" si="617"/>
        <v>0</v>
      </c>
      <c r="AD3710" s="425">
        <f t="shared" si="618"/>
        <v>0</v>
      </c>
    </row>
    <row r="3711" spans="1:30" s="361" customFormat="1" x14ac:dyDescent="0.4">
      <c r="A3711" s="402"/>
      <c r="B3711" s="392"/>
      <c r="C3711" s="364" t="e">
        <f>VLOOKUP(B3711,'112年全品項生產鍋數'!A:H,2,0)</f>
        <v>#N/A</v>
      </c>
      <c r="D3711" s="404"/>
      <c r="E3711" s="48" t="e">
        <f>VLOOKUP(B3711,'112年全品項生產鍋數'!A:H,3,0)</f>
        <v>#N/A</v>
      </c>
      <c r="F3711" s="142" t="e">
        <f>VLOOKUP(B3711,'112年全品項生產鍋數'!A:H,7,0)</f>
        <v>#N/A</v>
      </c>
      <c r="G3711" s="143" t="e">
        <f t="shared" si="619"/>
        <v>#N/A</v>
      </c>
      <c r="H3711" s="156"/>
      <c r="I3711" s="371" t="e">
        <f t="shared" si="620"/>
        <v>#N/A</v>
      </c>
      <c r="J3711" s="100" t="e">
        <f t="shared" si="621"/>
        <v>#N/A</v>
      </c>
      <c r="K3711" s="51" t="e">
        <f>VLOOKUP(B:B,'生產達成率(目標)'!A:C,3,0)</f>
        <v>#N/A</v>
      </c>
      <c r="L3711" s="20" t="e">
        <f t="shared" si="622"/>
        <v>#N/A</v>
      </c>
      <c r="M3711" s="137"/>
      <c r="N3711" s="374"/>
      <c r="O3711" s="374">
        <f t="shared" si="623"/>
        <v>0</v>
      </c>
      <c r="P3711" s="156"/>
      <c r="Q3711" s="98" t="e">
        <f t="shared" si="624"/>
        <v>#DIV/0!</v>
      </c>
      <c r="R3711" s="371"/>
      <c r="S3711" s="372"/>
      <c r="T3711" s="364"/>
      <c r="U3711" s="264"/>
      <c r="V3711" s="264"/>
      <c r="W3711" s="424"/>
      <c r="X3711" s="264" t="s">
        <v>1867</v>
      </c>
      <c r="Y3711" s="424"/>
      <c r="Z3711" s="424"/>
      <c r="AA3711" s="424"/>
      <c r="AB3711" s="424"/>
      <c r="AC3711" s="425">
        <f t="shared" si="617"/>
        <v>0</v>
      </c>
      <c r="AD3711" s="425">
        <f t="shared" si="618"/>
        <v>0</v>
      </c>
    </row>
    <row r="3712" spans="1:30" s="361" customFormat="1" x14ac:dyDescent="0.4">
      <c r="A3712" s="402"/>
      <c r="B3712" s="392"/>
      <c r="C3712" s="364" t="e">
        <f>VLOOKUP(B3712,'112年全品項生產鍋數'!A:H,2,0)</f>
        <v>#N/A</v>
      </c>
      <c r="D3712" s="404"/>
      <c r="E3712" s="48" t="e">
        <f>VLOOKUP(B3712,'112年全品項生產鍋數'!A:H,3,0)</f>
        <v>#N/A</v>
      </c>
      <c r="F3712" s="142" t="e">
        <f>VLOOKUP(B3712,'112年全品項生產鍋數'!A:H,7,0)</f>
        <v>#N/A</v>
      </c>
      <c r="G3712" s="143" t="e">
        <f t="shared" si="619"/>
        <v>#N/A</v>
      </c>
      <c r="H3712" s="156"/>
      <c r="I3712" s="371" t="e">
        <f t="shared" si="620"/>
        <v>#N/A</v>
      </c>
      <c r="J3712" s="100" t="e">
        <f t="shared" si="621"/>
        <v>#N/A</v>
      </c>
      <c r="K3712" s="51" t="e">
        <f>VLOOKUP(B:B,'生產達成率(目標)'!A:C,3,0)</f>
        <v>#N/A</v>
      </c>
      <c r="L3712" s="20" t="e">
        <f t="shared" si="622"/>
        <v>#N/A</v>
      </c>
      <c r="M3712" s="137"/>
      <c r="N3712" s="374"/>
      <c r="O3712" s="374">
        <f t="shared" si="623"/>
        <v>0</v>
      </c>
      <c r="P3712" s="156"/>
      <c r="Q3712" s="98" t="e">
        <f t="shared" si="624"/>
        <v>#DIV/0!</v>
      </c>
      <c r="R3712" s="371"/>
      <c r="S3712" s="372"/>
      <c r="T3712" s="364"/>
      <c r="U3712" s="264"/>
      <c r="V3712" s="264"/>
      <c r="W3712" s="424"/>
      <c r="X3712" s="264" t="s">
        <v>1867</v>
      </c>
      <c r="Y3712" s="424"/>
      <c r="Z3712" s="424"/>
      <c r="AA3712" s="424"/>
      <c r="AB3712" s="424"/>
      <c r="AC3712" s="425">
        <f t="shared" si="617"/>
        <v>0</v>
      </c>
      <c r="AD3712" s="425">
        <f t="shared" si="618"/>
        <v>0</v>
      </c>
    </row>
    <row r="3713" spans="1:30" s="361" customFormat="1" x14ac:dyDescent="0.4">
      <c r="A3713" s="402"/>
      <c r="B3713" s="392"/>
      <c r="C3713" s="364" t="e">
        <f>VLOOKUP(B3713,'112年全品項生產鍋數'!A:H,2,0)</f>
        <v>#N/A</v>
      </c>
      <c r="D3713" s="404"/>
      <c r="E3713" s="48" t="e">
        <f>VLOOKUP(B3713,'112年全品項生產鍋數'!A:H,3,0)</f>
        <v>#N/A</v>
      </c>
      <c r="F3713" s="142" t="e">
        <f>VLOOKUP(B3713,'112年全品項生產鍋數'!A:H,7,0)</f>
        <v>#N/A</v>
      </c>
      <c r="G3713" s="143" t="e">
        <f t="shared" si="619"/>
        <v>#N/A</v>
      </c>
      <c r="H3713" s="156"/>
      <c r="I3713" s="371" t="e">
        <f t="shared" si="620"/>
        <v>#N/A</v>
      </c>
      <c r="J3713" s="100" t="e">
        <f t="shared" si="621"/>
        <v>#N/A</v>
      </c>
      <c r="K3713" s="51" t="e">
        <f>VLOOKUP(B:B,'生產達成率(目標)'!A:C,3,0)</f>
        <v>#N/A</v>
      </c>
      <c r="L3713" s="20" t="e">
        <f t="shared" si="622"/>
        <v>#N/A</v>
      </c>
      <c r="M3713" s="137"/>
      <c r="N3713" s="374"/>
      <c r="O3713" s="374">
        <f t="shared" si="623"/>
        <v>0</v>
      </c>
      <c r="P3713" s="156"/>
      <c r="Q3713" s="98" t="e">
        <f t="shared" si="624"/>
        <v>#DIV/0!</v>
      </c>
      <c r="R3713" s="371"/>
      <c r="S3713" s="372"/>
      <c r="T3713" s="364"/>
      <c r="U3713" s="264"/>
      <c r="V3713" s="264"/>
      <c r="W3713" s="424"/>
      <c r="X3713" s="264" t="s">
        <v>1867</v>
      </c>
      <c r="Y3713" s="424"/>
      <c r="Z3713" s="424"/>
      <c r="AA3713" s="424"/>
      <c r="AB3713" s="424"/>
      <c r="AC3713" s="425">
        <f t="shared" si="617"/>
        <v>0</v>
      </c>
      <c r="AD3713" s="425">
        <f t="shared" si="618"/>
        <v>0</v>
      </c>
    </row>
    <row r="3714" spans="1:30" s="361" customFormat="1" x14ac:dyDescent="0.4">
      <c r="A3714" s="402"/>
      <c r="B3714" s="392"/>
      <c r="C3714" s="364" t="e">
        <f>VLOOKUP(B3714,'112年全品項生產鍋數'!A:H,2,0)</f>
        <v>#N/A</v>
      </c>
      <c r="D3714" s="404"/>
      <c r="E3714" s="48" t="e">
        <f>VLOOKUP(B3714,'112年全品項生產鍋數'!A:H,3,0)</f>
        <v>#N/A</v>
      </c>
      <c r="F3714" s="142" t="e">
        <f>VLOOKUP(B3714,'112年全品項生產鍋數'!A:H,7,0)</f>
        <v>#N/A</v>
      </c>
      <c r="G3714" s="143" t="e">
        <f t="shared" si="619"/>
        <v>#N/A</v>
      </c>
      <c r="H3714" s="156"/>
      <c r="I3714" s="371" t="e">
        <f t="shared" si="620"/>
        <v>#N/A</v>
      </c>
      <c r="J3714" s="100" t="e">
        <f t="shared" si="621"/>
        <v>#N/A</v>
      </c>
      <c r="K3714" s="51" t="e">
        <f>VLOOKUP(B:B,'生產達成率(目標)'!A:C,3,0)</f>
        <v>#N/A</v>
      </c>
      <c r="L3714" s="20" t="e">
        <f t="shared" si="622"/>
        <v>#N/A</v>
      </c>
      <c r="M3714" s="137"/>
      <c r="N3714" s="374"/>
      <c r="O3714" s="374">
        <f t="shared" si="623"/>
        <v>0</v>
      </c>
      <c r="P3714" s="156"/>
      <c r="Q3714" s="98" t="e">
        <f t="shared" si="624"/>
        <v>#DIV/0!</v>
      </c>
      <c r="R3714" s="371"/>
      <c r="S3714" s="372"/>
      <c r="T3714" s="364"/>
      <c r="U3714" s="264"/>
      <c r="V3714" s="264"/>
      <c r="W3714" s="424"/>
      <c r="X3714" s="264" t="s">
        <v>1867</v>
      </c>
      <c r="Y3714" s="424"/>
      <c r="Z3714" s="424"/>
      <c r="AA3714" s="424"/>
      <c r="AB3714" s="424"/>
      <c r="AC3714" s="425">
        <f t="shared" si="617"/>
        <v>0</v>
      </c>
      <c r="AD3714" s="425">
        <f t="shared" si="618"/>
        <v>0</v>
      </c>
    </row>
    <row r="3715" spans="1:30" s="361" customFormat="1" x14ac:dyDescent="0.4">
      <c r="A3715" s="402"/>
      <c r="B3715" s="392"/>
      <c r="C3715" s="364" t="e">
        <f>VLOOKUP(B3715,'112年全品項生產鍋數'!A:H,2,0)</f>
        <v>#N/A</v>
      </c>
      <c r="D3715" s="404"/>
      <c r="E3715" s="48" t="e">
        <f>VLOOKUP(B3715,'112年全品項生產鍋數'!A:H,3,0)</f>
        <v>#N/A</v>
      </c>
      <c r="F3715" s="142" t="e">
        <f>VLOOKUP(B3715,'112年全品項生產鍋數'!A:H,7,0)</f>
        <v>#N/A</v>
      </c>
      <c r="G3715" s="143" t="e">
        <f t="shared" si="619"/>
        <v>#N/A</v>
      </c>
      <c r="H3715" s="156"/>
      <c r="I3715" s="371" t="e">
        <f t="shared" si="620"/>
        <v>#N/A</v>
      </c>
      <c r="J3715" s="100" t="e">
        <f t="shared" si="621"/>
        <v>#N/A</v>
      </c>
      <c r="K3715" s="51" t="e">
        <f>VLOOKUP(B:B,'生產達成率(目標)'!A:C,3,0)</f>
        <v>#N/A</v>
      </c>
      <c r="L3715" s="20" t="e">
        <f t="shared" si="622"/>
        <v>#N/A</v>
      </c>
      <c r="M3715" s="137"/>
      <c r="N3715" s="374"/>
      <c r="O3715" s="374">
        <f t="shared" si="623"/>
        <v>0</v>
      </c>
      <c r="P3715" s="156"/>
      <c r="Q3715" s="98" t="e">
        <f t="shared" si="624"/>
        <v>#DIV/0!</v>
      </c>
      <c r="R3715" s="371"/>
      <c r="S3715" s="372"/>
      <c r="T3715" s="364"/>
      <c r="U3715" s="264"/>
      <c r="V3715" s="264"/>
      <c r="W3715" s="424"/>
      <c r="X3715" s="264" t="s">
        <v>1867</v>
      </c>
      <c r="Y3715" s="424"/>
      <c r="Z3715" s="424"/>
      <c r="AA3715" s="424"/>
      <c r="AB3715" s="424"/>
      <c r="AC3715" s="425">
        <f t="shared" si="617"/>
        <v>0</v>
      </c>
      <c r="AD3715" s="425">
        <f t="shared" si="618"/>
        <v>0</v>
      </c>
    </row>
    <row r="3716" spans="1:30" s="361" customFormat="1" x14ac:dyDescent="0.4">
      <c r="A3716" s="402"/>
      <c r="B3716" s="392"/>
      <c r="C3716" s="364" t="e">
        <f>VLOOKUP(B3716,'112年全品項生產鍋數'!A:H,2,0)</f>
        <v>#N/A</v>
      </c>
      <c r="D3716" s="404"/>
      <c r="E3716" s="48" t="e">
        <f>VLOOKUP(B3716,'112年全品項生產鍋數'!A:H,3,0)</f>
        <v>#N/A</v>
      </c>
      <c r="F3716" s="142" t="e">
        <f>VLOOKUP(B3716,'112年全品項生產鍋數'!A:H,7,0)</f>
        <v>#N/A</v>
      </c>
      <c r="G3716" s="143" t="e">
        <f t="shared" si="619"/>
        <v>#N/A</v>
      </c>
      <c r="H3716" s="156"/>
      <c r="I3716" s="371" t="e">
        <f t="shared" si="620"/>
        <v>#N/A</v>
      </c>
      <c r="J3716" s="100" t="e">
        <f t="shared" si="621"/>
        <v>#N/A</v>
      </c>
      <c r="K3716" s="51" t="e">
        <f>VLOOKUP(B:B,'生產達成率(目標)'!A:C,3,0)</f>
        <v>#N/A</v>
      </c>
      <c r="L3716" s="20" t="e">
        <f t="shared" si="622"/>
        <v>#N/A</v>
      </c>
      <c r="M3716" s="137"/>
      <c r="N3716" s="374"/>
      <c r="O3716" s="374">
        <f t="shared" si="623"/>
        <v>0</v>
      </c>
      <c r="P3716" s="156"/>
      <c r="Q3716" s="98" t="e">
        <f t="shared" si="624"/>
        <v>#DIV/0!</v>
      </c>
      <c r="R3716" s="371"/>
      <c r="S3716" s="372"/>
      <c r="T3716" s="364"/>
      <c r="U3716" s="264"/>
      <c r="V3716" s="264"/>
      <c r="W3716" s="424"/>
      <c r="X3716" s="264" t="s">
        <v>1867</v>
      </c>
      <c r="Y3716" s="424"/>
      <c r="Z3716" s="424"/>
      <c r="AA3716" s="424"/>
      <c r="AB3716" s="424"/>
      <c r="AC3716" s="425">
        <f t="shared" si="617"/>
        <v>0</v>
      </c>
      <c r="AD3716" s="425">
        <f t="shared" si="618"/>
        <v>0</v>
      </c>
    </row>
    <row r="3717" spans="1:30" s="361" customFormat="1" x14ac:dyDescent="0.4">
      <c r="A3717" s="402"/>
      <c r="B3717" s="392"/>
      <c r="C3717" s="364" t="e">
        <f>VLOOKUP(B3717,'112年全品項生產鍋數'!A:H,2,0)</f>
        <v>#N/A</v>
      </c>
      <c r="D3717" s="404"/>
      <c r="E3717" s="48" t="e">
        <f>VLOOKUP(B3717,'112年全品項生產鍋數'!A:H,3,0)</f>
        <v>#N/A</v>
      </c>
      <c r="F3717" s="142" t="e">
        <f>VLOOKUP(B3717,'112年全品項生產鍋數'!A:H,7,0)</f>
        <v>#N/A</v>
      </c>
      <c r="G3717" s="143" t="e">
        <f t="shared" si="619"/>
        <v>#N/A</v>
      </c>
      <c r="H3717" s="156"/>
      <c r="I3717" s="371" t="e">
        <f t="shared" si="620"/>
        <v>#N/A</v>
      </c>
      <c r="J3717" s="100" t="e">
        <f t="shared" si="621"/>
        <v>#N/A</v>
      </c>
      <c r="K3717" s="51" t="e">
        <f>VLOOKUP(B:B,'生產達成率(目標)'!A:C,3,0)</f>
        <v>#N/A</v>
      </c>
      <c r="L3717" s="20" t="e">
        <f t="shared" si="622"/>
        <v>#N/A</v>
      </c>
      <c r="M3717" s="137"/>
      <c r="N3717" s="374"/>
      <c r="O3717" s="374">
        <f t="shared" si="623"/>
        <v>0</v>
      </c>
      <c r="P3717" s="156"/>
      <c r="Q3717" s="98" t="e">
        <f t="shared" si="624"/>
        <v>#DIV/0!</v>
      </c>
      <c r="R3717" s="371"/>
      <c r="S3717" s="372"/>
      <c r="T3717" s="364"/>
      <c r="U3717" s="264"/>
      <c r="V3717" s="264"/>
      <c r="W3717" s="424"/>
      <c r="X3717" s="264" t="s">
        <v>1867</v>
      </c>
      <c r="Y3717" s="424"/>
      <c r="Z3717" s="424"/>
      <c r="AA3717" s="424"/>
      <c r="AB3717" s="424"/>
      <c r="AC3717" s="425">
        <f t="shared" si="617"/>
        <v>0</v>
      </c>
      <c r="AD3717" s="425">
        <f t="shared" si="618"/>
        <v>0</v>
      </c>
    </row>
    <row r="3718" spans="1:30" s="361" customFormat="1" x14ac:dyDescent="0.4">
      <c r="A3718" s="402"/>
      <c r="B3718" s="392"/>
      <c r="C3718" s="364" t="e">
        <f>VLOOKUP(B3718,'112年全品項生產鍋數'!A:H,2,0)</f>
        <v>#N/A</v>
      </c>
      <c r="D3718" s="404"/>
      <c r="E3718" s="48" t="e">
        <f>VLOOKUP(B3718,'112年全品項生產鍋數'!A:H,3,0)</f>
        <v>#N/A</v>
      </c>
      <c r="F3718" s="142" t="e">
        <f>VLOOKUP(B3718,'112年全品項生產鍋數'!A:H,7,0)</f>
        <v>#N/A</v>
      </c>
      <c r="G3718" s="143" t="e">
        <f t="shared" si="619"/>
        <v>#N/A</v>
      </c>
      <c r="H3718" s="156"/>
      <c r="I3718" s="371" t="e">
        <f t="shared" si="620"/>
        <v>#N/A</v>
      </c>
      <c r="J3718" s="100" t="e">
        <f t="shared" si="621"/>
        <v>#N/A</v>
      </c>
      <c r="K3718" s="51" t="e">
        <f>VLOOKUP(B:B,'生產達成率(目標)'!A:C,3,0)</f>
        <v>#N/A</v>
      </c>
      <c r="L3718" s="20" t="e">
        <f t="shared" si="622"/>
        <v>#N/A</v>
      </c>
      <c r="M3718" s="137"/>
      <c r="N3718" s="374"/>
      <c r="O3718" s="374">
        <f t="shared" si="623"/>
        <v>0</v>
      </c>
      <c r="P3718" s="156"/>
      <c r="Q3718" s="98" t="e">
        <f t="shared" si="624"/>
        <v>#DIV/0!</v>
      </c>
      <c r="R3718" s="371"/>
      <c r="S3718" s="372"/>
      <c r="T3718" s="364"/>
      <c r="U3718" s="264"/>
      <c r="V3718" s="264"/>
      <c r="W3718" s="424"/>
      <c r="X3718" s="264" t="s">
        <v>1867</v>
      </c>
      <c r="Y3718" s="424"/>
      <c r="Z3718" s="424"/>
      <c r="AA3718" s="424"/>
      <c r="AB3718" s="424"/>
      <c r="AC3718" s="425">
        <f t="shared" si="617"/>
        <v>0</v>
      </c>
      <c r="AD3718" s="425">
        <f t="shared" si="618"/>
        <v>0</v>
      </c>
    </row>
    <row r="3719" spans="1:30" s="361" customFormat="1" x14ac:dyDescent="0.4">
      <c r="A3719" s="402"/>
      <c r="B3719" s="392"/>
      <c r="C3719" s="364" t="e">
        <f>VLOOKUP(B3719,'112年全品項生產鍋數'!A:H,2,0)</f>
        <v>#N/A</v>
      </c>
      <c r="D3719" s="404"/>
      <c r="E3719" s="48" t="e">
        <f>VLOOKUP(B3719,'112年全品項生產鍋數'!A:H,3,0)</f>
        <v>#N/A</v>
      </c>
      <c r="F3719" s="142" t="e">
        <f>VLOOKUP(B3719,'112年全品項生產鍋數'!A:H,7,0)</f>
        <v>#N/A</v>
      </c>
      <c r="G3719" s="143" t="e">
        <f t="shared" si="619"/>
        <v>#N/A</v>
      </c>
      <c r="H3719" s="156"/>
      <c r="I3719" s="371" t="e">
        <f t="shared" si="620"/>
        <v>#N/A</v>
      </c>
      <c r="J3719" s="100" t="e">
        <f t="shared" si="621"/>
        <v>#N/A</v>
      </c>
      <c r="K3719" s="51" t="e">
        <f>VLOOKUP(B:B,'生產達成率(目標)'!A:C,3,0)</f>
        <v>#N/A</v>
      </c>
      <c r="L3719" s="20" t="e">
        <f t="shared" si="622"/>
        <v>#N/A</v>
      </c>
      <c r="M3719" s="137"/>
      <c r="N3719" s="374"/>
      <c r="O3719" s="374">
        <f t="shared" si="623"/>
        <v>0</v>
      </c>
      <c r="P3719" s="156"/>
      <c r="Q3719" s="98" t="e">
        <f t="shared" si="624"/>
        <v>#DIV/0!</v>
      </c>
      <c r="R3719" s="371"/>
      <c r="S3719" s="372"/>
      <c r="T3719" s="364"/>
      <c r="U3719" s="264"/>
      <c r="V3719" s="264"/>
      <c r="W3719" s="424"/>
      <c r="X3719" s="264" t="s">
        <v>1867</v>
      </c>
      <c r="Y3719" s="424"/>
      <c r="Z3719" s="424"/>
      <c r="AA3719" s="424"/>
      <c r="AB3719" s="424"/>
      <c r="AC3719" s="425">
        <f t="shared" si="617"/>
        <v>0</v>
      </c>
      <c r="AD3719" s="425">
        <f t="shared" si="618"/>
        <v>0</v>
      </c>
    </row>
    <row r="3720" spans="1:30" s="361" customFormat="1" x14ac:dyDescent="0.4">
      <c r="A3720" s="402"/>
      <c r="B3720" s="392"/>
      <c r="C3720" s="364" t="e">
        <f>VLOOKUP(B3720,'112年全品項生產鍋數'!A:H,2,0)</f>
        <v>#N/A</v>
      </c>
      <c r="D3720" s="404"/>
      <c r="E3720" s="48" t="e">
        <f>VLOOKUP(B3720,'112年全品項生產鍋數'!A:H,3,0)</f>
        <v>#N/A</v>
      </c>
      <c r="F3720" s="142" t="e">
        <f>VLOOKUP(B3720,'112年全品項生產鍋數'!A:H,7,0)</f>
        <v>#N/A</v>
      </c>
      <c r="G3720" s="143" t="e">
        <f t="shared" si="619"/>
        <v>#N/A</v>
      </c>
      <c r="H3720" s="156"/>
      <c r="I3720" s="371" t="e">
        <f t="shared" si="620"/>
        <v>#N/A</v>
      </c>
      <c r="J3720" s="100" t="e">
        <f t="shared" si="621"/>
        <v>#N/A</v>
      </c>
      <c r="K3720" s="51" t="e">
        <f>VLOOKUP(B:B,'生產達成率(目標)'!A:C,3,0)</f>
        <v>#N/A</v>
      </c>
      <c r="L3720" s="20" t="e">
        <f t="shared" si="622"/>
        <v>#N/A</v>
      </c>
      <c r="M3720" s="137"/>
      <c r="N3720" s="374"/>
      <c r="O3720" s="374">
        <f t="shared" si="623"/>
        <v>0</v>
      </c>
      <c r="P3720" s="156"/>
      <c r="Q3720" s="98" t="e">
        <f t="shared" si="624"/>
        <v>#DIV/0!</v>
      </c>
      <c r="R3720" s="371"/>
      <c r="S3720" s="372"/>
      <c r="T3720" s="364"/>
      <c r="U3720" s="264"/>
      <c r="V3720" s="264"/>
      <c r="W3720" s="424"/>
      <c r="X3720" s="264" t="s">
        <v>1867</v>
      </c>
      <c r="Y3720" s="424"/>
      <c r="Z3720" s="424"/>
      <c r="AA3720" s="424"/>
      <c r="AB3720" s="424"/>
      <c r="AC3720" s="425">
        <f t="shared" si="617"/>
        <v>0</v>
      </c>
      <c r="AD3720" s="425">
        <f t="shared" si="618"/>
        <v>0</v>
      </c>
    </row>
    <row r="3721" spans="1:30" s="361" customFormat="1" x14ac:dyDescent="0.4">
      <c r="A3721" s="402"/>
      <c r="B3721" s="392"/>
      <c r="C3721" s="364" t="e">
        <f>VLOOKUP(B3721,'112年全品項生產鍋數'!A:H,2,0)</f>
        <v>#N/A</v>
      </c>
      <c r="D3721" s="404"/>
      <c r="E3721" s="48" t="e">
        <f>VLOOKUP(B3721,'112年全品項生產鍋數'!A:H,3,0)</f>
        <v>#N/A</v>
      </c>
      <c r="F3721" s="142" t="e">
        <f>VLOOKUP(B3721,'112年全品項生產鍋數'!A:H,7,0)</f>
        <v>#N/A</v>
      </c>
      <c r="G3721" s="143" t="e">
        <f t="shared" si="619"/>
        <v>#N/A</v>
      </c>
      <c r="H3721" s="156"/>
      <c r="I3721" s="371" t="e">
        <f t="shared" si="620"/>
        <v>#N/A</v>
      </c>
      <c r="J3721" s="100" t="e">
        <f t="shared" si="621"/>
        <v>#N/A</v>
      </c>
      <c r="K3721" s="51" t="e">
        <f>VLOOKUP(B:B,'生產達成率(目標)'!A:C,3,0)</f>
        <v>#N/A</v>
      </c>
      <c r="L3721" s="20" t="e">
        <f t="shared" si="622"/>
        <v>#N/A</v>
      </c>
      <c r="M3721" s="137"/>
      <c r="N3721" s="374"/>
      <c r="O3721" s="374">
        <f t="shared" si="623"/>
        <v>0</v>
      </c>
      <c r="P3721" s="156"/>
      <c r="Q3721" s="98" t="e">
        <f t="shared" si="624"/>
        <v>#DIV/0!</v>
      </c>
      <c r="R3721" s="371"/>
      <c r="S3721" s="372"/>
      <c r="T3721" s="364"/>
      <c r="U3721" s="264"/>
      <c r="V3721" s="264"/>
      <c r="W3721" s="424"/>
      <c r="X3721" s="264" t="s">
        <v>1867</v>
      </c>
      <c r="Y3721" s="424"/>
      <c r="Z3721" s="424"/>
      <c r="AA3721" s="424"/>
      <c r="AB3721" s="424"/>
      <c r="AC3721" s="425">
        <f t="shared" si="617"/>
        <v>0</v>
      </c>
      <c r="AD3721" s="425">
        <f t="shared" si="618"/>
        <v>0</v>
      </c>
    </row>
    <row r="3722" spans="1:30" s="361" customFormat="1" x14ac:dyDescent="0.4">
      <c r="A3722" s="402"/>
      <c r="B3722" s="392"/>
      <c r="C3722" s="364" t="e">
        <f>VLOOKUP(B3722,'112年全品項生產鍋數'!A:H,2,0)</f>
        <v>#N/A</v>
      </c>
      <c r="D3722" s="404"/>
      <c r="E3722" s="48" t="e">
        <f>VLOOKUP(B3722,'112年全品項生產鍋數'!A:H,3,0)</f>
        <v>#N/A</v>
      </c>
      <c r="F3722" s="142" t="e">
        <f>VLOOKUP(B3722,'112年全品項生產鍋數'!A:H,7,0)</f>
        <v>#N/A</v>
      </c>
      <c r="G3722" s="143" t="e">
        <f t="shared" si="619"/>
        <v>#N/A</v>
      </c>
      <c r="H3722" s="156"/>
      <c r="I3722" s="371" t="e">
        <f t="shared" si="620"/>
        <v>#N/A</v>
      </c>
      <c r="J3722" s="100" t="e">
        <f t="shared" si="621"/>
        <v>#N/A</v>
      </c>
      <c r="K3722" s="51" t="e">
        <f>VLOOKUP(B:B,'生產達成率(目標)'!A:C,3,0)</f>
        <v>#N/A</v>
      </c>
      <c r="L3722" s="20" t="e">
        <f t="shared" si="622"/>
        <v>#N/A</v>
      </c>
      <c r="M3722" s="137"/>
      <c r="N3722" s="374"/>
      <c r="O3722" s="374">
        <f t="shared" si="623"/>
        <v>0</v>
      </c>
      <c r="P3722" s="156"/>
      <c r="Q3722" s="98" t="e">
        <f t="shared" si="624"/>
        <v>#DIV/0!</v>
      </c>
      <c r="R3722" s="371"/>
      <c r="S3722" s="372"/>
      <c r="T3722" s="364"/>
      <c r="U3722" s="264"/>
      <c r="V3722" s="264"/>
      <c r="W3722" s="424"/>
      <c r="X3722" s="264" t="s">
        <v>1867</v>
      </c>
      <c r="Y3722" s="424"/>
      <c r="Z3722" s="424"/>
      <c r="AA3722" s="424"/>
      <c r="AB3722" s="424"/>
      <c r="AC3722" s="425">
        <f t="shared" si="617"/>
        <v>0</v>
      </c>
      <c r="AD3722" s="425">
        <f t="shared" si="618"/>
        <v>0</v>
      </c>
    </row>
    <row r="3723" spans="1:30" s="361" customFormat="1" x14ac:dyDescent="0.4">
      <c r="A3723" s="402"/>
      <c r="B3723" s="392"/>
      <c r="C3723" s="364" t="e">
        <f>VLOOKUP(B3723,'112年全品項生產鍋數'!A:H,2,0)</f>
        <v>#N/A</v>
      </c>
      <c r="D3723" s="404"/>
      <c r="E3723" s="48" t="e">
        <f>VLOOKUP(B3723,'112年全品項生產鍋數'!A:H,3,0)</f>
        <v>#N/A</v>
      </c>
      <c r="F3723" s="142" t="e">
        <f>VLOOKUP(B3723,'112年全品項生產鍋數'!A:H,7,0)</f>
        <v>#N/A</v>
      </c>
      <c r="G3723" s="143" t="e">
        <f t="shared" si="619"/>
        <v>#N/A</v>
      </c>
      <c r="H3723" s="156"/>
      <c r="I3723" s="371" t="e">
        <f t="shared" si="620"/>
        <v>#N/A</v>
      </c>
      <c r="J3723" s="100" t="e">
        <f t="shared" si="621"/>
        <v>#N/A</v>
      </c>
      <c r="K3723" s="51" t="e">
        <f>VLOOKUP(B:B,'生產達成率(目標)'!A:C,3,0)</f>
        <v>#N/A</v>
      </c>
      <c r="L3723" s="20" t="e">
        <f t="shared" si="622"/>
        <v>#N/A</v>
      </c>
      <c r="M3723" s="137"/>
      <c r="N3723" s="374"/>
      <c r="O3723" s="374">
        <f t="shared" si="623"/>
        <v>0</v>
      </c>
      <c r="P3723" s="156"/>
      <c r="Q3723" s="98" t="e">
        <f t="shared" si="624"/>
        <v>#DIV/0!</v>
      </c>
      <c r="R3723" s="371"/>
      <c r="S3723" s="372"/>
      <c r="T3723" s="364"/>
      <c r="U3723" s="264"/>
      <c r="V3723" s="264"/>
      <c r="W3723" s="424"/>
      <c r="X3723" s="264" t="s">
        <v>1867</v>
      </c>
      <c r="Y3723" s="424"/>
      <c r="Z3723" s="424"/>
      <c r="AA3723" s="424"/>
      <c r="AB3723" s="424"/>
      <c r="AC3723" s="425">
        <f t="shared" si="617"/>
        <v>0</v>
      </c>
      <c r="AD3723" s="425">
        <f t="shared" si="618"/>
        <v>0</v>
      </c>
    </row>
    <row r="3724" spans="1:30" s="361" customFormat="1" x14ac:dyDescent="0.4">
      <c r="A3724" s="402"/>
      <c r="B3724" s="392"/>
      <c r="C3724" s="364" t="e">
        <f>VLOOKUP(B3724,'112年全品項生產鍋數'!A:H,2,0)</f>
        <v>#N/A</v>
      </c>
      <c r="D3724" s="404"/>
      <c r="E3724" s="48" t="e">
        <f>VLOOKUP(B3724,'112年全品項生產鍋數'!A:H,3,0)</f>
        <v>#N/A</v>
      </c>
      <c r="F3724" s="142" t="e">
        <f>VLOOKUP(B3724,'112年全品項生產鍋數'!A:H,7,0)</f>
        <v>#N/A</v>
      </c>
      <c r="G3724" s="143" t="e">
        <f t="shared" si="619"/>
        <v>#N/A</v>
      </c>
      <c r="H3724" s="156"/>
      <c r="I3724" s="371" t="e">
        <f t="shared" si="620"/>
        <v>#N/A</v>
      </c>
      <c r="J3724" s="100" t="e">
        <f t="shared" si="621"/>
        <v>#N/A</v>
      </c>
      <c r="K3724" s="51" t="e">
        <f>VLOOKUP(B:B,'生產達成率(目標)'!A:C,3,0)</f>
        <v>#N/A</v>
      </c>
      <c r="L3724" s="20" t="e">
        <f t="shared" si="622"/>
        <v>#N/A</v>
      </c>
      <c r="M3724" s="137"/>
      <c r="N3724" s="374"/>
      <c r="O3724" s="374">
        <f t="shared" si="623"/>
        <v>0</v>
      </c>
      <c r="P3724" s="156"/>
      <c r="Q3724" s="98" t="e">
        <f t="shared" si="624"/>
        <v>#DIV/0!</v>
      </c>
      <c r="R3724" s="371"/>
      <c r="S3724" s="372"/>
      <c r="T3724" s="364"/>
      <c r="U3724" s="264"/>
      <c r="V3724" s="264"/>
      <c r="W3724" s="424"/>
      <c r="X3724" s="264" t="s">
        <v>1867</v>
      </c>
      <c r="Y3724" s="424"/>
      <c r="Z3724" s="424"/>
      <c r="AA3724" s="424"/>
      <c r="AB3724" s="424"/>
      <c r="AC3724" s="425">
        <f t="shared" si="617"/>
        <v>0</v>
      </c>
      <c r="AD3724" s="425">
        <f t="shared" si="618"/>
        <v>0</v>
      </c>
    </row>
    <row r="3725" spans="1:30" s="361" customFormat="1" x14ac:dyDescent="0.4">
      <c r="A3725" s="402"/>
      <c r="B3725" s="392"/>
      <c r="C3725" s="364" t="e">
        <f>VLOOKUP(B3725,'112年全品項生產鍋數'!A:H,2,0)</f>
        <v>#N/A</v>
      </c>
      <c r="D3725" s="404"/>
      <c r="E3725" s="48" t="e">
        <f>VLOOKUP(B3725,'112年全品項生產鍋數'!A:H,3,0)</f>
        <v>#N/A</v>
      </c>
      <c r="F3725" s="142" t="e">
        <f>VLOOKUP(B3725,'112年全品項生產鍋數'!A:H,7,0)</f>
        <v>#N/A</v>
      </c>
      <c r="G3725" s="143" t="e">
        <f t="shared" si="619"/>
        <v>#N/A</v>
      </c>
      <c r="H3725" s="156"/>
      <c r="I3725" s="371" t="e">
        <f t="shared" si="620"/>
        <v>#N/A</v>
      </c>
      <c r="J3725" s="100" t="e">
        <f t="shared" si="621"/>
        <v>#N/A</v>
      </c>
      <c r="K3725" s="51" t="e">
        <f>VLOOKUP(B:B,'生產達成率(目標)'!A:C,3,0)</f>
        <v>#N/A</v>
      </c>
      <c r="L3725" s="20" t="e">
        <f t="shared" si="622"/>
        <v>#N/A</v>
      </c>
      <c r="M3725" s="137"/>
      <c r="N3725" s="374"/>
      <c r="O3725" s="374">
        <f t="shared" si="623"/>
        <v>0</v>
      </c>
      <c r="P3725" s="156"/>
      <c r="Q3725" s="98" t="e">
        <f t="shared" si="624"/>
        <v>#DIV/0!</v>
      </c>
      <c r="R3725" s="371"/>
      <c r="S3725" s="372"/>
      <c r="T3725" s="364"/>
      <c r="U3725" s="264"/>
      <c r="V3725" s="264"/>
      <c r="W3725" s="424"/>
      <c r="X3725" s="264" t="s">
        <v>1867</v>
      </c>
      <c r="Y3725" s="424"/>
      <c r="Z3725" s="424"/>
      <c r="AA3725" s="424"/>
      <c r="AB3725" s="424"/>
      <c r="AC3725" s="425">
        <f t="shared" si="617"/>
        <v>0</v>
      </c>
      <c r="AD3725" s="425">
        <f t="shared" si="618"/>
        <v>0</v>
      </c>
    </row>
    <row r="3726" spans="1:30" s="361" customFormat="1" x14ac:dyDescent="0.4">
      <c r="A3726" s="402"/>
      <c r="B3726" s="392"/>
      <c r="C3726" s="364" t="e">
        <f>VLOOKUP(B3726,'112年全品項生產鍋數'!A:H,2,0)</f>
        <v>#N/A</v>
      </c>
      <c r="D3726" s="404"/>
      <c r="E3726" s="48" t="e">
        <f>VLOOKUP(B3726,'112年全品項生產鍋數'!A:H,3,0)</f>
        <v>#N/A</v>
      </c>
      <c r="F3726" s="142" t="e">
        <f>VLOOKUP(B3726,'112年全品項生產鍋數'!A:H,7,0)</f>
        <v>#N/A</v>
      </c>
      <c r="G3726" s="143" t="e">
        <f t="shared" si="619"/>
        <v>#N/A</v>
      </c>
      <c r="H3726" s="156"/>
      <c r="I3726" s="371" t="e">
        <f t="shared" si="620"/>
        <v>#N/A</v>
      </c>
      <c r="J3726" s="100" t="e">
        <f t="shared" si="621"/>
        <v>#N/A</v>
      </c>
      <c r="K3726" s="51" t="e">
        <f>VLOOKUP(B:B,'生產達成率(目標)'!A:C,3,0)</f>
        <v>#N/A</v>
      </c>
      <c r="L3726" s="20" t="e">
        <f t="shared" si="622"/>
        <v>#N/A</v>
      </c>
      <c r="M3726" s="137"/>
      <c r="N3726" s="374"/>
      <c r="O3726" s="374">
        <f t="shared" si="623"/>
        <v>0</v>
      </c>
      <c r="P3726" s="156"/>
      <c r="Q3726" s="98" t="e">
        <f t="shared" si="624"/>
        <v>#DIV/0!</v>
      </c>
      <c r="R3726" s="371"/>
      <c r="S3726" s="372"/>
      <c r="T3726" s="364"/>
      <c r="U3726" s="264"/>
      <c r="V3726" s="264"/>
      <c r="W3726" s="424"/>
      <c r="X3726" s="264" t="s">
        <v>1867</v>
      </c>
      <c r="Y3726" s="424"/>
      <c r="Z3726" s="424"/>
      <c r="AA3726" s="424"/>
      <c r="AB3726" s="424"/>
      <c r="AC3726" s="425">
        <f t="shared" si="617"/>
        <v>0</v>
      </c>
      <c r="AD3726" s="425">
        <f t="shared" si="618"/>
        <v>0</v>
      </c>
    </row>
    <row r="3727" spans="1:30" s="361" customFormat="1" x14ac:dyDescent="0.4">
      <c r="A3727" s="402"/>
      <c r="B3727" s="392"/>
      <c r="C3727" s="364" t="e">
        <f>VLOOKUP(B3727,'112年全品項生產鍋數'!A:H,2,0)</f>
        <v>#N/A</v>
      </c>
      <c r="D3727" s="404"/>
      <c r="E3727" s="48" t="e">
        <f>VLOOKUP(B3727,'112年全品項生產鍋數'!A:H,3,0)</f>
        <v>#N/A</v>
      </c>
      <c r="F3727" s="142" t="e">
        <f>VLOOKUP(B3727,'112年全品項生產鍋數'!A:H,7,0)</f>
        <v>#N/A</v>
      </c>
      <c r="G3727" s="143" t="e">
        <f t="shared" si="619"/>
        <v>#N/A</v>
      </c>
      <c r="H3727" s="156"/>
      <c r="I3727" s="371" t="e">
        <f t="shared" si="620"/>
        <v>#N/A</v>
      </c>
      <c r="J3727" s="100" t="e">
        <f t="shared" si="621"/>
        <v>#N/A</v>
      </c>
      <c r="K3727" s="51" t="e">
        <f>VLOOKUP(B:B,'生產達成率(目標)'!A:C,3,0)</f>
        <v>#N/A</v>
      </c>
      <c r="L3727" s="20" t="e">
        <f t="shared" si="622"/>
        <v>#N/A</v>
      </c>
      <c r="M3727" s="137"/>
      <c r="N3727" s="374"/>
      <c r="O3727" s="374">
        <f t="shared" si="623"/>
        <v>0</v>
      </c>
      <c r="P3727" s="156"/>
      <c r="Q3727" s="98" t="e">
        <f t="shared" si="624"/>
        <v>#DIV/0!</v>
      </c>
      <c r="R3727" s="371"/>
      <c r="S3727" s="372"/>
      <c r="T3727" s="364"/>
      <c r="U3727" s="264"/>
      <c r="V3727" s="264"/>
      <c r="W3727" s="424"/>
      <c r="X3727" s="264" t="s">
        <v>1867</v>
      </c>
      <c r="Y3727" s="424"/>
      <c r="Z3727" s="424"/>
      <c r="AA3727" s="424"/>
      <c r="AB3727" s="424"/>
      <c r="AC3727" s="425">
        <f t="shared" si="617"/>
        <v>0</v>
      </c>
      <c r="AD3727" s="425">
        <f t="shared" si="618"/>
        <v>0</v>
      </c>
    </row>
    <row r="3728" spans="1:30" s="361" customFormat="1" x14ac:dyDescent="0.4">
      <c r="A3728" s="402"/>
      <c r="B3728" s="392"/>
      <c r="C3728" s="364" t="e">
        <f>VLOOKUP(B3728,'112年全品項生產鍋數'!A:H,2,0)</f>
        <v>#N/A</v>
      </c>
      <c r="D3728" s="404"/>
      <c r="E3728" s="48" t="e">
        <f>VLOOKUP(B3728,'112年全品項生產鍋數'!A:H,3,0)</f>
        <v>#N/A</v>
      </c>
      <c r="F3728" s="142" t="e">
        <f>VLOOKUP(B3728,'112年全品項生產鍋數'!A:H,7,0)</f>
        <v>#N/A</v>
      </c>
      <c r="G3728" s="143" t="e">
        <f t="shared" si="619"/>
        <v>#N/A</v>
      </c>
      <c r="H3728" s="156"/>
      <c r="I3728" s="371" t="e">
        <f t="shared" si="620"/>
        <v>#N/A</v>
      </c>
      <c r="J3728" s="100" t="e">
        <f t="shared" si="621"/>
        <v>#N/A</v>
      </c>
      <c r="K3728" s="51" t="e">
        <f>VLOOKUP(B:B,'生產達成率(目標)'!A:C,3,0)</f>
        <v>#N/A</v>
      </c>
      <c r="L3728" s="20" t="e">
        <f t="shared" si="622"/>
        <v>#N/A</v>
      </c>
      <c r="M3728" s="137"/>
      <c r="N3728" s="374"/>
      <c r="O3728" s="374">
        <f t="shared" si="623"/>
        <v>0</v>
      </c>
      <c r="P3728" s="156"/>
      <c r="Q3728" s="98" t="e">
        <f t="shared" si="624"/>
        <v>#DIV/0!</v>
      </c>
      <c r="R3728" s="371"/>
      <c r="S3728" s="372"/>
      <c r="T3728" s="364"/>
      <c r="U3728" s="264"/>
      <c r="V3728" s="264"/>
      <c r="W3728" s="424"/>
      <c r="X3728" s="264" t="s">
        <v>1867</v>
      </c>
      <c r="Y3728" s="424"/>
      <c r="Z3728" s="424"/>
      <c r="AA3728" s="424"/>
      <c r="AB3728" s="424"/>
      <c r="AC3728" s="425">
        <f t="shared" si="617"/>
        <v>0</v>
      </c>
      <c r="AD3728" s="425">
        <f t="shared" si="618"/>
        <v>0</v>
      </c>
    </row>
    <row r="3729" spans="1:30" s="361" customFormat="1" x14ac:dyDescent="0.4">
      <c r="A3729" s="402"/>
      <c r="B3729" s="392"/>
      <c r="C3729" s="364" t="e">
        <f>VLOOKUP(B3729,'112年全品項生產鍋數'!A:H,2,0)</f>
        <v>#N/A</v>
      </c>
      <c r="D3729" s="404"/>
      <c r="E3729" s="48" t="e">
        <f>VLOOKUP(B3729,'112年全品項生產鍋數'!A:H,3,0)</f>
        <v>#N/A</v>
      </c>
      <c r="F3729" s="142" t="e">
        <f>VLOOKUP(B3729,'112年全品項生產鍋數'!A:H,7,0)</f>
        <v>#N/A</v>
      </c>
      <c r="G3729" s="143" t="e">
        <f t="shared" si="619"/>
        <v>#N/A</v>
      </c>
      <c r="H3729" s="156"/>
      <c r="I3729" s="371" t="e">
        <f t="shared" si="620"/>
        <v>#N/A</v>
      </c>
      <c r="J3729" s="100" t="e">
        <f t="shared" si="621"/>
        <v>#N/A</v>
      </c>
      <c r="K3729" s="51" t="e">
        <f>VLOOKUP(B:B,'生產達成率(目標)'!A:C,3,0)</f>
        <v>#N/A</v>
      </c>
      <c r="L3729" s="20" t="e">
        <f t="shared" si="622"/>
        <v>#N/A</v>
      </c>
      <c r="M3729" s="137"/>
      <c r="N3729" s="374"/>
      <c r="O3729" s="374">
        <f t="shared" si="623"/>
        <v>0</v>
      </c>
      <c r="P3729" s="156"/>
      <c r="Q3729" s="98" t="e">
        <f t="shared" si="624"/>
        <v>#DIV/0!</v>
      </c>
      <c r="R3729" s="371"/>
      <c r="S3729" s="372"/>
      <c r="T3729" s="364"/>
      <c r="U3729" s="264"/>
      <c r="V3729" s="264"/>
      <c r="W3729" s="424"/>
      <c r="X3729" s="264" t="s">
        <v>1867</v>
      </c>
      <c r="Y3729" s="424"/>
      <c r="Z3729" s="424"/>
      <c r="AA3729" s="424"/>
      <c r="AB3729" s="424"/>
      <c r="AC3729" s="425">
        <f t="shared" si="617"/>
        <v>0</v>
      </c>
      <c r="AD3729" s="425">
        <f t="shared" si="618"/>
        <v>0</v>
      </c>
    </row>
    <row r="3730" spans="1:30" s="361" customFormat="1" x14ac:dyDescent="0.4">
      <c r="A3730" s="402"/>
      <c r="B3730" s="392"/>
      <c r="C3730" s="364" t="e">
        <f>VLOOKUP(B3730,'112年全品項生產鍋數'!A:H,2,0)</f>
        <v>#N/A</v>
      </c>
      <c r="D3730" s="404"/>
      <c r="E3730" s="48" t="e">
        <f>VLOOKUP(B3730,'112年全品項生產鍋數'!A:H,3,0)</f>
        <v>#N/A</v>
      </c>
      <c r="F3730" s="142" t="e">
        <f>VLOOKUP(B3730,'112年全品項生產鍋數'!A:H,7,0)</f>
        <v>#N/A</v>
      </c>
      <c r="G3730" s="143" t="e">
        <f t="shared" si="619"/>
        <v>#N/A</v>
      </c>
      <c r="H3730" s="156"/>
      <c r="I3730" s="371" t="e">
        <f t="shared" si="620"/>
        <v>#N/A</v>
      </c>
      <c r="J3730" s="100" t="e">
        <f t="shared" si="621"/>
        <v>#N/A</v>
      </c>
      <c r="K3730" s="51" t="e">
        <f>VLOOKUP(B:B,'生產達成率(目標)'!A:C,3,0)</f>
        <v>#N/A</v>
      </c>
      <c r="L3730" s="20" t="e">
        <f t="shared" si="622"/>
        <v>#N/A</v>
      </c>
      <c r="M3730" s="137"/>
      <c r="N3730" s="374"/>
      <c r="O3730" s="374">
        <f t="shared" si="623"/>
        <v>0</v>
      </c>
      <c r="P3730" s="156"/>
      <c r="Q3730" s="98" t="e">
        <f t="shared" si="624"/>
        <v>#DIV/0!</v>
      </c>
      <c r="R3730" s="371"/>
      <c r="S3730" s="372"/>
      <c r="T3730" s="364"/>
      <c r="U3730" s="264"/>
      <c r="V3730" s="264"/>
      <c r="W3730" s="424"/>
      <c r="X3730" s="264" t="s">
        <v>1867</v>
      </c>
      <c r="Y3730" s="424"/>
      <c r="Z3730" s="424"/>
      <c r="AA3730" s="424"/>
      <c r="AB3730" s="424"/>
      <c r="AC3730" s="425">
        <f t="shared" si="617"/>
        <v>0</v>
      </c>
      <c r="AD3730" s="425">
        <f t="shared" si="618"/>
        <v>0</v>
      </c>
    </row>
    <row r="3731" spans="1:30" s="361" customFormat="1" x14ac:dyDescent="0.4">
      <c r="A3731" s="402"/>
      <c r="B3731" s="392"/>
      <c r="C3731" s="364" t="e">
        <f>VLOOKUP(B3731,'112年全品項生產鍋數'!A:H,2,0)</f>
        <v>#N/A</v>
      </c>
      <c r="D3731" s="404"/>
      <c r="E3731" s="48" t="e">
        <f>VLOOKUP(B3731,'112年全品項生產鍋數'!A:H,3,0)</f>
        <v>#N/A</v>
      </c>
      <c r="F3731" s="142" t="e">
        <f>VLOOKUP(B3731,'112年全品項生產鍋數'!A:H,7,0)</f>
        <v>#N/A</v>
      </c>
      <c r="G3731" s="143" t="e">
        <f t="shared" si="619"/>
        <v>#N/A</v>
      </c>
      <c r="H3731" s="156"/>
      <c r="I3731" s="371" t="e">
        <f t="shared" si="620"/>
        <v>#N/A</v>
      </c>
      <c r="J3731" s="100" t="e">
        <f t="shared" si="621"/>
        <v>#N/A</v>
      </c>
      <c r="K3731" s="51" t="e">
        <f>VLOOKUP(B:B,'生產達成率(目標)'!A:C,3,0)</f>
        <v>#N/A</v>
      </c>
      <c r="L3731" s="20" t="e">
        <f t="shared" si="622"/>
        <v>#N/A</v>
      </c>
      <c r="M3731" s="137"/>
      <c r="N3731" s="374"/>
      <c r="O3731" s="374">
        <f t="shared" si="623"/>
        <v>0</v>
      </c>
      <c r="P3731" s="156"/>
      <c r="Q3731" s="98" t="e">
        <f t="shared" si="624"/>
        <v>#DIV/0!</v>
      </c>
      <c r="R3731" s="371"/>
      <c r="S3731" s="372"/>
      <c r="T3731" s="364"/>
      <c r="U3731" s="264"/>
      <c r="V3731" s="264"/>
      <c r="W3731" s="424"/>
      <c r="X3731" s="264" t="s">
        <v>1867</v>
      </c>
      <c r="Y3731" s="424"/>
      <c r="Z3731" s="424"/>
      <c r="AA3731" s="424"/>
      <c r="AB3731" s="424"/>
      <c r="AC3731" s="425">
        <f t="shared" si="617"/>
        <v>0</v>
      </c>
      <c r="AD3731" s="425">
        <f t="shared" si="618"/>
        <v>0</v>
      </c>
    </row>
    <row r="3732" spans="1:30" s="361" customFormat="1" x14ac:dyDescent="0.4">
      <c r="A3732" s="402"/>
      <c r="B3732" s="392"/>
      <c r="C3732" s="364" t="e">
        <f>VLOOKUP(B3732,'112年全品項生產鍋數'!A:H,2,0)</f>
        <v>#N/A</v>
      </c>
      <c r="D3732" s="404"/>
      <c r="E3732" s="48" t="e">
        <f>VLOOKUP(B3732,'112年全品項生產鍋數'!A:H,3,0)</f>
        <v>#N/A</v>
      </c>
      <c r="F3732" s="142" t="e">
        <f>VLOOKUP(B3732,'112年全品項生產鍋數'!A:H,7,0)</f>
        <v>#N/A</v>
      </c>
      <c r="G3732" s="143" t="e">
        <f t="shared" si="619"/>
        <v>#N/A</v>
      </c>
      <c r="H3732" s="156"/>
      <c r="I3732" s="371" t="e">
        <f t="shared" si="620"/>
        <v>#N/A</v>
      </c>
      <c r="J3732" s="100" t="e">
        <f t="shared" si="621"/>
        <v>#N/A</v>
      </c>
      <c r="K3732" s="51" t="e">
        <f>VLOOKUP(B:B,'生產達成率(目標)'!A:C,3,0)</f>
        <v>#N/A</v>
      </c>
      <c r="L3732" s="20" t="e">
        <f t="shared" si="622"/>
        <v>#N/A</v>
      </c>
      <c r="M3732" s="137"/>
      <c r="N3732" s="374"/>
      <c r="O3732" s="374">
        <f t="shared" si="623"/>
        <v>0</v>
      </c>
      <c r="P3732" s="156"/>
      <c r="Q3732" s="98" t="e">
        <f t="shared" si="624"/>
        <v>#DIV/0!</v>
      </c>
      <c r="R3732" s="371"/>
      <c r="S3732" s="372"/>
      <c r="T3732" s="364"/>
      <c r="U3732" s="264"/>
      <c r="V3732" s="264"/>
      <c r="W3732" s="424"/>
      <c r="X3732" s="264" t="s">
        <v>1867</v>
      </c>
      <c r="Y3732" s="424"/>
      <c r="Z3732" s="424"/>
      <c r="AA3732" s="424"/>
      <c r="AB3732" s="424"/>
      <c r="AC3732" s="425">
        <f t="shared" si="617"/>
        <v>0</v>
      </c>
      <c r="AD3732" s="425">
        <f t="shared" si="618"/>
        <v>0</v>
      </c>
    </row>
    <row r="3733" spans="1:30" s="361" customFormat="1" x14ac:dyDescent="0.4">
      <c r="A3733" s="402"/>
      <c r="B3733" s="392"/>
      <c r="C3733" s="364" t="e">
        <f>VLOOKUP(B3733,'112年全品項生產鍋數'!A:H,2,0)</f>
        <v>#N/A</v>
      </c>
      <c r="D3733" s="404"/>
      <c r="E3733" s="48" t="e">
        <f>VLOOKUP(B3733,'112年全品項生產鍋數'!A:H,3,0)</f>
        <v>#N/A</v>
      </c>
      <c r="F3733" s="142" t="e">
        <f>VLOOKUP(B3733,'112年全品項生產鍋數'!A:H,7,0)</f>
        <v>#N/A</v>
      </c>
      <c r="G3733" s="143" t="e">
        <f t="shared" si="619"/>
        <v>#N/A</v>
      </c>
      <c r="H3733" s="156"/>
      <c r="I3733" s="371" t="e">
        <f t="shared" si="620"/>
        <v>#N/A</v>
      </c>
      <c r="J3733" s="100" t="e">
        <f t="shared" si="621"/>
        <v>#N/A</v>
      </c>
      <c r="K3733" s="51" t="e">
        <f>VLOOKUP(B:B,'生產達成率(目標)'!A:C,3,0)</f>
        <v>#N/A</v>
      </c>
      <c r="L3733" s="20" t="e">
        <f t="shared" si="622"/>
        <v>#N/A</v>
      </c>
      <c r="M3733" s="137"/>
      <c r="N3733" s="374"/>
      <c r="O3733" s="374">
        <f t="shared" si="623"/>
        <v>0</v>
      </c>
      <c r="P3733" s="156"/>
      <c r="Q3733" s="98" t="e">
        <f t="shared" si="624"/>
        <v>#DIV/0!</v>
      </c>
      <c r="R3733" s="371"/>
      <c r="S3733" s="372"/>
      <c r="T3733" s="364"/>
      <c r="U3733" s="264"/>
      <c r="V3733" s="264"/>
      <c r="W3733" s="424"/>
      <c r="X3733" s="264" t="s">
        <v>1867</v>
      </c>
      <c r="Y3733" s="424"/>
      <c r="Z3733" s="424"/>
      <c r="AA3733" s="424"/>
      <c r="AB3733" s="424"/>
      <c r="AC3733" s="425">
        <f t="shared" si="617"/>
        <v>0</v>
      </c>
      <c r="AD3733" s="425">
        <f t="shared" si="618"/>
        <v>0</v>
      </c>
    </row>
    <row r="3734" spans="1:30" s="361" customFormat="1" x14ac:dyDescent="0.4">
      <c r="A3734" s="402"/>
      <c r="B3734" s="392"/>
      <c r="C3734" s="364" t="e">
        <f>VLOOKUP(B3734,'112年全品項生產鍋數'!A:H,2,0)</f>
        <v>#N/A</v>
      </c>
      <c r="D3734" s="404"/>
      <c r="E3734" s="48" t="e">
        <f>VLOOKUP(B3734,'112年全品項生產鍋數'!A:H,3,0)</f>
        <v>#N/A</v>
      </c>
      <c r="F3734" s="142" t="e">
        <f>VLOOKUP(B3734,'112年全品項生產鍋數'!A:H,7,0)</f>
        <v>#N/A</v>
      </c>
      <c r="G3734" s="143" t="e">
        <f t="shared" si="619"/>
        <v>#N/A</v>
      </c>
      <c r="H3734" s="156"/>
      <c r="I3734" s="371" t="e">
        <f t="shared" si="620"/>
        <v>#N/A</v>
      </c>
      <c r="J3734" s="100" t="e">
        <f t="shared" si="621"/>
        <v>#N/A</v>
      </c>
      <c r="K3734" s="51" t="e">
        <f>VLOOKUP(B:B,'生產達成率(目標)'!A:C,3,0)</f>
        <v>#N/A</v>
      </c>
      <c r="L3734" s="20" t="e">
        <f t="shared" si="622"/>
        <v>#N/A</v>
      </c>
      <c r="M3734" s="137"/>
      <c r="N3734" s="374"/>
      <c r="O3734" s="374">
        <f t="shared" si="623"/>
        <v>0</v>
      </c>
      <c r="P3734" s="156"/>
      <c r="Q3734" s="98" t="e">
        <f t="shared" si="624"/>
        <v>#DIV/0!</v>
      </c>
      <c r="R3734" s="371"/>
      <c r="S3734" s="372"/>
      <c r="T3734" s="364"/>
      <c r="U3734" s="264"/>
      <c r="V3734" s="264"/>
      <c r="W3734" s="424"/>
      <c r="X3734" s="264" t="s">
        <v>1867</v>
      </c>
      <c r="Y3734" s="424"/>
      <c r="Z3734" s="424"/>
      <c r="AA3734" s="424"/>
      <c r="AB3734" s="424"/>
      <c r="AC3734" s="425">
        <f t="shared" si="617"/>
        <v>0</v>
      </c>
      <c r="AD3734" s="425">
        <f t="shared" si="618"/>
        <v>0</v>
      </c>
    </row>
    <row r="3735" spans="1:30" s="361" customFormat="1" x14ac:dyDescent="0.4">
      <c r="A3735" s="402"/>
      <c r="B3735" s="392"/>
      <c r="C3735" s="364" t="e">
        <f>VLOOKUP(B3735,'112年全品項生產鍋數'!A:H,2,0)</f>
        <v>#N/A</v>
      </c>
      <c r="D3735" s="404"/>
      <c r="E3735" s="48" t="e">
        <f>VLOOKUP(B3735,'112年全品項生產鍋數'!A:H,3,0)</f>
        <v>#N/A</v>
      </c>
      <c r="F3735" s="142" t="e">
        <f>VLOOKUP(B3735,'112年全品項生產鍋數'!A:H,7,0)</f>
        <v>#N/A</v>
      </c>
      <c r="G3735" s="143" t="e">
        <f t="shared" si="619"/>
        <v>#N/A</v>
      </c>
      <c r="H3735" s="156"/>
      <c r="I3735" s="371" t="e">
        <f t="shared" si="620"/>
        <v>#N/A</v>
      </c>
      <c r="J3735" s="100" t="e">
        <f t="shared" si="621"/>
        <v>#N/A</v>
      </c>
      <c r="K3735" s="51" t="e">
        <f>VLOOKUP(B:B,'生產達成率(目標)'!A:C,3,0)</f>
        <v>#N/A</v>
      </c>
      <c r="L3735" s="20" t="e">
        <f t="shared" si="622"/>
        <v>#N/A</v>
      </c>
      <c r="M3735" s="137"/>
      <c r="N3735" s="374"/>
      <c r="O3735" s="374">
        <f t="shared" si="623"/>
        <v>0</v>
      </c>
      <c r="P3735" s="156"/>
      <c r="Q3735" s="98" t="e">
        <f t="shared" si="624"/>
        <v>#DIV/0!</v>
      </c>
      <c r="R3735" s="371"/>
      <c r="S3735" s="372"/>
      <c r="T3735" s="364"/>
      <c r="U3735" s="264"/>
      <c r="V3735" s="264"/>
      <c r="W3735" s="424"/>
      <c r="X3735" s="264" t="s">
        <v>1867</v>
      </c>
      <c r="Y3735" s="424"/>
      <c r="Z3735" s="424"/>
      <c r="AA3735" s="424"/>
      <c r="AB3735" s="424"/>
      <c r="AC3735" s="425">
        <f t="shared" ref="AC3735:AC3798" si="625" xml:space="preserve"> IF((W3735-A3735)&lt;0,"未收到",W3735-A3735)</f>
        <v>0</v>
      </c>
      <c r="AD3735" s="425">
        <f t="shared" ref="AD3735:AD3798" si="626" xml:space="preserve"> IF((Y3735-A3735)&lt;0,"未收到",Y3735-A3735)</f>
        <v>0</v>
      </c>
    </row>
    <row r="3736" spans="1:30" s="361" customFormat="1" x14ac:dyDescent="0.4">
      <c r="A3736" s="402"/>
      <c r="B3736" s="392"/>
      <c r="C3736" s="364" t="e">
        <f>VLOOKUP(B3736,'112年全品項生產鍋數'!A:H,2,0)</f>
        <v>#N/A</v>
      </c>
      <c r="D3736" s="404"/>
      <c r="E3736" s="48" t="e">
        <f>VLOOKUP(B3736,'112年全品項生產鍋數'!A:H,3,0)</f>
        <v>#N/A</v>
      </c>
      <c r="F3736" s="142" t="e">
        <f>VLOOKUP(B3736,'112年全品項生產鍋數'!A:H,7,0)</f>
        <v>#N/A</v>
      </c>
      <c r="G3736" s="143" t="e">
        <f t="shared" si="619"/>
        <v>#N/A</v>
      </c>
      <c r="H3736" s="156"/>
      <c r="I3736" s="371" t="e">
        <f t="shared" si="620"/>
        <v>#N/A</v>
      </c>
      <c r="J3736" s="100" t="e">
        <f t="shared" si="621"/>
        <v>#N/A</v>
      </c>
      <c r="K3736" s="51" t="e">
        <f>VLOOKUP(B:B,'生產達成率(目標)'!A:C,3,0)</f>
        <v>#N/A</v>
      </c>
      <c r="L3736" s="20" t="e">
        <f t="shared" si="622"/>
        <v>#N/A</v>
      </c>
      <c r="M3736" s="137"/>
      <c r="N3736" s="374"/>
      <c r="O3736" s="374">
        <f t="shared" si="623"/>
        <v>0</v>
      </c>
      <c r="P3736" s="156"/>
      <c r="Q3736" s="98" t="e">
        <f t="shared" si="624"/>
        <v>#DIV/0!</v>
      </c>
      <c r="R3736" s="371"/>
      <c r="S3736" s="372"/>
      <c r="T3736" s="364"/>
      <c r="U3736" s="264"/>
      <c r="V3736" s="264"/>
      <c r="W3736" s="424"/>
      <c r="X3736" s="264" t="s">
        <v>1867</v>
      </c>
      <c r="Y3736" s="424"/>
      <c r="Z3736" s="424"/>
      <c r="AA3736" s="424"/>
      <c r="AB3736" s="424"/>
      <c r="AC3736" s="425">
        <f t="shared" si="625"/>
        <v>0</v>
      </c>
      <c r="AD3736" s="425">
        <f t="shared" si="626"/>
        <v>0</v>
      </c>
    </row>
    <row r="3737" spans="1:30" s="361" customFormat="1" x14ac:dyDescent="0.4">
      <c r="A3737" s="402"/>
      <c r="B3737" s="392"/>
      <c r="C3737" s="364" t="e">
        <f>VLOOKUP(B3737,'112年全品項生產鍋數'!A:H,2,0)</f>
        <v>#N/A</v>
      </c>
      <c r="D3737" s="404"/>
      <c r="E3737" s="48" t="e">
        <f>VLOOKUP(B3737,'112年全品項生產鍋數'!A:H,3,0)</f>
        <v>#N/A</v>
      </c>
      <c r="F3737" s="142" t="e">
        <f>VLOOKUP(B3737,'112年全品項生產鍋數'!A:H,7,0)</f>
        <v>#N/A</v>
      </c>
      <c r="G3737" s="143" t="e">
        <f t="shared" si="619"/>
        <v>#N/A</v>
      </c>
      <c r="H3737" s="156"/>
      <c r="I3737" s="371" t="e">
        <f t="shared" si="620"/>
        <v>#N/A</v>
      </c>
      <c r="J3737" s="100" t="e">
        <f t="shared" si="621"/>
        <v>#N/A</v>
      </c>
      <c r="K3737" s="51" t="e">
        <f>VLOOKUP(B:B,'生產達成率(目標)'!A:C,3,0)</f>
        <v>#N/A</v>
      </c>
      <c r="L3737" s="20" t="e">
        <f t="shared" si="622"/>
        <v>#N/A</v>
      </c>
      <c r="M3737" s="137"/>
      <c r="N3737" s="374"/>
      <c r="O3737" s="374">
        <f t="shared" si="623"/>
        <v>0</v>
      </c>
      <c r="P3737" s="156"/>
      <c r="Q3737" s="98" t="e">
        <f t="shared" si="624"/>
        <v>#DIV/0!</v>
      </c>
      <c r="R3737" s="371"/>
      <c r="S3737" s="372"/>
      <c r="T3737" s="364"/>
      <c r="U3737" s="264"/>
      <c r="V3737" s="264"/>
      <c r="W3737" s="424"/>
      <c r="X3737" s="264" t="s">
        <v>1867</v>
      </c>
      <c r="Y3737" s="424"/>
      <c r="Z3737" s="424"/>
      <c r="AA3737" s="424"/>
      <c r="AB3737" s="424"/>
      <c r="AC3737" s="425">
        <f t="shared" si="625"/>
        <v>0</v>
      </c>
      <c r="AD3737" s="425">
        <f t="shared" si="626"/>
        <v>0</v>
      </c>
    </row>
    <row r="3738" spans="1:30" s="361" customFormat="1" x14ac:dyDescent="0.4">
      <c r="A3738" s="402"/>
      <c r="B3738" s="392"/>
      <c r="C3738" s="364" t="e">
        <f>VLOOKUP(B3738,'112年全品項生產鍋數'!A:H,2,0)</f>
        <v>#N/A</v>
      </c>
      <c r="D3738" s="404"/>
      <c r="E3738" s="48" t="e">
        <f>VLOOKUP(B3738,'112年全品項生產鍋數'!A:H,3,0)</f>
        <v>#N/A</v>
      </c>
      <c r="F3738" s="142" t="e">
        <f>VLOOKUP(B3738,'112年全品項生產鍋數'!A:H,7,0)</f>
        <v>#N/A</v>
      </c>
      <c r="G3738" s="143" t="e">
        <f t="shared" si="619"/>
        <v>#N/A</v>
      </c>
      <c r="H3738" s="156"/>
      <c r="I3738" s="371" t="e">
        <f t="shared" si="620"/>
        <v>#N/A</v>
      </c>
      <c r="J3738" s="100" t="e">
        <f t="shared" si="621"/>
        <v>#N/A</v>
      </c>
      <c r="K3738" s="51" t="e">
        <f>VLOOKUP(B:B,'生產達成率(目標)'!A:C,3,0)</f>
        <v>#N/A</v>
      </c>
      <c r="L3738" s="20" t="e">
        <f t="shared" si="622"/>
        <v>#N/A</v>
      </c>
      <c r="M3738" s="137"/>
      <c r="N3738" s="374"/>
      <c r="O3738" s="374">
        <f t="shared" si="623"/>
        <v>0</v>
      </c>
      <c r="P3738" s="156"/>
      <c r="Q3738" s="98" t="e">
        <f t="shared" si="624"/>
        <v>#DIV/0!</v>
      </c>
      <c r="R3738" s="371"/>
      <c r="S3738" s="372"/>
      <c r="T3738" s="364"/>
      <c r="U3738" s="264"/>
      <c r="V3738" s="264"/>
      <c r="W3738" s="424"/>
      <c r="X3738" s="264" t="s">
        <v>1867</v>
      </c>
      <c r="Y3738" s="424"/>
      <c r="Z3738" s="424"/>
      <c r="AA3738" s="424"/>
      <c r="AB3738" s="424"/>
      <c r="AC3738" s="425">
        <f t="shared" si="625"/>
        <v>0</v>
      </c>
      <c r="AD3738" s="425">
        <f t="shared" si="626"/>
        <v>0</v>
      </c>
    </row>
    <row r="3739" spans="1:30" s="361" customFormat="1" x14ac:dyDescent="0.4">
      <c r="A3739" s="402"/>
      <c r="B3739" s="392"/>
      <c r="C3739" s="364" t="e">
        <f>VLOOKUP(B3739,'112年全品項生產鍋數'!A:H,2,0)</f>
        <v>#N/A</v>
      </c>
      <c r="D3739" s="404"/>
      <c r="E3739" s="48" t="e">
        <f>VLOOKUP(B3739,'112年全品項生產鍋數'!A:H,3,0)</f>
        <v>#N/A</v>
      </c>
      <c r="F3739" s="142" t="e">
        <f>VLOOKUP(B3739,'112年全品項生產鍋數'!A:H,7,0)</f>
        <v>#N/A</v>
      </c>
      <c r="G3739" s="143" t="e">
        <f t="shared" si="619"/>
        <v>#N/A</v>
      </c>
      <c r="H3739" s="156"/>
      <c r="I3739" s="371" t="e">
        <f t="shared" si="620"/>
        <v>#N/A</v>
      </c>
      <c r="J3739" s="100" t="e">
        <f t="shared" si="621"/>
        <v>#N/A</v>
      </c>
      <c r="K3739" s="51" t="e">
        <f>VLOOKUP(B:B,'生產達成率(目標)'!A:C,3,0)</f>
        <v>#N/A</v>
      </c>
      <c r="L3739" s="20" t="e">
        <f t="shared" si="622"/>
        <v>#N/A</v>
      </c>
      <c r="M3739" s="137"/>
      <c r="N3739" s="374"/>
      <c r="O3739" s="374">
        <f t="shared" si="623"/>
        <v>0</v>
      </c>
      <c r="P3739" s="156"/>
      <c r="Q3739" s="98" t="e">
        <f t="shared" si="624"/>
        <v>#DIV/0!</v>
      </c>
      <c r="R3739" s="371"/>
      <c r="S3739" s="372"/>
      <c r="T3739" s="364"/>
      <c r="U3739" s="264"/>
      <c r="V3739" s="264"/>
      <c r="W3739" s="424"/>
      <c r="X3739" s="264" t="s">
        <v>1867</v>
      </c>
      <c r="Y3739" s="424"/>
      <c r="Z3739" s="424"/>
      <c r="AA3739" s="424"/>
      <c r="AB3739" s="424"/>
      <c r="AC3739" s="425">
        <f t="shared" si="625"/>
        <v>0</v>
      </c>
      <c r="AD3739" s="425">
        <f t="shared" si="626"/>
        <v>0</v>
      </c>
    </row>
    <row r="3740" spans="1:30" s="361" customFormat="1" x14ac:dyDescent="0.4">
      <c r="A3740" s="402"/>
      <c r="B3740" s="392"/>
      <c r="C3740" s="364" t="e">
        <f>VLOOKUP(B3740,'112年全品項生產鍋數'!A:H,2,0)</f>
        <v>#N/A</v>
      </c>
      <c r="D3740" s="404"/>
      <c r="E3740" s="48" t="e">
        <f>VLOOKUP(B3740,'112年全品項生產鍋數'!A:H,3,0)</f>
        <v>#N/A</v>
      </c>
      <c r="F3740" s="142" t="e">
        <f>VLOOKUP(B3740,'112年全品項生產鍋數'!A:H,7,0)</f>
        <v>#N/A</v>
      </c>
      <c r="G3740" s="143" t="e">
        <f t="shared" si="619"/>
        <v>#N/A</v>
      </c>
      <c r="H3740" s="156"/>
      <c r="I3740" s="371" t="e">
        <f t="shared" si="620"/>
        <v>#N/A</v>
      </c>
      <c r="J3740" s="100" t="e">
        <f t="shared" si="621"/>
        <v>#N/A</v>
      </c>
      <c r="K3740" s="51" t="e">
        <f>VLOOKUP(B:B,'生產達成率(目標)'!A:C,3,0)</f>
        <v>#N/A</v>
      </c>
      <c r="L3740" s="20" t="e">
        <f t="shared" si="622"/>
        <v>#N/A</v>
      </c>
      <c r="M3740" s="137"/>
      <c r="N3740" s="374"/>
      <c r="O3740" s="374">
        <f t="shared" si="623"/>
        <v>0</v>
      </c>
      <c r="P3740" s="156"/>
      <c r="Q3740" s="98" t="e">
        <f t="shared" si="624"/>
        <v>#DIV/0!</v>
      </c>
      <c r="R3740" s="371"/>
      <c r="S3740" s="372"/>
      <c r="T3740" s="364"/>
      <c r="U3740" s="264"/>
      <c r="V3740" s="264"/>
      <c r="W3740" s="424"/>
      <c r="X3740" s="264" t="s">
        <v>1867</v>
      </c>
      <c r="Y3740" s="424"/>
      <c r="Z3740" s="424"/>
      <c r="AA3740" s="424"/>
      <c r="AB3740" s="424"/>
      <c r="AC3740" s="425">
        <f t="shared" si="625"/>
        <v>0</v>
      </c>
      <c r="AD3740" s="425">
        <f t="shared" si="626"/>
        <v>0</v>
      </c>
    </row>
    <row r="3741" spans="1:30" s="361" customFormat="1" x14ac:dyDescent="0.4">
      <c r="A3741" s="402"/>
      <c r="B3741" s="392"/>
      <c r="C3741" s="364" t="e">
        <f>VLOOKUP(B3741,'112年全品項生產鍋數'!A:H,2,0)</f>
        <v>#N/A</v>
      </c>
      <c r="D3741" s="404"/>
      <c r="E3741" s="48" t="e">
        <f>VLOOKUP(B3741,'112年全品項生產鍋數'!A:H,3,0)</f>
        <v>#N/A</v>
      </c>
      <c r="F3741" s="142" t="e">
        <f>VLOOKUP(B3741,'112年全品項生產鍋數'!A:H,7,0)</f>
        <v>#N/A</v>
      </c>
      <c r="G3741" s="143" t="e">
        <f t="shared" si="619"/>
        <v>#N/A</v>
      </c>
      <c r="H3741" s="156"/>
      <c r="I3741" s="371" t="e">
        <f t="shared" si="620"/>
        <v>#N/A</v>
      </c>
      <c r="J3741" s="100" t="e">
        <f t="shared" si="621"/>
        <v>#N/A</v>
      </c>
      <c r="K3741" s="51" t="e">
        <f>VLOOKUP(B:B,'生產達成率(目標)'!A:C,3,0)</f>
        <v>#N/A</v>
      </c>
      <c r="L3741" s="20" t="e">
        <f t="shared" si="622"/>
        <v>#N/A</v>
      </c>
      <c r="M3741" s="137"/>
      <c r="N3741" s="374"/>
      <c r="O3741" s="374">
        <f t="shared" si="623"/>
        <v>0</v>
      </c>
      <c r="P3741" s="156"/>
      <c r="Q3741" s="98" t="e">
        <f t="shared" si="624"/>
        <v>#DIV/0!</v>
      </c>
      <c r="R3741" s="371"/>
      <c r="S3741" s="372"/>
      <c r="T3741" s="364"/>
      <c r="U3741" s="264"/>
      <c r="V3741" s="264"/>
      <c r="W3741" s="424"/>
      <c r="X3741" s="264" t="s">
        <v>1867</v>
      </c>
      <c r="Y3741" s="424"/>
      <c r="Z3741" s="424"/>
      <c r="AA3741" s="424"/>
      <c r="AB3741" s="424"/>
      <c r="AC3741" s="425">
        <f t="shared" si="625"/>
        <v>0</v>
      </c>
      <c r="AD3741" s="425">
        <f t="shared" si="626"/>
        <v>0</v>
      </c>
    </row>
    <row r="3742" spans="1:30" s="361" customFormat="1" x14ac:dyDescent="0.4">
      <c r="A3742" s="402"/>
      <c r="B3742" s="392"/>
      <c r="C3742" s="364" t="e">
        <f>VLOOKUP(B3742,'112年全品項生產鍋數'!A:H,2,0)</f>
        <v>#N/A</v>
      </c>
      <c r="D3742" s="404"/>
      <c r="E3742" s="48" t="e">
        <f>VLOOKUP(B3742,'112年全品項生產鍋數'!A:H,3,0)</f>
        <v>#N/A</v>
      </c>
      <c r="F3742" s="142" t="e">
        <f>VLOOKUP(B3742,'112年全品項生產鍋數'!A:H,7,0)</f>
        <v>#N/A</v>
      </c>
      <c r="G3742" s="143" t="e">
        <f t="shared" si="619"/>
        <v>#N/A</v>
      </c>
      <c r="H3742" s="156"/>
      <c r="I3742" s="371" t="e">
        <f t="shared" si="620"/>
        <v>#N/A</v>
      </c>
      <c r="J3742" s="100" t="e">
        <f t="shared" si="621"/>
        <v>#N/A</v>
      </c>
      <c r="K3742" s="51" t="e">
        <f>VLOOKUP(B:B,'生產達成率(目標)'!A:C,3,0)</f>
        <v>#N/A</v>
      </c>
      <c r="L3742" s="20" t="e">
        <f t="shared" si="622"/>
        <v>#N/A</v>
      </c>
      <c r="M3742" s="137"/>
      <c r="N3742" s="374"/>
      <c r="O3742" s="374">
        <f t="shared" si="623"/>
        <v>0</v>
      </c>
      <c r="P3742" s="156"/>
      <c r="Q3742" s="98" t="e">
        <f t="shared" si="624"/>
        <v>#DIV/0!</v>
      </c>
      <c r="R3742" s="371"/>
      <c r="S3742" s="372"/>
      <c r="T3742" s="364"/>
      <c r="U3742" s="264"/>
      <c r="V3742" s="264"/>
      <c r="W3742" s="424"/>
      <c r="X3742" s="264" t="s">
        <v>1867</v>
      </c>
      <c r="Y3742" s="424"/>
      <c r="Z3742" s="424"/>
      <c r="AA3742" s="424"/>
      <c r="AB3742" s="424"/>
      <c r="AC3742" s="425">
        <f t="shared" si="625"/>
        <v>0</v>
      </c>
      <c r="AD3742" s="425">
        <f t="shared" si="626"/>
        <v>0</v>
      </c>
    </row>
    <row r="3743" spans="1:30" s="361" customFormat="1" x14ac:dyDescent="0.4">
      <c r="A3743" s="402"/>
      <c r="B3743" s="392"/>
      <c r="C3743" s="364" t="e">
        <f>VLOOKUP(B3743,'112年全品項生產鍋數'!A:H,2,0)</f>
        <v>#N/A</v>
      </c>
      <c r="D3743" s="404"/>
      <c r="E3743" s="48" t="e">
        <f>VLOOKUP(B3743,'112年全品項生產鍋數'!A:H,3,0)</f>
        <v>#N/A</v>
      </c>
      <c r="F3743" s="142" t="e">
        <f>VLOOKUP(B3743,'112年全品項生產鍋數'!A:H,7,0)</f>
        <v>#N/A</v>
      </c>
      <c r="G3743" s="143" t="e">
        <f t="shared" si="619"/>
        <v>#N/A</v>
      </c>
      <c r="H3743" s="156"/>
      <c r="I3743" s="371" t="e">
        <f t="shared" si="620"/>
        <v>#N/A</v>
      </c>
      <c r="J3743" s="100" t="e">
        <f t="shared" si="621"/>
        <v>#N/A</v>
      </c>
      <c r="K3743" s="51" t="e">
        <f>VLOOKUP(B:B,'生產達成率(目標)'!A:C,3,0)</f>
        <v>#N/A</v>
      </c>
      <c r="L3743" s="20" t="e">
        <f t="shared" si="622"/>
        <v>#N/A</v>
      </c>
      <c r="M3743" s="137"/>
      <c r="N3743" s="374"/>
      <c r="O3743" s="374">
        <f t="shared" si="623"/>
        <v>0</v>
      </c>
      <c r="P3743" s="156"/>
      <c r="Q3743" s="98" t="e">
        <f t="shared" si="624"/>
        <v>#DIV/0!</v>
      </c>
      <c r="R3743" s="371"/>
      <c r="S3743" s="372"/>
      <c r="T3743" s="364"/>
      <c r="U3743" s="264"/>
      <c r="V3743" s="264"/>
      <c r="W3743" s="424"/>
      <c r="X3743" s="264" t="s">
        <v>1867</v>
      </c>
      <c r="Y3743" s="424"/>
      <c r="Z3743" s="424"/>
      <c r="AA3743" s="424"/>
      <c r="AB3743" s="424"/>
      <c r="AC3743" s="425">
        <f t="shared" si="625"/>
        <v>0</v>
      </c>
      <c r="AD3743" s="425">
        <f t="shared" si="626"/>
        <v>0</v>
      </c>
    </row>
    <row r="3744" spans="1:30" s="361" customFormat="1" x14ac:dyDescent="0.4">
      <c r="A3744" s="402"/>
      <c r="B3744" s="392"/>
      <c r="C3744" s="364" t="e">
        <f>VLOOKUP(B3744,'112年全品項生產鍋數'!A:H,2,0)</f>
        <v>#N/A</v>
      </c>
      <c r="D3744" s="404"/>
      <c r="E3744" s="48" t="e">
        <f>VLOOKUP(B3744,'112年全品項生產鍋數'!A:H,3,0)</f>
        <v>#N/A</v>
      </c>
      <c r="F3744" s="142" t="e">
        <f>VLOOKUP(B3744,'112年全品項生產鍋數'!A:H,7,0)</f>
        <v>#N/A</v>
      </c>
      <c r="G3744" s="143" t="e">
        <f t="shared" si="619"/>
        <v>#N/A</v>
      </c>
      <c r="H3744" s="156"/>
      <c r="I3744" s="371" t="e">
        <f t="shared" si="620"/>
        <v>#N/A</v>
      </c>
      <c r="J3744" s="100" t="e">
        <f t="shared" si="621"/>
        <v>#N/A</v>
      </c>
      <c r="K3744" s="51" t="e">
        <f>VLOOKUP(B:B,'生產達成率(目標)'!A:C,3,0)</f>
        <v>#N/A</v>
      </c>
      <c r="L3744" s="20" t="e">
        <f t="shared" si="622"/>
        <v>#N/A</v>
      </c>
      <c r="M3744" s="137"/>
      <c r="N3744" s="374"/>
      <c r="O3744" s="374">
        <f t="shared" si="623"/>
        <v>0</v>
      </c>
      <c r="P3744" s="156"/>
      <c r="Q3744" s="98" t="e">
        <f t="shared" si="624"/>
        <v>#DIV/0!</v>
      </c>
      <c r="R3744" s="371"/>
      <c r="S3744" s="372"/>
      <c r="T3744" s="364"/>
      <c r="U3744" s="264"/>
      <c r="V3744" s="264"/>
      <c r="W3744" s="424"/>
      <c r="X3744" s="264" t="s">
        <v>1867</v>
      </c>
      <c r="Y3744" s="424"/>
      <c r="Z3744" s="424"/>
      <c r="AA3744" s="424"/>
      <c r="AB3744" s="424"/>
      <c r="AC3744" s="425">
        <f t="shared" si="625"/>
        <v>0</v>
      </c>
      <c r="AD3744" s="425">
        <f t="shared" si="626"/>
        <v>0</v>
      </c>
    </row>
    <row r="3745" spans="1:30" s="361" customFormat="1" x14ac:dyDescent="0.4">
      <c r="A3745" s="402"/>
      <c r="B3745" s="392"/>
      <c r="C3745" s="364" t="e">
        <f>VLOOKUP(B3745,'112年全品項生產鍋數'!A:H,2,0)</f>
        <v>#N/A</v>
      </c>
      <c r="D3745" s="404"/>
      <c r="E3745" s="48" t="e">
        <f>VLOOKUP(B3745,'112年全品項生產鍋數'!A:H,3,0)</f>
        <v>#N/A</v>
      </c>
      <c r="F3745" s="142" t="e">
        <f>VLOOKUP(B3745,'112年全品項生產鍋數'!A:H,7,0)</f>
        <v>#N/A</v>
      </c>
      <c r="G3745" s="143" t="e">
        <f t="shared" si="619"/>
        <v>#N/A</v>
      </c>
      <c r="H3745" s="156"/>
      <c r="I3745" s="371" t="e">
        <f t="shared" si="620"/>
        <v>#N/A</v>
      </c>
      <c r="J3745" s="100" t="e">
        <f t="shared" si="621"/>
        <v>#N/A</v>
      </c>
      <c r="K3745" s="51" t="e">
        <f>VLOOKUP(B:B,'生產達成率(目標)'!A:C,3,0)</f>
        <v>#N/A</v>
      </c>
      <c r="L3745" s="20" t="e">
        <f t="shared" si="622"/>
        <v>#N/A</v>
      </c>
      <c r="M3745" s="137"/>
      <c r="N3745" s="374"/>
      <c r="O3745" s="374">
        <f t="shared" si="623"/>
        <v>0</v>
      </c>
      <c r="P3745" s="156"/>
      <c r="Q3745" s="98" t="e">
        <f t="shared" si="624"/>
        <v>#DIV/0!</v>
      </c>
      <c r="R3745" s="371"/>
      <c r="S3745" s="372"/>
      <c r="T3745" s="364"/>
      <c r="U3745" s="264"/>
      <c r="V3745" s="264"/>
      <c r="W3745" s="424"/>
      <c r="X3745" s="264" t="s">
        <v>1867</v>
      </c>
      <c r="Y3745" s="424"/>
      <c r="Z3745" s="424"/>
      <c r="AA3745" s="424"/>
      <c r="AB3745" s="424"/>
      <c r="AC3745" s="425">
        <f t="shared" si="625"/>
        <v>0</v>
      </c>
      <c r="AD3745" s="425">
        <f t="shared" si="626"/>
        <v>0</v>
      </c>
    </row>
    <row r="3746" spans="1:30" s="361" customFormat="1" x14ac:dyDescent="0.4">
      <c r="A3746" s="402"/>
      <c r="B3746" s="392"/>
      <c r="C3746" s="364" t="e">
        <f>VLOOKUP(B3746,'112年全品項生產鍋數'!A:H,2,0)</f>
        <v>#N/A</v>
      </c>
      <c r="D3746" s="404"/>
      <c r="E3746" s="48" t="e">
        <f>VLOOKUP(B3746,'112年全品項生產鍋數'!A:H,3,0)</f>
        <v>#N/A</v>
      </c>
      <c r="F3746" s="142" t="e">
        <f>VLOOKUP(B3746,'112年全品項生產鍋數'!A:H,7,0)</f>
        <v>#N/A</v>
      </c>
      <c r="G3746" s="143" t="e">
        <f t="shared" si="619"/>
        <v>#N/A</v>
      </c>
      <c r="H3746" s="156"/>
      <c r="I3746" s="371" t="e">
        <f t="shared" si="620"/>
        <v>#N/A</v>
      </c>
      <c r="J3746" s="100" t="e">
        <f t="shared" si="621"/>
        <v>#N/A</v>
      </c>
      <c r="K3746" s="51" t="e">
        <f>VLOOKUP(B:B,'生產達成率(目標)'!A:C,3,0)</f>
        <v>#N/A</v>
      </c>
      <c r="L3746" s="20" t="e">
        <f t="shared" si="622"/>
        <v>#N/A</v>
      </c>
      <c r="M3746" s="137"/>
      <c r="N3746" s="374"/>
      <c r="O3746" s="374">
        <f t="shared" si="623"/>
        <v>0</v>
      </c>
      <c r="P3746" s="156"/>
      <c r="Q3746" s="98" t="e">
        <f t="shared" si="624"/>
        <v>#DIV/0!</v>
      </c>
      <c r="R3746" s="371"/>
      <c r="S3746" s="372"/>
      <c r="T3746" s="364"/>
      <c r="U3746" s="264"/>
      <c r="V3746" s="264"/>
      <c r="W3746" s="424"/>
      <c r="X3746" s="264" t="s">
        <v>1867</v>
      </c>
      <c r="Y3746" s="424"/>
      <c r="Z3746" s="424"/>
      <c r="AA3746" s="424"/>
      <c r="AB3746" s="424"/>
      <c r="AC3746" s="425">
        <f t="shared" si="625"/>
        <v>0</v>
      </c>
      <c r="AD3746" s="425">
        <f t="shared" si="626"/>
        <v>0</v>
      </c>
    </row>
    <row r="3747" spans="1:30" s="361" customFormat="1" x14ac:dyDescent="0.4">
      <c r="A3747" s="402"/>
      <c r="B3747" s="392"/>
      <c r="C3747" s="364" t="e">
        <f>VLOOKUP(B3747,'112年全品項生產鍋數'!A:H,2,0)</f>
        <v>#N/A</v>
      </c>
      <c r="D3747" s="404"/>
      <c r="E3747" s="48" t="e">
        <f>VLOOKUP(B3747,'112年全品項生產鍋數'!A:H,3,0)</f>
        <v>#N/A</v>
      </c>
      <c r="F3747" s="142" t="e">
        <f>VLOOKUP(B3747,'112年全品項生產鍋數'!A:H,7,0)</f>
        <v>#N/A</v>
      </c>
      <c r="G3747" s="143" t="e">
        <f t="shared" si="619"/>
        <v>#N/A</v>
      </c>
      <c r="H3747" s="156"/>
      <c r="I3747" s="371" t="e">
        <f t="shared" si="620"/>
        <v>#N/A</v>
      </c>
      <c r="J3747" s="100" t="e">
        <f t="shared" si="621"/>
        <v>#N/A</v>
      </c>
      <c r="K3747" s="51" t="e">
        <f>VLOOKUP(B:B,'生產達成率(目標)'!A:C,3,0)</f>
        <v>#N/A</v>
      </c>
      <c r="L3747" s="20" t="e">
        <f t="shared" si="622"/>
        <v>#N/A</v>
      </c>
      <c r="M3747" s="137"/>
      <c r="N3747" s="374"/>
      <c r="O3747" s="374">
        <f t="shared" si="623"/>
        <v>0</v>
      </c>
      <c r="P3747" s="156"/>
      <c r="Q3747" s="98" t="e">
        <f t="shared" si="624"/>
        <v>#DIV/0!</v>
      </c>
      <c r="R3747" s="371"/>
      <c r="S3747" s="372"/>
      <c r="T3747" s="364"/>
      <c r="U3747" s="264"/>
      <c r="V3747" s="264"/>
      <c r="W3747" s="424"/>
      <c r="X3747" s="264" t="s">
        <v>1867</v>
      </c>
      <c r="Y3747" s="424"/>
      <c r="Z3747" s="424"/>
      <c r="AA3747" s="424"/>
      <c r="AB3747" s="424"/>
      <c r="AC3747" s="425">
        <f t="shared" si="625"/>
        <v>0</v>
      </c>
      <c r="AD3747" s="425">
        <f t="shared" si="626"/>
        <v>0</v>
      </c>
    </row>
    <row r="3748" spans="1:30" s="361" customFormat="1" x14ac:dyDescent="0.4">
      <c r="A3748" s="402"/>
      <c r="B3748" s="392"/>
      <c r="C3748" s="364" t="e">
        <f>VLOOKUP(B3748,'112年全品項生產鍋數'!A:H,2,0)</f>
        <v>#N/A</v>
      </c>
      <c r="D3748" s="404"/>
      <c r="E3748" s="48" t="e">
        <f>VLOOKUP(B3748,'112年全品項生產鍋數'!A:H,3,0)</f>
        <v>#N/A</v>
      </c>
      <c r="F3748" s="142" t="e">
        <f>VLOOKUP(B3748,'112年全品項生產鍋數'!A:H,7,0)</f>
        <v>#N/A</v>
      </c>
      <c r="G3748" s="143" t="e">
        <f t="shared" si="619"/>
        <v>#N/A</v>
      </c>
      <c r="H3748" s="156"/>
      <c r="I3748" s="371" t="e">
        <f t="shared" si="620"/>
        <v>#N/A</v>
      </c>
      <c r="J3748" s="100" t="e">
        <f t="shared" si="621"/>
        <v>#N/A</v>
      </c>
      <c r="K3748" s="51" t="e">
        <f>VLOOKUP(B:B,'生產達成率(目標)'!A:C,3,0)</f>
        <v>#N/A</v>
      </c>
      <c r="L3748" s="20" t="e">
        <f t="shared" si="622"/>
        <v>#N/A</v>
      </c>
      <c r="M3748" s="137"/>
      <c r="N3748" s="374"/>
      <c r="O3748" s="374">
        <f t="shared" si="623"/>
        <v>0</v>
      </c>
      <c r="P3748" s="156"/>
      <c r="Q3748" s="98" t="e">
        <f t="shared" si="624"/>
        <v>#DIV/0!</v>
      </c>
      <c r="R3748" s="371"/>
      <c r="S3748" s="372"/>
      <c r="T3748" s="364"/>
      <c r="U3748" s="264"/>
      <c r="V3748" s="264"/>
      <c r="W3748" s="424"/>
      <c r="X3748" s="264" t="s">
        <v>1867</v>
      </c>
      <c r="Y3748" s="424"/>
      <c r="Z3748" s="424"/>
      <c r="AA3748" s="424"/>
      <c r="AB3748" s="424"/>
      <c r="AC3748" s="425">
        <f t="shared" si="625"/>
        <v>0</v>
      </c>
      <c r="AD3748" s="425">
        <f t="shared" si="626"/>
        <v>0</v>
      </c>
    </row>
    <row r="3749" spans="1:30" s="361" customFormat="1" x14ac:dyDescent="0.4">
      <c r="A3749" s="402"/>
      <c r="B3749" s="392"/>
      <c r="C3749" s="364" t="e">
        <f>VLOOKUP(B3749,'112年全品項生產鍋數'!A:H,2,0)</f>
        <v>#N/A</v>
      </c>
      <c r="D3749" s="404"/>
      <c r="E3749" s="48" t="e">
        <f>VLOOKUP(B3749,'112年全品項生產鍋數'!A:H,3,0)</f>
        <v>#N/A</v>
      </c>
      <c r="F3749" s="142" t="e">
        <f>VLOOKUP(B3749,'112年全品項生產鍋數'!A:H,7,0)</f>
        <v>#N/A</v>
      </c>
      <c r="G3749" s="143" t="e">
        <f t="shared" si="619"/>
        <v>#N/A</v>
      </c>
      <c r="H3749" s="156"/>
      <c r="I3749" s="371" t="e">
        <f t="shared" si="620"/>
        <v>#N/A</v>
      </c>
      <c r="J3749" s="100" t="e">
        <f t="shared" si="621"/>
        <v>#N/A</v>
      </c>
      <c r="K3749" s="51" t="e">
        <f>VLOOKUP(B:B,'生產達成率(目標)'!A:C,3,0)</f>
        <v>#N/A</v>
      </c>
      <c r="L3749" s="20" t="e">
        <f t="shared" si="622"/>
        <v>#N/A</v>
      </c>
      <c r="M3749" s="137"/>
      <c r="N3749" s="374"/>
      <c r="O3749" s="374">
        <f t="shared" si="623"/>
        <v>0</v>
      </c>
      <c r="P3749" s="156"/>
      <c r="Q3749" s="98" t="e">
        <f t="shared" si="624"/>
        <v>#DIV/0!</v>
      </c>
      <c r="R3749" s="371"/>
      <c r="S3749" s="372"/>
      <c r="T3749" s="364"/>
      <c r="U3749" s="264"/>
      <c r="V3749" s="264"/>
      <c r="W3749" s="424"/>
      <c r="X3749" s="264" t="s">
        <v>1867</v>
      </c>
      <c r="Y3749" s="424"/>
      <c r="Z3749" s="424"/>
      <c r="AA3749" s="424"/>
      <c r="AB3749" s="424"/>
      <c r="AC3749" s="425">
        <f t="shared" si="625"/>
        <v>0</v>
      </c>
      <c r="AD3749" s="425">
        <f t="shared" si="626"/>
        <v>0</v>
      </c>
    </row>
    <row r="3750" spans="1:30" s="361" customFormat="1" x14ac:dyDescent="0.4">
      <c r="A3750" s="402"/>
      <c r="B3750" s="392"/>
      <c r="C3750" s="364" t="e">
        <f>VLOOKUP(B3750,'112年全品項生產鍋數'!A:H,2,0)</f>
        <v>#N/A</v>
      </c>
      <c r="D3750" s="404"/>
      <c r="E3750" s="48" t="e">
        <f>VLOOKUP(B3750,'112年全品項生產鍋數'!A:H,3,0)</f>
        <v>#N/A</v>
      </c>
      <c r="F3750" s="142" t="e">
        <f>VLOOKUP(B3750,'112年全品項生產鍋數'!A:H,7,0)</f>
        <v>#N/A</v>
      </c>
      <c r="G3750" s="143" t="e">
        <f t="shared" si="619"/>
        <v>#N/A</v>
      </c>
      <c r="H3750" s="156"/>
      <c r="I3750" s="371" t="e">
        <f t="shared" si="620"/>
        <v>#N/A</v>
      </c>
      <c r="J3750" s="100" t="e">
        <f t="shared" si="621"/>
        <v>#N/A</v>
      </c>
      <c r="K3750" s="51" t="e">
        <f>VLOOKUP(B:B,'生產達成率(目標)'!A:C,3,0)</f>
        <v>#N/A</v>
      </c>
      <c r="L3750" s="20" t="e">
        <f t="shared" si="622"/>
        <v>#N/A</v>
      </c>
      <c r="M3750" s="137"/>
      <c r="N3750" s="374"/>
      <c r="O3750" s="374">
        <f t="shared" si="623"/>
        <v>0</v>
      </c>
      <c r="P3750" s="156"/>
      <c r="Q3750" s="98" t="e">
        <f t="shared" si="624"/>
        <v>#DIV/0!</v>
      </c>
      <c r="R3750" s="371"/>
      <c r="S3750" s="372"/>
      <c r="T3750" s="364"/>
      <c r="U3750" s="264"/>
      <c r="V3750" s="264"/>
      <c r="W3750" s="424"/>
      <c r="X3750" s="264" t="s">
        <v>1867</v>
      </c>
      <c r="Y3750" s="424"/>
      <c r="Z3750" s="424"/>
      <c r="AA3750" s="424"/>
      <c r="AB3750" s="424"/>
      <c r="AC3750" s="425">
        <f t="shared" si="625"/>
        <v>0</v>
      </c>
      <c r="AD3750" s="425">
        <f t="shared" si="626"/>
        <v>0</v>
      </c>
    </row>
    <row r="3751" spans="1:30" s="361" customFormat="1" x14ac:dyDescent="0.4">
      <c r="A3751" s="402"/>
      <c r="B3751" s="392"/>
      <c r="C3751" s="364" t="e">
        <f>VLOOKUP(B3751,'112年全品項生產鍋數'!A:H,2,0)</f>
        <v>#N/A</v>
      </c>
      <c r="D3751" s="404"/>
      <c r="E3751" s="48" t="e">
        <f>VLOOKUP(B3751,'112年全品項生產鍋數'!A:H,3,0)</f>
        <v>#N/A</v>
      </c>
      <c r="F3751" s="142" t="e">
        <f>VLOOKUP(B3751,'112年全品項生產鍋數'!A:H,7,0)</f>
        <v>#N/A</v>
      </c>
      <c r="G3751" s="143" t="e">
        <f t="shared" si="619"/>
        <v>#N/A</v>
      </c>
      <c r="H3751" s="156"/>
      <c r="I3751" s="371" t="e">
        <f t="shared" si="620"/>
        <v>#N/A</v>
      </c>
      <c r="J3751" s="100" t="e">
        <f t="shared" si="621"/>
        <v>#N/A</v>
      </c>
      <c r="K3751" s="51" t="e">
        <f>VLOOKUP(B:B,'生產達成率(目標)'!A:C,3,0)</f>
        <v>#N/A</v>
      </c>
      <c r="L3751" s="20" t="e">
        <f t="shared" si="622"/>
        <v>#N/A</v>
      </c>
      <c r="M3751" s="137"/>
      <c r="N3751" s="374"/>
      <c r="O3751" s="374">
        <f t="shared" si="623"/>
        <v>0</v>
      </c>
      <c r="P3751" s="156"/>
      <c r="Q3751" s="98" t="e">
        <f t="shared" si="624"/>
        <v>#DIV/0!</v>
      </c>
      <c r="R3751" s="371"/>
      <c r="S3751" s="372"/>
      <c r="T3751" s="364"/>
      <c r="U3751" s="264"/>
      <c r="V3751" s="264"/>
      <c r="W3751" s="424"/>
      <c r="X3751" s="264" t="s">
        <v>1867</v>
      </c>
      <c r="Y3751" s="424"/>
      <c r="Z3751" s="424"/>
      <c r="AA3751" s="424"/>
      <c r="AB3751" s="424"/>
      <c r="AC3751" s="425">
        <f t="shared" si="625"/>
        <v>0</v>
      </c>
      <c r="AD3751" s="425">
        <f t="shared" si="626"/>
        <v>0</v>
      </c>
    </row>
    <row r="3752" spans="1:30" s="361" customFormat="1" x14ac:dyDescent="0.4">
      <c r="A3752" s="402"/>
      <c r="B3752" s="392"/>
      <c r="C3752" s="364" t="e">
        <f>VLOOKUP(B3752,'112年全品項生產鍋數'!A:H,2,0)</f>
        <v>#N/A</v>
      </c>
      <c r="D3752" s="404"/>
      <c r="E3752" s="48" t="e">
        <f>VLOOKUP(B3752,'112年全品項生產鍋數'!A:H,3,0)</f>
        <v>#N/A</v>
      </c>
      <c r="F3752" s="142" t="e">
        <f>VLOOKUP(B3752,'112年全品項生產鍋數'!A:H,7,0)</f>
        <v>#N/A</v>
      </c>
      <c r="G3752" s="143" t="e">
        <f t="shared" si="619"/>
        <v>#N/A</v>
      </c>
      <c r="H3752" s="156"/>
      <c r="I3752" s="371" t="e">
        <f t="shared" si="620"/>
        <v>#N/A</v>
      </c>
      <c r="J3752" s="100" t="e">
        <f t="shared" si="621"/>
        <v>#N/A</v>
      </c>
      <c r="K3752" s="51" t="e">
        <f>VLOOKUP(B:B,'生產達成率(目標)'!A:C,3,0)</f>
        <v>#N/A</v>
      </c>
      <c r="L3752" s="20" t="e">
        <f t="shared" si="622"/>
        <v>#N/A</v>
      </c>
      <c r="M3752" s="137"/>
      <c r="N3752" s="374"/>
      <c r="O3752" s="374">
        <f t="shared" si="623"/>
        <v>0</v>
      </c>
      <c r="P3752" s="156"/>
      <c r="Q3752" s="98" t="e">
        <f t="shared" si="624"/>
        <v>#DIV/0!</v>
      </c>
      <c r="R3752" s="371"/>
      <c r="S3752" s="372"/>
      <c r="T3752" s="364"/>
      <c r="U3752" s="264"/>
      <c r="V3752" s="264"/>
      <c r="W3752" s="424"/>
      <c r="X3752" s="264" t="s">
        <v>1867</v>
      </c>
      <c r="Y3752" s="424"/>
      <c r="Z3752" s="424"/>
      <c r="AA3752" s="424"/>
      <c r="AB3752" s="424"/>
      <c r="AC3752" s="425">
        <f t="shared" si="625"/>
        <v>0</v>
      </c>
      <c r="AD3752" s="425">
        <f t="shared" si="626"/>
        <v>0</v>
      </c>
    </row>
    <row r="3753" spans="1:30" s="361" customFormat="1" x14ac:dyDescent="0.4">
      <c r="A3753" s="402"/>
      <c r="B3753" s="392"/>
      <c r="C3753" s="364" t="e">
        <f>VLOOKUP(B3753,'112年全品項生產鍋數'!A:H,2,0)</f>
        <v>#N/A</v>
      </c>
      <c r="D3753" s="404"/>
      <c r="E3753" s="48" t="e">
        <f>VLOOKUP(B3753,'112年全品項生產鍋數'!A:H,3,0)</f>
        <v>#N/A</v>
      </c>
      <c r="F3753" s="142" t="e">
        <f>VLOOKUP(B3753,'112年全品項生產鍋數'!A:H,7,0)</f>
        <v>#N/A</v>
      </c>
      <c r="G3753" s="143" t="e">
        <f t="shared" si="619"/>
        <v>#N/A</v>
      </c>
      <c r="H3753" s="156"/>
      <c r="I3753" s="371" t="e">
        <f t="shared" si="620"/>
        <v>#N/A</v>
      </c>
      <c r="J3753" s="100" t="e">
        <f t="shared" si="621"/>
        <v>#N/A</v>
      </c>
      <c r="K3753" s="51" t="e">
        <f>VLOOKUP(B:B,'生產達成率(目標)'!A:C,3,0)</f>
        <v>#N/A</v>
      </c>
      <c r="L3753" s="20" t="e">
        <f t="shared" si="622"/>
        <v>#N/A</v>
      </c>
      <c r="M3753" s="137"/>
      <c r="N3753" s="374"/>
      <c r="O3753" s="374">
        <f t="shared" si="623"/>
        <v>0</v>
      </c>
      <c r="P3753" s="156"/>
      <c r="Q3753" s="98" t="e">
        <f t="shared" si="624"/>
        <v>#DIV/0!</v>
      </c>
      <c r="R3753" s="371"/>
      <c r="S3753" s="372"/>
      <c r="T3753" s="364"/>
      <c r="U3753" s="264"/>
      <c r="V3753" s="264"/>
      <c r="W3753" s="424"/>
      <c r="X3753" s="264" t="s">
        <v>1867</v>
      </c>
      <c r="Y3753" s="424"/>
      <c r="Z3753" s="424"/>
      <c r="AA3753" s="424"/>
      <c r="AB3753" s="424"/>
      <c r="AC3753" s="425">
        <f t="shared" si="625"/>
        <v>0</v>
      </c>
      <c r="AD3753" s="425">
        <f t="shared" si="626"/>
        <v>0</v>
      </c>
    </row>
    <row r="3754" spans="1:30" s="361" customFormat="1" x14ac:dyDescent="0.4">
      <c r="A3754" s="402"/>
      <c r="B3754" s="392"/>
      <c r="C3754" s="364" t="e">
        <f>VLOOKUP(B3754,'112年全品項生產鍋數'!A:H,2,0)</f>
        <v>#N/A</v>
      </c>
      <c r="D3754" s="404"/>
      <c r="E3754" s="48" t="e">
        <f>VLOOKUP(B3754,'112年全品項生產鍋數'!A:H,3,0)</f>
        <v>#N/A</v>
      </c>
      <c r="F3754" s="142" t="e">
        <f>VLOOKUP(B3754,'112年全品項生產鍋數'!A:H,7,0)</f>
        <v>#N/A</v>
      </c>
      <c r="G3754" s="143" t="e">
        <f t="shared" si="619"/>
        <v>#N/A</v>
      </c>
      <c r="H3754" s="156"/>
      <c r="I3754" s="371" t="e">
        <f t="shared" si="620"/>
        <v>#N/A</v>
      </c>
      <c r="J3754" s="100" t="e">
        <f t="shared" si="621"/>
        <v>#N/A</v>
      </c>
      <c r="K3754" s="51" t="e">
        <f>VLOOKUP(B:B,'生產達成率(目標)'!A:C,3,0)</f>
        <v>#N/A</v>
      </c>
      <c r="L3754" s="20" t="e">
        <f t="shared" si="622"/>
        <v>#N/A</v>
      </c>
      <c r="M3754" s="137"/>
      <c r="N3754" s="374"/>
      <c r="O3754" s="374">
        <f t="shared" si="623"/>
        <v>0</v>
      </c>
      <c r="P3754" s="156"/>
      <c r="Q3754" s="98" t="e">
        <f t="shared" si="624"/>
        <v>#DIV/0!</v>
      </c>
      <c r="R3754" s="371"/>
      <c r="S3754" s="372"/>
      <c r="T3754" s="364"/>
      <c r="U3754" s="264"/>
      <c r="V3754" s="264"/>
      <c r="W3754" s="424"/>
      <c r="X3754" s="264" t="s">
        <v>1867</v>
      </c>
      <c r="Y3754" s="424"/>
      <c r="Z3754" s="424"/>
      <c r="AA3754" s="424"/>
      <c r="AB3754" s="424"/>
      <c r="AC3754" s="425">
        <f t="shared" si="625"/>
        <v>0</v>
      </c>
      <c r="AD3754" s="425">
        <f t="shared" si="626"/>
        <v>0</v>
      </c>
    </row>
    <row r="3755" spans="1:30" s="361" customFormat="1" x14ac:dyDescent="0.4">
      <c r="A3755" s="402"/>
      <c r="B3755" s="392"/>
      <c r="C3755" s="364" t="e">
        <f>VLOOKUP(B3755,'112年全品項生產鍋數'!A:H,2,0)</f>
        <v>#N/A</v>
      </c>
      <c r="D3755" s="404"/>
      <c r="E3755" s="48" t="e">
        <f>VLOOKUP(B3755,'112年全品項生產鍋數'!A:H,3,0)</f>
        <v>#N/A</v>
      </c>
      <c r="F3755" s="142" t="e">
        <f>VLOOKUP(B3755,'112年全品項生產鍋數'!A:H,7,0)</f>
        <v>#N/A</v>
      </c>
      <c r="G3755" s="143" t="e">
        <f t="shared" si="619"/>
        <v>#N/A</v>
      </c>
      <c r="H3755" s="156"/>
      <c r="I3755" s="371" t="e">
        <f t="shared" si="620"/>
        <v>#N/A</v>
      </c>
      <c r="J3755" s="100" t="e">
        <f t="shared" si="621"/>
        <v>#N/A</v>
      </c>
      <c r="K3755" s="51" t="e">
        <f>VLOOKUP(B:B,'生產達成率(目標)'!A:C,3,0)</f>
        <v>#N/A</v>
      </c>
      <c r="L3755" s="20" t="e">
        <f t="shared" si="622"/>
        <v>#N/A</v>
      </c>
      <c r="M3755" s="137"/>
      <c r="N3755" s="374"/>
      <c r="O3755" s="374">
        <f t="shared" si="623"/>
        <v>0</v>
      </c>
      <c r="P3755" s="156"/>
      <c r="Q3755" s="98" t="e">
        <f t="shared" si="624"/>
        <v>#DIV/0!</v>
      </c>
      <c r="R3755" s="371"/>
      <c r="S3755" s="372"/>
      <c r="T3755" s="364"/>
      <c r="U3755" s="264"/>
      <c r="V3755" s="264"/>
      <c r="W3755" s="424"/>
      <c r="X3755" s="264" t="s">
        <v>1867</v>
      </c>
      <c r="Y3755" s="424"/>
      <c r="Z3755" s="424"/>
      <c r="AA3755" s="424"/>
      <c r="AB3755" s="424"/>
      <c r="AC3755" s="425">
        <f t="shared" si="625"/>
        <v>0</v>
      </c>
      <c r="AD3755" s="425">
        <f t="shared" si="626"/>
        <v>0</v>
      </c>
    </row>
    <row r="3756" spans="1:30" s="361" customFormat="1" x14ac:dyDescent="0.4">
      <c r="A3756" s="402"/>
      <c r="B3756" s="392"/>
      <c r="C3756" s="364" t="e">
        <f>VLOOKUP(B3756,'112年全品項生產鍋數'!A:H,2,0)</f>
        <v>#N/A</v>
      </c>
      <c r="D3756" s="404"/>
      <c r="E3756" s="48" t="e">
        <f>VLOOKUP(B3756,'112年全品項生產鍋數'!A:H,3,0)</f>
        <v>#N/A</v>
      </c>
      <c r="F3756" s="142" t="e">
        <f>VLOOKUP(B3756,'112年全品項生產鍋數'!A:H,7,0)</f>
        <v>#N/A</v>
      </c>
      <c r="G3756" s="143" t="e">
        <f t="shared" si="619"/>
        <v>#N/A</v>
      </c>
      <c r="H3756" s="156"/>
      <c r="I3756" s="371" t="e">
        <f t="shared" si="620"/>
        <v>#N/A</v>
      </c>
      <c r="J3756" s="100" t="e">
        <f t="shared" si="621"/>
        <v>#N/A</v>
      </c>
      <c r="K3756" s="51" t="e">
        <f>VLOOKUP(B:B,'生產達成率(目標)'!A:C,3,0)</f>
        <v>#N/A</v>
      </c>
      <c r="L3756" s="20" t="e">
        <f t="shared" si="622"/>
        <v>#N/A</v>
      </c>
      <c r="M3756" s="137"/>
      <c r="N3756" s="374"/>
      <c r="O3756" s="374">
        <f t="shared" si="623"/>
        <v>0</v>
      </c>
      <c r="P3756" s="156"/>
      <c r="Q3756" s="98" t="e">
        <f t="shared" si="624"/>
        <v>#DIV/0!</v>
      </c>
      <c r="R3756" s="371"/>
      <c r="S3756" s="372"/>
      <c r="T3756" s="364"/>
      <c r="U3756" s="264"/>
      <c r="V3756" s="264"/>
      <c r="W3756" s="424"/>
      <c r="X3756" s="264" t="s">
        <v>1867</v>
      </c>
      <c r="Y3756" s="424"/>
      <c r="Z3756" s="424"/>
      <c r="AA3756" s="424"/>
      <c r="AB3756" s="424"/>
      <c r="AC3756" s="425">
        <f t="shared" si="625"/>
        <v>0</v>
      </c>
      <c r="AD3756" s="425">
        <f t="shared" si="626"/>
        <v>0</v>
      </c>
    </row>
    <row r="3757" spans="1:30" s="361" customFormat="1" x14ac:dyDescent="0.4">
      <c r="A3757" s="402"/>
      <c r="B3757" s="392"/>
      <c r="C3757" s="364" t="e">
        <f>VLOOKUP(B3757,'112年全品項生產鍋數'!A:H,2,0)</f>
        <v>#N/A</v>
      </c>
      <c r="D3757" s="404"/>
      <c r="E3757" s="48" t="e">
        <f>VLOOKUP(B3757,'112年全品項生產鍋數'!A:H,3,0)</f>
        <v>#N/A</v>
      </c>
      <c r="F3757" s="142" t="e">
        <f>VLOOKUP(B3757,'112年全品項生產鍋數'!A:H,7,0)</f>
        <v>#N/A</v>
      </c>
      <c r="G3757" s="143" t="e">
        <f t="shared" si="619"/>
        <v>#N/A</v>
      </c>
      <c r="H3757" s="156"/>
      <c r="I3757" s="371" t="e">
        <f t="shared" si="620"/>
        <v>#N/A</v>
      </c>
      <c r="J3757" s="100" t="e">
        <f t="shared" si="621"/>
        <v>#N/A</v>
      </c>
      <c r="K3757" s="51" t="e">
        <f>VLOOKUP(B:B,'生產達成率(目標)'!A:C,3,0)</f>
        <v>#N/A</v>
      </c>
      <c r="L3757" s="20" t="e">
        <f t="shared" si="622"/>
        <v>#N/A</v>
      </c>
      <c r="M3757" s="137"/>
      <c r="N3757" s="374"/>
      <c r="O3757" s="374">
        <f t="shared" si="623"/>
        <v>0</v>
      </c>
      <c r="P3757" s="156"/>
      <c r="Q3757" s="98" t="e">
        <f t="shared" si="624"/>
        <v>#DIV/0!</v>
      </c>
      <c r="R3757" s="371"/>
      <c r="S3757" s="372"/>
      <c r="T3757" s="364"/>
      <c r="U3757" s="264"/>
      <c r="V3757" s="264"/>
      <c r="W3757" s="424"/>
      <c r="X3757" s="264" t="s">
        <v>1867</v>
      </c>
      <c r="Y3757" s="424"/>
      <c r="Z3757" s="424"/>
      <c r="AA3757" s="424"/>
      <c r="AB3757" s="424"/>
      <c r="AC3757" s="425">
        <f t="shared" si="625"/>
        <v>0</v>
      </c>
      <c r="AD3757" s="425">
        <f t="shared" si="626"/>
        <v>0</v>
      </c>
    </row>
    <row r="3758" spans="1:30" s="361" customFormat="1" x14ac:dyDescent="0.4">
      <c r="A3758" s="402"/>
      <c r="B3758" s="392"/>
      <c r="C3758" s="364" t="e">
        <f>VLOOKUP(B3758,'112年全品項生產鍋數'!A:H,2,0)</f>
        <v>#N/A</v>
      </c>
      <c r="D3758" s="404"/>
      <c r="E3758" s="48" t="e">
        <f>VLOOKUP(B3758,'112年全品項生產鍋數'!A:H,3,0)</f>
        <v>#N/A</v>
      </c>
      <c r="F3758" s="142" t="e">
        <f>VLOOKUP(B3758,'112年全品項生產鍋數'!A:H,7,0)</f>
        <v>#N/A</v>
      </c>
      <c r="G3758" s="143" t="e">
        <f t="shared" si="619"/>
        <v>#N/A</v>
      </c>
      <c r="H3758" s="156"/>
      <c r="I3758" s="371" t="e">
        <f t="shared" si="620"/>
        <v>#N/A</v>
      </c>
      <c r="J3758" s="100" t="e">
        <f t="shared" si="621"/>
        <v>#N/A</v>
      </c>
      <c r="K3758" s="51" t="e">
        <f>VLOOKUP(B:B,'生產達成率(目標)'!A:C,3,0)</f>
        <v>#N/A</v>
      </c>
      <c r="L3758" s="20" t="e">
        <f t="shared" si="622"/>
        <v>#N/A</v>
      </c>
      <c r="M3758" s="137"/>
      <c r="N3758" s="374"/>
      <c r="O3758" s="374">
        <f t="shared" si="623"/>
        <v>0</v>
      </c>
      <c r="P3758" s="156"/>
      <c r="Q3758" s="98" t="e">
        <f t="shared" si="624"/>
        <v>#DIV/0!</v>
      </c>
      <c r="R3758" s="371"/>
      <c r="S3758" s="372"/>
      <c r="T3758" s="364"/>
      <c r="U3758" s="264"/>
      <c r="V3758" s="264"/>
      <c r="W3758" s="424"/>
      <c r="X3758" s="264" t="s">
        <v>1867</v>
      </c>
      <c r="Y3758" s="424"/>
      <c r="Z3758" s="424"/>
      <c r="AA3758" s="424"/>
      <c r="AB3758" s="424"/>
      <c r="AC3758" s="425">
        <f t="shared" si="625"/>
        <v>0</v>
      </c>
      <c r="AD3758" s="425">
        <f t="shared" si="626"/>
        <v>0</v>
      </c>
    </row>
    <row r="3759" spans="1:30" s="361" customFormat="1" x14ac:dyDescent="0.4">
      <c r="A3759" s="402"/>
      <c r="B3759" s="392"/>
      <c r="C3759" s="364" t="e">
        <f>VLOOKUP(B3759,'112年全品項生產鍋數'!A:H,2,0)</f>
        <v>#N/A</v>
      </c>
      <c r="D3759" s="404"/>
      <c r="E3759" s="48" t="e">
        <f>VLOOKUP(B3759,'112年全品項生產鍋數'!A:H,3,0)</f>
        <v>#N/A</v>
      </c>
      <c r="F3759" s="142" t="e">
        <f>VLOOKUP(B3759,'112年全品項生產鍋數'!A:H,7,0)</f>
        <v>#N/A</v>
      </c>
      <c r="G3759" s="143" t="e">
        <f t="shared" si="619"/>
        <v>#N/A</v>
      </c>
      <c r="H3759" s="156"/>
      <c r="I3759" s="371" t="e">
        <f t="shared" si="620"/>
        <v>#N/A</v>
      </c>
      <c r="J3759" s="100" t="e">
        <f t="shared" si="621"/>
        <v>#N/A</v>
      </c>
      <c r="K3759" s="51" t="e">
        <f>VLOOKUP(B:B,'生產達成率(目標)'!A:C,3,0)</f>
        <v>#N/A</v>
      </c>
      <c r="L3759" s="20" t="e">
        <f t="shared" si="622"/>
        <v>#N/A</v>
      </c>
      <c r="M3759" s="137"/>
      <c r="N3759" s="374"/>
      <c r="O3759" s="374">
        <f t="shared" si="623"/>
        <v>0</v>
      </c>
      <c r="P3759" s="156"/>
      <c r="Q3759" s="98" t="e">
        <f t="shared" si="624"/>
        <v>#DIV/0!</v>
      </c>
      <c r="R3759" s="371"/>
      <c r="S3759" s="372"/>
      <c r="T3759" s="364"/>
      <c r="U3759" s="264"/>
      <c r="V3759" s="264"/>
      <c r="W3759" s="424"/>
      <c r="X3759" s="264" t="s">
        <v>1867</v>
      </c>
      <c r="Y3759" s="424"/>
      <c r="Z3759" s="424"/>
      <c r="AA3759" s="424"/>
      <c r="AB3759" s="424"/>
      <c r="AC3759" s="425">
        <f t="shared" si="625"/>
        <v>0</v>
      </c>
      <c r="AD3759" s="425">
        <f t="shared" si="626"/>
        <v>0</v>
      </c>
    </row>
    <row r="3760" spans="1:30" s="361" customFormat="1" x14ac:dyDescent="0.4">
      <c r="A3760" s="402"/>
      <c r="B3760" s="392"/>
      <c r="C3760" s="364" t="e">
        <f>VLOOKUP(B3760,'112年全品項生產鍋數'!A:H,2,0)</f>
        <v>#N/A</v>
      </c>
      <c r="D3760" s="404"/>
      <c r="E3760" s="48" t="e">
        <f>VLOOKUP(B3760,'112年全品項生產鍋數'!A:H,3,0)</f>
        <v>#N/A</v>
      </c>
      <c r="F3760" s="142" t="e">
        <f>VLOOKUP(B3760,'112年全品項生產鍋數'!A:H,7,0)</f>
        <v>#N/A</v>
      </c>
      <c r="G3760" s="143" t="e">
        <f t="shared" si="619"/>
        <v>#N/A</v>
      </c>
      <c r="H3760" s="156"/>
      <c r="I3760" s="371" t="e">
        <f t="shared" si="620"/>
        <v>#N/A</v>
      </c>
      <c r="J3760" s="100" t="e">
        <f t="shared" si="621"/>
        <v>#N/A</v>
      </c>
      <c r="K3760" s="51" t="e">
        <f>VLOOKUP(B:B,'生產達成率(目標)'!A:C,3,0)</f>
        <v>#N/A</v>
      </c>
      <c r="L3760" s="20" t="e">
        <f t="shared" si="622"/>
        <v>#N/A</v>
      </c>
      <c r="M3760" s="137"/>
      <c r="N3760" s="374"/>
      <c r="O3760" s="374">
        <f t="shared" si="623"/>
        <v>0</v>
      </c>
      <c r="P3760" s="156"/>
      <c r="Q3760" s="98" t="e">
        <f t="shared" si="624"/>
        <v>#DIV/0!</v>
      </c>
      <c r="R3760" s="371"/>
      <c r="S3760" s="372"/>
      <c r="T3760" s="364"/>
      <c r="U3760" s="264"/>
      <c r="V3760" s="264"/>
      <c r="W3760" s="424"/>
      <c r="X3760" s="264" t="s">
        <v>1867</v>
      </c>
      <c r="Y3760" s="424"/>
      <c r="Z3760" s="424"/>
      <c r="AA3760" s="424"/>
      <c r="AB3760" s="424"/>
      <c r="AC3760" s="425">
        <f t="shared" si="625"/>
        <v>0</v>
      </c>
      <c r="AD3760" s="425">
        <f t="shared" si="626"/>
        <v>0</v>
      </c>
    </row>
    <row r="3761" spans="1:30" s="361" customFormat="1" x14ac:dyDescent="0.4">
      <c r="A3761" s="402"/>
      <c r="B3761" s="392"/>
      <c r="C3761" s="364" t="e">
        <f>VLOOKUP(B3761,'112年全品項生產鍋數'!A:H,2,0)</f>
        <v>#N/A</v>
      </c>
      <c r="D3761" s="404"/>
      <c r="E3761" s="48" t="e">
        <f>VLOOKUP(B3761,'112年全品項生產鍋數'!A:H,3,0)</f>
        <v>#N/A</v>
      </c>
      <c r="F3761" s="142" t="e">
        <f>VLOOKUP(B3761,'112年全品項生產鍋數'!A:H,7,0)</f>
        <v>#N/A</v>
      </c>
      <c r="G3761" s="143" t="e">
        <f t="shared" si="619"/>
        <v>#N/A</v>
      </c>
      <c r="H3761" s="156"/>
      <c r="I3761" s="371" t="e">
        <f t="shared" si="620"/>
        <v>#N/A</v>
      </c>
      <c r="J3761" s="100" t="e">
        <f t="shared" si="621"/>
        <v>#N/A</v>
      </c>
      <c r="K3761" s="51" t="e">
        <f>VLOOKUP(B:B,'生產達成率(目標)'!A:C,3,0)</f>
        <v>#N/A</v>
      </c>
      <c r="L3761" s="20" t="e">
        <f t="shared" si="622"/>
        <v>#N/A</v>
      </c>
      <c r="M3761" s="137"/>
      <c r="N3761" s="374"/>
      <c r="O3761" s="374">
        <f t="shared" si="623"/>
        <v>0</v>
      </c>
      <c r="P3761" s="156"/>
      <c r="Q3761" s="98" t="e">
        <f t="shared" si="624"/>
        <v>#DIV/0!</v>
      </c>
      <c r="R3761" s="371"/>
      <c r="S3761" s="372"/>
      <c r="T3761" s="364"/>
      <c r="U3761" s="264"/>
      <c r="V3761" s="264"/>
      <c r="W3761" s="424"/>
      <c r="X3761" s="264" t="s">
        <v>1867</v>
      </c>
      <c r="Y3761" s="424"/>
      <c r="Z3761" s="424"/>
      <c r="AA3761" s="424"/>
      <c r="AB3761" s="424"/>
      <c r="AC3761" s="425">
        <f t="shared" si="625"/>
        <v>0</v>
      </c>
      <c r="AD3761" s="425">
        <f t="shared" si="626"/>
        <v>0</v>
      </c>
    </row>
    <row r="3762" spans="1:30" s="361" customFormat="1" x14ac:dyDescent="0.4">
      <c r="A3762" s="402"/>
      <c r="B3762" s="392"/>
      <c r="C3762" s="364" t="e">
        <f>VLOOKUP(B3762,'112年全品項生產鍋數'!A:H,2,0)</f>
        <v>#N/A</v>
      </c>
      <c r="D3762" s="404"/>
      <c r="E3762" s="48" t="e">
        <f>VLOOKUP(B3762,'112年全品項生產鍋數'!A:H,3,0)</f>
        <v>#N/A</v>
      </c>
      <c r="F3762" s="142" t="e">
        <f>VLOOKUP(B3762,'112年全品項生產鍋數'!A:H,7,0)</f>
        <v>#N/A</v>
      </c>
      <c r="G3762" s="143" t="e">
        <f t="shared" si="619"/>
        <v>#N/A</v>
      </c>
      <c r="H3762" s="156"/>
      <c r="I3762" s="371" t="e">
        <f t="shared" si="620"/>
        <v>#N/A</v>
      </c>
      <c r="J3762" s="100" t="e">
        <f t="shared" si="621"/>
        <v>#N/A</v>
      </c>
      <c r="K3762" s="51" t="e">
        <f>VLOOKUP(B:B,'生產達成率(目標)'!A:C,3,0)</f>
        <v>#N/A</v>
      </c>
      <c r="L3762" s="20" t="e">
        <f t="shared" si="622"/>
        <v>#N/A</v>
      </c>
      <c r="M3762" s="137"/>
      <c r="N3762" s="374"/>
      <c r="O3762" s="374">
        <f t="shared" si="623"/>
        <v>0</v>
      </c>
      <c r="P3762" s="156"/>
      <c r="Q3762" s="98" t="e">
        <f t="shared" si="624"/>
        <v>#DIV/0!</v>
      </c>
      <c r="R3762" s="371"/>
      <c r="S3762" s="372"/>
      <c r="T3762" s="364"/>
      <c r="U3762" s="264"/>
      <c r="V3762" s="264"/>
      <c r="W3762" s="424"/>
      <c r="X3762" s="264" t="s">
        <v>1867</v>
      </c>
      <c r="Y3762" s="424"/>
      <c r="Z3762" s="424"/>
      <c r="AA3762" s="424"/>
      <c r="AB3762" s="424"/>
      <c r="AC3762" s="425">
        <f t="shared" si="625"/>
        <v>0</v>
      </c>
      <c r="AD3762" s="425">
        <f t="shared" si="626"/>
        <v>0</v>
      </c>
    </row>
    <row r="3763" spans="1:30" s="361" customFormat="1" x14ac:dyDescent="0.4">
      <c r="A3763" s="402"/>
      <c r="B3763" s="392"/>
      <c r="C3763" s="364" t="e">
        <f>VLOOKUP(B3763,'112年全品項生產鍋數'!A:H,2,0)</f>
        <v>#N/A</v>
      </c>
      <c r="D3763" s="404"/>
      <c r="E3763" s="48" t="e">
        <f>VLOOKUP(B3763,'112年全品項生產鍋數'!A:H,3,0)</f>
        <v>#N/A</v>
      </c>
      <c r="F3763" s="142" t="e">
        <f>VLOOKUP(B3763,'112年全品項生產鍋數'!A:H,7,0)</f>
        <v>#N/A</v>
      </c>
      <c r="G3763" s="143" t="e">
        <f t="shared" si="619"/>
        <v>#N/A</v>
      </c>
      <c r="H3763" s="156"/>
      <c r="I3763" s="371" t="e">
        <f t="shared" si="620"/>
        <v>#N/A</v>
      </c>
      <c r="J3763" s="100" t="e">
        <f t="shared" si="621"/>
        <v>#N/A</v>
      </c>
      <c r="K3763" s="51" t="e">
        <f>VLOOKUP(B:B,'生產達成率(目標)'!A:C,3,0)</f>
        <v>#N/A</v>
      </c>
      <c r="L3763" s="20" t="e">
        <f t="shared" si="622"/>
        <v>#N/A</v>
      </c>
      <c r="M3763" s="137"/>
      <c r="N3763" s="374"/>
      <c r="O3763" s="374">
        <f t="shared" si="623"/>
        <v>0</v>
      </c>
      <c r="P3763" s="156"/>
      <c r="Q3763" s="98" t="e">
        <f t="shared" si="624"/>
        <v>#DIV/0!</v>
      </c>
      <c r="R3763" s="371"/>
      <c r="S3763" s="372"/>
      <c r="T3763" s="364"/>
      <c r="U3763" s="264"/>
      <c r="V3763" s="264"/>
      <c r="W3763" s="424"/>
      <c r="X3763" s="264" t="s">
        <v>1867</v>
      </c>
      <c r="Y3763" s="424"/>
      <c r="Z3763" s="424"/>
      <c r="AA3763" s="424"/>
      <c r="AB3763" s="424"/>
      <c r="AC3763" s="425">
        <f t="shared" si="625"/>
        <v>0</v>
      </c>
      <c r="AD3763" s="425">
        <f t="shared" si="626"/>
        <v>0</v>
      </c>
    </row>
    <row r="3764" spans="1:30" s="361" customFormat="1" x14ac:dyDescent="0.4">
      <c r="A3764" s="402"/>
      <c r="B3764" s="392"/>
      <c r="C3764" s="364" t="e">
        <f>VLOOKUP(B3764,'112年全品項生產鍋數'!A:H,2,0)</f>
        <v>#N/A</v>
      </c>
      <c r="D3764" s="404"/>
      <c r="E3764" s="48" t="e">
        <f>VLOOKUP(B3764,'112年全品項生產鍋數'!A:H,3,0)</f>
        <v>#N/A</v>
      </c>
      <c r="F3764" s="142" t="e">
        <f>VLOOKUP(B3764,'112年全品項生產鍋數'!A:H,7,0)</f>
        <v>#N/A</v>
      </c>
      <c r="G3764" s="143" t="e">
        <f t="shared" si="619"/>
        <v>#N/A</v>
      </c>
      <c r="H3764" s="156"/>
      <c r="I3764" s="371" t="e">
        <f t="shared" si="620"/>
        <v>#N/A</v>
      </c>
      <c r="J3764" s="100" t="e">
        <f t="shared" si="621"/>
        <v>#N/A</v>
      </c>
      <c r="K3764" s="51" t="e">
        <f>VLOOKUP(B:B,'生產達成率(目標)'!A:C,3,0)</f>
        <v>#N/A</v>
      </c>
      <c r="L3764" s="20" t="e">
        <f t="shared" si="622"/>
        <v>#N/A</v>
      </c>
      <c r="M3764" s="137"/>
      <c r="N3764" s="374"/>
      <c r="O3764" s="374">
        <f t="shared" si="623"/>
        <v>0</v>
      </c>
      <c r="P3764" s="156"/>
      <c r="Q3764" s="98" t="e">
        <f t="shared" si="624"/>
        <v>#DIV/0!</v>
      </c>
      <c r="R3764" s="371"/>
      <c r="S3764" s="372"/>
      <c r="T3764" s="364"/>
      <c r="U3764" s="264"/>
      <c r="V3764" s="264"/>
      <c r="W3764" s="424"/>
      <c r="X3764" s="264" t="s">
        <v>1867</v>
      </c>
      <c r="Y3764" s="424"/>
      <c r="Z3764" s="424"/>
      <c r="AA3764" s="424"/>
      <c r="AB3764" s="424"/>
      <c r="AC3764" s="425">
        <f t="shared" si="625"/>
        <v>0</v>
      </c>
      <c r="AD3764" s="425">
        <f t="shared" si="626"/>
        <v>0</v>
      </c>
    </row>
    <row r="3765" spans="1:30" s="361" customFormat="1" x14ac:dyDescent="0.4">
      <c r="A3765" s="402"/>
      <c r="B3765" s="392"/>
      <c r="C3765" s="364" t="e">
        <f>VLOOKUP(B3765,'112年全品項生產鍋數'!A:H,2,0)</f>
        <v>#N/A</v>
      </c>
      <c r="D3765" s="404"/>
      <c r="E3765" s="48" t="e">
        <f>VLOOKUP(B3765,'112年全品項生產鍋數'!A:H,3,0)</f>
        <v>#N/A</v>
      </c>
      <c r="F3765" s="142" t="e">
        <f>VLOOKUP(B3765,'112年全品項生產鍋數'!A:H,7,0)</f>
        <v>#N/A</v>
      </c>
      <c r="G3765" s="143" t="e">
        <f t="shared" si="619"/>
        <v>#N/A</v>
      </c>
      <c r="H3765" s="156"/>
      <c r="I3765" s="371" t="e">
        <f t="shared" si="620"/>
        <v>#N/A</v>
      </c>
      <c r="J3765" s="100" t="e">
        <f t="shared" si="621"/>
        <v>#N/A</v>
      </c>
      <c r="K3765" s="51" t="e">
        <f>VLOOKUP(B:B,'生產達成率(目標)'!A:C,3,0)</f>
        <v>#N/A</v>
      </c>
      <c r="L3765" s="20" t="e">
        <f t="shared" si="622"/>
        <v>#N/A</v>
      </c>
      <c r="M3765" s="137"/>
      <c r="N3765" s="374"/>
      <c r="O3765" s="374">
        <f t="shared" si="623"/>
        <v>0</v>
      </c>
      <c r="P3765" s="156"/>
      <c r="Q3765" s="98" t="e">
        <f t="shared" si="624"/>
        <v>#DIV/0!</v>
      </c>
      <c r="R3765" s="371"/>
      <c r="S3765" s="372"/>
      <c r="T3765" s="364"/>
      <c r="U3765" s="264"/>
      <c r="V3765" s="264"/>
      <c r="W3765" s="424"/>
      <c r="X3765" s="264" t="s">
        <v>1867</v>
      </c>
      <c r="Y3765" s="424"/>
      <c r="Z3765" s="424"/>
      <c r="AA3765" s="424"/>
      <c r="AB3765" s="424"/>
      <c r="AC3765" s="425">
        <f t="shared" si="625"/>
        <v>0</v>
      </c>
      <c r="AD3765" s="425">
        <f t="shared" si="626"/>
        <v>0</v>
      </c>
    </row>
    <row r="3766" spans="1:30" s="361" customFormat="1" x14ac:dyDescent="0.4">
      <c r="A3766" s="402"/>
      <c r="B3766" s="392"/>
      <c r="C3766" s="364" t="e">
        <f>VLOOKUP(B3766,'112年全品項生產鍋數'!A:H,2,0)</f>
        <v>#N/A</v>
      </c>
      <c r="D3766" s="404"/>
      <c r="E3766" s="48" t="e">
        <f>VLOOKUP(B3766,'112年全品項生產鍋數'!A:H,3,0)</f>
        <v>#N/A</v>
      </c>
      <c r="F3766" s="142" t="e">
        <f>VLOOKUP(B3766,'112年全品項生產鍋數'!A:H,7,0)</f>
        <v>#N/A</v>
      </c>
      <c r="G3766" s="143" t="e">
        <f t="shared" si="619"/>
        <v>#N/A</v>
      </c>
      <c r="H3766" s="156"/>
      <c r="I3766" s="371" t="e">
        <f t="shared" si="620"/>
        <v>#N/A</v>
      </c>
      <c r="J3766" s="100" t="e">
        <f t="shared" si="621"/>
        <v>#N/A</v>
      </c>
      <c r="K3766" s="51" t="e">
        <f>VLOOKUP(B:B,'生產達成率(目標)'!A:C,3,0)</f>
        <v>#N/A</v>
      </c>
      <c r="L3766" s="20" t="e">
        <f t="shared" si="622"/>
        <v>#N/A</v>
      </c>
      <c r="M3766" s="137"/>
      <c r="N3766" s="374"/>
      <c r="O3766" s="374">
        <f t="shared" si="623"/>
        <v>0</v>
      </c>
      <c r="P3766" s="156"/>
      <c r="Q3766" s="98" t="e">
        <f t="shared" si="624"/>
        <v>#DIV/0!</v>
      </c>
      <c r="R3766" s="371"/>
      <c r="S3766" s="372"/>
      <c r="T3766" s="364"/>
      <c r="U3766" s="264"/>
      <c r="V3766" s="264"/>
      <c r="W3766" s="424"/>
      <c r="X3766" s="264" t="s">
        <v>1867</v>
      </c>
      <c r="Y3766" s="424"/>
      <c r="Z3766" s="424"/>
      <c r="AA3766" s="424"/>
      <c r="AB3766" s="424"/>
      <c r="AC3766" s="425">
        <f t="shared" si="625"/>
        <v>0</v>
      </c>
      <c r="AD3766" s="425">
        <f t="shared" si="626"/>
        <v>0</v>
      </c>
    </row>
    <row r="3767" spans="1:30" s="361" customFormat="1" x14ac:dyDescent="0.4">
      <c r="A3767" s="402"/>
      <c r="B3767" s="392"/>
      <c r="C3767" s="364" t="e">
        <f>VLOOKUP(B3767,'112年全品項生產鍋數'!A:H,2,0)</f>
        <v>#N/A</v>
      </c>
      <c r="D3767" s="404"/>
      <c r="E3767" s="48" t="e">
        <f>VLOOKUP(B3767,'112年全品項生產鍋數'!A:H,3,0)</f>
        <v>#N/A</v>
      </c>
      <c r="F3767" s="142" t="e">
        <f>VLOOKUP(B3767,'112年全品項生產鍋數'!A:H,7,0)</f>
        <v>#N/A</v>
      </c>
      <c r="G3767" s="143" t="e">
        <f t="shared" ref="G3767:G3830" si="627">D3767*F3767</f>
        <v>#N/A</v>
      </c>
      <c r="H3767" s="156"/>
      <c r="I3767" s="371" t="e">
        <f t="shared" ref="I3767:I3830" si="628">H3767*E3767</f>
        <v>#N/A</v>
      </c>
      <c r="J3767" s="100" t="e">
        <f t="shared" ref="J3767:J3830" si="629">IF(G3767=0,"無法預估數據",H3767/G3767)</f>
        <v>#N/A</v>
      </c>
      <c r="K3767" s="51" t="e">
        <f>VLOOKUP(B:B,'生產達成率(目標)'!A:C,3,0)</f>
        <v>#N/A</v>
      </c>
      <c r="L3767" s="20" t="e">
        <f t="shared" ref="L3767:L3830" si="630">IF(G3767=0,"無法預估數據",ROUND(J3767-K3767,3))</f>
        <v>#N/A</v>
      </c>
      <c r="M3767" s="137"/>
      <c r="N3767" s="374"/>
      <c r="O3767" s="374">
        <f t="shared" ref="O3767:O3830" si="631">H3767-N3767-P3767</f>
        <v>0</v>
      </c>
      <c r="P3767" s="156"/>
      <c r="Q3767" s="98" t="e">
        <f t="shared" ref="Q3767:Q3830" si="632">P3767/H3767</f>
        <v>#DIV/0!</v>
      </c>
      <c r="R3767" s="371"/>
      <c r="S3767" s="372"/>
      <c r="T3767" s="364"/>
      <c r="U3767" s="264"/>
      <c r="V3767" s="264"/>
      <c r="W3767" s="424"/>
      <c r="X3767" s="264" t="s">
        <v>1867</v>
      </c>
      <c r="Y3767" s="424"/>
      <c r="Z3767" s="424"/>
      <c r="AA3767" s="424"/>
      <c r="AB3767" s="424"/>
      <c r="AC3767" s="425">
        <f t="shared" si="625"/>
        <v>0</v>
      </c>
      <c r="AD3767" s="425">
        <f t="shared" si="626"/>
        <v>0</v>
      </c>
    </row>
    <row r="3768" spans="1:30" s="361" customFormat="1" x14ac:dyDescent="0.4">
      <c r="A3768" s="402"/>
      <c r="B3768" s="392"/>
      <c r="C3768" s="364" t="e">
        <f>VLOOKUP(B3768,'112年全品項生產鍋數'!A:H,2,0)</f>
        <v>#N/A</v>
      </c>
      <c r="D3768" s="404"/>
      <c r="E3768" s="48" t="e">
        <f>VLOOKUP(B3768,'112年全品項生產鍋數'!A:H,3,0)</f>
        <v>#N/A</v>
      </c>
      <c r="F3768" s="142" t="e">
        <f>VLOOKUP(B3768,'112年全品項生產鍋數'!A:H,7,0)</f>
        <v>#N/A</v>
      </c>
      <c r="G3768" s="143" t="e">
        <f t="shared" si="627"/>
        <v>#N/A</v>
      </c>
      <c r="H3768" s="156"/>
      <c r="I3768" s="371" t="e">
        <f t="shared" si="628"/>
        <v>#N/A</v>
      </c>
      <c r="J3768" s="100" t="e">
        <f t="shared" si="629"/>
        <v>#N/A</v>
      </c>
      <c r="K3768" s="51" t="e">
        <f>VLOOKUP(B:B,'生產達成率(目標)'!A:C,3,0)</f>
        <v>#N/A</v>
      </c>
      <c r="L3768" s="20" t="e">
        <f t="shared" si="630"/>
        <v>#N/A</v>
      </c>
      <c r="M3768" s="137"/>
      <c r="N3768" s="374"/>
      <c r="O3768" s="374">
        <f t="shared" si="631"/>
        <v>0</v>
      </c>
      <c r="P3768" s="156"/>
      <c r="Q3768" s="98" t="e">
        <f t="shared" si="632"/>
        <v>#DIV/0!</v>
      </c>
      <c r="R3768" s="371"/>
      <c r="S3768" s="372"/>
      <c r="T3768" s="364"/>
      <c r="U3768" s="264"/>
      <c r="V3768" s="264"/>
      <c r="W3768" s="424"/>
      <c r="X3768" s="264" t="s">
        <v>1867</v>
      </c>
      <c r="Y3768" s="424"/>
      <c r="Z3768" s="424"/>
      <c r="AA3768" s="424"/>
      <c r="AB3768" s="424"/>
      <c r="AC3768" s="425">
        <f t="shared" si="625"/>
        <v>0</v>
      </c>
      <c r="AD3768" s="425">
        <f t="shared" si="626"/>
        <v>0</v>
      </c>
    </row>
    <row r="3769" spans="1:30" s="361" customFormat="1" x14ac:dyDescent="0.4">
      <c r="A3769" s="402"/>
      <c r="B3769" s="392"/>
      <c r="C3769" s="364" t="e">
        <f>VLOOKUP(B3769,'112年全品項生產鍋數'!A:H,2,0)</f>
        <v>#N/A</v>
      </c>
      <c r="D3769" s="404"/>
      <c r="E3769" s="48" t="e">
        <f>VLOOKUP(B3769,'112年全品項生產鍋數'!A:H,3,0)</f>
        <v>#N/A</v>
      </c>
      <c r="F3769" s="142" t="e">
        <f>VLOOKUP(B3769,'112年全品項生產鍋數'!A:H,7,0)</f>
        <v>#N/A</v>
      </c>
      <c r="G3769" s="143" t="e">
        <f t="shared" si="627"/>
        <v>#N/A</v>
      </c>
      <c r="H3769" s="156"/>
      <c r="I3769" s="371" t="e">
        <f t="shared" si="628"/>
        <v>#N/A</v>
      </c>
      <c r="J3769" s="100" t="e">
        <f t="shared" si="629"/>
        <v>#N/A</v>
      </c>
      <c r="K3769" s="51" t="e">
        <f>VLOOKUP(B:B,'生產達成率(目標)'!A:C,3,0)</f>
        <v>#N/A</v>
      </c>
      <c r="L3769" s="20" t="e">
        <f t="shared" si="630"/>
        <v>#N/A</v>
      </c>
      <c r="M3769" s="137"/>
      <c r="N3769" s="374"/>
      <c r="O3769" s="374">
        <f t="shared" si="631"/>
        <v>0</v>
      </c>
      <c r="P3769" s="156"/>
      <c r="Q3769" s="98" t="e">
        <f t="shared" si="632"/>
        <v>#DIV/0!</v>
      </c>
      <c r="R3769" s="371"/>
      <c r="S3769" s="372"/>
      <c r="T3769" s="364"/>
      <c r="U3769" s="264"/>
      <c r="V3769" s="264"/>
      <c r="W3769" s="424"/>
      <c r="X3769" s="264" t="s">
        <v>1867</v>
      </c>
      <c r="Y3769" s="424"/>
      <c r="Z3769" s="424"/>
      <c r="AA3769" s="424"/>
      <c r="AB3769" s="424"/>
      <c r="AC3769" s="425">
        <f t="shared" si="625"/>
        <v>0</v>
      </c>
      <c r="AD3769" s="425">
        <f t="shared" si="626"/>
        <v>0</v>
      </c>
    </row>
    <row r="3770" spans="1:30" s="361" customFormat="1" x14ac:dyDescent="0.4">
      <c r="A3770" s="402"/>
      <c r="B3770" s="392"/>
      <c r="C3770" s="364" t="e">
        <f>VLOOKUP(B3770,'112年全品項生產鍋數'!A:H,2,0)</f>
        <v>#N/A</v>
      </c>
      <c r="D3770" s="404"/>
      <c r="E3770" s="48" t="e">
        <f>VLOOKUP(B3770,'112年全品項生產鍋數'!A:H,3,0)</f>
        <v>#N/A</v>
      </c>
      <c r="F3770" s="142" t="e">
        <f>VLOOKUP(B3770,'112年全品項生產鍋數'!A:H,7,0)</f>
        <v>#N/A</v>
      </c>
      <c r="G3770" s="143" t="e">
        <f t="shared" si="627"/>
        <v>#N/A</v>
      </c>
      <c r="H3770" s="156"/>
      <c r="I3770" s="371" t="e">
        <f t="shared" si="628"/>
        <v>#N/A</v>
      </c>
      <c r="J3770" s="100" t="e">
        <f t="shared" si="629"/>
        <v>#N/A</v>
      </c>
      <c r="K3770" s="51" t="e">
        <f>VLOOKUP(B:B,'生產達成率(目標)'!A:C,3,0)</f>
        <v>#N/A</v>
      </c>
      <c r="L3770" s="20" t="e">
        <f t="shared" si="630"/>
        <v>#N/A</v>
      </c>
      <c r="M3770" s="137"/>
      <c r="N3770" s="374"/>
      <c r="O3770" s="374">
        <f t="shared" si="631"/>
        <v>0</v>
      </c>
      <c r="P3770" s="156"/>
      <c r="Q3770" s="98" t="e">
        <f t="shared" si="632"/>
        <v>#DIV/0!</v>
      </c>
      <c r="R3770" s="371"/>
      <c r="S3770" s="372"/>
      <c r="T3770" s="364"/>
      <c r="U3770" s="264"/>
      <c r="V3770" s="264"/>
      <c r="W3770" s="424"/>
      <c r="X3770" s="264" t="s">
        <v>1867</v>
      </c>
      <c r="Y3770" s="424"/>
      <c r="Z3770" s="424"/>
      <c r="AA3770" s="424"/>
      <c r="AB3770" s="424"/>
      <c r="AC3770" s="425">
        <f t="shared" si="625"/>
        <v>0</v>
      </c>
      <c r="AD3770" s="425">
        <f t="shared" si="626"/>
        <v>0</v>
      </c>
    </row>
    <row r="3771" spans="1:30" s="361" customFormat="1" x14ac:dyDescent="0.4">
      <c r="A3771" s="402"/>
      <c r="B3771" s="392"/>
      <c r="C3771" s="364" t="e">
        <f>VLOOKUP(B3771,'112年全品項生產鍋數'!A:H,2,0)</f>
        <v>#N/A</v>
      </c>
      <c r="D3771" s="404"/>
      <c r="E3771" s="48" t="e">
        <f>VLOOKUP(B3771,'112年全品項生產鍋數'!A:H,3,0)</f>
        <v>#N/A</v>
      </c>
      <c r="F3771" s="142" t="e">
        <f>VLOOKUP(B3771,'112年全品項生產鍋數'!A:H,7,0)</f>
        <v>#N/A</v>
      </c>
      <c r="G3771" s="143" t="e">
        <f t="shared" si="627"/>
        <v>#N/A</v>
      </c>
      <c r="H3771" s="156"/>
      <c r="I3771" s="371" t="e">
        <f t="shared" si="628"/>
        <v>#N/A</v>
      </c>
      <c r="J3771" s="100" t="e">
        <f t="shared" si="629"/>
        <v>#N/A</v>
      </c>
      <c r="K3771" s="51" t="e">
        <f>VLOOKUP(B:B,'生產達成率(目標)'!A:C,3,0)</f>
        <v>#N/A</v>
      </c>
      <c r="L3771" s="20" t="e">
        <f t="shared" si="630"/>
        <v>#N/A</v>
      </c>
      <c r="M3771" s="137"/>
      <c r="N3771" s="374"/>
      <c r="O3771" s="374">
        <f t="shared" si="631"/>
        <v>0</v>
      </c>
      <c r="P3771" s="156"/>
      <c r="Q3771" s="98" t="e">
        <f t="shared" si="632"/>
        <v>#DIV/0!</v>
      </c>
      <c r="R3771" s="371"/>
      <c r="S3771" s="372"/>
      <c r="T3771" s="364"/>
      <c r="U3771" s="264"/>
      <c r="V3771" s="264"/>
      <c r="W3771" s="424"/>
      <c r="X3771" s="264" t="s">
        <v>1867</v>
      </c>
      <c r="Y3771" s="424"/>
      <c r="Z3771" s="424"/>
      <c r="AA3771" s="424"/>
      <c r="AB3771" s="424"/>
      <c r="AC3771" s="425">
        <f t="shared" si="625"/>
        <v>0</v>
      </c>
      <c r="AD3771" s="425">
        <f t="shared" si="626"/>
        <v>0</v>
      </c>
    </row>
    <row r="3772" spans="1:30" s="361" customFormat="1" x14ac:dyDescent="0.4">
      <c r="A3772" s="402"/>
      <c r="B3772" s="392"/>
      <c r="C3772" s="364" t="e">
        <f>VLOOKUP(B3772,'112年全品項生產鍋數'!A:H,2,0)</f>
        <v>#N/A</v>
      </c>
      <c r="D3772" s="404"/>
      <c r="E3772" s="48" t="e">
        <f>VLOOKUP(B3772,'112年全品項生產鍋數'!A:H,3,0)</f>
        <v>#N/A</v>
      </c>
      <c r="F3772" s="142" t="e">
        <f>VLOOKUP(B3772,'112年全品項生產鍋數'!A:H,7,0)</f>
        <v>#N/A</v>
      </c>
      <c r="G3772" s="143" t="e">
        <f t="shared" si="627"/>
        <v>#N/A</v>
      </c>
      <c r="H3772" s="156"/>
      <c r="I3772" s="371" t="e">
        <f t="shared" si="628"/>
        <v>#N/A</v>
      </c>
      <c r="J3772" s="100" t="e">
        <f t="shared" si="629"/>
        <v>#N/A</v>
      </c>
      <c r="K3772" s="51" t="e">
        <f>VLOOKUP(B:B,'生產達成率(目標)'!A:C,3,0)</f>
        <v>#N/A</v>
      </c>
      <c r="L3772" s="20" t="e">
        <f t="shared" si="630"/>
        <v>#N/A</v>
      </c>
      <c r="M3772" s="137"/>
      <c r="N3772" s="374"/>
      <c r="O3772" s="374">
        <f t="shared" si="631"/>
        <v>0</v>
      </c>
      <c r="P3772" s="156"/>
      <c r="Q3772" s="98" t="e">
        <f t="shared" si="632"/>
        <v>#DIV/0!</v>
      </c>
      <c r="R3772" s="371"/>
      <c r="S3772" s="372"/>
      <c r="T3772" s="364"/>
      <c r="U3772" s="264"/>
      <c r="V3772" s="264"/>
      <c r="W3772" s="424"/>
      <c r="X3772" s="264" t="s">
        <v>1867</v>
      </c>
      <c r="Y3772" s="424"/>
      <c r="Z3772" s="424"/>
      <c r="AA3772" s="424"/>
      <c r="AB3772" s="424"/>
      <c r="AC3772" s="425">
        <f t="shared" si="625"/>
        <v>0</v>
      </c>
      <c r="AD3772" s="425">
        <f t="shared" si="626"/>
        <v>0</v>
      </c>
    </row>
    <row r="3773" spans="1:30" s="361" customFormat="1" x14ac:dyDescent="0.4">
      <c r="A3773" s="402"/>
      <c r="B3773" s="392"/>
      <c r="C3773" s="364" t="e">
        <f>VLOOKUP(B3773,'112年全品項生產鍋數'!A:H,2,0)</f>
        <v>#N/A</v>
      </c>
      <c r="D3773" s="404"/>
      <c r="E3773" s="48" t="e">
        <f>VLOOKUP(B3773,'112年全品項生產鍋數'!A:H,3,0)</f>
        <v>#N/A</v>
      </c>
      <c r="F3773" s="142" t="e">
        <f>VLOOKUP(B3773,'112年全品項生產鍋數'!A:H,7,0)</f>
        <v>#N/A</v>
      </c>
      <c r="G3773" s="143" t="e">
        <f t="shared" si="627"/>
        <v>#N/A</v>
      </c>
      <c r="H3773" s="156"/>
      <c r="I3773" s="371" t="e">
        <f t="shared" si="628"/>
        <v>#N/A</v>
      </c>
      <c r="J3773" s="100" t="e">
        <f t="shared" si="629"/>
        <v>#N/A</v>
      </c>
      <c r="K3773" s="51" t="e">
        <f>VLOOKUP(B:B,'生產達成率(目標)'!A:C,3,0)</f>
        <v>#N/A</v>
      </c>
      <c r="L3773" s="20" t="e">
        <f t="shared" si="630"/>
        <v>#N/A</v>
      </c>
      <c r="M3773" s="137"/>
      <c r="N3773" s="374"/>
      <c r="O3773" s="374">
        <f t="shared" si="631"/>
        <v>0</v>
      </c>
      <c r="P3773" s="156"/>
      <c r="Q3773" s="98" t="e">
        <f t="shared" si="632"/>
        <v>#DIV/0!</v>
      </c>
      <c r="R3773" s="371"/>
      <c r="S3773" s="372"/>
      <c r="T3773" s="364"/>
      <c r="U3773" s="264"/>
      <c r="V3773" s="264"/>
      <c r="W3773" s="424"/>
      <c r="X3773" s="264" t="s">
        <v>1867</v>
      </c>
      <c r="Y3773" s="424"/>
      <c r="Z3773" s="424"/>
      <c r="AA3773" s="424"/>
      <c r="AB3773" s="424"/>
      <c r="AC3773" s="425">
        <f t="shared" si="625"/>
        <v>0</v>
      </c>
      <c r="AD3773" s="425">
        <f t="shared" si="626"/>
        <v>0</v>
      </c>
    </row>
    <row r="3774" spans="1:30" s="361" customFormat="1" x14ac:dyDescent="0.4">
      <c r="A3774" s="402"/>
      <c r="B3774" s="392"/>
      <c r="C3774" s="364" t="e">
        <f>VLOOKUP(B3774,'112年全品項生產鍋數'!A:H,2,0)</f>
        <v>#N/A</v>
      </c>
      <c r="D3774" s="404"/>
      <c r="E3774" s="48" t="e">
        <f>VLOOKUP(B3774,'112年全品項生產鍋數'!A:H,3,0)</f>
        <v>#N/A</v>
      </c>
      <c r="F3774" s="142" t="e">
        <f>VLOOKUP(B3774,'112年全品項生產鍋數'!A:H,7,0)</f>
        <v>#N/A</v>
      </c>
      <c r="G3774" s="143" t="e">
        <f t="shared" si="627"/>
        <v>#N/A</v>
      </c>
      <c r="H3774" s="156"/>
      <c r="I3774" s="371" t="e">
        <f t="shared" si="628"/>
        <v>#N/A</v>
      </c>
      <c r="J3774" s="100" t="e">
        <f t="shared" si="629"/>
        <v>#N/A</v>
      </c>
      <c r="K3774" s="51" t="e">
        <f>VLOOKUP(B:B,'生產達成率(目標)'!A:C,3,0)</f>
        <v>#N/A</v>
      </c>
      <c r="L3774" s="20" t="e">
        <f t="shared" si="630"/>
        <v>#N/A</v>
      </c>
      <c r="M3774" s="137"/>
      <c r="N3774" s="374"/>
      <c r="O3774" s="374">
        <f t="shared" si="631"/>
        <v>0</v>
      </c>
      <c r="P3774" s="156"/>
      <c r="Q3774" s="98" t="e">
        <f t="shared" si="632"/>
        <v>#DIV/0!</v>
      </c>
      <c r="R3774" s="371"/>
      <c r="S3774" s="372"/>
      <c r="T3774" s="364"/>
      <c r="U3774" s="264"/>
      <c r="V3774" s="264"/>
      <c r="W3774" s="424"/>
      <c r="X3774" s="264" t="s">
        <v>1867</v>
      </c>
      <c r="Y3774" s="424"/>
      <c r="Z3774" s="424"/>
      <c r="AA3774" s="424"/>
      <c r="AB3774" s="424"/>
      <c r="AC3774" s="425">
        <f t="shared" si="625"/>
        <v>0</v>
      </c>
      <c r="AD3774" s="425">
        <f t="shared" si="626"/>
        <v>0</v>
      </c>
    </row>
    <row r="3775" spans="1:30" s="361" customFormat="1" x14ac:dyDescent="0.4">
      <c r="A3775" s="402"/>
      <c r="B3775" s="392"/>
      <c r="C3775" s="364" t="e">
        <f>VLOOKUP(B3775,'112年全品項生產鍋數'!A:H,2,0)</f>
        <v>#N/A</v>
      </c>
      <c r="D3775" s="404"/>
      <c r="E3775" s="48" t="e">
        <f>VLOOKUP(B3775,'112年全品項生產鍋數'!A:H,3,0)</f>
        <v>#N/A</v>
      </c>
      <c r="F3775" s="142" t="e">
        <f>VLOOKUP(B3775,'112年全品項生產鍋數'!A:H,7,0)</f>
        <v>#N/A</v>
      </c>
      <c r="G3775" s="143" t="e">
        <f t="shared" si="627"/>
        <v>#N/A</v>
      </c>
      <c r="H3775" s="156"/>
      <c r="I3775" s="371" t="e">
        <f t="shared" si="628"/>
        <v>#N/A</v>
      </c>
      <c r="J3775" s="100" t="e">
        <f t="shared" si="629"/>
        <v>#N/A</v>
      </c>
      <c r="K3775" s="51" t="e">
        <f>VLOOKUP(B:B,'生產達成率(目標)'!A:C,3,0)</f>
        <v>#N/A</v>
      </c>
      <c r="L3775" s="20" t="e">
        <f t="shared" si="630"/>
        <v>#N/A</v>
      </c>
      <c r="M3775" s="137"/>
      <c r="N3775" s="374"/>
      <c r="O3775" s="374">
        <f t="shared" si="631"/>
        <v>0</v>
      </c>
      <c r="P3775" s="156"/>
      <c r="Q3775" s="98" t="e">
        <f t="shared" si="632"/>
        <v>#DIV/0!</v>
      </c>
      <c r="R3775" s="371"/>
      <c r="S3775" s="372"/>
      <c r="T3775" s="364"/>
      <c r="U3775" s="264"/>
      <c r="V3775" s="264"/>
      <c r="W3775" s="424"/>
      <c r="X3775" s="264" t="s">
        <v>1867</v>
      </c>
      <c r="Y3775" s="424"/>
      <c r="Z3775" s="424"/>
      <c r="AA3775" s="424"/>
      <c r="AB3775" s="424"/>
      <c r="AC3775" s="425">
        <f t="shared" si="625"/>
        <v>0</v>
      </c>
      <c r="AD3775" s="425">
        <f t="shared" si="626"/>
        <v>0</v>
      </c>
    </row>
    <row r="3776" spans="1:30" s="361" customFormat="1" x14ac:dyDescent="0.4">
      <c r="A3776" s="402"/>
      <c r="B3776" s="392"/>
      <c r="C3776" s="364" t="e">
        <f>VLOOKUP(B3776,'112年全品項生產鍋數'!A:H,2,0)</f>
        <v>#N/A</v>
      </c>
      <c r="D3776" s="404"/>
      <c r="E3776" s="48" t="e">
        <f>VLOOKUP(B3776,'112年全品項生產鍋數'!A:H,3,0)</f>
        <v>#N/A</v>
      </c>
      <c r="F3776" s="142" t="e">
        <f>VLOOKUP(B3776,'112年全品項生產鍋數'!A:H,7,0)</f>
        <v>#N/A</v>
      </c>
      <c r="G3776" s="143" t="e">
        <f t="shared" si="627"/>
        <v>#N/A</v>
      </c>
      <c r="H3776" s="156"/>
      <c r="I3776" s="371" t="e">
        <f t="shared" si="628"/>
        <v>#N/A</v>
      </c>
      <c r="J3776" s="100" t="e">
        <f t="shared" si="629"/>
        <v>#N/A</v>
      </c>
      <c r="K3776" s="51" t="e">
        <f>VLOOKUP(B:B,'生產達成率(目標)'!A:C,3,0)</f>
        <v>#N/A</v>
      </c>
      <c r="L3776" s="20" t="e">
        <f t="shared" si="630"/>
        <v>#N/A</v>
      </c>
      <c r="M3776" s="137"/>
      <c r="N3776" s="374"/>
      <c r="O3776" s="374">
        <f t="shared" si="631"/>
        <v>0</v>
      </c>
      <c r="P3776" s="156"/>
      <c r="Q3776" s="98" t="e">
        <f t="shared" si="632"/>
        <v>#DIV/0!</v>
      </c>
      <c r="R3776" s="371"/>
      <c r="S3776" s="372"/>
      <c r="T3776" s="364"/>
      <c r="U3776" s="264"/>
      <c r="V3776" s="264"/>
      <c r="W3776" s="424"/>
      <c r="X3776" s="264" t="s">
        <v>1867</v>
      </c>
      <c r="Y3776" s="424"/>
      <c r="Z3776" s="424"/>
      <c r="AA3776" s="424"/>
      <c r="AB3776" s="424"/>
      <c r="AC3776" s="425">
        <f t="shared" si="625"/>
        <v>0</v>
      </c>
      <c r="AD3776" s="425">
        <f t="shared" si="626"/>
        <v>0</v>
      </c>
    </row>
    <row r="3777" spans="1:30" s="361" customFormat="1" x14ac:dyDescent="0.4">
      <c r="A3777" s="402"/>
      <c r="B3777" s="392"/>
      <c r="C3777" s="364" t="e">
        <f>VLOOKUP(B3777,'112年全品項生產鍋數'!A:H,2,0)</f>
        <v>#N/A</v>
      </c>
      <c r="D3777" s="404"/>
      <c r="E3777" s="48" t="e">
        <f>VLOOKUP(B3777,'112年全品項生產鍋數'!A:H,3,0)</f>
        <v>#N/A</v>
      </c>
      <c r="F3777" s="142" t="e">
        <f>VLOOKUP(B3777,'112年全品項生產鍋數'!A:H,7,0)</f>
        <v>#N/A</v>
      </c>
      <c r="G3777" s="143" t="e">
        <f t="shared" si="627"/>
        <v>#N/A</v>
      </c>
      <c r="H3777" s="156"/>
      <c r="I3777" s="371" t="e">
        <f t="shared" si="628"/>
        <v>#N/A</v>
      </c>
      <c r="J3777" s="100" t="e">
        <f t="shared" si="629"/>
        <v>#N/A</v>
      </c>
      <c r="K3777" s="51" t="e">
        <f>VLOOKUP(B:B,'生產達成率(目標)'!A:C,3,0)</f>
        <v>#N/A</v>
      </c>
      <c r="L3777" s="20" t="e">
        <f t="shared" si="630"/>
        <v>#N/A</v>
      </c>
      <c r="M3777" s="137"/>
      <c r="N3777" s="374"/>
      <c r="O3777" s="374">
        <f t="shared" si="631"/>
        <v>0</v>
      </c>
      <c r="P3777" s="156"/>
      <c r="Q3777" s="98" t="e">
        <f t="shared" si="632"/>
        <v>#DIV/0!</v>
      </c>
      <c r="R3777" s="371"/>
      <c r="S3777" s="372"/>
      <c r="T3777" s="364"/>
      <c r="U3777" s="264"/>
      <c r="V3777" s="264"/>
      <c r="W3777" s="424"/>
      <c r="X3777" s="264" t="s">
        <v>1867</v>
      </c>
      <c r="Y3777" s="424"/>
      <c r="Z3777" s="424"/>
      <c r="AA3777" s="424"/>
      <c r="AB3777" s="424"/>
      <c r="AC3777" s="425">
        <f t="shared" si="625"/>
        <v>0</v>
      </c>
      <c r="AD3777" s="425">
        <f t="shared" si="626"/>
        <v>0</v>
      </c>
    </row>
    <row r="3778" spans="1:30" s="361" customFormat="1" x14ac:dyDescent="0.4">
      <c r="A3778" s="402"/>
      <c r="B3778" s="392"/>
      <c r="C3778" s="364" t="e">
        <f>VLOOKUP(B3778,'112年全品項生產鍋數'!A:H,2,0)</f>
        <v>#N/A</v>
      </c>
      <c r="D3778" s="404"/>
      <c r="E3778" s="48" t="e">
        <f>VLOOKUP(B3778,'112年全品項生產鍋數'!A:H,3,0)</f>
        <v>#N/A</v>
      </c>
      <c r="F3778" s="142" t="e">
        <f>VLOOKUP(B3778,'112年全品項生產鍋數'!A:H,7,0)</f>
        <v>#N/A</v>
      </c>
      <c r="G3778" s="143" t="e">
        <f t="shared" si="627"/>
        <v>#N/A</v>
      </c>
      <c r="H3778" s="156"/>
      <c r="I3778" s="371" t="e">
        <f t="shared" si="628"/>
        <v>#N/A</v>
      </c>
      <c r="J3778" s="100" t="e">
        <f t="shared" si="629"/>
        <v>#N/A</v>
      </c>
      <c r="K3778" s="51" t="e">
        <f>VLOOKUP(B:B,'生產達成率(目標)'!A:C,3,0)</f>
        <v>#N/A</v>
      </c>
      <c r="L3778" s="20" t="e">
        <f t="shared" si="630"/>
        <v>#N/A</v>
      </c>
      <c r="M3778" s="137"/>
      <c r="N3778" s="374"/>
      <c r="O3778" s="374">
        <f t="shared" si="631"/>
        <v>0</v>
      </c>
      <c r="P3778" s="156"/>
      <c r="Q3778" s="98" t="e">
        <f t="shared" si="632"/>
        <v>#DIV/0!</v>
      </c>
      <c r="R3778" s="371"/>
      <c r="S3778" s="372"/>
      <c r="T3778" s="364"/>
      <c r="U3778" s="264"/>
      <c r="V3778" s="264"/>
      <c r="W3778" s="424"/>
      <c r="X3778" s="264" t="s">
        <v>1867</v>
      </c>
      <c r="Y3778" s="424"/>
      <c r="Z3778" s="424"/>
      <c r="AA3778" s="424"/>
      <c r="AB3778" s="424"/>
      <c r="AC3778" s="425">
        <f t="shared" si="625"/>
        <v>0</v>
      </c>
      <c r="AD3778" s="425">
        <f t="shared" si="626"/>
        <v>0</v>
      </c>
    </row>
    <row r="3779" spans="1:30" s="361" customFormat="1" x14ac:dyDescent="0.4">
      <c r="A3779" s="402"/>
      <c r="B3779" s="392"/>
      <c r="C3779" s="364" t="e">
        <f>VLOOKUP(B3779,'112年全品項生產鍋數'!A:H,2,0)</f>
        <v>#N/A</v>
      </c>
      <c r="D3779" s="404"/>
      <c r="E3779" s="48" t="e">
        <f>VLOOKUP(B3779,'112年全品項生產鍋數'!A:H,3,0)</f>
        <v>#N/A</v>
      </c>
      <c r="F3779" s="142" t="e">
        <f>VLOOKUP(B3779,'112年全品項生產鍋數'!A:H,7,0)</f>
        <v>#N/A</v>
      </c>
      <c r="G3779" s="143" t="e">
        <f t="shared" si="627"/>
        <v>#N/A</v>
      </c>
      <c r="H3779" s="156"/>
      <c r="I3779" s="371" t="e">
        <f t="shared" si="628"/>
        <v>#N/A</v>
      </c>
      <c r="J3779" s="100" t="e">
        <f t="shared" si="629"/>
        <v>#N/A</v>
      </c>
      <c r="K3779" s="51" t="e">
        <f>VLOOKUP(B:B,'生產達成率(目標)'!A:C,3,0)</f>
        <v>#N/A</v>
      </c>
      <c r="L3779" s="20" t="e">
        <f t="shared" si="630"/>
        <v>#N/A</v>
      </c>
      <c r="M3779" s="137"/>
      <c r="N3779" s="374"/>
      <c r="O3779" s="374">
        <f t="shared" si="631"/>
        <v>0</v>
      </c>
      <c r="P3779" s="156"/>
      <c r="Q3779" s="98" t="e">
        <f t="shared" si="632"/>
        <v>#DIV/0!</v>
      </c>
      <c r="R3779" s="371"/>
      <c r="S3779" s="372"/>
      <c r="T3779" s="364"/>
      <c r="U3779" s="264"/>
      <c r="V3779" s="264"/>
      <c r="W3779" s="424"/>
      <c r="X3779" s="264" t="s">
        <v>1867</v>
      </c>
      <c r="Y3779" s="424"/>
      <c r="Z3779" s="424"/>
      <c r="AA3779" s="424"/>
      <c r="AB3779" s="424"/>
      <c r="AC3779" s="425">
        <f t="shared" si="625"/>
        <v>0</v>
      </c>
      <c r="AD3779" s="425">
        <f t="shared" si="626"/>
        <v>0</v>
      </c>
    </row>
    <row r="3780" spans="1:30" s="361" customFormat="1" x14ac:dyDescent="0.4">
      <c r="A3780" s="402"/>
      <c r="B3780" s="392"/>
      <c r="C3780" s="364" t="e">
        <f>VLOOKUP(B3780,'112年全品項生產鍋數'!A:H,2,0)</f>
        <v>#N/A</v>
      </c>
      <c r="D3780" s="404"/>
      <c r="E3780" s="48" t="e">
        <f>VLOOKUP(B3780,'112年全品項生產鍋數'!A:H,3,0)</f>
        <v>#N/A</v>
      </c>
      <c r="F3780" s="142" t="e">
        <f>VLOOKUP(B3780,'112年全品項生產鍋數'!A:H,7,0)</f>
        <v>#N/A</v>
      </c>
      <c r="G3780" s="143" t="e">
        <f t="shared" si="627"/>
        <v>#N/A</v>
      </c>
      <c r="H3780" s="156"/>
      <c r="I3780" s="371" t="e">
        <f t="shared" si="628"/>
        <v>#N/A</v>
      </c>
      <c r="J3780" s="100" t="e">
        <f t="shared" si="629"/>
        <v>#N/A</v>
      </c>
      <c r="K3780" s="51" t="e">
        <f>VLOOKUP(B:B,'生產達成率(目標)'!A:C,3,0)</f>
        <v>#N/A</v>
      </c>
      <c r="L3780" s="20" t="e">
        <f t="shared" si="630"/>
        <v>#N/A</v>
      </c>
      <c r="M3780" s="137"/>
      <c r="N3780" s="374"/>
      <c r="O3780" s="374">
        <f t="shared" si="631"/>
        <v>0</v>
      </c>
      <c r="P3780" s="156"/>
      <c r="Q3780" s="98" t="e">
        <f t="shared" si="632"/>
        <v>#DIV/0!</v>
      </c>
      <c r="R3780" s="371"/>
      <c r="S3780" s="372"/>
      <c r="T3780" s="364"/>
      <c r="U3780" s="264"/>
      <c r="V3780" s="264"/>
      <c r="W3780" s="424"/>
      <c r="X3780" s="264" t="s">
        <v>1867</v>
      </c>
      <c r="Y3780" s="424"/>
      <c r="Z3780" s="424"/>
      <c r="AA3780" s="424"/>
      <c r="AB3780" s="424"/>
      <c r="AC3780" s="425">
        <f t="shared" si="625"/>
        <v>0</v>
      </c>
      <c r="AD3780" s="425">
        <f t="shared" si="626"/>
        <v>0</v>
      </c>
    </row>
    <row r="3781" spans="1:30" s="361" customFormat="1" x14ac:dyDescent="0.4">
      <c r="A3781" s="402"/>
      <c r="B3781" s="392"/>
      <c r="C3781" s="364" t="e">
        <f>VLOOKUP(B3781,'112年全品項生產鍋數'!A:H,2,0)</f>
        <v>#N/A</v>
      </c>
      <c r="D3781" s="404"/>
      <c r="E3781" s="48" t="e">
        <f>VLOOKUP(B3781,'112年全品項生產鍋數'!A:H,3,0)</f>
        <v>#N/A</v>
      </c>
      <c r="F3781" s="142" t="e">
        <f>VLOOKUP(B3781,'112年全品項生產鍋數'!A:H,7,0)</f>
        <v>#N/A</v>
      </c>
      <c r="G3781" s="143" t="e">
        <f t="shared" si="627"/>
        <v>#N/A</v>
      </c>
      <c r="H3781" s="156"/>
      <c r="I3781" s="371" t="e">
        <f t="shared" si="628"/>
        <v>#N/A</v>
      </c>
      <c r="J3781" s="100" t="e">
        <f t="shared" si="629"/>
        <v>#N/A</v>
      </c>
      <c r="K3781" s="51" t="e">
        <f>VLOOKUP(B:B,'生產達成率(目標)'!A:C,3,0)</f>
        <v>#N/A</v>
      </c>
      <c r="L3781" s="20" t="e">
        <f t="shared" si="630"/>
        <v>#N/A</v>
      </c>
      <c r="M3781" s="137"/>
      <c r="N3781" s="374"/>
      <c r="O3781" s="374">
        <f t="shared" si="631"/>
        <v>0</v>
      </c>
      <c r="P3781" s="156"/>
      <c r="Q3781" s="98" t="e">
        <f t="shared" si="632"/>
        <v>#DIV/0!</v>
      </c>
      <c r="R3781" s="371"/>
      <c r="S3781" s="372"/>
      <c r="T3781" s="364"/>
      <c r="U3781" s="264"/>
      <c r="V3781" s="264"/>
      <c r="W3781" s="424"/>
      <c r="X3781" s="264" t="s">
        <v>1867</v>
      </c>
      <c r="Y3781" s="424"/>
      <c r="Z3781" s="424"/>
      <c r="AA3781" s="424"/>
      <c r="AB3781" s="424"/>
      <c r="AC3781" s="425">
        <f t="shared" si="625"/>
        <v>0</v>
      </c>
      <c r="AD3781" s="425">
        <f t="shared" si="626"/>
        <v>0</v>
      </c>
    </row>
    <row r="3782" spans="1:30" s="361" customFormat="1" x14ac:dyDescent="0.4">
      <c r="A3782" s="402"/>
      <c r="B3782" s="392"/>
      <c r="C3782" s="364" t="e">
        <f>VLOOKUP(B3782,'112年全品項生產鍋數'!A:H,2,0)</f>
        <v>#N/A</v>
      </c>
      <c r="D3782" s="404"/>
      <c r="E3782" s="48" t="e">
        <f>VLOOKUP(B3782,'112年全品項生產鍋數'!A:H,3,0)</f>
        <v>#N/A</v>
      </c>
      <c r="F3782" s="142" t="e">
        <f>VLOOKUP(B3782,'112年全品項生產鍋數'!A:H,7,0)</f>
        <v>#N/A</v>
      </c>
      <c r="G3782" s="143" t="e">
        <f t="shared" si="627"/>
        <v>#N/A</v>
      </c>
      <c r="H3782" s="156"/>
      <c r="I3782" s="371" t="e">
        <f t="shared" si="628"/>
        <v>#N/A</v>
      </c>
      <c r="J3782" s="100" t="e">
        <f t="shared" si="629"/>
        <v>#N/A</v>
      </c>
      <c r="K3782" s="51" t="e">
        <f>VLOOKUP(B:B,'生產達成率(目標)'!A:C,3,0)</f>
        <v>#N/A</v>
      </c>
      <c r="L3782" s="20" t="e">
        <f t="shared" si="630"/>
        <v>#N/A</v>
      </c>
      <c r="M3782" s="137"/>
      <c r="N3782" s="374"/>
      <c r="O3782" s="374">
        <f t="shared" si="631"/>
        <v>0</v>
      </c>
      <c r="P3782" s="156"/>
      <c r="Q3782" s="98" t="e">
        <f t="shared" si="632"/>
        <v>#DIV/0!</v>
      </c>
      <c r="R3782" s="371"/>
      <c r="S3782" s="372"/>
      <c r="T3782" s="364"/>
      <c r="U3782" s="264"/>
      <c r="V3782" s="264"/>
      <c r="W3782" s="424"/>
      <c r="X3782" s="264" t="s">
        <v>1867</v>
      </c>
      <c r="Y3782" s="424"/>
      <c r="Z3782" s="424"/>
      <c r="AA3782" s="424"/>
      <c r="AB3782" s="424"/>
      <c r="AC3782" s="425">
        <f t="shared" si="625"/>
        <v>0</v>
      </c>
      <c r="AD3782" s="425">
        <f t="shared" si="626"/>
        <v>0</v>
      </c>
    </row>
    <row r="3783" spans="1:30" s="361" customFormat="1" x14ac:dyDescent="0.4">
      <c r="A3783" s="402"/>
      <c r="B3783" s="392"/>
      <c r="C3783" s="364" t="e">
        <f>VLOOKUP(B3783,'112年全品項生產鍋數'!A:H,2,0)</f>
        <v>#N/A</v>
      </c>
      <c r="D3783" s="404"/>
      <c r="E3783" s="48" t="e">
        <f>VLOOKUP(B3783,'112年全品項生產鍋數'!A:H,3,0)</f>
        <v>#N/A</v>
      </c>
      <c r="F3783" s="142" t="e">
        <f>VLOOKUP(B3783,'112年全品項生產鍋數'!A:H,7,0)</f>
        <v>#N/A</v>
      </c>
      <c r="G3783" s="143" t="e">
        <f t="shared" si="627"/>
        <v>#N/A</v>
      </c>
      <c r="H3783" s="156"/>
      <c r="I3783" s="371" t="e">
        <f t="shared" si="628"/>
        <v>#N/A</v>
      </c>
      <c r="J3783" s="100" t="e">
        <f t="shared" si="629"/>
        <v>#N/A</v>
      </c>
      <c r="K3783" s="51" t="e">
        <f>VLOOKUP(B:B,'生產達成率(目標)'!A:C,3,0)</f>
        <v>#N/A</v>
      </c>
      <c r="L3783" s="20" t="e">
        <f t="shared" si="630"/>
        <v>#N/A</v>
      </c>
      <c r="M3783" s="137"/>
      <c r="N3783" s="374"/>
      <c r="O3783" s="374">
        <f t="shared" si="631"/>
        <v>0</v>
      </c>
      <c r="P3783" s="156"/>
      <c r="Q3783" s="98" t="e">
        <f t="shared" si="632"/>
        <v>#DIV/0!</v>
      </c>
      <c r="R3783" s="371"/>
      <c r="S3783" s="372"/>
      <c r="T3783" s="364"/>
      <c r="U3783" s="264"/>
      <c r="V3783" s="264"/>
      <c r="W3783" s="424"/>
      <c r="X3783" s="264" t="s">
        <v>1867</v>
      </c>
      <c r="Y3783" s="424"/>
      <c r="Z3783" s="424"/>
      <c r="AA3783" s="424"/>
      <c r="AB3783" s="424"/>
      <c r="AC3783" s="425">
        <f t="shared" si="625"/>
        <v>0</v>
      </c>
      <c r="AD3783" s="425">
        <f t="shared" si="626"/>
        <v>0</v>
      </c>
    </row>
    <row r="3784" spans="1:30" s="361" customFormat="1" x14ac:dyDescent="0.4">
      <c r="A3784" s="402"/>
      <c r="B3784" s="392"/>
      <c r="C3784" s="364" t="e">
        <f>VLOOKUP(B3784,'112年全品項生產鍋數'!A:H,2,0)</f>
        <v>#N/A</v>
      </c>
      <c r="D3784" s="404"/>
      <c r="E3784" s="48" t="e">
        <f>VLOOKUP(B3784,'112年全品項生產鍋數'!A:H,3,0)</f>
        <v>#N/A</v>
      </c>
      <c r="F3784" s="142" t="e">
        <f>VLOOKUP(B3784,'112年全品項生產鍋數'!A:H,7,0)</f>
        <v>#N/A</v>
      </c>
      <c r="G3784" s="143" t="e">
        <f t="shared" si="627"/>
        <v>#N/A</v>
      </c>
      <c r="H3784" s="156"/>
      <c r="I3784" s="371" t="e">
        <f t="shared" si="628"/>
        <v>#N/A</v>
      </c>
      <c r="J3784" s="100" t="e">
        <f t="shared" si="629"/>
        <v>#N/A</v>
      </c>
      <c r="K3784" s="51" t="e">
        <f>VLOOKUP(B:B,'生產達成率(目標)'!A:C,3,0)</f>
        <v>#N/A</v>
      </c>
      <c r="L3784" s="20" t="e">
        <f t="shared" si="630"/>
        <v>#N/A</v>
      </c>
      <c r="M3784" s="137"/>
      <c r="N3784" s="374"/>
      <c r="O3784" s="374">
        <f t="shared" si="631"/>
        <v>0</v>
      </c>
      <c r="P3784" s="156"/>
      <c r="Q3784" s="98" t="e">
        <f t="shared" si="632"/>
        <v>#DIV/0!</v>
      </c>
      <c r="R3784" s="371"/>
      <c r="S3784" s="372"/>
      <c r="T3784" s="364"/>
      <c r="U3784" s="264"/>
      <c r="V3784" s="264"/>
      <c r="W3784" s="424"/>
      <c r="X3784" s="264" t="s">
        <v>1867</v>
      </c>
      <c r="Y3784" s="424"/>
      <c r="Z3784" s="424"/>
      <c r="AA3784" s="424"/>
      <c r="AB3784" s="424"/>
      <c r="AC3784" s="425">
        <f t="shared" si="625"/>
        <v>0</v>
      </c>
      <c r="AD3784" s="425">
        <f t="shared" si="626"/>
        <v>0</v>
      </c>
    </row>
    <row r="3785" spans="1:30" s="361" customFormat="1" x14ac:dyDescent="0.4">
      <c r="A3785" s="402"/>
      <c r="B3785" s="392"/>
      <c r="C3785" s="364" t="e">
        <f>VLOOKUP(B3785,'112年全品項生產鍋數'!A:H,2,0)</f>
        <v>#N/A</v>
      </c>
      <c r="D3785" s="404"/>
      <c r="E3785" s="48" t="e">
        <f>VLOOKUP(B3785,'112年全品項生產鍋數'!A:H,3,0)</f>
        <v>#N/A</v>
      </c>
      <c r="F3785" s="142" t="e">
        <f>VLOOKUP(B3785,'112年全品項生產鍋數'!A:H,7,0)</f>
        <v>#N/A</v>
      </c>
      <c r="G3785" s="143" t="e">
        <f t="shared" si="627"/>
        <v>#N/A</v>
      </c>
      <c r="H3785" s="156"/>
      <c r="I3785" s="371" t="e">
        <f t="shared" si="628"/>
        <v>#N/A</v>
      </c>
      <c r="J3785" s="100" t="e">
        <f t="shared" si="629"/>
        <v>#N/A</v>
      </c>
      <c r="K3785" s="51" t="e">
        <f>VLOOKUP(B:B,'生產達成率(目標)'!A:C,3,0)</f>
        <v>#N/A</v>
      </c>
      <c r="L3785" s="20" t="e">
        <f t="shared" si="630"/>
        <v>#N/A</v>
      </c>
      <c r="M3785" s="137"/>
      <c r="N3785" s="374"/>
      <c r="O3785" s="374">
        <f t="shared" si="631"/>
        <v>0</v>
      </c>
      <c r="P3785" s="156"/>
      <c r="Q3785" s="98" t="e">
        <f t="shared" si="632"/>
        <v>#DIV/0!</v>
      </c>
      <c r="R3785" s="371"/>
      <c r="S3785" s="372"/>
      <c r="T3785" s="364"/>
      <c r="U3785" s="264"/>
      <c r="V3785" s="264"/>
      <c r="W3785" s="424"/>
      <c r="X3785" s="264" t="s">
        <v>1867</v>
      </c>
      <c r="Y3785" s="424"/>
      <c r="Z3785" s="424"/>
      <c r="AA3785" s="424"/>
      <c r="AB3785" s="424"/>
      <c r="AC3785" s="425">
        <f t="shared" si="625"/>
        <v>0</v>
      </c>
      <c r="AD3785" s="425">
        <f t="shared" si="626"/>
        <v>0</v>
      </c>
    </row>
    <row r="3786" spans="1:30" s="361" customFormat="1" x14ac:dyDescent="0.4">
      <c r="A3786" s="402"/>
      <c r="B3786" s="392"/>
      <c r="C3786" s="364" t="e">
        <f>VLOOKUP(B3786,'112年全品項生產鍋數'!A:H,2,0)</f>
        <v>#N/A</v>
      </c>
      <c r="D3786" s="404"/>
      <c r="E3786" s="48" t="e">
        <f>VLOOKUP(B3786,'112年全品項生產鍋數'!A:H,3,0)</f>
        <v>#N/A</v>
      </c>
      <c r="F3786" s="142" t="e">
        <f>VLOOKUP(B3786,'112年全品項生產鍋數'!A:H,7,0)</f>
        <v>#N/A</v>
      </c>
      <c r="G3786" s="143" t="e">
        <f t="shared" si="627"/>
        <v>#N/A</v>
      </c>
      <c r="H3786" s="156"/>
      <c r="I3786" s="371" t="e">
        <f t="shared" si="628"/>
        <v>#N/A</v>
      </c>
      <c r="J3786" s="100" t="e">
        <f t="shared" si="629"/>
        <v>#N/A</v>
      </c>
      <c r="K3786" s="51" t="e">
        <f>VLOOKUP(B:B,'生產達成率(目標)'!A:C,3,0)</f>
        <v>#N/A</v>
      </c>
      <c r="L3786" s="20" t="e">
        <f t="shared" si="630"/>
        <v>#N/A</v>
      </c>
      <c r="M3786" s="137"/>
      <c r="N3786" s="374"/>
      <c r="O3786" s="374">
        <f t="shared" si="631"/>
        <v>0</v>
      </c>
      <c r="P3786" s="156"/>
      <c r="Q3786" s="98" t="e">
        <f t="shared" si="632"/>
        <v>#DIV/0!</v>
      </c>
      <c r="R3786" s="371"/>
      <c r="S3786" s="372"/>
      <c r="T3786" s="364"/>
      <c r="U3786" s="264"/>
      <c r="V3786" s="264"/>
      <c r="W3786" s="424"/>
      <c r="X3786" s="264" t="s">
        <v>1867</v>
      </c>
      <c r="Y3786" s="424"/>
      <c r="Z3786" s="424"/>
      <c r="AA3786" s="424"/>
      <c r="AB3786" s="424"/>
      <c r="AC3786" s="425">
        <f t="shared" si="625"/>
        <v>0</v>
      </c>
      <c r="AD3786" s="425">
        <f t="shared" si="626"/>
        <v>0</v>
      </c>
    </row>
    <row r="3787" spans="1:30" s="361" customFormat="1" x14ac:dyDescent="0.4">
      <c r="A3787" s="402"/>
      <c r="B3787" s="392"/>
      <c r="C3787" s="364" t="e">
        <f>VLOOKUP(B3787,'112年全品項生產鍋數'!A:H,2,0)</f>
        <v>#N/A</v>
      </c>
      <c r="D3787" s="404"/>
      <c r="E3787" s="48" t="e">
        <f>VLOOKUP(B3787,'112年全品項生產鍋數'!A:H,3,0)</f>
        <v>#N/A</v>
      </c>
      <c r="F3787" s="142" t="e">
        <f>VLOOKUP(B3787,'112年全品項生產鍋數'!A:H,7,0)</f>
        <v>#N/A</v>
      </c>
      <c r="G3787" s="143" t="e">
        <f t="shared" si="627"/>
        <v>#N/A</v>
      </c>
      <c r="H3787" s="156"/>
      <c r="I3787" s="371" t="e">
        <f t="shared" si="628"/>
        <v>#N/A</v>
      </c>
      <c r="J3787" s="100" t="e">
        <f t="shared" si="629"/>
        <v>#N/A</v>
      </c>
      <c r="K3787" s="51" t="e">
        <f>VLOOKUP(B:B,'生產達成率(目標)'!A:C,3,0)</f>
        <v>#N/A</v>
      </c>
      <c r="L3787" s="20" t="e">
        <f t="shared" si="630"/>
        <v>#N/A</v>
      </c>
      <c r="M3787" s="137"/>
      <c r="N3787" s="374"/>
      <c r="O3787" s="374">
        <f t="shared" si="631"/>
        <v>0</v>
      </c>
      <c r="P3787" s="156"/>
      <c r="Q3787" s="98" t="e">
        <f t="shared" si="632"/>
        <v>#DIV/0!</v>
      </c>
      <c r="R3787" s="371"/>
      <c r="S3787" s="372"/>
      <c r="T3787" s="364"/>
      <c r="U3787" s="264"/>
      <c r="V3787" s="264"/>
      <c r="W3787" s="424"/>
      <c r="X3787" s="264" t="s">
        <v>1867</v>
      </c>
      <c r="Y3787" s="424"/>
      <c r="Z3787" s="424"/>
      <c r="AA3787" s="424"/>
      <c r="AB3787" s="424"/>
      <c r="AC3787" s="425">
        <f t="shared" si="625"/>
        <v>0</v>
      </c>
      <c r="AD3787" s="425">
        <f t="shared" si="626"/>
        <v>0</v>
      </c>
    </row>
    <row r="3788" spans="1:30" s="361" customFormat="1" x14ac:dyDescent="0.4">
      <c r="A3788" s="402"/>
      <c r="B3788" s="392"/>
      <c r="C3788" s="364" t="e">
        <f>VLOOKUP(B3788,'112年全品項生產鍋數'!A:H,2,0)</f>
        <v>#N/A</v>
      </c>
      <c r="D3788" s="404"/>
      <c r="E3788" s="48" t="e">
        <f>VLOOKUP(B3788,'112年全品項生產鍋數'!A:H,3,0)</f>
        <v>#N/A</v>
      </c>
      <c r="F3788" s="142" t="e">
        <f>VLOOKUP(B3788,'112年全品項生產鍋數'!A:H,7,0)</f>
        <v>#N/A</v>
      </c>
      <c r="G3788" s="143" t="e">
        <f t="shared" si="627"/>
        <v>#N/A</v>
      </c>
      <c r="H3788" s="156"/>
      <c r="I3788" s="371" t="e">
        <f t="shared" si="628"/>
        <v>#N/A</v>
      </c>
      <c r="J3788" s="100" t="e">
        <f t="shared" si="629"/>
        <v>#N/A</v>
      </c>
      <c r="K3788" s="51" t="e">
        <f>VLOOKUP(B:B,'生產達成率(目標)'!A:C,3,0)</f>
        <v>#N/A</v>
      </c>
      <c r="L3788" s="20" t="e">
        <f t="shared" si="630"/>
        <v>#N/A</v>
      </c>
      <c r="M3788" s="137"/>
      <c r="N3788" s="374"/>
      <c r="O3788" s="374">
        <f t="shared" si="631"/>
        <v>0</v>
      </c>
      <c r="P3788" s="156"/>
      <c r="Q3788" s="98" t="e">
        <f t="shared" si="632"/>
        <v>#DIV/0!</v>
      </c>
      <c r="R3788" s="371"/>
      <c r="S3788" s="372"/>
      <c r="T3788" s="364"/>
      <c r="U3788" s="264"/>
      <c r="V3788" s="264"/>
      <c r="W3788" s="424"/>
      <c r="X3788" s="264" t="s">
        <v>1867</v>
      </c>
      <c r="Y3788" s="424"/>
      <c r="Z3788" s="424"/>
      <c r="AA3788" s="424"/>
      <c r="AB3788" s="424"/>
      <c r="AC3788" s="425">
        <f t="shared" si="625"/>
        <v>0</v>
      </c>
      <c r="AD3788" s="425">
        <f t="shared" si="626"/>
        <v>0</v>
      </c>
    </row>
    <row r="3789" spans="1:30" s="361" customFormat="1" x14ac:dyDescent="0.4">
      <c r="A3789" s="402"/>
      <c r="B3789" s="392"/>
      <c r="C3789" s="364" t="e">
        <f>VLOOKUP(B3789,'112年全品項生產鍋數'!A:H,2,0)</f>
        <v>#N/A</v>
      </c>
      <c r="D3789" s="404"/>
      <c r="E3789" s="48" t="e">
        <f>VLOOKUP(B3789,'112年全品項生產鍋數'!A:H,3,0)</f>
        <v>#N/A</v>
      </c>
      <c r="F3789" s="142" t="e">
        <f>VLOOKUP(B3789,'112年全品項生產鍋數'!A:H,7,0)</f>
        <v>#N/A</v>
      </c>
      <c r="G3789" s="143" t="e">
        <f t="shared" si="627"/>
        <v>#N/A</v>
      </c>
      <c r="H3789" s="156"/>
      <c r="I3789" s="371" t="e">
        <f t="shared" si="628"/>
        <v>#N/A</v>
      </c>
      <c r="J3789" s="100" t="e">
        <f t="shared" si="629"/>
        <v>#N/A</v>
      </c>
      <c r="K3789" s="51" t="e">
        <f>VLOOKUP(B:B,'生產達成率(目標)'!A:C,3,0)</f>
        <v>#N/A</v>
      </c>
      <c r="L3789" s="20" t="e">
        <f t="shared" si="630"/>
        <v>#N/A</v>
      </c>
      <c r="M3789" s="137"/>
      <c r="N3789" s="374"/>
      <c r="O3789" s="374">
        <f t="shared" si="631"/>
        <v>0</v>
      </c>
      <c r="P3789" s="156"/>
      <c r="Q3789" s="98" t="e">
        <f t="shared" si="632"/>
        <v>#DIV/0!</v>
      </c>
      <c r="R3789" s="371"/>
      <c r="S3789" s="372"/>
      <c r="T3789" s="364"/>
      <c r="U3789" s="264"/>
      <c r="V3789" s="264"/>
      <c r="W3789" s="424"/>
      <c r="X3789" s="264" t="s">
        <v>1867</v>
      </c>
      <c r="Y3789" s="424"/>
      <c r="Z3789" s="424"/>
      <c r="AA3789" s="424"/>
      <c r="AB3789" s="424"/>
      <c r="AC3789" s="425">
        <f t="shared" si="625"/>
        <v>0</v>
      </c>
      <c r="AD3789" s="425">
        <f t="shared" si="626"/>
        <v>0</v>
      </c>
    </row>
    <row r="3790" spans="1:30" s="361" customFormat="1" x14ac:dyDescent="0.4">
      <c r="A3790" s="402"/>
      <c r="B3790" s="392"/>
      <c r="C3790" s="364" t="e">
        <f>VLOOKUP(B3790,'112年全品項生產鍋數'!A:H,2,0)</f>
        <v>#N/A</v>
      </c>
      <c r="D3790" s="404"/>
      <c r="E3790" s="48" t="e">
        <f>VLOOKUP(B3790,'112年全品項生產鍋數'!A:H,3,0)</f>
        <v>#N/A</v>
      </c>
      <c r="F3790" s="142" t="e">
        <f>VLOOKUP(B3790,'112年全品項生產鍋數'!A:H,7,0)</f>
        <v>#N/A</v>
      </c>
      <c r="G3790" s="143" t="e">
        <f t="shared" si="627"/>
        <v>#N/A</v>
      </c>
      <c r="H3790" s="156"/>
      <c r="I3790" s="371" t="e">
        <f t="shared" si="628"/>
        <v>#N/A</v>
      </c>
      <c r="J3790" s="100" t="e">
        <f t="shared" si="629"/>
        <v>#N/A</v>
      </c>
      <c r="K3790" s="51" t="e">
        <f>VLOOKUP(B:B,'生產達成率(目標)'!A:C,3,0)</f>
        <v>#N/A</v>
      </c>
      <c r="L3790" s="20" t="e">
        <f t="shared" si="630"/>
        <v>#N/A</v>
      </c>
      <c r="M3790" s="137"/>
      <c r="N3790" s="374"/>
      <c r="O3790" s="374">
        <f t="shared" si="631"/>
        <v>0</v>
      </c>
      <c r="P3790" s="156"/>
      <c r="Q3790" s="98" t="e">
        <f t="shared" si="632"/>
        <v>#DIV/0!</v>
      </c>
      <c r="R3790" s="371"/>
      <c r="S3790" s="372"/>
      <c r="T3790" s="364"/>
      <c r="U3790" s="264"/>
      <c r="V3790" s="264"/>
      <c r="W3790" s="424"/>
      <c r="X3790" s="264" t="s">
        <v>1867</v>
      </c>
      <c r="Y3790" s="424"/>
      <c r="Z3790" s="424"/>
      <c r="AA3790" s="424"/>
      <c r="AB3790" s="424"/>
      <c r="AC3790" s="425">
        <f t="shared" si="625"/>
        <v>0</v>
      </c>
      <c r="AD3790" s="425">
        <f t="shared" si="626"/>
        <v>0</v>
      </c>
    </row>
    <row r="3791" spans="1:30" s="361" customFormat="1" x14ac:dyDescent="0.4">
      <c r="A3791" s="402"/>
      <c r="B3791" s="392"/>
      <c r="C3791" s="364" t="e">
        <f>VLOOKUP(B3791,'112年全品項生產鍋數'!A:H,2,0)</f>
        <v>#N/A</v>
      </c>
      <c r="D3791" s="404"/>
      <c r="E3791" s="48" t="e">
        <f>VLOOKUP(B3791,'112年全品項生產鍋數'!A:H,3,0)</f>
        <v>#N/A</v>
      </c>
      <c r="F3791" s="142" t="e">
        <f>VLOOKUP(B3791,'112年全品項生產鍋數'!A:H,7,0)</f>
        <v>#N/A</v>
      </c>
      <c r="G3791" s="143" t="e">
        <f t="shared" si="627"/>
        <v>#N/A</v>
      </c>
      <c r="H3791" s="156"/>
      <c r="I3791" s="371" t="e">
        <f t="shared" si="628"/>
        <v>#N/A</v>
      </c>
      <c r="J3791" s="100" t="e">
        <f t="shared" si="629"/>
        <v>#N/A</v>
      </c>
      <c r="K3791" s="51" t="e">
        <f>VLOOKUP(B:B,'生產達成率(目標)'!A:C,3,0)</f>
        <v>#N/A</v>
      </c>
      <c r="L3791" s="20" t="e">
        <f t="shared" si="630"/>
        <v>#N/A</v>
      </c>
      <c r="M3791" s="137"/>
      <c r="N3791" s="374"/>
      <c r="O3791" s="374">
        <f t="shared" si="631"/>
        <v>0</v>
      </c>
      <c r="P3791" s="156"/>
      <c r="Q3791" s="98" t="e">
        <f t="shared" si="632"/>
        <v>#DIV/0!</v>
      </c>
      <c r="R3791" s="371"/>
      <c r="S3791" s="372"/>
      <c r="T3791" s="364"/>
      <c r="U3791" s="264"/>
      <c r="V3791" s="264"/>
      <c r="W3791" s="424"/>
      <c r="X3791" s="264" t="s">
        <v>1867</v>
      </c>
      <c r="Y3791" s="424"/>
      <c r="Z3791" s="424"/>
      <c r="AA3791" s="424"/>
      <c r="AB3791" s="424"/>
      <c r="AC3791" s="425">
        <f t="shared" si="625"/>
        <v>0</v>
      </c>
      <c r="AD3791" s="425">
        <f t="shared" si="626"/>
        <v>0</v>
      </c>
    </row>
    <row r="3792" spans="1:30" s="361" customFormat="1" x14ac:dyDescent="0.4">
      <c r="A3792" s="402"/>
      <c r="B3792" s="392"/>
      <c r="C3792" s="364" t="e">
        <f>VLOOKUP(B3792,'112年全品項生產鍋數'!A:H,2,0)</f>
        <v>#N/A</v>
      </c>
      <c r="D3792" s="404"/>
      <c r="E3792" s="48" t="e">
        <f>VLOOKUP(B3792,'112年全品項生產鍋數'!A:H,3,0)</f>
        <v>#N/A</v>
      </c>
      <c r="F3792" s="142" t="e">
        <f>VLOOKUP(B3792,'112年全品項生產鍋數'!A:H,7,0)</f>
        <v>#N/A</v>
      </c>
      <c r="G3792" s="143" t="e">
        <f t="shared" si="627"/>
        <v>#N/A</v>
      </c>
      <c r="H3792" s="156"/>
      <c r="I3792" s="371" t="e">
        <f t="shared" si="628"/>
        <v>#N/A</v>
      </c>
      <c r="J3792" s="100" t="e">
        <f t="shared" si="629"/>
        <v>#N/A</v>
      </c>
      <c r="K3792" s="51" t="e">
        <f>VLOOKUP(B:B,'生產達成率(目標)'!A:C,3,0)</f>
        <v>#N/A</v>
      </c>
      <c r="L3792" s="20" t="e">
        <f t="shared" si="630"/>
        <v>#N/A</v>
      </c>
      <c r="M3792" s="137"/>
      <c r="N3792" s="374"/>
      <c r="O3792" s="374">
        <f t="shared" si="631"/>
        <v>0</v>
      </c>
      <c r="P3792" s="156"/>
      <c r="Q3792" s="98" t="e">
        <f t="shared" si="632"/>
        <v>#DIV/0!</v>
      </c>
      <c r="R3792" s="371"/>
      <c r="S3792" s="372"/>
      <c r="T3792" s="364"/>
      <c r="U3792" s="264"/>
      <c r="V3792" s="264"/>
      <c r="W3792" s="424"/>
      <c r="X3792" s="264" t="s">
        <v>1867</v>
      </c>
      <c r="Y3792" s="424"/>
      <c r="Z3792" s="424"/>
      <c r="AA3792" s="424"/>
      <c r="AB3792" s="424"/>
      <c r="AC3792" s="425">
        <f t="shared" si="625"/>
        <v>0</v>
      </c>
      <c r="AD3792" s="425">
        <f t="shared" si="626"/>
        <v>0</v>
      </c>
    </row>
    <row r="3793" spans="1:30" s="361" customFormat="1" x14ac:dyDescent="0.4">
      <c r="A3793" s="402"/>
      <c r="B3793" s="392"/>
      <c r="C3793" s="364" t="e">
        <f>VLOOKUP(B3793,'112年全品項生產鍋數'!A:H,2,0)</f>
        <v>#N/A</v>
      </c>
      <c r="D3793" s="404"/>
      <c r="E3793" s="48" t="e">
        <f>VLOOKUP(B3793,'112年全品項生產鍋數'!A:H,3,0)</f>
        <v>#N/A</v>
      </c>
      <c r="F3793" s="142" t="e">
        <f>VLOOKUP(B3793,'112年全品項生產鍋數'!A:H,7,0)</f>
        <v>#N/A</v>
      </c>
      <c r="G3793" s="143" t="e">
        <f t="shared" si="627"/>
        <v>#N/A</v>
      </c>
      <c r="H3793" s="156"/>
      <c r="I3793" s="371" t="e">
        <f t="shared" si="628"/>
        <v>#N/A</v>
      </c>
      <c r="J3793" s="100" t="e">
        <f t="shared" si="629"/>
        <v>#N/A</v>
      </c>
      <c r="K3793" s="51" t="e">
        <f>VLOOKUP(B:B,'生產達成率(目標)'!A:C,3,0)</f>
        <v>#N/A</v>
      </c>
      <c r="L3793" s="20" t="e">
        <f t="shared" si="630"/>
        <v>#N/A</v>
      </c>
      <c r="M3793" s="137"/>
      <c r="N3793" s="374"/>
      <c r="O3793" s="374">
        <f t="shared" si="631"/>
        <v>0</v>
      </c>
      <c r="P3793" s="156"/>
      <c r="Q3793" s="98" t="e">
        <f t="shared" si="632"/>
        <v>#DIV/0!</v>
      </c>
      <c r="R3793" s="371"/>
      <c r="S3793" s="372"/>
      <c r="T3793" s="364"/>
      <c r="U3793" s="264"/>
      <c r="V3793" s="264"/>
      <c r="W3793" s="424"/>
      <c r="X3793" s="264" t="s">
        <v>1867</v>
      </c>
      <c r="Y3793" s="424"/>
      <c r="Z3793" s="424"/>
      <c r="AA3793" s="424"/>
      <c r="AB3793" s="424"/>
      <c r="AC3793" s="425">
        <f t="shared" si="625"/>
        <v>0</v>
      </c>
      <c r="AD3793" s="425">
        <f t="shared" si="626"/>
        <v>0</v>
      </c>
    </row>
    <row r="3794" spans="1:30" s="361" customFormat="1" x14ac:dyDescent="0.4">
      <c r="A3794" s="402"/>
      <c r="B3794" s="392"/>
      <c r="C3794" s="364" t="e">
        <f>VLOOKUP(B3794,'112年全品項生產鍋數'!A:H,2,0)</f>
        <v>#N/A</v>
      </c>
      <c r="D3794" s="404"/>
      <c r="E3794" s="48" t="e">
        <f>VLOOKUP(B3794,'112年全品項生產鍋數'!A:H,3,0)</f>
        <v>#N/A</v>
      </c>
      <c r="F3794" s="142" t="e">
        <f>VLOOKUP(B3794,'112年全品項生產鍋數'!A:H,7,0)</f>
        <v>#N/A</v>
      </c>
      <c r="G3794" s="143" t="e">
        <f t="shared" si="627"/>
        <v>#N/A</v>
      </c>
      <c r="H3794" s="156"/>
      <c r="I3794" s="371" t="e">
        <f t="shared" si="628"/>
        <v>#N/A</v>
      </c>
      <c r="J3794" s="100" t="e">
        <f t="shared" si="629"/>
        <v>#N/A</v>
      </c>
      <c r="K3794" s="51" t="e">
        <f>VLOOKUP(B:B,'生產達成率(目標)'!A:C,3,0)</f>
        <v>#N/A</v>
      </c>
      <c r="L3794" s="20" t="e">
        <f t="shared" si="630"/>
        <v>#N/A</v>
      </c>
      <c r="M3794" s="137"/>
      <c r="N3794" s="374"/>
      <c r="O3794" s="374">
        <f t="shared" si="631"/>
        <v>0</v>
      </c>
      <c r="P3794" s="156"/>
      <c r="Q3794" s="98" t="e">
        <f t="shared" si="632"/>
        <v>#DIV/0!</v>
      </c>
      <c r="R3794" s="371"/>
      <c r="S3794" s="372"/>
      <c r="T3794" s="364"/>
      <c r="U3794" s="264"/>
      <c r="V3794" s="264"/>
      <c r="W3794" s="424"/>
      <c r="X3794" s="264" t="s">
        <v>1867</v>
      </c>
      <c r="Y3794" s="424"/>
      <c r="Z3794" s="424"/>
      <c r="AA3794" s="424"/>
      <c r="AB3794" s="424"/>
      <c r="AC3794" s="425">
        <f t="shared" si="625"/>
        <v>0</v>
      </c>
      <c r="AD3794" s="425">
        <f t="shared" si="626"/>
        <v>0</v>
      </c>
    </row>
    <row r="3795" spans="1:30" s="361" customFormat="1" x14ac:dyDescent="0.4">
      <c r="A3795" s="402"/>
      <c r="B3795" s="392"/>
      <c r="C3795" s="364" t="e">
        <f>VLOOKUP(B3795,'112年全品項生產鍋數'!A:H,2,0)</f>
        <v>#N/A</v>
      </c>
      <c r="D3795" s="404"/>
      <c r="E3795" s="48" t="e">
        <f>VLOOKUP(B3795,'112年全品項生產鍋數'!A:H,3,0)</f>
        <v>#N/A</v>
      </c>
      <c r="F3795" s="142" t="e">
        <f>VLOOKUP(B3795,'112年全品項生產鍋數'!A:H,7,0)</f>
        <v>#N/A</v>
      </c>
      <c r="G3795" s="143" t="e">
        <f t="shared" si="627"/>
        <v>#N/A</v>
      </c>
      <c r="H3795" s="156"/>
      <c r="I3795" s="371" t="e">
        <f t="shared" si="628"/>
        <v>#N/A</v>
      </c>
      <c r="J3795" s="100" t="e">
        <f t="shared" si="629"/>
        <v>#N/A</v>
      </c>
      <c r="K3795" s="51" t="e">
        <f>VLOOKUP(B:B,'生產達成率(目標)'!A:C,3,0)</f>
        <v>#N/A</v>
      </c>
      <c r="L3795" s="20" t="e">
        <f t="shared" si="630"/>
        <v>#N/A</v>
      </c>
      <c r="M3795" s="137"/>
      <c r="N3795" s="374"/>
      <c r="O3795" s="374">
        <f t="shared" si="631"/>
        <v>0</v>
      </c>
      <c r="P3795" s="156"/>
      <c r="Q3795" s="98" t="e">
        <f t="shared" si="632"/>
        <v>#DIV/0!</v>
      </c>
      <c r="R3795" s="371"/>
      <c r="S3795" s="372"/>
      <c r="T3795" s="364"/>
      <c r="U3795" s="264"/>
      <c r="V3795" s="264"/>
      <c r="W3795" s="424"/>
      <c r="X3795" s="264" t="s">
        <v>1867</v>
      </c>
      <c r="Y3795" s="424"/>
      <c r="Z3795" s="424"/>
      <c r="AA3795" s="424"/>
      <c r="AB3795" s="424"/>
      <c r="AC3795" s="425">
        <f t="shared" si="625"/>
        <v>0</v>
      </c>
      <c r="AD3795" s="425">
        <f t="shared" si="626"/>
        <v>0</v>
      </c>
    </row>
    <row r="3796" spans="1:30" s="361" customFormat="1" x14ac:dyDescent="0.4">
      <c r="A3796" s="402"/>
      <c r="B3796" s="392"/>
      <c r="C3796" s="364" t="e">
        <f>VLOOKUP(B3796,'112年全品項生產鍋數'!A:H,2,0)</f>
        <v>#N/A</v>
      </c>
      <c r="D3796" s="404"/>
      <c r="E3796" s="48" t="e">
        <f>VLOOKUP(B3796,'112年全品項生產鍋數'!A:H,3,0)</f>
        <v>#N/A</v>
      </c>
      <c r="F3796" s="142" t="e">
        <f>VLOOKUP(B3796,'112年全品項生產鍋數'!A:H,7,0)</f>
        <v>#N/A</v>
      </c>
      <c r="G3796" s="143" t="e">
        <f t="shared" si="627"/>
        <v>#N/A</v>
      </c>
      <c r="H3796" s="156"/>
      <c r="I3796" s="371" t="e">
        <f t="shared" si="628"/>
        <v>#N/A</v>
      </c>
      <c r="J3796" s="100" t="e">
        <f t="shared" si="629"/>
        <v>#N/A</v>
      </c>
      <c r="K3796" s="51" t="e">
        <f>VLOOKUP(B:B,'生產達成率(目標)'!A:C,3,0)</f>
        <v>#N/A</v>
      </c>
      <c r="L3796" s="20" t="e">
        <f t="shared" si="630"/>
        <v>#N/A</v>
      </c>
      <c r="M3796" s="137"/>
      <c r="N3796" s="374"/>
      <c r="O3796" s="374">
        <f t="shared" si="631"/>
        <v>0</v>
      </c>
      <c r="P3796" s="156"/>
      <c r="Q3796" s="98" t="e">
        <f t="shared" si="632"/>
        <v>#DIV/0!</v>
      </c>
      <c r="R3796" s="371"/>
      <c r="S3796" s="372"/>
      <c r="T3796" s="364"/>
      <c r="U3796" s="264"/>
      <c r="V3796" s="264"/>
      <c r="W3796" s="424"/>
      <c r="X3796" s="264" t="s">
        <v>1867</v>
      </c>
      <c r="Y3796" s="424"/>
      <c r="Z3796" s="424"/>
      <c r="AA3796" s="424"/>
      <c r="AB3796" s="424"/>
      <c r="AC3796" s="425">
        <f t="shared" si="625"/>
        <v>0</v>
      </c>
      <c r="AD3796" s="425">
        <f t="shared" si="626"/>
        <v>0</v>
      </c>
    </row>
    <row r="3797" spans="1:30" s="361" customFormat="1" x14ac:dyDescent="0.4">
      <c r="A3797" s="402"/>
      <c r="B3797" s="392"/>
      <c r="C3797" s="364" t="e">
        <f>VLOOKUP(B3797,'112年全品項生產鍋數'!A:H,2,0)</f>
        <v>#N/A</v>
      </c>
      <c r="D3797" s="404"/>
      <c r="E3797" s="48" t="e">
        <f>VLOOKUP(B3797,'112年全品項生產鍋數'!A:H,3,0)</f>
        <v>#N/A</v>
      </c>
      <c r="F3797" s="142" t="e">
        <f>VLOOKUP(B3797,'112年全品項生產鍋數'!A:H,7,0)</f>
        <v>#N/A</v>
      </c>
      <c r="G3797" s="143" t="e">
        <f t="shared" si="627"/>
        <v>#N/A</v>
      </c>
      <c r="H3797" s="156"/>
      <c r="I3797" s="371" t="e">
        <f t="shared" si="628"/>
        <v>#N/A</v>
      </c>
      <c r="J3797" s="100" t="e">
        <f t="shared" si="629"/>
        <v>#N/A</v>
      </c>
      <c r="K3797" s="51" t="e">
        <f>VLOOKUP(B:B,'生產達成率(目標)'!A:C,3,0)</f>
        <v>#N/A</v>
      </c>
      <c r="L3797" s="20" t="e">
        <f t="shared" si="630"/>
        <v>#N/A</v>
      </c>
      <c r="M3797" s="137"/>
      <c r="N3797" s="374"/>
      <c r="O3797" s="374">
        <f t="shared" si="631"/>
        <v>0</v>
      </c>
      <c r="P3797" s="156"/>
      <c r="Q3797" s="98" t="e">
        <f t="shared" si="632"/>
        <v>#DIV/0!</v>
      </c>
      <c r="R3797" s="371"/>
      <c r="S3797" s="372"/>
      <c r="T3797" s="364"/>
      <c r="U3797" s="264"/>
      <c r="V3797" s="264"/>
      <c r="W3797" s="424"/>
      <c r="X3797" s="264" t="s">
        <v>1867</v>
      </c>
      <c r="Y3797" s="424"/>
      <c r="Z3797" s="424"/>
      <c r="AA3797" s="424"/>
      <c r="AB3797" s="424"/>
      <c r="AC3797" s="425">
        <f t="shared" si="625"/>
        <v>0</v>
      </c>
      <c r="AD3797" s="425">
        <f t="shared" si="626"/>
        <v>0</v>
      </c>
    </row>
    <row r="3798" spans="1:30" s="361" customFormat="1" x14ac:dyDescent="0.4">
      <c r="A3798" s="402"/>
      <c r="B3798" s="392"/>
      <c r="C3798" s="364" t="e">
        <f>VLOOKUP(B3798,'112年全品項生產鍋數'!A:H,2,0)</f>
        <v>#N/A</v>
      </c>
      <c r="D3798" s="404"/>
      <c r="E3798" s="48" t="e">
        <f>VLOOKUP(B3798,'112年全品項生產鍋數'!A:H,3,0)</f>
        <v>#N/A</v>
      </c>
      <c r="F3798" s="142" t="e">
        <f>VLOOKUP(B3798,'112年全品項生產鍋數'!A:H,7,0)</f>
        <v>#N/A</v>
      </c>
      <c r="G3798" s="143" t="e">
        <f t="shared" si="627"/>
        <v>#N/A</v>
      </c>
      <c r="H3798" s="156"/>
      <c r="I3798" s="371" t="e">
        <f t="shared" si="628"/>
        <v>#N/A</v>
      </c>
      <c r="J3798" s="100" t="e">
        <f t="shared" si="629"/>
        <v>#N/A</v>
      </c>
      <c r="K3798" s="51" t="e">
        <f>VLOOKUP(B:B,'生產達成率(目標)'!A:C,3,0)</f>
        <v>#N/A</v>
      </c>
      <c r="L3798" s="20" t="e">
        <f t="shared" si="630"/>
        <v>#N/A</v>
      </c>
      <c r="M3798" s="137"/>
      <c r="N3798" s="374"/>
      <c r="O3798" s="374">
        <f t="shared" si="631"/>
        <v>0</v>
      </c>
      <c r="P3798" s="156"/>
      <c r="Q3798" s="98" t="e">
        <f t="shared" si="632"/>
        <v>#DIV/0!</v>
      </c>
      <c r="R3798" s="371"/>
      <c r="S3798" s="372"/>
      <c r="T3798" s="364"/>
      <c r="U3798" s="264"/>
      <c r="V3798" s="264"/>
      <c r="W3798" s="424"/>
      <c r="X3798" s="264" t="s">
        <v>1867</v>
      </c>
      <c r="Y3798" s="424"/>
      <c r="Z3798" s="424"/>
      <c r="AA3798" s="424"/>
      <c r="AB3798" s="424"/>
      <c r="AC3798" s="425">
        <f t="shared" si="625"/>
        <v>0</v>
      </c>
      <c r="AD3798" s="425">
        <f t="shared" si="626"/>
        <v>0</v>
      </c>
    </row>
    <row r="3799" spans="1:30" s="361" customFormat="1" x14ac:dyDescent="0.4">
      <c r="A3799" s="402"/>
      <c r="B3799" s="392"/>
      <c r="C3799" s="364" t="e">
        <f>VLOOKUP(B3799,'112年全品項生產鍋數'!A:H,2,0)</f>
        <v>#N/A</v>
      </c>
      <c r="D3799" s="404"/>
      <c r="E3799" s="48" t="e">
        <f>VLOOKUP(B3799,'112年全品項生產鍋數'!A:H,3,0)</f>
        <v>#N/A</v>
      </c>
      <c r="F3799" s="142" t="e">
        <f>VLOOKUP(B3799,'112年全品項生產鍋數'!A:H,7,0)</f>
        <v>#N/A</v>
      </c>
      <c r="G3799" s="143" t="e">
        <f t="shared" si="627"/>
        <v>#N/A</v>
      </c>
      <c r="H3799" s="156"/>
      <c r="I3799" s="371" t="e">
        <f t="shared" si="628"/>
        <v>#N/A</v>
      </c>
      <c r="J3799" s="100" t="e">
        <f t="shared" si="629"/>
        <v>#N/A</v>
      </c>
      <c r="K3799" s="51" t="e">
        <f>VLOOKUP(B:B,'生產達成率(目標)'!A:C,3,0)</f>
        <v>#N/A</v>
      </c>
      <c r="L3799" s="20" t="e">
        <f t="shared" si="630"/>
        <v>#N/A</v>
      </c>
      <c r="M3799" s="137"/>
      <c r="N3799" s="374"/>
      <c r="O3799" s="374">
        <f t="shared" si="631"/>
        <v>0</v>
      </c>
      <c r="P3799" s="156"/>
      <c r="Q3799" s="98" t="e">
        <f t="shared" si="632"/>
        <v>#DIV/0!</v>
      </c>
      <c r="R3799" s="371"/>
      <c r="S3799" s="372"/>
      <c r="T3799" s="364"/>
      <c r="U3799" s="264"/>
      <c r="V3799" s="264"/>
      <c r="W3799" s="424"/>
      <c r="X3799" s="264" t="s">
        <v>1867</v>
      </c>
      <c r="Y3799" s="424"/>
      <c r="Z3799" s="424"/>
      <c r="AA3799" s="424"/>
      <c r="AB3799" s="424"/>
      <c r="AC3799" s="425">
        <f t="shared" ref="AC3799:AC3856" si="633" xml:space="preserve"> IF((W3799-A3799)&lt;0,"未收到",W3799-A3799)</f>
        <v>0</v>
      </c>
      <c r="AD3799" s="425">
        <f t="shared" ref="AD3799:AD3856" si="634" xml:space="preserve"> IF((Y3799-A3799)&lt;0,"未收到",Y3799-A3799)</f>
        <v>0</v>
      </c>
    </row>
    <row r="3800" spans="1:30" s="361" customFormat="1" x14ac:dyDescent="0.4">
      <c r="A3800" s="402"/>
      <c r="B3800" s="392"/>
      <c r="C3800" s="364" t="e">
        <f>VLOOKUP(B3800,'112年全品項生產鍋數'!A:H,2,0)</f>
        <v>#N/A</v>
      </c>
      <c r="D3800" s="404"/>
      <c r="E3800" s="48" t="e">
        <f>VLOOKUP(B3800,'112年全品項生產鍋數'!A:H,3,0)</f>
        <v>#N/A</v>
      </c>
      <c r="F3800" s="142" t="e">
        <f>VLOOKUP(B3800,'112年全品項生產鍋數'!A:H,7,0)</f>
        <v>#N/A</v>
      </c>
      <c r="G3800" s="143" t="e">
        <f t="shared" si="627"/>
        <v>#N/A</v>
      </c>
      <c r="H3800" s="156"/>
      <c r="I3800" s="371" t="e">
        <f t="shared" si="628"/>
        <v>#N/A</v>
      </c>
      <c r="J3800" s="100" t="e">
        <f t="shared" si="629"/>
        <v>#N/A</v>
      </c>
      <c r="K3800" s="51" t="e">
        <f>VLOOKUP(B:B,'生產達成率(目標)'!A:C,3,0)</f>
        <v>#N/A</v>
      </c>
      <c r="L3800" s="20" t="e">
        <f t="shared" si="630"/>
        <v>#N/A</v>
      </c>
      <c r="M3800" s="137"/>
      <c r="N3800" s="374"/>
      <c r="O3800" s="374">
        <f t="shared" si="631"/>
        <v>0</v>
      </c>
      <c r="P3800" s="156"/>
      <c r="Q3800" s="98" t="e">
        <f t="shared" si="632"/>
        <v>#DIV/0!</v>
      </c>
      <c r="R3800" s="371"/>
      <c r="S3800" s="372"/>
      <c r="T3800" s="364"/>
      <c r="U3800" s="264"/>
      <c r="V3800" s="264"/>
      <c r="W3800" s="424"/>
      <c r="X3800" s="264" t="s">
        <v>1867</v>
      </c>
      <c r="Y3800" s="424"/>
      <c r="Z3800" s="424"/>
      <c r="AA3800" s="424"/>
      <c r="AB3800" s="424"/>
      <c r="AC3800" s="425">
        <f t="shared" si="633"/>
        <v>0</v>
      </c>
      <c r="AD3800" s="425">
        <f t="shared" si="634"/>
        <v>0</v>
      </c>
    </row>
    <row r="3801" spans="1:30" s="361" customFormat="1" x14ac:dyDescent="0.4">
      <c r="A3801" s="402"/>
      <c r="B3801" s="392"/>
      <c r="C3801" s="364" t="e">
        <f>VLOOKUP(B3801,'112年全品項生產鍋數'!A:H,2,0)</f>
        <v>#N/A</v>
      </c>
      <c r="D3801" s="404"/>
      <c r="E3801" s="48" t="e">
        <f>VLOOKUP(B3801,'112年全品項生產鍋數'!A:H,3,0)</f>
        <v>#N/A</v>
      </c>
      <c r="F3801" s="142" t="e">
        <f>VLOOKUP(B3801,'112年全品項生產鍋數'!A:H,7,0)</f>
        <v>#N/A</v>
      </c>
      <c r="G3801" s="143" t="e">
        <f t="shared" si="627"/>
        <v>#N/A</v>
      </c>
      <c r="H3801" s="156"/>
      <c r="I3801" s="371" t="e">
        <f t="shared" si="628"/>
        <v>#N/A</v>
      </c>
      <c r="J3801" s="100" t="e">
        <f t="shared" si="629"/>
        <v>#N/A</v>
      </c>
      <c r="K3801" s="51" t="e">
        <f>VLOOKUP(B:B,'生產達成率(目標)'!A:C,3,0)</f>
        <v>#N/A</v>
      </c>
      <c r="L3801" s="20" t="e">
        <f t="shared" si="630"/>
        <v>#N/A</v>
      </c>
      <c r="M3801" s="137"/>
      <c r="N3801" s="374"/>
      <c r="O3801" s="374">
        <f t="shared" si="631"/>
        <v>0</v>
      </c>
      <c r="P3801" s="156"/>
      <c r="Q3801" s="98" t="e">
        <f t="shared" si="632"/>
        <v>#DIV/0!</v>
      </c>
      <c r="R3801" s="371"/>
      <c r="S3801" s="372"/>
      <c r="T3801" s="364"/>
      <c r="U3801" s="264"/>
      <c r="V3801" s="264"/>
      <c r="W3801" s="424"/>
      <c r="X3801" s="264" t="s">
        <v>1867</v>
      </c>
      <c r="Y3801" s="424"/>
      <c r="Z3801" s="424"/>
      <c r="AA3801" s="424"/>
      <c r="AB3801" s="424"/>
      <c r="AC3801" s="425">
        <f t="shared" si="633"/>
        <v>0</v>
      </c>
      <c r="AD3801" s="425">
        <f t="shared" si="634"/>
        <v>0</v>
      </c>
    </row>
    <row r="3802" spans="1:30" s="361" customFormat="1" x14ac:dyDescent="0.4">
      <c r="A3802" s="402"/>
      <c r="B3802" s="392"/>
      <c r="C3802" s="364" t="e">
        <f>VLOOKUP(B3802,'112年全品項生產鍋數'!A:H,2,0)</f>
        <v>#N/A</v>
      </c>
      <c r="D3802" s="404"/>
      <c r="E3802" s="48" t="e">
        <f>VLOOKUP(B3802,'112年全品項生產鍋數'!A:H,3,0)</f>
        <v>#N/A</v>
      </c>
      <c r="F3802" s="142" t="e">
        <f>VLOOKUP(B3802,'112年全品項生產鍋數'!A:H,7,0)</f>
        <v>#N/A</v>
      </c>
      <c r="G3802" s="143" t="e">
        <f t="shared" si="627"/>
        <v>#N/A</v>
      </c>
      <c r="H3802" s="156"/>
      <c r="I3802" s="371" t="e">
        <f t="shared" si="628"/>
        <v>#N/A</v>
      </c>
      <c r="J3802" s="100" t="e">
        <f t="shared" si="629"/>
        <v>#N/A</v>
      </c>
      <c r="K3802" s="51" t="e">
        <f>VLOOKUP(B:B,'生產達成率(目標)'!A:C,3,0)</f>
        <v>#N/A</v>
      </c>
      <c r="L3802" s="20" t="e">
        <f t="shared" si="630"/>
        <v>#N/A</v>
      </c>
      <c r="M3802" s="137"/>
      <c r="N3802" s="374"/>
      <c r="O3802" s="374">
        <f t="shared" si="631"/>
        <v>0</v>
      </c>
      <c r="P3802" s="156"/>
      <c r="Q3802" s="98" t="e">
        <f t="shared" si="632"/>
        <v>#DIV/0!</v>
      </c>
      <c r="R3802" s="371"/>
      <c r="S3802" s="372"/>
      <c r="T3802" s="364"/>
      <c r="U3802" s="264"/>
      <c r="V3802" s="264"/>
      <c r="W3802" s="424"/>
      <c r="X3802" s="264" t="s">
        <v>1867</v>
      </c>
      <c r="Y3802" s="424"/>
      <c r="Z3802" s="424"/>
      <c r="AA3802" s="424"/>
      <c r="AB3802" s="424"/>
      <c r="AC3802" s="425">
        <f t="shared" si="633"/>
        <v>0</v>
      </c>
      <c r="AD3802" s="425">
        <f t="shared" si="634"/>
        <v>0</v>
      </c>
    </row>
    <row r="3803" spans="1:30" s="361" customFormat="1" x14ac:dyDescent="0.4">
      <c r="A3803" s="402"/>
      <c r="B3803" s="392"/>
      <c r="C3803" s="364" t="e">
        <f>VLOOKUP(B3803,'112年全品項生產鍋數'!A:H,2,0)</f>
        <v>#N/A</v>
      </c>
      <c r="D3803" s="404"/>
      <c r="E3803" s="48" t="e">
        <f>VLOOKUP(B3803,'112年全品項生產鍋數'!A:H,3,0)</f>
        <v>#N/A</v>
      </c>
      <c r="F3803" s="142" t="e">
        <f>VLOOKUP(B3803,'112年全品項生產鍋數'!A:H,7,0)</f>
        <v>#N/A</v>
      </c>
      <c r="G3803" s="143" t="e">
        <f t="shared" si="627"/>
        <v>#N/A</v>
      </c>
      <c r="H3803" s="156"/>
      <c r="I3803" s="371" t="e">
        <f t="shared" si="628"/>
        <v>#N/A</v>
      </c>
      <c r="J3803" s="100" t="e">
        <f t="shared" si="629"/>
        <v>#N/A</v>
      </c>
      <c r="K3803" s="51" t="e">
        <f>VLOOKUP(B:B,'生產達成率(目標)'!A:C,3,0)</f>
        <v>#N/A</v>
      </c>
      <c r="L3803" s="20" t="e">
        <f t="shared" si="630"/>
        <v>#N/A</v>
      </c>
      <c r="M3803" s="137"/>
      <c r="N3803" s="374"/>
      <c r="O3803" s="374">
        <f t="shared" si="631"/>
        <v>0</v>
      </c>
      <c r="P3803" s="156"/>
      <c r="Q3803" s="98" t="e">
        <f t="shared" si="632"/>
        <v>#DIV/0!</v>
      </c>
      <c r="R3803" s="371"/>
      <c r="S3803" s="372"/>
      <c r="T3803" s="364"/>
      <c r="U3803" s="264"/>
      <c r="V3803" s="264"/>
      <c r="W3803" s="424"/>
      <c r="X3803" s="264" t="s">
        <v>1867</v>
      </c>
      <c r="Y3803" s="424"/>
      <c r="Z3803" s="424"/>
      <c r="AA3803" s="424"/>
      <c r="AB3803" s="424"/>
      <c r="AC3803" s="425">
        <f t="shared" si="633"/>
        <v>0</v>
      </c>
      <c r="AD3803" s="425">
        <f t="shared" si="634"/>
        <v>0</v>
      </c>
    </row>
    <row r="3804" spans="1:30" s="361" customFormat="1" x14ac:dyDescent="0.4">
      <c r="A3804" s="402"/>
      <c r="B3804" s="392"/>
      <c r="C3804" s="364" t="e">
        <f>VLOOKUP(B3804,'112年全品項生產鍋數'!A:H,2,0)</f>
        <v>#N/A</v>
      </c>
      <c r="D3804" s="404"/>
      <c r="E3804" s="48" t="e">
        <f>VLOOKUP(B3804,'112年全品項生產鍋數'!A:H,3,0)</f>
        <v>#N/A</v>
      </c>
      <c r="F3804" s="142" t="e">
        <f>VLOOKUP(B3804,'112年全品項生產鍋數'!A:H,7,0)</f>
        <v>#N/A</v>
      </c>
      <c r="G3804" s="143" t="e">
        <f t="shared" si="627"/>
        <v>#N/A</v>
      </c>
      <c r="H3804" s="156"/>
      <c r="I3804" s="371" t="e">
        <f t="shared" si="628"/>
        <v>#N/A</v>
      </c>
      <c r="J3804" s="100" t="e">
        <f t="shared" si="629"/>
        <v>#N/A</v>
      </c>
      <c r="K3804" s="51" t="e">
        <f>VLOOKUP(B:B,'生產達成率(目標)'!A:C,3,0)</f>
        <v>#N/A</v>
      </c>
      <c r="L3804" s="20" t="e">
        <f t="shared" si="630"/>
        <v>#N/A</v>
      </c>
      <c r="M3804" s="137"/>
      <c r="N3804" s="374"/>
      <c r="O3804" s="374">
        <f t="shared" si="631"/>
        <v>0</v>
      </c>
      <c r="P3804" s="156"/>
      <c r="Q3804" s="98" t="e">
        <f t="shared" si="632"/>
        <v>#DIV/0!</v>
      </c>
      <c r="R3804" s="371"/>
      <c r="S3804" s="372"/>
      <c r="T3804" s="364"/>
      <c r="U3804" s="264"/>
      <c r="V3804" s="264"/>
      <c r="W3804" s="424"/>
      <c r="X3804" s="264" t="s">
        <v>1867</v>
      </c>
      <c r="Y3804" s="424"/>
      <c r="Z3804" s="424"/>
      <c r="AA3804" s="424"/>
      <c r="AB3804" s="424"/>
      <c r="AC3804" s="425">
        <f t="shared" si="633"/>
        <v>0</v>
      </c>
      <c r="AD3804" s="425">
        <f t="shared" si="634"/>
        <v>0</v>
      </c>
    </row>
    <row r="3805" spans="1:30" s="361" customFormat="1" x14ac:dyDescent="0.4">
      <c r="A3805" s="402"/>
      <c r="B3805" s="392"/>
      <c r="C3805" s="364" t="e">
        <f>VLOOKUP(B3805,'112年全品項生產鍋數'!A:H,2,0)</f>
        <v>#N/A</v>
      </c>
      <c r="D3805" s="404"/>
      <c r="E3805" s="48" t="e">
        <f>VLOOKUP(B3805,'112年全品項生產鍋數'!A:H,3,0)</f>
        <v>#N/A</v>
      </c>
      <c r="F3805" s="142" t="e">
        <f>VLOOKUP(B3805,'112年全品項生產鍋數'!A:H,7,0)</f>
        <v>#N/A</v>
      </c>
      <c r="G3805" s="143" t="e">
        <f t="shared" si="627"/>
        <v>#N/A</v>
      </c>
      <c r="H3805" s="156"/>
      <c r="I3805" s="371" t="e">
        <f t="shared" si="628"/>
        <v>#N/A</v>
      </c>
      <c r="J3805" s="100" t="e">
        <f t="shared" si="629"/>
        <v>#N/A</v>
      </c>
      <c r="K3805" s="51" t="e">
        <f>VLOOKUP(B:B,'生產達成率(目標)'!A:C,3,0)</f>
        <v>#N/A</v>
      </c>
      <c r="L3805" s="20" t="e">
        <f t="shared" si="630"/>
        <v>#N/A</v>
      </c>
      <c r="M3805" s="137"/>
      <c r="N3805" s="374"/>
      <c r="O3805" s="374">
        <f t="shared" si="631"/>
        <v>0</v>
      </c>
      <c r="P3805" s="156"/>
      <c r="Q3805" s="98" t="e">
        <f t="shared" si="632"/>
        <v>#DIV/0!</v>
      </c>
      <c r="R3805" s="371"/>
      <c r="S3805" s="372"/>
      <c r="T3805" s="364"/>
      <c r="U3805" s="264"/>
      <c r="V3805" s="264"/>
      <c r="W3805" s="424"/>
      <c r="X3805" s="264" t="s">
        <v>1867</v>
      </c>
      <c r="Y3805" s="424"/>
      <c r="Z3805" s="424"/>
      <c r="AA3805" s="424"/>
      <c r="AB3805" s="424"/>
      <c r="AC3805" s="425">
        <f t="shared" si="633"/>
        <v>0</v>
      </c>
      <c r="AD3805" s="425">
        <f t="shared" si="634"/>
        <v>0</v>
      </c>
    </row>
    <row r="3806" spans="1:30" s="361" customFormat="1" x14ac:dyDescent="0.4">
      <c r="A3806" s="402"/>
      <c r="B3806" s="392"/>
      <c r="C3806" s="364" t="e">
        <f>VLOOKUP(B3806,'112年全品項生產鍋數'!A:H,2,0)</f>
        <v>#N/A</v>
      </c>
      <c r="D3806" s="404"/>
      <c r="E3806" s="48" t="e">
        <f>VLOOKUP(B3806,'112年全品項生產鍋數'!A:H,3,0)</f>
        <v>#N/A</v>
      </c>
      <c r="F3806" s="142" t="e">
        <f>VLOOKUP(B3806,'112年全品項生產鍋數'!A:H,7,0)</f>
        <v>#N/A</v>
      </c>
      <c r="G3806" s="143" t="e">
        <f t="shared" si="627"/>
        <v>#N/A</v>
      </c>
      <c r="H3806" s="156"/>
      <c r="I3806" s="371" t="e">
        <f t="shared" si="628"/>
        <v>#N/A</v>
      </c>
      <c r="J3806" s="100" t="e">
        <f t="shared" si="629"/>
        <v>#N/A</v>
      </c>
      <c r="K3806" s="51" t="e">
        <f>VLOOKUP(B:B,'生產達成率(目標)'!A:C,3,0)</f>
        <v>#N/A</v>
      </c>
      <c r="L3806" s="20" t="e">
        <f t="shared" si="630"/>
        <v>#N/A</v>
      </c>
      <c r="M3806" s="137"/>
      <c r="N3806" s="374"/>
      <c r="O3806" s="374">
        <f t="shared" si="631"/>
        <v>0</v>
      </c>
      <c r="P3806" s="156"/>
      <c r="Q3806" s="98" t="e">
        <f t="shared" si="632"/>
        <v>#DIV/0!</v>
      </c>
      <c r="R3806" s="371"/>
      <c r="S3806" s="372"/>
      <c r="T3806" s="364"/>
      <c r="U3806" s="264"/>
      <c r="V3806" s="264"/>
      <c r="W3806" s="424"/>
      <c r="X3806" s="264" t="s">
        <v>1867</v>
      </c>
      <c r="Y3806" s="424"/>
      <c r="Z3806" s="424"/>
      <c r="AA3806" s="424"/>
      <c r="AB3806" s="424"/>
      <c r="AC3806" s="425">
        <f t="shared" si="633"/>
        <v>0</v>
      </c>
      <c r="AD3806" s="425">
        <f t="shared" si="634"/>
        <v>0</v>
      </c>
    </row>
    <row r="3807" spans="1:30" s="361" customFormat="1" x14ac:dyDescent="0.4">
      <c r="A3807" s="402"/>
      <c r="B3807" s="392"/>
      <c r="C3807" s="364" t="e">
        <f>VLOOKUP(B3807,'112年全品項生產鍋數'!A:H,2,0)</f>
        <v>#N/A</v>
      </c>
      <c r="D3807" s="404"/>
      <c r="E3807" s="48" t="e">
        <f>VLOOKUP(B3807,'112年全品項生產鍋數'!A:H,3,0)</f>
        <v>#N/A</v>
      </c>
      <c r="F3807" s="142" t="e">
        <f>VLOOKUP(B3807,'112年全品項生產鍋數'!A:H,7,0)</f>
        <v>#N/A</v>
      </c>
      <c r="G3807" s="143" t="e">
        <f t="shared" si="627"/>
        <v>#N/A</v>
      </c>
      <c r="H3807" s="156"/>
      <c r="I3807" s="371" t="e">
        <f t="shared" si="628"/>
        <v>#N/A</v>
      </c>
      <c r="J3807" s="100" t="e">
        <f t="shared" si="629"/>
        <v>#N/A</v>
      </c>
      <c r="K3807" s="51" t="e">
        <f>VLOOKUP(B:B,'生產達成率(目標)'!A:C,3,0)</f>
        <v>#N/A</v>
      </c>
      <c r="L3807" s="20" t="e">
        <f t="shared" si="630"/>
        <v>#N/A</v>
      </c>
      <c r="M3807" s="137"/>
      <c r="N3807" s="374"/>
      <c r="O3807" s="374">
        <f t="shared" si="631"/>
        <v>0</v>
      </c>
      <c r="P3807" s="156"/>
      <c r="Q3807" s="98" t="e">
        <f t="shared" si="632"/>
        <v>#DIV/0!</v>
      </c>
      <c r="R3807" s="371"/>
      <c r="S3807" s="372"/>
      <c r="T3807" s="364"/>
      <c r="U3807" s="264"/>
      <c r="V3807" s="264"/>
      <c r="W3807" s="424"/>
      <c r="X3807" s="264" t="s">
        <v>1867</v>
      </c>
      <c r="Y3807" s="424"/>
      <c r="Z3807" s="424"/>
      <c r="AA3807" s="424"/>
      <c r="AB3807" s="424"/>
      <c r="AC3807" s="425">
        <f t="shared" si="633"/>
        <v>0</v>
      </c>
      <c r="AD3807" s="425">
        <f t="shared" si="634"/>
        <v>0</v>
      </c>
    </row>
    <row r="3808" spans="1:30" s="361" customFormat="1" x14ac:dyDescent="0.4">
      <c r="A3808" s="402"/>
      <c r="B3808" s="392"/>
      <c r="C3808" s="364" t="e">
        <f>VLOOKUP(B3808,'112年全品項生產鍋數'!A:H,2,0)</f>
        <v>#N/A</v>
      </c>
      <c r="D3808" s="404"/>
      <c r="E3808" s="48" t="e">
        <f>VLOOKUP(B3808,'112年全品項生產鍋數'!A:H,3,0)</f>
        <v>#N/A</v>
      </c>
      <c r="F3808" s="142" t="e">
        <f>VLOOKUP(B3808,'112年全品項生產鍋數'!A:H,7,0)</f>
        <v>#N/A</v>
      </c>
      <c r="G3808" s="143" t="e">
        <f t="shared" si="627"/>
        <v>#N/A</v>
      </c>
      <c r="H3808" s="156"/>
      <c r="I3808" s="371" t="e">
        <f t="shared" si="628"/>
        <v>#N/A</v>
      </c>
      <c r="J3808" s="100" t="e">
        <f t="shared" si="629"/>
        <v>#N/A</v>
      </c>
      <c r="K3808" s="51" t="e">
        <f>VLOOKUP(B:B,'生產達成率(目標)'!A:C,3,0)</f>
        <v>#N/A</v>
      </c>
      <c r="L3808" s="20" t="e">
        <f t="shared" si="630"/>
        <v>#N/A</v>
      </c>
      <c r="M3808" s="137"/>
      <c r="N3808" s="374"/>
      <c r="O3808" s="374">
        <f t="shared" si="631"/>
        <v>0</v>
      </c>
      <c r="P3808" s="156"/>
      <c r="Q3808" s="98" t="e">
        <f t="shared" si="632"/>
        <v>#DIV/0!</v>
      </c>
      <c r="R3808" s="371"/>
      <c r="S3808" s="372"/>
      <c r="T3808" s="364"/>
      <c r="U3808" s="264"/>
      <c r="V3808" s="264"/>
      <c r="W3808" s="424"/>
      <c r="X3808" s="264" t="s">
        <v>1867</v>
      </c>
      <c r="Y3808" s="424"/>
      <c r="Z3808" s="424"/>
      <c r="AA3808" s="424"/>
      <c r="AB3808" s="424"/>
      <c r="AC3808" s="425">
        <f t="shared" si="633"/>
        <v>0</v>
      </c>
      <c r="AD3808" s="425">
        <f t="shared" si="634"/>
        <v>0</v>
      </c>
    </row>
    <row r="3809" spans="1:30" s="361" customFormat="1" x14ac:dyDescent="0.4">
      <c r="A3809" s="402"/>
      <c r="B3809" s="392"/>
      <c r="C3809" s="364" t="e">
        <f>VLOOKUP(B3809,'112年全品項生產鍋數'!A:H,2,0)</f>
        <v>#N/A</v>
      </c>
      <c r="D3809" s="404"/>
      <c r="E3809" s="48" t="e">
        <f>VLOOKUP(B3809,'112年全品項生產鍋數'!A:H,3,0)</f>
        <v>#N/A</v>
      </c>
      <c r="F3809" s="142" t="e">
        <f>VLOOKUP(B3809,'112年全品項生產鍋數'!A:H,7,0)</f>
        <v>#N/A</v>
      </c>
      <c r="G3809" s="143" t="e">
        <f t="shared" si="627"/>
        <v>#N/A</v>
      </c>
      <c r="H3809" s="156"/>
      <c r="I3809" s="371" t="e">
        <f t="shared" si="628"/>
        <v>#N/A</v>
      </c>
      <c r="J3809" s="100" t="e">
        <f t="shared" si="629"/>
        <v>#N/A</v>
      </c>
      <c r="K3809" s="51" t="e">
        <f>VLOOKUP(B:B,'生產達成率(目標)'!A:C,3,0)</f>
        <v>#N/A</v>
      </c>
      <c r="L3809" s="20" t="e">
        <f t="shared" si="630"/>
        <v>#N/A</v>
      </c>
      <c r="M3809" s="137"/>
      <c r="N3809" s="374"/>
      <c r="O3809" s="374">
        <f t="shared" si="631"/>
        <v>0</v>
      </c>
      <c r="P3809" s="156"/>
      <c r="Q3809" s="98" t="e">
        <f t="shared" si="632"/>
        <v>#DIV/0!</v>
      </c>
      <c r="R3809" s="371"/>
      <c r="S3809" s="372"/>
      <c r="T3809" s="364"/>
      <c r="U3809" s="264"/>
      <c r="V3809" s="264"/>
      <c r="W3809" s="424"/>
      <c r="X3809" s="264" t="s">
        <v>1867</v>
      </c>
      <c r="Y3809" s="424"/>
      <c r="Z3809" s="424"/>
      <c r="AA3809" s="424"/>
      <c r="AB3809" s="424"/>
      <c r="AC3809" s="425">
        <f t="shared" si="633"/>
        <v>0</v>
      </c>
      <c r="AD3809" s="425">
        <f t="shared" si="634"/>
        <v>0</v>
      </c>
    </row>
    <row r="3810" spans="1:30" s="361" customFormat="1" x14ac:dyDescent="0.4">
      <c r="A3810" s="402"/>
      <c r="B3810" s="392"/>
      <c r="C3810" s="364" t="e">
        <f>VLOOKUP(B3810,'112年全品項生產鍋數'!A:H,2,0)</f>
        <v>#N/A</v>
      </c>
      <c r="D3810" s="404"/>
      <c r="E3810" s="48" t="e">
        <f>VLOOKUP(B3810,'112年全品項生產鍋數'!A:H,3,0)</f>
        <v>#N/A</v>
      </c>
      <c r="F3810" s="142" t="e">
        <f>VLOOKUP(B3810,'112年全品項生產鍋數'!A:H,7,0)</f>
        <v>#N/A</v>
      </c>
      <c r="G3810" s="143" t="e">
        <f t="shared" si="627"/>
        <v>#N/A</v>
      </c>
      <c r="H3810" s="156"/>
      <c r="I3810" s="371" t="e">
        <f t="shared" si="628"/>
        <v>#N/A</v>
      </c>
      <c r="J3810" s="100" t="e">
        <f t="shared" si="629"/>
        <v>#N/A</v>
      </c>
      <c r="K3810" s="51" t="e">
        <f>VLOOKUP(B:B,'生產達成率(目標)'!A:C,3,0)</f>
        <v>#N/A</v>
      </c>
      <c r="L3810" s="20" t="e">
        <f t="shared" si="630"/>
        <v>#N/A</v>
      </c>
      <c r="M3810" s="137"/>
      <c r="N3810" s="374"/>
      <c r="O3810" s="374">
        <f t="shared" si="631"/>
        <v>0</v>
      </c>
      <c r="P3810" s="156"/>
      <c r="Q3810" s="98" t="e">
        <f t="shared" si="632"/>
        <v>#DIV/0!</v>
      </c>
      <c r="R3810" s="371"/>
      <c r="S3810" s="372"/>
      <c r="T3810" s="364"/>
      <c r="U3810" s="264"/>
      <c r="V3810" s="264"/>
      <c r="W3810" s="424"/>
      <c r="X3810" s="264" t="s">
        <v>1867</v>
      </c>
      <c r="Y3810" s="424"/>
      <c r="Z3810" s="424"/>
      <c r="AA3810" s="424"/>
      <c r="AB3810" s="424"/>
      <c r="AC3810" s="425">
        <f t="shared" si="633"/>
        <v>0</v>
      </c>
      <c r="AD3810" s="425">
        <f t="shared" si="634"/>
        <v>0</v>
      </c>
    </row>
    <row r="3811" spans="1:30" s="361" customFormat="1" x14ac:dyDescent="0.4">
      <c r="A3811" s="402"/>
      <c r="B3811" s="392"/>
      <c r="C3811" s="364" t="e">
        <f>VLOOKUP(B3811,'112年全品項生產鍋數'!A:H,2,0)</f>
        <v>#N/A</v>
      </c>
      <c r="D3811" s="404"/>
      <c r="E3811" s="48" t="e">
        <f>VLOOKUP(B3811,'112年全品項生產鍋數'!A:H,3,0)</f>
        <v>#N/A</v>
      </c>
      <c r="F3811" s="142" t="e">
        <f>VLOOKUP(B3811,'112年全品項生產鍋數'!A:H,7,0)</f>
        <v>#N/A</v>
      </c>
      <c r="G3811" s="143" t="e">
        <f t="shared" si="627"/>
        <v>#N/A</v>
      </c>
      <c r="H3811" s="156"/>
      <c r="I3811" s="371" t="e">
        <f t="shared" si="628"/>
        <v>#N/A</v>
      </c>
      <c r="J3811" s="100" t="e">
        <f t="shared" si="629"/>
        <v>#N/A</v>
      </c>
      <c r="K3811" s="51" t="e">
        <f>VLOOKUP(B:B,'生產達成率(目標)'!A:C,3,0)</f>
        <v>#N/A</v>
      </c>
      <c r="L3811" s="20" t="e">
        <f t="shared" si="630"/>
        <v>#N/A</v>
      </c>
      <c r="M3811" s="137"/>
      <c r="N3811" s="374"/>
      <c r="O3811" s="374">
        <f t="shared" si="631"/>
        <v>0</v>
      </c>
      <c r="P3811" s="156"/>
      <c r="Q3811" s="98" t="e">
        <f t="shared" si="632"/>
        <v>#DIV/0!</v>
      </c>
      <c r="R3811" s="371"/>
      <c r="S3811" s="372"/>
      <c r="T3811" s="364"/>
      <c r="U3811" s="264"/>
      <c r="V3811" s="264"/>
      <c r="W3811" s="424"/>
      <c r="X3811" s="264" t="s">
        <v>1867</v>
      </c>
      <c r="Y3811" s="424"/>
      <c r="Z3811" s="424"/>
      <c r="AA3811" s="424"/>
      <c r="AB3811" s="424"/>
      <c r="AC3811" s="425">
        <f t="shared" si="633"/>
        <v>0</v>
      </c>
      <c r="AD3811" s="425">
        <f t="shared" si="634"/>
        <v>0</v>
      </c>
    </row>
    <row r="3812" spans="1:30" s="361" customFormat="1" x14ac:dyDescent="0.4">
      <c r="A3812" s="402"/>
      <c r="B3812" s="392"/>
      <c r="C3812" s="364" t="e">
        <f>VLOOKUP(B3812,'112年全品項生產鍋數'!A:H,2,0)</f>
        <v>#N/A</v>
      </c>
      <c r="D3812" s="404"/>
      <c r="E3812" s="48" t="e">
        <f>VLOOKUP(B3812,'112年全品項生產鍋數'!A:H,3,0)</f>
        <v>#N/A</v>
      </c>
      <c r="F3812" s="142" t="e">
        <f>VLOOKUP(B3812,'112年全品項生產鍋數'!A:H,7,0)</f>
        <v>#N/A</v>
      </c>
      <c r="G3812" s="143" t="e">
        <f t="shared" si="627"/>
        <v>#N/A</v>
      </c>
      <c r="H3812" s="156"/>
      <c r="I3812" s="371" t="e">
        <f t="shared" si="628"/>
        <v>#N/A</v>
      </c>
      <c r="J3812" s="100" t="e">
        <f t="shared" si="629"/>
        <v>#N/A</v>
      </c>
      <c r="K3812" s="51" t="e">
        <f>VLOOKUP(B:B,'生產達成率(目標)'!A:C,3,0)</f>
        <v>#N/A</v>
      </c>
      <c r="L3812" s="20" t="e">
        <f t="shared" si="630"/>
        <v>#N/A</v>
      </c>
      <c r="M3812" s="137"/>
      <c r="N3812" s="374"/>
      <c r="O3812" s="374">
        <f t="shared" si="631"/>
        <v>0</v>
      </c>
      <c r="P3812" s="156"/>
      <c r="Q3812" s="98" t="e">
        <f t="shared" si="632"/>
        <v>#DIV/0!</v>
      </c>
      <c r="R3812" s="371"/>
      <c r="S3812" s="372"/>
      <c r="T3812" s="364"/>
      <c r="U3812" s="264"/>
      <c r="V3812" s="264"/>
      <c r="W3812" s="424"/>
      <c r="X3812" s="264" t="s">
        <v>1867</v>
      </c>
      <c r="Y3812" s="424"/>
      <c r="Z3812" s="424"/>
      <c r="AA3812" s="424"/>
      <c r="AB3812" s="424"/>
      <c r="AC3812" s="425">
        <f t="shared" si="633"/>
        <v>0</v>
      </c>
      <c r="AD3812" s="425">
        <f t="shared" si="634"/>
        <v>0</v>
      </c>
    </row>
    <row r="3813" spans="1:30" s="361" customFormat="1" x14ac:dyDescent="0.4">
      <c r="A3813" s="402"/>
      <c r="B3813" s="392"/>
      <c r="C3813" s="364" t="e">
        <f>VLOOKUP(B3813,'112年全品項生產鍋數'!A:H,2,0)</f>
        <v>#N/A</v>
      </c>
      <c r="D3813" s="404"/>
      <c r="E3813" s="48" t="e">
        <f>VLOOKUP(B3813,'112年全品項生產鍋數'!A:H,3,0)</f>
        <v>#N/A</v>
      </c>
      <c r="F3813" s="142" t="e">
        <f>VLOOKUP(B3813,'112年全品項生產鍋數'!A:H,7,0)</f>
        <v>#N/A</v>
      </c>
      <c r="G3813" s="143" t="e">
        <f t="shared" si="627"/>
        <v>#N/A</v>
      </c>
      <c r="H3813" s="156"/>
      <c r="I3813" s="371" t="e">
        <f t="shared" si="628"/>
        <v>#N/A</v>
      </c>
      <c r="J3813" s="100" t="e">
        <f t="shared" si="629"/>
        <v>#N/A</v>
      </c>
      <c r="K3813" s="51" t="e">
        <f>VLOOKUP(B:B,'生產達成率(目標)'!A:C,3,0)</f>
        <v>#N/A</v>
      </c>
      <c r="L3813" s="20" t="e">
        <f t="shared" si="630"/>
        <v>#N/A</v>
      </c>
      <c r="M3813" s="137"/>
      <c r="N3813" s="374"/>
      <c r="O3813" s="374">
        <f t="shared" si="631"/>
        <v>0</v>
      </c>
      <c r="P3813" s="156"/>
      <c r="Q3813" s="98" t="e">
        <f t="shared" si="632"/>
        <v>#DIV/0!</v>
      </c>
      <c r="R3813" s="371"/>
      <c r="S3813" s="372"/>
      <c r="T3813" s="364"/>
      <c r="U3813" s="264"/>
      <c r="V3813" s="264"/>
      <c r="W3813" s="424"/>
      <c r="X3813" s="264" t="s">
        <v>1867</v>
      </c>
      <c r="Y3813" s="424"/>
      <c r="Z3813" s="424"/>
      <c r="AA3813" s="424"/>
      <c r="AB3813" s="424"/>
      <c r="AC3813" s="425">
        <f t="shared" si="633"/>
        <v>0</v>
      </c>
      <c r="AD3813" s="425">
        <f t="shared" si="634"/>
        <v>0</v>
      </c>
    </row>
    <row r="3814" spans="1:30" s="361" customFormat="1" x14ac:dyDescent="0.4">
      <c r="A3814" s="402"/>
      <c r="B3814" s="392"/>
      <c r="C3814" s="364" t="e">
        <f>VLOOKUP(B3814,'112年全品項生產鍋數'!A:H,2,0)</f>
        <v>#N/A</v>
      </c>
      <c r="D3814" s="404"/>
      <c r="E3814" s="48" t="e">
        <f>VLOOKUP(B3814,'112年全品項生產鍋數'!A:H,3,0)</f>
        <v>#N/A</v>
      </c>
      <c r="F3814" s="142" t="e">
        <f>VLOOKUP(B3814,'112年全品項生產鍋數'!A:H,7,0)</f>
        <v>#N/A</v>
      </c>
      <c r="G3814" s="143" t="e">
        <f t="shared" si="627"/>
        <v>#N/A</v>
      </c>
      <c r="H3814" s="156"/>
      <c r="I3814" s="371" t="e">
        <f t="shared" si="628"/>
        <v>#N/A</v>
      </c>
      <c r="J3814" s="100" t="e">
        <f t="shared" si="629"/>
        <v>#N/A</v>
      </c>
      <c r="K3814" s="51" t="e">
        <f>VLOOKUP(B:B,'生產達成率(目標)'!A:C,3,0)</f>
        <v>#N/A</v>
      </c>
      <c r="L3814" s="20" t="e">
        <f t="shared" si="630"/>
        <v>#N/A</v>
      </c>
      <c r="M3814" s="137"/>
      <c r="N3814" s="374"/>
      <c r="O3814" s="374">
        <f t="shared" si="631"/>
        <v>0</v>
      </c>
      <c r="P3814" s="156"/>
      <c r="Q3814" s="98" t="e">
        <f t="shared" si="632"/>
        <v>#DIV/0!</v>
      </c>
      <c r="R3814" s="371"/>
      <c r="S3814" s="372"/>
      <c r="T3814" s="364"/>
      <c r="U3814" s="264"/>
      <c r="V3814" s="264"/>
      <c r="W3814" s="424"/>
      <c r="X3814" s="264" t="s">
        <v>1867</v>
      </c>
      <c r="Y3814" s="424"/>
      <c r="Z3814" s="424"/>
      <c r="AA3814" s="424"/>
      <c r="AB3814" s="424"/>
      <c r="AC3814" s="425">
        <f t="shared" si="633"/>
        <v>0</v>
      </c>
      <c r="AD3814" s="425">
        <f t="shared" si="634"/>
        <v>0</v>
      </c>
    </row>
    <row r="3815" spans="1:30" s="361" customFormat="1" x14ac:dyDescent="0.4">
      <c r="A3815" s="402"/>
      <c r="B3815" s="392"/>
      <c r="C3815" s="364" t="e">
        <f>VLOOKUP(B3815,'112年全品項生產鍋數'!A:H,2,0)</f>
        <v>#N/A</v>
      </c>
      <c r="D3815" s="404"/>
      <c r="E3815" s="48" t="e">
        <f>VLOOKUP(B3815,'112年全品項生產鍋數'!A:H,3,0)</f>
        <v>#N/A</v>
      </c>
      <c r="F3815" s="142" t="e">
        <f>VLOOKUP(B3815,'112年全品項生產鍋數'!A:H,7,0)</f>
        <v>#N/A</v>
      </c>
      <c r="G3815" s="143" t="e">
        <f t="shared" si="627"/>
        <v>#N/A</v>
      </c>
      <c r="H3815" s="156"/>
      <c r="I3815" s="371" t="e">
        <f t="shared" si="628"/>
        <v>#N/A</v>
      </c>
      <c r="J3815" s="100" t="e">
        <f t="shared" si="629"/>
        <v>#N/A</v>
      </c>
      <c r="K3815" s="51" t="e">
        <f>VLOOKUP(B:B,'生產達成率(目標)'!A:C,3,0)</f>
        <v>#N/A</v>
      </c>
      <c r="L3815" s="20" t="e">
        <f t="shared" si="630"/>
        <v>#N/A</v>
      </c>
      <c r="M3815" s="137"/>
      <c r="N3815" s="374"/>
      <c r="O3815" s="374">
        <f t="shared" si="631"/>
        <v>0</v>
      </c>
      <c r="P3815" s="156"/>
      <c r="Q3815" s="98" t="e">
        <f t="shared" si="632"/>
        <v>#DIV/0!</v>
      </c>
      <c r="R3815" s="371"/>
      <c r="S3815" s="372"/>
      <c r="T3815" s="364"/>
      <c r="U3815" s="264"/>
      <c r="V3815" s="264"/>
      <c r="W3815" s="424"/>
      <c r="X3815" s="264" t="s">
        <v>1867</v>
      </c>
      <c r="Y3815" s="424"/>
      <c r="Z3815" s="424"/>
      <c r="AA3815" s="424"/>
      <c r="AB3815" s="424"/>
      <c r="AC3815" s="425">
        <f t="shared" si="633"/>
        <v>0</v>
      </c>
      <c r="AD3815" s="425">
        <f t="shared" si="634"/>
        <v>0</v>
      </c>
    </row>
    <row r="3816" spans="1:30" s="361" customFormat="1" x14ac:dyDescent="0.4">
      <c r="A3816" s="402"/>
      <c r="B3816" s="392"/>
      <c r="C3816" s="364" t="e">
        <f>VLOOKUP(B3816,'112年全品項生產鍋數'!A:H,2,0)</f>
        <v>#N/A</v>
      </c>
      <c r="D3816" s="404"/>
      <c r="E3816" s="48" t="e">
        <f>VLOOKUP(B3816,'112年全品項生產鍋數'!A:H,3,0)</f>
        <v>#N/A</v>
      </c>
      <c r="F3816" s="142" t="e">
        <f>VLOOKUP(B3816,'112年全品項生產鍋數'!A:H,7,0)</f>
        <v>#N/A</v>
      </c>
      <c r="G3816" s="143" t="e">
        <f t="shared" si="627"/>
        <v>#N/A</v>
      </c>
      <c r="H3816" s="156"/>
      <c r="I3816" s="371" t="e">
        <f t="shared" si="628"/>
        <v>#N/A</v>
      </c>
      <c r="J3816" s="100" t="e">
        <f t="shared" si="629"/>
        <v>#N/A</v>
      </c>
      <c r="K3816" s="51" t="e">
        <f>VLOOKUP(B:B,'生產達成率(目標)'!A:C,3,0)</f>
        <v>#N/A</v>
      </c>
      <c r="L3816" s="20" t="e">
        <f t="shared" si="630"/>
        <v>#N/A</v>
      </c>
      <c r="M3816" s="137"/>
      <c r="N3816" s="374"/>
      <c r="O3816" s="374">
        <f t="shared" si="631"/>
        <v>0</v>
      </c>
      <c r="P3816" s="156"/>
      <c r="Q3816" s="98" t="e">
        <f t="shared" si="632"/>
        <v>#DIV/0!</v>
      </c>
      <c r="R3816" s="371"/>
      <c r="S3816" s="372"/>
      <c r="T3816" s="364"/>
      <c r="U3816" s="264"/>
      <c r="V3816" s="264"/>
      <c r="W3816" s="424"/>
      <c r="X3816" s="264" t="s">
        <v>1867</v>
      </c>
      <c r="Y3816" s="424"/>
      <c r="Z3816" s="424"/>
      <c r="AA3816" s="424"/>
      <c r="AB3816" s="424"/>
      <c r="AC3816" s="425">
        <f t="shared" si="633"/>
        <v>0</v>
      </c>
      <c r="AD3816" s="425">
        <f t="shared" si="634"/>
        <v>0</v>
      </c>
    </row>
    <row r="3817" spans="1:30" s="361" customFormat="1" x14ac:dyDescent="0.4">
      <c r="A3817" s="402"/>
      <c r="B3817" s="392"/>
      <c r="C3817" s="364" t="e">
        <f>VLOOKUP(B3817,'112年全品項生產鍋數'!A:H,2,0)</f>
        <v>#N/A</v>
      </c>
      <c r="D3817" s="404"/>
      <c r="E3817" s="48" t="e">
        <f>VLOOKUP(B3817,'112年全品項生產鍋數'!A:H,3,0)</f>
        <v>#N/A</v>
      </c>
      <c r="F3817" s="142" t="e">
        <f>VLOOKUP(B3817,'112年全品項生產鍋數'!A:H,7,0)</f>
        <v>#N/A</v>
      </c>
      <c r="G3817" s="143" t="e">
        <f t="shared" si="627"/>
        <v>#N/A</v>
      </c>
      <c r="H3817" s="156"/>
      <c r="I3817" s="371" t="e">
        <f t="shared" si="628"/>
        <v>#N/A</v>
      </c>
      <c r="J3817" s="100" t="e">
        <f t="shared" si="629"/>
        <v>#N/A</v>
      </c>
      <c r="K3817" s="51" t="e">
        <f>VLOOKUP(B:B,'生產達成率(目標)'!A:C,3,0)</f>
        <v>#N/A</v>
      </c>
      <c r="L3817" s="20" t="e">
        <f t="shared" si="630"/>
        <v>#N/A</v>
      </c>
      <c r="M3817" s="137"/>
      <c r="N3817" s="374"/>
      <c r="O3817" s="374">
        <f t="shared" si="631"/>
        <v>0</v>
      </c>
      <c r="P3817" s="156"/>
      <c r="Q3817" s="98" t="e">
        <f t="shared" si="632"/>
        <v>#DIV/0!</v>
      </c>
      <c r="R3817" s="371"/>
      <c r="S3817" s="372"/>
      <c r="T3817" s="364"/>
      <c r="U3817" s="264"/>
      <c r="V3817" s="264"/>
      <c r="W3817" s="424"/>
      <c r="X3817" s="264" t="s">
        <v>1867</v>
      </c>
      <c r="Y3817" s="424"/>
      <c r="Z3817" s="424"/>
      <c r="AA3817" s="424"/>
      <c r="AB3817" s="424"/>
      <c r="AC3817" s="425">
        <f t="shared" si="633"/>
        <v>0</v>
      </c>
      <c r="AD3817" s="425">
        <f t="shared" si="634"/>
        <v>0</v>
      </c>
    </row>
    <row r="3818" spans="1:30" s="361" customFormat="1" x14ac:dyDescent="0.4">
      <c r="A3818" s="402"/>
      <c r="B3818" s="392"/>
      <c r="C3818" s="364" t="e">
        <f>VLOOKUP(B3818,'112年全品項生產鍋數'!A:H,2,0)</f>
        <v>#N/A</v>
      </c>
      <c r="D3818" s="404"/>
      <c r="E3818" s="48" t="e">
        <f>VLOOKUP(B3818,'112年全品項生產鍋數'!A:H,3,0)</f>
        <v>#N/A</v>
      </c>
      <c r="F3818" s="142" t="e">
        <f>VLOOKUP(B3818,'112年全品項生產鍋數'!A:H,7,0)</f>
        <v>#N/A</v>
      </c>
      <c r="G3818" s="143" t="e">
        <f t="shared" si="627"/>
        <v>#N/A</v>
      </c>
      <c r="H3818" s="156"/>
      <c r="I3818" s="371" t="e">
        <f t="shared" si="628"/>
        <v>#N/A</v>
      </c>
      <c r="J3818" s="100" t="e">
        <f t="shared" si="629"/>
        <v>#N/A</v>
      </c>
      <c r="K3818" s="51" t="e">
        <f>VLOOKUP(B:B,'生產達成率(目標)'!A:C,3,0)</f>
        <v>#N/A</v>
      </c>
      <c r="L3818" s="20" t="e">
        <f t="shared" si="630"/>
        <v>#N/A</v>
      </c>
      <c r="M3818" s="137"/>
      <c r="N3818" s="374"/>
      <c r="O3818" s="374">
        <f t="shared" si="631"/>
        <v>0</v>
      </c>
      <c r="P3818" s="156"/>
      <c r="Q3818" s="98" t="e">
        <f t="shared" si="632"/>
        <v>#DIV/0!</v>
      </c>
      <c r="R3818" s="371"/>
      <c r="S3818" s="372"/>
      <c r="T3818" s="364"/>
      <c r="U3818" s="264"/>
      <c r="V3818" s="264"/>
      <c r="W3818" s="424"/>
      <c r="X3818" s="264" t="s">
        <v>1867</v>
      </c>
      <c r="Y3818" s="424"/>
      <c r="Z3818" s="424"/>
      <c r="AA3818" s="424"/>
      <c r="AB3818" s="424"/>
      <c r="AC3818" s="425">
        <f t="shared" si="633"/>
        <v>0</v>
      </c>
      <c r="AD3818" s="425">
        <f t="shared" si="634"/>
        <v>0</v>
      </c>
    </row>
    <row r="3819" spans="1:30" s="361" customFormat="1" x14ac:dyDescent="0.4">
      <c r="A3819" s="402"/>
      <c r="B3819" s="392"/>
      <c r="C3819" s="364" t="e">
        <f>VLOOKUP(B3819,'112年全品項生產鍋數'!A:H,2,0)</f>
        <v>#N/A</v>
      </c>
      <c r="D3819" s="404"/>
      <c r="E3819" s="48" t="e">
        <f>VLOOKUP(B3819,'112年全品項生產鍋數'!A:H,3,0)</f>
        <v>#N/A</v>
      </c>
      <c r="F3819" s="142" t="e">
        <f>VLOOKUP(B3819,'112年全品項生產鍋數'!A:H,7,0)</f>
        <v>#N/A</v>
      </c>
      <c r="G3819" s="143" t="e">
        <f t="shared" si="627"/>
        <v>#N/A</v>
      </c>
      <c r="H3819" s="156"/>
      <c r="I3819" s="371" t="e">
        <f t="shared" si="628"/>
        <v>#N/A</v>
      </c>
      <c r="J3819" s="100" t="e">
        <f t="shared" si="629"/>
        <v>#N/A</v>
      </c>
      <c r="K3819" s="51" t="e">
        <f>VLOOKUP(B:B,'生產達成率(目標)'!A:C,3,0)</f>
        <v>#N/A</v>
      </c>
      <c r="L3819" s="20" t="e">
        <f t="shared" si="630"/>
        <v>#N/A</v>
      </c>
      <c r="M3819" s="137"/>
      <c r="N3819" s="374"/>
      <c r="O3819" s="374">
        <f t="shared" si="631"/>
        <v>0</v>
      </c>
      <c r="P3819" s="156"/>
      <c r="Q3819" s="98" t="e">
        <f t="shared" si="632"/>
        <v>#DIV/0!</v>
      </c>
      <c r="R3819" s="371"/>
      <c r="S3819" s="372"/>
      <c r="T3819" s="364"/>
      <c r="U3819" s="264"/>
      <c r="V3819" s="264"/>
      <c r="W3819" s="424"/>
      <c r="X3819" s="264" t="s">
        <v>1867</v>
      </c>
      <c r="Y3819" s="424"/>
      <c r="Z3819" s="424"/>
      <c r="AA3819" s="424"/>
      <c r="AB3819" s="424"/>
      <c r="AC3819" s="425">
        <f t="shared" si="633"/>
        <v>0</v>
      </c>
      <c r="AD3819" s="425">
        <f t="shared" si="634"/>
        <v>0</v>
      </c>
    </row>
    <row r="3820" spans="1:30" s="361" customFormat="1" x14ac:dyDescent="0.4">
      <c r="A3820" s="402"/>
      <c r="B3820" s="392"/>
      <c r="C3820" s="364" t="e">
        <f>VLOOKUP(B3820,'112年全品項生產鍋數'!A:H,2,0)</f>
        <v>#N/A</v>
      </c>
      <c r="D3820" s="404"/>
      <c r="E3820" s="48" t="e">
        <f>VLOOKUP(B3820,'112年全品項生產鍋數'!A:H,3,0)</f>
        <v>#N/A</v>
      </c>
      <c r="F3820" s="142" t="e">
        <f>VLOOKUP(B3820,'112年全品項生產鍋數'!A:H,7,0)</f>
        <v>#N/A</v>
      </c>
      <c r="G3820" s="143" t="e">
        <f t="shared" si="627"/>
        <v>#N/A</v>
      </c>
      <c r="H3820" s="156"/>
      <c r="I3820" s="371" t="e">
        <f t="shared" si="628"/>
        <v>#N/A</v>
      </c>
      <c r="J3820" s="100" t="e">
        <f t="shared" si="629"/>
        <v>#N/A</v>
      </c>
      <c r="K3820" s="51" t="e">
        <f>VLOOKUP(B:B,'生產達成率(目標)'!A:C,3,0)</f>
        <v>#N/A</v>
      </c>
      <c r="L3820" s="20" t="e">
        <f t="shared" si="630"/>
        <v>#N/A</v>
      </c>
      <c r="M3820" s="137"/>
      <c r="N3820" s="374"/>
      <c r="O3820" s="374">
        <f t="shared" si="631"/>
        <v>0</v>
      </c>
      <c r="P3820" s="156"/>
      <c r="Q3820" s="98" t="e">
        <f t="shared" si="632"/>
        <v>#DIV/0!</v>
      </c>
      <c r="R3820" s="371"/>
      <c r="S3820" s="372"/>
      <c r="T3820" s="364"/>
      <c r="U3820" s="264"/>
      <c r="V3820" s="264"/>
      <c r="W3820" s="424"/>
      <c r="X3820" s="264" t="s">
        <v>1867</v>
      </c>
      <c r="Y3820" s="424"/>
      <c r="Z3820" s="424"/>
      <c r="AA3820" s="424"/>
      <c r="AB3820" s="424"/>
      <c r="AC3820" s="425">
        <f t="shared" si="633"/>
        <v>0</v>
      </c>
      <c r="AD3820" s="425">
        <f t="shared" si="634"/>
        <v>0</v>
      </c>
    </row>
    <row r="3821" spans="1:30" s="361" customFormat="1" x14ac:dyDescent="0.4">
      <c r="A3821" s="402"/>
      <c r="B3821" s="392"/>
      <c r="C3821" s="364" t="e">
        <f>VLOOKUP(B3821,'112年全品項生產鍋數'!A:H,2,0)</f>
        <v>#N/A</v>
      </c>
      <c r="D3821" s="404"/>
      <c r="E3821" s="48" t="e">
        <f>VLOOKUP(B3821,'112年全品項生產鍋數'!A:H,3,0)</f>
        <v>#N/A</v>
      </c>
      <c r="F3821" s="142" t="e">
        <f>VLOOKUP(B3821,'112年全品項生產鍋數'!A:H,7,0)</f>
        <v>#N/A</v>
      </c>
      <c r="G3821" s="143" t="e">
        <f t="shared" si="627"/>
        <v>#N/A</v>
      </c>
      <c r="H3821" s="156"/>
      <c r="I3821" s="371" t="e">
        <f t="shared" si="628"/>
        <v>#N/A</v>
      </c>
      <c r="J3821" s="100" t="e">
        <f t="shared" si="629"/>
        <v>#N/A</v>
      </c>
      <c r="K3821" s="51" t="e">
        <f>VLOOKUP(B:B,'生產達成率(目標)'!A:C,3,0)</f>
        <v>#N/A</v>
      </c>
      <c r="L3821" s="20" t="e">
        <f t="shared" si="630"/>
        <v>#N/A</v>
      </c>
      <c r="M3821" s="137"/>
      <c r="N3821" s="374"/>
      <c r="O3821" s="374">
        <f t="shared" si="631"/>
        <v>0</v>
      </c>
      <c r="P3821" s="156"/>
      <c r="Q3821" s="98" t="e">
        <f t="shared" si="632"/>
        <v>#DIV/0!</v>
      </c>
      <c r="R3821" s="371"/>
      <c r="S3821" s="372"/>
      <c r="T3821" s="364"/>
      <c r="U3821" s="264"/>
      <c r="V3821" s="264"/>
      <c r="W3821" s="424"/>
      <c r="X3821" s="264" t="s">
        <v>1867</v>
      </c>
      <c r="Y3821" s="424"/>
      <c r="Z3821" s="424"/>
      <c r="AA3821" s="424"/>
      <c r="AB3821" s="424"/>
      <c r="AC3821" s="425">
        <f t="shared" si="633"/>
        <v>0</v>
      </c>
      <c r="AD3821" s="425">
        <f t="shared" si="634"/>
        <v>0</v>
      </c>
    </row>
    <row r="3822" spans="1:30" s="361" customFormat="1" x14ac:dyDescent="0.4">
      <c r="A3822" s="402"/>
      <c r="B3822" s="392"/>
      <c r="C3822" s="364" t="e">
        <f>VLOOKUP(B3822,'112年全品項生產鍋數'!A:H,2,0)</f>
        <v>#N/A</v>
      </c>
      <c r="D3822" s="404"/>
      <c r="E3822" s="48" t="e">
        <f>VLOOKUP(B3822,'112年全品項生產鍋數'!A:H,3,0)</f>
        <v>#N/A</v>
      </c>
      <c r="F3822" s="142" t="e">
        <f>VLOOKUP(B3822,'112年全品項生產鍋數'!A:H,7,0)</f>
        <v>#N/A</v>
      </c>
      <c r="G3822" s="143" t="e">
        <f t="shared" si="627"/>
        <v>#N/A</v>
      </c>
      <c r="H3822" s="156"/>
      <c r="I3822" s="371" t="e">
        <f t="shared" si="628"/>
        <v>#N/A</v>
      </c>
      <c r="J3822" s="100" t="e">
        <f t="shared" si="629"/>
        <v>#N/A</v>
      </c>
      <c r="K3822" s="51" t="e">
        <f>VLOOKUP(B:B,'生產達成率(目標)'!A:C,3,0)</f>
        <v>#N/A</v>
      </c>
      <c r="L3822" s="20" t="e">
        <f t="shared" si="630"/>
        <v>#N/A</v>
      </c>
      <c r="M3822" s="137"/>
      <c r="N3822" s="374"/>
      <c r="O3822" s="374">
        <f t="shared" si="631"/>
        <v>0</v>
      </c>
      <c r="P3822" s="156"/>
      <c r="Q3822" s="98" t="e">
        <f t="shared" si="632"/>
        <v>#DIV/0!</v>
      </c>
      <c r="R3822" s="371"/>
      <c r="S3822" s="372"/>
      <c r="T3822" s="364"/>
      <c r="U3822" s="264"/>
      <c r="V3822" s="264"/>
      <c r="W3822" s="424"/>
      <c r="X3822" s="264" t="s">
        <v>1867</v>
      </c>
      <c r="Y3822" s="424"/>
      <c r="Z3822" s="424"/>
      <c r="AA3822" s="424"/>
      <c r="AB3822" s="424"/>
      <c r="AC3822" s="425">
        <f t="shared" si="633"/>
        <v>0</v>
      </c>
      <c r="AD3822" s="425">
        <f t="shared" si="634"/>
        <v>0</v>
      </c>
    </row>
    <row r="3823" spans="1:30" s="361" customFormat="1" x14ac:dyDescent="0.4">
      <c r="A3823" s="402"/>
      <c r="B3823" s="392"/>
      <c r="C3823" s="364" t="e">
        <f>VLOOKUP(B3823,'112年全品項生產鍋數'!A:H,2,0)</f>
        <v>#N/A</v>
      </c>
      <c r="D3823" s="404"/>
      <c r="E3823" s="48" t="e">
        <f>VLOOKUP(B3823,'112年全品項生產鍋數'!A:H,3,0)</f>
        <v>#N/A</v>
      </c>
      <c r="F3823" s="142" t="e">
        <f>VLOOKUP(B3823,'112年全品項生產鍋數'!A:H,7,0)</f>
        <v>#N/A</v>
      </c>
      <c r="G3823" s="143" t="e">
        <f t="shared" si="627"/>
        <v>#N/A</v>
      </c>
      <c r="H3823" s="156"/>
      <c r="I3823" s="371" t="e">
        <f t="shared" si="628"/>
        <v>#N/A</v>
      </c>
      <c r="J3823" s="100" t="e">
        <f t="shared" si="629"/>
        <v>#N/A</v>
      </c>
      <c r="K3823" s="51" t="e">
        <f>VLOOKUP(B:B,'生產達成率(目標)'!A:C,3,0)</f>
        <v>#N/A</v>
      </c>
      <c r="L3823" s="20" t="e">
        <f t="shared" si="630"/>
        <v>#N/A</v>
      </c>
      <c r="M3823" s="137"/>
      <c r="N3823" s="374"/>
      <c r="O3823" s="374">
        <f t="shared" si="631"/>
        <v>0</v>
      </c>
      <c r="P3823" s="156"/>
      <c r="Q3823" s="98" t="e">
        <f t="shared" si="632"/>
        <v>#DIV/0!</v>
      </c>
      <c r="R3823" s="371"/>
      <c r="S3823" s="372"/>
      <c r="T3823" s="364"/>
      <c r="U3823" s="264"/>
      <c r="V3823" s="264"/>
      <c r="W3823" s="424"/>
      <c r="X3823" s="264" t="s">
        <v>1867</v>
      </c>
      <c r="Y3823" s="424"/>
      <c r="Z3823" s="424"/>
      <c r="AA3823" s="424"/>
      <c r="AB3823" s="424"/>
      <c r="AC3823" s="425">
        <f t="shared" si="633"/>
        <v>0</v>
      </c>
      <c r="AD3823" s="425">
        <f t="shared" si="634"/>
        <v>0</v>
      </c>
    </row>
    <row r="3824" spans="1:30" s="361" customFormat="1" x14ac:dyDescent="0.4">
      <c r="A3824" s="402"/>
      <c r="B3824" s="392"/>
      <c r="C3824" s="364" t="e">
        <f>VLOOKUP(B3824,'112年全品項生產鍋數'!A:H,2,0)</f>
        <v>#N/A</v>
      </c>
      <c r="D3824" s="404"/>
      <c r="E3824" s="48" t="e">
        <f>VLOOKUP(B3824,'112年全品項生產鍋數'!A:H,3,0)</f>
        <v>#N/A</v>
      </c>
      <c r="F3824" s="142" t="e">
        <f>VLOOKUP(B3824,'112年全品項生產鍋數'!A:H,7,0)</f>
        <v>#N/A</v>
      </c>
      <c r="G3824" s="143" t="e">
        <f t="shared" si="627"/>
        <v>#N/A</v>
      </c>
      <c r="H3824" s="156"/>
      <c r="I3824" s="371" t="e">
        <f t="shared" si="628"/>
        <v>#N/A</v>
      </c>
      <c r="J3824" s="100" t="e">
        <f t="shared" si="629"/>
        <v>#N/A</v>
      </c>
      <c r="K3824" s="51" t="e">
        <f>VLOOKUP(B:B,'生產達成率(目標)'!A:C,3,0)</f>
        <v>#N/A</v>
      </c>
      <c r="L3824" s="20" t="e">
        <f t="shared" si="630"/>
        <v>#N/A</v>
      </c>
      <c r="M3824" s="137"/>
      <c r="N3824" s="374"/>
      <c r="O3824" s="374">
        <f t="shared" si="631"/>
        <v>0</v>
      </c>
      <c r="P3824" s="156"/>
      <c r="Q3824" s="98" t="e">
        <f t="shared" si="632"/>
        <v>#DIV/0!</v>
      </c>
      <c r="R3824" s="371"/>
      <c r="S3824" s="372"/>
      <c r="T3824" s="364"/>
      <c r="U3824" s="264"/>
      <c r="V3824" s="264"/>
      <c r="W3824" s="424"/>
      <c r="X3824" s="264" t="s">
        <v>1867</v>
      </c>
      <c r="Y3824" s="424"/>
      <c r="Z3824" s="424"/>
      <c r="AA3824" s="424"/>
      <c r="AB3824" s="424"/>
      <c r="AC3824" s="425">
        <f t="shared" si="633"/>
        <v>0</v>
      </c>
      <c r="AD3824" s="425">
        <f t="shared" si="634"/>
        <v>0</v>
      </c>
    </row>
    <row r="3825" spans="1:30" s="361" customFormat="1" x14ac:dyDescent="0.4">
      <c r="A3825" s="402"/>
      <c r="B3825" s="392"/>
      <c r="C3825" s="364" t="e">
        <f>VLOOKUP(B3825,'112年全品項生產鍋數'!A:H,2,0)</f>
        <v>#N/A</v>
      </c>
      <c r="D3825" s="404"/>
      <c r="E3825" s="48" t="e">
        <f>VLOOKUP(B3825,'112年全品項生產鍋數'!A:H,3,0)</f>
        <v>#N/A</v>
      </c>
      <c r="F3825" s="142" t="e">
        <f>VLOOKUP(B3825,'112年全品項生產鍋數'!A:H,7,0)</f>
        <v>#N/A</v>
      </c>
      <c r="G3825" s="143" t="e">
        <f t="shared" si="627"/>
        <v>#N/A</v>
      </c>
      <c r="H3825" s="156"/>
      <c r="I3825" s="371" t="e">
        <f t="shared" si="628"/>
        <v>#N/A</v>
      </c>
      <c r="J3825" s="100" t="e">
        <f t="shared" si="629"/>
        <v>#N/A</v>
      </c>
      <c r="K3825" s="51" t="e">
        <f>VLOOKUP(B:B,'生產達成率(目標)'!A:C,3,0)</f>
        <v>#N/A</v>
      </c>
      <c r="L3825" s="20" t="e">
        <f t="shared" si="630"/>
        <v>#N/A</v>
      </c>
      <c r="M3825" s="137"/>
      <c r="N3825" s="374"/>
      <c r="O3825" s="374">
        <f t="shared" si="631"/>
        <v>0</v>
      </c>
      <c r="P3825" s="156"/>
      <c r="Q3825" s="98" t="e">
        <f t="shared" si="632"/>
        <v>#DIV/0!</v>
      </c>
      <c r="R3825" s="371"/>
      <c r="S3825" s="372"/>
      <c r="T3825" s="364"/>
      <c r="U3825" s="264"/>
      <c r="V3825" s="264"/>
      <c r="W3825" s="424"/>
      <c r="X3825" s="264" t="s">
        <v>1867</v>
      </c>
      <c r="Y3825" s="424"/>
      <c r="Z3825" s="424"/>
      <c r="AA3825" s="424"/>
      <c r="AB3825" s="424"/>
      <c r="AC3825" s="425">
        <f t="shared" si="633"/>
        <v>0</v>
      </c>
      <c r="AD3825" s="425">
        <f t="shared" si="634"/>
        <v>0</v>
      </c>
    </row>
    <row r="3826" spans="1:30" s="361" customFormat="1" x14ac:dyDescent="0.4">
      <c r="A3826" s="402"/>
      <c r="B3826" s="392"/>
      <c r="C3826" s="364" t="e">
        <f>VLOOKUP(B3826,'112年全品項生產鍋數'!A:H,2,0)</f>
        <v>#N/A</v>
      </c>
      <c r="D3826" s="404"/>
      <c r="E3826" s="48" t="e">
        <f>VLOOKUP(B3826,'112年全品項生產鍋數'!A:H,3,0)</f>
        <v>#N/A</v>
      </c>
      <c r="F3826" s="142" t="e">
        <f>VLOOKUP(B3826,'112年全品項生產鍋數'!A:H,7,0)</f>
        <v>#N/A</v>
      </c>
      <c r="G3826" s="143" t="e">
        <f t="shared" si="627"/>
        <v>#N/A</v>
      </c>
      <c r="H3826" s="156"/>
      <c r="I3826" s="371" t="e">
        <f t="shared" si="628"/>
        <v>#N/A</v>
      </c>
      <c r="J3826" s="100" t="e">
        <f t="shared" si="629"/>
        <v>#N/A</v>
      </c>
      <c r="K3826" s="51" t="e">
        <f>VLOOKUP(B:B,'生產達成率(目標)'!A:C,3,0)</f>
        <v>#N/A</v>
      </c>
      <c r="L3826" s="20" t="e">
        <f t="shared" si="630"/>
        <v>#N/A</v>
      </c>
      <c r="M3826" s="137"/>
      <c r="N3826" s="374"/>
      <c r="O3826" s="374">
        <f t="shared" si="631"/>
        <v>0</v>
      </c>
      <c r="P3826" s="156"/>
      <c r="Q3826" s="98" t="e">
        <f t="shared" si="632"/>
        <v>#DIV/0!</v>
      </c>
      <c r="R3826" s="371"/>
      <c r="S3826" s="372"/>
      <c r="T3826" s="364"/>
      <c r="U3826" s="264"/>
      <c r="V3826" s="264"/>
      <c r="W3826" s="424"/>
      <c r="X3826" s="264" t="s">
        <v>1867</v>
      </c>
      <c r="Y3826" s="424"/>
      <c r="Z3826" s="424"/>
      <c r="AA3826" s="424"/>
      <c r="AB3826" s="424"/>
      <c r="AC3826" s="425">
        <f t="shared" si="633"/>
        <v>0</v>
      </c>
      <c r="AD3826" s="425">
        <f t="shared" si="634"/>
        <v>0</v>
      </c>
    </row>
    <row r="3827" spans="1:30" s="361" customFormat="1" x14ac:dyDescent="0.4">
      <c r="A3827" s="402"/>
      <c r="B3827" s="392"/>
      <c r="C3827" s="364" t="e">
        <f>VLOOKUP(B3827,'112年全品項生產鍋數'!A:H,2,0)</f>
        <v>#N/A</v>
      </c>
      <c r="D3827" s="404"/>
      <c r="E3827" s="48" t="e">
        <f>VLOOKUP(B3827,'112年全品項生產鍋數'!A:H,3,0)</f>
        <v>#N/A</v>
      </c>
      <c r="F3827" s="142" t="e">
        <f>VLOOKUP(B3827,'112年全品項生產鍋數'!A:H,7,0)</f>
        <v>#N/A</v>
      </c>
      <c r="G3827" s="143" t="e">
        <f t="shared" si="627"/>
        <v>#N/A</v>
      </c>
      <c r="H3827" s="156"/>
      <c r="I3827" s="371" t="e">
        <f t="shared" si="628"/>
        <v>#N/A</v>
      </c>
      <c r="J3827" s="100" t="e">
        <f t="shared" si="629"/>
        <v>#N/A</v>
      </c>
      <c r="K3827" s="51" t="e">
        <f>VLOOKUP(B:B,'生產達成率(目標)'!A:C,3,0)</f>
        <v>#N/A</v>
      </c>
      <c r="L3827" s="20" t="e">
        <f t="shared" si="630"/>
        <v>#N/A</v>
      </c>
      <c r="M3827" s="137"/>
      <c r="N3827" s="374"/>
      <c r="O3827" s="374">
        <f t="shared" si="631"/>
        <v>0</v>
      </c>
      <c r="P3827" s="156"/>
      <c r="Q3827" s="98" t="e">
        <f t="shared" si="632"/>
        <v>#DIV/0!</v>
      </c>
      <c r="R3827" s="371"/>
      <c r="S3827" s="372"/>
      <c r="T3827" s="364"/>
      <c r="U3827" s="264"/>
      <c r="V3827" s="264"/>
      <c r="W3827" s="424"/>
      <c r="X3827" s="264" t="s">
        <v>1867</v>
      </c>
      <c r="Y3827" s="424"/>
      <c r="Z3827" s="424"/>
      <c r="AA3827" s="424"/>
      <c r="AB3827" s="424"/>
      <c r="AC3827" s="425">
        <f t="shared" si="633"/>
        <v>0</v>
      </c>
      <c r="AD3827" s="425">
        <f t="shared" si="634"/>
        <v>0</v>
      </c>
    </row>
    <row r="3828" spans="1:30" s="361" customFormat="1" x14ac:dyDescent="0.4">
      <c r="A3828" s="402"/>
      <c r="B3828" s="392"/>
      <c r="C3828" s="364" t="e">
        <f>VLOOKUP(B3828,'112年全品項生產鍋數'!A:H,2,0)</f>
        <v>#N/A</v>
      </c>
      <c r="D3828" s="404"/>
      <c r="E3828" s="48" t="e">
        <f>VLOOKUP(B3828,'112年全品項生產鍋數'!A:H,3,0)</f>
        <v>#N/A</v>
      </c>
      <c r="F3828" s="142" t="e">
        <f>VLOOKUP(B3828,'112年全品項生產鍋數'!A:H,7,0)</f>
        <v>#N/A</v>
      </c>
      <c r="G3828" s="143" t="e">
        <f t="shared" si="627"/>
        <v>#N/A</v>
      </c>
      <c r="H3828" s="156"/>
      <c r="I3828" s="371" t="e">
        <f t="shared" si="628"/>
        <v>#N/A</v>
      </c>
      <c r="J3828" s="100" t="e">
        <f t="shared" si="629"/>
        <v>#N/A</v>
      </c>
      <c r="K3828" s="51" t="e">
        <f>VLOOKUP(B:B,'生產達成率(目標)'!A:C,3,0)</f>
        <v>#N/A</v>
      </c>
      <c r="L3828" s="20" t="e">
        <f t="shared" si="630"/>
        <v>#N/A</v>
      </c>
      <c r="M3828" s="137"/>
      <c r="N3828" s="374"/>
      <c r="O3828" s="374">
        <f t="shared" si="631"/>
        <v>0</v>
      </c>
      <c r="P3828" s="156"/>
      <c r="Q3828" s="98" t="e">
        <f t="shared" si="632"/>
        <v>#DIV/0!</v>
      </c>
      <c r="R3828" s="371"/>
      <c r="S3828" s="372"/>
      <c r="T3828" s="364"/>
      <c r="U3828" s="264"/>
      <c r="V3828" s="264"/>
      <c r="W3828" s="424"/>
      <c r="X3828" s="264" t="s">
        <v>1867</v>
      </c>
      <c r="Y3828" s="424"/>
      <c r="Z3828" s="424"/>
      <c r="AA3828" s="424"/>
      <c r="AB3828" s="424"/>
      <c r="AC3828" s="425">
        <f t="shared" si="633"/>
        <v>0</v>
      </c>
      <c r="AD3828" s="425">
        <f t="shared" si="634"/>
        <v>0</v>
      </c>
    </row>
    <row r="3829" spans="1:30" s="361" customFormat="1" x14ac:dyDescent="0.4">
      <c r="A3829" s="402"/>
      <c r="B3829" s="392"/>
      <c r="C3829" s="364" t="e">
        <f>VLOOKUP(B3829,'112年全品項生產鍋數'!A:H,2,0)</f>
        <v>#N/A</v>
      </c>
      <c r="D3829" s="404"/>
      <c r="E3829" s="48" t="e">
        <f>VLOOKUP(B3829,'112年全品項生產鍋數'!A:H,3,0)</f>
        <v>#N/A</v>
      </c>
      <c r="F3829" s="142" t="e">
        <f>VLOOKUP(B3829,'112年全品項生產鍋數'!A:H,7,0)</f>
        <v>#N/A</v>
      </c>
      <c r="G3829" s="143" t="e">
        <f t="shared" si="627"/>
        <v>#N/A</v>
      </c>
      <c r="H3829" s="156"/>
      <c r="I3829" s="371" t="e">
        <f t="shared" si="628"/>
        <v>#N/A</v>
      </c>
      <c r="J3829" s="100" t="e">
        <f t="shared" si="629"/>
        <v>#N/A</v>
      </c>
      <c r="K3829" s="51" t="e">
        <f>VLOOKUP(B:B,'生產達成率(目標)'!A:C,3,0)</f>
        <v>#N/A</v>
      </c>
      <c r="L3829" s="20" t="e">
        <f t="shared" si="630"/>
        <v>#N/A</v>
      </c>
      <c r="M3829" s="137"/>
      <c r="N3829" s="374"/>
      <c r="O3829" s="374">
        <f t="shared" si="631"/>
        <v>0</v>
      </c>
      <c r="P3829" s="156"/>
      <c r="Q3829" s="98" t="e">
        <f t="shared" si="632"/>
        <v>#DIV/0!</v>
      </c>
      <c r="R3829" s="371"/>
      <c r="S3829" s="372"/>
      <c r="T3829" s="364"/>
      <c r="U3829" s="264"/>
      <c r="V3829" s="264"/>
      <c r="W3829" s="424"/>
      <c r="X3829" s="264" t="s">
        <v>1867</v>
      </c>
      <c r="Y3829" s="424"/>
      <c r="Z3829" s="424"/>
      <c r="AA3829" s="424"/>
      <c r="AB3829" s="424"/>
      <c r="AC3829" s="425">
        <f t="shared" si="633"/>
        <v>0</v>
      </c>
      <c r="AD3829" s="425">
        <f t="shared" si="634"/>
        <v>0</v>
      </c>
    </row>
    <row r="3830" spans="1:30" s="361" customFormat="1" x14ac:dyDescent="0.4">
      <c r="A3830" s="402"/>
      <c r="B3830" s="392"/>
      <c r="C3830" s="364" t="e">
        <f>VLOOKUP(B3830,'112年全品項生產鍋數'!A:H,2,0)</f>
        <v>#N/A</v>
      </c>
      <c r="D3830" s="404"/>
      <c r="E3830" s="48" t="e">
        <f>VLOOKUP(B3830,'112年全品項生產鍋數'!A:H,3,0)</f>
        <v>#N/A</v>
      </c>
      <c r="F3830" s="142" t="e">
        <f>VLOOKUP(B3830,'112年全品項生產鍋數'!A:H,7,0)</f>
        <v>#N/A</v>
      </c>
      <c r="G3830" s="143" t="e">
        <f t="shared" si="627"/>
        <v>#N/A</v>
      </c>
      <c r="H3830" s="156"/>
      <c r="I3830" s="371" t="e">
        <f t="shared" si="628"/>
        <v>#N/A</v>
      </c>
      <c r="J3830" s="100" t="e">
        <f t="shared" si="629"/>
        <v>#N/A</v>
      </c>
      <c r="K3830" s="51" t="e">
        <f>VLOOKUP(B:B,'生產達成率(目標)'!A:C,3,0)</f>
        <v>#N/A</v>
      </c>
      <c r="L3830" s="20" t="e">
        <f t="shared" si="630"/>
        <v>#N/A</v>
      </c>
      <c r="M3830" s="137"/>
      <c r="N3830" s="374"/>
      <c r="O3830" s="374">
        <f t="shared" si="631"/>
        <v>0</v>
      </c>
      <c r="P3830" s="156"/>
      <c r="Q3830" s="98" t="e">
        <f t="shared" si="632"/>
        <v>#DIV/0!</v>
      </c>
      <c r="R3830" s="371"/>
      <c r="S3830" s="372"/>
      <c r="T3830" s="364"/>
      <c r="U3830" s="264"/>
      <c r="V3830" s="264"/>
      <c r="W3830" s="424"/>
      <c r="X3830" s="264" t="s">
        <v>1867</v>
      </c>
      <c r="Y3830" s="424"/>
      <c r="Z3830" s="424"/>
      <c r="AA3830" s="424"/>
      <c r="AB3830" s="424"/>
      <c r="AC3830" s="425">
        <f t="shared" si="633"/>
        <v>0</v>
      </c>
      <c r="AD3830" s="425">
        <f t="shared" si="634"/>
        <v>0</v>
      </c>
    </row>
    <row r="3831" spans="1:30" s="361" customFormat="1" x14ac:dyDescent="0.4">
      <c r="A3831" s="402"/>
      <c r="B3831" s="392"/>
      <c r="C3831" s="364" t="e">
        <f>VLOOKUP(B3831,'112年全品項生產鍋數'!A:H,2,0)</f>
        <v>#N/A</v>
      </c>
      <c r="D3831" s="404"/>
      <c r="E3831" s="48" t="e">
        <f>VLOOKUP(B3831,'112年全品項生產鍋數'!A:H,3,0)</f>
        <v>#N/A</v>
      </c>
      <c r="F3831" s="142" t="e">
        <f>VLOOKUP(B3831,'112年全品項生產鍋數'!A:H,7,0)</f>
        <v>#N/A</v>
      </c>
      <c r="G3831" s="143" t="e">
        <f t="shared" ref="G3831:G3856" si="635">D3831*F3831</f>
        <v>#N/A</v>
      </c>
      <c r="H3831" s="156"/>
      <c r="I3831" s="371" t="e">
        <f t="shared" ref="I3831:I3856" si="636">H3831*E3831</f>
        <v>#N/A</v>
      </c>
      <c r="J3831" s="100" t="e">
        <f t="shared" ref="J3831:J3856" si="637">IF(G3831=0,"無法預估數據",H3831/G3831)</f>
        <v>#N/A</v>
      </c>
      <c r="K3831" s="51" t="e">
        <f>VLOOKUP(B:B,'生產達成率(目標)'!A:C,3,0)</f>
        <v>#N/A</v>
      </c>
      <c r="L3831" s="20" t="e">
        <f t="shared" ref="L3831:L3856" si="638">IF(G3831=0,"無法預估數據",ROUND(J3831-K3831,3))</f>
        <v>#N/A</v>
      </c>
      <c r="M3831" s="137"/>
      <c r="N3831" s="374"/>
      <c r="O3831" s="374">
        <f t="shared" ref="O3831:O3856" si="639">H3831-N3831-P3831</f>
        <v>0</v>
      </c>
      <c r="P3831" s="156"/>
      <c r="Q3831" s="98" t="e">
        <f t="shared" ref="Q3831:Q3856" si="640">P3831/H3831</f>
        <v>#DIV/0!</v>
      </c>
      <c r="R3831" s="371"/>
      <c r="S3831" s="372"/>
      <c r="T3831" s="364"/>
      <c r="U3831" s="264"/>
      <c r="V3831" s="264"/>
      <c r="W3831" s="424"/>
      <c r="X3831" s="264" t="s">
        <v>1867</v>
      </c>
      <c r="Y3831" s="424"/>
      <c r="Z3831" s="424"/>
      <c r="AA3831" s="424"/>
      <c r="AB3831" s="424"/>
      <c r="AC3831" s="425">
        <f t="shared" si="633"/>
        <v>0</v>
      </c>
      <c r="AD3831" s="425">
        <f t="shared" si="634"/>
        <v>0</v>
      </c>
    </row>
    <row r="3832" spans="1:30" s="361" customFormat="1" x14ac:dyDescent="0.4">
      <c r="A3832" s="402"/>
      <c r="B3832" s="392"/>
      <c r="C3832" s="364" t="e">
        <f>VLOOKUP(B3832,'112年全品項生產鍋數'!A:H,2,0)</f>
        <v>#N/A</v>
      </c>
      <c r="D3832" s="404"/>
      <c r="E3832" s="48" t="e">
        <f>VLOOKUP(B3832,'112年全品項生產鍋數'!A:H,3,0)</f>
        <v>#N/A</v>
      </c>
      <c r="F3832" s="142" t="e">
        <f>VLOOKUP(B3832,'112年全品項生產鍋數'!A:H,7,0)</f>
        <v>#N/A</v>
      </c>
      <c r="G3832" s="143" t="e">
        <f t="shared" si="635"/>
        <v>#N/A</v>
      </c>
      <c r="H3832" s="156"/>
      <c r="I3832" s="371" t="e">
        <f t="shared" si="636"/>
        <v>#N/A</v>
      </c>
      <c r="J3832" s="100" t="e">
        <f t="shared" si="637"/>
        <v>#N/A</v>
      </c>
      <c r="K3832" s="51" t="e">
        <f>VLOOKUP(B:B,'生產達成率(目標)'!A:C,3,0)</f>
        <v>#N/A</v>
      </c>
      <c r="L3832" s="20" t="e">
        <f t="shared" si="638"/>
        <v>#N/A</v>
      </c>
      <c r="M3832" s="137"/>
      <c r="N3832" s="374"/>
      <c r="O3832" s="374">
        <f t="shared" si="639"/>
        <v>0</v>
      </c>
      <c r="P3832" s="156"/>
      <c r="Q3832" s="98" t="e">
        <f t="shared" si="640"/>
        <v>#DIV/0!</v>
      </c>
      <c r="R3832" s="371"/>
      <c r="S3832" s="372"/>
      <c r="T3832" s="364"/>
      <c r="U3832" s="264"/>
      <c r="V3832" s="264"/>
      <c r="W3832" s="424"/>
      <c r="X3832" s="264" t="s">
        <v>1867</v>
      </c>
      <c r="Y3832" s="424"/>
      <c r="Z3832" s="424"/>
      <c r="AA3832" s="424"/>
      <c r="AB3832" s="424"/>
      <c r="AC3832" s="425">
        <f t="shared" si="633"/>
        <v>0</v>
      </c>
      <c r="AD3832" s="425">
        <f t="shared" si="634"/>
        <v>0</v>
      </c>
    </row>
    <row r="3833" spans="1:30" s="361" customFormat="1" x14ac:dyDescent="0.4">
      <c r="A3833" s="402"/>
      <c r="B3833" s="392"/>
      <c r="C3833" s="364" t="e">
        <f>VLOOKUP(B3833,'112年全品項生產鍋數'!A:H,2,0)</f>
        <v>#N/A</v>
      </c>
      <c r="D3833" s="404"/>
      <c r="E3833" s="48" t="e">
        <f>VLOOKUP(B3833,'112年全品項生產鍋數'!A:H,3,0)</f>
        <v>#N/A</v>
      </c>
      <c r="F3833" s="142" t="e">
        <f>VLOOKUP(B3833,'112年全品項生產鍋數'!A:H,7,0)</f>
        <v>#N/A</v>
      </c>
      <c r="G3833" s="143" t="e">
        <f t="shared" si="635"/>
        <v>#N/A</v>
      </c>
      <c r="H3833" s="156"/>
      <c r="I3833" s="371" t="e">
        <f t="shared" si="636"/>
        <v>#N/A</v>
      </c>
      <c r="J3833" s="100" t="e">
        <f t="shared" si="637"/>
        <v>#N/A</v>
      </c>
      <c r="K3833" s="51" t="e">
        <f>VLOOKUP(B:B,'生產達成率(目標)'!A:C,3,0)</f>
        <v>#N/A</v>
      </c>
      <c r="L3833" s="20" t="e">
        <f t="shared" si="638"/>
        <v>#N/A</v>
      </c>
      <c r="M3833" s="137"/>
      <c r="N3833" s="374"/>
      <c r="O3833" s="374">
        <f t="shared" si="639"/>
        <v>0</v>
      </c>
      <c r="P3833" s="156"/>
      <c r="Q3833" s="98" t="e">
        <f t="shared" si="640"/>
        <v>#DIV/0!</v>
      </c>
      <c r="R3833" s="371"/>
      <c r="S3833" s="372"/>
      <c r="T3833" s="364"/>
      <c r="U3833" s="264"/>
      <c r="V3833" s="264"/>
      <c r="W3833" s="424"/>
      <c r="X3833" s="264" t="s">
        <v>1867</v>
      </c>
      <c r="Y3833" s="424"/>
      <c r="Z3833" s="424"/>
      <c r="AA3833" s="424"/>
      <c r="AB3833" s="424"/>
      <c r="AC3833" s="425">
        <f t="shared" si="633"/>
        <v>0</v>
      </c>
      <c r="AD3833" s="425">
        <f t="shared" si="634"/>
        <v>0</v>
      </c>
    </row>
    <row r="3834" spans="1:30" s="361" customFormat="1" x14ac:dyDescent="0.4">
      <c r="A3834" s="402"/>
      <c r="B3834" s="392"/>
      <c r="C3834" s="364" t="e">
        <f>VLOOKUP(B3834,'112年全品項生產鍋數'!A:H,2,0)</f>
        <v>#N/A</v>
      </c>
      <c r="D3834" s="404"/>
      <c r="E3834" s="48" t="e">
        <f>VLOOKUP(B3834,'112年全品項生產鍋數'!A:H,3,0)</f>
        <v>#N/A</v>
      </c>
      <c r="F3834" s="142" t="e">
        <f>VLOOKUP(B3834,'112年全品項生產鍋數'!A:H,7,0)</f>
        <v>#N/A</v>
      </c>
      <c r="G3834" s="143" t="e">
        <f t="shared" si="635"/>
        <v>#N/A</v>
      </c>
      <c r="H3834" s="156"/>
      <c r="I3834" s="371" t="e">
        <f t="shared" si="636"/>
        <v>#N/A</v>
      </c>
      <c r="J3834" s="100" t="e">
        <f t="shared" si="637"/>
        <v>#N/A</v>
      </c>
      <c r="K3834" s="51" t="e">
        <f>VLOOKUP(B:B,'生產達成率(目標)'!A:C,3,0)</f>
        <v>#N/A</v>
      </c>
      <c r="L3834" s="20" t="e">
        <f t="shared" si="638"/>
        <v>#N/A</v>
      </c>
      <c r="M3834" s="137"/>
      <c r="N3834" s="374"/>
      <c r="O3834" s="374">
        <f t="shared" si="639"/>
        <v>0</v>
      </c>
      <c r="P3834" s="156"/>
      <c r="Q3834" s="98" t="e">
        <f t="shared" si="640"/>
        <v>#DIV/0!</v>
      </c>
      <c r="R3834" s="371"/>
      <c r="S3834" s="372"/>
      <c r="T3834" s="364"/>
      <c r="U3834" s="264"/>
      <c r="V3834" s="264"/>
      <c r="W3834" s="424"/>
      <c r="X3834" s="264" t="s">
        <v>1867</v>
      </c>
      <c r="Y3834" s="424"/>
      <c r="Z3834" s="424"/>
      <c r="AA3834" s="424"/>
      <c r="AB3834" s="424"/>
      <c r="AC3834" s="425">
        <f t="shared" si="633"/>
        <v>0</v>
      </c>
      <c r="AD3834" s="425">
        <f t="shared" si="634"/>
        <v>0</v>
      </c>
    </row>
    <row r="3835" spans="1:30" s="361" customFormat="1" x14ac:dyDescent="0.4">
      <c r="A3835" s="402"/>
      <c r="B3835" s="392"/>
      <c r="C3835" s="364" t="e">
        <f>VLOOKUP(B3835,'112年全品項生產鍋數'!A:H,2,0)</f>
        <v>#N/A</v>
      </c>
      <c r="D3835" s="404"/>
      <c r="E3835" s="48" t="e">
        <f>VLOOKUP(B3835,'112年全品項生產鍋數'!A:H,3,0)</f>
        <v>#N/A</v>
      </c>
      <c r="F3835" s="142" t="e">
        <f>VLOOKUP(B3835,'112年全品項生產鍋數'!A:H,7,0)</f>
        <v>#N/A</v>
      </c>
      <c r="G3835" s="143" t="e">
        <f t="shared" si="635"/>
        <v>#N/A</v>
      </c>
      <c r="H3835" s="156"/>
      <c r="I3835" s="371" t="e">
        <f t="shared" si="636"/>
        <v>#N/A</v>
      </c>
      <c r="J3835" s="100" t="e">
        <f t="shared" si="637"/>
        <v>#N/A</v>
      </c>
      <c r="K3835" s="51" t="e">
        <f>VLOOKUP(B:B,'生產達成率(目標)'!A:C,3,0)</f>
        <v>#N/A</v>
      </c>
      <c r="L3835" s="20" t="e">
        <f t="shared" si="638"/>
        <v>#N/A</v>
      </c>
      <c r="M3835" s="137"/>
      <c r="N3835" s="374"/>
      <c r="O3835" s="374">
        <f t="shared" si="639"/>
        <v>0</v>
      </c>
      <c r="P3835" s="156"/>
      <c r="Q3835" s="98" t="e">
        <f t="shared" si="640"/>
        <v>#DIV/0!</v>
      </c>
      <c r="R3835" s="371"/>
      <c r="S3835" s="372"/>
      <c r="T3835" s="364"/>
      <c r="U3835" s="264"/>
      <c r="V3835" s="264"/>
      <c r="W3835" s="424"/>
      <c r="X3835" s="264" t="s">
        <v>1867</v>
      </c>
      <c r="Y3835" s="424"/>
      <c r="Z3835" s="424"/>
      <c r="AA3835" s="424"/>
      <c r="AB3835" s="424"/>
      <c r="AC3835" s="425">
        <f t="shared" si="633"/>
        <v>0</v>
      </c>
      <c r="AD3835" s="425">
        <f t="shared" si="634"/>
        <v>0</v>
      </c>
    </row>
    <row r="3836" spans="1:30" s="361" customFormat="1" x14ac:dyDescent="0.4">
      <c r="A3836" s="402"/>
      <c r="B3836" s="392"/>
      <c r="C3836" s="364" t="e">
        <f>VLOOKUP(B3836,'112年全品項生產鍋數'!A:H,2,0)</f>
        <v>#N/A</v>
      </c>
      <c r="D3836" s="404"/>
      <c r="E3836" s="48" t="e">
        <f>VLOOKUP(B3836,'112年全品項生產鍋數'!A:H,3,0)</f>
        <v>#N/A</v>
      </c>
      <c r="F3836" s="142" t="e">
        <f>VLOOKUP(B3836,'112年全品項生產鍋數'!A:H,7,0)</f>
        <v>#N/A</v>
      </c>
      <c r="G3836" s="143" t="e">
        <f t="shared" si="635"/>
        <v>#N/A</v>
      </c>
      <c r="H3836" s="156"/>
      <c r="I3836" s="371" t="e">
        <f t="shared" si="636"/>
        <v>#N/A</v>
      </c>
      <c r="J3836" s="100" t="e">
        <f t="shared" si="637"/>
        <v>#N/A</v>
      </c>
      <c r="K3836" s="51" t="e">
        <f>VLOOKUP(B:B,'生產達成率(目標)'!A:C,3,0)</f>
        <v>#N/A</v>
      </c>
      <c r="L3836" s="20" t="e">
        <f t="shared" si="638"/>
        <v>#N/A</v>
      </c>
      <c r="M3836" s="137"/>
      <c r="N3836" s="374"/>
      <c r="O3836" s="374">
        <f t="shared" si="639"/>
        <v>0</v>
      </c>
      <c r="P3836" s="156"/>
      <c r="Q3836" s="98" t="e">
        <f t="shared" si="640"/>
        <v>#DIV/0!</v>
      </c>
      <c r="R3836" s="371"/>
      <c r="S3836" s="372"/>
      <c r="T3836" s="364"/>
      <c r="U3836" s="264"/>
      <c r="V3836" s="264"/>
      <c r="W3836" s="424"/>
      <c r="X3836" s="264" t="s">
        <v>1867</v>
      </c>
      <c r="Y3836" s="424"/>
      <c r="Z3836" s="424"/>
      <c r="AA3836" s="424"/>
      <c r="AB3836" s="424"/>
      <c r="AC3836" s="425">
        <f t="shared" si="633"/>
        <v>0</v>
      </c>
      <c r="AD3836" s="425">
        <f t="shared" si="634"/>
        <v>0</v>
      </c>
    </row>
    <row r="3837" spans="1:30" s="361" customFormat="1" x14ac:dyDescent="0.4">
      <c r="A3837" s="402"/>
      <c r="B3837" s="392"/>
      <c r="C3837" s="364" t="e">
        <f>VLOOKUP(B3837,'112年全品項生產鍋數'!A:H,2,0)</f>
        <v>#N/A</v>
      </c>
      <c r="D3837" s="404"/>
      <c r="E3837" s="48" t="e">
        <f>VLOOKUP(B3837,'112年全品項生產鍋數'!A:H,3,0)</f>
        <v>#N/A</v>
      </c>
      <c r="F3837" s="142" t="e">
        <f>VLOOKUP(B3837,'112年全品項生產鍋數'!A:H,7,0)</f>
        <v>#N/A</v>
      </c>
      <c r="G3837" s="143" t="e">
        <f t="shared" si="635"/>
        <v>#N/A</v>
      </c>
      <c r="H3837" s="156"/>
      <c r="I3837" s="371" t="e">
        <f t="shared" si="636"/>
        <v>#N/A</v>
      </c>
      <c r="J3837" s="100" t="e">
        <f t="shared" si="637"/>
        <v>#N/A</v>
      </c>
      <c r="K3837" s="51" t="e">
        <f>VLOOKUP(B:B,'生產達成率(目標)'!A:C,3,0)</f>
        <v>#N/A</v>
      </c>
      <c r="L3837" s="20" t="e">
        <f t="shared" si="638"/>
        <v>#N/A</v>
      </c>
      <c r="M3837" s="137"/>
      <c r="N3837" s="374"/>
      <c r="O3837" s="374">
        <f t="shared" si="639"/>
        <v>0</v>
      </c>
      <c r="P3837" s="156"/>
      <c r="Q3837" s="98" t="e">
        <f t="shared" si="640"/>
        <v>#DIV/0!</v>
      </c>
      <c r="R3837" s="371"/>
      <c r="S3837" s="372"/>
      <c r="T3837" s="364"/>
      <c r="U3837" s="264"/>
      <c r="V3837" s="264"/>
      <c r="W3837" s="424"/>
      <c r="X3837" s="264" t="s">
        <v>1867</v>
      </c>
      <c r="Y3837" s="424"/>
      <c r="Z3837" s="424"/>
      <c r="AA3837" s="424"/>
      <c r="AB3837" s="424"/>
      <c r="AC3837" s="425">
        <f t="shared" si="633"/>
        <v>0</v>
      </c>
      <c r="AD3837" s="425">
        <f t="shared" si="634"/>
        <v>0</v>
      </c>
    </row>
    <row r="3838" spans="1:30" s="361" customFormat="1" x14ac:dyDescent="0.4">
      <c r="A3838" s="402"/>
      <c r="B3838" s="392"/>
      <c r="C3838" s="364" t="e">
        <f>VLOOKUP(B3838,'112年全品項生產鍋數'!A:H,2,0)</f>
        <v>#N/A</v>
      </c>
      <c r="D3838" s="404"/>
      <c r="E3838" s="48" t="e">
        <f>VLOOKUP(B3838,'112年全品項生產鍋數'!A:H,3,0)</f>
        <v>#N/A</v>
      </c>
      <c r="F3838" s="142" t="e">
        <f>VLOOKUP(B3838,'112年全品項生產鍋數'!A:H,7,0)</f>
        <v>#N/A</v>
      </c>
      <c r="G3838" s="143" t="e">
        <f t="shared" si="635"/>
        <v>#N/A</v>
      </c>
      <c r="H3838" s="156"/>
      <c r="I3838" s="371" t="e">
        <f t="shared" si="636"/>
        <v>#N/A</v>
      </c>
      <c r="J3838" s="100" t="e">
        <f t="shared" si="637"/>
        <v>#N/A</v>
      </c>
      <c r="K3838" s="51" t="e">
        <f>VLOOKUP(B:B,'生產達成率(目標)'!A:C,3,0)</f>
        <v>#N/A</v>
      </c>
      <c r="L3838" s="20" t="e">
        <f t="shared" si="638"/>
        <v>#N/A</v>
      </c>
      <c r="M3838" s="137"/>
      <c r="N3838" s="374"/>
      <c r="O3838" s="374">
        <f t="shared" si="639"/>
        <v>0</v>
      </c>
      <c r="P3838" s="156"/>
      <c r="Q3838" s="98" t="e">
        <f t="shared" si="640"/>
        <v>#DIV/0!</v>
      </c>
      <c r="R3838" s="371"/>
      <c r="S3838" s="372"/>
      <c r="T3838" s="364"/>
      <c r="U3838" s="264"/>
      <c r="V3838" s="264"/>
      <c r="W3838" s="424"/>
      <c r="X3838" s="264" t="s">
        <v>1867</v>
      </c>
      <c r="Y3838" s="424"/>
      <c r="Z3838" s="424"/>
      <c r="AA3838" s="424"/>
      <c r="AB3838" s="424"/>
      <c r="AC3838" s="425">
        <f t="shared" si="633"/>
        <v>0</v>
      </c>
      <c r="AD3838" s="425">
        <f t="shared" si="634"/>
        <v>0</v>
      </c>
    </row>
    <row r="3839" spans="1:30" s="361" customFormat="1" x14ac:dyDescent="0.4">
      <c r="A3839" s="402"/>
      <c r="B3839" s="392"/>
      <c r="C3839" s="364" t="e">
        <f>VLOOKUP(B3839,'112年全品項生產鍋數'!A:H,2,0)</f>
        <v>#N/A</v>
      </c>
      <c r="D3839" s="404"/>
      <c r="E3839" s="48" t="e">
        <f>VLOOKUP(B3839,'112年全品項生產鍋數'!A:H,3,0)</f>
        <v>#N/A</v>
      </c>
      <c r="F3839" s="142" t="e">
        <f>VLOOKUP(B3839,'112年全品項生產鍋數'!A:H,7,0)</f>
        <v>#N/A</v>
      </c>
      <c r="G3839" s="143" t="e">
        <f t="shared" si="635"/>
        <v>#N/A</v>
      </c>
      <c r="H3839" s="156"/>
      <c r="I3839" s="371" t="e">
        <f t="shared" si="636"/>
        <v>#N/A</v>
      </c>
      <c r="J3839" s="100" t="e">
        <f t="shared" si="637"/>
        <v>#N/A</v>
      </c>
      <c r="K3839" s="51" t="e">
        <f>VLOOKUP(B:B,'生產達成率(目標)'!A:C,3,0)</f>
        <v>#N/A</v>
      </c>
      <c r="L3839" s="20" t="e">
        <f t="shared" si="638"/>
        <v>#N/A</v>
      </c>
      <c r="M3839" s="137"/>
      <c r="N3839" s="374"/>
      <c r="O3839" s="374">
        <f t="shared" si="639"/>
        <v>0</v>
      </c>
      <c r="P3839" s="156"/>
      <c r="Q3839" s="98" t="e">
        <f t="shared" si="640"/>
        <v>#DIV/0!</v>
      </c>
      <c r="R3839" s="371"/>
      <c r="S3839" s="372"/>
      <c r="T3839" s="364"/>
      <c r="U3839" s="264"/>
      <c r="V3839" s="264"/>
      <c r="W3839" s="424"/>
      <c r="X3839" s="264" t="s">
        <v>1867</v>
      </c>
      <c r="Y3839" s="424"/>
      <c r="Z3839" s="424"/>
      <c r="AA3839" s="424"/>
      <c r="AB3839" s="424"/>
      <c r="AC3839" s="425">
        <f t="shared" si="633"/>
        <v>0</v>
      </c>
      <c r="AD3839" s="425">
        <f t="shared" si="634"/>
        <v>0</v>
      </c>
    </row>
    <row r="3840" spans="1:30" s="361" customFormat="1" x14ac:dyDescent="0.4">
      <c r="A3840" s="402"/>
      <c r="B3840" s="392"/>
      <c r="C3840" s="364" t="e">
        <f>VLOOKUP(B3840,'112年全品項生產鍋數'!A:H,2,0)</f>
        <v>#N/A</v>
      </c>
      <c r="D3840" s="404"/>
      <c r="E3840" s="48" t="e">
        <f>VLOOKUP(B3840,'112年全品項生產鍋數'!A:H,3,0)</f>
        <v>#N/A</v>
      </c>
      <c r="F3840" s="142" t="e">
        <f>VLOOKUP(B3840,'112年全品項生產鍋數'!A:H,7,0)</f>
        <v>#N/A</v>
      </c>
      <c r="G3840" s="143" t="e">
        <f t="shared" si="635"/>
        <v>#N/A</v>
      </c>
      <c r="H3840" s="156"/>
      <c r="I3840" s="371" t="e">
        <f t="shared" si="636"/>
        <v>#N/A</v>
      </c>
      <c r="J3840" s="100" t="e">
        <f t="shared" si="637"/>
        <v>#N/A</v>
      </c>
      <c r="K3840" s="51" t="e">
        <f>VLOOKUP(B:B,'生產達成率(目標)'!A:C,3,0)</f>
        <v>#N/A</v>
      </c>
      <c r="L3840" s="20" t="e">
        <f t="shared" si="638"/>
        <v>#N/A</v>
      </c>
      <c r="M3840" s="137"/>
      <c r="N3840" s="374"/>
      <c r="O3840" s="374">
        <f t="shared" si="639"/>
        <v>0</v>
      </c>
      <c r="P3840" s="156"/>
      <c r="Q3840" s="98" t="e">
        <f t="shared" si="640"/>
        <v>#DIV/0!</v>
      </c>
      <c r="R3840" s="371"/>
      <c r="S3840" s="372"/>
      <c r="T3840" s="364"/>
      <c r="U3840" s="264"/>
      <c r="V3840" s="264"/>
      <c r="W3840" s="424"/>
      <c r="X3840" s="264" t="s">
        <v>1867</v>
      </c>
      <c r="Y3840" s="424"/>
      <c r="Z3840" s="424"/>
      <c r="AA3840" s="424"/>
      <c r="AB3840" s="424"/>
      <c r="AC3840" s="425">
        <f t="shared" si="633"/>
        <v>0</v>
      </c>
      <c r="AD3840" s="425">
        <f t="shared" si="634"/>
        <v>0</v>
      </c>
    </row>
    <row r="3841" spans="1:30" s="361" customFormat="1" x14ac:dyDescent="0.4">
      <c r="A3841" s="402"/>
      <c r="B3841" s="392"/>
      <c r="C3841" s="364" t="e">
        <f>VLOOKUP(B3841,'112年全品項生產鍋數'!A:H,2,0)</f>
        <v>#N/A</v>
      </c>
      <c r="D3841" s="404"/>
      <c r="E3841" s="48" t="e">
        <f>VLOOKUP(B3841,'112年全品項生產鍋數'!A:H,3,0)</f>
        <v>#N/A</v>
      </c>
      <c r="F3841" s="142" t="e">
        <f>VLOOKUP(B3841,'112年全品項生產鍋數'!A:H,7,0)</f>
        <v>#N/A</v>
      </c>
      <c r="G3841" s="143" t="e">
        <f t="shared" si="635"/>
        <v>#N/A</v>
      </c>
      <c r="H3841" s="156"/>
      <c r="I3841" s="371" t="e">
        <f t="shared" si="636"/>
        <v>#N/A</v>
      </c>
      <c r="J3841" s="100" t="e">
        <f t="shared" si="637"/>
        <v>#N/A</v>
      </c>
      <c r="K3841" s="51" t="e">
        <f>VLOOKUP(B:B,'生產達成率(目標)'!A:C,3,0)</f>
        <v>#N/A</v>
      </c>
      <c r="L3841" s="20" t="e">
        <f t="shared" si="638"/>
        <v>#N/A</v>
      </c>
      <c r="M3841" s="137"/>
      <c r="N3841" s="374"/>
      <c r="O3841" s="374">
        <f t="shared" si="639"/>
        <v>0</v>
      </c>
      <c r="P3841" s="156"/>
      <c r="Q3841" s="98" t="e">
        <f t="shared" si="640"/>
        <v>#DIV/0!</v>
      </c>
      <c r="R3841" s="371"/>
      <c r="S3841" s="372"/>
      <c r="T3841" s="364"/>
      <c r="U3841" s="264"/>
      <c r="V3841" s="264"/>
      <c r="W3841" s="424"/>
      <c r="X3841" s="264" t="s">
        <v>1867</v>
      </c>
      <c r="Y3841" s="424"/>
      <c r="Z3841" s="424"/>
      <c r="AA3841" s="424"/>
      <c r="AB3841" s="424"/>
      <c r="AC3841" s="425">
        <f t="shared" si="633"/>
        <v>0</v>
      </c>
      <c r="AD3841" s="425">
        <f t="shared" si="634"/>
        <v>0</v>
      </c>
    </row>
    <row r="3842" spans="1:30" s="361" customFormat="1" x14ac:dyDescent="0.4">
      <c r="A3842" s="402"/>
      <c r="B3842" s="392"/>
      <c r="C3842" s="364" t="e">
        <f>VLOOKUP(B3842,'112年全品項生產鍋數'!A:H,2,0)</f>
        <v>#N/A</v>
      </c>
      <c r="D3842" s="404"/>
      <c r="E3842" s="48" t="e">
        <f>VLOOKUP(B3842,'112年全品項生產鍋數'!A:H,3,0)</f>
        <v>#N/A</v>
      </c>
      <c r="F3842" s="142" t="e">
        <f>VLOOKUP(B3842,'112年全品項生產鍋數'!A:H,7,0)</f>
        <v>#N/A</v>
      </c>
      <c r="G3842" s="143" t="e">
        <f t="shared" si="635"/>
        <v>#N/A</v>
      </c>
      <c r="H3842" s="156"/>
      <c r="I3842" s="371" t="e">
        <f t="shared" si="636"/>
        <v>#N/A</v>
      </c>
      <c r="J3842" s="100" t="e">
        <f t="shared" si="637"/>
        <v>#N/A</v>
      </c>
      <c r="K3842" s="51" t="e">
        <f>VLOOKUP(B:B,'生產達成率(目標)'!A:C,3,0)</f>
        <v>#N/A</v>
      </c>
      <c r="L3842" s="20" t="e">
        <f t="shared" si="638"/>
        <v>#N/A</v>
      </c>
      <c r="M3842" s="137"/>
      <c r="N3842" s="374"/>
      <c r="O3842" s="374">
        <f t="shared" si="639"/>
        <v>0</v>
      </c>
      <c r="P3842" s="156"/>
      <c r="Q3842" s="98" t="e">
        <f t="shared" si="640"/>
        <v>#DIV/0!</v>
      </c>
      <c r="R3842" s="371"/>
      <c r="S3842" s="372"/>
      <c r="T3842" s="364"/>
      <c r="U3842" s="264"/>
      <c r="V3842" s="264"/>
      <c r="W3842" s="424"/>
      <c r="X3842" s="264" t="s">
        <v>1867</v>
      </c>
      <c r="Y3842" s="424"/>
      <c r="Z3842" s="424"/>
      <c r="AA3842" s="424"/>
      <c r="AB3842" s="424"/>
      <c r="AC3842" s="425">
        <f t="shared" si="633"/>
        <v>0</v>
      </c>
      <c r="AD3842" s="425">
        <f t="shared" si="634"/>
        <v>0</v>
      </c>
    </row>
    <row r="3843" spans="1:30" s="361" customFormat="1" x14ac:dyDescent="0.4">
      <c r="A3843" s="402"/>
      <c r="B3843" s="392"/>
      <c r="C3843" s="364" t="e">
        <f>VLOOKUP(B3843,'112年全品項生產鍋數'!A:H,2,0)</f>
        <v>#N/A</v>
      </c>
      <c r="D3843" s="404"/>
      <c r="E3843" s="48" t="e">
        <f>VLOOKUP(B3843,'112年全品項生產鍋數'!A:H,3,0)</f>
        <v>#N/A</v>
      </c>
      <c r="F3843" s="142" t="e">
        <f>VLOOKUP(B3843,'112年全品項生產鍋數'!A:H,7,0)</f>
        <v>#N/A</v>
      </c>
      <c r="G3843" s="143" t="e">
        <f t="shared" si="635"/>
        <v>#N/A</v>
      </c>
      <c r="H3843" s="156"/>
      <c r="I3843" s="371" t="e">
        <f t="shared" si="636"/>
        <v>#N/A</v>
      </c>
      <c r="J3843" s="100" t="e">
        <f t="shared" si="637"/>
        <v>#N/A</v>
      </c>
      <c r="K3843" s="51" t="e">
        <f>VLOOKUP(B:B,'生產達成率(目標)'!A:C,3,0)</f>
        <v>#N/A</v>
      </c>
      <c r="L3843" s="20" t="e">
        <f t="shared" si="638"/>
        <v>#N/A</v>
      </c>
      <c r="M3843" s="137"/>
      <c r="N3843" s="374"/>
      <c r="O3843" s="374">
        <f t="shared" si="639"/>
        <v>0</v>
      </c>
      <c r="P3843" s="156"/>
      <c r="Q3843" s="98" t="e">
        <f t="shared" si="640"/>
        <v>#DIV/0!</v>
      </c>
      <c r="R3843" s="371"/>
      <c r="S3843" s="372"/>
      <c r="T3843" s="364"/>
      <c r="U3843" s="264"/>
      <c r="V3843" s="264"/>
      <c r="W3843" s="424"/>
      <c r="X3843" s="264" t="s">
        <v>1867</v>
      </c>
      <c r="Y3843" s="424"/>
      <c r="Z3843" s="424"/>
      <c r="AA3843" s="424"/>
      <c r="AB3843" s="424"/>
      <c r="AC3843" s="425">
        <f t="shared" si="633"/>
        <v>0</v>
      </c>
      <c r="AD3843" s="425">
        <f t="shared" si="634"/>
        <v>0</v>
      </c>
    </row>
    <row r="3844" spans="1:30" s="361" customFormat="1" x14ac:dyDescent="0.4">
      <c r="A3844" s="402"/>
      <c r="B3844" s="392"/>
      <c r="C3844" s="364" t="e">
        <f>VLOOKUP(B3844,'112年全品項生產鍋數'!A:H,2,0)</f>
        <v>#N/A</v>
      </c>
      <c r="D3844" s="404"/>
      <c r="E3844" s="48" t="e">
        <f>VLOOKUP(B3844,'112年全品項生產鍋數'!A:H,3,0)</f>
        <v>#N/A</v>
      </c>
      <c r="F3844" s="142" t="e">
        <f>VLOOKUP(B3844,'112年全品項生產鍋數'!A:H,7,0)</f>
        <v>#N/A</v>
      </c>
      <c r="G3844" s="143" t="e">
        <f t="shared" si="635"/>
        <v>#N/A</v>
      </c>
      <c r="H3844" s="156"/>
      <c r="I3844" s="371" t="e">
        <f t="shared" si="636"/>
        <v>#N/A</v>
      </c>
      <c r="J3844" s="100" t="e">
        <f t="shared" si="637"/>
        <v>#N/A</v>
      </c>
      <c r="K3844" s="51" t="e">
        <f>VLOOKUP(B:B,'生產達成率(目標)'!A:C,3,0)</f>
        <v>#N/A</v>
      </c>
      <c r="L3844" s="20" t="e">
        <f t="shared" si="638"/>
        <v>#N/A</v>
      </c>
      <c r="M3844" s="137"/>
      <c r="N3844" s="374"/>
      <c r="O3844" s="374">
        <f t="shared" si="639"/>
        <v>0</v>
      </c>
      <c r="P3844" s="156"/>
      <c r="Q3844" s="98" t="e">
        <f t="shared" si="640"/>
        <v>#DIV/0!</v>
      </c>
      <c r="R3844" s="371"/>
      <c r="S3844" s="372"/>
      <c r="T3844" s="364"/>
      <c r="U3844" s="264"/>
      <c r="V3844" s="264"/>
      <c r="W3844" s="424"/>
      <c r="X3844" s="264" t="s">
        <v>1867</v>
      </c>
      <c r="Y3844" s="424"/>
      <c r="Z3844" s="424"/>
      <c r="AA3844" s="424"/>
      <c r="AB3844" s="424"/>
      <c r="AC3844" s="425">
        <f t="shared" si="633"/>
        <v>0</v>
      </c>
      <c r="AD3844" s="425">
        <f t="shared" si="634"/>
        <v>0</v>
      </c>
    </row>
    <row r="3845" spans="1:30" s="361" customFormat="1" x14ac:dyDescent="0.4">
      <c r="A3845" s="402"/>
      <c r="B3845" s="392"/>
      <c r="C3845" s="364" t="e">
        <f>VLOOKUP(B3845,'112年全品項生產鍋數'!A:H,2,0)</f>
        <v>#N/A</v>
      </c>
      <c r="D3845" s="404"/>
      <c r="E3845" s="48" t="e">
        <f>VLOOKUP(B3845,'112年全品項生產鍋數'!A:H,3,0)</f>
        <v>#N/A</v>
      </c>
      <c r="F3845" s="142" t="e">
        <f>VLOOKUP(B3845,'112年全品項生產鍋數'!A:H,7,0)</f>
        <v>#N/A</v>
      </c>
      <c r="G3845" s="143" t="e">
        <f t="shared" si="635"/>
        <v>#N/A</v>
      </c>
      <c r="H3845" s="156"/>
      <c r="I3845" s="371" t="e">
        <f t="shared" si="636"/>
        <v>#N/A</v>
      </c>
      <c r="J3845" s="100" t="e">
        <f t="shared" si="637"/>
        <v>#N/A</v>
      </c>
      <c r="K3845" s="51" t="e">
        <f>VLOOKUP(B:B,'生產達成率(目標)'!A:C,3,0)</f>
        <v>#N/A</v>
      </c>
      <c r="L3845" s="20" t="e">
        <f t="shared" si="638"/>
        <v>#N/A</v>
      </c>
      <c r="M3845" s="137"/>
      <c r="N3845" s="374"/>
      <c r="O3845" s="374">
        <f t="shared" si="639"/>
        <v>0</v>
      </c>
      <c r="P3845" s="156"/>
      <c r="Q3845" s="98" t="e">
        <f t="shared" si="640"/>
        <v>#DIV/0!</v>
      </c>
      <c r="R3845" s="371"/>
      <c r="S3845" s="372"/>
      <c r="T3845" s="364"/>
      <c r="U3845" s="264"/>
      <c r="V3845" s="264"/>
      <c r="W3845" s="424"/>
      <c r="X3845" s="264" t="s">
        <v>1867</v>
      </c>
      <c r="Y3845" s="424"/>
      <c r="Z3845" s="424"/>
      <c r="AA3845" s="424"/>
      <c r="AB3845" s="424"/>
      <c r="AC3845" s="425">
        <f t="shared" si="633"/>
        <v>0</v>
      </c>
      <c r="AD3845" s="425">
        <f t="shared" si="634"/>
        <v>0</v>
      </c>
    </row>
    <row r="3846" spans="1:30" s="361" customFormat="1" x14ac:dyDescent="0.4">
      <c r="A3846" s="402"/>
      <c r="B3846" s="392"/>
      <c r="C3846" s="364" t="e">
        <f>VLOOKUP(B3846,'112年全品項生產鍋數'!A:H,2,0)</f>
        <v>#N/A</v>
      </c>
      <c r="D3846" s="404"/>
      <c r="E3846" s="48" t="e">
        <f>VLOOKUP(B3846,'112年全品項生產鍋數'!A:H,3,0)</f>
        <v>#N/A</v>
      </c>
      <c r="F3846" s="142" t="e">
        <f>VLOOKUP(B3846,'112年全品項生產鍋數'!A:H,7,0)</f>
        <v>#N/A</v>
      </c>
      <c r="G3846" s="143" t="e">
        <f t="shared" si="635"/>
        <v>#N/A</v>
      </c>
      <c r="H3846" s="156"/>
      <c r="I3846" s="371" t="e">
        <f t="shared" si="636"/>
        <v>#N/A</v>
      </c>
      <c r="J3846" s="100" t="e">
        <f t="shared" si="637"/>
        <v>#N/A</v>
      </c>
      <c r="K3846" s="51" t="e">
        <f>VLOOKUP(B:B,'生產達成率(目標)'!A:C,3,0)</f>
        <v>#N/A</v>
      </c>
      <c r="L3846" s="20" t="e">
        <f t="shared" si="638"/>
        <v>#N/A</v>
      </c>
      <c r="M3846" s="137"/>
      <c r="N3846" s="374"/>
      <c r="O3846" s="374">
        <f t="shared" si="639"/>
        <v>0</v>
      </c>
      <c r="P3846" s="156"/>
      <c r="Q3846" s="98" t="e">
        <f t="shared" si="640"/>
        <v>#DIV/0!</v>
      </c>
      <c r="R3846" s="371"/>
      <c r="S3846" s="372"/>
      <c r="T3846" s="364"/>
      <c r="U3846" s="264"/>
      <c r="V3846" s="264"/>
      <c r="W3846" s="424"/>
      <c r="X3846" s="264" t="s">
        <v>1867</v>
      </c>
      <c r="Y3846" s="424"/>
      <c r="Z3846" s="424"/>
      <c r="AA3846" s="424"/>
      <c r="AB3846" s="424"/>
      <c r="AC3846" s="425">
        <f t="shared" si="633"/>
        <v>0</v>
      </c>
      <c r="AD3846" s="425">
        <f t="shared" si="634"/>
        <v>0</v>
      </c>
    </row>
    <row r="3847" spans="1:30" s="361" customFormat="1" x14ac:dyDescent="0.4">
      <c r="A3847" s="402"/>
      <c r="B3847" s="392"/>
      <c r="C3847" s="364" t="e">
        <f>VLOOKUP(B3847,'112年全品項生產鍋數'!A:H,2,0)</f>
        <v>#N/A</v>
      </c>
      <c r="D3847" s="404"/>
      <c r="E3847" s="48" t="e">
        <f>VLOOKUP(B3847,'112年全品項生產鍋數'!A:H,3,0)</f>
        <v>#N/A</v>
      </c>
      <c r="F3847" s="142" t="e">
        <f>VLOOKUP(B3847,'112年全品項生產鍋數'!A:H,7,0)</f>
        <v>#N/A</v>
      </c>
      <c r="G3847" s="143" t="e">
        <f t="shared" si="635"/>
        <v>#N/A</v>
      </c>
      <c r="H3847" s="156"/>
      <c r="I3847" s="371" t="e">
        <f t="shared" si="636"/>
        <v>#N/A</v>
      </c>
      <c r="J3847" s="100" t="e">
        <f t="shared" si="637"/>
        <v>#N/A</v>
      </c>
      <c r="K3847" s="51" t="e">
        <f>VLOOKUP(B:B,'生產達成率(目標)'!A:C,3,0)</f>
        <v>#N/A</v>
      </c>
      <c r="L3847" s="20" t="e">
        <f t="shared" si="638"/>
        <v>#N/A</v>
      </c>
      <c r="M3847" s="137"/>
      <c r="N3847" s="374"/>
      <c r="O3847" s="374">
        <f t="shared" si="639"/>
        <v>0</v>
      </c>
      <c r="P3847" s="156"/>
      <c r="Q3847" s="98" t="e">
        <f t="shared" si="640"/>
        <v>#DIV/0!</v>
      </c>
      <c r="R3847" s="371"/>
      <c r="S3847" s="372"/>
      <c r="T3847" s="364"/>
      <c r="U3847" s="264"/>
      <c r="V3847" s="264"/>
      <c r="W3847" s="424"/>
      <c r="X3847" s="264" t="s">
        <v>1867</v>
      </c>
      <c r="Y3847" s="424"/>
      <c r="Z3847" s="424"/>
      <c r="AA3847" s="424"/>
      <c r="AB3847" s="424"/>
      <c r="AC3847" s="425">
        <f t="shared" si="633"/>
        <v>0</v>
      </c>
      <c r="AD3847" s="425">
        <f t="shared" si="634"/>
        <v>0</v>
      </c>
    </row>
    <row r="3848" spans="1:30" s="361" customFormat="1" x14ac:dyDescent="0.4">
      <c r="A3848" s="402"/>
      <c r="B3848" s="392"/>
      <c r="C3848" s="364" t="e">
        <f>VLOOKUP(B3848,'112年全品項生產鍋數'!A:H,2,0)</f>
        <v>#N/A</v>
      </c>
      <c r="D3848" s="404"/>
      <c r="E3848" s="48" t="e">
        <f>VLOOKUP(B3848,'112年全品項生產鍋數'!A:H,3,0)</f>
        <v>#N/A</v>
      </c>
      <c r="F3848" s="142" t="e">
        <f>VLOOKUP(B3848,'112年全品項生產鍋數'!A:H,7,0)</f>
        <v>#N/A</v>
      </c>
      <c r="G3848" s="143" t="e">
        <f t="shared" si="635"/>
        <v>#N/A</v>
      </c>
      <c r="H3848" s="156"/>
      <c r="I3848" s="371" t="e">
        <f t="shared" si="636"/>
        <v>#N/A</v>
      </c>
      <c r="J3848" s="100" t="e">
        <f t="shared" si="637"/>
        <v>#N/A</v>
      </c>
      <c r="K3848" s="51" t="e">
        <f>VLOOKUP(B:B,'生產達成率(目標)'!A:C,3,0)</f>
        <v>#N/A</v>
      </c>
      <c r="L3848" s="20" t="e">
        <f t="shared" si="638"/>
        <v>#N/A</v>
      </c>
      <c r="M3848" s="137"/>
      <c r="N3848" s="374"/>
      <c r="O3848" s="374">
        <f t="shared" si="639"/>
        <v>0</v>
      </c>
      <c r="P3848" s="156"/>
      <c r="Q3848" s="98" t="e">
        <f t="shared" si="640"/>
        <v>#DIV/0!</v>
      </c>
      <c r="R3848" s="371"/>
      <c r="S3848" s="372"/>
      <c r="T3848" s="364"/>
      <c r="U3848" s="264"/>
      <c r="V3848" s="264"/>
      <c r="W3848" s="424"/>
      <c r="X3848" s="264" t="s">
        <v>1867</v>
      </c>
      <c r="Y3848" s="424"/>
      <c r="Z3848" s="424"/>
      <c r="AA3848" s="424"/>
      <c r="AB3848" s="424"/>
      <c r="AC3848" s="425">
        <f t="shared" si="633"/>
        <v>0</v>
      </c>
      <c r="AD3848" s="425">
        <f t="shared" si="634"/>
        <v>0</v>
      </c>
    </row>
    <row r="3849" spans="1:30" s="361" customFormat="1" x14ac:dyDescent="0.4">
      <c r="A3849" s="402"/>
      <c r="B3849" s="392"/>
      <c r="C3849" s="364" t="e">
        <f>VLOOKUP(B3849,'112年全品項生產鍋數'!A:H,2,0)</f>
        <v>#N/A</v>
      </c>
      <c r="D3849" s="404"/>
      <c r="E3849" s="48" t="e">
        <f>VLOOKUP(B3849,'112年全品項生產鍋數'!A:H,3,0)</f>
        <v>#N/A</v>
      </c>
      <c r="F3849" s="142" t="e">
        <f>VLOOKUP(B3849,'112年全品項生產鍋數'!A:H,7,0)</f>
        <v>#N/A</v>
      </c>
      <c r="G3849" s="143" t="e">
        <f t="shared" si="635"/>
        <v>#N/A</v>
      </c>
      <c r="H3849" s="156"/>
      <c r="I3849" s="371" t="e">
        <f t="shared" si="636"/>
        <v>#N/A</v>
      </c>
      <c r="J3849" s="100" t="e">
        <f t="shared" si="637"/>
        <v>#N/A</v>
      </c>
      <c r="K3849" s="51" t="e">
        <f>VLOOKUP(B:B,'生產達成率(目標)'!A:C,3,0)</f>
        <v>#N/A</v>
      </c>
      <c r="L3849" s="20" t="e">
        <f t="shared" si="638"/>
        <v>#N/A</v>
      </c>
      <c r="M3849" s="137"/>
      <c r="N3849" s="374"/>
      <c r="O3849" s="374">
        <f t="shared" si="639"/>
        <v>0</v>
      </c>
      <c r="P3849" s="156"/>
      <c r="Q3849" s="98" t="e">
        <f t="shared" si="640"/>
        <v>#DIV/0!</v>
      </c>
      <c r="R3849" s="371"/>
      <c r="S3849" s="372"/>
      <c r="T3849" s="364"/>
      <c r="U3849" s="264"/>
      <c r="V3849" s="264"/>
      <c r="W3849" s="424"/>
      <c r="X3849" s="264" t="s">
        <v>1867</v>
      </c>
      <c r="Y3849" s="424"/>
      <c r="Z3849" s="424"/>
      <c r="AA3849" s="424"/>
      <c r="AB3849" s="424"/>
      <c r="AC3849" s="425">
        <f t="shared" si="633"/>
        <v>0</v>
      </c>
      <c r="AD3849" s="425">
        <f t="shared" si="634"/>
        <v>0</v>
      </c>
    </row>
    <row r="3850" spans="1:30" s="361" customFormat="1" x14ac:dyDescent="0.4">
      <c r="A3850" s="402"/>
      <c r="B3850" s="392"/>
      <c r="C3850" s="364" t="e">
        <f>VLOOKUP(B3850,'112年全品項生產鍋數'!A:H,2,0)</f>
        <v>#N/A</v>
      </c>
      <c r="D3850" s="404"/>
      <c r="E3850" s="48" t="e">
        <f>VLOOKUP(B3850,'112年全品項生產鍋數'!A:H,3,0)</f>
        <v>#N/A</v>
      </c>
      <c r="F3850" s="142" t="e">
        <f>VLOOKUP(B3850,'112年全品項生產鍋數'!A:H,7,0)</f>
        <v>#N/A</v>
      </c>
      <c r="G3850" s="143" t="e">
        <f t="shared" si="635"/>
        <v>#N/A</v>
      </c>
      <c r="H3850" s="156"/>
      <c r="I3850" s="371" t="e">
        <f t="shared" si="636"/>
        <v>#N/A</v>
      </c>
      <c r="J3850" s="100" t="e">
        <f t="shared" si="637"/>
        <v>#N/A</v>
      </c>
      <c r="K3850" s="51" t="e">
        <f>VLOOKUP(B:B,'生產達成率(目標)'!A:C,3,0)</f>
        <v>#N/A</v>
      </c>
      <c r="L3850" s="20" t="e">
        <f t="shared" si="638"/>
        <v>#N/A</v>
      </c>
      <c r="M3850" s="137"/>
      <c r="N3850" s="374"/>
      <c r="O3850" s="374">
        <f t="shared" si="639"/>
        <v>0</v>
      </c>
      <c r="P3850" s="156"/>
      <c r="Q3850" s="98" t="e">
        <f t="shared" si="640"/>
        <v>#DIV/0!</v>
      </c>
      <c r="R3850" s="371"/>
      <c r="S3850" s="372"/>
      <c r="T3850" s="364"/>
      <c r="U3850" s="264"/>
      <c r="V3850" s="264"/>
      <c r="W3850" s="424"/>
      <c r="X3850" s="264" t="s">
        <v>1867</v>
      </c>
      <c r="Y3850" s="424"/>
      <c r="Z3850" s="424"/>
      <c r="AA3850" s="424"/>
      <c r="AB3850" s="424"/>
      <c r="AC3850" s="425">
        <f t="shared" si="633"/>
        <v>0</v>
      </c>
      <c r="AD3850" s="425">
        <f t="shared" si="634"/>
        <v>0</v>
      </c>
    </row>
    <row r="3851" spans="1:30" s="361" customFormat="1" x14ac:dyDescent="0.4">
      <c r="A3851" s="402"/>
      <c r="B3851" s="392"/>
      <c r="C3851" s="364" t="e">
        <f>VLOOKUP(B3851,'112年全品項生產鍋數'!A:H,2,0)</f>
        <v>#N/A</v>
      </c>
      <c r="D3851" s="404"/>
      <c r="E3851" s="48" t="e">
        <f>VLOOKUP(B3851,'112年全品項生產鍋數'!A:H,3,0)</f>
        <v>#N/A</v>
      </c>
      <c r="F3851" s="142" t="e">
        <f>VLOOKUP(B3851,'112年全品項生產鍋數'!A:H,7,0)</f>
        <v>#N/A</v>
      </c>
      <c r="G3851" s="143" t="e">
        <f t="shared" si="635"/>
        <v>#N/A</v>
      </c>
      <c r="H3851" s="156"/>
      <c r="I3851" s="371" t="e">
        <f t="shared" si="636"/>
        <v>#N/A</v>
      </c>
      <c r="J3851" s="100" t="e">
        <f t="shared" si="637"/>
        <v>#N/A</v>
      </c>
      <c r="K3851" s="51" t="e">
        <f>VLOOKUP(B:B,'生產達成率(目標)'!A:C,3,0)</f>
        <v>#N/A</v>
      </c>
      <c r="L3851" s="20" t="e">
        <f t="shared" si="638"/>
        <v>#N/A</v>
      </c>
      <c r="M3851" s="137"/>
      <c r="N3851" s="374"/>
      <c r="O3851" s="374">
        <f t="shared" si="639"/>
        <v>0</v>
      </c>
      <c r="P3851" s="156"/>
      <c r="Q3851" s="98" t="e">
        <f t="shared" si="640"/>
        <v>#DIV/0!</v>
      </c>
      <c r="R3851" s="371"/>
      <c r="S3851" s="372"/>
      <c r="T3851" s="364"/>
      <c r="U3851" s="264"/>
      <c r="V3851" s="264"/>
      <c r="W3851" s="424"/>
      <c r="X3851" s="264" t="s">
        <v>1867</v>
      </c>
      <c r="Y3851" s="424"/>
      <c r="Z3851" s="424"/>
      <c r="AA3851" s="424"/>
      <c r="AB3851" s="424"/>
      <c r="AC3851" s="425">
        <f t="shared" si="633"/>
        <v>0</v>
      </c>
      <c r="AD3851" s="425">
        <f t="shared" si="634"/>
        <v>0</v>
      </c>
    </row>
    <row r="3852" spans="1:30" s="361" customFormat="1" x14ac:dyDescent="0.4">
      <c r="A3852" s="402"/>
      <c r="B3852" s="392"/>
      <c r="C3852" s="364" t="e">
        <f>VLOOKUP(B3852,'112年全品項生產鍋數'!A:H,2,0)</f>
        <v>#N/A</v>
      </c>
      <c r="D3852" s="404"/>
      <c r="E3852" s="48" t="e">
        <f>VLOOKUP(B3852,'112年全品項生產鍋數'!A:H,3,0)</f>
        <v>#N/A</v>
      </c>
      <c r="F3852" s="142" t="e">
        <f>VLOOKUP(B3852,'112年全品項生產鍋數'!A:H,7,0)</f>
        <v>#N/A</v>
      </c>
      <c r="G3852" s="143" t="e">
        <f t="shared" si="635"/>
        <v>#N/A</v>
      </c>
      <c r="H3852" s="156"/>
      <c r="I3852" s="371" t="e">
        <f t="shared" si="636"/>
        <v>#N/A</v>
      </c>
      <c r="J3852" s="100" t="e">
        <f t="shared" si="637"/>
        <v>#N/A</v>
      </c>
      <c r="K3852" s="51" t="e">
        <f>VLOOKUP(B:B,'生產達成率(目標)'!A:C,3,0)</f>
        <v>#N/A</v>
      </c>
      <c r="L3852" s="20" t="e">
        <f t="shared" si="638"/>
        <v>#N/A</v>
      </c>
      <c r="M3852" s="137"/>
      <c r="N3852" s="374"/>
      <c r="O3852" s="374">
        <f t="shared" si="639"/>
        <v>0</v>
      </c>
      <c r="P3852" s="156"/>
      <c r="Q3852" s="98" t="e">
        <f t="shared" si="640"/>
        <v>#DIV/0!</v>
      </c>
      <c r="R3852" s="371"/>
      <c r="S3852" s="372"/>
      <c r="T3852" s="364"/>
      <c r="U3852" s="264"/>
      <c r="V3852" s="264"/>
      <c r="W3852" s="424"/>
      <c r="X3852" s="264" t="s">
        <v>1867</v>
      </c>
      <c r="Y3852" s="424"/>
      <c r="Z3852" s="424"/>
      <c r="AA3852" s="424"/>
      <c r="AB3852" s="424"/>
      <c r="AC3852" s="425">
        <f t="shared" si="633"/>
        <v>0</v>
      </c>
      <c r="AD3852" s="425">
        <f t="shared" si="634"/>
        <v>0</v>
      </c>
    </row>
    <row r="3853" spans="1:30" s="361" customFormat="1" x14ac:dyDescent="0.4">
      <c r="A3853" s="402"/>
      <c r="B3853" s="392"/>
      <c r="C3853" s="364" t="e">
        <f>VLOOKUP(B3853,'112年全品項生產鍋數'!A:H,2,0)</f>
        <v>#N/A</v>
      </c>
      <c r="D3853" s="404"/>
      <c r="E3853" s="48" t="e">
        <f>VLOOKUP(B3853,'112年全品項生產鍋數'!A:H,3,0)</f>
        <v>#N/A</v>
      </c>
      <c r="F3853" s="142" t="e">
        <f>VLOOKUP(B3853,'112年全品項生產鍋數'!A:H,7,0)</f>
        <v>#N/A</v>
      </c>
      <c r="G3853" s="143" t="e">
        <f t="shared" si="635"/>
        <v>#N/A</v>
      </c>
      <c r="H3853" s="156"/>
      <c r="I3853" s="371" t="e">
        <f t="shared" si="636"/>
        <v>#N/A</v>
      </c>
      <c r="J3853" s="100" t="e">
        <f t="shared" si="637"/>
        <v>#N/A</v>
      </c>
      <c r="K3853" s="51" t="e">
        <f>VLOOKUP(B:B,'生產達成率(目標)'!A:C,3,0)</f>
        <v>#N/A</v>
      </c>
      <c r="L3853" s="20" t="e">
        <f t="shared" si="638"/>
        <v>#N/A</v>
      </c>
      <c r="M3853" s="137"/>
      <c r="N3853" s="374"/>
      <c r="O3853" s="374">
        <f t="shared" si="639"/>
        <v>0</v>
      </c>
      <c r="P3853" s="156"/>
      <c r="Q3853" s="98" t="e">
        <f t="shared" si="640"/>
        <v>#DIV/0!</v>
      </c>
      <c r="R3853" s="371"/>
      <c r="S3853" s="372"/>
      <c r="T3853" s="364"/>
      <c r="U3853" s="264"/>
      <c r="V3853" s="264"/>
      <c r="W3853" s="424"/>
      <c r="X3853" s="264" t="s">
        <v>1867</v>
      </c>
      <c r="Y3853" s="424"/>
      <c r="Z3853" s="424"/>
      <c r="AA3853" s="424"/>
      <c r="AB3853" s="424"/>
      <c r="AC3853" s="425">
        <f t="shared" si="633"/>
        <v>0</v>
      </c>
      <c r="AD3853" s="425">
        <f t="shared" si="634"/>
        <v>0</v>
      </c>
    </row>
    <row r="3854" spans="1:30" s="361" customFormat="1" x14ac:dyDescent="0.4">
      <c r="A3854" s="402"/>
      <c r="B3854" s="392"/>
      <c r="C3854" s="364" t="e">
        <f>VLOOKUP(B3854,'112年全品項生產鍋數'!A:H,2,0)</f>
        <v>#N/A</v>
      </c>
      <c r="D3854" s="404"/>
      <c r="E3854" s="48" t="e">
        <f>VLOOKUP(B3854,'112年全品項生產鍋數'!A:H,3,0)</f>
        <v>#N/A</v>
      </c>
      <c r="F3854" s="142" t="e">
        <f>VLOOKUP(B3854,'112年全品項生產鍋數'!A:H,7,0)</f>
        <v>#N/A</v>
      </c>
      <c r="G3854" s="143" t="e">
        <f t="shared" si="635"/>
        <v>#N/A</v>
      </c>
      <c r="H3854" s="156"/>
      <c r="I3854" s="371" t="e">
        <f t="shared" si="636"/>
        <v>#N/A</v>
      </c>
      <c r="J3854" s="100" t="e">
        <f t="shared" si="637"/>
        <v>#N/A</v>
      </c>
      <c r="K3854" s="51" t="e">
        <f>VLOOKUP(B:B,'生產達成率(目標)'!A:C,3,0)</f>
        <v>#N/A</v>
      </c>
      <c r="L3854" s="20" t="e">
        <f t="shared" si="638"/>
        <v>#N/A</v>
      </c>
      <c r="M3854" s="137"/>
      <c r="N3854" s="374"/>
      <c r="O3854" s="374">
        <f t="shared" si="639"/>
        <v>0</v>
      </c>
      <c r="P3854" s="156"/>
      <c r="Q3854" s="98" t="e">
        <f t="shared" si="640"/>
        <v>#DIV/0!</v>
      </c>
      <c r="R3854" s="371"/>
      <c r="S3854" s="372"/>
      <c r="T3854" s="364"/>
      <c r="U3854" s="264"/>
      <c r="V3854" s="264"/>
      <c r="W3854" s="424"/>
      <c r="X3854" s="264" t="s">
        <v>1867</v>
      </c>
      <c r="Y3854" s="424"/>
      <c r="Z3854" s="424"/>
      <c r="AA3854" s="424"/>
      <c r="AB3854" s="424"/>
      <c r="AC3854" s="425">
        <f t="shared" si="633"/>
        <v>0</v>
      </c>
      <c r="AD3854" s="425">
        <f t="shared" si="634"/>
        <v>0</v>
      </c>
    </row>
    <row r="3855" spans="1:30" s="361" customFormat="1" x14ac:dyDescent="0.4">
      <c r="A3855" s="402"/>
      <c r="B3855" s="392"/>
      <c r="C3855" s="364" t="e">
        <f>VLOOKUP(B3855,'112年全品項生產鍋數'!A:H,2,0)</f>
        <v>#N/A</v>
      </c>
      <c r="D3855" s="404"/>
      <c r="E3855" s="48" t="e">
        <f>VLOOKUP(B3855,'112年全品項生產鍋數'!A:H,3,0)</f>
        <v>#N/A</v>
      </c>
      <c r="F3855" s="142" t="e">
        <f>VLOOKUP(B3855,'112年全品項生產鍋數'!A:H,7,0)</f>
        <v>#N/A</v>
      </c>
      <c r="G3855" s="143" t="e">
        <f t="shared" si="635"/>
        <v>#N/A</v>
      </c>
      <c r="H3855" s="156"/>
      <c r="I3855" s="371" t="e">
        <f t="shared" si="636"/>
        <v>#N/A</v>
      </c>
      <c r="J3855" s="100" t="e">
        <f t="shared" si="637"/>
        <v>#N/A</v>
      </c>
      <c r="K3855" s="51" t="e">
        <f>VLOOKUP(B:B,'生產達成率(目標)'!A:C,3,0)</f>
        <v>#N/A</v>
      </c>
      <c r="L3855" s="20" t="e">
        <f t="shared" si="638"/>
        <v>#N/A</v>
      </c>
      <c r="M3855" s="137"/>
      <c r="N3855" s="374"/>
      <c r="O3855" s="374">
        <f t="shared" si="639"/>
        <v>0</v>
      </c>
      <c r="P3855" s="156"/>
      <c r="Q3855" s="98" t="e">
        <f t="shared" si="640"/>
        <v>#DIV/0!</v>
      </c>
      <c r="R3855" s="371"/>
      <c r="S3855" s="372"/>
      <c r="T3855" s="364"/>
      <c r="U3855" s="264"/>
      <c r="V3855" s="264"/>
      <c r="W3855" s="424"/>
      <c r="X3855" s="264" t="s">
        <v>1867</v>
      </c>
      <c r="Y3855" s="424"/>
      <c r="Z3855" s="424"/>
      <c r="AA3855" s="424"/>
      <c r="AB3855" s="424"/>
      <c r="AC3855" s="425">
        <f t="shared" si="633"/>
        <v>0</v>
      </c>
      <c r="AD3855" s="425">
        <f t="shared" si="634"/>
        <v>0</v>
      </c>
    </row>
    <row r="3856" spans="1:30" s="361" customFormat="1" x14ac:dyDescent="0.4">
      <c r="A3856" s="402"/>
      <c r="B3856" s="392"/>
      <c r="C3856" s="364" t="e">
        <f>VLOOKUP(B3856,'112年全品項生產鍋數'!A:H,2,0)</f>
        <v>#N/A</v>
      </c>
      <c r="D3856" s="404"/>
      <c r="E3856" s="48" t="e">
        <f>VLOOKUP(B3856,'112年全品項生產鍋數'!A:H,3,0)</f>
        <v>#N/A</v>
      </c>
      <c r="F3856" s="142" t="e">
        <f>VLOOKUP(B3856,'112年全品項生產鍋數'!A:H,7,0)</f>
        <v>#N/A</v>
      </c>
      <c r="G3856" s="143" t="e">
        <f t="shared" si="635"/>
        <v>#N/A</v>
      </c>
      <c r="H3856" s="156"/>
      <c r="I3856" s="371" t="e">
        <f t="shared" si="636"/>
        <v>#N/A</v>
      </c>
      <c r="J3856" s="100" t="e">
        <f t="shared" si="637"/>
        <v>#N/A</v>
      </c>
      <c r="K3856" s="51" t="e">
        <f>VLOOKUP(B:B,'生產達成率(目標)'!A:C,3,0)</f>
        <v>#N/A</v>
      </c>
      <c r="L3856" s="20" t="e">
        <f t="shared" si="638"/>
        <v>#N/A</v>
      </c>
      <c r="M3856" s="137"/>
      <c r="N3856" s="374"/>
      <c r="O3856" s="374">
        <f t="shared" si="639"/>
        <v>0</v>
      </c>
      <c r="P3856" s="156"/>
      <c r="Q3856" s="98" t="e">
        <f t="shared" si="640"/>
        <v>#DIV/0!</v>
      </c>
      <c r="R3856" s="371"/>
      <c r="S3856" s="372"/>
      <c r="T3856" s="364"/>
      <c r="U3856" s="264"/>
      <c r="V3856" s="264"/>
      <c r="W3856" s="424"/>
      <c r="X3856" s="264" t="s">
        <v>1867</v>
      </c>
      <c r="Y3856" s="424"/>
      <c r="Z3856" s="424"/>
      <c r="AA3856" s="424"/>
      <c r="AB3856" s="424"/>
      <c r="AC3856" s="425">
        <f t="shared" si="633"/>
        <v>0</v>
      </c>
      <c r="AD3856" s="425">
        <f t="shared" si="634"/>
        <v>0</v>
      </c>
    </row>
  </sheetData>
  <autoFilter ref="A1:AD3856"/>
  <phoneticPr fontId="2" type="noConversion"/>
  <conditionalFormatting sqref="D1:D1377 M1:M1377 B1:B1377 H1:H1377 P1:P1377 M2064:M2265 D3857:D1048576 D2267:D2291 M2267:M2297 H2267:H2297 P2267:P2297 B2307:B2309 M2307:M2309 H2307:H2309 P2307:P2309 B2311:B2427 M2311:M2427 H2311:H2427 P2311:P2427 M1379:M2062 P1379:P2265 H1379:H2265 B1379:B2291 D1379:D2265 P2429:P2812 H2429:H2812 M2429:M2812 B2429:B2812 H2814:H3108 M2814:M3108 P2814:P3108 B2814:B3108 B3110:B3113 P3110:P3113 M3110:M3113 H3110:H3113 H3115:H3151 M3115:M3151 P3115:P3151 M3153:M3403 B3115:B3403 H3153:H3403 P3153:P3403 P3405:P1048576 H3405:H1048576 B3405:B1048576 M3405:M1048576">
    <cfRule type="containsBlanks" dxfId="232" priority="291">
      <formula>LEN(TRIM(B1))=0</formula>
    </cfRule>
  </conditionalFormatting>
  <conditionalFormatting sqref="H964">
    <cfRule type="containsBlanks" dxfId="231" priority="286">
      <formula>LEN(TRIM(H964))=0</formula>
    </cfRule>
  </conditionalFormatting>
  <conditionalFormatting sqref="H970:H988">
    <cfRule type="containsBlanks" dxfId="230" priority="276">
      <formula>LEN(TRIM(H970))=0</formula>
    </cfRule>
  </conditionalFormatting>
  <conditionalFormatting sqref="L2:L1377 L2267:L2297 L2307:L2309 L2311:L2427 L1379:L2265 L2429:L2812 L2814:L3108 L3110:L3113 L3115:L3151 L3153:L3403 L3405:L3856">
    <cfRule type="cellIs" dxfId="229" priority="214" operator="lessThan">
      <formula>-0.05</formula>
    </cfRule>
    <cfRule type="cellIs" dxfId="228" priority="215" operator="greaterThan">
      <formula>0.05</formula>
    </cfRule>
  </conditionalFormatting>
  <conditionalFormatting sqref="M1:M923">
    <cfRule type="cellIs" dxfId="227" priority="294" operator="lessThanOrEqual">
      <formula>0</formula>
    </cfRule>
  </conditionalFormatting>
  <conditionalFormatting sqref="M2:M818">
    <cfRule type="containsBlanks" dxfId="226" priority="293">
      <formula>LEN(TRIM(M2))=0</formula>
    </cfRule>
  </conditionalFormatting>
  <conditionalFormatting sqref="M924:M1163">
    <cfRule type="cellIs" dxfId="225" priority="292" operator="lessThanOrEqual">
      <formula>0</formula>
    </cfRule>
  </conditionalFormatting>
  <conditionalFormatting sqref="M1164:M1377 M2064:M2265 M2267:M2297 M2307:M2309 M2311:M2427 M1379:M2062 M2429:M2812 M2814:M3108 M3110:M3113 M3115:M3151 M3153:M3403 M3405:M1048576">
    <cfRule type="containsBlanks" dxfId="224" priority="251">
      <formula>LEN(TRIM(M1164))=0</formula>
    </cfRule>
    <cfRule type="cellIs" dxfId="223" priority="252" operator="lessThanOrEqual">
      <formula>0</formula>
    </cfRule>
  </conditionalFormatting>
  <conditionalFormatting sqref="N819:N881 N883:N890">
    <cfRule type="containsBlanks" dxfId="222" priority="343">
      <formula>LEN(TRIM(N819))=0</formula>
    </cfRule>
  </conditionalFormatting>
  <conditionalFormatting sqref="P819:P1163 H994:H1163">
    <cfRule type="containsBlanks" dxfId="221" priority="216">
      <formula>LEN(TRIM(H819))=0</formula>
    </cfRule>
  </conditionalFormatting>
  <conditionalFormatting sqref="Q920:Q1377 Q2267:Q2297 Q2307:Q2309 Q2311:Q2427 Q1379:Q2265 Q2429:Q2812 Q2814:Q3108 Q3110:Q3113 Q3115:Q3151 Q3153:Q3403 Q3405:Q3856">
    <cfRule type="cellIs" dxfId="220" priority="213" operator="lessThan">
      <formula>0.98</formula>
    </cfRule>
  </conditionalFormatting>
  <conditionalFormatting sqref="Q1129:Q1377 Q2267:Q2297 Q2307:Q2309 Q2311:Q2427 Q1379:Q2265 Q2429:Q2812 Q2814:Q3108 Q3110:Q3113 Q3115:Q3151 Q3153:Q3403 Q3405:Q3856">
    <cfRule type="cellIs" dxfId="219" priority="212" operator="greaterThan">
      <formula>1</formula>
    </cfRule>
  </conditionalFormatting>
  <conditionalFormatting sqref="H1164:H1193">
    <cfRule type="containsBlanks" dxfId="218" priority="211">
      <formula>LEN(TRIM(H1164))=0</formula>
    </cfRule>
  </conditionalFormatting>
  <conditionalFormatting sqref="P1164:P1193">
    <cfRule type="containsBlanks" dxfId="217" priority="210">
      <formula>LEN(TRIM(P1164))=0</formula>
    </cfRule>
  </conditionalFormatting>
  <conditionalFormatting sqref="D1378 B1378 H1378 P1378">
    <cfRule type="containsBlanks" dxfId="216" priority="209">
      <formula>LEN(TRIM(B1378))=0</formula>
    </cfRule>
  </conditionalFormatting>
  <conditionalFormatting sqref="L1378">
    <cfRule type="cellIs" dxfId="215" priority="205" operator="lessThan">
      <formula>-0.05</formula>
    </cfRule>
    <cfRule type="cellIs" dxfId="214" priority="206" operator="greaterThan">
      <formula>0.05</formula>
    </cfRule>
  </conditionalFormatting>
  <conditionalFormatting sqref="Q1378">
    <cfRule type="cellIs" dxfId="213" priority="204" operator="lessThan">
      <formula>0.98</formula>
    </cfRule>
  </conditionalFormatting>
  <conditionalFormatting sqref="Q1378">
    <cfRule type="cellIs" dxfId="212" priority="203" operator="greaterThan">
      <formula>1</formula>
    </cfRule>
  </conditionalFormatting>
  <conditionalFormatting sqref="P2266 H2266 D2266 M2266">
    <cfRule type="containsBlanks" dxfId="211" priority="127">
      <formula>LEN(TRIM(D2266))=0</formula>
    </cfRule>
  </conditionalFormatting>
  <conditionalFormatting sqref="L2266">
    <cfRule type="cellIs" dxfId="210" priority="123" operator="lessThan">
      <formula>-0.05</formula>
    </cfRule>
    <cfRule type="cellIs" dxfId="209" priority="124" operator="greaterThan">
      <formula>0.05</formula>
    </cfRule>
  </conditionalFormatting>
  <conditionalFormatting sqref="M2266">
    <cfRule type="containsBlanks" dxfId="208" priority="125">
      <formula>LEN(TRIM(M2266))=0</formula>
    </cfRule>
    <cfRule type="cellIs" dxfId="207" priority="126" operator="lessThanOrEqual">
      <formula>0</formula>
    </cfRule>
  </conditionalFormatting>
  <conditionalFormatting sqref="Q2266">
    <cfRule type="cellIs" dxfId="206" priority="122" operator="lessThan">
      <formula>0.98</formula>
    </cfRule>
  </conditionalFormatting>
  <conditionalFormatting sqref="Q2266">
    <cfRule type="cellIs" dxfId="205" priority="121" operator="greaterThan">
      <formula>1</formula>
    </cfRule>
  </conditionalFormatting>
  <conditionalFormatting sqref="B2292:B2297">
    <cfRule type="containsBlanks" dxfId="204" priority="120">
      <formula>LEN(TRIM(B2292))=0</formula>
    </cfRule>
  </conditionalFormatting>
  <conditionalFormatting sqref="M2298:M2306 H2298:H2306 P2298:P2306">
    <cfRule type="containsBlanks" dxfId="203" priority="112">
      <formula>LEN(TRIM(H2298))=0</formula>
    </cfRule>
  </conditionalFormatting>
  <conditionalFormatting sqref="L2298:L2306">
    <cfRule type="cellIs" dxfId="202" priority="108" operator="lessThan">
      <formula>-0.05</formula>
    </cfRule>
    <cfRule type="cellIs" dxfId="201" priority="109" operator="greaterThan">
      <formula>0.05</formula>
    </cfRule>
  </conditionalFormatting>
  <conditionalFormatting sqref="M2298:M2306">
    <cfRule type="containsBlanks" dxfId="200" priority="110">
      <formula>LEN(TRIM(M2298))=0</formula>
    </cfRule>
    <cfRule type="cellIs" dxfId="199" priority="111" operator="lessThanOrEqual">
      <formula>0</formula>
    </cfRule>
  </conditionalFormatting>
  <conditionalFormatting sqref="Q2298:Q2306">
    <cfRule type="cellIs" dxfId="198" priority="107" operator="lessThan">
      <formula>0.98</formula>
    </cfRule>
  </conditionalFormatting>
  <conditionalFormatting sqref="Q2298:Q2306">
    <cfRule type="cellIs" dxfId="197" priority="106" operator="greaterThan">
      <formula>1</formula>
    </cfRule>
  </conditionalFormatting>
  <conditionalFormatting sqref="B2298:B2306">
    <cfRule type="containsBlanks" dxfId="196" priority="105">
      <formula>LEN(TRIM(B2298))=0</formula>
    </cfRule>
  </conditionalFormatting>
  <conditionalFormatting sqref="B2310 M2310 H2310 P2310">
    <cfRule type="containsBlanks" dxfId="195" priority="96">
      <formula>LEN(TRIM(B2310))=0</formula>
    </cfRule>
  </conditionalFormatting>
  <conditionalFormatting sqref="L2310">
    <cfRule type="cellIs" dxfId="194" priority="92" operator="lessThan">
      <formula>-0.05</formula>
    </cfRule>
    <cfRule type="cellIs" dxfId="193" priority="93" operator="greaterThan">
      <formula>0.05</formula>
    </cfRule>
  </conditionalFormatting>
  <conditionalFormatting sqref="M2310">
    <cfRule type="containsBlanks" dxfId="192" priority="94">
      <formula>LEN(TRIM(M2310))=0</formula>
    </cfRule>
    <cfRule type="cellIs" dxfId="191" priority="95" operator="lessThanOrEqual">
      <formula>0</formula>
    </cfRule>
  </conditionalFormatting>
  <conditionalFormatting sqref="Q2310">
    <cfRule type="cellIs" dxfId="190" priority="91" operator="lessThan">
      <formula>0.98</formula>
    </cfRule>
  </conditionalFormatting>
  <conditionalFormatting sqref="Q2310">
    <cfRule type="cellIs" dxfId="189" priority="90" operator="greaterThan">
      <formula>1</formula>
    </cfRule>
  </conditionalFormatting>
  <conditionalFormatting sqref="B2428 M2428 H2428 P2428">
    <cfRule type="containsBlanks" dxfId="188" priority="89">
      <formula>LEN(TRIM(B2428))=0</formula>
    </cfRule>
  </conditionalFormatting>
  <conditionalFormatting sqref="L2428">
    <cfRule type="cellIs" dxfId="187" priority="85" operator="lessThan">
      <formula>-0.05</formula>
    </cfRule>
    <cfRule type="cellIs" dxfId="186" priority="86" operator="greaterThan">
      <formula>0.05</formula>
    </cfRule>
  </conditionalFormatting>
  <conditionalFormatting sqref="M2428">
    <cfRule type="containsBlanks" dxfId="185" priority="87">
      <formula>LEN(TRIM(M2428))=0</formula>
    </cfRule>
    <cfRule type="cellIs" dxfId="184" priority="88" operator="lessThanOrEqual">
      <formula>0</formula>
    </cfRule>
  </conditionalFormatting>
  <conditionalFormatting sqref="Q2428">
    <cfRule type="cellIs" dxfId="183" priority="84" operator="lessThan">
      <formula>0.98</formula>
    </cfRule>
  </conditionalFormatting>
  <conditionalFormatting sqref="Q2428">
    <cfRule type="cellIs" dxfId="182" priority="83" operator="greaterThan">
      <formula>1</formula>
    </cfRule>
  </conditionalFormatting>
  <conditionalFormatting sqref="P2813 H2813 M2813 B2813">
    <cfRule type="containsBlanks" dxfId="181" priority="68">
      <formula>LEN(TRIM(B2813))=0</formula>
    </cfRule>
  </conditionalFormatting>
  <conditionalFormatting sqref="L2813">
    <cfRule type="cellIs" dxfId="180" priority="64" operator="lessThan">
      <formula>-0.05</formula>
    </cfRule>
    <cfRule type="cellIs" dxfId="179" priority="65" operator="greaterThan">
      <formula>0.05</formula>
    </cfRule>
  </conditionalFormatting>
  <conditionalFormatting sqref="M2813">
    <cfRule type="containsBlanks" dxfId="178" priority="66">
      <formula>LEN(TRIM(M2813))=0</formula>
    </cfRule>
    <cfRule type="cellIs" dxfId="177" priority="67" operator="lessThanOrEqual">
      <formula>0</formula>
    </cfRule>
  </conditionalFormatting>
  <conditionalFormatting sqref="Q2813">
    <cfRule type="cellIs" dxfId="176" priority="63" operator="lessThan">
      <formula>0.98</formula>
    </cfRule>
  </conditionalFormatting>
  <conditionalFormatting sqref="Q2813">
    <cfRule type="cellIs" dxfId="175" priority="62" operator="greaterThan">
      <formula>1</formula>
    </cfRule>
  </conditionalFormatting>
  <conditionalFormatting sqref="W1:W3403 Y1:AB3403 W3405:W1048576 Y3405:AB1048576">
    <cfRule type="containsBlanks" dxfId="174" priority="46">
      <formula>LEN(TRIM(W1))=0</formula>
    </cfRule>
  </conditionalFormatting>
  <conditionalFormatting sqref="H3109 M3109 P3109 B3109">
    <cfRule type="containsBlanks" dxfId="173" priority="45">
      <formula>LEN(TRIM(B3109))=0</formula>
    </cfRule>
  </conditionalFormatting>
  <conditionalFormatting sqref="L3109">
    <cfRule type="cellIs" dxfId="172" priority="41" operator="lessThan">
      <formula>-0.05</formula>
    </cfRule>
    <cfRule type="cellIs" dxfId="171" priority="42" operator="greaterThan">
      <formula>0.05</formula>
    </cfRule>
  </conditionalFormatting>
  <conditionalFormatting sqref="M3109">
    <cfRule type="containsBlanks" dxfId="170" priority="43">
      <formula>LEN(TRIM(M3109))=0</formula>
    </cfRule>
    <cfRule type="cellIs" dxfId="169" priority="44" operator="lessThanOrEqual">
      <formula>0</formula>
    </cfRule>
  </conditionalFormatting>
  <conditionalFormatting sqref="Q3109">
    <cfRule type="cellIs" dxfId="168" priority="40" operator="lessThan">
      <formula>0.98</formula>
    </cfRule>
  </conditionalFormatting>
  <conditionalFormatting sqref="Q3109">
    <cfRule type="cellIs" dxfId="167" priority="39" operator="greaterThan">
      <formula>1</formula>
    </cfRule>
  </conditionalFormatting>
  <conditionalFormatting sqref="B3114 P3114 M3114 H3114">
    <cfRule type="containsBlanks" dxfId="166" priority="37">
      <formula>LEN(TRIM(B3114))=0</formula>
    </cfRule>
  </conditionalFormatting>
  <conditionalFormatting sqref="L3114">
    <cfRule type="cellIs" dxfId="165" priority="33" operator="lessThan">
      <formula>-0.05</formula>
    </cfRule>
    <cfRule type="cellIs" dxfId="164" priority="34" operator="greaterThan">
      <formula>0.05</formula>
    </cfRule>
  </conditionalFormatting>
  <conditionalFormatting sqref="M3114">
    <cfRule type="containsBlanks" dxfId="163" priority="35">
      <formula>LEN(TRIM(M3114))=0</formula>
    </cfRule>
    <cfRule type="cellIs" dxfId="162" priority="36" operator="lessThanOrEqual">
      <formula>0</formula>
    </cfRule>
  </conditionalFormatting>
  <conditionalFormatting sqref="Q3114">
    <cfRule type="cellIs" dxfId="161" priority="32" operator="lessThan">
      <formula>0.98</formula>
    </cfRule>
  </conditionalFormatting>
  <conditionalFormatting sqref="Q3114">
    <cfRule type="cellIs" dxfId="160" priority="31" operator="greaterThan">
      <formula>1</formula>
    </cfRule>
  </conditionalFormatting>
  <conditionalFormatting sqref="AC1:AD3403 AC3405:AD1048576">
    <cfRule type="cellIs" dxfId="159" priority="26" operator="greaterThan">
      <formula>7</formula>
    </cfRule>
  </conditionalFormatting>
  <conditionalFormatting sqref="H3152 M3152 P3152">
    <cfRule type="containsBlanks" dxfId="158" priority="25">
      <formula>LEN(TRIM(H3152))=0</formula>
    </cfRule>
  </conditionalFormatting>
  <conditionalFormatting sqref="L3152">
    <cfRule type="cellIs" dxfId="157" priority="21" operator="lessThan">
      <formula>-0.05</formula>
    </cfRule>
    <cfRule type="cellIs" dxfId="156" priority="22" operator="greaterThan">
      <formula>0.05</formula>
    </cfRule>
  </conditionalFormatting>
  <conditionalFormatting sqref="M3152">
    <cfRule type="containsBlanks" dxfId="155" priority="23">
      <formula>LEN(TRIM(M3152))=0</formula>
    </cfRule>
    <cfRule type="cellIs" dxfId="154" priority="24" operator="lessThanOrEqual">
      <formula>0</formula>
    </cfRule>
  </conditionalFormatting>
  <conditionalFormatting sqref="Q3152">
    <cfRule type="cellIs" dxfId="153" priority="20" operator="lessThan">
      <formula>0.98</formula>
    </cfRule>
  </conditionalFormatting>
  <conditionalFormatting sqref="Q3152">
    <cfRule type="cellIs" dxfId="152" priority="19" operator="greaterThan">
      <formula>1</formula>
    </cfRule>
  </conditionalFormatting>
  <conditionalFormatting sqref="M3404 B3404 H3404 P3404">
    <cfRule type="containsBlanks" dxfId="151" priority="9">
      <formula>LEN(TRIM(B3404))=0</formula>
    </cfRule>
  </conditionalFormatting>
  <conditionalFormatting sqref="L3404">
    <cfRule type="cellIs" dxfId="150" priority="5" operator="lessThan">
      <formula>-0.05</formula>
    </cfRule>
    <cfRule type="cellIs" dxfId="149" priority="6" operator="greaterThan">
      <formula>0.05</formula>
    </cfRule>
  </conditionalFormatting>
  <conditionalFormatting sqref="M3404">
    <cfRule type="containsBlanks" dxfId="148" priority="7">
      <formula>LEN(TRIM(M3404))=0</formula>
    </cfRule>
    <cfRule type="cellIs" dxfId="147" priority="8" operator="lessThanOrEqual">
      <formula>0</formula>
    </cfRule>
  </conditionalFormatting>
  <conditionalFormatting sqref="Q3404">
    <cfRule type="cellIs" dxfId="146" priority="4" operator="lessThan">
      <formula>0.98</formula>
    </cfRule>
  </conditionalFormatting>
  <conditionalFormatting sqref="Q3404">
    <cfRule type="cellIs" dxfId="145" priority="3" operator="greaterThan">
      <formula>1</formula>
    </cfRule>
  </conditionalFormatting>
  <conditionalFormatting sqref="W3404 Y3404:AB3404">
    <cfRule type="containsBlanks" dxfId="144" priority="2">
      <formula>LEN(TRIM(W3404))=0</formula>
    </cfRule>
  </conditionalFormatting>
  <conditionalFormatting sqref="AC3404:AD3404">
    <cfRule type="cellIs" dxfId="143" priority="1" operator="greaterThan">
      <formula>7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horizontalDpi="180" verticalDpi="180" r:id="rId1"/>
  <headerFooter>
    <oddFooter>第 &amp;P 頁，共 &amp;N 頁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T2627"/>
  <sheetViews>
    <sheetView zoomScale="80" zoomScaleNormal="80" workbookViewId="0">
      <pane xSplit="4" ySplit="2" topLeftCell="E2592" activePane="bottomRight" state="frozen"/>
      <selection activeCell="E343" sqref="E342:E343"/>
      <selection pane="topRight" activeCell="E343" sqref="E342:E343"/>
      <selection pane="bottomLeft" activeCell="E343" sqref="E342:E343"/>
      <selection pane="bottomRight" activeCell="R2600" sqref="R2600"/>
    </sheetView>
  </sheetViews>
  <sheetFormatPr defaultRowHeight="17" x14ac:dyDescent="0.4"/>
  <cols>
    <col min="1" max="1" width="10.7265625" style="243" customWidth="1"/>
    <col min="2" max="2" width="9" style="243"/>
    <col min="3" max="3" width="23.7265625" style="22" customWidth="1"/>
    <col min="4" max="4" width="5.90625" style="239" bestFit="1" customWidth="1"/>
    <col min="5" max="5" width="4.90625" customWidth="1"/>
    <col min="6" max="6" width="7.36328125" customWidth="1"/>
    <col min="9" max="9" width="9" style="107"/>
    <col min="10" max="10" width="4.36328125" customWidth="1"/>
    <col min="11" max="11" width="6.90625" customWidth="1"/>
    <col min="14" max="14" width="7.453125" style="107" customWidth="1"/>
    <col min="15" max="15" width="7.90625" customWidth="1"/>
    <col min="16" max="17" width="9" style="8"/>
    <col min="18" max="18" width="9.453125" style="107" bestFit="1" customWidth="1"/>
    <col min="19" max="19" width="5.7265625" customWidth="1"/>
    <col min="20" max="20" width="7.90625" customWidth="1"/>
  </cols>
  <sheetData>
    <row r="1" spans="1:20" ht="51" x14ac:dyDescent="0.4">
      <c r="A1" s="482" t="s">
        <v>1228</v>
      </c>
      <c r="B1" s="482" t="s">
        <v>48</v>
      </c>
      <c r="C1" s="484" t="s">
        <v>49</v>
      </c>
      <c r="D1" s="486" t="s">
        <v>393</v>
      </c>
      <c r="E1" s="55" t="s">
        <v>517</v>
      </c>
      <c r="F1" s="56" t="s">
        <v>518</v>
      </c>
      <c r="G1" s="57" t="s">
        <v>519</v>
      </c>
      <c r="H1" s="57" t="s">
        <v>520</v>
      </c>
      <c r="I1" s="220" t="s">
        <v>521</v>
      </c>
      <c r="J1" s="55" t="s">
        <v>517</v>
      </c>
      <c r="K1" s="56" t="s">
        <v>522</v>
      </c>
      <c r="L1" s="57" t="s">
        <v>519</v>
      </c>
      <c r="M1" s="57" t="s">
        <v>520</v>
      </c>
      <c r="N1" s="226" t="s">
        <v>521</v>
      </c>
      <c r="O1" s="199" t="s">
        <v>960</v>
      </c>
      <c r="P1" s="58" t="s">
        <v>523</v>
      </c>
      <c r="Q1" s="58" t="s">
        <v>524</v>
      </c>
      <c r="R1" s="488" t="s">
        <v>515</v>
      </c>
      <c r="S1" s="475" t="s">
        <v>525</v>
      </c>
      <c r="T1" s="476"/>
    </row>
    <row r="2" spans="1:20" ht="17.5" thickBot="1" x14ac:dyDescent="0.45">
      <c r="A2" s="483"/>
      <c r="B2" s="483"/>
      <c r="C2" s="485"/>
      <c r="D2" s="487"/>
      <c r="E2" s="477" t="s">
        <v>526</v>
      </c>
      <c r="F2" s="478"/>
      <c r="G2" s="479"/>
      <c r="H2" s="479"/>
      <c r="I2" s="480"/>
      <c r="J2" s="477" t="s">
        <v>527</v>
      </c>
      <c r="K2" s="478"/>
      <c r="L2" s="479"/>
      <c r="M2" s="479"/>
      <c r="N2" s="481"/>
      <c r="O2" s="194"/>
      <c r="P2" s="58"/>
      <c r="Q2" s="58"/>
      <c r="R2" s="489"/>
      <c r="S2" s="59">
        <v>0.5</v>
      </c>
      <c r="T2" s="60">
        <v>0.54166666666666663</v>
      </c>
    </row>
    <row r="3" spans="1:20" s="22" customFormat="1" x14ac:dyDescent="0.4">
      <c r="A3" s="61" t="s">
        <v>508</v>
      </c>
      <c r="B3" s="54" t="s">
        <v>71</v>
      </c>
      <c r="C3" s="30" t="s">
        <v>176</v>
      </c>
      <c r="D3" s="62">
        <v>72</v>
      </c>
      <c r="E3" s="63">
        <v>6</v>
      </c>
      <c r="F3" s="64"/>
      <c r="G3" s="65">
        <v>0.29166666666666669</v>
      </c>
      <c r="H3" s="65">
        <v>0.66666666666666663</v>
      </c>
      <c r="I3" s="221">
        <v>480</v>
      </c>
      <c r="J3" s="66">
        <v>6</v>
      </c>
      <c r="K3" s="67"/>
      <c r="L3" s="68">
        <v>0.3125</v>
      </c>
      <c r="M3" s="68">
        <v>0.70833333333333337</v>
      </c>
      <c r="N3" s="227" t="s">
        <v>990</v>
      </c>
      <c r="O3" s="200">
        <v>5940</v>
      </c>
      <c r="P3" s="70">
        <v>0.29166666666666669</v>
      </c>
      <c r="Q3" s="70">
        <v>0.70833333333333337</v>
      </c>
      <c r="R3" s="229" t="s">
        <v>1252</v>
      </c>
      <c r="S3"/>
    </row>
    <row r="4" spans="1:20" x14ac:dyDescent="0.4">
      <c r="A4" s="47" t="s">
        <v>508</v>
      </c>
      <c r="B4" s="42" t="s">
        <v>72</v>
      </c>
      <c r="C4" s="30" t="s">
        <v>227</v>
      </c>
      <c r="D4" s="62">
        <v>20</v>
      </c>
      <c r="E4" s="71">
        <v>5</v>
      </c>
      <c r="F4" s="72"/>
      <c r="G4" s="73">
        <v>0.37708333333333338</v>
      </c>
      <c r="H4" s="73">
        <v>0.58333333333333337</v>
      </c>
      <c r="I4" s="222" t="s">
        <v>1293</v>
      </c>
      <c r="J4" s="74">
        <v>3</v>
      </c>
      <c r="K4" s="75">
        <v>5.5555555555555558E-3</v>
      </c>
      <c r="L4" s="76">
        <v>0.39583333333333331</v>
      </c>
      <c r="M4" s="76">
        <v>0.61458333333333337</v>
      </c>
      <c r="N4" s="227" t="s">
        <v>1294</v>
      </c>
      <c r="O4" s="69">
        <v>1974</v>
      </c>
      <c r="P4" s="70">
        <v>0.37708333333333338</v>
      </c>
      <c r="Q4" s="70">
        <v>0.61458333333333337</v>
      </c>
      <c r="R4" s="230" t="s">
        <v>1295</v>
      </c>
    </row>
    <row r="5" spans="1:20" x14ac:dyDescent="0.4">
      <c r="A5" s="47" t="s">
        <v>508</v>
      </c>
      <c r="B5" s="42" t="s">
        <v>435</v>
      </c>
      <c r="C5" s="30" t="s">
        <v>449</v>
      </c>
      <c r="D5" s="62">
        <v>8</v>
      </c>
      <c r="E5" s="71">
        <v>5</v>
      </c>
      <c r="F5" s="72"/>
      <c r="G5" s="73">
        <v>0.29166666666666669</v>
      </c>
      <c r="H5" s="73">
        <v>0.375</v>
      </c>
      <c r="I5" s="222" t="s">
        <v>1296</v>
      </c>
      <c r="J5" s="74">
        <v>3</v>
      </c>
      <c r="K5" s="75">
        <v>5.5555555555555558E-3</v>
      </c>
      <c r="L5" s="76">
        <v>0.3298611111111111</v>
      </c>
      <c r="M5" s="76">
        <v>0.39583333333333331</v>
      </c>
      <c r="N5" s="227" t="s">
        <v>1297</v>
      </c>
      <c r="O5" s="69">
        <v>909</v>
      </c>
      <c r="P5" s="70">
        <v>0.29166666666666669</v>
      </c>
      <c r="Q5" s="70">
        <v>0.39583333333333331</v>
      </c>
      <c r="R5" s="230" t="s">
        <v>1298</v>
      </c>
    </row>
    <row r="6" spans="1:20" x14ac:dyDescent="0.4">
      <c r="A6" s="47" t="s">
        <v>508</v>
      </c>
      <c r="B6" s="42" t="s">
        <v>51</v>
      </c>
      <c r="C6" s="30" t="s">
        <v>253</v>
      </c>
      <c r="D6" s="62">
        <v>16</v>
      </c>
      <c r="E6" s="71">
        <v>5</v>
      </c>
      <c r="F6" s="72"/>
      <c r="G6" s="73">
        <v>0.58680555555555558</v>
      </c>
      <c r="H6" s="73">
        <v>0.72916666666666663</v>
      </c>
      <c r="I6" s="222" t="s">
        <v>1299</v>
      </c>
      <c r="J6" s="74">
        <v>3</v>
      </c>
      <c r="K6" s="75">
        <v>5.5555555555555558E-3</v>
      </c>
      <c r="L6" s="76">
        <v>0.61458333333333337</v>
      </c>
      <c r="M6" s="76">
        <v>0.72916666666666663</v>
      </c>
      <c r="N6" s="227" t="s">
        <v>1300</v>
      </c>
      <c r="O6" s="69">
        <v>1544</v>
      </c>
      <c r="P6" s="70">
        <v>0.58680555555555558</v>
      </c>
      <c r="Q6" s="70">
        <v>0.72916666666666663</v>
      </c>
      <c r="R6" s="230" t="s">
        <v>1299</v>
      </c>
    </row>
    <row r="7" spans="1:20" x14ac:dyDescent="0.4">
      <c r="A7" s="47" t="s">
        <v>508</v>
      </c>
      <c r="B7" s="42" t="s">
        <v>65</v>
      </c>
      <c r="C7" s="30" t="s">
        <v>189</v>
      </c>
      <c r="D7" s="227">
        <v>72</v>
      </c>
      <c r="E7" s="74">
        <v>3</v>
      </c>
      <c r="F7" s="75">
        <v>2.7777777777777776E-2</v>
      </c>
      <c r="G7" s="76">
        <v>0.40625</v>
      </c>
      <c r="H7" s="76">
        <v>0.4861111111111111</v>
      </c>
      <c r="I7" s="222" t="s">
        <v>1301</v>
      </c>
      <c r="J7" s="74">
        <v>4</v>
      </c>
      <c r="K7" s="77"/>
      <c r="L7" s="76">
        <v>0.27083333333333331</v>
      </c>
      <c r="M7" s="76">
        <v>0.79861111111111116</v>
      </c>
      <c r="N7" s="227" t="s">
        <v>1302</v>
      </c>
      <c r="O7" s="69">
        <v>3265</v>
      </c>
      <c r="P7" s="70">
        <v>0.27083333333333331</v>
      </c>
      <c r="Q7" s="70">
        <v>0.79861111111111116</v>
      </c>
      <c r="R7" s="230" t="s">
        <v>1302</v>
      </c>
      <c r="S7" s="78"/>
    </row>
    <row r="8" spans="1:20" s="79" customFormat="1" x14ac:dyDescent="0.4">
      <c r="A8" s="408" t="s">
        <v>508</v>
      </c>
      <c r="B8" s="401" t="s">
        <v>509</v>
      </c>
      <c r="C8" s="390" t="s">
        <v>1104</v>
      </c>
      <c r="D8" s="409">
        <v>1</v>
      </c>
      <c r="E8" s="410"/>
      <c r="F8" s="411"/>
      <c r="G8" s="387"/>
      <c r="H8" s="387"/>
      <c r="I8" s="412" t="s">
        <v>1002</v>
      </c>
      <c r="J8" s="410"/>
      <c r="K8" s="411"/>
      <c r="L8" s="387"/>
      <c r="M8" s="387"/>
      <c r="N8" s="413" t="s">
        <v>1002</v>
      </c>
      <c r="O8" s="414">
        <v>0</v>
      </c>
      <c r="P8" s="391">
        <v>0</v>
      </c>
      <c r="Q8" s="391">
        <v>0</v>
      </c>
      <c r="R8" s="389" t="s">
        <v>1002</v>
      </c>
    </row>
    <row r="9" spans="1:20" s="22" customFormat="1" x14ac:dyDescent="0.4">
      <c r="A9" s="47" t="s">
        <v>510</v>
      </c>
      <c r="B9" s="42" t="s">
        <v>54</v>
      </c>
      <c r="C9" s="30" t="s">
        <v>251</v>
      </c>
      <c r="D9" s="62">
        <v>20</v>
      </c>
      <c r="E9" s="66">
        <v>5</v>
      </c>
      <c r="F9" s="67"/>
      <c r="G9" s="68">
        <v>0.54166666666666663</v>
      </c>
      <c r="H9" s="68">
        <v>0.6875</v>
      </c>
      <c r="I9" s="222" t="s">
        <v>1303</v>
      </c>
      <c r="J9" s="66">
        <v>3</v>
      </c>
      <c r="K9" s="80"/>
      <c r="L9" s="68">
        <v>0.56597222222222221</v>
      </c>
      <c r="M9" s="68">
        <v>0.70833333333333337</v>
      </c>
      <c r="N9" s="227" t="s">
        <v>1299</v>
      </c>
      <c r="O9" s="69">
        <v>1665</v>
      </c>
      <c r="P9" s="70">
        <v>0.54166666666666663</v>
      </c>
      <c r="Q9" s="70">
        <v>0.70833333333333337</v>
      </c>
      <c r="R9" s="229" t="s">
        <v>1244</v>
      </c>
    </row>
    <row r="10" spans="1:20" s="22" customFormat="1" x14ac:dyDescent="0.4">
      <c r="A10" s="47" t="s">
        <v>510</v>
      </c>
      <c r="B10" s="42" t="s">
        <v>494</v>
      </c>
      <c r="C10" s="30" t="s">
        <v>249</v>
      </c>
      <c r="D10" s="62">
        <v>24</v>
      </c>
      <c r="E10" s="66">
        <v>5</v>
      </c>
      <c r="F10" s="67"/>
      <c r="G10" s="68">
        <v>0.29166666666666669</v>
      </c>
      <c r="H10" s="68">
        <v>0.4826388888888889</v>
      </c>
      <c r="I10" s="222" t="s">
        <v>1304</v>
      </c>
      <c r="J10" s="66">
        <v>3</v>
      </c>
      <c r="K10" s="67"/>
      <c r="L10" s="68">
        <v>0.3125</v>
      </c>
      <c r="M10" s="68">
        <v>0.55902777777777779</v>
      </c>
      <c r="N10" s="227" t="s">
        <v>1305</v>
      </c>
      <c r="O10" s="69">
        <v>2260</v>
      </c>
      <c r="P10" s="70">
        <v>0.29166666666666669</v>
      </c>
      <c r="Q10" s="70">
        <v>0.55902777777777779</v>
      </c>
      <c r="R10" s="229" t="s">
        <v>1306</v>
      </c>
    </row>
    <row r="11" spans="1:20" s="22" customFormat="1" x14ac:dyDescent="0.4">
      <c r="A11" s="47" t="s">
        <v>510</v>
      </c>
      <c r="B11" s="42" t="s">
        <v>108</v>
      </c>
      <c r="C11" s="30" t="s">
        <v>231</v>
      </c>
      <c r="D11" s="62">
        <v>21</v>
      </c>
      <c r="E11" s="66"/>
      <c r="F11" s="67"/>
      <c r="G11" s="68">
        <v>0.3263888888888889</v>
      </c>
      <c r="H11" s="68">
        <v>0.5625</v>
      </c>
      <c r="I11" s="222" t="s">
        <v>1255</v>
      </c>
      <c r="J11" s="66"/>
      <c r="K11" s="67"/>
      <c r="L11" s="68">
        <v>0.5625</v>
      </c>
      <c r="M11" s="68">
        <v>0.70833333333333337</v>
      </c>
      <c r="N11" s="227" t="s">
        <v>1303</v>
      </c>
      <c r="O11" s="69">
        <v>0</v>
      </c>
      <c r="P11" s="70">
        <v>0.3263888888888889</v>
      </c>
      <c r="Q11" s="70">
        <v>0.70833333333333337</v>
      </c>
      <c r="R11" s="229" t="s">
        <v>1307</v>
      </c>
    </row>
    <row r="12" spans="1:20" s="22" customFormat="1" x14ac:dyDescent="0.4">
      <c r="A12" s="47" t="s">
        <v>510</v>
      </c>
      <c r="B12" s="42" t="s">
        <v>58</v>
      </c>
      <c r="C12" s="30" t="s">
        <v>165</v>
      </c>
      <c r="D12" s="62">
        <v>36</v>
      </c>
      <c r="E12" s="66">
        <v>3</v>
      </c>
      <c r="F12" s="80">
        <v>2.0833333333333332E-2</v>
      </c>
      <c r="G12" s="68">
        <v>0.27083333333333331</v>
      </c>
      <c r="H12" s="68">
        <v>0.70833333333333337</v>
      </c>
      <c r="I12" s="222" t="s">
        <v>1308</v>
      </c>
      <c r="J12" s="66">
        <v>6</v>
      </c>
      <c r="K12" s="80"/>
      <c r="L12" s="68">
        <v>0.29166666666666669</v>
      </c>
      <c r="M12" s="68">
        <v>0.64583333333333337</v>
      </c>
      <c r="N12" s="227" t="s">
        <v>1309</v>
      </c>
      <c r="O12" s="69">
        <v>4500</v>
      </c>
      <c r="P12" s="70">
        <v>0.27083333333333331</v>
      </c>
      <c r="Q12" s="70">
        <v>0.70833333333333337</v>
      </c>
      <c r="R12" s="229" t="s">
        <v>1247</v>
      </c>
    </row>
    <row r="13" spans="1:20" s="79" customFormat="1" x14ac:dyDescent="0.4">
      <c r="A13" s="408" t="s">
        <v>510</v>
      </c>
      <c r="B13" s="401">
        <v>152010</v>
      </c>
      <c r="C13" s="390" t="s">
        <v>483</v>
      </c>
      <c r="D13" s="409">
        <v>0.5</v>
      </c>
      <c r="E13" s="410"/>
      <c r="F13" s="411"/>
      <c r="G13" s="387"/>
      <c r="H13" s="387"/>
      <c r="I13" s="412" t="s">
        <v>1002</v>
      </c>
      <c r="J13" s="410"/>
      <c r="K13" s="411"/>
      <c r="L13" s="387"/>
      <c r="M13" s="387"/>
      <c r="N13" s="413" t="s">
        <v>1002</v>
      </c>
      <c r="O13" s="414">
        <v>0</v>
      </c>
      <c r="P13" s="391">
        <v>0</v>
      </c>
      <c r="Q13" s="391">
        <v>0</v>
      </c>
      <c r="R13" s="389" t="s">
        <v>1002</v>
      </c>
    </row>
    <row r="14" spans="1:20" s="22" customFormat="1" x14ac:dyDescent="0.4">
      <c r="A14" s="47" t="s">
        <v>511</v>
      </c>
      <c r="B14" s="42" t="s">
        <v>71</v>
      </c>
      <c r="C14" s="30" t="s">
        <v>176</v>
      </c>
      <c r="D14" s="62">
        <v>72</v>
      </c>
      <c r="E14" s="66">
        <v>6</v>
      </c>
      <c r="F14" s="67"/>
      <c r="G14" s="68">
        <v>0.29166666666666669</v>
      </c>
      <c r="H14" s="68">
        <v>0.66666666666666663</v>
      </c>
      <c r="I14" s="222" t="s">
        <v>1292</v>
      </c>
      <c r="J14" s="66">
        <v>5</v>
      </c>
      <c r="K14" s="67"/>
      <c r="L14" s="68">
        <v>0.3125</v>
      </c>
      <c r="M14" s="68">
        <v>0.70833333333333337</v>
      </c>
      <c r="N14" s="227" t="s">
        <v>990</v>
      </c>
      <c r="O14" s="69">
        <v>5430</v>
      </c>
      <c r="P14" s="70">
        <v>0.29166666666666669</v>
      </c>
      <c r="Q14" s="70">
        <v>0.70833333333333337</v>
      </c>
      <c r="R14" s="229" t="s">
        <v>1252</v>
      </c>
    </row>
    <row r="15" spans="1:20" s="22" customFormat="1" x14ac:dyDescent="0.4">
      <c r="A15" s="47" t="s">
        <v>511</v>
      </c>
      <c r="B15" s="42" t="s">
        <v>63</v>
      </c>
      <c r="C15" s="30" t="s">
        <v>267</v>
      </c>
      <c r="D15" s="62">
        <v>20</v>
      </c>
      <c r="E15" s="66">
        <v>5</v>
      </c>
      <c r="F15" s="67"/>
      <c r="G15" s="68">
        <v>0.54166666666666663</v>
      </c>
      <c r="H15" s="68">
        <v>0.70694444444444438</v>
      </c>
      <c r="I15" s="222" t="s">
        <v>1310</v>
      </c>
      <c r="J15" s="66">
        <v>4</v>
      </c>
      <c r="K15" s="67"/>
      <c r="L15" s="68">
        <v>0.56944444444444442</v>
      </c>
      <c r="M15" s="68">
        <v>0.71527777777777779</v>
      </c>
      <c r="N15" s="227" t="s">
        <v>1303</v>
      </c>
      <c r="O15" s="69">
        <v>2030</v>
      </c>
      <c r="P15" s="70">
        <v>0.54166666666666663</v>
      </c>
      <c r="Q15" s="70">
        <v>0.71527777777777779</v>
      </c>
      <c r="R15" s="229" t="s">
        <v>1311</v>
      </c>
    </row>
    <row r="16" spans="1:20" s="22" customFormat="1" x14ac:dyDescent="0.4">
      <c r="A16" s="47" t="s">
        <v>511</v>
      </c>
      <c r="B16" s="42" t="s">
        <v>357</v>
      </c>
      <c r="C16" s="30" t="s">
        <v>338</v>
      </c>
      <c r="D16" s="62">
        <v>12</v>
      </c>
      <c r="E16" s="66">
        <v>5</v>
      </c>
      <c r="F16" s="67"/>
      <c r="G16" s="68">
        <v>0.40972222222222227</v>
      </c>
      <c r="H16" s="68">
        <v>0.49791666666666662</v>
      </c>
      <c r="I16" s="222" t="s">
        <v>1312</v>
      </c>
      <c r="J16" s="66">
        <v>4</v>
      </c>
      <c r="K16" s="67"/>
      <c r="L16" s="68">
        <v>0.43055555555555558</v>
      </c>
      <c r="M16" s="68">
        <v>0.56944444444444442</v>
      </c>
      <c r="N16" s="227" t="s">
        <v>1313</v>
      </c>
      <c r="O16" s="69">
        <v>1195</v>
      </c>
      <c r="P16" s="70">
        <v>0.40972222222222227</v>
      </c>
      <c r="Q16" s="70">
        <v>0.56944444444444442</v>
      </c>
      <c r="R16" s="229" t="s">
        <v>1314</v>
      </c>
    </row>
    <row r="17" spans="1:19" s="22" customFormat="1" x14ac:dyDescent="0.4">
      <c r="A17" s="47" t="s">
        <v>511</v>
      </c>
      <c r="B17" s="42" t="s">
        <v>81</v>
      </c>
      <c r="C17" s="30" t="s">
        <v>235</v>
      </c>
      <c r="D17" s="62">
        <v>12</v>
      </c>
      <c r="E17" s="66">
        <v>5</v>
      </c>
      <c r="F17" s="67"/>
      <c r="G17" s="68">
        <v>0.29166666666666669</v>
      </c>
      <c r="H17" s="68">
        <v>0.40625</v>
      </c>
      <c r="I17" s="222" t="s">
        <v>1315</v>
      </c>
      <c r="J17" s="66">
        <v>3</v>
      </c>
      <c r="K17" s="67"/>
      <c r="L17" s="68">
        <v>0.3125</v>
      </c>
      <c r="M17" s="68">
        <v>0.41666666666666669</v>
      </c>
      <c r="N17" s="227" t="s">
        <v>1298</v>
      </c>
      <c r="O17" s="69">
        <v>1275</v>
      </c>
      <c r="P17" s="70">
        <v>0.29166666666666669</v>
      </c>
      <c r="Q17" s="70">
        <v>0.41666666666666669</v>
      </c>
      <c r="R17" s="229" t="s">
        <v>1316</v>
      </c>
    </row>
    <row r="18" spans="1:19" x14ac:dyDescent="0.4">
      <c r="A18" s="47" t="s">
        <v>511</v>
      </c>
      <c r="B18" s="42" t="s">
        <v>65</v>
      </c>
      <c r="C18" s="30" t="s">
        <v>189</v>
      </c>
      <c r="D18" s="227">
        <v>72</v>
      </c>
      <c r="E18" s="74">
        <v>3</v>
      </c>
      <c r="F18" s="75">
        <v>8.3333333333333329E-2</v>
      </c>
      <c r="G18" s="76">
        <v>0.29166666666666669</v>
      </c>
      <c r="H18" s="76">
        <v>0.75</v>
      </c>
      <c r="I18" s="222" t="s">
        <v>1317</v>
      </c>
      <c r="J18" s="74">
        <v>4</v>
      </c>
      <c r="K18" s="77"/>
      <c r="L18" s="76">
        <v>0.29166666666666669</v>
      </c>
      <c r="M18" s="76">
        <v>0.79166666666666663</v>
      </c>
      <c r="N18" s="227" t="s">
        <v>1318</v>
      </c>
      <c r="O18" s="69">
        <v>4800</v>
      </c>
      <c r="P18" s="70">
        <v>0.29166666666666669</v>
      </c>
      <c r="Q18" s="70">
        <v>0.79166666666666663</v>
      </c>
      <c r="R18" s="230" t="s">
        <v>1318</v>
      </c>
      <c r="S18" s="78"/>
    </row>
    <row r="19" spans="1:19" x14ac:dyDescent="0.4">
      <c r="A19" s="47" t="s">
        <v>512</v>
      </c>
      <c r="B19" s="42" t="s">
        <v>114</v>
      </c>
      <c r="C19" s="30" t="s">
        <v>161</v>
      </c>
      <c r="D19" s="62">
        <v>15</v>
      </c>
      <c r="E19" s="74">
        <v>4</v>
      </c>
      <c r="F19" s="77"/>
      <c r="G19" s="76">
        <v>0.29166666666666669</v>
      </c>
      <c r="H19" s="76">
        <v>0.49861111111111112</v>
      </c>
      <c r="I19" s="222" t="s">
        <v>1319</v>
      </c>
      <c r="J19" s="74">
        <v>12</v>
      </c>
      <c r="K19" s="77"/>
      <c r="L19" s="76">
        <v>0.3125</v>
      </c>
      <c r="M19" s="76">
        <v>0.58333333333333337</v>
      </c>
      <c r="N19" s="227" t="s">
        <v>1320</v>
      </c>
      <c r="O19" s="69">
        <v>5152</v>
      </c>
      <c r="P19" s="70">
        <v>0.29166666666666669</v>
      </c>
      <c r="Q19" s="70">
        <v>0.58333333333333337</v>
      </c>
      <c r="R19" s="230" t="s">
        <v>1321</v>
      </c>
    </row>
    <row r="20" spans="1:19" s="22" customFormat="1" x14ac:dyDescent="0.4">
      <c r="A20" s="47" t="s">
        <v>512</v>
      </c>
      <c r="B20" s="42" t="s">
        <v>91</v>
      </c>
      <c r="C20" s="30" t="s">
        <v>163</v>
      </c>
      <c r="D20" s="62">
        <v>12</v>
      </c>
      <c r="E20" s="66">
        <v>2</v>
      </c>
      <c r="F20" s="67"/>
      <c r="G20" s="68">
        <v>0.52083333333333337</v>
      </c>
      <c r="H20" s="68">
        <v>0.66666666666666663</v>
      </c>
      <c r="I20" s="222" t="s">
        <v>1303</v>
      </c>
      <c r="J20" s="66">
        <v>9</v>
      </c>
      <c r="K20" s="67"/>
      <c r="L20" s="68">
        <v>0.58333333333333337</v>
      </c>
      <c r="M20" s="68">
        <v>0.70833333333333337</v>
      </c>
      <c r="N20" s="227" t="s">
        <v>1316</v>
      </c>
      <c r="O20" s="69">
        <v>2040</v>
      </c>
      <c r="P20" s="70">
        <v>0.52083333333333337</v>
      </c>
      <c r="Q20" s="70">
        <v>0.70833333333333337</v>
      </c>
      <c r="R20" s="229" t="s">
        <v>1243</v>
      </c>
    </row>
    <row r="21" spans="1:19" x14ac:dyDescent="0.4">
      <c r="A21" s="47" t="s">
        <v>512</v>
      </c>
      <c r="B21" s="42" t="s">
        <v>461</v>
      </c>
      <c r="C21" s="30" t="s">
        <v>237</v>
      </c>
      <c r="D21" s="62">
        <v>4</v>
      </c>
      <c r="E21" s="74">
        <v>5</v>
      </c>
      <c r="F21" s="77"/>
      <c r="G21" s="76">
        <v>0.40625</v>
      </c>
      <c r="H21" s="76">
        <v>0.44791666666666669</v>
      </c>
      <c r="I21" s="222" t="s">
        <v>1322</v>
      </c>
      <c r="J21" s="74">
        <v>3</v>
      </c>
      <c r="K21" s="77"/>
      <c r="L21" s="76">
        <v>0.44791666666666669</v>
      </c>
      <c r="M21" s="76">
        <v>0.5</v>
      </c>
      <c r="N21" s="227" t="s">
        <v>1323</v>
      </c>
      <c r="O21" s="69">
        <v>525</v>
      </c>
      <c r="P21" s="70">
        <v>0.40625</v>
      </c>
      <c r="Q21" s="70">
        <v>0.5</v>
      </c>
      <c r="R21" s="230" t="s">
        <v>1324</v>
      </c>
    </row>
    <row r="22" spans="1:19" x14ac:dyDescent="0.4">
      <c r="A22" s="47" t="s">
        <v>512</v>
      </c>
      <c r="B22" s="42" t="s">
        <v>53</v>
      </c>
      <c r="C22" s="30" t="s">
        <v>261</v>
      </c>
      <c r="D22" s="62">
        <v>12</v>
      </c>
      <c r="E22" s="74">
        <v>5</v>
      </c>
      <c r="F22" s="77"/>
      <c r="G22" s="76">
        <v>0.29166666666666669</v>
      </c>
      <c r="H22" s="76">
        <v>0.40277777777777773</v>
      </c>
      <c r="I22" s="222" t="s">
        <v>1325</v>
      </c>
      <c r="J22" s="74">
        <v>3</v>
      </c>
      <c r="K22" s="77"/>
      <c r="L22" s="76">
        <v>0.3125</v>
      </c>
      <c r="M22" s="76">
        <v>0.43402777777777773</v>
      </c>
      <c r="N22" s="227" t="s">
        <v>1326</v>
      </c>
      <c r="O22" s="69">
        <v>1325</v>
      </c>
      <c r="P22" s="70">
        <v>0.29166666666666669</v>
      </c>
      <c r="Q22" s="70">
        <v>0.43402777777777773</v>
      </c>
      <c r="R22" s="230" t="s">
        <v>1299</v>
      </c>
    </row>
    <row r="23" spans="1:19" x14ac:dyDescent="0.4">
      <c r="A23" s="47" t="s">
        <v>512</v>
      </c>
      <c r="B23" s="42" t="s">
        <v>63</v>
      </c>
      <c r="C23" s="30" t="s">
        <v>267</v>
      </c>
      <c r="D23" s="62">
        <v>24</v>
      </c>
      <c r="E23" s="74">
        <v>5</v>
      </c>
      <c r="F23" s="77"/>
      <c r="G23" s="76">
        <v>0.54166666666666663</v>
      </c>
      <c r="H23" s="76">
        <v>0.74652777777777779</v>
      </c>
      <c r="I23" s="222" t="s">
        <v>1305</v>
      </c>
      <c r="J23" s="74">
        <v>3</v>
      </c>
      <c r="K23" s="77"/>
      <c r="L23" s="76">
        <v>0.54166666666666663</v>
      </c>
      <c r="M23" s="76">
        <v>0.75</v>
      </c>
      <c r="N23" s="227" t="s">
        <v>1327</v>
      </c>
      <c r="O23" s="69">
        <v>2375</v>
      </c>
      <c r="P23" s="70">
        <v>0.54166666666666663</v>
      </c>
      <c r="Q23" s="70">
        <v>0.75</v>
      </c>
      <c r="R23" s="230" t="s">
        <v>1327</v>
      </c>
    </row>
    <row r="24" spans="1:19" x14ac:dyDescent="0.4">
      <c r="A24" s="47" t="s">
        <v>512</v>
      </c>
      <c r="B24" s="42" t="s">
        <v>66</v>
      </c>
      <c r="C24" s="30" t="s">
        <v>195</v>
      </c>
      <c r="D24" s="62">
        <v>40</v>
      </c>
      <c r="E24" s="74">
        <v>3</v>
      </c>
      <c r="F24" s="75">
        <v>2.0833333333333332E-2</v>
      </c>
      <c r="G24" s="76">
        <v>0.29166666666666669</v>
      </c>
      <c r="H24" s="76">
        <v>0.64583333333333337</v>
      </c>
      <c r="I24" s="222" t="s">
        <v>1292</v>
      </c>
      <c r="J24" s="74">
        <v>4</v>
      </c>
      <c r="K24" s="77"/>
      <c r="L24" s="76">
        <v>0.29166666666666669</v>
      </c>
      <c r="M24" s="76">
        <v>0.70833333333333337</v>
      </c>
      <c r="N24" s="227" t="s">
        <v>1252</v>
      </c>
      <c r="O24" s="69">
        <v>3600</v>
      </c>
      <c r="P24" s="70">
        <v>0.29166666666666669</v>
      </c>
      <c r="Q24" s="70">
        <v>0.70833333333333337</v>
      </c>
      <c r="R24" s="230" t="s">
        <v>1252</v>
      </c>
    </row>
    <row r="25" spans="1:19" s="22" customFormat="1" x14ac:dyDescent="0.4">
      <c r="A25" s="47" t="s">
        <v>513</v>
      </c>
      <c r="B25" s="42" t="s">
        <v>80</v>
      </c>
      <c r="C25" s="30" t="s">
        <v>203</v>
      </c>
      <c r="D25" s="62">
        <v>72</v>
      </c>
      <c r="E25" s="66">
        <v>6</v>
      </c>
      <c r="F25" s="67"/>
      <c r="G25" s="68">
        <v>0.29166666666666669</v>
      </c>
      <c r="H25" s="68">
        <v>0.66666666666666663</v>
      </c>
      <c r="I25" s="222" t="s">
        <v>1292</v>
      </c>
      <c r="J25" s="66">
        <v>5</v>
      </c>
      <c r="K25" s="67"/>
      <c r="L25" s="68">
        <v>0.3125</v>
      </c>
      <c r="M25" s="68">
        <v>0.70833333333333337</v>
      </c>
      <c r="N25" s="227" t="s">
        <v>990</v>
      </c>
      <c r="O25" s="69">
        <v>5430</v>
      </c>
      <c r="P25" s="70">
        <v>0.29166666666666669</v>
      </c>
      <c r="Q25" s="70">
        <v>0.70833333333333337</v>
      </c>
      <c r="R25" s="229" t="s">
        <v>1252</v>
      </c>
    </row>
    <row r="26" spans="1:19" s="22" customFormat="1" x14ac:dyDescent="0.4">
      <c r="A26" s="47" t="s">
        <v>513</v>
      </c>
      <c r="B26" s="42" t="s">
        <v>73</v>
      </c>
      <c r="C26" s="30" t="s">
        <v>231</v>
      </c>
      <c r="D26" s="62">
        <v>21</v>
      </c>
      <c r="E26" s="66">
        <v>4</v>
      </c>
      <c r="F26" s="67"/>
      <c r="G26" s="68">
        <v>0.29166666666666669</v>
      </c>
      <c r="H26" s="68">
        <v>0.61111111111111105</v>
      </c>
      <c r="I26" s="222" t="s">
        <v>1328</v>
      </c>
      <c r="J26" s="66">
        <v>8</v>
      </c>
      <c r="K26" s="67"/>
      <c r="L26" s="68">
        <v>0.39583333333333331</v>
      </c>
      <c r="M26" s="68">
        <v>0.70833333333333337</v>
      </c>
      <c r="N26" s="227" t="s">
        <v>1329</v>
      </c>
      <c r="O26" s="69">
        <v>4720</v>
      </c>
      <c r="P26" s="70">
        <v>0.29166666666666669</v>
      </c>
      <c r="Q26" s="70">
        <v>0.70833333333333337</v>
      </c>
      <c r="R26" s="229" t="s">
        <v>1252</v>
      </c>
    </row>
    <row r="27" spans="1:19" s="22" customFormat="1" x14ac:dyDescent="0.4">
      <c r="A27" s="47" t="s">
        <v>513</v>
      </c>
      <c r="B27" s="42" t="s">
        <v>65</v>
      </c>
      <c r="C27" s="30" t="s">
        <v>189</v>
      </c>
      <c r="D27" s="227">
        <v>72</v>
      </c>
      <c r="E27" s="89">
        <v>3</v>
      </c>
      <c r="F27" s="90">
        <v>8.3333333333333329E-2</v>
      </c>
      <c r="G27" s="91">
        <v>0.29166666666666669</v>
      </c>
      <c r="H27" s="91">
        <v>0.75</v>
      </c>
      <c r="I27" s="223" t="s">
        <v>1317</v>
      </c>
      <c r="J27" s="89">
        <v>4</v>
      </c>
      <c r="K27" s="92"/>
      <c r="L27" s="91">
        <v>0.29166666666666669</v>
      </c>
      <c r="M27" s="91">
        <v>0.79166666666666663</v>
      </c>
      <c r="N27" s="228" t="s">
        <v>1318</v>
      </c>
      <c r="O27" s="93">
        <v>4800</v>
      </c>
      <c r="P27" s="94">
        <v>0.29166666666666669</v>
      </c>
      <c r="Q27" s="94">
        <v>0.79166666666666663</v>
      </c>
      <c r="R27" s="231" t="s">
        <v>1318</v>
      </c>
    </row>
    <row r="28" spans="1:19" x14ac:dyDescent="0.4">
      <c r="A28" s="42" t="s">
        <v>541</v>
      </c>
      <c r="B28" s="30" t="s">
        <v>61</v>
      </c>
      <c r="C28" s="30" t="s">
        <v>156</v>
      </c>
      <c r="D28" s="30">
        <v>24</v>
      </c>
      <c r="E28" s="1">
        <v>4</v>
      </c>
      <c r="F28" s="1"/>
      <c r="G28" s="76">
        <v>0.29166666666666669</v>
      </c>
      <c r="H28" s="76">
        <v>0.5</v>
      </c>
      <c r="I28" s="224" t="s">
        <v>1327</v>
      </c>
      <c r="J28" s="1">
        <v>10</v>
      </c>
      <c r="K28" s="76">
        <v>6.9444444444444441E-3</v>
      </c>
      <c r="L28" s="76">
        <v>0.33333333333333331</v>
      </c>
      <c r="M28" s="76">
        <v>0.57291666666666663</v>
      </c>
      <c r="N28" s="224" t="s">
        <v>1305</v>
      </c>
      <c r="O28" s="1">
        <v>4150</v>
      </c>
      <c r="P28" s="70">
        <v>0.29166666666666669</v>
      </c>
      <c r="Q28" s="70">
        <v>0.57291666666666663</v>
      </c>
      <c r="R28" s="229" t="s">
        <v>1330</v>
      </c>
    </row>
    <row r="29" spans="1:19" x14ac:dyDescent="0.4">
      <c r="A29" s="42" t="s">
        <v>541</v>
      </c>
      <c r="B29" s="30" t="s">
        <v>529</v>
      </c>
      <c r="C29" s="30" t="s">
        <v>173</v>
      </c>
      <c r="D29" s="30">
        <v>4</v>
      </c>
      <c r="E29" s="1">
        <v>4</v>
      </c>
      <c r="F29" s="1"/>
      <c r="G29" s="76">
        <v>0.54166666666666663</v>
      </c>
      <c r="H29" s="76">
        <v>0.72916666666666663</v>
      </c>
      <c r="I29" s="224" t="s">
        <v>1243</v>
      </c>
      <c r="J29" s="1">
        <v>9</v>
      </c>
      <c r="K29" s="76">
        <v>6.9444444444444441E-3</v>
      </c>
      <c r="L29" s="76">
        <v>0.66666666666666663</v>
      </c>
      <c r="M29" s="76">
        <v>0.75</v>
      </c>
      <c r="N29" s="224" t="s">
        <v>1248</v>
      </c>
      <c r="O29" s="1">
        <v>2250</v>
      </c>
      <c r="P29" s="70">
        <v>0.54166666666666663</v>
      </c>
      <c r="Q29" s="70">
        <v>0.75</v>
      </c>
      <c r="R29" s="229" t="s">
        <v>1327</v>
      </c>
    </row>
    <row r="30" spans="1:19" x14ac:dyDescent="0.4">
      <c r="A30" s="42" t="s">
        <v>541</v>
      </c>
      <c r="B30" s="30" t="s">
        <v>106</v>
      </c>
      <c r="C30" s="30" t="s">
        <v>173</v>
      </c>
      <c r="D30" s="30">
        <v>12</v>
      </c>
      <c r="E30" s="1">
        <v>4</v>
      </c>
      <c r="F30" s="1"/>
      <c r="G30" s="76">
        <v>0.54166666666666663</v>
      </c>
      <c r="H30" s="76">
        <v>0.72916666666666663</v>
      </c>
      <c r="I30" s="224" t="s">
        <v>1243</v>
      </c>
      <c r="J30" s="1">
        <v>9</v>
      </c>
      <c r="K30" s="76">
        <v>6.9444444444444441E-3</v>
      </c>
      <c r="L30" s="76">
        <v>0.57291666666666663</v>
      </c>
      <c r="M30" s="76">
        <v>0.66666666666666663</v>
      </c>
      <c r="N30" s="224" t="s">
        <v>1331</v>
      </c>
      <c r="O30" s="1">
        <v>2385</v>
      </c>
      <c r="P30" s="70">
        <v>0.54166666666666663</v>
      </c>
      <c r="Q30" s="70">
        <v>0.72916666666666663</v>
      </c>
      <c r="R30" s="229" t="s">
        <v>1243</v>
      </c>
    </row>
    <row r="31" spans="1:19" x14ac:dyDescent="0.4">
      <c r="A31" s="42" t="s">
        <v>541</v>
      </c>
      <c r="B31" s="30" t="s">
        <v>532</v>
      </c>
      <c r="C31" s="30" t="s">
        <v>336</v>
      </c>
      <c r="D31" s="30">
        <v>12</v>
      </c>
      <c r="E31" s="1">
        <v>5</v>
      </c>
      <c r="F31" s="1"/>
      <c r="G31" s="76">
        <v>0.29166666666666669</v>
      </c>
      <c r="H31" s="76">
        <v>0.4201388888888889</v>
      </c>
      <c r="I31" s="224" t="s">
        <v>1251</v>
      </c>
      <c r="J31" s="1">
        <v>3</v>
      </c>
      <c r="K31" s="76">
        <v>1.0416666666666666E-2</v>
      </c>
      <c r="L31" s="76">
        <v>0.33333333333333331</v>
      </c>
      <c r="M31" s="76">
        <v>0.4513888888888889</v>
      </c>
      <c r="N31" s="224" t="s">
        <v>1251</v>
      </c>
      <c r="O31" s="1">
        <v>1480</v>
      </c>
      <c r="P31" s="70">
        <v>0.29166666666666669</v>
      </c>
      <c r="Q31" s="70">
        <v>0.4513888888888889</v>
      </c>
      <c r="R31" s="229" t="s">
        <v>1332</v>
      </c>
    </row>
    <row r="32" spans="1:19" x14ac:dyDescent="0.4">
      <c r="A32" s="42" t="s">
        <v>541</v>
      </c>
      <c r="B32" s="30" t="s">
        <v>88</v>
      </c>
      <c r="C32" s="30" t="s">
        <v>328</v>
      </c>
      <c r="D32" s="30">
        <v>32</v>
      </c>
      <c r="E32" s="1">
        <v>5</v>
      </c>
      <c r="F32" s="1"/>
      <c r="G32" s="76">
        <v>0.42152777777777778</v>
      </c>
      <c r="H32" s="76">
        <v>0.77083333333333337</v>
      </c>
      <c r="I32" s="224" t="s">
        <v>1333</v>
      </c>
      <c r="J32" s="1">
        <v>3</v>
      </c>
      <c r="K32" s="76">
        <v>1.0416666666666666E-2</v>
      </c>
      <c r="L32" s="76">
        <v>0.4513888888888889</v>
      </c>
      <c r="M32" s="76">
        <v>0.77083333333333337</v>
      </c>
      <c r="N32" s="224" t="s">
        <v>1334</v>
      </c>
      <c r="O32" s="1">
        <v>3460</v>
      </c>
      <c r="P32" s="70">
        <v>0.42152777777777778</v>
      </c>
      <c r="Q32" s="70">
        <v>0.77083333333333337</v>
      </c>
      <c r="R32" s="229" t="s">
        <v>1333</v>
      </c>
    </row>
    <row r="33" spans="1:20" x14ac:dyDescent="0.4">
      <c r="A33" s="42" t="s">
        <v>541</v>
      </c>
      <c r="B33" s="30" t="s">
        <v>73</v>
      </c>
      <c r="C33" s="30" t="s">
        <v>231</v>
      </c>
      <c r="D33" s="30">
        <v>21</v>
      </c>
      <c r="E33" s="1">
        <v>8</v>
      </c>
      <c r="F33" s="76">
        <v>2.0833333333333332E-2</v>
      </c>
      <c r="G33" s="76">
        <v>0.29166666666666669</v>
      </c>
      <c r="H33" s="76">
        <v>0.70833333333333337</v>
      </c>
      <c r="I33" s="224" t="s">
        <v>1247</v>
      </c>
      <c r="J33" s="1">
        <v>8</v>
      </c>
      <c r="K33" s="1"/>
      <c r="L33" s="76">
        <v>0.29166666666666669</v>
      </c>
      <c r="M33" s="76">
        <v>0.70833333333333337</v>
      </c>
      <c r="N33" s="224" t="s">
        <v>1252</v>
      </c>
      <c r="O33" s="1">
        <v>8880</v>
      </c>
      <c r="P33" s="70">
        <v>0.29166666666666669</v>
      </c>
      <c r="Q33" s="70">
        <v>0.70833333333333337</v>
      </c>
      <c r="R33" s="229" t="s">
        <v>1252</v>
      </c>
    </row>
    <row r="34" spans="1:20" s="95" customFormat="1" x14ac:dyDescent="0.4">
      <c r="A34" s="401" t="s">
        <v>541</v>
      </c>
      <c r="B34" s="390">
        <v>153010</v>
      </c>
      <c r="C34" s="390" t="s">
        <v>484</v>
      </c>
      <c r="D34" s="390">
        <v>1</v>
      </c>
      <c r="E34" s="385"/>
      <c r="F34" s="385"/>
      <c r="G34" s="385"/>
      <c r="H34" s="385"/>
      <c r="I34" s="415" t="s">
        <v>1002</v>
      </c>
      <c r="J34" s="385"/>
      <c r="K34" s="385"/>
      <c r="L34" s="385"/>
      <c r="M34" s="385"/>
      <c r="N34" s="415" t="s">
        <v>1002</v>
      </c>
      <c r="O34" s="385">
        <v>0</v>
      </c>
      <c r="P34" s="391">
        <v>0</v>
      </c>
      <c r="Q34" s="391">
        <v>0</v>
      </c>
      <c r="R34" s="389" t="s">
        <v>1002</v>
      </c>
    </row>
    <row r="35" spans="1:20" x14ac:dyDescent="0.4">
      <c r="A35" s="42" t="s">
        <v>533</v>
      </c>
      <c r="B35" s="30" t="s">
        <v>71</v>
      </c>
      <c r="C35" s="30" t="s">
        <v>176</v>
      </c>
      <c r="D35" s="30">
        <v>72</v>
      </c>
      <c r="E35" s="1">
        <v>6</v>
      </c>
      <c r="F35" s="1"/>
      <c r="G35" s="76">
        <v>0.29166666666666669</v>
      </c>
      <c r="H35" s="76">
        <v>0.66666666666666663</v>
      </c>
      <c r="I35" s="224" t="s">
        <v>1292</v>
      </c>
      <c r="J35" s="1">
        <v>5</v>
      </c>
      <c r="K35" s="76">
        <v>4.1666666666666664E-2</v>
      </c>
      <c r="L35" s="76">
        <v>0.3125</v>
      </c>
      <c r="M35" s="76">
        <v>0.70833333333333337</v>
      </c>
      <c r="N35" s="224" t="s">
        <v>1247</v>
      </c>
      <c r="O35" s="1">
        <v>5730</v>
      </c>
      <c r="P35" s="70">
        <v>0.29166666666666669</v>
      </c>
      <c r="Q35" s="70">
        <v>0.70833333333333337</v>
      </c>
      <c r="R35" s="229" t="s">
        <v>1252</v>
      </c>
    </row>
    <row r="36" spans="1:20" x14ac:dyDescent="0.4">
      <c r="A36" s="42" t="s">
        <v>533</v>
      </c>
      <c r="B36" s="30" t="s">
        <v>63</v>
      </c>
      <c r="C36" s="30" t="s">
        <v>267</v>
      </c>
      <c r="D36" s="30">
        <v>24</v>
      </c>
      <c r="E36" s="1">
        <v>5</v>
      </c>
      <c r="F36" s="1"/>
      <c r="G36" s="76">
        <v>0.54166666666666663</v>
      </c>
      <c r="H36" s="76">
        <v>0.75</v>
      </c>
      <c r="I36" s="224" t="s">
        <v>1327</v>
      </c>
      <c r="J36" s="1">
        <v>3</v>
      </c>
      <c r="K36" s="76">
        <v>1.0416666666666666E-2</v>
      </c>
      <c r="L36" s="76">
        <v>0.5625</v>
      </c>
      <c r="M36" s="76">
        <v>0.75</v>
      </c>
      <c r="N36" s="224" t="s">
        <v>1335</v>
      </c>
      <c r="O36" s="1">
        <v>2355</v>
      </c>
      <c r="P36" s="70">
        <v>0.54166666666666663</v>
      </c>
      <c r="Q36" s="70">
        <v>0.75</v>
      </c>
      <c r="R36" s="229" t="s">
        <v>1327</v>
      </c>
    </row>
    <row r="37" spans="1:20" x14ac:dyDescent="0.4">
      <c r="A37" s="42" t="s">
        <v>533</v>
      </c>
      <c r="B37" s="30" t="s">
        <v>64</v>
      </c>
      <c r="C37" s="30" t="s">
        <v>271</v>
      </c>
      <c r="D37" s="30">
        <v>24</v>
      </c>
      <c r="E37" s="1">
        <v>5</v>
      </c>
      <c r="F37" s="1"/>
      <c r="G37" s="76">
        <v>0.29166666666666669</v>
      </c>
      <c r="H37" s="76">
        <v>0.5</v>
      </c>
      <c r="I37" s="224" t="s">
        <v>1327</v>
      </c>
      <c r="J37" s="1">
        <v>3</v>
      </c>
      <c r="K37" s="76">
        <v>1.0416666666666666E-2</v>
      </c>
      <c r="L37" s="76">
        <v>0.33333333333333331</v>
      </c>
      <c r="M37" s="76">
        <v>0.5625</v>
      </c>
      <c r="N37" s="224" t="s">
        <v>1335</v>
      </c>
      <c r="O37" s="1">
        <v>2355</v>
      </c>
      <c r="P37" s="70">
        <v>0.29166666666666669</v>
      </c>
      <c r="Q37" s="70">
        <v>0.5625</v>
      </c>
      <c r="R37" s="229" t="s">
        <v>1320</v>
      </c>
    </row>
    <row r="38" spans="1:20" x14ac:dyDescent="0.4">
      <c r="A38" s="42" t="s">
        <v>533</v>
      </c>
      <c r="B38" s="30" t="s">
        <v>104</v>
      </c>
      <c r="C38" s="30" t="s">
        <v>191</v>
      </c>
      <c r="D38" s="30">
        <v>72</v>
      </c>
      <c r="E38" s="1">
        <v>3</v>
      </c>
      <c r="F38" s="76">
        <v>8.3333333333333329E-2</v>
      </c>
      <c r="G38" s="76">
        <v>0.29166666666666669</v>
      </c>
      <c r="H38" s="76">
        <v>0.72916666666666663</v>
      </c>
      <c r="I38" s="224" t="s">
        <v>1336</v>
      </c>
      <c r="J38" s="1">
        <v>4</v>
      </c>
      <c r="K38" s="76"/>
      <c r="L38" s="76">
        <v>0.29166666666666669</v>
      </c>
      <c r="M38" s="76">
        <v>0.72916666666666663</v>
      </c>
      <c r="N38" s="224" t="s">
        <v>1247</v>
      </c>
      <c r="O38" s="1">
        <v>4350</v>
      </c>
      <c r="P38" s="70">
        <v>0.29166666666666669</v>
      </c>
      <c r="Q38" s="70">
        <v>0.72916666666666663</v>
      </c>
      <c r="R38" s="229" t="s">
        <v>1247</v>
      </c>
    </row>
    <row r="39" spans="1:20" x14ac:dyDescent="0.4">
      <c r="A39" s="42" t="s">
        <v>542</v>
      </c>
      <c r="B39" s="30" t="s">
        <v>54</v>
      </c>
      <c r="C39" s="30" t="s">
        <v>251</v>
      </c>
      <c r="D39" s="30">
        <v>30</v>
      </c>
      <c r="E39" s="1">
        <v>5</v>
      </c>
      <c r="F39" s="1"/>
      <c r="G39" s="76">
        <v>0.40277777777777773</v>
      </c>
      <c r="H39" s="76">
        <v>0.72916666666666663</v>
      </c>
      <c r="I39" s="224" t="s">
        <v>1337</v>
      </c>
      <c r="J39" s="1">
        <v>4</v>
      </c>
      <c r="K39" s="76">
        <v>1.0416666666666666E-2</v>
      </c>
      <c r="L39" s="76">
        <v>0.4375</v>
      </c>
      <c r="M39" s="76">
        <v>0.77083333333333337</v>
      </c>
      <c r="N39" s="224" t="s">
        <v>1245</v>
      </c>
      <c r="O39" s="1">
        <v>3790</v>
      </c>
      <c r="P39" s="70">
        <v>0.40277777777777773</v>
      </c>
      <c r="Q39" s="70">
        <v>0.77083333333333337</v>
      </c>
      <c r="R39" s="229" t="s">
        <v>1338</v>
      </c>
    </row>
    <row r="40" spans="1:20" x14ac:dyDescent="0.4">
      <c r="A40" s="42" t="s">
        <v>542</v>
      </c>
      <c r="B40" s="30" t="s">
        <v>99</v>
      </c>
      <c r="C40" s="30" t="s">
        <v>259</v>
      </c>
      <c r="D40" s="30">
        <v>12</v>
      </c>
      <c r="E40" s="1">
        <v>5</v>
      </c>
      <c r="F40" s="1"/>
      <c r="G40" s="76">
        <v>0.29166666666666669</v>
      </c>
      <c r="H40" s="76">
        <v>0.40277777777777773</v>
      </c>
      <c r="I40" s="224" t="s">
        <v>1325</v>
      </c>
      <c r="J40" s="1">
        <v>3</v>
      </c>
      <c r="K40" s="76">
        <v>1.0416666666666666E-2</v>
      </c>
      <c r="L40" s="76">
        <v>0.33333333333333331</v>
      </c>
      <c r="M40" s="76">
        <v>0.4375</v>
      </c>
      <c r="N40" s="224" t="s">
        <v>1315</v>
      </c>
      <c r="O40" s="1">
        <v>1295</v>
      </c>
      <c r="P40" s="70">
        <v>0.29166666666666669</v>
      </c>
      <c r="Q40" s="70">
        <v>0.4375</v>
      </c>
      <c r="R40" s="229" t="s">
        <v>1303</v>
      </c>
    </row>
    <row r="41" spans="1:20" x14ac:dyDescent="0.4">
      <c r="A41" s="42" t="s">
        <v>542</v>
      </c>
      <c r="B41" s="30" t="s">
        <v>55</v>
      </c>
      <c r="C41" s="30" t="s">
        <v>208</v>
      </c>
      <c r="D41" s="30">
        <v>20</v>
      </c>
      <c r="E41" s="1">
        <v>5</v>
      </c>
      <c r="F41" s="1"/>
      <c r="G41" s="76">
        <v>0.29166666666666669</v>
      </c>
      <c r="H41" s="76">
        <v>0.5</v>
      </c>
      <c r="I41" s="224" t="s">
        <v>1327</v>
      </c>
      <c r="J41" s="1">
        <v>4</v>
      </c>
      <c r="K41" s="76">
        <v>1.0416666666666666E-2</v>
      </c>
      <c r="L41" s="76">
        <v>0.33333333333333331</v>
      </c>
      <c r="M41" s="76">
        <v>0.56944444444444442</v>
      </c>
      <c r="N41" s="224" t="s">
        <v>1305</v>
      </c>
      <c r="O41" s="1">
        <v>2680</v>
      </c>
      <c r="P41" s="70">
        <v>0.29166666666666669</v>
      </c>
      <c r="Q41" s="70">
        <v>0.56944444444444442</v>
      </c>
      <c r="R41" s="229" t="s">
        <v>1339</v>
      </c>
    </row>
    <row r="42" spans="1:20" x14ac:dyDescent="0.4">
      <c r="A42" s="42" t="s">
        <v>542</v>
      </c>
      <c r="B42" s="30" t="s">
        <v>63</v>
      </c>
      <c r="C42" s="30" t="s">
        <v>267</v>
      </c>
      <c r="D42" s="30">
        <v>24</v>
      </c>
      <c r="E42" s="1">
        <v>5</v>
      </c>
      <c r="F42" s="1"/>
      <c r="G42" s="76">
        <v>0.54166666666666663</v>
      </c>
      <c r="H42" s="76">
        <v>0.75</v>
      </c>
      <c r="I42" s="224" t="s">
        <v>1327</v>
      </c>
      <c r="J42" s="1">
        <v>3</v>
      </c>
      <c r="K42" s="76">
        <v>1.0416666666666666E-2</v>
      </c>
      <c r="L42" s="76">
        <v>0.56944444444444442</v>
      </c>
      <c r="M42" s="76">
        <v>0.75</v>
      </c>
      <c r="N42" s="224" t="s">
        <v>1304</v>
      </c>
      <c r="O42" s="1">
        <v>2325</v>
      </c>
      <c r="P42" s="70">
        <v>0.54166666666666663</v>
      </c>
      <c r="Q42" s="70">
        <v>0.75</v>
      </c>
      <c r="R42" s="229" t="s">
        <v>1327</v>
      </c>
    </row>
    <row r="43" spans="1:20" x14ac:dyDescent="0.4">
      <c r="A43" s="42" t="s">
        <v>542</v>
      </c>
      <c r="B43" s="30" t="s">
        <v>536</v>
      </c>
      <c r="C43" s="30" t="s">
        <v>306</v>
      </c>
      <c r="D43" s="30">
        <v>6</v>
      </c>
      <c r="E43" s="1">
        <v>2</v>
      </c>
      <c r="F43" s="76">
        <v>2.0833333333333332E-2</v>
      </c>
      <c r="G43" s="76">
        <v>0.29166666666666669</v>
      </c>
      <c r="H43" s="76">
        <v>0.5</v>
      </c>
      <c r="I43" s="224" t="s">
        <v>1320</v>
      </c>
      <c r="J43" s="1">
        <v>9</v>
      </c>
      <c r="K43" s="76"/>
      <c r="L43" s="76">
        <v>0.29166666666666669</v>
      </c>
      <c r="M43" s="76">
        <v>0.5</v>
      </c>
      <c r="N43" s="224" t="s">
        <v>1327</v>
      </c>
      <c r="O43" s="1">
        <v>3360</v>
      </c>
      <c r="P43" s="70">
        <v>0.29166666666666669</v>
      </c>
      <c r="Q43" s="70">
        <v>0.5</v>
      </c>
      <c r="R43" s="229" t="s">
        <v>1327</v>
      </c>
    </row>
    <row r="44" spans="1:20" s="22" customFormat="1" x14ac:dyDescent="0.4">
      <c r="A44" s="42" t="s">
        <v>543</v>
      </c>
      <c r="B44" s="30" t="s">
        <v>68</v>
      </c>
      <c r="C44" s="30" t="s">
        <v>185</v>
      </c>
      <c r="D44" s="30">
        <v>40</v>
      </c>
      <c r="E44" s="23">
        <v>5</v>
      </c>
      <c r="F44" s="23"/>
      <c r="G44" s="68">
        <v>0.29166666666666669</v>
      </c>
      <c r="H44" s="68">
        <v>0.70833333333333337</v>
      </c>
      <c r="I44" s="173" t="s">
        <v>1252</v>
      </c>
      <c r="J44" s="23">
        <v>5</v>
      </c>
      <c r="K44" s="23"/>
      <c r="L44" s="68">
        <v>0.375</v>
      </c>
      <c r="M44" s="68">
        <v>0.72916666666666663</v>
      </c>
      <c r="N44" s="173" t="s">
        <v>1309</v>
      </c>
      <c r="O44" s="23">
        <v>4950</v>
      </c>
      <c r="P44" s="70">
        <v>0.29166666666666669</v>
      </c>
      <c r="Q44" s="70">
        <v>0.72916666666666663</v>
      </c>
      <c r="R44" s="229" t="s">
        <v>1247</v>
      </c>
    </row>
    <row r="45" spans="1:20" s="22" customFormat="1" x14ac:dyDescent="0.4">
      <c r="A45" s="42" t="s">
        <v>543</v>
      </c>
      <c r="B45" s="30" t="s">
        <v>93</v>
      </c>
      <c r="C45" s="30" t="s">
        <v>322</v>
      </c>
      <c r="D45" s="30">
        <v>24</v>
      </c>
      <c r="E45" s="23">
        <v>5</v>
      </c>
      <c r="F45" s="23"/>
      <c r="G45" s="68">
        <v>0.29166666666666669</v>
      </c>
      <c r="H45" s="68">
        <v>0.5</v>
      </c>
      <c r="I45" s="173" t="s">
        <v>1327</v>
      </c>
      <c r="J45" s="23">
        <v>5</v>
      </c>
      <c r="K45" s="68">
        <v>1.0416666666666666E-2</v>
      </c>
      <c r="L45" s="68">
        <v>0.33333333333333331</v>
      </c>
      <c r="M45" s="68">
        <v>0.5625</v>
      </c>
      <c r="N45" s="173" t="s">
        <v>1335</v>
      </c>
      <c r="O45" s="23">
        <v>2925</v>
      </c>
      <c r="P45" s="70">
        <v>0.29166666666666669</v>
      </c>
      <c r="Q45" s="70">
        <v>0.5625</v>
      </c>
      <c r="R45" s="229" t="s">
        <v>1320</v>
      </c>
    </row>
    <row r="46" spans="1:20" s="22" customFormat="1" x14ac:dyDescent="0.4">
      <c r="A46" s="42" t="s">
        <v>543</v>
      </c>
      <c r="B46" s="30" t="s">
        <v>72</v>
      </c>
      <c r="C46" s="30" t="s">
        <v>227</v>
      </c>
      <c r="D46" s="30">
        <v>24</v>
      </c>
      <c r="E46" s="23">
        <v>5</v>
      </c>
      <c r="F46" s="23"/>
      <c r="G46" s="68">
        <v>0.54166666666666663</v>
      </c>
      <c r="H46" s="68">
        <v>0.75</v>
      </c>
      <c r="I46" s="173" t="s">
        <v>1327</v>
      </c>
      <c r="J46" s="23">
        <v>4</v>
      </c>
      <c r="K46" s="68">
        <v>1.0416666666666666E-2</v>
      </c>
      <c r="L46" s="68">
        <v>0.5625</v>
      </c>
      <c r="M46" s="68">
        <v>0.75</v>
      </c>
      <c r="N46" s="173" t="s">
        <v>1335</v>
      </c>
      <c r="O46" s="23">
        <v>2640</v>
      </c>
      <c r="P46" s="70">
        <v>0.54166666666666663</v>
      </c>
      <c r="Q46" s="70">
        <v>0.75</v>
      </c>
      <c r="R46" s="229" t="s">
        <v>1327</v>
      </c>
      <c r="T46" s="96"/>
    </row>
    <row r="47" spans="1:20" x14ac:dyDescent="0.4">
      <c r="A47" s="42" t="s">
        <v>543</v>
      </c>
      <c r="B47" s="30" t="s">
        <v>96</v>
      </c>
      <c r="C47" s="30" t="s">
        <v>167</v>
      </c>
      <c r="D47" s="30">
        <v>28</v>
      </c>
      <c r="E47" s="1">
        <v>3</v>
      </c>
      <c r="F47" s="76">
        <v>5.2083333333333336E-2</v>
      </c>
      <c r="G47" s="76">
        <v>0.29166666666666669</v>
      </c>
      <c r="H47" s="76">
        <v>0.625</v>
      </c>
      <c r="I47" s="224" t="s">
        <v>1340</v>
      </c>
      <c r="J47" s="1">
        <v>6</v>
      </c>
      <c r="K47" s="76">
        <v>2.0833333333333332E-2</v>
      </c>
      <c r="L47" s="76">
        <v>0.40277777777777773</v>
      </c>
      <c r="M47" s="76">
        <v>0.70833333333333337</v>
      </c>
      <c r="N47" s="224" t="s">
        <v>1337</v>
      </c>
      <c r="O47" s="1">
        <v>3945</v>
      </c>
      <c r="P47" s="70">
        <v>0.29166666666666669</v>
      </c>
      <c r="Q47" s="70">
        <v>0.70833333333333337</v>
      </c>
      <c r="R47" s="229" t="s">
        <v>1252</v>
      </c>
    </row>
    <row r="48" spans="1:20" x14ac:dyDescent="0.4">
      <c r="A48" s="42" t="s">
        <v>543</v>
      </c>
      <c r="B48" s="30" t="s">
        <v>58</v>
      </c>
      <c r="C48" s="30" t="s">
        <v>165</v>
      </c>
      <c r="D48" s="30">
        <v>8</v>
      </c>
      <c r="E48" s="1">
        <v>3</v>
      </c>
      <c r="F48" s="76">
        <v>5.2083333333333336E-2</v>
      </c>
      <c r="G48" s="76">
        <v>0.29166666666666669</v>
      </c>
      <c r="H48" s="76">
        <v>0.625</v>
      </c>
      <c r="I48" s="224" t="s">
        <v>1340</v>
      </c>
      <c r="J48" s="1">
        <v>6</v>
      </c>
      <c r="K48" s="76">
        <v>2.0833333333333332E-2</v>
      </c>
      <c r="L48" s="76">
        <v>0.33333333333333331</v>
      </c>
      <c r="M48" s="76">
        <v>0.40277777777777773</v>
      </c>
      <c r="N48" s="224" t="s">
        <v>1248</v>
      </c>
      <c r="O48" s="1">
        <v>2265</v>
      </c>
      <c r="P48" s="70">
        <v>0.29166666666666669</v>
      </c>
      <c r="Q48" s="70">
        <v>0.625</v>
      </c>
      <c r="R48" s="229" t="s">
        <v>1341</v>
      </c>
    </row>
    <row r="49" spans="1:18" s="22" customFormat="1" ht="16.5" customHeight="1" x14ac:dyDescent="0.4">
      <c r="A49" s="42" t="s">
        <v>544</v>
      </c>
      <c r="B49" s="30" t="s">
        <v>100</v>
      </c>
      <c r="C49" s="30" t="s">
        <v>257</v>
      </c>
      <c r="D49" s="30">
        <v>6</v>
      </c>
      <c r="E49" s="23">
        <v>4</v>
      </c>
      <c r="F49" s="23"/>
      <c r="G49" s="68">
        <v>0.63055555555555554</v>
      </c>
      <c r="H49" s="68">
        <v>0.72916666666666663</v>
      </c>
      <c r="I49" s="173" t="s">
        <v>1342</v>
      </c>
      <c r="J49" s="23">
        <v>4</v>
      </c>
      <c r="K49" s="68">
        <v>5.5555555555555558E-3</v>
      </c>
      <c r="L49" s="68">
        <v>0.66666666666666663</v>
      </c>
      <c r="M49" s="68">
        <v>0.75</v>
      </c>
      <c r="N49" s="173" t="s">
        <v>1343</v>
      </c>
      <c r="O49" s="23">
        <v>1080</v>
      </c>
      <c r="P49" s="70">
        <v>0.63055555555555554</v>
      </c>
      <c r="Q49" s="70">
        <v>0.75</v>
      </c>
      <c r="R49" s="229" t="s">
        <v>1344</v>
      </c>
    </row>
    <row r="50" spans="1:18" s="22" customFormat="1" x14ac:dyDescent="0.4">
      <c r="A50" s="42" t="s">
        <v>544</v>
      </c>
      <c r="B50" s="30" t="s">
        <v>538</v>
      </c>
      <c r="C50" s="30" t="s">
        <v>265</v>
      </c>
      <c r="D50" s="30">
        <v>6</v>
      </c>
      <c r="E50" s="23">
        <v>4</v>
      </c>
      <c r="F50" s="23"/>
      <c r="G50" s="68">
        <v>0.54166666666666663</v>
      </c>
      <c r="H50" s="68">
        <v>0.63055555555555554</v>
      </c>
      <c r="I50" s="173" t="s">
        <v>1343</v>
      </c>
      <c r="J50" s="23">
        <v>4</v>
      </c>
      <c r="K50" s="68">
        <v>5.5555555555555558E-3</v>
      </c>
      <c r="L50" s="68">
        <v>0.57638888888888895</v>
      </c>
      <c r="M50" s="68">
        <v>0.66666666666666663</v>
      </c>
      <c r="N50" s="173" t="s">
        <v>1345</v>
      </c>
      <c r="O50" s="23">
        <v>1064</v>
      </c>
      <c r="P50" s="70">
        <v>0.54166666666666663</v>
      </c>
      <c r="Q50" s="70">
        <v>0.66666666666666663</v>
      </c>
      <c r="R50" s="229" t="s">
        <v>1316</v>
      </c>
    </row>
    <row r="51" spans="1:18" s="22" customFormat="1" x14ac:dyDescent="0.4">
      <c r="A51" s="42" t="s">
        <v>544</v>
      </c>
      <c r="B51" s="30" t="s">
        <v>539</v>
      </c>
      <c r="C51" s="30" t="s">
        <v>291</v>
      </c>
      <c r="D51" s="30">
        <v>6</v>
      </c>
      <c r="E51" s="23">
        <v>4</v>
      </c>
      <c r="F51" s="23"/>
      <c r="G51" s="68">
        <v>0.29166666666666669</v>
      </c>
      <c r="H51" s="68">
        <v>0.40625</v>
      </c>
      <c r="I51" s="173" t="s">
        <v>1315</v>
      </c>
      <c r="J51" s="23">
        <v>10</v>
      </c>
      <c r="K51" s="68">
        <v>5.5555555555555558E-3</v>
      </c>
      <c r="L51" s="68">
        <v>0.35069444444444442</v>
      </c>
      <c r="M51" s="68">
        <v>0.4513888888888889</v>
      </c>
      <c r="N51" s="173" t="s">
        <v>1346</v>
      </c>
      <c r="O51" s="23">
        <v>2190</v>
      </c>
      <c r="P51" s="70">
        <v>0.29166666666666669</v>
      </c>
      <c r="Q51" s="70">
        <v>0.4513888888888889</v>
      </c>
      <c r="R51" s="229" t="s">
        <v>1332</v>
      </c>
    </row>
    <row r="52" spans="1:18" s="22" customFormat="1" x14ac:dyDescent="0.4">
      <c r="A52" s="42" t="s">
        <v>544</v>
      </c>
      <c r="B52" s="30" t="s">
        <v>540</v>
      </c>
      <c r="C52" s="30" t="s">
        <v>302</v>
      </c>
      <c r="D52" s="30">
        <v>3</v>
      </c>
      <c r="E52" s="23">
        <v>4</v>
      </c>
      <c r="F52" s="23"/>
      <c r="G52" s="68">
        <v>0.40625</v>
      </c>
      <c r="H52" s="68">
        <v>0.5</v>
      </c>
      <c r="I52" s="173" t="s">
        <v>1324</v>
      </c>
      <c r="J52" s="23">
        <v>10</v>
      </c>
      <c r="K52" s="68">
        <v>5.5555555555555558E-3</v>
      </c>
      <c r="L52" s="68">
        <v>0.4513888888888889</v>
      </c>
      <c r="M52" s="68">
        <v>0.57638888888888895</v>
      </c>
      <c r="N52" s="173" t="s">
        <v>1343</v>
      </c>
      <c r="O52" s="23">
        <v>1820</v>
      </c>
      <c r="P52" s="70">
        <v>0.40625</v>
      </c>
      <c r="Q52" s="70">
        <v>0.57638888888888895</v>
      </c>
      <c r="R52" s="229" t="s">
        <v>1251</v>
      </c>
    </row>
    <row r="53" spans="1:18" s="22" customFormat="1" x14ac:dyDescent="0.4">
      <c r="A53" s="42" t="s">
        <v>544</v>
      </c>
      <c r="B53" s="30" t="s">
        <v>115</v>
      </c>
      <c r="C53" s="30" t="s">
        <v>214</v>
      </c>
      <c r="D53" s="30">
        <v>20</v>
      </c>
      <c r="E53" s="23">
        <v>5</v>
      </c>
      <c r="F53" s="23"/>
      <c r="G53" s="68">
        <v>0.57222222222222219</v>
      </c>
      <c r="H53" s="68">
        <v>0.77083333333333337</v>
      </c>
      <c r="I53" s="173" t="s">
        <v>1347</v>
      </c>
      <c r="J53" s="23">
        <v>4</v>
      </c>
      <c r="K53" s="68">
        <v>6.9444444444444441E-3</v>
      </c>
      <c r="L53" s="68">
        <v>0.59027777777777779</v>
      </c>
      <c r="M53" s="68">
        <v>0.8125</v>
      </c>
      <c r="N53" s="173" t="s">
        <v>1320</v>
      </c>
      <c r="O53" s="23">
        <v>2750</v>
      </c>
      <c r="P53" s="70">
        <v>0.57222222222222219</v>
      </c>
      <c r="Q53" s="70">
        <v>0.8125</v>
      </c>
      <c r="R53" s="229" t="s">
        <v>1348</v>
      </c>
    </row>
    <row r="54" spans="1:18" s="22" customFormat="1" x14ac:dyDescent="0.4">
      <c r="A54" s="42" t="s">
        <v>544</v>
      </c>
      <c r="B54" s="30" t="s">
        <v>81</v>
      </c>
      <c r="C54" s="30" t="s">
        <v>235</v>
      </c>
      <c r="D54" s="30">
        <v>16</v>
      </c>
      <c r="E54" s="23">
        <v>5</v>
      </c>
      <c r="F54" s="23"/>
      <c r="G54" s="68">
        <v>0.375</v>
      </c>
      <c r="H54" s="68">
        <v>0.57222222222222219</v>
      </c>
      <c r="I54" s="173" t="s">
        <v>1349</v>
      </c>
      <c r="J54" s="23">
        <v>3.5</v>
      </c>
      <c r="K54" s="68">
        <v>6.9444444444444441E-3</v>
      </c>
      <c r="L54" s="68">
        <v>0.40972222222222227</v>
      </c>
      <c r="M54" s="68">
        <v>0.61111111111111105</v>
      </c>
      <c r="N54" s="173" t="s">
        <v>1244</v>
      </c>
      <c r="O54" s="23">
        <v>1960</v>
      </c>
      <c r="P54" s="70">
        <v>0.375</v>
      </c>
      <c r="Q54" s="70">
        <v>0.61111111111111105</v>
      </c>
      <c r="R54" s="229" t="s">
        <v>1255</v>
      </c>
    </row>
    <row r="55" spans="1:18" s="22" customFormat="1" x14ac:dyDescent="0.4">
      <c r="A55" s="42" t="s">
        <v>544</v>
      </c>
      <c r="B55" s="30" t="s">
        <v>77</v>
      </c>
      <c r="C55" s="30" t="s">
        <v>293</v>
      </c>
      <c r="D55" s="30">
        <v>8</v>
      </c>
      <c r="E55" s="23">
        <v>5</v>
      </c>
      <c r="F55" s="23"/>
      <c r="G55" s="68">
        <v>0.29166666666666669</v>
      </c>
      <c r="H55" s="68">
        <v>0.375</v>
      </c>
      <c r="I55" s="173" t="s">
        <v>1296</v>
      </c>
      <c r="J55" s="23">
        <v>3</v>
      </c>
      <c r="K55" s="68">
        <v>6.9444444444444441E-3</v>
      </c>
      <c r="L55" s="68">
        <v>0.33333333333333331</v>
      </c>
      <c r="M55" s="68">
        <v>0.40972222222222227</v>
      </c>
      <c r="N55" s="173" t="s">
        <v>1296</v>
      </c>
      <c r="O55" s="23">
        <v>960</v>
      </c>
      <c r="P55" s="70">
        <v>0.29166666666666669</v>
      </c>
      <c r="Q55" s="70">
        <v>0.40972222222222227</v>
      </c>
      <c r="R55" s="229" t="s">
        <v>1314</v>
      </c>
    </row>
    <row r="56" spans="1:18" s="22" customFormat="1" x14ac:dyDescent="0.4">
      <c r="A56" s="42" t="s">
        <v>544</v>
      </c>
      <c r="B56" s="30" t="s">
        <v>123</v>
      </c>
      <c r="C56" s="30" t="s">
        <v>277</v>
      </c>
      <c r="D56" s="30">
        <v>60</v>
      </c>
      <c r="E56" s="23">
        <v>3</v>
      </c>
      <c r="F56" s="68">
        <v>4.1666666666666664E-2</v>
      </c>
      <c r="G56" s="68">
        <v>0.29166666666666669</v>
      </c>
      <c r="H56" s="68">
        <v>0.70833333333333337</v>
      </c>
      <c r="I56" s="173" t="s">
        <v>1308</v>
      </c>
      <c r="J56" s="23">
        <v>4</v>
      </c>
      <c r="K56" s="23"/>
      <c r="L56" s="68">
        <v>0.29166666666666669</v>
      </c>
      <c r="M56" s="68">
        <v>0.73611111111111116</v>
      </c>
      <c r="N56" s="173" t="s">
        <v>1350</v>
      </c>
      <c r="O56" s="23">
        <v>4120</v>
      </c>
      <c r="P56" s="70">
        <v>0.29166666666666669</v>
      </c>
      <c r="Q56" s="70">
        <v>0.73611111111111116</v>
      </c>
      <c r="R56" s="229" t="s">
        <v>1350</v>
      </c>
    </row>
    <row r="57" spans="1:18" x14ac:dyDescent="0.4">
      <c r="A57" s="42" t="s">
        <v>549</v>
      </c>
      <c r="B57" s="30" t="s">
        <v>71</v>
      </c>
      <c r="C57" s="30" t="s">
        <v>176</v>
      </c>
      <c r="D57" s="30">
        <v>72</v>
      </c>
      <c r="E57" s="23">
        <v>5</v>
      </c>
      <c r="F57" s="68"/>
      <c r="G57" s="68">
        <v>0.29166666666666669</v>
      </c>
      <c r="H57" s="68">
        <v>0.66666666666666663</v>
      </c>
      <c r="I57" s="173" t="s">
        <v>1292</v>
      </c>
      <c r="J57" s="23">
        <v>5</v>
      </c>
      <c r="K57" s="23"/>
      <c r="L57" s="68">
        <v>0.3125</v>
      </c>
      <c r="M57" s="68">
        <v>0.71527777777777779</v>
      </c>
      <c r="N57" s="173" t="s">
        <v>1351</v>
      </c>
      <c r="O57" s="23">
        <v>5000</v>
      </c>
      <c r="P57" s="70">
        <v>0.29166666666666669</v>
      </c>
      <c r="Q57" s="70">
        <v>0.71527777777777779</v>
      </c>
      <c r="R57" s="229" t="s">
        <v>1352</v>
      </c>
    </row>
    <row r="58" spans="1:18" x14ac:dyDescent="0.4">
      <c r="A58" s="42" t="s">
        <v>549</v>
      </c>
      <c r="B58" s="30" t="s">
        <v>547</v>
      </c>
      <c r="C58" s="30" t="s">
        <v>205</v>
      </c>
      <c r="D58" s="30">
        <v>20</v>
      </c>
      <c r="E58" s="23">
        <v>5</v>
      </c>
      <c r="F58" s="68"/>
      <c r="G58" s="68">
        <v>0.29166666666666669</v>
      </c>
      <c r="H58" s="68">
        <v>0.5</v>
      </c>
      <c r="I58" s="173" t="s">
        <v>1327</v>
      </c>
      <c r="J58" s="23">
        <v>4</v>
      </c>
      <c r="K58" s="68">
        <v>2.0833333333333332E-2</v>
      </c>
      <c r="L58" s="68">
        <v>0.29166666666666669</v>
      </c>
      <c r="M58" s="68">
        <v>0.5625</v>
      </c>
      <c r="N58" s="173" t="s">
        <v>1321</v>
      </c>
      <c r="O58" s="23">
        <v>2940</v>
      </c>
      <c r="P58" s="70">
        <v>0.29166666666666669</v>
      </c>
      <c r="Q58" s="70">
        <v>0.5625</v>
      </c>
      <c r="R58" s="229" t="s">
        <v>1320</v>
      </c>
    </row>
    <row r="59" spans="1:18" x14ac:dyDescent="0.4">
      <c r="A59" s="42" t="s">
        <v>549</v>
      </c>
      <c r="B59" s="30" t="s">
        <v>63</v>
      </c>
      <c r="C59" s="30" t="s">
        <v>267</v>
      </c>
      <c r="D59" s="30">
        <v>24</v>
      </c>
      <c r="E59" s="23">
        <v>5</v>
      </c>
      <c r="F59" s="68"/>
      <c r="G59" s="68">
        <v>0.54166666666666663</v>
      </c>
      <c r="H59" s="68">
        <v>0.75</v>
      </c>
      <c r="I59" s="173" t="s">
        <v>1327</v>
      </c>
      <c r="J59" s="23">
        <v>4</v>
      </c>
      <c r="K59" s="68">
        <v>2.0833333333333332E-2</v>
      </c>
      <c r="L59" s="68">
        <v>0.5625</v>
      </c>
      <c r="M59" s="68">
        <v>0.75</v>
      </c>
      <c r="N59" s="173" t="s">
        <v>1327</v>
      </c>
      <c r="O59" s="23">
        <v>2700</v>
      </c>
      <c r="P59" s="70">
        <v>0.54166666666666663</v>
      </c>
      <c r="Q59" s="70">
        <v>0.75</v>
      </c>
      <c r="R59" s="229" t="s">
        <v>1327</v>
      </c>
    </row>
    <row r="60" spans="1:18" x14ac:dyDescent="0.4">
      <c r="A60" s="42" t="s">
        <v>549</v>
      </c>
      <c r="B60" s="30" t="s">
        <v>82</v>
      </c>
      <c r="C60" s="30" t="s">
        <v>171</v>
      </c>
      <c r="D60" s="30">
        <v>36</v>
      </c>
      <c r="E60" s="23">
        <v>3</v>
      </c>
      <c r="F60" s="68">
        <v>6.25E-2</v>
      </c>
      <c r="G60" s="68">
        <v>0.29166666666666669</v>
      </c>
      <c r="H60" s="68">
        <v>0.66666666666666663</v>
      </c>
      <c r="I60" s="173" t="s">
        <v>1247</v>
      </c>
      <c r="J60" s="23">
        <v>6</v>
      </c>
      <c r="K60" s="23"/>
      <c r="L60" s="68">
        <v>0.29166666666666669</v>
      </c>
      <c r="M60" s="68">
        <v>0.71527777777777779</v>
      </c>
      <c r="N60" s="173" t="s">
        <v>1352</v>
      </c>
      <c r="O60" s="23">
        <v>5010</v>
      </c>
      <c r="P60" s="70">
        <v>0.29166666666666669</v>
      </c>
      <c r="Q60" s="70">
        <v>0.71527777777777779</v>
      </c>
      <c r="R60" s="229" t="s">
        <v>1352</v>
      </c>
    </row>
    <row r="61" spans="1:18" x14ac:dyDescent="0.4">
      <c r="A61" s="42" t="s">
        <v>550</v>
      </c>
      <c r="B61" s="30" t="s">
        <v>61</v>
      </c>
      <c r="C61" s="30" t="s">
        <v>156</v>
      </c>
      <c r="D61" s="30">
        <v>28</v>
      </c>
      <c r="E61" s="23">
        <v>5</v>
      </c>
      <c r="F61" s="68"/>
      <c r="G61" s="68">
        <v>0.29166666666666669</v>
      </c>
      <c r="H61" s="68">
        <v>0.59722222222222221</v>
      </c>
      <c r="I61" s="173" t="s">
        <v>1353</v>
      </c>
      <c r="J61" s="23">
        <v>10</v>
      </c>
      <c r="K61" s="68">
        <v>1.0416666666666666E-2</v>
      </c>
      <c r="L61" s="68">
        <v>0.33333333333333331</v>
      </c>
      <c r="M61" s="68">
        <v>0.59722222222222221</v>
      </c>
      <c r="N61" s="173" t="s">
        <v>1354</v>
      </c>
      <c r="O61" s="23">
        <v>5250</v>
      </c>
      <c r="P61" s="70">
        <v>0.29166666666666669</v>
      </c>
      <c r="Q61" s="70">
        <v>0.59722222222222221</v>
      </c>
      <c r="R61" s="229" t="s">
        <v>1353</v>
      </c>
    </row>
    <row r="62" spans="1:18" x14ac:dyDescent="0.4">
      <c r="A62" s="42" t="s">
        <v>550</v>
      </c>
      <c r="B62" s="30" t="s">
        <v>158</v>
      </c>
      <c r="C62" s="30" t="s">
        <v>159</v>
      </c>
      <c r="D62" s="30">
        <v>8</v>
      </c>
      <c r="E62" s="23">
        <v>5</v>
      </c>
      <c r="F62" s="68"/>
      <c r="G62" s="68">
        <v>0.54166666666666663</v>
      </c>
      <c r="H62" s="68">
        <v>0.70833333333333337</v>
      </c>
      <c r="I62" s="173" t="s">
        <v>1244</v>
      </c>
      <c r="J62" s="23">
        <v>9</v>
      </c>
      <c r="K62" s="68">
        <v>1.0416666666666666E-2</v>
      </c>
      <c r="L62" s="68">
        <v>0.59722222222222221</v>
      </c>
      <c r="M62" s="68">
        <v>0.70833333333333337</v>
      </c>
      <c r="N62" s="173" t="s">
        <v>1326</v>
      </c>
      <c r="O62" s="23">
        <v>2775</v>
      </c>
      <c r="P62" s="70">
        <v>0.54166666666666663</v>
      </c>
      <c r="Q62" s="70">
        <v>0.70833333333333337</v>
      </c>
      <c r="R62" s="229" t="s">
        <v>1244</v>
      </c>
    </row>
    <row r="63" spans="1:18" x14ac:dyDescent="0.4">
      <c r="A63" s="42" t="s">
        <v>550</v>
      </c>
      <c r="B63" s="30" t="s">
        <v>76</v>
      </c>
      <c r="C63" s="30" t="s">
        <v>224</v>
      </c>
      <c r="D63" s="30">
        <v>20</v>
      </c>
      <c r="E63" s="23">
        <v>5</v>
      </c>
      <c r="F63" s="68"/>
      <c r="G63" s="68">
        <v>0.29166666666666669</v>
      </c>
      <c r="H63" s="68">
        <v>0.44097222222222227</v>
      </c>
      <c r="I63" s="173" t="s">
        <v>1355</v>
      </c>
      <c r="J63" s="23">
        <v>3</v>
      </c>
      <c r="K63" s="68">
        <v>1.0416666666666666E-2</v>
      </c>
      <c r="L63" s="68">
        <v>0.33333333333333331</v>
      </c>
      <c r="M63" s="68">
        <v>0.47569444444444442</v>
      </c>
      <c r="N63" s="173" t="s">
        <v>1254</v>
      </c>
      <c r="O63" s="23">
        <v>1735</v>
      </c>
      <c r="P63" s="70">
        <v>0.29166666666666669</v>
      </c>
      <c r="Q63" s="70">
        <v>0.47569444444444442</v>
      </c>
      <c r="R63" s="229" t="s">
        <v>1356</v>
      </c>
    </row>
    <row r="64" spans="1:18" x14ac:dyDescent="0.4">
      <c r="A64" s="42" t="s">
        <v>550</v>
      </c>
      <c r="B64" s="30" t="s">
        <v>63</v>
      </c>
      <c r="C64" s="30" t="s">
        <v>267</v>
      </c>
      <c r="D64" s="30">
        <v>24</v>
      </c>
      <c r="E64" s="23">
        <v>5</v>
      </c>
      <c r="F64" s="68"/>
      <c r="G64" s="68">
        <v>0.44097222222222227</v>
      </c>
      <c r="H64" s="68">
        <v>0.70833333333333337</v>
      </c>
      <c r="I64" s="173" t="s">
        <v>1306</v>
      </c>
      <c r="J64" s="23">
        <v>3</v>
      </c>
      <c r="K64" s="68">
        <v>1.0416666666666666E-2</v>
      </c>
      <c r="L64" s="68">
        <v>0.47569444444444442</v>
      </c>
      <c r="M64" s="68">
        <v>0.72916666666666663</v>
      </c>
      <c r="N64" s="173" t="s">
        <v>1357</v>
      </c>
      <c r="O64" s="23">
        <v>2585</v>
      </c>
      <c r="P64" s="70">
        <v>0.44097222222222227</v>
      </c>
      <c r="Q64" s="70">
        <v>0.72916666666666663</v>
      </c>
      <c r="R64" s="229" t="s">
        <v>1358</v>
      </c>
    </row>
    <row r="65" spans="1:18" x14ac:dyDescent="0.4">
      <c r="A65" s="42" t="s">
        <v>550</v>
      </c>
      <c r="B65" s="42" t="s">
        <v>65</v>
      </c>
      <c r="C65" s="30" t="s">
        <v>189</v>
      </c>
      <c r="D65" s="173">
        <v>72</v>
      </c>
      <c r="E65" s="23">
        <v>3</v>
      </c>
      <c r="F65" s="68">
        <v>6.25E-2</v>
      </c>
      <c r="G65" s="68">
        <v>0.29166666666666669</v>
      </c>
      <c r="H65" s="68">
        <v>0.75</v>
      </c>
      <c r="I65" s="173" t="s">
        <v>1336</v>
      </c>
      <c r="J65" s="23">
        <v>4</v>
      </c>
      <c r="K65" s="23"/>
      <c r="L65" s="68">
        <v>0.29166666666666669</v>
      </c>
      <c r="M65" s="68">
        <v>0.79166666666666663</v>
      </c>
      <c r="N65" s="173" t="s">
        <v>1318</v>
      </c>
      <c r="O65" s="23">
        <v>4710</v>
      </c>
      <c r="P65" s="70">
        <v>0.29166666666666669</v>
      </c>
      <c r="Q65" s="70">
        <v>0.79166666666666663</v>
      </c>
      <c r="R65" s="229" t="s">
        <v>1318</v>
      </c>
    </row>
    <row r="66" spans="1:18" x14ac:dyDescent="0.4">
      <c r="A66" s="401" t="s">
        <v>550</v>
      </c>
      <c r="B66" s="390">
        <v>151010</v>
      </c>
      <c r="C66" s="390" t="s">
        <v>482</v>
      </c>
      <c r="D66" s="390">
        <v>1</v>
      </c>
      <c r="E66" s="387"/>
      <c r="F66" s="388"/>
      <c r="G66" s="388"/>
      <c r="H66" s="388"/>
      <c r="I66" s="386" t="s">
        <v>1002</v>
      </c>
      <c r="J66" s="387"/>
      <c r="K66" s="387"/>
      <c r="L66" s="388"/>
      <c r="M66" s="388"/>
      <c r="N66" s="386" t="s">
        <v>1002</v>
      </c>
      <c r="O66" s="387">
        <v>0</v>
      </c>
      <c r="P66" s="391">
        <v>0</v>
      </c>
      <c r="Q66" s="391">
        <v>0</v>
      </c>
      <c r="R66" s="389" t="s">
        <v>1002</v>
      </c>
    </row>
    <row r="67" spans="1:18" x14ac:dyDescent="0.4">
      <c r="A67" s="42" t="s">
        <v>551</v>
      </c>
      <c r="B67" s="30" t="s">
        <v>86</v>
      </c>
      <c r="C67" s="30" t="s">
        <v>201</v>
      </c>
      <c r="D67" s="30">
        <v>20</v>
      </c>
      <c r="E67" s="23">
        <v>5</v>
      </c>
      <c r="F67" s="68"/>
      <c r="G67" s="68">
        <v>0.54166666666666663</v>
      </c>
      <c r="H67" s="68">
        <v>0.72916666666666663</v>
      </c>
      <c r="I67" s="173" t="s">
        <v>1243</v>
      </c>
      <c r="J67" s="23">
        <v>5</v>
      </c>
      <c r="K67" s="23"/>
      <c r="L67" s="68">
        <v>0.54166666666666663</v>
      </c>
      <c r="M67" s="68">
        <v>0.72916666666666663</v>
      </c>
      <c r="N67" s="173" t="s">
        <v>1243</v>
      </c>
      <c r="O67" s="23">
        <v>2700</v>
      </c>
      <c r="P67" s="70">
        <v>0.54166666666666663</v>
      </c>
      <c r="Q67" s="70">
        <v>0.72916666666666663</v>
      </c>
      <c r="R67" s="229" t="s">
        <v>1243</v>
      </c>
    </row>
    <row r="68" spans="1:18" x14ac:dyDescent="0.4">
      <c r="A68" s="42" t="s">
        <v>551</v>
      </c>
      <c r="B68" s="30" t="s">
        <v>71</v>
      </c>
      <c r="C68" s="30" t="s">
        <v>176</v>
      </c>
      <c r="D68" s="30">
        <v>36</v>
      </c>
      <c r="E68" s="23">
        <v>6</v>
      </c>
      <c r="F68" s="68"/>
      <c r="G68" s="68">
        <v>0.29166666666666669</v>
      </c>
      <c r="H68" s="68">
        <v>0.5</v>
      </c>
      <c r="I68" s="173" t="s">
        <v>1327</v>
      </c>
      <c r="J68" s="23">
        <v>5</v>
      </c>
      <c r="K68" s="23"/>
      <c r="L68" s="68">
        <v>0.3125</v>
      </c>
      <c r="M68" s="68">
        <v>0.5</v>
      </c>
      <c r="N68" s="173" t="s">
        <v>1243</v>
      </c>
      <c r="O68" s="23">
        <v>3150</v>
      </c>
      <c r="P68" s="70">
        <v>0.29166666666666669</v>
      </c>
      <c r="Q68" s="70">
        <v>0.5</v>
      </c>
      <c r="R68" s="229" t="s">
        <v>1327</v>
      </c>
    </row>
    <row r="69" spans="1:18" x14ac:dyDescent="0.4">
      <c r="A69" s="42" t="s">
        <v>551</v>
      </c>
      <c r="B69" s="30" t="s">
        <v>461</v>
      </c>
      <c r="C69" s="30" t="s">
        <v>237</v>
      </c>
      <c r="D69" s="30">
        <v>17</v>
      </c>
      <c r="E69" s="23">
        <v>5</v>
      </c>
      <c r="F69" s="68"/>
      <c r="G69" s="68">
        <v>0.58680555555555558</v>
      </c>
      <c r="H69" s="68">
        <v>0.75</v>
      </c>
      <c r="I69" s="173" t="s">
        <v>1359</v>
      </c>
      <c r="J69" s="23">
        <v>3</v>
      </c>
      <c r="K69" s="23"/>
      <c r="L69" s="68">
        <v>0.61805555555555558</v>
      </c>
      <c r="M69" s="68">
        <v>0.77083333333333337</v>
      </c>
      <c r="N69" s="173" t="s">
        <v>1254</v>
      </c>
      <c r="O69" s="23">
        <v>1835</v>
      </c>
      <c r="P69" s="70">
        <v>0.58680555555555558</v>
      </c>
      <c r="Q69" s="70">
        <v>0.77083333333333337</v>
      </c>
      <c r="R69" s="229" t="s">
        <v>1356</v>
      </c>
    </row>
    <row r="70" spans="1:18" x14ac:dyDescent="0.4">
      <c r="A70" s="42" t="s">
        <v>551</v>
      </c>
      <c r="B70" s="30" t="s">
        <v>64</v>
      </c>
      <c r="C70" s="30" t="s">
        <v>271</v>
      </c>
      <c r="D70" s="30">
        <v>28</v>
      </c>
      <c r="E70" s="23">
        <v>5</v>
      </c>
      <c r="F70" s="68"/>
      <c r="G70" s="68">
        <v>0.29166666666666669</v>
      </c>
      <c r="H70" s="68">
        <v>0.58680555555555558</v>
      </c>
      <c r="I70" s="173" t="s">
        <v>1360</v>
      </c>
      <c r="J70" s="23">
        <v>3</v>
      </c>
      <c r="K70" s="23"/>
      <c r="L70" s="68">
        <v>0.3125</v>
      </c>
      <c r="M70" s="68">
        <v>0.61805555555555558</v>
      </c>
      <c r="N70" s="173" t="s">
        <v>1353</v>
      </c>
      <c r="O70" s="23">
        <v>2965</v>
      </c>
      <c r="P70" s="70">
        <v>0.29166666666666669</v>
      </c>
      <c r="Q70" s="70">
        <v>0.61805555555555558</v>
      </c>
      <c r="R70" s="229" t="s">
        <v>1337</v>
      </c>
    </row>
    <row r="71" spans="1:18" x14ac:dyDescent="0.4">
      <c r="A71" s="42" t="s">
        <v>551</v>
      </c>
      <c r="B71" s="42" t="s">
        <v>65</v>
      </c>
      <c r="C71" s="30" t="s">
        <v>189</v>
      </c>
      <c r="D71" s="173">
        <v>72</v>
      </c>
      <c r="E71" s="23">
        <v>3</v>
      </c>
      <c r="F71" s="68">
        <v>6.25E-2</v>
      </c>
      <c r="G71" s="68">
        <v>0.29166666666666669</v>
      </c>
      <c r="H71" s="68">
        <v>0.75</v>
      </c>
      <c r="I71" s="173" t="s">
        <v>1336</v>
      </c>
      <c r="J71" s="23">
        <v>4</v>
      </c>
      <c r="K71" s="23"/>
      <c r="L71" s="68">
        <v>0.29166666666666669</v>
      </c>
      <c r="M71" s="68">
        <v>0.77430555555555547</v>
      </c>
      <c r="N71" s="173" t="s">
        <v>1361</v>
      </c>
      <c r="O71" s="23">
        <v>4610</v>
      </c>
      <c r="P71" s="70">
        <v>0.29166666666666669</v>
      </c>
      <c r="Q71" s="70">
        <v>0.77430555555555547</v>
      </c>
      <c r="R71" s="229" t="s">
        <v>1361</v>
      </c>
    </row>
    <row r="72" spans="1:18" x14ac:dyDescent="0.4">
      <c r="A72" s="42" t="s">
        <v>552</v>
      </c>
      <c r="B72" s="30" t="s">
        <v>55</v>
      </c>
      <c r="C72" s="30" t="s">
        <v>208</v>
      </c>
      <c r="D72" s="30">
        <v>20</v>
      </c>
      <c r="E72" s="23">
        <v>5</v>
      </c>
      <c r="F72" s="68"/>
      <c r="G72" s="68">
        <v>0.37638888888888888</v>
      </c>
      <c r="H72" s="68">
        <v>0.61111111111111105</v>
      </c>
      <c r="I72" s="173" t="s">
        <v>1362</v>
      </c>
      <c r="J72" s="23">
        <v>4</v>
      </c>
      <c r="K72" s="23"/>
      <c r="L72" s="68">
        <v>0.41666666666666669</v>
      </c>
      <c r="M72" s="68">
        <v>0.65972222222222221</v>
      </c>
      <c r="N72" s="173" t="s">
        <v>1258</v>
      </c>
      <c r="O72" s="23">
        <v>2550</v>
      </c>
      <c r="P72" s="70">
        <v>0.37638888888888888</v>
      </c>
      <c r="Q72" s="70">
        <v>0.65972222222222221</v>
      </c>
      <c r="R72" s="229" t="s">
        <v>1363</v>
      </c>
    </row>
    <row r="73" spans="1:18" x14ac:dyDescent="0.4">
      <c r="A73" s="42" t="s">
        <v>552</v>
      </c>
      <c r="B73" s="30" t="s">
        <v>548</v>
      </c>
      <c r="C73" s="30" t="s">
        <v>218</v>
      </c>
      <c r="D73" s="30">
        <v>8</v>
      </c>
      <c r="E73" s="23">
        <v>5</v>
      </c>
      <c r="F73" s="68"/>
      <c r="G73" s="68">
        <v>0.61111111111111105</v>
      </c>
      <c r="H73" s="68">
        <v>0.70833333333333337</v>
      </c>
      <c r="I73" s="173" t="s">
        <v>1313</v>
      </c>
      <c r="J73" s="23">
        <v>4</v>
      </c>
      <c r="K73" s="23"/>
      <c r="L73" s="68">
        <v>0.65972222222222221</v>
      </c>
      <c r="M73" s="68">
        <v>0.77083333333333337</v>
      </c>
      <c r="N73" s="173" t="s">
        <v>1325</v>
      </c>
      <c r="O73" s="23">
        <v>1340</v>
      </c>
      <c r="P73" s="70">
        <v>0.61111111111111105</v>
      </c>
      <c r="Q73" s="70">
        <v>0.77083333333333337</v>
      </c>
      <c r="R73" s="229" t="s">
        <v>1332</v>
      </c>
    </row>
    <row r="74" spans="1:18" x14ac:dyDescent="0.4">
      <c r="A74" s="42" t="s">
        <v>552</v>
      </c>
      <c r="B74" s="30" t="s">
        <v>117</v>
      </c>
      <c r="C74" s="30" t="s">
        <v>304</v>
      </c>
      <c r="D74" s="30">
        <v>8</v>
      </c>
      <c r="E74" s="23">
        <v>5</v>
      </c>
      <c r="F74" s="68"/>
      <c r="G74" s="68">
        <v>0.29166666666666669</v>
      </c>
      <c r="H74" s="68">
        <v>0.37638888888888888</v>
      </c>
      <c r="I74" s="173" t="s">
        <v>1364</v>
      </c>
      <c r="J74" s="23">
        <v>4</v>
      </c>
      <c r="K74" s="23"/>
      <c r="L74" s="68">
        <v>0.3125</v>
      </c>
      <c r="M74" s="68">
        <v>0.41666666666666669</v>
      </c>
      <c r="N74" s="173" t="s">
        <v>1298</v>
      </c>
      <c r="O74" s="23">
        <v>1210</v>
      </c>
      <c r="P74" s="70">
        <v>0.29166666666666669</v>
      </c>
      <c r="Q74" s="70">
        <v>0.41666666666666669</v>
      </c>
      <c r="R74" s="229" t="s">
        <v>1316</v>
      </c>
    </row>
    <row r="75" spans="1:18" x14ac:dyDescent="0.4">
      <c r="A75" s="42" t="s">
        <v>553</v>
      </c>
      <c r="B75" s="30" t="s">
        <v>87</v>
      </c>
      <c r="C75" s="30" t="s">
        <v>199</v>
      </c>
      <c r="D75" s="30">
        <v>72</v>
      </c>
      <c r="E75" s="23">
        <v>6</v>
      </c>
      <c r="F75" s="68"/>
      <c r="G75" s="68">
        <v>0.29166666666666669</v>
      </c>
      <c r="H75" s="68">
        <v>0.66666666666666663</v>
      </c>
      <c r="I75" s="173" t="s">
        <v>1292</v>
      </c>
      <c r="J75" s="23">
        <v>5</v>
      </c>
      <c r="K75" s="23"/>
      <c r="L75" s="68">
        <v>0.3125</v>
      </c>
      <c r="M75" s="68">
        <v>0.70833333333333337</v>
      </c>
      <c r="N75" s="173" t="s">
        <v>990</v>
      </c>
      <c r="O75" s="23">
        <v>5430</v>
      </c>
      <c r="P75" s="70">
        <v>0.29166666666666669</v>
      </c>
      <c r="Q75" s="70">
        <v>0.70833333333333337</v>
      </c>
      <c r="R75" s="229" t="s">
        <v>1252</v>
      </c>
    </row>
    <row r="76" spans="1:18" x14ac:dyDescent="0.4">
      <c r="A76" s="42" t="s">
        <v>553</v>
      </c>
      <c r="B76" s="30" t="s">
        <v>75</v>
      </c>
      <c r="C76" s="30" t="s">
        <v>229</v>
      </c>
      <c r="D76" s="30">
        <v>20</v>
      </c>
      <c r="E76" s="23">
        <v>5</v>
      </c>
      <c r="F76" s="68"/>
      <c r="G76" s="68">
        <v>0.39930555555555558</v>
      </c>
      <c r="H76" s="68">
        <v>0.61111111111111105</v>
      </c>
      <c r="I76" s="173" t="s">
        <v>1365</v>
      </c>
      <c r="J76" s="23">
        <v>3</v>
      </c>
      <c r="K76" s="23"/>
      <c r="L76" s="68">
        <v>0.4236111111111111</v>
      </c>
      <c r="M76" s="68">
        <v>0.63888888888888895</v>
      </c>
      <c r="N76" s="173" t="s">
        <v>1311</v>
      </c>
      <c r="O76" s="23">
        <v>1975</v>
      </c>
      <c r="P76" s="70">
        <v>0.39930555555555558</v>
      </c>
      <c r="Q76" s="70">
        <v>0.63888888888888895</v>
      </c>
      <c r="R76" s="229" t="s">
        <v>1335</v>
      </c>
    </row>
    <row r="77" spans="1:18" x14ac:dyDescent="0.4">
      <c r="A77" s="42" t="s">
        <v>553</v>
      </c>
      <c r="B77" s="30" t="s">
        <v>63</v>
      </c>
      <c r="C77" s="30" t="s">
        <v>267</v>
      </c>
      <c r="D77" s="30">
        <v>12</v>
      </c>
      <c r="E77" s="23">
        <v>5</v>
      </c>
      <c r="F77" s="68"/>
      <c r="G77" s="68">
        <v>0.61111111111111105</v>
      </c>
      <c r="H77" s="68">
        <v>0.72916666666666663</v>
      </c>
      <c r="I77" s="173" t="s">
        <v>1314</v>
      </c>
      <c r="J77" s="23">
        <v>3</v>
      </c>
      <c r="K77" s="23"/>
      <c r="L77" s="68">
        <v>0.63888888888888895</v>
      </c>
      <c r="M77" s="68">
        <v>0.72916666666666663</v>
      </c>
      <c r="N77" s="173" t="s">
        <v>1248</v>
      </c>
      <c r="O77" s="23">
        <v>1240</v>
      </c>
      <c r="P77" s="70">
        <v>0.61111111111111105</v>
      </c>
      <c r="Q77" s="70">
        <v>0.72916666666666663</v>
      </c>
      <c r="R77" s="229" t="s">
        <v>1314</v>
      </c>
    </row>
    <row r="78" spans="1:18" x14ac:dyDescent="0.4">
      <c r="A78" s="42" t="s">
        <v>553</v>
      </c>
      <c r="B78" s="30" t="s">
        <v>504</v>
      </c>
      <c r="C78" s="30" t="s">
        <v>245</v>
      </c>
      <c r="D78" s="30">
        <v>12</v>
      </c>
      <c r="E78" s="23">
        <v>5</v>
      </c>
      <c r="F78" s="68"/>
      <c r="G78" s="68">
        <v>0.29166666666666669</v>
      </c>
      <c r="H78" s="68">
        <v>0.39930555555555558</v>
      </c>
      <c r="I78" s="173" t="s">
        <v>1301</v>
      </c>
      <c r="J78" s="23">
        <v>3</v>
      </c>
      <c r="K78" s="23"/>
      <c r="L78" s="68">
        <v>0.3125</v>
      </c>
      <c r="M78" s="68">
        <v>0.4236111111111111</v>
      </c>
      <c r="N78" s="173" t="s">
        <v>1325</v>
      </c>
      <c r="O78" s="23">
        <v>1255</v>
      </c>
      <c r="P78" s="70">
        <v>0.29166666666666669</v>
      </c>
      <c r="Q78" s="70">
        <v>0.4236111111111111</v>
      </c>
      <c r="R78" s="229" t="s">
        <v>1256</v>
      </c>
    </row>
    <row r="79" spans="1:18" x14ac:dyDescent="0.4">
      <c r="A79" s="42" t="s">
        <v>553</v>
      </c>
      <c r="B79" s="30" t="s">
        <v>110</v>
      </c>
      <c r="C79" s="30" t="s">
        <v>231</v>
      </c>
      <c r="D79" s="30">
        <v>21</v>
      </c>
      <c r="E79" s="23">
        <v>3</v>
      </c>
      <c r="F79" s="68">
        <v>2.0833333333333332E-2</v>
      </c>
      <c r="G79" s="68">
        <v>0.29166666666666669</v>
      </c>
      <c r="H79" s="68">
        <v>0.70833333333333337</v>
      </c>
      <c r="I79" s="173" t="s">
        <v>1247</v>
      </c>
      <c r="J79" s="23">
        <v>9</v>
      </c>
      <c r="K79" s="23"/>
      <c r="L79" s="68">
        <v>0.29166666666666669</v>
      </c>
      <c r="M79" s="68">
        <v>0.70833333333333337</v>
      </c>
      <c r="N79" s="173" t="s">
        <v>1252</v>
      </c>
      <c r="O79" s="23">
        <v>6570</v>
      </c>
      <c r="P79" s="70">
        <v>0.29166666666666669</v>
      </c>
      <c r="Q79" s="70">
        <v>0.70833333333333337</v>
      </c>
      <c r="R79" s="229" t="s">
        <v>1252</v>
      </c>
    </row>
    <row r="80" spans="1:18" x14ac:dyDescent="0.4">
      <c r="A80" s="42" t="s">
        <v>560</v>
      </c>
      <c r="B80" s="30" t="s">
        <v>106</v>
      </c>
      <c r="C80" s="30" t="s">
        <v>173</v>
      </c>
      <c r="D80" s="30">
        <v>20</v>
      </c>
      <c r="E80" s="23">
        <v>4</v>
      </c>
      <c r="F80" s="68"/>
      <c r="G80" s="68">
        <v>0.54166666666666663</v>
      </c>
      <c r="H80" s="68">
        <v>0.70833333333333337</v>
      </c>
      <c r="I80" s="173" t="s">
        <v>1244</v>
      </c>
      <c r="J80" s="23">
        <v>9</v>
      </c>
      <c r="K80" s="68">
        <v>2.7777777777777776E-2</v>
      </c>
      <c r="L80" s="68">
        <v>0.54166666666666663</v>
      </c>
      <c r="M80" s="68">
        <v>0.75</v>
      </c>
      <c r="N80" s="173" t="s">
        <v>1339</v>
      </c>
      <c r="O80" s="23">
        <v>4020</v>
      </c>
      <c r="P80" s="70">
        <v>0.54166666666666663</v>
      </c>
      <c r="Q80" s="70">
        <v>0.75</v>
      </c>
      <c r="R80" s="229" t="s">
        <v>1327</v>
      </c>
    </row>
    <row r="81" spans="1:18" x14ac:dyDescent="0.4">
      <c r="A81" s="42" t="s">
        <v>560</v>
      </c>
      <c r="B81" s="30" t="s">
        <v>91</v>
      </c>
      <c r="C81" s="30" t="s">
        <v>163</v>
      </c>
      <c r="D81" s="30">
        <v>12</v>
      </c>
      <c r="E81" s="23">
        <v>4</v>
      </c>
      <c r="F81" s="68"/>
      <c r="G81" s="68">
        <v>0.29166666666666669</v>
      </c>
      <c r="H81" s="68">
        <v>0.5</v>
      </c>
      <c r="I81" s="173" t="s">
        <v>1327</v>
      </c>
      <c r="J81" s="23">
        <v>9</v>
      </c>
      <c r="K81" s="68">
        <v>2.7777777777777776E-2</v>
      </c>
      <c r="L81" s="68">
        <v>0.36805555555555558</v>
      </c>
      <c r="M81" s="68">
        <v>0.5</v>
      </c>
      <c r="N81" s="173" t="s">
        <v>1332</v>
      </c>
      <c r="O81" s="23">
        <v>3270</v>
      </c>
      <c r="P81" s="70">
        <v>0.29166666666666669</v>
      </c>
      <c r="Q81" s="70">
        <v>0.5</v>
      </c>
      <c r="R81" s="229" t="s">
        <v>1327</v>
      </c>
    </row>
    <row r="82" spans="1:18" x14ac:dyDescent="0.4">
      <c r="A82" s="42" t="s">
        <v>560</v>
      </c>
      <c r="B82" s="30" t="s">
        <v>72</v>
      </c>
      <c r="C82" s="30" t="s">
        <v>227</v>
      </c>
      <c r="D82" s="30">
        <v>20</v>
      </c>
      <c r="E82" s="23">
        <v>5</v>
      </c>
      <c r="F82" s="68"/>
      <c r="G82" s="68">
        <v>0.29166666666666669</v>
      </c>
      <c r="H82" s="68">
        <v>0.46249999999999997</v>
      </c>
      <c r="I82" s="173" t="s">
        <v>1366</v>
      </c>
      <c r="J82" s="23">
        <v>3</v>
      </c>
      <c r="K82" s="23"/>
      <c r="L82" s="68">
        <v>0.3125</v>
      </c>
      <c r="M82" s="68">
        <v>0.5</v>
      </c>
      <c r="N82" s="173" t="s">
        <v>1243</v>
      </c>
      <c r="O82" s="23">
        <v>2040</v>
      </c>
      <c r="P82" s="70">
        <v>0.29166666666666669</v>
      </c>
      <c r="Q82" s="70">
        <v>0.5</v>
      </c>
      <c r="R82" s="229" t="s">
        <v>1327</v>
      </c>
    </row>
    <row r="83" spans="1:18" x14ac:dyDescent="0.4">
      <c r="A83" s="42" t="s">
        <v>560</v>
      </c>
      <c r="B83" s="30" t="s">
        <v>63</v>
      </c>
      <c r="C83" s="30" t="s">
        <v>267</v>
      </c>
      <c r="D83" s="30">
        <v>20</v>
      </c>
      <c r="E83" s="23">
        <v>5</v>
      </c>
      <c r="F83" s="68"/>
      <c r="G83" s="68">
        <v>0.46249999999999997</v>
      </c>
      <c r="H83" s="68">
        <v>0.6875</v>
      </c>
      <c r="I83" s="173" t="s">
        <v>1367</v>
      </c>
      <c r="J83" s="23">
        <v>3</v>
      </c>
      <c r="K83" s="23"/>
      <c r="L83" s="68">
        <v>0.54166666666666663</v>
      </c>
      <c r="M83" s="68">
        <v>0.70833333333333337</v>
      </c>
      <c r="N83" s="173" t="s">
        <v>1244</v>
      </c>
      <c r="O83" s="23">
        <v>2040</v>
      </c>
      <c r="P83" s="70">
        <v>0.46249999999999997</v>
      </c>
      <c r="Q83" s="70">
        <v>0.70833333333333337</v>
      </c>
      <c r="R83" s="229" t="s">
        <v>1368</v>
      </c>
    </row>
    <row r="84" spans="1:18" x14ac:dyDescent="0.4">
      <c r="A84" s="42" t="s">
        <v>560</v>
      </c>
      <c r="B84" s="42" t="s">
        <v>65</v>
      </c>
      <c r="C84" s="30" t="s">
        <v>189</v>
      </c>
      <c r="D84" s="173">
        <v>60</v>
      </c>
      <c r="E84" s="23">
        <v>3</v>
      </c>
      <c r="F84" s="68">
        <v>6.25E-2</v>
      </c>
      <c r="G84" s="68">
        <v>0.29166666666666669</v>
      </c>
      <c r="H84" s="68">
        <v>0.70833333333333337</v>
      </c>
      <c r="I84" s="173" t="s">
        <v>1369</v>
      </c>
      <c r="J84" s="23">
        <v>4</v>
      </c>
      <c r="K84" s="23"/>
      <c r="L84" s="68">
        <v>0.29166666666666669</v>
      </c>
      <c r="M84" s="68">
        <v>0.72916666666666663</v>
      </c>
      <c r="N84" s="173" t="s">
        <v>1247</v>
      </c>
      <c r="O84" s="23">
        <v>4170</v>
      </c>
      <c r="P84" s="70">
        <v>0.29166666666666669</v>
      </c>
      <c r="Q84" s="70">
        <v>0.72916666666666663</v>
      </c>
      <c r="R84" s="229" t="s">
        <v>1247</v>
      </c>
    </row>
    <row r="85" spans="1:18" x14ac:dyDescent="0.4">
      <c r="A85" s="42" t="s">
        <v>561</v>
      </c>
      <c r="B85" s="30" t="s">
        <v>71</v>
      </c>
      <c r="C85" s="30" t="s">
        <v>176</v>
      </c>
      <c r="D85" s="30">
        <v>72</v>
      </c>
      <c r="E85" s="23">
        <v>6</v>
      </c>
      <c r="F85" s="68"/>
      <c r="G85" s="68">
        <v>0.29166666666666669</v>
      </c>
      <c r="H85" s="68">
        <v>0.66666666666666663</v>
      </c>
      <c r="I85" s="173" t="s">
        <v>1292</v>
      </c>
      <c r="J85" s="23">
        <v>5</v>
      </c>
      <c r="K85" s="23"/>
      <c r="L85" s="68">
        <v>0.3125</v>
      </c>
      <c r="M85" s="68">
        <v>0.70833333333333337</v>
      </c>
      <c r="N85" s="173" t="s">
        <v>990</v>
      </c>
      <c r="O85" s="23">
        <v>5430</v>
      </c>
      <c r="P85" s="70">
        <v>0.29166666666666669</v>
      </c>
      <c r="Q85" s="70">
        <v>0.70833333333333337</v>
      </c>
      <c r="R85" s="229" t="s">
        <v>1252</v>
      </c>
    </row>
    <row r="86" spans="1:18" x14ac:dyDescent="0.4">
      <c r="A86" s="42" t="s">
        <v>561</v>
      </c>
      <c r="B86" s="30" t="s">
        <v>63</v>
      </c>
      <c r="C86" s="30" t="s">
        <v>267</v>
      </c>
      <c r="D86" s="30">
        <v>20</v>
      </c>
      <c r="E86" s="23">
        <v>5</v>
      </c>
      <c r="F86" s="68"/>
      <c r="G86" s="68">
        <v>0.54166666666666663</v>
      </c>
      <c r="H86" s="68">
        <v>0.70833333333333337</v>
      </c>
      <c r="I86" s="173" t="s">
        <v>1244</v>
      </c>
      <c r="J86" s="23">
        <v>4</v>
      </c>
      <c r="K86" s="23"/>
      <c r="L86" s="68">
        <v>0.5625</v>
      </c>
      <c r="M86" s="68">
        <v>0.70833333333333337</v>
      </c>
      <c r="N86" s="173" t="s">
        <v>1303</v>
      </c>
      <c r="O86" s="23">
        <v>2040</v>
      </c>
      <c r="P86" s="70">
        <v>0.54166666666666663</v>
      </c>
      <c r="Q86" s="70">
        <v>0.70833333333333337</v>
      </c>
      <c r="R86" s="229" t="s">
        <v>1244</v>
      </c>
    </row>
    <row r="87" spans="1:18" x14ac:dyDescent="0.4">
      <c r="A87" s="42" t="s">
        <v>561</v>
      </c>
      <c r="B87" s="30" t="s">
        <v>64</v>
      </c>
      <c r="C87" s="30" t="s">
        <v>271</v>
      </c>
      <c r="D87" s="30">
        <v>20</v>
      </c>
      <c r="E87" s="23">
        <v>5</v>
      </c>
      <c r="F87" s="68"/>
      <c r="G87" s="68">
        <v>0.29166666666666669</v>
      </c>
      <c r="H87" s="68">
        <v>0.5</v>
      </c>
      <c r="I87" s="173" t="s">
        <v>1327</v>
      </c>
      <c r="J87" s="23">
        <v>4</v>
      </c>
      <c r="K87" s="23"/>
      <c r="L87" s="68">
        <v>0.3125</v>
      </c>
      <c r="M87" s="68">
        <v>0.5625</v>
      </c>
      <c r="N87" s="173" t="s">
        <v>1327</v>
      </c>
      <c r="O87" s="23">
        <v>2700</v>
      </c>
      <c r="P87" s="70">
        <v>0.29166666666666669</v>
      </c>
      <c r="Q87" s="70">
        <v>0.5625</v>
      </c>
      <c r="R87" s="229" t="s">
        <v>1320</v>
      </c>
    </row>
    <row r="88" spans="1:18" x14ac:dyDescent="0.4">
      <c r="A88" s="42" t="s">
        <v>561</v>
      </c>
      <c r="B88" s="42" t="s">
        <v>65</v>
      </c>
      <c r="C88" s="30" t="s">
        <v>189</v>
      </c>
      <c r="D88" s="173">
        <v>60</v>
      </c>
      <c r="E88" s="23">
        <v>3</v>
      </c>
      <c r="F88" s="68">
        <v>4.1666666666666664E-2</v>
      </c>
      <c r="G88" s="68">
        <v>0.29166666666666669</v>
      </c>
      <c r="H88" s="68">
        <v>0.66666666666666663</v>
      </c>
      <c r="I88" s="173" t="s">
        <v>1252</v>
      </c>
      <c r="J88" s="23">
        <v>4</v>
      </c>
      <c r="K88" s="23">
        <v>4</v>
      </c>
      <c r="L88" s="68">
        <v>0.29166666666666669</v>
      </c>
      <c r="M88" s="68">
        <v>0.70833333333333337</v>
      </c>
      <c r="N88" s="173" t="s">
        <v>1370</v>
      </c>
      <c r="O88" s="23">
        <v>26820</v>
      </c>
      <c r="P88" s="70">
        <v>0.29166666666666669</v>
      </c>
      <c r="Q88" s="70">
        <v>0.70833333333333337</v>
      </c>
      <c r="R88" s="229" t="s">
        <v>1252</v>
      </c>
    </row>
    <row r="89" spans="1:18" x14ac:dyDescent="0.4">
      <c r="A89" s="42" t="s">
        <v>562</v>
      </c>
      <c r="B89" s="30" t="s">
        <v>63</v>
      </c>
      <c r="C89" s="30" t="s">
        <v>267</v>
      </c>
      <c r="D89" s="30">
        <v>28</v>
      </c>
      <c r="E89" s="23">
        <v>5</v>
      </c>
      <c r="F89" s="68"/>
      <c r="G89" s="68">
        <v>0.39999999999999997</v>
      </c>
      <c r="H89" s="68">
        <v>0.6875</v>
      </c>
      <c r="I89" s="173" t="s">
        <v>1371</v>
      </c>
      <c r="J89" s="23">
        <v>4</v>
      </c>
      <c r="K89" s="23"/>
      <c r="L89" s="68">
        <v>0.43402777777777773</v>
      </c>
      <c r="M89" s="68">
        <v>0.72916666666666663</v>
      </c>
      <c r="N89" s="173" t="s">
        <v>1360</v>
      </c>
      <c r="O89" s="23">
        <v>3230</v>
      </c>
      <c r="P89" s="70">
        <v>0.39999999999999997</v>
      </c>
      <c r="Q89" s="70">
        <v>0.72916666666666663</v>
      </c>
      <c r="R89" s="229" t="s">
        <v>1372</v>
      </c>
    </row>
    <row r="90" spans="1:18" x14ac:dyDescent="0.4">
      <c r="A90" s="42" t="s">
        <v>562</v>
      </c>
      <c r="B90" s="30" t="s">
        <v>504</v>
      </c>
      <c r="C90" s="30" t="s">
        <v>245</v>
      </c>
      <c r="D90" s="30">
        <v>12</v>
      </c>
      <c r="E90" s="23">
        <v>5</v>
      </c>
      <c r="F90" s="68"/>
      <c r="G90" s="68">
        <v>0.29166666666666669</v>
      </c>
      <c r="H90" s="68">
        <v>0.39999999999999997</v>
      </c>
      <c r="I90" s="173" t="s">
        <v>1373</v>
      </c>
      <c r="J90" s="23">
        <v>4</v>
      </c>
      <c r="K90" s="23"/>
      <c r="L90" s="68">
        <v>0.3125</v>
      </c>
      <c r="M90" s="68">
        <v>0.43402777777777773</v>
      </c>
      <c r="N90" s="173" t="s">
        <v>1326</v>
      </c>
      <c r="O90" s="23">
        <v>1480</v>
      </c>
      <c r="P90" s="70">
        <v>0.29166666666666669</v>
      </c>
      <c r="Q90" s="70">
        <v>0.43402777777777773</v>
      </c>
      <c r="R90" s="229" t="s">
        <v>1299</v>
      </c>
    </row>
    <row r="91" spans="1:18" x14ac:dyDescent="0.4">
      <c r="A91" s="42" t="s">
        <v>562</v>
      </c>
      <c r="B91" s="30" t="s">
        <v>108</v>
      </c>
      <c r="C91" s="30" t="s">
        <v>231</v>
      </c>
      <c r="D91" s="30">
        <v>21</v>
      </c>
      <c r="E91" s="23">
        <v>3</v>
      </c>
      <c r="F91" s="68">
        <v>2.0833333333333332E-2</v>
      </c>
      <c r="G91" s="68">
        <v>0.29166666666666669</v>
      </c>
      <c r="H91" s="68">
        <v>0.70833333333333337</v>
      </c>
      <c r="I91" s="173" t="s">
        <v>1247</v>
      </c>
      <c r="J91" s="23">
        <v>9</v>
      </c>
      <c r="K91" s="23"/>
      <c r="L91" s="68">
        <v>0.29166666666666669</v>
      </c>
      <c r="M91" s="68">
        <v>0.70833333333333337</v>
      </c>
      <c r="N91" s="173" t="s">
        <v>1252</v>
      </c>
      <c r="O91" s="23">
        <v>6570</v>
      </c>
      <c r="P91" s="70">
        <v>0.29166666666666669</v>
      </c>
      <c r="Q91" s="70">
        <v>0.70833333333333337</v>
      </c>
      <c r="R91" s="229" t="s">
        <v>1252</v>
      </c>
    </row>
    <row r="92" spans="1:18" x14ac:dyDescent="0.4">
      <c r="A92" s="42" t="s">
        <v>562</v>
      </c>
      <c r="B92" s="42" t="s">
        <v>65</v>
      </c>
      <c r="C92" s="30" t="s">
        <v>189</v>
      </c>
      <c r="D92" s="173">
        <v>60</v>
      </c>
      <c r="E92" s="23">
        <v>3</v>
      </c>
      <c r="F92" s="68">
        <v>4.1666666666666664E-2</v>
      </c>
      <c r="G92" s="68">
        <v>0.29166666666666669</v>
      </c>
      <c r="H92" s="68">
        <v>0.70833333333333337</v>
      </c>
      <c r="I92" s="173" t="s">
        <v>1308</v>
      </c>
      <c r="J92" s="23">
        <v>4</v>
      </c>
      <c r="K92" s="23"/>
      <c r="L92" s="68">
        <v>0.29166666666666669</v>
      </c>
      <c r="M92" s="68">
        <v>0.70833333333333337</v>
      </c>
      <c r="N92" s="173" t="s">
        <v>1252</v>
      </c>
      <c r="O92" s="23">
        <v>3960</v>
      </c>
      <c r="P92" s="70">
        <v>0.29166666666666669</v>
      </c>
      <c r="Q92" s="70">
        <v>0.70833333333333337</v>
      </c>
      <c r="R92" s="229" t="s">
        <v>1252</v>
      </c>
    </row>
    <row r="93" spans="1:18" x14ac:dyDescent="0.4">
      <c r="A93" s="42" t="s">
        <v>563</v>
      </c>
      <c r="B93" s="30" t="s">
        <v>55</v>
      </c>
      <c r="C93" s="30" t="s">
        <v>208</v>
      </c>
      <c r="D93" s="30">
        <v>24</v>
      </c>
      <c r="E93" s="23">
        <v>5</v>
      </c>
      <c r="F93" s="68"/>
      <c r="G93" s="68">
        <v>0.54166666666666663</v>
      </c>
      <c r="H93" s="68">
        <v>0.77083333333333337</v>
      </c>
      <c r="I93" s="173" t="s">
        <v>1320</v>
      </c>
      <c r="J93" s="23">
        <v>5</v>
      </c>
      <c r="K93" s="23"/>
      <c r="L93" s="68">
        <v>0.56597222222222221</v>
      </c>
      <c r="M93" s="68">
        <v>0.83333333333333337</v>
      </c>
      <c r="N93" s="173" t="s">
        <v>1374</v>
      </c>
      <c r="O93" s="23">
        <v>3575</v>
      </c>
      <c r="P93" s="70">
        <v>0.54166666666666663</v>
      </c>
      <c r="Q93" s="70">
        <v>0.83333333333333337</v>
      </c>
      <c r="R93" s="229" t="s">
        <v>1341</v>
      </c>
    </row>
    <row r="94" spans="1:18" x14ac:dyDescent="0.4">
      <c r="A94" s="42" t="s">
        <v>563</v>
      </c>
      <c r="B94" s="30" t="s">
        <v>130</v>
      </c>
      <c r="C94" s="30" t="s">
        <v>216</v>
      </c>
      <c r="D94" s="30">
        <v>11</v>
      </c>
      <c r="E94" s="23">
        <v>5</v>
      </c>
      <c r="F94" s="68"/>
      <c r="G94" s="68">
        <v>0.29166666666666669</v>
      </c>
      <c r="H94" s="68">
        <v>0.41319444444444442</v>
      </c>
      <c r="I94" s="173" t="s">
        <v>1326</v>
      </c>
      <c r="J94" s="23">
        <v>5</v>
      </c>
      <c r="K94" s="23"/>
      <c r="L94" s="68">
        <v>0.3125</v>
      </c>
      <c r="M94" s="68">
        <v>0.46180555555555558</v>
      </c>
      <c r="N94" s="173" t="s">
        <v>1355</v>
      </c>
      <c r="O94" s="23">
        <v>1950</v>
      </c>
      <c r="P94" s="70">
        <v>0.29166666666666669</v>
      </c>
      <c r="Q94" s="70">
        <v>0.46180555555555558</v>
      </c>
      <c r="R94" s="229" t="s">
        <v>1365</v>
      </c>
    </row>
    <row r="95" spans="1:18" x14ac:dyDescent="0.4">
      <c r="A95" s="42" t="s">
        <v>563</v>
      </c>
      <c r="B95" s="30" t="s">
        <v>101</v>
      </c>
      <c r="C95" s="30" t="s">
        <v>222</v>
      </c>
      <c r="D95" s="30">
        <v>3</v>
      </c>
      <c r="E95" s="23">
        <v>5</v>
      </c>
      <c r="F95" s="68"/>
      <c r="G95" s="68">
        <v>0.41319444444444442</v>
      </c>
      <c r="H95" s="68">
        <v>0.5</v>
      </c>
      <c r="I95" s="173" t="s">
        <v>1249</v>
      </c>
      <c r="J95" s="23">
        <v>5</v>
      </c>
      <c r="K95" s="23"/>
      <c r="L95" s="68">
        <v>0.46180555555555558</v>
      </c>
      <c r="M95" s="68">
        <v>0.56597222222222221</v>
      </c>
      <c r="N95" s="173" t="s">
        <v>1375</v>
      </c>
      <c r="O95" s="23">
        <v>1075</v>
      </c>
      <c r="P95" s="70">
        <v>0.41319444444444442</v>
      </c>
      <c r="Q95" s="70">
        <v>0.56597222222222221</v>
      </c>
      <c r="R95" s="229" t="s">
        <v>1325</v>
      </c>
    </row>
    <row r="96" spans="1:18" x14ac:dyDescent="0.4">
      <c r="A96" s="42" t="s">
        <v>563</v>
      </c>
      <c r="B96" s="30" t="s">
        <v>73</v>
      </c>
      <c r="C96" s="30" t="s">
        <v>231</v>
      </c>
      <c r="D96" s="30">
        <v>21</v>
      </c>
      <c r="E96" s="23">
        <v>3</v>
      </c>
      <c r="F96" s="68">
        <v>2.0833333333333332E-2</v>
      </c>
      <c r="G96" s="68">
        <v>0.29166666666666669</v>
      </c>
      <c r="H96" s="68">
        <v>0.70833333333333337</v>
      </c>
      <c r="I96" s="173" t="s">
        <v>1247</v>
      </c>
      <c r="J96" s="23">
        <v>9</v>
      </c>
      <c r="K96" s="23"/>
      <c r="L96" s="68">
        <v>0.29166666666666669</v>
      </c>
      <c r="M96" s="68">
        <v>0.70833333333333337</v>
      </c>
      <c r="N96" s="173" t="s">
        <v>1252</v>
      </c>
      <c r="O96" s="23">
        <v>6570</v>
      </c>
      <c r="P96" s="70">
        <v>0.29166666666666669</v>
      </c>
      <c r="Q96" s="70">
        <v>0.70833333333333337</v>
      </c>
      <c r="R96" s="229" t="s">
        <v>1252</v>
      </c>
    </row>
    <row r="97" spans="1:18" x14ac:dyDescent="0.4">
      <c r="A97" s="42" t="s">
        <v>563</v>
      </c>
      <c r="B97" s="42" t="s">
        <v>65</v>
      </c>
      <c r="C97" s="30" t="s">
        <v>189</v>
      </c>
      <c r="D97" s="173">
        <v>60</v>
      </c>
      <c r="E97" s="23">
        <v>3</v>
      </c>
      <c r="F97" s="68">
        <v>4.1666666666666664E-2</v>
      </c>
      <c r="G97" s="68">
        <v>0.29166666666666669</v>
      </c>
      <c r="H97" s="68">
        <v>0.70833333333333337</v>
      </c>
      <c r="I97" s="173" t="s">
        <v>1308</v>
      </c>
      <c r="J97" s="23">
        <v>4</v>
      </c>
      <c r="K97" s="23"/>
      <c r="L97" s="68">
        <v>0.29166666666666669</v>
      </c>
      <c r="M97" s="68">
        <v>0.70833333333333337</v>
      </c>
      <c r="N97" s="173" t="s">
        <v>1252</v>
      </c>
      <c r="O97" s="23">
        <v>3960</v>
      </c>
      <c r="P97" s="70">
        <v>0.29166666666666669</v>
      </c>
      <c r="Q97" s="70">
        <v>0.70833333333333337</v>
      </c>
      <c r="R97" s="229" t="s">
        <v>1252</v>
      </c>
    </row>
    <row r="98" spans="1:18" x14ac:dyDescent="0.4">
      <c r="A98" s="401" t="s">
        <v>563</v>
      </c>
      <c r="B98" s="390">
        <v>111010</v>
      </c>
      <c r="C98" s="390" t="s">
        <v>480</v>
      </c>
      <c r="D98" s="390">
        <v>1</v>
      </c>
      <c r="E98" s="387"/>
      <c r="F98" s="388"/>
      <c r="G98" s="388"/>
      <c r="H98" s="388"/>
      <c r="I98" s="386" t="s">
        <v>1002</v>
      </c>
      <c r="J98" s="387"/>
      <c r="K98" s="387"/>
      <c r="L98" s="388"/>
      <c r="M98" s="388"/>
      <c r="N98" s="386" t="s">
        <v>1002</v>
      </c>
      <c r="O98" s="387">
        <v>0</v>
      </c>
      <c r="P98" s="391">
        <v>0</v>
      </c>
      <c r="Q98" s="391">
        <v>0</v>
      </c>
      <c r="R98" s="389" t="s">
        <v>1002</v>
      </c>
    </row>
    <row r="99" spans="1:18" x14ac:dyDescent="0.4">
      <c r="A99" s="42" t="s">
        <v>564</v>
      </c>
      <c r="B99" s="30" t="s">
        <v>61</v>
      </c>
      <c r="C99" s="30" t="s">
        <v>156</v>
      </c>
      <c r="D99" s="30">
        <v>44</v>
      </c>
      <c r="E99" s="23">
        <v>4</v>
      </c>
      <c r="F99" s="68"/>
      <c r="G99" s="68">
        <v>0.29166666666666669</v>
      </c>
      <c r="H99" s="68">
        <v>0.6875</v>
      </c>
      <c r="I99" s="173" t="s">
        <v>990</v>
      </c>
      <c r="J99" s="23">
        <v>10</v>
      </c>
      <c r="K99" s="23"/>
      <c r="L99" s="68">
        <v>0.29166666666666669</v>
      </c>
      <c r="M99" s="68">
        <v>0.70833333333333337</v>
      </c>
      <c r="N99" s="173" t="s">
        <v>1252</v>
      </c>
      <c r="O99" s="23">
        <v>7440</v>
      </c>
      <c r="P99" s="70">
        <v>0.29166666666666669</v>
      </c>
      <c r="Q99" s="70">
        <v>0.70833333333333337</v>
      </c>
      <c r="R99" s="229" t="s">
        <v>1252</v>
      </c>
    </row>
    <row r="100" spans="1:18" x14ac:dyDescent="0.4">
      <c r="A100" s="42" t="s">
        <v>564</v>
      </c>
      <c r="B100" s="30" t="s">
        <v>63</v>
      </c>
      <c r="C100" s="30" t="s">
        <v>267</v>
      </c>
      <c r="D100" s="30">
        <v>20</v>
      </c>
      <c r="E100" s="23">
        <v>5</v>
      </c>
      <c r="F100" s="68"/>
      <c r="G100" s="68">
        <v>0.54166666666666663</v>
      </c>
      <c r="H100" s="68">
        <v>0.70833333333333337</v>
      </c>
      <c r="I100" s="173" t="s">
        <v>1244</v>
      </c>
      <c r="J100" s="23">
        <v>5</v>
      </c>
      <c r="K100" s="23"/>
      <c r="L100" s="68">
        <v>0.5625</v>
      </c>
      <c r="M100" s="68">
        <v>0.72916666666666663</v>
      </c>
      <c r="N100" s="173" t="s">
        <v>1244</v>
      </c>
      <c r="O100" s="23">
        <v>2400</v>
      </c>
      <c r="P100" s="70">
        <v>0.54166666666666663</v>
      </c>
      <c r="Q100" s="70">
        <v>0.72916666666666663</v>
      </c>
      <c r="R100" s="229" t="s">
        <v>1243</v>
      </c>
    </row>
    <row r="101" spans="1:18" x14ac:dyDescent="0.4">
      <c r="A101" s="42" t="s">
        <v>564</v>
      </c>
      <c r="B101" s="30" t="s">
        <v>64</v>
      </c>
      <c r="C101" s="30" t="s">
        <v>271</v>
      </c>
      <c r="D101" s="30">
        <v>20</v>
      </c>
      <c r="E101" s="23">
        <v>5</v>
      </c>
      <c r="F101" s="68"/>
      <c r="G101" s="68">
        <v>0.29166666666666669</v>
      </c>
      <c r="H101" s="68">
        <v>0.5</v>
      </c>
      <c r="I101" s="173" t="s">
        <v>1327</v>
      </c>
      <c r="J101" s="23">
        <v>5</v>
      </c>
      <c r="K101" s="23"/>
      <c r="L101" s="68">
        <v>0.3125</v>
      </c>
      <c r="M101" s="68">
        <v>0.5625</v>
      </c>
      <c r="N101" s="173" t="s">
        <v>1327</v>
      </c>
      <c r="O101" s="23">
        <v>3000</v>
      </c>
      <c r="P101" s="70">
        <v>0.29166666666666669</v>
      </c>
      <c r="Q101" s="70">
        <v>0.5625</v>
      </c>
      <c r="R101" s="229" t="s">
        <v>1320</v>
      </c>
    </row>
    <row r="102" spans="1:18" x14ac:dyDescent="0.4">
      <c r="A102" s="42" t="s">
        <v>564</v>
      </c>
      <c r="B102" s="30" t="s">
        <v>104</v>
      </c>
      <c r="C102" s="30" t="s">
        <v>191</v>
      </c>
      <c r="D102" s="30">
        <v>40</v>
      </c>
      <c r="E102" s="23">
        <v>3</v>
      </c>
      <c r="F102" s="68">
        <v>2.0833333333333332E-2</v>
      </c>
      <c r="G102" s="68">
        <v>0.3125</v>
      </c>
      <c r="H102" s="68">
        <v>0.66666666666666663</v>
      </c>
      <c r="I102" s="173" t="s">
        <v>1292</v>
      </c>
      <c r="J102" s="23">
        <v>4</v>
      </c>
      <c r="K102" s="68">
        <v>2.0833333333333332E-2</v>
      </c>
      <c r="L102" s="68">
        <v>0.33333333333333331</v>
      </c>
      <c r="M102" s="68">
        <v>0.6875</v>
      </c>
      <c r="N102" s="173" t="s">
        <v>1292</v>
      </c>
      <c r="O102" s="23">
        <v>3360</v>
      </c>
      <c r="P102" s="70">
        <v>0.3125</v>
      </c>
      <c r="Q102" s="70">
        <v>0.6875</v>
      </c>
      <c r="R102" s="229" t="s">
        <v>1292</v>
      </c>
    </row>
    <row r="103" spans="1:18" x14ac:dyDescent="0.4">
      <c r="A103" s="42" t="s">
        <v>564</v>
      </c>
      <c r="B103" s="30" t="s">
        <v>558</v>
      </c>
      <c r="C103" s="30" t="s">
        <v>191</v>
      </c>
      <c r="D103" s="30">
        <v>20</v>
      </c>
      <c r="E103" s="23">
        <v>4</v>
      </c>
      <c r="F103" s="68">
        <v>2.0833333333333332E-2</v>
      </c>
      <c r="G103" s="68">
        <v>0.3125</v>
      </c>
      <c r="H103" s="68">
        <v>0.66666666666666663</v>
      </c>
      <c r="I103" s="173" t="s">
        <v>1292</v>
      </c>
      <c r="J103" s="23">
        <v>4</v>
      </c>
      <c r="K103" s="68">
        <v>2.0833333333333332E-2</v>
      </c>
      <c r="L103" s="68">
        <v>0.33333333333333331</v>
      </c>
      <c r="M103" s="68">
        <v>0.6875</v>
      </c>
      <c r="N103" s="173" t="s">
        <v>1292</v>
      </c>
      <c r="O103" s="23">
        <v>3840</v>
      </c>
      <c r="P103" s="70">
        <v>0.3125</v>
      </c>
      <c r="Q103" s="70">
        <v>0.6875</v>
      </c>
      <c r="R103" s="229" t="s">
        <v>1292</v>
      </c>
    </row>
    <row r="104" spans="1:18" x14ac:dyDescent="0.4">
      <c r="A104" s="42" t="s">
        <v>577</v>
      </c>
      <c r="B104" s="23" t="s">
        <v>54</v>
      </c>
      <c r="C104" s="30" t="s">
        <v>251</v>
      </c>
      <c r="D104" s="23">
        <v>21</v>
      </c>
      <c r="E104" s="77">
        <v>4</v>
      </c>
      <c r="F104" s="1"/>
      <c r="G104" s="76">
        <v>0.29166666666666669</v>
      </c>
      <c r="H104" s="76">
        <v>0.5</v>
      </c>
      <c r="I104" s="173" t="s">
        <v>1327</v>
      </c>
      <c r="J104" s="23">
        <v>3</v>
      </c>
      <c r="K104" s="68">
        <v>1.0416666666666666E-2</v>
      </c>
      <c r="L104" s="68">
        <v>0.33333333333333331</v>
      </c>
      <c r="M104" s="68">
        <v>0.56944444444444442</v>
      </c>
      <c r="N104" s="173" t="s">
        <v>1305</v>
      </c>
      <c r="O104" s="23">
        <v>2085</v>
      </c>
      <c r="P104" s="70">
        <v>0.29166666666666669</v>
      </c>
      <c r="Q104" s="70">
        <v>0.56944444444444442</v>
      </c>
      <c r="R104" s="229" t="s">
        <v>1339</v>
      </c>
    </row>
    <row r="105" spans="1:18" x14ac:dyDescent="0.4">
      <c r="A105" s="42" t="s">
        <v>577</v>
      </c>
      <c r="B105" s="23" t="s">
        <v>51</v>
      </c>
      <c r="C105" s="30" t="s">
        <v>253</v>
      </c>
      <c r="D105" s="23">
        <v>21</v>
      </c>
      <c r="E105" s="77">
        <v>4</v>
      </c>
      <c r="F105" s="1"/>
      <c r="G105" s="76">
        <v>0.54166666666666663</v>
      </c>
      <c r="H105" s="76">
        <v>0.72916666666666663</v>
      </c>
      <c r="I105" s="173" t="s">
        <v>1243</v>
      </c>
      <c r="J105" s="23">
        <v>3</v>
      </c>
      <c r="K105" s="68">
        <v>1.0416666666666666E-2</v>
      </c>
      <c r="L105" s="68">
        <v>0.56944444444444442</v>
      </c>
      <c r="M105" s="68">
        <v>0.75</v>
      </c>
      <c r="N105" s="173" t="s">
        <v>1304</v>
      </c>
      <c r="O105" s="23">
        <v>1905</v>
      </c>
      <c r="P105" s="70">
        <v>0.54166666666666663</v>
      </c>
      <c r="Q105" s="70">
        <v>0.75</v>
      </c>
      <c r="R105" s="229" t="s">
        <v>1327</v>
      </c>
    </row>
    <row r="106" spans="1:18" x14ac:dyDescent="0.4">
      <c r="A106" s="42" t="s">
        <v>577</v>
      </c>
      <c r="B106" s="23" t="s">
        <v>55</v>
      </c>
      <c r="C106" s="30" t="s">
        <v>208</v>
      </c>
      <c r="D106" s="23">
        <v>40</v>
      </c>
      <c r="E106" s="77">
        <v>5</v>
      </c>
      <c r="F106" s="76"/>
      <c r="G106" s="76">
        <v>0.29166666666666669</v>
      </c>
      <c r="H106" s="76">
        <v>0.6875</v>
      </c>
      <c r="I106" s="173" t="s">
        <v>990</v>
      </c>
      <c r="J106" s="23">
        <v>4</v>
      </c>
      <c r="K106" s="23"/>
      <c r="L106" s="68">
        <v>0.3125</v>
      </c>
      <c r="M106" s="68">
        <v>0.72916666666666663</v>
      </c>
      <c r="N106" s="173" t="s">
        <v>1252</v>
      </c>
      <c r="O106" s="23">
        <v>4710</v>
      </c>
      <c r="P106" s="70">
        <v>0.29166666666666669</v>
      </c>
      <c r="Q106" s="70">
        <v>0.72916666666666663</v>
      </c>
      <c r="R106" s="229" t="s">
        <v>1247</v>
      </c>
    </row>
    <row r="107" spans="1:18" x14ac:dyDescent="0.4">
      <c r="A107" s="42" t="s">
        <v>577</v>
      </c>
      <c r="B107" s="23" t="s">
        <v>58</v>
      </c>
      <c r="C107" s="30" t="s">
        <v>165</v>
      </c>
      <c r="D107" s="23">
        <v>40</v>
      </c>
      <c r="E107" s="77">
        <v>3</v>
      </c>
      <c r="F107" s="76">
        <v>4.1666666666666664E-2</v>
      </c>
      <c r="G107" s="76">
        <v>0.29166666666666669</v>
      </c>
      <c r="H107" s="76">
        <v>0.64583333333333337</v>
      </c>
      <c r="I107" s="173" t="s">
        <v>990</v>
      </c>
      <c r="J107" s="23">
        <v>6</v>
      </c>
      <c r="K107" s="23"/>
      <c r="L107" s="68">
        <v>0.29166666666666669</v>
      </c>
      <c r="M107" s="68">
        <v>0.70833333333333337</v>
      </c>
      <c r="N107" s="173" t="s">
        <v>1252</v>
      </c>
      <c r="O107" s="23">
        <v>4770</v>
      </c>
      <c r="P107" s="70">
        <v>0.29166666666666669</v>
      </c>
      <c r="Q107" s="70">
        <v>0.70833333333333337</v>
      </c>
      <c r="R107" s="229" t="s">
        <v>1252</v>
      </c>
    </row>
    <row r="108" spans="1:18" x14ac:dyDescent="0.4">
      <c r="A108" s="401" t="s">
        <v>577</v>
      </c>
      <c r="B108" s="387">
        <v>153010</v>
      </c>
      <c r="C108" s="390" t="s">
        <v>484</v>
      </c>
      <c r="D108" s="387">
        <v>1</v>
      </c>
      <c r="E108" s="384"/>
      <c r="F108" s="385"/>
      <c r="G108" s="385"/>
      <c r="H108" s="385"/>
      <c r="I108" s="386" t="s">
        <v>1002</v>
      </c>
      <c r="J108" s="387"/>
      <c r="K108" s="387"/>
      <c r="L108" s="388"/>
      <c r="M108" s="388"/>
      <c r="N108" s="386" t="s">
        <v>1002</v>
      </c>
      <c r="O108" s="387">
        <v>0</v>
      </c>
      <c r="P108" s="391">
        <v>0</v>
      </c>
      <c r="Q108" s="391">
        <v>0</v>
      </c>
      <c r="R108" s="389" t="s">
        <v>1002</v>
      </c>
    </row>
    <row r="109" spans="1:18" x14ac:dyDescent="0.4">
      <c r="A109" s="42" t="s">
        <v>578</v>
      </c>
      <c r="B109" s="23" t="s">
        <v>71</v>
      </c>
      <c r="C109" s="30" t="s">
        <v>176</v>
      </c>
      <c r="D109" s="23">
        <v>72</v>
      </c>
      <c r="E109" s="77">
        <v>6</v>
      </c>
      <c r="F109" s="1"/>
      <c r="G109" s="76">
        <v>0.29166666666666669</v>
      </c>
      <c r="H109" s="76">
        <v>0.6875</v>
      </c>
      <c r="I109" s="173" t="s">
        <v>990</v>
      </c>
      <c r="J109" s="23">
        <v>6</v>
      </c>
      <c r="K109" s="23"/>
      <c r="L109" s="68">
        <v>0.3125</v>
      </c>
      <c r="M109" s="68">
        <v>0.70833333333333337</v>
      </c>
      <c r="N109" s="173" t="s">
        <v>990</v>
      </c>
      <c r="O109" s="23">
        <v>6120</v>
      </c>
      <c r="P109" s="70">
        <v>0.29166666666666669</v>
      </c>
      <c r="Q109" s="70">
        <v>0.70833333333333337</v>
      </c>
      <c r="R109" s="229" t="s">
        <v>1252</v>
      </c>
    </row>
    <row r="110" spans="1:18" x14ac:dyDescent="0.4">
      <c r="A110" s="42" t="s">
        <v>578</v>
      </c>
      <c r="B110" s="23" t="s">
        <v>76</v>
      </c>
      <c r="C110" s="30" t="s">
        <v>224</v>
      </c>
      <c r="D110" s="23">
        <v>16</v>
      </c>
      <c r="E110" s="77">
        <v>5</v>
      </c>
      <c r="F110" s="1"/>
      <c r="G110" s="76">
        <v>0.29166666666666669</v>
      </c>
      <c r="H110" s="76">
        <v>0.4152777777777778</v>
      </c>
      <c r="I110" s="173" t="s">
        <v>1376</v>
      </c>
      <c r="J110" s="23">
        <v>3</v>
      </c>
      <c r="K110" s="68">
        <v>6.9444444444444441E-3</v>
      </c>
      <c r="L110" s="68">
        <v>0.33333333333333331</v>
      </c>
      <c r="M110" s="68">
        <v>0.4513888888888889</v>
      </c>
      <c r="N110" s="173" t="s">
        <v>1316</v>
      </c>
      <c r="O110" s="23">
        <v>1430</v>
      </c>
      <c r="P110" s="70">
        <v>0.29166666666666669</v>
      </c>
      <c r="Q110" s="70">
        <v>0.4513888888888889</v>
      </c>
      <c r="R110" s="229" t="s">
        <v>1332</v>
      </c>
    </row>
    <row r="111" spans="1:18" x14ac:dyDescent="0.4">
      <c r="A111" s="42" t="s">
        <v>578</v>
      </c>
      <c r="B111" s="23" t="s">
        <v>81</v>
      </c>
      <c r="C111" s="30" t="s">
        <v>235</v>
      </c>
      <c r="D111" s="23">
        <v>16</v>
      </c>
      <c r="E111" s="77">
        <v>5</v>
      </c>
      <c r="F111" s="1"/>
      <c r="G111" s="68">
        <v>0.54166666666666663</v>
      </c>
      <c r="H111" s="68">
        <v>0.6875</v>
      </c>
      <c r="I111" s="173" t="s">
        <v>1303</v>
      </c>
      <c r="J111" s="23"/>
      <c r="K111" s="68">
        <v>6.9444444444444441E-3</v>
      </c>
      <c r="L111" s="68">
        <v>0.5625</v>
      </c>
      <c r="M111" s="68">
        <v>0.70833333333333337</v>
      </c>
      <c r="N111" s="173" t="s">
        <v>1254</v>
      </c>
      <c r="O111" s="23">
        <v>1050</v>
      </c>
      <c r="P111" s="70">
        <v>0.54166666666666663</v>
      </c>
      <c r="Q111" s="70">
        <v>0.70833333333333337</v>
      </c>
      <c r="R111" s="229" t="s">
        <v>1244</v>
      </c>
    </row>
    <row r="112" spans="1:18" x14ac:dyDescent="0.4">
      <c r="A112" s="42" t="s">
        <v>578</v>
      </c>
      <c r="B112" s="23" t="s">
        <v>571</v>
      </c>
      <c r="C112" s="30" t="s">
        <v>237</v>
      </c>
      <c r="D112" s="23">
        <v>8</v>
      </c>
      <c r="E112" s="77">
        <v>5</v>
      </c>
      <c r="F112" s="1"/>
      <c r="G112" s="76">
        <v>0.4152777777777778</v>
      </c>
      <c r="H112" s="76">
        <v>0.5</v>
      </c>
      <c r="I112" s="173" t="s">
        <v>1364</v>
      </c>
      <c r="J112" s="23">
        <v>3</v>
      </c>
      <c r="K112" s="68">
        <v>6.9444444444444441E-3</v>
      </c>
      <c r="L112" s="68">
        <v>0.4513888888888889</v>
      </c>
      <c r="M112" s="68">
        <v>0.5625</v>
      </c>
      <c r="N112" s="173" t="s">
        <v>1377</v>
      </c>
      <c r="O112" s="23">
        <v>940</v>
      </c>
      <c r="P112" s="70">
        <v>0.4152777777777778</v>
      </c>
      <c r="Q112" s="70">
        <v>0.5625</v>
      </c>
      <c r="R112" s="229" t="s">
        <v>1378</v>
      </c>
    </row>
    <row r="113" spans="1:18" x14ac:dyDescent="0.4">
      <c r="A113" s="42" t="s">
        <v>578</v>
      </c>
      <c r="B113" s="23" t="s">
        <v>73</v>
      </c>
      <c r="C113" s="30" t="s">
        <v>231</v>
      </c>
      <c r="D113" s="23">
        <v>21</v>
      </c>
      <c r="E113" s="77">
        <v>3</v>
      </c>
      <c r="F113" s="76">
        <v>2.0833333333333332E-2</v>
      </c>
      <c r="G113" s="76">
        <v>0.29166666666666669</v>
      </c>
      <c r="H113" s="76">
        <v>0.64583333333333337</v>
      </c>
      <c r="I113" s="173" t="s">
        <v>1292</v>
      </c>
      <c r="J113" s="23">
        <v>9</v>
      </c>
      <c r="K113" s="23"/>
      <c r="L113" s="68">
        <v>0.29166666666666669</v>
      </c>
      <c r="M113" s="68">
        <v>0.70833333333333337</v>
      </c>
      <c r="N113" s="173" t="s">
        <v>1252</v>
      </c>
      <c r="O113" s="23">
        <v>6300</v>
      </c>
      <c r="P113" s="70">
        <v>0.29166666666666669</v>
      </c>
      <c r="Q113" s="70">
        <v>0.70833333333333337</v>
      </c>
      <c r="R113" s="229" t="s">
        <v>1252</v>
      </c>
    </row>
    <row r="114" spans="1:18" x14ac:dyDescent="0.4">
      <c r="A114" s="42" t="s">
        <v>579</v>
      </c>
      <c r="B114" s="23" t="s">
        <v>106</v>
      </c>
      <c r="C114" s="30" t="s">
        <v>173</v>
      </c>
      <c r="D114" s="23">
        <v>16</v>
      </c>
      <c r="E114" s="77">
        <v>5</v>
      </c>
      <c r="F114" s="1"/>
      <c r="G114" s="76">
        <v>0.56944444444444442</v>
      </c>
      <c r="H114" s="76">
        <v>0.75</v>
      </c>
      <c r="I114" s="173" t="s">
        <v>1379</v>
      </c>
      <c r="J114" s="23">
        <v>9</v>
      </c>
      <c r="K114" s="23"/>
      <c r="L114" s="68">
        <v>0.60416666666666663</v>
      </c>
      <c r="M114" s="68">
        <v>0.79166666666666663</v>
      </c>
      <c r="N114" s="173" t="s">
        <v>1243</v>
      </c>
      <c r="O114" s="23">
        <v>3730</v>
      </c>
      <c r="P114" s="70">
        <v>0.56944444444444442</v>
      </c>
      <c r="Q114" s="70">
        <v>0.79166666666666663</v>
      </c>
      <c r="R114" s="229" t="s">
        <v>1357</v>
      </c>
    </row>
    <row r="115" spans="1:18" x14ac:dyDescent="0.4">
      <c r="A115" s="42" t="s">
        <v>579</v>
      </c>
      <c r="B115" s="23" t="s">
        <v>114</v>
      </c>
      <c r="C115" s="30" t="s">
        <v>161</v>
      </c>
      <c r="D115" s="23">
        <v>15</v>
      </c>
      <c r="E115" s="77">
        <v>5</v>
      </c>
      <c r="F115" s="1"/>
      <c r="G115" s="76">
        <v>0.29166666666666669</v>
      </c>
      <c r="H115" s="76">
        <v>0.56944444444444442</v>
      </c>
      <c r="I115" s="173" t="s">
        <v>1339</v>
      </c>
      <c r="J115" s="23">
        <v>13</v>
      </c>
      <c r="K115" s="23"/>
      <c r="L115" s="68">
        <v>0.3125</v>
      </c>
      <c r="M115" s="68">
        <v>0.60416666666666663</v>
      </c>
      <c r="N115" s="173" t="s">
        <v>1321</v>
      </c>
      <c r="O115" s="23">
        <v>6380</v>
      </c>
      <c r="P115" s="70">
        <v>0.29166666666666669</v>
      </c>
      <c r="Q115" s="70">
        <v>0.60416666666666663</v>
      </c>
      <c r="R115" s="229" t="s">
        <v>1329</v>
      </c>
    </row>
    <row r="116" spans="1:18" x14ac:dyDescent="0.4">
      <c r="A116" s="42" t="s">
        <v>579</v>
      </c>
      <c r="B116" s="23" t="s">
        <v>107</v>
      </c>
      <c r="C116" s="30" t="s">
        <v>314</v>
      </c>
      <c r="D116" s="23">
        <v>16</v>
      </c>
      <c r="E116" s="77">
        <v>5</v>
      </c>
      <c r="F116" s="1"/>
      <c r="G116" s="76">
        <v>0.54166666666666663</v>
      </c>
      <c r="H116" s="76">
        <v>0.6875</v>
      </c>
      <c r="I116" s="173" t="s">
        <v>1303</v>
      </c>
      <c r="J116" s="23">
        <v>3</v>
      </c>
      <c r="K116" s="68">
        <v>1.0416666666666666E-2</v>
      </c>
      <c r="L116" s="68">
        <v>0.33333333333333331</v>
      </c>
      <c r="M116" s="68">
        <v>0.5625</v>
      </c>
      <c r="N116" s="173" t="s">
        <v>1335</v>
      </c>
      <c r="O116" s="23">
        <v>1905</v>
      </c>
      <c r="P116" s="70">
        <v>0.33333333333333331</v>
      </c>
      <c r="Q116" s="70">
        <v>0.6875</v>
      </c>
      <c r="R116" s="229" t="s">
        <v>1309</v>
      </c>
    </row>
    <row r="117" spans="1:18" x14ac:dyDescent="0.4">
      <c r="A117" s="42" t="s">
        <v>579</v>
      </c>
      <c r="B117" s="23" t="s">
        <v>72</v>
      </c>
      <c r="C117" s="30" t="s">
        <v>227</v>
      </c>
      <c r="D117" s="23">
        <v>24</v>
      </c>
      <c r="E117" s="77">
        <v>5</v>
      </c>
      <c r="F117" s="1"/>
      <c r="G117" s="76">
        <v>0.29166666666666669</v>
      </c>
      <c r="H117" s="76">
        <v>0.5</v>
      </c>
      <c r="I117" s="173" t="s">
        <v>1327</v>
      </c>
      <c r="J117" s="23">
        <v>3</v>
      </c>
      <c r="K117" s="68">
        <v>1.0416666666666666E-2</v>
      </c>
      <c r="L117" s="68">
        <v>0.5625</v>
      </c>
      <c r="M117" s="68">
        <v>0.70833333333333337</v>
      </c>
      <c r="N117" s="173" t="s">
        <v>1380</v>
      </c>
      <c r="O117" s="23">
        <v>2175</v>
      </c>
      <c r="P117" s="70">
        <v>0.29166666666666669</v>
      </c>
      <c r="Q117" s="70">
        <v>0.70833333333333337</v>
      </c>
      <c r="R117" s="229" t="s">
        <v>1252</v>
      </c>
    </row>
    <row r="118" spans="1:18" x14ac:dyDescent="0.4">
      <c r="A118" s="42" t="s">
        <v>579</v>
      </c>
      <c r="B118" s="42" t="s">
        <v>65</v>
      </c>
      <c r="C118" s="30" t="s">
        <v>189</v>
      </c>
      <c r="D118" s="173">
        <v>72</v>
      </c>
      <c r="E118" s="77">
        <v>3</v>
      </c>
      <c r="F118" s="76">
        <v>0.10416666666666667</v>
      </c>
      <c r="G118" s="76">
        <v>0.29166666666666669</v>
      </c>
      <c r="H118" s="76">
        <v>0.75</v>
      </c>
      <c r="I118" s="173" t="s">
        <v>1381</v>
      </c>
      <c r="J118" s="23">
        <v>4</v>
      </c>
      <c r="K118" s="23"/>
      <c r="L118" s="68">
        <v>0.29166666666666669</v>
      </c>
      <c r="M118" s="68">
        <v>0.79166666666666663</v>
      </c>
      <c r="N118" s="173" t="s">
        <v>1318</v>
      </c>
      <c r="O118" s="23">
        <v>4890</v>
      </c>
      <c r="P118" s="70">
        <v>0.29166666666666669</v>
      </c>
      <c r="Q118" s="70">
        <v>0.79166666666666663</v>
      </c>
      <c r="R118" s="229" t="s">
        <v>1318</v>
      </c>
    </row>
    <row r="119" spans="1:18" x14ac:dyDescent="0.4">
      <c r="A119" s="42" t="s">
        <v>580</v>
      </c>
      <c r="B119" s="23" t="s">
        <v>75</v>
      </c>
      <c r="C119" s="30" t="s">
        <v>229</v>
      </c>
      <c r="D119" s="23">
        <v>16</v>
      </c>
      <c r="E119" s="77">
        <v>5</v>
      </c>
      <c r="F119" s="1"/>
      <c r="G119" s="76">
        <v>0.29166666666666669</v>
      </c>
      <c r="H119" s="76">
        <v>0.42499999999999999</v>
      </c>
      <c r="I119" s="173" t="s">
        <v>1382</v>
      </c>
      <c r="J119" s="23">
        <v>3</v>
      </c>
      <c r="K119" s="68">
        <v>1.0416666666666666E-2</v>
      </c>
      <c r="L119" s="68">
        <v>0.33333333333333331</v>
      </c>
      <c r="M119" s="68">
        <v>0.4375</v>
      </c>
      <c r="N119" s="173" t="s">
        <v>1315</v>
      </c>
      <c r="O119" s="23">
        <v>1455</v>
      </c>
      <c r="P119" s="70">
        <v>0.29166666666666669</v>
      </c>
      <c r="Q119" s="70">
        <v>0.4375</v>
      </c>
      <c r="R119" s="229" t="s">
        <v>1303</v>
      </c>
    </row>
    <row r="120" spans="1:18" x14ac:dyDescent="0.4">
      <c r="A120" s="42" t="s">
        <v>580</v>
      </c>
      <c r="B120" s="23" t="s">
        <v>63</v>
      </c>
      <c r="C120" s="30" t="s">
        <v>267</v>
      </c>
      <c r="D120" s="23">
        <v>28</v>
      </c>
      <c r="E120" s="77">
        <v>5</v>
      </c>
      <c r="F120" s="1"/>
      <c r="G120" s="76">
        <v>0.42499999999999999</v>
      </c>
      <c r="H120" s="76">
        <v>0.70833333333333337</v>
      </c>
      <c r="I120" s="173" t="s">
        <v>1363</v>
      </c>
      <c r="J120" s="23">
        <v>3</v>
      </c>
      <c r="K120" s="68">
        <v>1.0416666666666666E-2</v>
      </c>
      <c r="L120" s="68">
        <v>0.4375</v>
      </c>
      <c r="M120" s="68">
        <v>0.72916666666666663</v>
      </c>
      <c r="N120" s="173" t="s">
        <v>1383</v>
      </c>
      <c r="O120" s="23">
        <v>2865</v>
      </c>
      <c r="P120" s="70">
        <v>0.42499999999999999</v>
      </c>
      <c r="Q120" s="70">
        <v>0.72916666666666663</v>
      </c>
      <c r="R120" s="229" t="s">
        <v>1384</v>
      </c>
    </row>
    <row r="121" spans="1:18" x14ac:dyDescent="0.4">
      <c r="A121" s="42" t="s">
        <v>580</v>
      </c>
      <c r="B121" s="23" t="s">
        <v>108</v>
      </c>
      <c r="C121" s="30" t="s">
        <v>231</v>
      </c>
      <c r="D121" s="23">
        <v>21</v>
      </c>
      <c r="E121" s="77">
        <v>3</v>
      </c>
      <c r="F121" s="76">
        <v>4.1666666666666664E-2</v>
      </c>
      <c r="G121" s="76">
        <v>0.29166666666666669</v>
      </c>
      <c r="H121" s="76">
        <v>0.70833333333333337</v>
      </c>
      <c r="I121" s="173" t="s">
        <v>1308</v>
      </c>
      <c r="J121" s="23">
        <v>9</v>
      </c>
      <c r="K121" s="23"/>
      <c r="L121" s="68">
        <v>0.29166666666666669</v>
      </c>
      <c r="M121" s="68">
        <v>0.70833333333333337</v>
      </c>
      <c r="N121" s="173" t="s">
        <v>1252</v>
      </c>
      <c r="O121" s="23">
        <v>6660</v>
      </c>
      <c r="P121" s="70">
        <v>0.29166666666666669</v>
      </c>
      <c r="Q121" s="70">
        <v>0.70833333333333337</v>
      </c>
      <c r="R121" s="229" t="s">
        <v>1252</v>
      </c>
    </row>
    <row r="122" spans="1:18" s="381" customFormat="1" x14ac:dyDescent="0.4">
      <c r="A122" s="373" t="s">
        <v>580</v>
      </c>
      <c r="B122" s="373" t="s">
        <v>65</v>
      </c>
      <c r="C122" s="375" t="s">
        <v>189</v>
      </c>
      <c r="D122" s="378">
        <v>72</v>
      </c>
      <c r="E122" s="376">
        <v>3</v>
      </c>
      <c r="F122" s="395"/>
      <c r="G122" s="377">
        <v>0.29166666666666669</v>
      </c>
      <c r="H122" s="377">
        <v>0.75</v>
      </c>
      <c r="I122" s="378" t="s">
        <v>1308</v>
      </c>
      <c r="J122" s="374">
        <v>4</v>
      </c>
      <c r="K122" s="374"/>
      <c r="L122" s="379">
        <v>0.29166666666666669</v>
      </c>
      <c r="M122" s="379">
        <v>0.79166666666666663</v>
      </c>
      <c r="N122" s="378" t="s">
        <v>1318</v>
      </c>
      <c r="O122" s="374">
        <v>4440</v>
      </c>
      <c r="P122" s="407">
        <v>0.29166666666666669</v>
      </c>
      <c r="Q122" s="407">
        <v>0.79166666666666663</v>
      </c>
      <c r="R122" s="380" t="s">
        <v>1318</v>
      </c>
    </row>
    <row r="123" spans="1:18" s="381" customFormat="1" x14ac:dyDescent="0.4">
      <c r="A123" s="373" t="s">
        <v>581</v>
      </c>
      <c r="B123" s="374" t="s">
        <v>71</v>
      </c>
      <c r="C123" s="375" t="s">
        <v>176</v>
      </c>
      <c r="D123" s="374">
        <v>72</v>
      </c>
      <c r="E123" s="376">
        <v>6</v>
      </c>
      <c r="F123" s="395"/>
      <c r="G123" s="377">
        <v>0.29166666666666669</v>
      </c>
      <c r="H123" s="377">
        <v>0.66666666666666663</v>
      </c>
      <c r="I123" s="378" t="s">
        <v>1292</v>
      </c>
      <c r="J123" s="374">
        <v>5</v>
      </c>
      <c r="K123" s="374"/>
      <c r="L123" s="379">
        <v>0.3125</v>
      </c>
      <c r="M123" s="379">
        <v>0.70833333333333337</v>
      </c>
      <c r="N123" s="378" t="s">
        <v>990</v>
      </c>
      <c r="O123" s="374">
        <v>5430</v>
      </c>
      <c r="P123" s="407">
        <v>0.29166666666666669</v>
      </c>
      <c r="Q123" s="407">
        <v>0.70833333333333337</v>
      </c>
      <c r="R123" s="380" t="s">
        <v>1252</v>
      </c>
    </row>
    <row r="124" spans="1:18" s="381" customFormat="1" x14ac:dyDescent="0.4">
      <c r="A124" s="373" t="s">
        <v>581</v>
      </c>
      <c r="B124" s="374" t="s">
        <v>451</v>
      </c>
      <c r="C124" s="375" t="s">
        <v>255</v>
      </c>
      <c r="D124" s="374">
        <v>6</v>
      </c>
      <c r="E124" s="376">
        <v>5</v>
      </c>
      <c r="F124" s="395"/>
      <c r="G124" s="377">
        <v>0.29166666666666669</v>
      </c>
      <c r="H124" s="377">
        <v>0.35972222222222222</v>
      </c>
      <c r="I124" s="378" t="s">
        <v>1385</v>
      </c>
      <c r="J124" s="374">
        <v>3</v>
      </c>
      <c r="K124" s="379">
        <v>6.9444444444444441E-3</v>
      </c>
      <c r="L124" s="379">
        <v>0.33333333333333331</v>
      </c>
      <c r="M124" s="379">
        <v>0.39583333333333331</v>
      </c>
      <c r="N124" s="378" t="s">
        <v>1386</v>
      </c>
      <c r="O124" s="374">
        <v>790</v>
      </c>
      <c r="P124" s="407">
        <v>0.29166666666666669</v>
      </c>
      <c r="Q124" s="407">
        <v>0.39583333333333331</v>
      </c>
      <c r="R124" s="380" t="s">
        <v>1298</v>
      </c>
    </row>
    <row r="125" spans="1:18" s="381" customFormat="1" x14ac:dyDescent="0.4">
      <c r="A125" s="373" t="s">
        <v>581</v>
      </c>
      <c r="B125" s="374" t="s">
        <v>64</v>
      </c>
      <c r="C125" s="375" t="s">
        <v>271</v>
      </c>
      <c r="D125" s="374">
        <v>16</v>
      </c>
      <c r="E125" s="376">
        <v>5</v>
      </c>
      <c r="F125" s="395"/>
      <c r="G125" s="377">
        <v>0.35972222222222222</v>
      </c>
      <c r="H125" s="377">
        <v>0.5</v>
      </c>
      <c r="I125" s="378" t="s">
        <v>1387</v>
      </c>
      <c r="J125" s="374">
        <v>3</v>
      </c>
      <c r="K125" s="379">
        <v>6.9444444444444441E-3</v>
      </c>
      <c r="L125" s="379">
        <v>0.39583333333333331</v>
      </c>
      <c r="M125" s="379">
        <v>0.5625</v>
      </c>
      <c r="N125" s="378" t="s">
        <v>1256</v>
      </c>
      <c r="O125" s="374">
        <v>1580</v>
      </c>
      <c r="P125" s="407">
        <v>0.35972222222222222</v>
      </c>
      <c r="Q125" s="407">
        <v>0.5625</v>
      </c>
      <c r="R125" s="380" t="s">
        <v>1388</v>
      </c>
    </row>
    <row r="126" spans="1:18" s="381" customFormat="1" x14ac:dyDescent="0.4">
      <c r="A126" s="373" t="s">
        <v>581</v>
      </c>
      <c r="B126" s="374" t="s">
        <v>63</v>
      </c>
      <c r="C126" s="375" t="s">
        <v>267</v>
      </c>
      <c r="D126" s="374">
        <v>20</v>
      </c>
      <c r="E126" s="376">
        <v>5</v>
      </c>
      <c r="F126" s="395"/>
      <c r="G126" s="377">
        <v>0.54166666666666663</v>
      </c>
      <c r="H126" s="377">
        <v>0.70833333333333337</v>
      </c>
      <c r="I126" s="378" t="s">
        <v>1244</v>
      </c>
      <c r="J126" s="374">
        <v>3</v>
      </c>
      <c r="K126" s="379">
        <v>6.9444444444444441E-3</v>
      </c>
      <c r="L126" s="379">
        <v>0.5625</v>
      </c>
      <c r="M126" s="379">
        <v>0.72916666666666663</v>
      </c>
      <c r="N126" s="378" t="s">
        <v>1311</v>
      </c>
      <c r="O126" s="374">
        <v>1950</v>
      </c>
      <c r="P126" s="407">
        <v>0.54166666666666663</v>
      </c>
      <c r="Q126" s="407">
        <v>0.72916666666666663</v>
      </c>
      <c r="R126" s="380" t="s">
        <v>1243</v>
      </c>
    </row>
    <row r="127" spans="1:18" s="381" customFormat="1" x14ac:dyDescent="0.4">
      <c r="A127" s="373" t="s">
        <v>581</v>
      </c>
      <c r="B127" s="374" t="s">
        <v>96</v>
      </c>
      <c r="C127" s="375" t="s">
        <v>167</v>
      </c>
      <c r="D127" s="374">
        <v>20</v>
      </c>
      <c r="E127" s="376">
        <v>3</v>
      </c>
      <c r="F127" s="377">
        <v>2.0833333333333332E-2</v>
      </c>
      <c r="G127" s="377">
        <v>0.29166666666666669</v>
      </c>
      <c r="H127" s="377">
        <v>0.41666666666666669</v>
      </c>
      <c r="I127" s="378" t="s">
        <v>1303</v>
      </c>
      <c r="J127" s="374">
        <v>6</v>
      </c>
      <c r="K127" s="379">
        <v>2.0833333333333332E-2</v>
      </c>
      <c r="L127" s="379">
        <v>0.33333333333333331</v>
      </c>
      <c r="M127" s="379">
        <v>0.5</v>
      </c>
      <c r="N127" s="378" t="s">
        <v>1243</v>
      </c>
      <c r="O127" s="374">
        <v>2250</v>
      </c>
      <c r="P127" s="407">
        <v>0.29166666666666669</v>
      </c>
      <c r="Q127" s="407">
        <v>0.5</v>
      </c>
      <c r="R127" s="380" t="s">
        <v>1327</v>
      </c>
    </row>
    <row r="128" spans="1:18" s="146" customFormat="1" x14ac:dyDescent="0.4">
      <c r="A128" s="149" t="s">
        <v>581</v>
      </c>
      <c r="B128" s="144" t="s">
        <v>83</v>
      </c>
      <c r="C128" s="140" t="s">
        <v>169</v>
      </c>
      <c r="D128" s="144">
        <v>16</v>
      </c>
      <c r="E128" s="168">
        <v>3</v>
      </c>
      <c r="F128" s="169">
        <v>2.0833333333333332E-2</v>
      </c>
      <c r="G128" s="169">
        <v>0.41666666666666669</v>
      </c>
      <c r="H128" s="169">
        <v>0.64583333333333337</v>
      </c>
      <c r="I128" s="153" t="s">
        <v>1327</v>
      </c>
      <c r="J128" s="144">
        <v>10</v>
      </c>
      <c r="K128" s="170">
        <v>2.0833333333333332E-2</v>
      </c>
      <c r="L128" s="170">
        <v>0.54166666666666663</v>
      </c>
      <c r="M128" s="170">
        <v>0.66666666666666663</v>
      </c>
      <c r="N128" s="153" t="s">
        <v>1303</v>
      </c>
      <c r="O128" s="144">
        <v>3000</v>
      </c>
      <c r="P128" s="70">
        <v>0.41666666666666669</v>
      </c>
      <c r="Q128" s="70">
        <v>0.66666666666666663</v>
      </c>
      <c r="R128" s="233" t="s">
        <v>1327</v>
      </c>
    </row>
    <row r="129" spans="1:18" x14ac:dyDescent="0.4">
      <c r="A129" s="29" t="s">
        <v>582</v>
      </c>
      <c r="B129" s="9" t="s">
        <v>68</v>
      </c>
      <c r="C129" s="30" t="s">
        <v>185</v>
      </c>
      <c r="D129" s="9">
        <v>40</v>
      </c>
      <c r="E129" s="77">
        <v>5</v>
      </c>
      <c r="F129" s="1"/>
      <c r="G129" s="76">
        <v>0.29166666666666669</v>
      </c>
      <c r="H129" s="76">
        <v>0.66666666666666663</v>
      </c>
      <c r="I129" s="173" t="s">
        <v>1292</v>
      </c>
      <c r="J129" s="23">
        <v>5</v>
      </c>
      <c r="K129" s="23"/>
      <c r="L129" s="68">
        <v>0.3125</v>
      </c>
      <c r="M129" s="68">
        <v>0.70833333333333337</v>
      </c>
      <c r="N129" s="173" t="s">
        <v>990</v>
      </c>
      <c r="O129" s="23">
        <v>4950</v>
      </c>
      <c r="P129" s="70">
        <v>0.29166666666666669</v>
      </c>
      <c r="Q129" s="70">
        <v>0.70833333333333337</v>
      </c>
      <c r="R129" s="229" t="s">
        <v>1252</v>
      </c>
    </row>
    <row r="130" spans="1:18" x14ac:dyDescent="0.4">
      <c r="A130" s="29" t="s">
        <v>582</v>
      </c>
      <c r="B130" s="9" t="s">
        <v>102</v>
      </c>
      <c r="C130" s="30" t="s">
        <v>308</v>
      </c>
      <c r="D130" s="9">
        <v>12</v>
      </c>
      <c r="E130" s="77">
        <v>5</v>
      </c>
      <c r="F130" s="1"/>
      <c r="G130" s="76">
        <v>0.29166666666666669</v>
      </c>
      <c r="H130" s="76">
        <v>0.39097222222222222</v>
      </c>
      <c r="I130" s="173" t="s">
        <v>1389</v>
      </c>
      <c r="J130" s="23">
        <v>4</v>
      </c>
      <c r="K130" s="68">
        <v>6.9444444444444441E-3</v>
      </c>
      <c r="L130" s="68">
        <v>0.33333333333333331</v>
      </c>
      <c r="M130" s="68">
        <v>0.43055555555555558</v>
      </c>
      <c r="N130" s="173" t="s">
        <v>1298</v>
      </c>
      <c r="O130" s="23">
        <v>1315</v>
      </c>
      <c r="P130" s="70">
        <v>0.29166666666666669</v>
      </c>
      <c r="Q130" s="70">
        <v>0.43055555555555558</v>
      </c>
      <c r="R130" s="229" t="s">
        <v>1250</v>
      </c>
    </row>
    <row r="131" spans="1:18" x14ac:dyDescent="0.4">
      <c r="A131" s="29" t="s">
        <v>582</v>
      </c>
      <c r="B131" s="9" t="s">
        <v>117</v>
      </c>
      <c r="C131" s="30" t="s">
        <v>304</v>
      </c>
      <c r="D131" s="9">
        <v>12</v>
      </c>
      <c r="E131" s="77">
        <v>5</v>
      </c>
      <c r="F131" s="1"/>
      <c r="G131" s="76">
        <v>0.39097222222222222</v>
      </c>
      <c r="H131" s="76">
        <v>0.55208333333333337</v>
      </c>
      <c r="I131" s="173" t="s">
        <v>1344</v>
      </c>
      <c r="J131" s="23">
        <v>4</v>
      </c>
      <c r="K131" s="68">
        <v>6.9444444444444441E-3</v>
      </c>
      <c r="L131" s="68">
        <v>0.43055555555555558</v>
      </c>
      <c r="M131" s="68">
        <v>0.56944444444444442</v>
      </c>
      <c r="N131" s="173" t="s">
        <v>1298</v>
      </c>
      <c r="O131" s="23">
        <v>1460</v>
      </c>
      <c r="P131" s="70">
        <v>0.39097222222222222</v>
      </c>
      <c r="Q131" s="70">
        <v>0.56944444444444442</v>
      </c>
      <c r="R131" s="229" t="s">
        <v>1390</v>
      </c>
    </row>
    <row r="132" spans="1:18" x14ac:dyDescent="0.4">
      <c r="A132" s="29" t="s">
        <v>582</v>
      </c>
      <c r="B132" s="9" t="s">
        <v>116</v>
      </c>
      <c r="C132" s="30" t="s">
        <v>212</v>
      </c>
      <c r="D132" s="9">
        <v>12</v>
      </c>
      <c r="E132" s="77">
        <v>5</v>
      </c>
      <c r="F132" s="1"/>
      <c r="G132" s="76">
        <v>0.55208333333333337</v>
      </c>
      <c r="H132" s="76">
        <v>0.66666666666666663</v>
      </c>
      <c r="I132" s="173" t="s">
        <v>1315</v>
      </c>
      <c r="J132" s="23">
        <v>4</v>
      </c>
      <c r="K132" s="68">
        <v>6.9444444444444441E-3</v>
      </c>
      <c r="L132" s="68">
        <v>0.56944444444444442</v>
      </c>
      <c r="M132" s="68">
        <v>0.6875</v>
      </c>
      <c r="N132" s="173" t="s">
        <v>1316</v>
      </c>
      <c r="O132" s="23">
        <v>1545</v>
      </c>
      <c r="P132" s="70">
        <v>0.55208333333333337</v>
      </c>
      <c r="Q132" s="70">
        <v>0.6875</v>
      </c>
      <c r="R132" s="229" t="s">
        <v>1391</v>
      </c>
    </row>
    <row r="133" spans="1:18" x14ac:dyDescent="0.4">
      <c r="A133" s="29" t="s">
        <v>582</v>
      </c>
      <c r="B133" s="9" t="s">
        <v>65</v>
      </c>
      <c r="C133" s="30" t="s">
        <v>189</v>
      </c>
      <c r="D133" s="224">
        <v>72</v>
      </c>
      <c r="E133" s="77">
        <v>3</v>
      </c>
      <c r="F133" s="76">
        <v>0.14583333333333334</v>
      </c>
      <c r="G133" s="76">
        <v>0.29166666666666669</v>
      </c>
      <c r="H133" s="76">
        <v>0.77083333333333337</v>
      </c>
      <c r="I133" s="173" t="s">
        <v>1392</v>
      </c>
      <c r="J133" s="23">
        <v>4</v>
      </c>
      <c r="K133" s="68"/>
      <c r="L133" s="68">
        <v>0.29166666666666669</v>
      </c>
      <c r="M133" s="68">
        <v>0.79166666666666663</v>
      </c>
      <c r="N133" s="173" t="s">
        <v>1318</v>
      </c>
      <c r="O133" s="23">
        <v>5160</v>
      </c>
      <c r="P133" s="70">
        <v>0.29166666666666669</v>
      </c>
      <c r="Q133" s="70">
        <v>0.79166666666666663</v>
      </c>
      <c r="R133" s="229" t="s">
        <v>1318</v>
      </c>
    </row>
    <row r="134" spans="1:18" x14ac:dyDescent="0.4">
      <c r="A134" s="29" t="s">
        <v>584</v>
      </c>
      <c r="B134" s="9" t="s">
        <v>64</v>
      </c>
      <c r="C134" s="30" t="s">
        <v>271</v>
      </c>
      <c r="D134" s="9">
        <v>24</v>
      </c>
      <c r="E134" s="77">
        <v>5</v>
      </c>
      <c r="F134" s="1"/>
      <c r="G134" s="76">
        <v>0.4152777777777778</v>
      </c>
      <c r="H134" s="76">
        <v>0.6875</v>
      </c>
      <c r="I134" s="173" t="s">
        <v>1393</v>
      </c>
      <c r="J134" s="23">
        <v>4</v>
      </c>
      <c r="K134" s="23"/>
      <c r="L134" s="68">
        <v>0.44444444444444442</v>
      </c>
      <c r="M134" s="68">
        <v>0.70833333333333337</v>
      </c>
      <c r="N134" s="173" t="s">
        <v>1357</v>
      </c>
      <c r="O134" s="23">
        <v>2940</v>
      </c>
      <c r="P134" s="70">
        <v>0.4152777777777778</v>
      </c>
      <c r="Q134" s="70">
        <v>0.70833333333333337</v>
      </c>
      <c r="R134" s="229" t="s">
        <v>1394</v>
      </c>
    </row>
    <row r="135" spans="1:18" x14ac:dyDescent="0.4">
      <c r="A135" s="29" t="s">
        <v>584</v>
      </c>
      <c r="B135" s="9" t="s">
        <v>81</v>
      </c>
      <c r="C135" s="30" t="s">
        <v>235</v>
      </c>
      <c r="D135" s="9">
        <v>16</v>
      </c>
      <c r="E135" s="77">
        <v>5</v>
      </c>
      <c r="F135" s="1"/>
      <c r="G135" s="76">
        <v>0.29166666666666669</v>
      </c>
      <c r="H135" s="76">
        <v>0.4152777777777778</v>
      </c>
      <c r="I135" s="173" t="s">
        <v>1376</v>
      </c>
      <c r="J135" s="23">
        <v>4</v>
      </c>
      <c r="K135" s="23"/>
      <c r="L135" s="68">
        <v>0.3125</v>
      </c>
      <c r="M135" s="68">
        <v>0.44444444444444442</v>
      </c>
      <c r="N135" s="173" t="s">
        <v>1256</v>
      </c>
      <c r="O135" s="23">
        <v>1650</v>
      </c>
      <c r="P135" s="70">
        <v>0.29166666666666669</v>
      </c>
      <c r="Q135" s="70">
        <v>0.44444444444444442</v>
      </c>
      <c r="R135" s="229" t="s">
        <v>1254</v>
      </c>
    </row>
    <row r="136" spans="1:18" x14ac:dyDescent="0.4">
      <c r="A136" s="29" t="s">
        <v>584</v>
      </c>
      <c r="B136" s="9" t="s">
        <v>110</v>
      </c>
      <c r="C136" s="30" t="s">
        <v>231</v>
      </c>
      <c r="D136" s="9">
        <v>21</v>
      </c>
      <c r="E136" s="77">
        <v>3</v>
      </c>
      <c r="F136" s="76">
        <v>4.1666666666666664E-2</v>
      </c>
      <c r="G136" s="76">
        <v>0.29166666666666669</v>
      </c>
      <c r="H136" s="76">
        <v>0.70833333333333337</v>
      </c>
      <c r="I136" s="173" t="s">
        <v>1308</v>
      </c>
      <c r="J136" s="23">
        <v>9</v>
      </c>
      <c r="K136" s="23"/>
      <c r="L136" s="68">
        <v>0.29166666666666669</v>
      </c>
      <c r="M136" s="68">
        <v>0.70138888888888884</v>
      </c>
      <c r="N136" s="173" t="s">
        <v>1395</v>
      </c>
      <c r="O136" s="23">
        <v>6570</v>
      </c>
      <c r="P136" s="70">
        <v>0.29166666666666669</v>
      </c>
      <c r="Q136" s="70">
        <v>0.70833333333333337</v>
      </c>
      <c r="R136" s="229" t="s">
        <v>1252</v>
      </c>
    </row>
    <row r="137" spans="1:18" x14ac:dyDescent="0.4">
      <c r="A137" s="29" t="s">
        <v>584</v>
      </c>
      <c r="B137" s="9" t="s">
        <v>65</v>
      </c>
      <c r="C137" s="30" t="s">
        <v>189</v>
      </c>
      <c r="D137" s="224">
        <v>60</v>
      </c>
      <c r="E137" s="77">
        <v>3</v>
      </c>
      <c r="F137" s="76">
        <v>3.125E-2</v>
      </c>
      <c r="G137" s="76">
        <v>0.33333333333333331</v>
      </c>
      <c r="H137" s="76">
        <v>0.70833333333333337</v>
      </c>
      <c r="I137" s="173" t="s">
        <v>991</v>
      </c>
      <c r="J137" s="23">
        <v>4</v>
      </c>
      <c r="K137" s="68">
        <v>2.0833333333333332E-2</v>
      </c>
      <c r="L137" s="68">
        <v>0.375</v>
      </c>
      <c r="M137" s="68">
        <v>0.75</v>
      </c>
      <c r="N137" s="173" t="s">
        <v>990</v>
      </c>
      <c r="O137" s="23">
        <v>3615</v>
      </c>
      <c r="P137" s="70">
        <v>0.33333333333333331</v>
      </c>
      <c r="Q137" s="70">
        <v>0.75</v>
      </c>
      <c r="R137" s="229" t="s">
        <v>1252</v>
      </c>
    </row>
    <row r="138" spans="1:18" x14ac:dyDescent="0.4">
      <c r="A138" s="29" t="s">
        <v>584</v>
      </c>
      <c r="B138" s="9" t="s">
        <v>97</v>
      </c>
      <c r="C138" s="30" t="s">
        <v>274</v>
      </c>
      <c r="D138" s="9">
        <v>8</v>
      </c>
      <c r="E138" s="77">
        <v>3</v>
      </c>
      <c r="F138" s="76">
        <v>3.125E-2</v>
      </c>
      <c r="G138" s="76">
        <v>0.3125</v>
      </c>
      <c r="H138" s="76">
        <v>0.33333333333333331</v>
      </c>
      <c r="I138" s="173" t="s">
        <v>1323</v>
      </c>
      <c r="J138" s="23">
        <v>4</v>
      </c>
      <c r="K138" s="68">
        <v>2.0833333333333332E-2</v>
      </c>
      <c r="L138" s="68">
        <v>0.33333333333333331</v>
      </c>
      <c r="M138" s="68">
        <v>0.375</v>
      </c>
      <c r="N138" s="173" t="s">
        <v>1375</v>
      </c>
      <c r="O138" s="23">
        <v>585</v>
      </c>
      <c r="P138" s="70">
        <v>0.3125</v>
      </c>
      <c r="Q138" s="70">
        <v>0.375</v>
      </c>
      <c r="R138" s="229" t="s">
        <v>1375</v>
      </c>
    </row>
    <row r="139" spans="1:18" x14ac:dyDescent="0.4">
      <c r="A139" s="29" t="s">
        <v>585</v>
      </c>
      <c r="B139" s="9" t="s">
        <v>61</v>
      </c>
      <c r="C139" s="30" t="s">
        <v>156</v>
      </c>
      <c r="D139" s="9">
        <v>28</v>
      </c>
      <c r="E139" s="77">
        <v>5</v>
      </c>
      <c r="F139" s="1"/>
      <c r="G139" s="76">
        <v>0.29166666666666669</v>
      </c>
      <c r="H139" s="76">
        <v>0.55694444444444446</v>
      </c>
      <c r="I139" s="173" t="s">
        <v>1396</v>
      </c>
      <c r="J139" s="23">
        <v>10</v>
      </c>
      <c r="K139" s="68">
        <v>1.0416666666666666E-2</v>
      </c>
      <c r="L139" s="68">
        <v>0.33333333333333331</v>
      </c>
      <c r="M139" s="68">
        <v>0.60416666666666663</v>
      </c>
      <c r="N139" s="173" t="s">
        <v>1330</v>
      </c>
      <c r="O139" s="23">
        <v>5060</v>
      </c>
      <c r="P139" s="70">
        <v>0.29166666666666669</v>
      </c>
      <c r="Q139" s="70">
        <v>0.60416666666666663</v>
      </c>
      <c r="R139" s="229" t="s">
        <v>1329</v>
      </c>
    </row>
    <row r="140" spans="1:18" x14ac:dyDescent="0.4">
      <c r="A140" s="29" t="s">
        <v>585</v>
      </c>
      <c r="B140" s="9" t="s">
        <v>456</v>
      </c>
      <c r="C140" s="30" t="s">
        <v>287</v>
      </c>
      <c r="D140" s="9">
        <v>4</v>
      </c>
      <c r="E140" s="77">
        <v>5</v>
      </c>
      <c r="F140" s="1"/>
      <c r="G140" s="76">
        <v>0.55694444444444446</v>
      </c>
      <c r="H140" s="76">
        <v>0.6875</v>
      </c>
      <c r="I140" s="173" t="s">
        <v>1397</v>
      </c>
      <c r="J140" s="23">
        <v>12</v>
      </c>
      <c r="K140" s="68">
        <v>1.0416666666666666E-2</v>
      </c>
      <c r="L140" s="68">
        <v>0.60416666666666663</v>
      </c>
      <c r="M140" s="68">
        <v>0.75</v>
      </c>
      <c r="N140" s="173" t="s">
        <v>1380</v>
      </c>
      <c r="O140" s="23">
        <v>3640</v>
      </c>
      <c r="P140" s="70">
        <v>0.55694444444444446</v>
      </c>
      <c r="Q140" s="70">
        <v>0.75</v>
      </c>
      <c r="R140" s="229" t="s">
        <v>1362</v>
      </c>
    </row>
    <row r="141" spans="1:18" x14ac:dyDescent="0.4">
      <c r="A141" s="29" t="s">
        <v>585</v>
      </c>
      <c r="B141" s="9" t="s">
        <v>93</v>
      </c>
      <c r="C141" s="30" t="s">
        <v>322</v>
      </c>
      <c r="D141" s="9">
        <v>20</v>
      </c>
      <c r="E141" s="77">
        <v>5</v>
      </c>
      <c r="F141" s="1"/>
      <c r="G141" s="76">
        <v>0.29166666666666669</v>
      </c>
      <c r="H141" s="76">
        <v>0.45694444444444443</v>
      </c>
      <c r="I141" s="173" t="s">
        <v>1310</v>
      </c>
      <c r="J141" s="23">
        <v>3</v>
      </c>
      <c r="K141" s="68">
        <v>1.0416666666666666E-2</v>
      </c>
      <c r="L141" s="68">
        <v>0.33333333333333331</v>
      </c>
      <c r="M141" s="68">
        <v>0.47916666666666669</v>
      </c>
      <c r="N141" s="173" t="s">
        <v>1380</v>
      </c>
      <c r="O141" s="23">
        <v>1865</v>
      </c>
      <c r="P141" s="70">
        <v>0.29166666666666669</v>
      </c>
      <c r="Q141" s="70">
        <v>0.47916666666666669</v>
      </c>
      <c r="R141" s="229" t="s">
        <v>1243</v>
      </c>
    </row>
    <row r="142" spans="1:18" x14ac:dyDescent="0.4">
      <c r="A142" s="29" t="s">
        <v>585</v>
      </c>
      <c r="B142" s="9" t="s">
        <v>63</v>
      </c>
      <c r="C142" s="30" t="s">
        <v>267</v>
      </c>
      <c r="D142" s="9">
        <v>28</v>
      </c>
      <c r="E142" s="77">
        <v>5</v>
      </c>
      <c r="F142" s="1"/>
      <c r="G142" s="76">
        <v>0.45694444444444443</v>
      </c>
      <c r="H142" s="76">
        <v>0.75</v>
      </c>
      <c r="I142" s="173" t="s">
        <v>1394</v>
      </c>
      <c r="J142" s="23">
        <v>3</v>
      </c>
      <c r="K142" s="68">
        <v>1.0416666666666666E-2</v>
      </c>
      <c r="L142" s="68">
        <v>0.47916666666666669</v>
      </c>
      <c r="M142" s="68">
        <v>0.75</v>
      </c>
      <c r="N142" s="173" t="s">
        <v>1330</v>
      </c>
      <c r="O142" s="23">
        <v>2845</v>
      </c>
      <c r="P142" s="70">
        <v>0.45694444444444443</v>
      </c>
      <c r="Q142" s="70">
        <v>0.75</v>
      </c>
      <c r="R142" s="229" t="s">
        <v>1394</v>
      </c>
    </row>
    <row r="143" spans="1:18" x14ac:dyDescent="0.4">
      <c r="A143" s="29" t="s">
        <v>586</v>
      </c>
      <c r="B143" s="9" t="s">
        <v>71</v>
      </c>
      <c r="C143" s="30" t="s">
        <v>176</v>
      </c>
      <c r="D143" s="9">
        <v>72</v>
      </c>
      <c r="E143" s="77">
        <v>5</v>
      </c>
      <c r="F143" s="1"/>
      <c r="G143" s="76">
        <v>0.29166666666666669</v>
      </c>
      <c r="H143" s="76">
        <v>0.66666666666666663</v>
      </c>
      <c r="I143" s="173" t="s">
        <v>1292</v>
      </c>
      <c r="J143" s="23">
        <v>5</v>
      </c>
      <c r="K143" s="23"/>
      <c r="L143" s="68">
        <v>0.3125</v>
      </c>
      <c r="M143" s="68">
        <v>0.70833333333333337</v>
      </c>
      <c r="N143" s="173" t="s">
        <v>990</v>
      </c>
      <c r="O143" s="23">
        <v>4950</v>
      </c>
      <c r="P143" s="70">
        <v>0.29166666666666669</v>
      </c>
      <c r="Q143" s="70">
        <v>0.70833333333333337</v>
      </c>
      <c r="R143" s="229" t="s">
        <v>1252</v>
      </c>
    </row>
    <row r="144" spans="1:18" x14ac:dyDescent="0.4">
      <c r="A144" s="29" t="s">
        <v>586</v>
      </c>
      <c r="B144" s="9" t="s">
        <v>128</v>
      </c>
      <c r="C144" s="30" t="s">
        <v>312</v>
      </c>
      <c r="D144" s="9">
        <v>8</v>
      </c>
      <c r="E144" s="77">
        <v>5</v>
      </c>
      <c r="F144" s="1"/>
      <c r="G144" s="76">
        <v>0.63888888888888895</v>
      </c>
      <c r="H144" s="76">
        <v>0.70833333333333337</v>
      </c>
      <c r="I144" s="173" t="s">
        <v>1386</v>
      </c>
      <c r="J144" s="23">
        <v>4</v>
      </c>
      <c r="K144" s="68">
        <v>6.9444444444444441E-3</v>
      </c>
      <c r="L144" s="68">
        <v>0.65972222222222221</v>
      </c>
      <c r="M144" s="68">
        <v>0.72916666666666663</v>
      </c>
      <c r="N144" s="173" t="s">
        <v>1377</v>
      </c>
      <c r="O144" s="23">
        <v>940</v>
      </c>
      <c r="P144" s="70">
        <v>0.63888888888888895</v>
      </c>
      <c r="Q144" s="70">
        <v>0.72916666666666663</v>
      </c>
      <c r="R144" s="229" t="s">
        <v>1248</v>
      </c>
    </row>
    <row r="145" spans="1:18" x14ac:dyDescent="0.4">
      <c r="A145" s="29" t="s">
        <v>586</v>
      </c>
      <c r="B145" s="9" t="s">
        <v>77</v>
      </c>
      <c r="C145" s="30" t="s">
        <v>293</v>
      </c>
      <c r="D145" s="9">
        <v>8</v>
      </c>
      <c r="E145" s="77">
        <v>5</v>
      </c>
      <c r="F145" s="1"/>
      <c r="G145" s="76">
        <v>0.29166666666666669</v>
      </c>
      <c r="H145" s="76">
        <v>0.3743055555555555</v>
      </c>
      <c r="I145" s="173" t="s">
        <v>1398</v>
      </c>
      <c r="J145" s="23">
        <v>4</v>
      </c>
      <c r="K145" s="68">
        <v>6.9444444444444441E-3</v>
      </c>
      <c r="L145" s="68">
        <v>0.33333333333333331</v>
      </c>
      <c r="M145" s="68">
        <v>0.39583333333333331</v>
      </c>
      <c r="N145" s="173" t="s">
        <v>1386</v>
      </c>
      <c r="O145" s="23">
        <v>995</v>
      </c>
      <c r="P145" s="70">
        <v>0.29166666666666669</v>
      </c>
      <c r="Q145" s="70">
        <v>0.39583333333333331</v>
      </c>
      <c r="R145" s="229" t="s">
        <v>1298</v>
      </c>
    </row>
    <row r="146" spans="1:18" x14ac:dyDescent="0.4">
      <c r="A146" s="29" t="s">
        <v>586</v>
      </c>
      <c r="B146" s="9" t="s">
        <v>63</v>
      </c>
      <c r="C146" s="30" t="s">
        <v>267</v>
      </c>
      <c r="D146" s="9">
        <v>28</v>
      </c>
      <c r="E146" s="77">
        <v>5</v>
      </c>
      <c r="F146" s="1"/>
      <c r="G146" s="76">
        <v>0.3743055555555555</v>
      </c>
      <c r="H146" s="76">
        <v>0.63888888888888895</v>
      </c>
      <c r="I146" s="173" t="s">
        <v>1399</v>
      </c>
      <c r="J146" s="23">
        <v>4</v>
      </c>
      <c r="K146" s="68">
        <v>6.9444444444444441E-3</v>
      </c>
      <c r="L146" s="68">
        <v>0.39583333333333331</v>
      </c>
      <c r="M146" s="68">
        <v>0.65972222222222221</v>
      </c>
      <c r="N146" s="173" t="s">
        <v>1320</v>
      </c>
      <c r="O146" s="23">
        <v>2925</v>
      </c>
      <c r="P146" s="70">
        <v>0.3743055555555555</v>
      </c>
      <c r="Q146" s="70">
        <v>0.65972222222222221</v>
      </c>
      <c r="R146" s="229" t="s">
        <v>1400</v>
      </c>
    </row>
    <row r="147" spans="1:18" x14ac:dyDescent="0.4">
      <c r="A147" s="29" t="s">
        <v>586</v>
      </c>
      <c r="B147" s="9" t="s">
        <v>82</v>
      </c>
      <c r="C147" s="30" t="s">
        <v>171</v>
      </c>
      <c r="D147" s="9">
        <v>20</v>
      </c>
      <c r="E147" s="77">
        <v>3</v>
      </c>
      <c r="F147" s="76">
        <v>3.125E-2</v>
      </c>
      <c r="G147" s="76">
        <v>0.4375</v>
      </c>
      <c r="H147" s="76">
        <v>0.70833333333333337</v>
      </c>
      <c r="I147" s="173" t="s">
        <v>1383</v>
      </c>
      <c r="J147" s="23">
        <v>7</v>
      </c>
      <c r="K147" s="68">
        <v>2.0833333333333332E-2</v>
      </c>
      <c r="L147" s="68">
        <v>0.55555555555555558</v>
      </c>
      <c r="M147" s="68">
        <v>0.75</v>
      </c>
      <c r="N147" s="173" t="s">
        <v>1257</v>
      </c>
      <c r="O147" s="23">
        <v>3295</v>
      </c>
      <c r="P147" s="70">
        <v>0.4375</v>
      </c>
      <c r="Q147" s="70">
        <v>0.75</v>
      </c>
      <c r="R147" s="229" t="s">
        <v>1329</v>
      </c>
    </row>
    <row r="148" spans="1:18" x14ac:dyDescent="0.4">
      <c r="A148" s="29" t="s">
        <v>586</v>
      </c>
      <c r="B148" s="9" t="s">
        <v>83</v>
      </c>
      <c r="C148" s="30" t="s">
        <v>169</v>
      </c>
      <c r="D148" s="9">
        <v>20</v>
      </c>
      <c r="E148" s="77">
        <v>3</v>
      </c>
      <c r="F148" s="76">
        <v>9.375E-2</v>
      </c>
      <c r="G148" s="76">
        <v>0.3125</v>
      </c>
      <c r="H148" s="76">
        <v>0.4375</v>
      </c>
      <c r="I148" s="173" t="s">
        <v>1401</v>
      </c>
      <c r="J148" s="23">
        <v>7</v>
      </c>
      <c r="K148" s="68">
        <v>2.0833333333333332E-2</v>
      </c>
      <c r="L148" s="68">
        <v>0.33333333333333331</v>
      </c>
      <c r="M148" s="68">
        <v>0.55555555555555558</v>
      </c>
      <c r="N148" s="173" t="s">
        <v>1258</v>
      </c>
      <c r="O148" s="23">
        <v>2975</v>
      </c>
      <c r="P148" s="70">
        <v>0.3125</v>
      </c>
      <c r="Q148" s="70">
        <v>0.55555555555555558</v>
      </c>
      <c r="R148" s="229" t="s">
        <v>1258</v>
      </c>
    </row>
    <row r="149" spans="1:18" x14ac:dyDescent="0.4">
      <c r="A149" s="29" t="s">
        <v>587</v>
      </c>
      <c r="B149" s="9" t="s">
        <v>88</v>
      </c>
      <c r="C149" s="30" t="s">
        <v>328</v>
      </c>
      <c r="D149" s="9">
        <v>32</v>
      </c>
      <c r="E149" s="77">
        <v>5</v>
      </c>
      <c r="F149" s="1"/>
      <c r="G149" s="76">
        <v>0.29166666666666669</v>
      </c>
      <c r="H149" s="76">
        <v>0.60763888888888895</v>
      </c>
      <c r="I149" s="173" t="s">
        <v>1402</v>
      </c>
      <c r="J149" s="23">
        <v>4</v>
      </c>
      <c r="K149" s="68">
        <v>1.0416666666666666E-2</v>
      </c>
      <c r="L149" s="68">
        <v>0.33333333333333331</v>
      </c>
      <c r="M149" s="68">
        <v>0.63194444444444442</v>
      </c>
      <c r="N149" s="173" t="s">
        <v>1374</v>
      </c>
      <c r="O149" s="23">
        <v>3515</v>
      </c>
      <c r="P149" s="70">
        <v>0.29166666666666669</v>
      </c>
      <c r="Q149" s="70">
        <v>0.63194444444444442</v>
      </c>
      <c r="R149" s="229" t="s">
        <v>1403</v>
      </c>
    </row>
    <row r="150" spans="1:18" x14ac:dyDescent="0.4">
      <c r="A150" s="29" t="s">
        <v>587</v>
      </c>
      <c r="B150" s="9" t="s">
        <v>109</v>
      </c>
      <c r="C150" s="30" t="s">
        <v>263</v>
      </c>
      <c r="D150" s="9">
        <v>12</v>
      </c>
      <c r="E150" s="77">
        <v>5</v>
      </c>
      <c r="F150" s="1"/>
      <c r="G150" s="76">
        <v>0.60763888888888895</v>
      </c>
      <c r="H150" s="76">
        <v>0.70833333333333337</v>
      </c>
      <c r="I150" s="173" t="s">
        <v>1331</v>
      </c>
      <c r="J150" s="23">
        <v>4</v>
      </c>
      <c r="K150" s="68">
        <v>1.0416666666666666E-2</v>
      </c>
      <c r="L150" s="68">
        <v>0.63194444444444442</v>
      </c>
      <c r="M150" s="68">
        <v>0.72916666666666663</v>
      </c>
      <c r="N150" s="173" t="s">
        <v>1301</v>
      </c>
      <c r="O150" s="23">
        <v>1345</v>
      </c>
      <c r="P150" s="70">
        <v>0.60763888888888895</v>
      </c>
      <c r="Q150" s="70">
        <v>0.72916666666666663</v>
      </c>
      <c r="R150" s="229" t="s">
        <v>1326</v>
      </c>
    </row>
    <row r="151" spans="1:18" x14ac:dyDescent="0.4">
      <c r="A151" s="29" t="s">
        <v>587</v>
      </c>
      <c r="B151" s="9" t="s">
        <v>73</v>
      </c>
      <c r="C151" s="30" t="s">
        <v>231</v>
      </c>
      <c r="D151" s="9">
        <v>21</v>
      </c>
      <c r="E151" s="77">
        <v>3</v>
      </c>
      <c r="F151" s="76">
        <v>4.1666666666666664E-2</v>
      </c>
      <c r="G151" s="76">
        <v>0.29166666666666669</v>
      </c>
      <c r="H151" s="76">
        <v>0.70833333333333337</v>
      </c>
      <c r="I151" s="173" t="s">
        <v>1308</v>
      </c>
      <c r="J151" s="23">
        <v>9</v>
      </c>
      <c r="K151" s="23"/>
      <c r="L151" s="68">
        <v>0.29166666666666669</v>
      </c>
      <c r="M151" s="68">
        <v>0.70833333333333337</v>
      </c>
      <c r="N151" s="173" t="s">
        <v>1252</v>
      </c>
      <c r="O151" s="23">
        <v>6660</v>
      </c>
      <c r="P151" s="70">
        <v>0.29166666666666669</v>
      </c>
      <c r="Q151" s="70">
        <v>0.70833333333333337</v>
      </c>
      <c r="R151" s="229" t="s">
        <v>1252</v>
      </c>
    </row>
    <row r="152" spans="1:18" x14ac:dyDescent="0.4">
      <c r="A152" s="29" t="s">
        <v>587</v>
      </c>
      <c r="B152" s="9" t="s">
        <v>131</v>
      </c>
      <c r="C152" s="30" t="s">
        <v>274</v>
      </c>
      <c r="D152" s="9">
        <v>60</v>
      </c>
      <c r="E152" s="77">
        <v>3</v>
      </c>
      <c r="F152" s="76">
        <v>6.25E-2</v>
      </c>
      <c r="G152" s="76">
        <v>0.29166666666666669</v>
      </c>
      <c r="H152" s="76">
        <v>0.70833333333333337</v>
      </c>
      <c r="I152" s="173" t="s">
        <v>1369</v>
      </c>
      <c r="J152" s="23">
        <v>4</v>
      </c>
      <c r="K152" s="23"/>
      <c r="L152" s="68">
        <v>0.29166666666666669</v>
      </c>
      <c r="M152" s="68">
        <v>0.72916666666666663</v>
      </c>
      <c r="N152" s="173" t="s">
        <v>1247</v>
      </c>
      <c r="O152" s="23">
        <v>4170</v>
      </c>
      <c r="P152" s="70">
        <v>0.29166666666666669</v>
      </c>
      <c r="Q152" s="70">
        <v>0.72916666666666663</v>
      </c>
      <c r="R152" s="229" t="s">
        <v>1247</v>
      </c>
    </row>
    <row r="153" spans="1:18" x14ac:dyDescent="0.4">
      <c r="A153" s="382" t="s">
        <v>587</v>
      </c>
      <c r="B153" s="383">
        <v>152010</v>
      </c>
      <c r="C153" s="390" t="s">
        <v>483</v>
      </c>
      <c r="D153" s="383">
        <v>1</v>
      </c>
      <c r="E153" s="384"/>
      <c r="F153" s="385"/>
      <c r="G153" s="385"/>
      <c r="H153" s="385"/>
      <c r="I153" s="386" t="s">
        <v>1002</v>
      </c>
      <c r="J153" s="387"/>
      <c r="K153" s="387"/>
      <c r="L153" s="388"/>
      <c r="M153" s="388"/>
      <c r="N153" s="386" t="s">
        <v>1002</v>
      </c>
      <c r="O153" s="387">
        <v>0</v>
      </c>
      <c r="P153" s="391">
        <v>0</v>
      </c>
      <c r="Q153" s="391">
        <v>0</v>
      </c>
      <c r="R153" s="389" t="s">
        <v>1002</v>
      </c>
    </row>
    <row r="154" spans="1:18" x14ac:dyDescent="0.4">
      <c r="A154" s="29" t="s">
        <v>596</v>
      </c>
      <c r="B154" s="9" t="s">
        <v>86</v>
      </c>
      <c r="C154" s="30" t="s">
        <v>201</v>
      </c>
      <c r="D154" s="9">
        <v>3</v>
      </c>
      <c r="E154" s="77">
        <v>6</v>
      </c>
      <c r="F154" s="1"/>
      <c r="G154" s="76">
        <v>0.29166666666666669</v>
      </c>
      <c r="H154" s="76">
        <v>0.38194444444444442</v>
      </c>
      <c r="I154" s="173" t="s">
        <v>1248</v>
      </c>
      <c r="J154" s="23">
        <v>6</v>
      </c>
      <c r="K154" s="68">
        <v>1.0416666666666666E-2</v>
      </c>
      <c r="L154" s="68">
        <v>0.33333333333333331</v>
      </c>
      <c r="M154" s="68">
        <v>0.38541666666666669</v>
      </c>
      <c r="N154" s="173" t="s">
        <v>1375</v>
      </c>
      <c r="O154" s="23">
        <v>1320</v>
      </c>
      <c r="P154" s="70">
        <v>0.29166666666666669</v>
      </c>
      <c r="Q154" s="70">
        <v>0.38541666666666669</v>
      </c>
      <c r="R154" s="229" t="s">
        <v>1324</v>
      </c>
    </row>
    <row r="155" spans="1:18" x14ac:dyDescent="0.4">
      <c r="A155" s="29" t="s">
        <v>596</v>
      </c>
      <c r="B155" s="9" t="s">
        <v>87</v>
      </c>
      <c r="C155" s="30" t="s">
        <v>199</v>
      </c>
      <c r="D155" s="9">
        <v>65</v>
      </c>
      <c r="E155" s="77">
        <v>6</v>
      </c>
      <c r="F155" s="1"/>
      <c r="G155" s="76">
        <v>0.38194444444444442</v>
      </c>
      <c r="H155" s="76">
        <v>0.70833333333333337</v>
      </c>
      <c r="I155" s="173" t="s">
        <v>1337</v>
      </c>
      <c r="J155" s="23">
        <v>6</v>
      </c>
      <c r="K155" s="68">
        <v>1.0416666666666666E-2</v>
      </c>
      <c r="L155" s="68">
        <v>0.38541666666666669</v>
      </c>
      <c r="M155" s="68">
        <v>0.70833333333333337</v>
      </c>
      <c r="N155" s="173" t="s">
        <v>1341</v>
      </c>
      <c r="O155" s="23">
        <v>4980</v>
      </c>
      <c r="P155" s="70">
        <v>0.38194444444444442</v>
      </c>
      <c r="Q155" s="70">
        <v>0.70833333333333337</v>
      </c>
      <c r="R155" s="229" t="s">
        <v>1337</v>
      </c>
    </row>
    <row r="156" spans="1:18" x14ac:dyDescent="0.4">
      <c r="A156" s="29" t="s">
        <v>596</v>
      </c>
      <c r="B156" s="9" t="s">
        <v>63</v>
      </c>
      <c r="C156" s="30" t="s">
        <v>267</v>
      </c>
      <c r="D156" s="9">
        <v>20</v>
      </c>
      <c r="E156" s="77">
        <v>5</v>
      </c>
      <c r="F156" s="1"/>
      <c r="G156" s="76">
        <v>0.45</v>
      </c>
      <c r="H156" s="76">
        <v>0.6875</v>
      </c>
      <c r="I156" s="173" t="s">
        <v>1295</v>
      </c>
      <c r="J156" s="23">
        <v>3</v>
      </c>
      <c r="K156" s="68">
        <v>6.9444444444444441E-3</v>
      </c>
      <c r="L156" s="68">
        <v>0.47916666666666669</v>
      </c>
      <c r="M156" s="68">
        <v>0.6875</v>
      </c>
      <c r="N156" s="173" t="s">
        <v>1311</v>
      </c>
      <c r="O156" s="23">
        <v>2160</v>
      </c>
      <c r="P156" s="70">
        <v>0.45</v>
      </c>
      <c r="Q156" s="70">
        <v>0.6875</v>
      </c>
      <c r="R156" s="229" t="s">
        <v>1295</v>
      </c>
    </row>
    <row r="157" spans="1:18" x14ac:dyDescent="0.4">
      <c r="A157" s="29" t="s">
        <v>596</v>
      </c>
      <c r="B157" s="9" t="s">
        <v>461</v>
      </c>
      <c r="C157" s="30" t="s">
        <v>237</v>
      </c>
      <c r="D157" s="9">
        <v>6</v>
      </c>
      <c r="E157" s="77">
        <v>5</v>
      </c>
      <c r="F157" s="1"/>
      <c r="G157" s="76">
        <v>0.3923611111111111</v>
      </c>
      <c r="H157" s="76">
        <v>0.45</v>
      </c>
      <c r="I157" s="173" t="s">
        <v>1404</v>
      </c>
      <c r="J157" s="23">
        <v>3</v>
      </c>
      <c r="K157" s="68">
        <v>6.9444444444444441E-3</v>
      </c>
      <c r="L157" s="68">
        <v>0.40972222222222227</v>
      </c>
      <c r="M157" s="68">
        <v>0.47916666666666669</v>
      </c>
      <c r="N157" s="173" t="s">
        <v>1377</v>
      </c>
      <c r="O157" s="23">
        <v>745</v>
      </c>
      <c r="P157" s="70">
        <v>0.3923611111111111</v>
      </c>
      <c r="Q157" s="70">
        <v>0.47916666666666669</v>
      </c>
      <c r="R157" s="229" t="s">
        <v>1249</v>
      </c>
    </row>
    <row r="158" spans="1:18" x14ac:dyDescent="0.4">
      <c r="A158" s="29" t="s">
        <v>596</v>
      </c>
      <c r="B158" s="9" t="s">
        <v>51</v>
      </c>
      <c r="C158" s="30" t="s">
        <v>253</v>
      </c>
      <c r="D158" s="9">
        <v>12</v>
      </c>
      <c r="E158" s="77">
        <v>5</v>
      </c>
      <c r="F158" s="1"/>
      <c r="G158" s="76">
        <v>0.29166666666666669</v>
      </c>
      <c r="H158" s="76">
        <v>0.3923611111111111</v>
      </c>
      <c r="I158" s="173" t="s">
        <v>1331</v>
      </c>
      <c r="J158" s="23">
        <v>3</v>
      </c>
      <c r="K158" s="68">
        <v>6.9444444444444441E-3</v>
      </c>
      <c r="L158" s="68">
        <v>0.33333333333333331</v>
      </c>
      <c r="M158" s="68">
        <v>0.40972222222222227</v>
      </c>
      <c r="N158" s="173" t="s">
        <v>1296</v>
      </c>
      <c r="O158" s="23">
        <v>1085</v>
      </c>
      <c r="P158" s="70">
        <v>0.29166666666666669</v>
      </c>
      <c r="Q158" s="70">
        <v>0.40972222222222227</v>
      </c>
      <c r="R158" s="229" t="s">
        <v>1314</v>
      </c>
    </row>
    <row r="159" spans="1:18" x14ac:dyDescent="0.4">
      <c r="A159" s="29" t="s">
        <v>596</v>
      </c>
      <c r="B159" s="9" t="s">
        <v>597</v>
      </c>
      <c r="C159" s="30" t="s">
        <v>283</v>
      </c>
      <c r="D159" s="9">
        <v>8</v>
      </c>
      <c r="E159" s="77">
        <v>3</v>
      </c>
      <c r="F159" s="76">
        <v>1.7361111111111112E-2</v>
      </c>
      <c r="G159" s="76">
        <v>0.29166666666666669</v>
      </c>
      <c r="H159" s="76">
        <v>0.34027777777777773</v>
      </c>
      <c r="I159" s="173" t="s">
        <v>1405</v>
      </c>
      <c r="J159" s="23">
        <v>7</v>
      </c>
      <c r="K159" s="68">
        <v>2.0833333333333332E-2</v>
      </c>
      <c r="L159" s="68">
        <v>0.33333333333333331</v>
      </c>
      <c r="M159" s="68">
        <v>0.47222222222222227</v>
      </c>
      <c r="N159" s="173" t="s">
        <v>1332</v>
      </c>
      <c r="O159" s="23">
        <v>1895</v>
      </c>
      <c r="P159" s="70">
        <v>0.29166666666666669</v>
      </c>
      <c r="Q159" s="70">
        <v>0.47222222222222227</v>
      </c>
      <c r="R159" s="229" t="s">
        <v>1379</v>
      </c>
    </row>
    <row r="160" spans="1:18" x14ac:dyDescent="0.4">
      <c r="A160" s="29" t="s">
        <v>596</v>
      </c>
      <c r="B160" s="9" t="s">
        <v>66</v>
      </c>
      <c r="C160" s="30" t="s">
        <v>195</v>
      </c>
      <c r="D160" s="9">
        <v>20</v>
      </c>
      <c r="E160" s="77">
        <v>3</v>
      </c>
      <c r="F160" s="76">
        <v>1.7361111111111112E-2</v>
      </c>
      <c r="G160" s="76">
        <v>0.33333333333333331</v>
      </c>
      <c r="H160" s="76">
        <v>0.66666666666666663</v>
      </c>
      <c r="I160" s="173" t="s">
        <v>1406</v>
      </c>
      <c r="J160" s="23">
        <v>4</v>
      </c>
      <c r="K160" s="68">
        <v>2.0833333333333332E-2</v>
      </c>
      <c r="L160" s="68">
        <v>0.47222222222222227</v>
      </c>
      <c r="M160" s="68">
        <v>0.67361111111111116</v>
      </c>
      <c r="N160" s="173" t="s">
        <v>1379</v>
      </c>
      <c r="O160" s="23">
        <v>2375</v>
      </c>
      <c r="P160" s="70">
        <v>0.33333333333333331</v>
      </c>
      <c r="Q160" s="70">
        <v>0.67361111111111116</v>
      </c>
      <c r="R160" s="229" t="s">
        <v>1403</v>
      </c>
    </row>
    <row r="161" spans="1:18" x14ac:dyDescent="0.4">
      <c r="A161" s="382" t="s">
        <v>596</v>
      </c>
      <c r="B161" s="383" t="s">
        <v>594</v>
      </c>
      <c r="C161" s="390" t="s">
        <v>595</v>
      </c>
      <c r="D161" s="383">
        <v>1</v>
      </c>
      <c r="E161" s="384"/>
      <c r="F161" s="385"/>
      <c r="G161" s="385"/>
      <c r="H161" s="385"/>
      <c r="I161" s="386" t="s">
        <v>1002</v>
      </c>
      <c r="J161" s="387"/>
      <c r="K161" s="387"/>
      <c r="L161" s="388"/>
      <c r="M161" s="388"/>
      <c r="N161" s="386" t="s">
        <v>1002</v>
      </c>
      <c r="O161" s="387">
        <v>0</v>
      </c>
      <c r="P161" s="391">
        <v>0</v>
      </c>
      <c r="Q161" s="391">
        <v>0</v>
      </c>
      <c r="R161" s="389" t="s">
        <v>1002</v>
      </c>
    </row>
    <row r="162" spans="1:18" x14ac:dyDescent="0.4">
      <c r="A162" s="29" t="s">
        <v>598</v>
      </c>
      <c r="B162" s="9" t="s">
        <v>599</v>
      </c>
      <c r="C162" s="30" t="s">
        <v>345</v>
      </c>
      <c r="D162" s="9">
        <v>14</v>
      </c>
      <c r="E162" s="77">
        <v>5</v>
      </c>
      <c r="F162" s="1"/>
      <c r="G162" s="76">
        <v>0.29166666666666669</v>
      </c>
      <c r="H162" s="76">
        <v>0.5</v>
      </c>
      <c r="I162" s="173" t="s">
        <v>1327</v>
      </c>
      <c r="J162" s="23">
        <v>9</v>
      </c>
      <c r="K162" s="68">
        <v>1.0416666666666666E-2</v>
      </c>
      <c r="L162" s="68">
        <v>0.33333333333333331</v>
      </c>
      <c r="M162" s="68">
        <v>0.60416666666666663</v>
      </c>
      <c r="N162" s="173" t="s">
        <v>1330</v>
      </c>
      <c r="O162" s="23">
        <v>4605</v>
      </c>
      <c r="P162" s="70">
        <v>0.29166666666666669</v>
      </c>
      <c r="Q162" s="70">
        <v>0.60416666666666663</v>
      </c>
      <c r="R162" s="229" t="s">
        <v>1329</v>
      </c>
    </row>
    <row r="163" spans="1:18" x14ac:dyDescent="0.4">
      <c r="A163" s="29" t="s">
        <v>598</v>
      </c>
      <c r="B163" s="9" t="s">
        <v>91</v>
      </c>
      <c r="C163" s="30" t="s">
        <v>163</v>
      </c>
      <c r="D163" s="9">
        <v>12</v>
      </c>
      <c r="E163" s="77">
        <v>4</v>
      </c>
      <c r="F163" s="1"/>
      <c r="G163" s="76">
        <v>0.54166666666666663</v>
      </c>
      <c r="H163" s="76">
        <v>0.70833333333333337</v>
      </c>
      <c r="I163" s="173" t="s">
        <v>1244</v>
      </c>
      <c r="J163" s="23">
        <v>9</v>
      </c>
      <c r="K163" s="68">
        <v>1.0416666666666666E-2</v>
      </c>
      <c r="L163" s="68">
        <v>0.60416666666666663</v>
      </c>
      <c r="M163" s="68">
        <v>0.75</v>
      </c>
      <c r="N163" s="173" t="s">
        <v>1380</v>
      </c>
      <c r="O163" s="23">
        <v>2985</v>
      </c>
      <c r="P163" s="70">
        <v>0.54166666666666663</v>
      </c>
      <c r="Q163" s="70">
        <v>0.75</v>
      </c>
      <c r="R163" s="229" t="s">
        <v>1327</v>
      </c>
    </row>
    <row r="164" spans="1:18" x14ac:dyDescent="0.4">
      <c r="A164" s="29" t="s">
        <v>598</v>
      </c>
      <c r="B164" s="9" t="s">
        <v>64</v>
      </c>
      <c r="C164" s="30" t="s">
        <v>271</v>
      </c>
      <c r="D164" s="9">
        <v>20</v>
      </c>
      <c r="E164" s="77">
        <v>5</v>
      </c>
      <c r="F164" s="1"/>
      <c r="G164" s="76">
        <v>0.29166666666666669</v>
      </c>
      <c r="H164" s="76">
        <v>0.5</v>
      </c>
      <c r="I164" s="173" t="s">
        <v>1327</v>
      </c>
      <c r="J164" s="23">
        <v>3</v>
      </c>
      <c r="K164" s="68">
        <v>1.0416666666666666E-2</v>
      </c>
      <c r="L164" s="68">
        <v>0.33333333333333331</v>
      </c>
      <c r="M164" s="68">
        <v>0.56944444444444442</v>
      </c>
      <c r="N164" s="173" t="s">
        <v>1305</v>
      </c>
      <c r="O164" s="23">
        <v>2385</v>
      </c>
      <c r="P164" s="70">
        <v>0.29166666666666669</v>
      </c>
      <c r="Q164" s="70">
        <v>0.56944444444444442</v>
      </c>
      <c r="R164" s="229" t="s">
        <v>1339</v>
      </c>
    </row>
    <row r="165" spans="1:18" x14ac:dyDescent="0.4">
      <c r="A165" s="29" t="s">
        <v>598</v>
      </c>
      <c r="B165" s="9" t="s">
        <v>63</v>
      </c>
      <c r="C165" s="30" t="s">
        <v>267</v>
      </c>
      <c r="D165" s="9">
        <v>20</v>
      </c>
      <c r="E165" s="77">
        <v>5</v>
      </c>
      <c r="F165" s="1"/>
      <c r="G165" s="76">
        <v>0.54166666666666663</v>
      </c>
      <c r="H165" s="76">
        <v>0.70833333333333337</v>
      </c>
      <c r="I165" s="173" t="s">
        <v>1244</v>
      </c>
      <c r="J165" s="23">
        <v>3</v>
      </c>
      <c r="K165" s="68">
        <v>1.0416666666666666E-2</v>
      </c>
      <c r="L165" s="68">
        <v>0.56944444444444442</v>
      </c>
      <c r="M165" s="68">
        <v>0.72916666666666663</v>
      </c>
      <c r="N165" s="173" t="s">
        <v>1365</v>
      </c>
      <c r="O165" s="23">
        <v>1935</v>
      </c>
      <c r="P165" s="70">
        <v>0.54166666666666663</v>
      </c>
      <c r="Q165" s="70">
        <v>0.72916666666666663</v>
      </c>
      <c r="R165" s="229" t="s">
        <v>1243</v>
      </c>
    </row>
    <row r="166" spans="1:18" x14ac:dyDescent="0.4">
      <c r="A166" s="29" t="s">
        <v>598</v>
      </c>
      <c r="B166" s="9" t="s">
        <v>65</v>
      </c>
      <c r="C166" s="30" t="s">
        <v>189</v>
      </c>
      <c r="D166" s="224">
        <v>72</v>
      </c>
      <c r="E166" s="77">
        <v>3</v>
      </c>
      <c r="F166" s="76">
        <v>8.3333333333333329E-2</v>
      </c>
      <c r="G166" s="76">
        <v>0.29166666666666669</v>
      </c>
      <c r="H166" s="76">
        <v>0.75</v>
      </c>
      <c r="I166" s="173" t="s">
        <v>1317</v>
      </c>
      <c r="J166" s="23">
        <v>4</v>
      </c>
      <c r="K166" s="68"/>
      <c r="L166" s="68">
        <v>0.29166666666666669</v>
      </c>
      <c r="M166" s="68">
        <v>0.77083333333333337</v>
      </c>
      <c r="N166" s="173" t="s">
        <v>1369</v>
      </c>
      <c r="O166" s="23">
        <v>4680</v>
      </c>
      <c r="P166" s="70">
        <v>0.29166666666666669</v>
      </c>
      <c r="Q166" s="70">
        <v>0.77083333333333337</v>
      </c>
      <c r="R166" s="229" t="s">
        <v>1369</v>
      </c>
    </row>
    <row r="167" spans="1:18" x14ac:dyDescent="0.4">
      <c r="A167" s="382" t="s">
        <v>598</v>
      </c>
      <c r="B167" s="383">
        <v>151010</v>
      </c>
      <c r="C167" s="390" t="s">
        <v>482</v>
      </c>
      <c r="D167" s="383">
        <v>1</v>
      </c>
      <c r="E167" s="384"/>
      <c r="F167" s="385"/>
      <c r="G167" s="385"/>
      <c r="H167" s="385"/>
      <c r="I167" s="386" t="s">
        <v>1002</v>
      </c>
      <c r="J167" s="387"/>
      <c r="K167" s="387"/>
      <c r="L167" s="388"/>
      <c r="M167" s="388"/>
      <c r="N167" s="386" t="s">
        <v>1002</v>
      </c>
      <c r="O167" s="387">
        <v>0</v>
      </c>
      <c r="P167" s="391">
        <v>0</v>
      </c>
      <c r="Q167" s="391">
        <v>0</v>
      </c>
      <c r="R167" s="389" t="s">
        <v>1002</v>
      </c>
    </row>
    <row r="168" spans="1:18" x14ac:dyDescent="0.4">
      <c r="A168" s="29" t="s">
        <v>601</v>
      </c>
      <c r="B168" s="9" t="s">
        <v>71</v>
      </c>
      <c r="C168" s="30" t="s">
        <v>176</v>
      </c>
      <c r="D168" s="9">
        <v>72</v>
      </c>
      <c r="E168" s="77">
        <v>6</v>
      </c>
      <c r="F168" s="1"/>
      <c r="G168" s="76">
        <v>0.29166666666666669</v>
      </c>
      <c r="H168" s="76">
        <v>0.66666666666666663</v>
      </c>
      <c r="I168" s="173" t="s">
        <v>1292</v>
      </c>
      <c r="J168" s="23">
        <v>5</v>
      </c>
      <c r="K168" s="23"/>
      <c r="L168" s="68">
        <v>0.3125</v>
      </c>
      <c r="M168" s="68">
        <v>0.70833333333333337</v>
      </c>
      <c r="N168" s="173" t="s">
        <v>990</v>
      </c>
      <c r="O168" s="23">
        <v>5430</v>
      </c>
      <c r="P168" s="70">
        <v>0.29166666666666669</v>
      </c>
      <c r="Q168" s="70">
        <v>0.70833333333333337</v>
      </c>
      <c r="R168" s="229" t="s">
        <v>1252</v>
      </c>
    </row>
    <row r="169" spans="1:18" x14ac:dyDescent="0.4">
      <c r="A169" s="29" t="s">
        <v>601</v>
      </c>
      <c r="B169" s="9" t="s">
        <v>72</v>
      </c>
      <c r="C169" s="30" t="s">
        <v>227</v>
      </c>
      <c r="D169" s="9">
        <v>16</v>
      </c>
      <c r="E169" s="77">
        <v>5</v>
      </c>
      <c r="F169" s="1"/>
      <c r="G169" s="76">
        <v>0.29166666666666669</v>
      </c>
      <c r="H169" s="76">
        <v>0.42083333333333334</v>
      </c>
      <c r="I169" s="173" t="s">
        <v>1407</v>
      </c>
      <c r="J169" s="23">
        <v>3</v>
      </c>
      <c r="K169" s="68">
        <v>1.0416666666666666E-2</v>
      </c>
      <c r="L169" s="68">
        <v>0.33333333333333331</v>
      </c>
      <c r="M169" s="68">
        <v>0.44791666666666669</v>
      </c>
      <c r="N169" s="173" t="s">
        <v>1316</v>
      </c>
      <c r="O169" s="23">
        <v>1470</v>
      </c>
      <c r="P169" s="70">
        <v>0.29166666666666669</v>
      </c>
      <c r="Q169" s="70">
        <v>0.44791666666666669</v>
      </c>
      <c r="R169" s="229" t="s">
        <v>1380</v>
      </c>
    </row>
    <row r="170" spans="1:18" x14ac:dyDescent="0.4">
      <c r="A170" s="29" t="s">
        <v>601</v>
      </c>
      <c r="B170" s="9" t="s">
        <v>63</v>
      </c>
      <c r="C170" s="30" t="s">
        <v>267</v>
      </c>
      <c r="D170" s="9">
        <v>24</v>
      </c>
      <c r="E170" s="77">
        <v>5</v>
      </c>
      <c r="F170" s="1"/>
      <c r="G170" s="76">
        <v>0.42083333333333334</v>
      </c>
      <c r="H170" s="76">
        <v>0.6875</v>
      </c>
      <c r="I170" s="173" t="s">
        <v>1408</v>
      </c>
      <c r="J170" s="23">
        <v>3</v>
      </c>
      <c r="K170" s="68">
        <v>1.0416666666666666E-2</v>
      </c>
      <c r="L170" s="68">
        <v>0.44791666666666669</v>
      </c>
      <c r="M170" s="68">
        <v>0.6875</v>
      </c>
      <c r="N170" s="173" t="s">
        <v>1327</v>
      </c>
      <c r="O170" s="23">
        <v>2520</v>
      </c>
      <c r="P170" s="70">
        <v>0.42083333333333334</v>
      </c>
      <c r="Q170" s="70">
        <v>0.6875</v>
      </c>
      <c r="R170" s="229" t="s">
        <v>1408</v>
      </c>
    </row>
    <row r="171" spans="1:18" x14ac:dyDescent="0.4">
      <c r="A171" s="29" t="s">
        <v>601</v>
      </c>
      <c r="B171" s="9" t="s">
        <v>602</v>
      </c>
      <c r="C171" s="30" t="s">
        <v>324</v>
      </c>
      <c r="D171" s="9">
        <v>8</v>
      </c>
      <c r="E171" s="77">
        <v>3</v>
      </c>
      <c r="F171" s="76">
        <v>4.1666666666666664E-2</v>
      </c>
      <c r="G171" s="76">
        <v>0.41666666666666669</v>
      </c>
      <c r="H171" s="76">
        <v>0.64583333333333337</v>
      </c>
      <c r="I171" s="173" t="s">
        <v>1320</v>
      </c>
      <c r="J171" s="23">
        <v>8</v>
      </c>
      <c r="K171" s="23"/>
      <c r="L171" s="68">
        <v>0.29166666666666669</v>
      </c>
      <c r="M171" s="68">
        <v>0.5</v>
      </c>
      <c r="N171" s="173" t="s">
        <v>1327</v>
      </c>
      <c r="O171" s="23">
        <v>3390</v>
      </c>
      <c r="P171" s="70">
        <v>0.29166666666666669</v>
      </c>
      <c r="Q171" s="70">
        <v>0.64583333333333337</v>
      </c>
      <c r="R171" s="229" t="s">
        <v>1309</v>
      </c>
    </row>
    <row r="172" spans="1:18" x14ac:dyDescent="0.4">
      <c r="A172" s="29" t="s">
        <v>601</v>
      </c>
      <c r="B172" s="9" t="s">
        <v>471</v>
      </c>
      <c r="C172" s="30" t="s">
        <v>280</v>
      </c>
      <c r="D172" s="9">
        <v>8</v>
      </c>
      <c r="E172" s="77">
        <v>3</v>
      </c>
      <c r="F172" s="76">
        <v>2.7777777777777776E-2</v>
      </c>
      <c r="G172" s="76">
        <v>0.30555555555555552</v>
      </c>
      <c r="H172" s="76">
        <v>0.41666666666666669</v>
      </c>
      <c r="I172" s="173" t="s">
        <v>1250</v>
      </c>
      <c r="J172" s="23">
        <v>4</v>
      </c>
      <c r="K172" s="23"/>
      <c r="L172" s="68">
        <v>0.54166666666666663</v>
      </c>
      <c r="M172" s="68">
        <v>0.70833333333333337</v>
      </c>
      <c r="N172" s="173" t="s">
        <v>1244</v>
      </c>
      <c r="O172" s="23">
        <v>1560</v>
      </c>
      <c r="P172" s="70">
        <v>0.30555555555555552</v>
      </c>
      <c r="Q172" s="70">
        <v>0.70833333333333337</v>
      </c>
      <c r="R172" s="229" t="s">
        <v>1351</v>
      </c>
    </row>
    <row r="173" spans="1:18" x14ac:dyDescent="0.4">
      <c r="A173" s="29" t="s">
        <v>588</v>
      </c>
      <c r="B173" s="9" t="s">
        <v>61</v>
      </c>
      <c r="C173" s="30" t="s">
        <v>156</v>
      </c>
      <c r="D173" s="9">
        <v>20</v>
      </c>
      <c r="E173" s="77">
        <v>5</v>
      </c>
      <c r="F173" s="1"/>
      <c r="G173" s="76">
        <v>0.29166666666666669</v>
      </c>
      <c r="H173" s="76">
        <v>0.5</v>
      </c>
      <c r="I173" s="173" t="s">
        <v>1327</v>
      </c>
      <c r="J173" s="23">
        <v>10</v>
      </c>
      <c r="K173" s="23"/>
      <c r="L173" s="68">
        <v>0.3125</v>
      </c>
      <c r="M173" s="68">
        <v>0.5</v>
      </c>
      <c r="N173" s="173" t="s">
        <v>1243</v>
      </c>
      <c r="O173" s="23">
        <v>4200</v>
      </c>
      <c r="P173" s="70">
        <v>0.29166666666666669</v>
      </c>
      <c r="Q173" s="70">
        <v>0.5</v>
      </c>
      <c r="R173" s="229" t="s">
        <v>1327</v>
      </c>
    </row>
    <row r="174" spans="1:18" x14ac:dyDescent="0.4">
      <c r="A174" s="29" t="s">
        <v>588</v>
      </c>
      <c r="B174" s="9" t="s">
        <v>114</v>
      </c>
      <c r="C174" s="30" t="s">
        <v>161</v>
      </c>
      <c r="D174" s="9">
        <v>15</v>
      </c>
      <c r="E174" s="77">
        <v>5</v>
      </c>
      <c r="F174" s="1"/>
      <c r="G174" s="76">
        <v>0.5</v>
      </c>
      <c r="H174" s="76">
        <v>0.70833333333333337</v>
      </c>
      <c r="I174" s="173" t="s">
        <v>1244</v>
      </c>
      <c r="J174" s="23">
        <v>13</v>
      </c>
      <c r="K174" s="23"/>
      <c r="L174" s="68">
        <v>0.52083333333333337</v>
      </c>
      <c r="M174" s="68">
        <v>0.77083333333333337</v>
      </c>
      <c r="N174" s="173" t="s">
        <v>1321</v>
      </c>
      <c r="O174" s="23">
        <v>5880</v>
      </c>
      <c r="P174" s="70">
        <v>0.5</v>
      </c>
      <c r="Q174" s="70">
        <v>0.77083333333333337</v>
      </c>
      <c r="R174" s="229" t="s">
        <v>1320</v>
      </c>
    </row>
    <row r="175" spans="1:18" x14ac:dyDescent="0.4">
      <c r="A175" s="29" t="s">
        <v>588</v>
      </c>
      <c r="B175" s="9" t="s">
        <v>54</v>
      </c>
      <c r="C175" s="30" t="s">
        <v>251</v>
      </c>
      <c r="D175" s="9">
        <v>36</v>
      </c>
      <c r="E175" s="77">
        <v>5</v>
      </c>
      <c r="F175" s="1"/>
      <c r="G175" s="76">
        <v>0.29166666666666669</v>
      </c>
      <c r="H175" s="76">
        <v>0.60555555555555551</v>
      </c>
      <c r="I175" s="173" t="s">
        <v>1409</v>
      </c>
      <c r="J175" s="23">
        <v>3</v>
      </c>
      <c r="K175" s="68">
        <v>1.0416666666666666E-2</v>
      </c>
      <c r="L175" s="68">
        <v>0.33333333333333331</v>
      </c>
      <c r="M175" s="68">
        <v>0.63194444444444442</v>
      </c>
      <c r="N175" s="173" t="s">
        <v>1374</v>
      </c>
      <c r="O175" s="23">
        <v>3115</v>
      </c>
      <c r="P175" s="70">
        <v>0.29166666666666669</v>
      </c>
      <c r="Q175" s="70">
        <v>0.63194444444444442</v>
      </c>
      <c r="R175" s="229" t="s">
        <v>1403</v>
      </c>
    </row>
    <row r="176" spans="1:18" x14ac:dyDescent="0.4">
      <c r="A176" s="29" t="s">
        <v>588</v>
      </c>
      <c r="B176" s="9" t="s">
        <v>53</v>
      </c>
      <c r="C176" s="30" t="s">
        <v>261</v>
      </c>
      <c r="D176" s="9">
        <v>4</v>
      </c>
      <c r="E176" s="77">
        <v>5</v>
      </c>
      <c r="F176" s="1"/>
      <c r="G176" s="76">
        <v>0.60555555555555551</v>
      </c>
      <c r="H176" s="76">
        <v>0.66666666666666663</v>
      </c>
      <c r="I176" s="173" t="s">
        <v>1410</v>
      </c>
      <c r="J176" s="23">
        <v>3</v>
      </c>
      <c r="K176" s="68">
        <v>1.0416666666666666E-2</v>
      </c>
      <c r="L176" s="68">
        <v>0.63194444444444442</v>
      </c>
      <c r="M176" s="68">
        <v>0.6875</v>
      </c>
      <c r="N176" s="173" t="s">
        <v>1405</v>
      </c>
      <c r="O176" s="23">
        <v>725</v>
      </c>
      <c r="P176" s="70">
        <v>0.60555555555555551</v>
      </c>
      <c r="Q176" s="70">
        <v>0.6875</v>
      </c>
      <c r="R176" s="229" t="s">
        <v>1411</v>
      </c>
    </row>
    <row r="177" spans="1:18" x14ac:dyDescent="0.4">
      <c r="A177" s="29" t="s">
        <v>588</v>
      </c>
      <c r="B177" s="9" t="s">
        <v>65</v>
      </c>
      <c r="C177" s="30" t="s">
        <v>189</v>
      </c>
      <c r="D177" s="224">
        <v>72</v>
      </c>
      <c r="E177" s="77">
        <v>3</v>
      </c>
      <c r="F177" s="76">
        <v>2.0833333333333332E-2</v>
      </c>
      <c r="G177" s="76">
        <v>0.29166666666666669</v>
      </c>
      <c r="H177" s="76">
        <v>0.75</v>
      </c>
      <c r="I177" s="173" t="s">
        <v>1369</v>
      </c>
      <c r="J177" s="23">
        <v>4</v>
      </c>
      <c r="K177" s="23"/>
      <c r="L177" s="68">
        <v>0.29166666666666669</v>
      </c>
      <c r="M177" s="68">
        <v>0.79166666666666663</v>
      </c>
      <c r="N177" s="173" t="s">
        <v>1318</v>
      </c>
      <c r="O177" s="23">
        <v>4530</v>
      </c>
      <c r="P177" s="70">
        <v>0.29166666666666669</v>
      </c>
      <c r="Q177" s="70">
        <v>0.79166666666666663</v>
      </c>
      <c r="R177" s="229" t="s">
        <v>1318</v>
      </c>
    </row>
    <row r="178" spans="1:18" x14ac:dyDescent="0.4">
      <c r="A178" s="29" t="s">
        <v>603</v>
      </c>
      <c r="B178" s="9" t="s">
        <v>80</v>
      </c>
      <c r="C178" s="30" t="s">
        <v>203</v>
      </c>
      <c r="D178" s="9">
        <v>72</v>
      </c>
      <c r="E178" s="77">
        <v>5</v>
      </c>
      <c r="F178" s="1"/>
      <c r="G178" s="76">
        <v>0.29166666666666669</v>
      </c>
      <c r="H178" s="76">
        <v>0.70833333333333337</v>
      </c>
      <c r="I178" s="173" t="s">
        <v>1252</v>
      </c>
      <c r="J178" s="23">
        <v>5</v>
      </c>
      <c r="K178" s="23"/>
      <c r="L178" s="68">
        <v>0.3125</v>
      </c>
      <c r="M178" s="68">
        <v>0.70833333333333337</v>
      </c>
      <c r="N178" s="173" t="s">
        <v>990</v>
      </c>
      <c r="O178" s="23">
        <v>5250</v>
      </c>
      <c r="P178" s="70">
        <v>0.29166666666666669</v>
      </c>
      <c r="Q178" s="70">
        <v>0.70833333333333337</v>
      </c>
      <c r="R178" s="229" t="s">
        <v>1252</v>
      </c>
    </row>
    <row r="179" spans="1:18" x14ac:dyDescent="0.4">
      <c r="A179" s="29" t="s">
        <v>603</v>
      </c>
      <c r="B179" s="9" t="s">
        <v>538</v>
      </c>
      <c r="C179" s="30" t="s">
        <v>265</v>
      </c>
      <c r="D179" s="9">
        <v>6</v>
      </c>
      <c r="E179" s="77">
        <v>5</v>
      </c>
      <c r="F179" s="1"/>
      <c r="G179" s="76">
        <v>0.29166666666666669</v>
      </c>
      <c r="H179" s="76">
        <v>0.37083333333333335</v>
      </c>
      <c r="I179" s="173" t="s">
        <v>1412</v>
      </c>
      <c r="J179" s="23">
        <v>3</v>
      </c>
      <c r="K179" s="68">
        <v>6.9444444444444441E-3</v>
      </c>
      <c r="L179" s="68">
        <v>0.33333333333333331</v>
      </c>
      <c r="M179" s="68">
        <v>0.40277777777777773</v>
      </c>
      <c r="N179" s="173" t="s">
        <v>1377</v>
      </c>
      <c r="O179" s="23">
        <v>900</v>
      </c>
      <c r="P179" s="70">
        <v>0.29166666666666669</v>
      </c>
      <c r="Q179" s="70">
        <v>0.40277777777777773</v>
      </c>
      <c r="R179" s="229" t="s">
        <v>1325</v>
      </c>
    </row>
    <row r="180" spans="1:18" x14ac:dyDescent="0.4">
      <c r="A180" s="29" t="s">
        <v>603</v>
      </c>
      <c r="B180" s="9" t="s">
        <v>504</v>
      </c>
      <c r="C180" s="30" t="s">
        <v>245</v>
      </c>
      <c r="D180" s="9">
        <v>8</v>
      </c>
      <c r="E180" s="77">
        <v>5</v>
      </c>
      <c r="F180" s="1"/>
      <c r="G180" s="76">
        <v>0.37083333333333335</v>
      </c>
      <c r="H180" s="76">
        <v>0.44444444444444442</v>
      </c>
      <c r="I180" s="173" t="s">
        <v>1413</v>
      </c>
      <c r="J180" s="23">
        <v>3</v>
      </c>
      <c r="K180" s="68">
        <v>6.9444444444444441E-3</v>
      </c>
      <c r="L180" s="68">
        <v>0.40277777777777773</v>
      </c>
      <c r="M180" s="68">
        <v>0.47222222222222227</v>
      </c>
      <c r="N180" s="173" t="s">
        <v>1377</v>
      </c>
      <c r="O180" s="23">
        <v>860</v>
      </c>
      <c r="P180" s="70">
        <v>0.37083333333333335</v>
      </c>
      <c r="Q180" s="70">
        <v>0.47222222222222227</v>
      </c>
      <c r="R180" s="229" t="s">
        <v>1414</v>
      </c>
    </row>
    <row r="181" spans="1:18" x14ac:dyDescent="0.4">
      <c r="A181" s="29" t="s">
        <v>603</v>
      </c>
      <c r="B181" s="9" t="s">
        <v>63</v>
      </c>
      <c r="C181" s="30" t="s">
        <v>267</v>
      </c>
      <c r="D181" s="9">
        <v>24</v>
      </c>
      <c r="E181" s="77">
        <v>5</v>
      </c>
      <c r="F181" s="1"/>
      <c r="G181" s="76">
        <v>0.44444444444444442</v>
      </c>
      <c r="H181" s="76">
        <v>0.70833333333333337</v>
      </c>
      <c r="I181" s="173" t="s">
        <v>1357</v>
      </c>
      <c r="J181" s="23">
        <v>3</v>
      </c>
      <c r="K181" s="68">
        <v>6.9444444444444441E-3</v>
      </c>
      <c r="L181" s="68">
        <v>0.47222222222222227</v>
      </c>
      <c r="M181" s="68">
        <v>0.75</v>
      </c>
      <c r="N181" s="173" t="s">
        <v>1415</v>
      </c>
      <c r="O181" s="23">
        <v>2650</v>
      </c>
      <c r="P181" s="70">
        <v>0.44444444444444442</v>
      </c>
      <c r="Q181" s="70">
        <v>0.75</v>
      </c>
      <c r="R181" s="229" t="s">
        <v>1353</v>
      </c>
    </row>
    <row r="182" spans="1:18" x14ac:dyDescent="0.4">
      <c r="A182" s="29" t="s">
        <v>603</v>
      </c>
      <c r="B182" s="9" t="s">
        <v>82</v>
      </c>
      <c r="C182" s="30" t="s">
        <v>171</v>
      </c>
      <c r="D182" s="9">
        <v>16</v>
      </c>
      <c r="E182" s="77">
        <v>3</v>
      </c>
      <c r="F182" s="76">
        <v>2.0833333333333332E-2</v>
      </c>
      <c r="G182" s="76">
        <v>0.45833333333333331</v>
      </c>
      <c r="H182" s="76">
        <v>0.66666666666666663</v>
      </c>
      <c r="I182" s="173" t="s">
        <v>1243</v>
      </c>
      <c r="J182" s="23">
        <v>7</v>
      </c>
      <c r="K182" s="23"/>
      <c r="L182" s="68">
        <v>0.29166666666666669</v>
      </c>
      <c r="M182" s="68">
        <v>0.72916666666666663</v>
      </c>
      <c r="N182" s="173" t="s">
        <v>1247</v>
      </c>
      <c r="O182" s="23">
        <v>4800</v>
      </c>
      <c r="P182" s="70">
        <v>0.29166666666666669</v>
      </c>
      <c r="Q182" s="70">
        <v>0.72916666666666663</v>
      </c>
      <c r="R182" s="229" t="s">
        <v>1247</v>
      </c>
    </row>
    <row r="183" spans="1:18" x14ac:dyDescent="0.4">
      <c r="A183" s="29" t="s">
        <v>603</v>
      </c>
      <c r="B183" s="9" t="s">
        <v>59</v>
      </c>
      <c r="C183" s="30" t="s">
        <v>197</v>
      </c>
      <c r="D183" s="9">
        <v>20</v>
      </c>
      <c r="E183" s="77">
        <v>3</v>
      </c>
      <c r="F183" s="76">
        <v>6.9444444444444441E-3</v>
      </c>
      <c r="G183" s="76">
        <v>0.29166666666666669</v>
      </c>
      <c r="H183" s="76">
        <v>0.45833333333333331</v>
      </c>
      <c r="I183" s="173" t="s">
        <v>1311</v>
      </c>
      <c r="J183" s="23">
        <v>4</v>
      </c>
      <c r="K183" s="23"/>
      <c r="L183" s="68">
        <v>0.39583333333333331</v>
      </c>
      <c r="M183" s="68">
        <v>0.57638888888888895</v>
      </c>
      <c r="N183" s="173" t="s">
        <v>1250</v>
      </c>
      <c r="O183" s="23">
        <v>1550</v>
      </c>
      <c r="P183" s="70">
        <v>0.29166666666666669</v>
      </c>
      <c r="Q183" s="70">
        <v>0.57638888888888895</v>
      </c>
      <c r="R183" s="229" t="s">
        <v>1415</v>
      </c>
    </row>
    <row r="184" spans="1:18" x14ac:dyDescent="0.4">
      <c r="A184" s="29" t="s">
        <v>605</v>
      </c>
      <c r="B184" s="9" t="s">
        <v>71</v>
      </c>
      <c r="C184" s="30" t="s">
        <v>176</v>
      </c>
      <c r="D184" s="9">
        <v>36</v>
      </c>
      <c r="E184" s="77">
        <v>6</v>
      </c>
      <c r="F184" s="1"/>
      <c r="G184" s="76">
        <v>0.29166666666666669</v>
      </c>
      <c r="H184" s="76">
        <v>0.5</v>
      </c>
      <c r="I184" s="173" t="s">
        <v>1327</v>
      </c>
      <c r="J184" s="23">
        <v>5</v>
      </c>
      <c r="K184" s="23"/>
      <c r="L184" s="68">
        <v>0.3125</v>
      </c>
      <c r="M184" s="68">
        <v>0.55555555555555558</v>
      </c>
      <c r="N184" s="173" t="s">
        <v>1258</v>
      </c>
      <c r="O184" s="23">
        <v>3250</v>
      </c>
      <c r="P184" s="70">
        <v>0.29166666666666669</v>
      </c>
      <c r="Q184" s="70">
        <v>0.55555555555555558</v>
      </c>
      <c r="R184" s="229" t="s">
        <v>1357</v>
      </c>
    </row>
    <row r="185" spans="1:18" x14ac:dyDescent="0.4">
      <c r="A185" s="29" t="s">
        <v>605</v>
      </c>
      <c r="B185" s="9" t="s">
        <v>86</v>
      </c>
      <c r="C185" s="30" t="s">
        <v>201</v>
      </c>
      <c r="D185" s="9">
        <v>20</v>
      </c>
      <c r="E185" s="77">
        <v>5</v>
      </c>
      <c r="F185" s="1"/>
      <c r="G185" s="76">
        <v>0.54166666666666663</v>
      </c>
      <c r="H185" s="76">
        <v>0.72916666666666663</v>
      </c>
      <c r="I185" s="173" t="s">
        <v>1243</v>
      </c>
      <c r="J185" s="23">
        <v>5</v>
      </c>
      <c r="K185" s="23"/>
      <c r="L185" s="68">
        <v>0.55555555555555558</v>
      </c>
      <c r="M185" s="68">
        <v>0.72916666666666663</v>
      </c>
      <c r="N185" s="173" t="s">
        <v>1311</v>
      </c>
      <c r="O185" s="23">
        <v>2600</v>
      </c>
      <c r="P185" s="70">
        <v>0.54166666666666663</v>
      </c>
      <c r="Q185" s="70">
        <v>0.72916666666666663</v>
      </c>
      <c r="R185" s="229" t="s">
        <v>1243</v>
      </c>
    </row>
    <row r="186" spans="1:18" x14ac:dyDescent="0.4">
      <c r="A186" s="29" t="s">
        <v>605</v>
      </c>
      <c r="B186" s="9" t="s">
        <v>77</v>
      </c>
      <c r="C186" s="30" t="s">
        <v>293</v>
      </c>
      <c r="D186" s="9">
        <v>8</v>
      </c>
      <c r="E186" s="77">
        <v>5</v>
      </c>
      <c r="F186" s="1"/>
      <c r="G186" s="76">
        <v>0.29166666666666669</v>
      </c>
      <c r="H186" s="76">
        <v>0.37222222222222223</v>
      </c>
      <c r="I186" s="173" t="s">
        <v>1416</v>
      </c>
      <c r="J186" s="23">
        <v>4</v>
      </c>
      <c r="K186" s="23"/>
      <c r="L186" s="68">
        <v>0.3125</v>
      </c>
      <c r="M186" s="68">
        <v>0.40277777777777773</v>
      </c>
      <c r="N186" s="173" t="s">
        <v>1248</v>
      </c>
      <c r="O186" s="23">
        <v>1100</v>
      </c>
      <c r="P186" s="70">
        <v>0.29166666666666669</v>
      </c>
      <c r="Q186" s="70">
        <v>0.40277777777777773</v>
      </c>
      <c r="R186" s="229" t="s">
        <v>1325</v>
      </c>
    </row>
    <row r="187" spans="1:18" x14ac:dyDescent="0.4">
      <c r="A187" s="29" t="s">
        <v>605</v>
      </c>
      <c r="B187" s="9" t="s">
        <v>64</v>
      </c>
      <c r="C187" s="30" t="s">
        <v>271</v>
      </c>
      <c r="D187" s="9">
        <v>24</v>
      </c>
      <c r="E187" s="77">
        <v>5</v>
      </c>
      <c r="F187" s="1"/>
      <c r="G187" s="76">
        <v>0.43055555555555558</v>
      </c>
      <c r="H187" s="76">
        <v>0.6875</v>
      </c>
      <c r="I187" s="173" t="s">
        <v>1257</v>
      </c>
      <c r="J187" s="23">
        <v>4</v>
      </c>
      <c r="K187" s="23"/>
      <c r="L187" s="68">
        <v>0.46527777777777773</v>
      </c>
      <c r="M187" s="68">
        <v>0.70833333333333337</v>
      </c>
      <c r="N187" s="173" t="s">
        <v>1258</v>
      </c>
      <c r="O187" s="23">
        <v>2710</v>
      </c>
      <c r="P187" s="70">
        <v>0.43055555555555558</v>
      </c>
      <c r="Q187" s="70">
        <v>0.70833333333333337</v>
      </c>
      <c r="R187" s="229" t="s">
        <v>1339</v>
      </c>
    </row>
    <row r="188" spans="1:18" x14ac:dyDescent="0.4">
      <c r="A188" s="29" t="s">
        <v>605</v>
      </c>
      <c r="B188" s="9" t="s">
        <v>133</v>
      </c>
      <c r="C188" s="30" t="s">
        <v>271</v>
      </c>
      <c r="D188" s="9">
        <v>6</v>
      </c>
      <c r="E188" s="77">
        <v>5</v>
      </c>
      <c r="F188" s="1"/>
      <c r="G188" s="76">
        <v>0.37222222222222223</v>
      </c>
      <c r="H188" s="76">
        <v>0.43055555555555558</v>
      </c>
      <c r="I188" s="173" t="s">
        <v>1417</v>
      </c>
      <c r="J188" s="23">
        <v>4</v>
      </c>
      <c r="K188" s="23"/>
      <c r="L188" s="68">
        <v>0.40277777777777773</v>
      </c>
      <c r="M188" s="68">
        <v>0.46527777777777773</v>
      </c>
      <c r="N188" s="173" t="s">
        <v>1375</v>
      </c>
      <c r="O188" s="23">
        <v>780</v>
      </c>
      <c r="P188" s="70">
        <v>0.37222222222222223</v>
      </c>
      <c r="Q188" s="70">
        <v>0.46527777777777773</v>
      </c>
      <c r="R188" s="229" t="s">
        <v>1418</v>
      </c>
    </row>
    <row r="189" spans="1:18" x14ac:dyDescent="0.4">
      <c r="A189" s="29" t="s">
        <v>605</v>
      </c>
      <c r="B189" s="9" t="s">
        <v>104</v>
      </c>
      <c r="C189" s="30" t="s">
        <v>191</v>
      </c>
      <c r="D189" s="9">
        <v>68</v>
      </c>
      <c r="E189" s="77">
        <v>3</v>
      </c>
      <c r="F189" s="76">
        <v>7.2916666666666671E-2</v>
      </c>
      <c r="G189" s="76">
        <v>0.3125</v>
      </c>
      <c r="H189" s="76">
        <v>0.66666666666666663</v>
      </c>
      <c r="I189" s="173" t="s">
        <v>1419</v>
      </c>
      <c r="J189" s="23">
        <v>4</v>
      </c>
      <c r="K189" s="68">
        <v>2.0833333333333332E-2</v>
      </c>
      <c r="L189" s="68">
        <v>0.33333333333333331</v>
      </c>
      <c r="M189" s="68">
        <v>0.69444444444444453</v>
      </c>
      <c r="N189" s="173" t="s">
        <v>1307</v>
      </c>
      <c r="O189" s="23">
        <v>3625</v>
      </c>
      <c r="P189" s="70">
        <v>0.3125</v>
      </c>
      <c r="Q189" s="70">
        <v>0.69444444444444453</v>
      </c>
      <c r="R189" s="229" t="s">
        <v>1307</v>
      </c>
    </row>
    <row r="190" spans="1:18" x14ac:dyDescent="0.4">
      <c r="A190" s="29" t="s">
        <v>605</v>
      </c>
      <c r="B190" s="9" t="s">
        <v>558</v>
      </c>
      <c r="C190" s="30" t="s">
        <v>191</v>
      </c>
      <c r="D190" s="9">
        <v>4</v>
      </c>
      <c r="E190" s="77">
        <v>3</v>
      </c>
      <c r="F190" s="76">
        <v>5.2083333333333336E-2</v>
      </c>
      <c r="G190" s="76">
        <v>0.66666666666666663</v>
      </c>
      <c r="H190" s="76">
        <v>0.72916666666666663</v>
      </c>
      <c r="I190" s="173" t="s">
        <v>1315</v>
      </c>
      <c r="J190" s="23">
        <v>4</v>
      </c>
      <c r="K190" s="68">
        <v>2.0833333333333332E-2</v>
      </c>
      <c r="L190" s="68">
        <v>0.69444444444444453</v>
      </c>
      <c r="M190" s="68">
        <v>0.72916666666666663</v>
      </c>
      <c r="N190" s="173" t="s">
        <v>1420</v>
      </c>
      <c r="O190" s="23">
        <v>815</v>
      </c>
      <c r="P190" s="70">
        <v>0.66666666666666663</v>
      </c>
      <c r="Q190" s="70">
        <v>0.72916666666666663</v>
      </c>
      <c r="R190" s="229" t="s">
        <v>1375</v>
      </c>
    </row>
    <row r="191" spans="1:18" x14ac:dyDescent="0.4">
      <c r="A191" s="382" t="s">
        <v>605</v>
      </c>
      <c r="B191" s="383">
        <v>153010</v>
      </c>
      <c r="C191" s="390" t="s">
        <v>484</v>
      </c>
      <c r="D191" s="383">
        <v>1</v>
      </c>
      <c r="E191" s="384"/>
      <c r="F191" s="385"/>
      <c r="G191" s="385"/>
      <c r="H191" s="385"/>
      <c r="I191" s="386" t="s">
        <v>1002</v>
      </c>
      <c r="J191" s="387"/>
      <c r="K191" s="387"/>
      <c r="L191" s="388"/>
      <c r="M191" s="388"/>
      <c r="N191" s="386" t="s">
        <v>1002</v>
      </c>
      <c r="O191" s="387">
        <v>0</v>
      </c>
      <c r="P191" s="391">
        <v>0</v>
      </c>
      <c r="Q191" s="391">
        <v>0</v>
      </c>
      <c r="R191" s="389" t="s">
        <v>1002</v>
      </c>
    </row>
    <row r="192" spans="1:18" x14ac:dyDescent="0.4">
      <c r="A192" s="29" t="s">
        <v>607</v>
      </c>
      <c r="B192" s="9" t="s">
        <v>106</v>
      </c>
      <c r="C192" s="30" t="s">
        <v>173</v>
      </c>
      <c r="D192" s="9">
        <v>20</v>
      </c>
      <c r="E192" s="77">
        <v>4</v>
      </c>
      <c r="F192" s="1"/>
      <c r="G192" s="76">
        <v>0.29166666666666669</v>
      </c>
      <c r="H192" s="76">
        <v>0.56597222222222221</v>
      </c>
      <c r="I192" s="173" t="s">
        <v>1354</v>
      </c>
      <c r="J192" s="23">
        <v>9</v>
      </c>
      <c r="K192" s="23"/>
      <c r="L192" s="68">
        <v>0.3125</v>
      </c>
      <c r="M192" s="68">
        <v>0.5</v>
      </c>
      <c r="N192" s="173" t="s">
        <v>1243</v>
      </c>
      <c r="O192" s="23">
        <v>3770</v>
      </c>
      <c r="P192" s="70">
        <v>0.29166666666666669</v>
      </c>
      <c r="Q192" s="70">
        <v>0.56597222222222221</v>
      </c>
      <c r="R192" s="229" t="s">
        <v>1354</v>
      </c>
    </row>
    <row r="193" spans="1:18" x14ac:dyDescent="0.4">
      <c r="A193" s="29" t="s">
        <v>607</v>
      </c>
      <c r="B193" s="9" t="s">
        <v>529</v>
      </c>
      <c r="C193" s="30" t="s">
        <v>173</v>
      </c>
      <c r="D193" s="9">
        <v>4</v>
      </c>
      <c r="E193" s="77">
        <v>4</v>
      </c>
      <c r="F193" s="1"/>
      <c r="G193" s="76">
        <v>0.29166666666666669</v>
      </c>
      <c r="H193" s="76">
        <v>0.56597222222222221</v>
      </c>
      <c r="I193" s="173" t="s">
        <v>1354</v>
      </c>
      <c r="J193" s="23">
        <v>9</v>
      </c>
      <c r="K193" s="23"/>
      <c r="L193" s="68">
        <v>0.54166666666666663</v>
      </c>
      <c r="M193" s="68">
        <v>0.63194444444444442</v>
      </c>
      <c r="N193" s="173" t="s">
        <v>1248</v>
      </c>
      <c r="O193" s="23">
        <v>2510</v>
      </c>
      <c r="P193" s="70">
        <v>0.29166666666666669</v>
      </c>
      <c r="Q193" s="70">
        <v>0.63194444444444442</v>
      </c>
      <c r="R193" s="229" t="s">
        <v>1403</v>
      </c>
    </row>
    <row r="194" spans="1:18" x14ac:dyDescent="0.4">
      <c r="A194" s="29" t="s">
        <v>607</v>
      </c>
      <c r="B194" s="9" t="s">
        <v>608</v>
      </c>
      <c r="C194" s="30" t="s">
        <v>615</v>
      </c>
      <c r="D194" s="9">
        <v>3</v>
      </c>
      <c r="E194" s="77">
        <v>4</v>
      </c>
      <c r="F194" s="1"/>
      <c r="G194" s="76">
        <v>0.56597222222222221</v>
      </c>
      <c r="H194" s="76">
        <v>0.6875</v>
      </c>
      <c r="I194" s="173" t="s">
        <v>1326</v>
      </c>
      <c r="J194" s="23">
        <v>10</v>
      </c>
      <c r="K194" s="23"/>
      <c r="L194" s="68">
        <v>0.63194444444444442</v>
      </c>
      <c r="M194" s="68">
        <v>0.70833333333333337</v>
      </c>
      <c r="N194" s="173" t="s">
        <v>1377</v>
      </c>
      <c r="O194" s="23">
        <v>1800</v>
      </c>
      <c r="P194" s="70">
        <v>0.56597222222222221</v>
      </c>
      <c r="Q194" s="70">
        <v>0.70833333333333337</v>
      </c>
      <c r="R194" s="229" t="s">
        <v>1299</v>
      </c>
    </row>
    <row r="195" spans="1:18" x14ac:dyDescent="0.4">
      <c r="A195" s="29" t="s">
        <v>607</v>
      </c>
      <c r="B195" s="9" t="s">
        <v>76</v>
      </c>
      <c r="C195" s="30" t="s">
        <v>224</v>
      </c>
      <c r="D195" s="9">
        <v>20</v>
      </c>
      <c r="E195" s="77">
        <v>5</v>
      </c>
      <c r="F195" s="1"/>
      <c r="G195" s="76">
        <v>0.29166666666666669</v>
      </c>
      <c r="H195" s="76">
        <v>0.44513888888888892</v>
      </c>
      <c r="I195" s="173" t="s">
        <v>1421</v>
      </c>
      <c r="J195" s="23">
        <v>3</v>
      </c>
      <c r="K195" s="68">
        <v>1.0416666666666666E-2</v>
      </c>
      <c r="L195" s="68">
        <v>0.33333333333333331</v>
      </c>
      <c r="M195" s="68">
        <v>0.47222222222222227</v>
      </c>
      <c r="N195" s="173" t="s">
        <v>1355</v>
      </c>
      <c r="O195" s="23">
        <v>1750</v>
      </c>
      <c r="P195" s="70">
        <v>0.29166666666666669</v>
      </c>
      <c r="Q195" s="70">
        <v>0.47222222222222227</v>
      </c>
      <c r="R195" s="229" t="s">
        <v>1379</v>
      </c>
    </row>
    <row r="196" spans="1:18" x14ac:dyDescent="0.4">
      <c r="A196" s="29" t="s">
        <v>607</v>
      </c>
      <c r="B196" s="9" t="s">
        <v>63</v>
      </c>
      <c r="C196" s="30" t="s">
        <v>267</v>
      </c>
      <c r="D196" s="9">
        <v>24</v>
      </c>
      <c r="E196" s="77">
        <v>5</v>
      </c>
      <c r="F196" s="1"/>
      <c r="G196" s="76">
        <v>0.44513888888888892</v>
      </c>
      <c r="H196" s="76">
        <v>0.72916666666666663</v>
      </c>
      <c r="I196" s="173" t="s">
        <v>1422</v>
      </c>
      <c r="J196" s="23">
        <v>3</v>
      </c>
      <c r="K196" s="68">
        <v>1.0416666666666666E-2</v>
      </c>
      <c r="L196" s="68">
        <v>0.47222222222222227</v>
      </c>
      <c r="M196" s="68">
        <v>0.72916666666666663</v>
      </c>
      <c r="N196" s="173" t="s">
        <v>1306</v>
      </c>
      <c r="O196" s="23">
        <v>2720</v>
      </c>
      <c r="P196" s="70">
        <v>0.44513888888888892</v>
      </c>
      <c r="Q196" s="70">
        <v>0.72916666666666663</v>
      </c>
      <c r="R196" s="229" t="s">
        <v>1422</v>
      </c>
    </row>
    <row r="197" spans="1:18" x14ac:dyDescent="0.4">
      <c r="A197" s="29" t="s">
        <v>607</v>
      </c>
      <c r="B197" s="9" t="s">
        <v>96</v>
      </c>
      <c r="C197" s="30" t="s">
        <v>167</v>
      </c>
      <c r="D197" s="9">
        <v>20</v>
      </c>
      <c r="E197" s="77">
        <v>3</v>
      </c>
      <c r="F197" s="76">
        <v>3.4722222222222224E-2</v>
      </c>
      <c r="G197" s="76">
        <v>0.29166666666666669</v>
      </c>
      <c r="H197" s="76">
        <v>0.45833333333333331</v>
      </c>
      <c r="I197" s="173" t="s">
        <v>1258</v>
      </c>
      <c r="J197" s="23">
        <v>6</v>
      </c>
      <c r="K197" s="23"/>
      <c r="L197" s="68">
        <v>0.29166666666666669</v>
      </c>
      <c r="M197" s="68">
        <v>0.5</v>
      </c>
      <c r="N197" s="173" t="s">
        <v>1327</v>
      </c>
      <c r="O197" s="23">
        <v>2670</v>
      </c>
      <c r="P197" s="70">
        <v>0.29166666666666669</v>
      </c>
      <c r="Q197" s="70">
        <v>0.5</v>
      </c>
      <c r="R197" s="229" t="s">
        <v>1327</v>
      </c>
    </row>
    <row r="198" spans="1:18" x14ac:dyDescent="0.4">
      <c r="A198" s="29" t="s">
        <v>607</v>
      </c>
      <c r="B198" s="9" t="s">
        <v>536</v>
      </c>
      <c r="C198" s="30" t="s">
        <v>306</v>
      </c>
      <c r="D198" s="9">
        <v>12</v>
      </c>
      <c r="E198" s="77">
        <v>3</v>
      </c>
      <c r="F198" s="76">
        <v>2.0833333333333332E-2</v>
      </c>
      <c r="G198" s="76">
        <v>0.4375</v>
      </c>
      <c r="H198" s="76">
        <v>0.6875</v>
      </c>
      <c r="I198" s="173" t="s">
        <v>1320</v>
      </c>
      <c r="J198" s="23">
        <v>7</v>
      </c>
      <c r="K198" s="68"/>
      <c r="L198" s="68">
        <v>0.4375</v>
      </c>
      <c r="M198" s="68">
        <v>0.75</v>
      </c>
      <c r="N198" s="173" t="s">
        <v>1329</v>
      </c>
      <c r="O198" s="23">
        <v>3720</v>
      </c>
      <c r="P198" s="70">
        <v>0.4375</v>
      </c>
      <c r="Q198" s="70">
        <v>0.75</v>
      </c>
      <c r="R198" s="229" t="s">
        <v>1329</v>
      </c>
    </row>
    <row r="199" spans="1:18" x14ac:dyDescent="0.4">
      <c r="A199" s="29" t="s">
        <v>610</v>
      </c>
      <c r="B199" s="9" t="s">
        <v>130</v>
      </c>
      <c r="C199" s="30" t="s">
        <v>216</v>
      </c>
      <c r="D199" s="9">
        <v>16</v>
      </c>
      <c r="E199" s="77">
        <v>5</v>
      </c>
      <c r="F199" s="1"/>
      <c r="G199" s="76">
        <v>0.29166666666666669</v>
      </c>
      <c r="H199" s="76">
        <v>0.44097222222222227</v>
      </c>
      <c r="I199" s="173" t="s">
        <v>1355</v>
      </c>
      <c r="J199" s="23">
        <v>4</v>
      </c>
      <c r="K199" s="68">
        <v>6.9444444444444441E-3</v>
      </c>
      <c r="L199" s="68">
        <v>0.33333333333333331</v>
      </c>
      <c r="M199" s="68">
        <v>0.47916666666666669</v>
      </c>
      <c r="N199" s="173" t="s">
        <v>1254</v>
      </c>
      <c r="O199" s="23">
        <v>1955</v>
      </c>
      <c r="P199" s="70">
        <v>0.29166666666666669</v>
      </c>
      <c r="Q199" s="70">
        <v>0.47916666666666669</v>
      </c>
      <c r="R199" s="229" t="s">
        <v>1243</v>
      </c>
    </row>
    <row r="200" spans="1:18" x14ac:dyDescent="0.4">
      <c r="A200" s="29" t="s">
        <v>610</v>
      </c>
      <c r="B200" s="9" t="s">
        <v>611</v>
      </c>
      <c r="C200" s="30" t="s">
        <v>212</v>
      </c>
      <c r="D200" s="9">
        <v>8</v>
      </c>
      <c r="E200" s="77">
        <v>5</v>
      </c>
      <c r="F200" s="1"/>
      <c r="G200" s="76">
        <v>0.44097222222222227</v>
      </c>
      <c r="H200" s="76">
        <v>0.56388888888888888</v>
      </c>
      <c r="I200" s="173" t="s">
        <v>1423</v>
      </c>
      <c r="J200" s="23">
        <v>4</v>
      </c>
      <c r="K200" s="68">
        <v>6.9444444444444441E-3</v>
      </c>
      <c r="L200" s="68">
        <v>0.47916666666666669</v>
      </c>
      <c r="M200" s="68">
        <v>0.58333333333333337</v>
      </c>
      <c r="N200" s="173" t="s">
        <v>1386</v>
      </c>
      <c r="O200" s="23">
        <v>985</v>
      </c>
      <c r="P200" s="70">
        <v>0.44097222222222227</v>
      </c>
      <c r="Q200" s="70">
        <v>0.58333333333333337</v>
      </c>
      <c r="R200" s="229" t="s">
        <v>1331</v>
      </c>
    </row>
    <row r="201" spans="1:18" x14ac:dyDescent="0.4">
      <c r="A201" s="29" t="s">
        <v>610</v>
      </c>
      <c r="B201" s="9" t="s">
        <v>57</v>
      </c>
      <c r="C201" s="30" t="s">
        <v>334</v>
      </c>
      <c r="D201" s="9">
        <v>12</v>
      </c>
      <c r="E201" s="77">
        <v>5</v>
      </c>
      <c r="F201" s="1"/>
      <c r="G201" s="76">
        <v>0.56388888888888888</v>
      </c>
      <c r="H201" s="76">
        <v>0.66666666666666663</v>
      </c>
      <c r="I201" s="173" t="s">
        <v>1424</v>
      </c>
      <c r="J201" s="23">
        <v>4</v>
      </c>
      <c r="K201" s="68">
        <v>6.9444444444444441E-3</v>
      </c>
      <c r="L201" s="68">
        <v>0.58333333333333337</v>
      </c>
      <c r="M201" s="68">
        <v>0.70833333333333337</v>
      </c>
      <c r="N201" s="173" t="s">
        <v>1256</v>
      </c>
      <c r="O201" s="23">
        <v>1500</v>
      </c>
      <c r="P201" s="70">
        <v>0.56388888888888888</v>
      </c>
      <c r="Q201" s="70">
        <v>0.70833333333333337</v>
      </c>
      <c r="R201" s="229" t="s">
        <v>1425</v>
      </c>
    </row>
    <row r="202" spans="1:18" x14ac:dyDescent="0.4">
      <c r="A202" s="394" t="s">
        <v>610</v>
      </c>
      <c r="B202" s="392" t="s">
        <v>110</v>
      </c>
      <c r="C202" s="375" t="s">
        <v>231</v>
      </c>
      <c r="D202" s="392">
        <v>21</v>
      </c>
      <c r="E202" s="77">
        <v>3</v>
      </c>
      <c r="F202" s="1"/>
      <c r="G202" s="368">
        <v>0.29166666666666669</v>
      </c>
      <c r="H202" s="368">
        <v>0.70833333333333337</v>
      </c>
      <c r="I202" s="173" t="s">
        <v>1252</v>
      </c>
      <c r="J202" s="23">
        <v>9</v>
      </c>
      <c r="K202" s="68"/>
      <c r="L202" s="68">
        <v>0.29166666666666669</v>
      </c>
      <c r="M202" s="68">
        <v>0.72916666666666663</v>
      </c>
      <c r="N202" s="173" t="s">
        <v>1247</v>
      </c>
      <c r="O202" s="23">
        <v>6750</v>
      </c>
      <c r="P202" s="70">
        <v>0.29166666666666669</v>
      </c>
      <c r="Q202" s="70">
        <v>0.72916666666666663</v>
      </c>
      <c r="R202" s="229" t="s">
        <v>1247</v>
      </c>
    </row>
    <row r="203" spans="1:18" x14ac:dyDescent="0.4">
      <c r="A203" s="29" t="s">
        <v>610</v>
      </c>
      <c r="B203" s="9" t="s">
        <v>65</v>
      </c>
      <c r="C203" s="30" t="s">
        <v>189</v>
      </c>
      <c r="D203" s="224">
        <v>72</v>
      </c>
      <c r="E203" s="77">
        <v>3</v>
      </c>
      <c r="F203" s="76">
        <v>4.1666666666666664E-2</v>
      </c>
      <c r="G203" s="76">
        <v>0.29166666666666669</v>
      </c>
      <c r="H203" s="76">
        <v>0.75</v>
      </c>
      <c r="I203" s="173" t="s">
        <v>1318</v>
      </c>
      <c r="J203" s="23">
        <v>4</v>
      </c>
      <c r="K203" s="23"/>
      <c r="L203" s="68">
        <v>0.29166666666666669</v>
      </c>
      <c r="M203" s="68">
        <v>0.79166666666666663</v>
      </c>
      <c r="N203" s="173" t="s">
        <v>1318</v>
      </c>
      <c r="O203" s="23">
        <v>4620</v>
      </c>
      <c r="P203" s="70">
        <v>0.29166666666666669</v>
      </c>
      <c r="Q203" s="70">
        <v>0.79166666666666663</v>
      </c>
      <c r="R203" s="229" t="s">
        <v>1318</v>
      </c>
    </row>
    <row r="204" spans="1:18" x14ac:dyDescent="0.4">
      <c r="A204" s="29" t="s">
        <v>613</v>
      </c>
      <c r="B204" s="9" t="s">
        <v>71</v>
      </c>
      <c r="C204" s="30" t="s">
        <v>176</v>
      </c>
      <c r="D204" s="9">
        <v>72</v>
      </c>
      <c r="E204" s="77">
        <v>6</v>
      </c>
      <c r="F204" s="1"/>
      <c r="G204" s="76">
        <v>0.29166666666666669</v>
      </c>
      <c r="H204" s="76">
        <v>0.66666666666666663</v>
      </c>
      <c r="I204" s="173" t="s">
        <v>1292</v>
      </c>
      <c r="J204" s="23">
        <v>5</v>
      </c>
      <c r="K204" s="23"/>
      <c r="L204" s="68">
        <v>0.3125</v>
      </c>
      <c r="M204" s="68">
        <v>0.70833333333333337</v>
      </c>
      <c r="N204" s="173" t="s">
        <v>990</v>
      </c>
      <c r="O204" s="23">
        <v>5430</v>
      </c>
      <c r="P204" s="70">
        <v>0.29166666666666669</v>
      </c>
      <c r="Q204" s="70">
        <v>0.70833333333333337</v>
      </c>
      <c r="R204" s="229" t="s">
        <v>1252</v>
      </c>
    </row>
    <row r="205" spans="1:18" x14ac:dyDescent="0.4">
      <c r="A205" s="29" t="s">
        <v>613</v>
      </c>
      <c r="B205" s="9" t="s">
        <v>55</v>
      </c>
      <c r="C205" s="30" t="s">
        <v>208</v>
      </c>
      <c r="D205" s="9">
        <v>20</v>
      </c>
      <c r="E205" s="77">
        <v>5</v>
      </c>
      <c r="F205" s="1"/>
      <c r="G205" s="76">
        <v>0.29166666666666669</v>
      </c>
      <c r="H205" s="76">
        <v>0.5</v>
      </c>
      <c r="I205" s="173" t="s">
        <v>1327</v>
      </c>
      <c r="J205" s="23">
        <v>3</v>
      </c>
      <c r="K205" s="68">
        <v>1.0416666666666666E-2</v>
      </c>
      <c r="L205" s="68">
        <v>0.33333333333333331</v>
      </c>
      <c r="M205" s="68">
        <v>0.56944444444444442</v>
      </c>
      <c r="N205" s="173" t="s">
        <v>1305</v>
      </c>
      <c r="O205" s="23">
        <v>2385</v>
      </c>
      <c r="P205" s="70">
        <v>0.29166666666666669</v>
      </c>
      <c r="Q205" s="70">
        <v>0.56944444444444442</v>
      </c>
      <c r="R205" s="229" t="s">
        <v>1339</v>
      </c>
    </row>
    <row r="206" spans="1:18" x14ac:dyDescent="0.4">
      <c r="A206" s="29" t="s">
        <v>613</v>
      </c>
      <c r="B206" s="9" t="s">
        <v>63</v>
      </c>
      <c r="C206" s="30" t="s">
        <v>267</v>
      </c>
      <c r="D206" s="9">
        <v>24</v>
      </c>
      <c r="E206" s="77">
        <v>5</v>
      </c>
      <c r="F206" s="1"/>
      <c r="G206" s="76">
        <v>0.54166666666666663</v>
      </c>
      <c r="H206" s="76">
        <v>0.75</v>
      </c>
      <c r="I206" s="173" t="s">
        <v>1327</v>
      </c>
      <c r="J206" s="23">
        <v>3</v>
      </c>
      <c r="K206" s="68">
        <v>1.0416666666666666E-2</v>
      </c>
      <c r="L206" s="68">
        <v>0.56944444444444442</v>
      </c>
      <c r="M206" s="68">
        <v>0.75</v>
      </c>
      <c r="N206" s="173" t="s">
        <v>1304</v>
      </c>
      <c r="O206" s="23">
        <v>2325</v>
      </c>
      <c r="P206" s="70">
        <v>0.54166666666666663</v>
      </c>
      <c r="Q206" s="70">
        <v>0.75</v>
      </c>
      <c r="R206" s="229" t="s">
        <v>1327</v>
      </c>
    </row>
    <row r="207" spans="1:18" x14ac:dyDescent="0.4">
      <c r="A207" s="29" t="s">
        <v>613</v>
      </c>
      <c r="B207" s="9" t="s">
        <v>65</v>
      </c>
      <c r="C207" s="30" t="s">
        <v>189</v>
      </c>
      <c r="D207" s="224">
        <v>36</v>
      </c>
      <c r="E207" s="77">
        <v>3</v>
      </c>
      <c r="F207" s="76">
        <v>1.7361111111111112E-2</v>
      </c>
      <c r="G207" s="76">
        <v>0.41666666666666669</v>
      </c>
      <c r="H207" s="76">
        <v>0.70833333333333337</v>
      </c>
      <c r="I207" s="173" t="s">
        <v>1374</v>
      </c>
      <c r="J207" s="23">
        <v>4</v>
      </c>
      <c r="K207" s="23"/>
      <c r="L207" s="68">
        <v>0.47222222222222227</v>
      </c>
      <c r="M207" s="68">
        <v>0.72916666666666663</v>
      </c>
      <c r="N207" s="173" t="s">
        <v>1257</v>
      </c>
      <c r="O207" s="23">
        <v>2395</v>
      </c>
      <c r="P207" s="70">
        <v>0.41666666666666669</v>
      </c>
      <c r="Q207" s="70">
        <v>0.72916666666666663</v>
      </c>
      <c r="R207" s="229" t="s">
        <v>1329</v>
      </c>
    </row>
    <row r="208" spans="1:18" x14ac:dyDescent="0.4">
      <c r="A208" s="29" t="s">
        <v>613</v>
      </c>
      <c r="B208" s="9" t="s">
        <v>58</v>
      </c>
      <c r="C208" s="30" t="s">
        <v>165</v>
      </c>
      <c r="D208" s="9">
        <v>20</v>
      </c>
      <c r="E208" s="77">
        <v>3</v>
      </c>
      <c r="F208" s="76">
        <v>1.7361111111111112E-2</v>
      </c>
      <c r="G208" s="76">
        <v>0.30902777777777779</v>
      </c>
      <c r="H208" s="76">
        <v>0.41666666666666669</v>
      </c>
      <c r="I208" s="173" t="s">
        <v>1316</v>
      </c>
      <c r="J208" s="23">
        <v>6</v>
      </c>
      <c r="K208" s="23"/>
      <c r="L208" s="68">
        <v>0.29166666666666669</v>
      </c>
      <c r="M208" s="68">
        <v>0.47222222222222227</v>
      </c>
      <c r="N208" s="173" t="s">
        <v>1379</v>
      </c>
      <c r="O208" s="23">
        <v>2100</v>
      </c>
      <c r="P208" s="70">
        <v>0.29166666666666669</v>
      </c>
      <c r="Q208" s="70">
        <v>0.47222222222222227</v>
      </c>
      <c r="R208" s="229" t="s">
        <v>1379</v>
      </c>
    </row>
    <row r="209" spans="1:18" x14ac:dyDescent="0.4">
      <c r="A209" s="29" t="s">
        <v>614</v>
      </c>
      <c r="B209" s="9" t="s">
        <v>61</v>
      </c>
      <c r="C209" s="30" t="s">
        <v>156</v>
      </c>
      <c r="D209" s="9">
        <v>40</v>
      </c>
      <c r="E209" s="77">
        <v>4</v>
      </c>
      <c r="F209" s="1"/>
      <c r="G209" s="76">
        <v>0.29166666666666669</v>
      </c>
      <c r="H209" s="76">
        <v>0.66666666666666663</v>
      </c>
      <c r="I209" s="173" t="s">
        <v>1292</v>
      </c>
      <c r="J209" s="23">
        <v>10</v>
      </c>
      <c r="K209" s="23"/>
      <c r="L209" s="68">
        <v>0.3125</v>
      </c>
      <c r="M209" s="68">
        <v>0.6875</v>
      </c>
      <c r="N209" s="173" t="s">
        <v>1292</v>
      </c>
      <c r="O209" s="23">
        <v>6720</v>
      </c>
      <c r="P209" s="70">
        <v>0.29166666666666669</v>
      </c>
      <c r="Q209" s="70">
        <v>0.6875</v>
      </c>
      <c r="R209" s="229" t="s">
        <v>990</v>
      </c>
    </row>
    <row r="210" spans="1:18" x14ac:dyDescent="0.4">
      <c r="A210" s="29" t="s">
        <v>614</v>
      </c>
      <c r="B210" s="9" t="s">
        <v>75</v>
      </c>
      <c r="C210" s="30" t="s">
        <v>229</v>
      </c>
      <c r="D210" s="9">
        <v>20</v>
      </c>
      <c r="E210" s="77">
        <v>5</v>
      </c>
      <c r="F210" s="1"/>
      <c r="G210" s="76">
        <v>0.29166666666666669</v>
      </c>
      <c r="H210" s="76">
        <v>0.45277777777777778</v>
      </c>
      <c r="I210" s="173" t="s">
        <v>1388</v>
      </c>
      <c r="J210" s="23">
        <v>3</v>
      </c>
      <c r="K210" s="68">
        <v>1.0416666666666666E-2</v>
      </c>
      <c r="L210" s="68">
        <v>0.33333333333333331</v>
      </c>
      <c r="M210" s="68">
        <v>0.47916666666666669</v>
      </c>
      <c r="N210" s="173" t="s">
        <v>1380</v>
      </c>
      <c r="O210" s="23">
        <v>1835</v>
      </c>
      <c r="P210" s="70">
        <v>0.29166666666666669</v>
      </c>
      <c r="Q210" s="70">
        <v>0.47916666666666669</v>
      </c>
      <c r="R210" s="229" t="s">
        <v>1243</v>
      </c>
    </row>
    <row r="211" spans="1:18" x14ac:dyDescent="0.4">
      <c r="A211" s="29" t="s">
        <v>614</v>
      </c>
      <c r="B211" s="9" t="s">
        <v>63</v>
      </c>
      <c r="C211" s="30" t="s">
        <v>267</v>
      </c>
      <c r="D211" s="9">
        <v>24</v>
      </c>
      <c r="E211" s="77">
        <v>5</v>
      </c>
      <c r="F211" s="1"/>
      <c r="G211" s="76">
        <v>0.45277777777777778</v>
      </c>
      <c r="H211" s="76">
        <v>0.70833333333333337</v>
      </c>
      <c r="I211" s="173" t="s">
        <v>1426</v>
      </c>
      <c r="J211" s="23">
        <v>3</v>
      </c>
      <c r="K211" s="68">
        <v>1.0416666666666666E-2</v>
      </c>
      <c r="L211" s="68">
        <v>0.47916666666666669</v>
      </c>
      <c r="M211" s="68">
        <v>0.72916666666666663</v>
      </c>
      <c r="N211" s="173" t="s">
        <v>1401</v>
      </c>
      <c r="O211" s="23">
        <v>2485</v>
      </c>
      <c r="P211" s="70">
        <v>0.45277777777777778</v>
      </c>
      <c r="Q211" s="70">
        <v>0.72916666666666663</v>
      </c>
      <c r="R211" s="229" t="s">
        <v>1427</v>
      </c>
    </row>
    <row r="212" spans="1:18" x14ac:dyDescent="0.4">
      <c r="A212" s="29" t="s">
        <v>614</v>
      </c>
      <c r="B212" s="9" t="s">
        <v>73</v>
      </c>
      <c r="C212" s="30" t="s">
        <v>231</v>
      </c>
      <c r="D212" s="9">
        <v>21</v>
      </c>
      <c r="E212" s="77">
        <v>3</v>
      </c>
      <c r="F212" s="76">
        <v>2.0833333333333332E-2</v>
      </c>
      <c r="G212" s="76">
        <v>0.29166666666666669</v>
      </c>
      <c r="H212" s="76">
        <v>0.70833333333333337</v>
      </c>
      <c r="I212" s="173" t="s">
        <v>1247</v>
      </c>
      <c r="J212" s="23">
        <v>9</v>
      </c>
      <c r="K212" s="23"/>
      <c r="L212" s="68">
        <v>0.29166666666666669</v>
      </c>
      <c r="M212" s="68">
        <v>0.70833333333333337</v>
      </c>
      <c r="N212" s="173" t="s">
        <v>1252</v>
      </c>
      <c r="O212" s="23">
        <v>6570</v>
      </c>
      <c r="P212" s="70">
        <v>0.29166666666666669</v>
      </c>
      <c r="Q212" s="70">
        <v>0.70833333333333337</v>
      </c>
      <c r="R212" s="229" t="s">
        <v>1252</v>
      </c>
    </row>
    <row r="213" spans="1:18" x14ac:dyDescent="0.4">
      <c r="A213" s="42" t="s">
        <v>621</v>
      </c>
      <c r="B213" s="42" t="s">
        <v>71</v>
      </c>
      <c r="C213" s="30" t="s">
        <v>176</v>
      </c>
      <c r="D213" s="42">
        <v>72</v>
      </c>
      <c r="E213" s="77">
        <v>6</v>
      </c>
      <c r="F213" s="1"/>
      <c r="G213" s="76">
        <v>0.29166666666666669</v>
      </c>
      <c r="H213" s="76">
        <v>0.66666666666666663</v>
      </c>
      <c r="I213" s="173" t="s">
        <v>1292</v>
      </c>
      <c r="J213" s="23">
        <v>6</v>
      </c>
      <c r="K213" s="23"/>
      <c r="L213" s="68">
        <v>0.3125</v>
      </c>
      <c r="M213" s="68">
        <v>0.70833333333333337</v>
      </c>
      <c r="N213" s="173" t="s">
        <v>990</v>
      </c>
      <c r="O213" s="23">
        <v>5940</v>
      </c>
      <c r="P213" s="70">
        <v>0.29166666666666669</v>
      </c>
      <c r="Q213" s="70">
        <v>0.70833333333333337</v>
      </c>
      <c r="R213" s="229" t="s">
        <v>1252</v>
      </c>
    </row>
    <row r="214" spans="1:18" x14ac:dyDescent="0.4">
      <c r="A214" s="42" t="s">
        <v>621</v>
      </c>
      <c r="B214" s="42" t="s">
        <v>116</v>
      </c>
      <c r="C214" s="30" t="s">
        <v>212</v>
      </c>
      <c r="D214" s="42">
        <v>12</v>
      </c>
      <c r="E214" s="77">
        <v>5</v>
      </c>
      <c r="F214" s="1"/>
      <c r="G214" s="76">
        <v>0.375</v>
      </c>
      <c r="H214" s="76">
        <v>0.5</v>
      </c>
      <c r="I214" s="173" t="s">
        <v>1316</v>
      </c>
      <c r="J214" s="23">
        <v>4</v>
      </c>
      <c r="K214" s="68">
        <v>6.9444444444444441E-3</v>
      </c>
      <c r="L214" s="68">
        <v>0.40972222222222227</v>
      </c>
      <c r="M214" s="68">
        <v>0.5625</v>
      </c>
      <c r="N214" s="173" t="s">
        <v>1314</v>
      </c>
      <c r="O214" s="23">
        <v>1580</v>
      </c>
      <c r="P214" s="70">
        <v>0.375</v>
      </c>
      <c r="Q214" s="70">
        <v>0.5625</v>
      </c>
      <c r="R214" s="229" t="s">
        <v>1303</v>
      </c>
    </row>
    <row r="215" spans="1:18" x14ac:dyDescent="0.4">
      <c r="A215" s="42" t="s">
        <v>621</v>
      </c>
      <c r="B215" s="42" t="s">
        <v>115</v>
      </c>
      <c r="C215" s="30" t="s">
        <v>214</v>
      </c>
      <c r="D215" s="42">
        <v>8</v>
      </c>
      <c r="E215" s="77">
        <v>5</v>
      </c>
      <c r="F215" s="1"/>
      <c r="G215" s="76">
        <v>0.29166666666666669</v>
      </c>
      <c r="H215" s="76">
        <v>0.375</v>
      </c>
      <c r="I215" s="173" t="s">
        <v>1296</v>
      </c>
      <c r="J215" s="23">
        <v>4</v>
      </c>
      <c r="K215" s="68">
        <v>6.9444444444444441E-3</v>
      </c>
      <c r="L215" s="68">
        <v>0.33333333333333331</v>
      </c>
      <c r="M215" s="68">
        <v>0.40972222222222227</v>
      </c>
      <c r="N215" s="173" t="s">
        <v>1296</v>
      </c>
      <c r="O215" s="23">
        <v>1080</v>
      </c>
      <c r="P215" s="70">
        <v>0.29166666666666669</v>
      </c>
      <c r="Q215" s="70">
        <v>0.40972222222222227</v>
      </c>
      <c r="R215" s="229" t="s">
        <v>1314</v>
      </c>
    </row>
    <row r="216" spans="1:18" x14ac:dyDescent="0.4">
      <c r="A216" s="42" t="s">
        <v>621</v>
      </c>
      <c r="B216" s="42" t="s">
        <v>107</v>
      </c>
      <c r="C216" s="30" t="s">
        <v>314</v>
      </c>
      <c r="D216" s="42">
        <v>24</v>
      </c>
      <c r="E216" s="77">
        <v>5</v>
      </c>
      <c r="F216" s="1"/>
      <c r="G216" s="76">
        <v>0.54166666666666663</v>
      </c>
      <c r="H216" s="76">
        <v>0.75</v>
      </c>
      <c r="I216" s="173" t="s">
        <v>1327</v>
      </c>
      <c r="J216" s="23">
        <v>4</v>
      </c>
      <c r="K216" s="68">
        <v>6.9444444444444441E-3</v>
      </c>
      <c r="L216" s="68">
        <v>0.5625</v>
      </c>
      <c r="M216" s="68">
        <v>0.75</v>
      </c>
      <c r="N216" s="173" t="s">
        <v>1255</v>
      </c>
      <c r="O216" s="23">
        <v>2620</v>
      </c>
      <c r="P216" s="70">
        <v>0.54166666666666663</v>
      </c>
      <c r="Q216" s="70">
        <v>0.75</v>
      </c>
      <c r="R216" s="229" t="s">
        <v>1327</v>
      </c>
    </row>
    <row r="217" spans="1:18" x14ac:dyDescent="0.4">
      <c r="A217" s="42" t="s">
        <v>621</v>
      </c>
      <c r="B217" s="42" t="s">
        <v>83</v>
      </c>
      <c r="C217" s="30" t="s">
        <v>169</v>
      </c>
      <c r="D217" s="42">
        <v>16</v>
      </c>
      <c r="E217" s="77">
        <v>3</v>
      </c>
      <c r="F217" s="76">
        <v>3.125E-2</v>
      </c>
      <c r="G217" s="76">
        <v>0.29166666666666669</v>
      </c>
      <c r="H217" s="76">
        <v>0.66666666666666663</v>
      </c>
      <c r="I217" s="173" t="s">
        <v>991</v>
      </c>
      <c r="J217" s="23">
        <v>7</v>
      </c>
      <c r="K217" s="23"/>
      <c r="L217" s="68">
        <v>0.29166666666666669</v>
      </c>
      <c r="M217" s="68">
        <v>0.70833333333333337</v>
      </c>
      <c r="N217" s="173" t="s">
        <v>1252</v>
      </c>
      <c r="O217" s="23">
        <v>5355</v>
      </c>
      <c r="P217" s="70">
        <v>0.29166666666666669</v>
      </c>
      <c r="Q217" s="70">
        <v>0.70833333333333337</v>
      </c>
      <c r="R217" s="229" t="s">
        <v>1252</v>
      </c>
    </row>
    <row r="218" spans="1:18" x14ac:dyDescent="0.4">
      <c r="A218" s="42" t="s">
        <v>621</v>
      </c>
      <c r="B218" s="42" t="s">
        <v>82</v>
      </c>
      <c r="C218" s="30" t="s">
        <v>171</v>
      </c>
      <c r="D218" s="42">
        <v>20</v>
      </c>
      <c r="E218" s="77">
        <v>3</v>
      </c>
      <c r="F218" s="76">
        <v>7.2916666666666671E-2</v>
      </c>
      <c r="G218" s="76">
        <v>0.29166666666666669</v>
      </c>
      <c r="H218" s="76">
        <v>0.66666666666666663</v>
      </c>
      <c r="I218" s="173" t="s">
        <v>1428</v>
      </c>
      <c r="J218" s="23">
        <v>7</v>
      </c>
      <c r="K218" s="23"/>
      <c r="L218" s="68">
        <v>0.29166666666666669</v>
      </c>
      <c r="M218" s="68">
        <v>0.70833333333333337</v>
      </c>
      <c r="N218" s="173" t="s">
        <v>1252</v>
      </c>
      <c r="O218" s="23">
        <v>5535</v>
      </c>
      <c r="P218" s="70">
        <v>0.29166666666666669</v>
      </c>
      <c r="Q218" s="70">
        <v>0.70833333333333337</v>
      </c>
      <c r="R218" s="229" t="s">
        <v>1252</v>
      </c>
    </row>
    <row r="219" spans="1:18" x14ac:dyDescent="0.4">
      <c r="A219" s="42" t="s">
        <v>622</v>
      </c>
      <c r="B219" s="42" t="s">
        <v>114</v>
      </c>
      <c r="C219" s="30" t="s">
        <v>161</v>
      </c>
      <c r="D219" s="42">
        <v>15</v>
      </c>
      <c r="E219" s="77">
        <v>4</v>
      </c>
      <c r="F219" s="1"/>
      <c r="G219" s="76">
        <v>0.29166666666666669</v>
      </c>
      <c r="H219" s="76">
        <v>0.5</v>
      </c>
      <c r="I219" s="173" t="s">
        <v>1327</v>
      </c>
      <c r="J219" s="23">
        <v>13</v>
      </c>
      <c r="K219" s="68">
        <v>1.0416666666666666E-2</v>
      </c>
      <c r="L219" s="68">
        <v>0.33333333333333331</v>
      </c>
      <c r="M219" s="68">
        <v>0.5625</v>
      </c>
      <c r="N219" s="173" t="s">
        <v>1335</v>
      </c>
      <c r="O219" s="23">
        <v>4905</v>
      </c>
      <c r="P219" s="70">
        <v>0.29166666666666669</v>
      </c>
      <c r="Q219" s="70">
        <v>0.5625</v>
      </c>
      <c r="R219" s="229" t="s">
        <v>1320</v>
      </c>
    </row>
    <row r="220" spans="1:18" x14ac:dyDescent="0.4">
      <c r="A220" s="42" t="s">
        <v>622</v>
      </c>
      <c r="B220" s="42" t="s">
        <v>106</v>
      </c>
      <c r="C220" s="30" t="s">
        <v>173</v>
      </c>
      <c r="D220" s="42">
        <v>16</v>
      </c>
      <c r="E220" s="77">
        <v>4</v>
      </c>
      <c r="F220" s="1"/>
      <c r="G220" s="76">
        <v>0.54166666666666663</v>
      </c>
      <c r="H220" s="76">
        <v>0.70833333333333337</v>
      </c>
      <c r="I220" s="173" t="s">
        <v>1244</v>
      </c>
      <c r="J220" s="23">
        <v>9</v>
      </c>
      <c r="K220" s="68">
        <v>1.0416666666666666E-2</v>
      </c>
      <c r="L220" s="68">
        <v>0.5625</v>
      </c>
      <c r="M220" s="68">
        <v>0.75</v>
      </c>
      <c r="N220" s="173" t="s">
        <v>1335</v>
      </c>
      <c r="O220" s="23">
        <v>3525</v>
      </c>
      <c r="P220" s="70">
        <v>0.54166666666666663</v>
      </c>
      <c r="Q220" s="70">
        <v>0.75</v>
      </c>
      <c r="R220" s="229" t="s">
        <v>1327</v>
      </c>
    </row>
    <row r="221" spans="1:18" x14ac:dyDescent="0.4">
      <c r="A221" s="42" t="s">
        <v>622</v>
      </c>
      <c r="B221" s="42" t="s">
        <v>63</v>
      </c>
      <c r="C221" s="30" t="s">
        <v>267</v>
      </c>
      <c r="D221" s="42">
        <v>20</v>
      </c>
      <c r="E221" s="77">
        <v>5</v>
      </c>
      <c r="F221" s="1"/>
      <c r="G221" s="76">
        <v>0.54166666666666663</v>
      </c>
      <c r="H221" s="76">
        <v>0.75</v>
      </c>
      <c r="I221" s="173" t="s">
        <v>1327</v>
      </c>
      <c r="J221" s="23">
        <v>3</v>
      </c>
      <c r="K221" s="68">
        <v>6.9444444444444441E-3</v>
      </c>
      <c r="L221" s="68">
        <v>0.61111111111111105</v>
      </c>
      <c r="M221" s="68">
        <v>0.75</v>
      </c>
      <c r="N221" s="173" t="s">
        <v>1303</v>
      </c>
      <c r="O221" s="23">
        <v>2130</v>
      </c>
      <c r="P221" s="70">
        <v>0.54166666666666663</v>
      </c>
      <c r="Q221" s="70">
        <v>0.75</v>
      </c>
      <c r="R221" s="229" t="s">
        <v>1327</v>
      </c>
    </row>
    <row r="222" spans="1:18" x14ac:dyDescent="0.4">
      <c r="A222" s="42" t="s">
        <v>622</v>
      </c>
      <c r="B222" s="42" t="s">
        <v>81</v>
      </c>
      <c r="C222" s="30" t="s">
        <v>235</v>
      </c>
      <c r="D222" s="42">
        <v>12</v>
      </c>
      <c r="E222" s="77">
        <v>5</v>
      </c>
      <c r="F222" s="1"/>
      <c r="G222" s="76">
        <v>0.29166666666666669</v>
      </c>
      <c r="H222" s="76">
        <v>0.44305555555555554</v>
      </c>
      <c r="I222" s="173" t="s">
        <v>1429</v>
      </c>
      <c r="J222" s="23">
        <v>3</v>
      </c>
      <c r="K222" s="68">
        <v>6.9444444444444441E-3</v>
      </c>
      <c r="L222" s="68">
        <v>0.33333333333333331</v>
      </c>
      <c r="M222" s="68">
        <v>0.47222222222222227</v>
      </c>
      <c r="N222" s="173" t="s">
        <v>1303</v>
      </c>
      <c r="O222" s="23">
        <v>1720</v>
      </c>
      <c r="P222" s="70">
        <v>0.29166666666666669</v>
      </c>
      <c r="Q222" s="70">
        <v>0.47222222222222227</v>
      </c>
      <c r="R222" s="229" t="s">
        <v>1379</v>
      </c>
    </row>
    <row r="223" spans="1:18" x14ac:dyDescent="0.4">
      <c r="A223" s="42" t="s">
        <v>622</v>
      </c>
      <c r="B223" s="42" t="s">
        <v>571</v>
      </c>
      <c r="C223" s="30" t="s">
        <v>237</v>
      </c>
      <c r="D223" s="42">
        <v>8</v>
      </c>
      <c r="E223" s="77">
        <v>5</v>
      </c>
      <c r="F223" s="1"/>
      <c r="G223" s="76">
        <v>0.44305555555555554</v>
      </c>
      <c r="H223" s="76">
        <v>0.5</v>
      </c>
      <c r="I223" s="173" t="s">
        <v>1430</v>
      </c>
      <c r="J223" s="23">
        <v>3</v>
      </c>
      <c r="K223" s="68">
        <v>6.9444444444444441E-3</v>
      </c>
      <c r="L223" s="68">
        <v>0.47222222222222227</v>
      </c>
      <c r="M223" s="68">
        <v>0.61111111111111105</v>
      </c>
      <c r="N223" s="173" t="s">
        <v>1298</v>
      </c>
      <c r="O223" s="23">
        <v>860</v>
      </c>
      <c r="P223" s="70">
        <v>0.44305555555555554</v>
      </c>
      <c r="Q223" s="70">
        <v>0.61111111111111105</v>
      </c>
      <c r="R223" s="229" t="s">
        <v>1431</v>
      </c>
    </row>
    <row r="224" spans="1:18" x14ac:dyDescent="0.4">
      <c r="A224" s="42" t="s">
        <v>622</v>
      </c>
      <c r="B224" s="42" t="s">
        <v>123</v>
      </c>
      <c r="C224" s="30" t="s">
        <v>277</v>
      </c>
      <c r="D224" s="42">
        <v>60</v>
      </c>
      <c r="E224" s="77">
        <v>3</v>
      </c>
      <c r="F224" s="76">
        <v>4.1666666666666664E-2</v>
      </c>
      <c r="G224" s="76">
        <v>0.29166666666666669</v>
      </c>
      <c r="H224" s="76">
        <v>0.70833333333333337</v>
      </c>
      <c r="I224" s="173" t="s">
        <v>1308</v>
      </c>
      <c r="J224" s="23">
        <v>4</v>
      </c>
      <c r="K224" s="23"/>
      <c r="L224" s="68">
        <v>0.29166666666666669</v>
      </c>
      <c r="M224" s="68">
        <v>0.72916666666666663</v>
      </c>
      <c r="N224" s="173" t="s">
        <v>1247</v>
      </c>
      <c r="O224" s="23">
        <v>4080</v>
      </c>
      <c r="P224" s="70">
        <v>0.29166666666666669</v>
      </c>
      <c r="Q224" s="70">
        <v>0.72916666666666663</v>
      </c>
      <c r="R224" s="229" t="s">
        <v>1247</v>
      </c>
    </row>
    <row r="225" spans="1:18" x14ac:dyDescent="0.4">
      <c r="A225" s="42" t="s">
        <v>623</v>
      </c>
      <c r="B225" s="42" t="s">
        <v>72</v>
      </c>
      <c r="C225" s="30" t="s">
        <v>227</v>
      </c>
      <c r="D225" s="42">
        <v>20</v>
      </c>
      <c r="E225" s="77">
        <v>5</v>
      </c>
      <c r="F225" s="1"/>
      <c r="G225" s="76">
        <v>0.29166666666666669</v>
      </c>
      <c r="H225" s="76">
        <v>0.5</v>
      </c>
      <c r="I225" s="173" t="s">
        <v>1327</v>
      </c>
      <c r="J225" s="23">
        <v>4</v>
      </c>
      <c r="K225" s="23"/>
      <c r="L225" s="68">
        <v>0.3125</v>
      </c>
      <c r="M225" s="68">
        <v>0.5</v>
      </c>
      <c r="N225" s="173" t="s">
        <v>1243</v>
      </c>
      <c r="O225" s="23">
        <v>2580</v>
      </c>
      <c r="P225" s="70">
        <v>0.29166666666666669</v>
      </c>
      <c r="Q225" s="70">
        <v>0.5</v>
      </c>
      <c r="R225" s="229" t="s">
        <v>1327</v>
      </c>
    </row>
    <row r="226" spans="1:18" x14ac:dyDescent="0.4">
      <c r="A226" s="42" t="s">
        <v>623</v>
      </c>
      <c r="B226" s="42" t="s">
        <v>108</v>
      </c>
      <c r="C226" s="30" t="s">
        <v>231</v>
      </c>
      <c r="D226" s="42">
        <v>21</v>
      </c>
      <c r="E226" s="77">
        <v>3</v>
      </c>
      <c r="F226" s="76">
        <v>4.1666666666666664E-2</v>
      </c>
      <c r="G226" s="76">
        <v>0.29166666666666669</v>
      </c>
      <c r="H226" s="76">
        <v>0.70833333333333337</v>
      </c>
      <c r="I226" s="173" t="s">
        <v>1308</v>
      </c>
      <c r="J226" s="23">
        <v>9</v>
      </c>
      <c r="K226" s="23"/>
      <c r="L226" s="68">
        <v>0.29166666666666669</v>
      </c>
      <c r="M226" s="68">
        <v>0.75</v>
      </c>
      <c r="N226" s="173" t="s">
        <v>1308</v>
      </c>
      <c r="O226" s="23">
        <v>7200</v>
      </c>
      <c r="P226" s="70">
        <v>0.29166666666666669</v>
      </c>
      <c r="Q226" s="70">
        <v>0.75</v>
      </c>
      <c r="R226" s="229" t="s">
        <v>1308</v>
      </c>
    </row>
    <row r="227" spans="1:18" x14ac:dyDescent="0.4">
      <c r="A227" s="42" t="s">
        <v>623</v>
      </c>
      <c r="B227" s="42" t="s">
        <v>104</v>
      </c>
      <c r="C227" s="30" t="s">
        <v>191</v>
      </c>
      <c r="D227" s="42">
        <v>72</v>
      </c>
      <c r="E227" s="77">
        <v>3</v>
      </c>
      <c r="F227" s="76">
        <v>4.1666666666666664E-2</v>
      </c>
      <c r="G227" s="76">
        <v>0.29166666666666669</v>
      </c>
      <c r="H227" s="76">
        <v>0.70833333333333337</v>
      </c>
      <c r="I227" s="173" t="s">
        <v>1308</v>
      </c>
      <c r="J227" s="23">
        <v>4</v>
      </c>
      <c r="K227" s="68">
        <v>6.25E-2</v>
      </c>
      <c r="L227" s="68">
        <v>0.29166666666666669</v>
      </c>
      <c r="M227" s="68">
        <v>0.72916666666666663</v>
      </c>
      <c r="N227" s="173" t="s">
        <v>1318</v>
      </c>
      <c r="O227" s="23">
        <v>4440</v>
      </c>
      <c r="P227" s="70">
        <v>0.29166666666666669</v>
      </c>
      <c r="Q227" s="70">
        <v>0.72916666666666663</v>
      </c>
      <c r="R227" s="229" t="s">
        <v>1247</v>
      </c>
    </row>
    <row r="228" spans="1:18" x14ac:dyDescent="0.4">
      <c r="A228" s="42" t="s">
        <v>624</v>
      </c>
      <c r="B228" s="42" t="s">
        <v>54</v>
      </c>
      <c r="C228" s="30" t="s">
        <v>251</v>
      </c>
      <c r="D228" s="42">
        <v>28</v>
      </c>
      <c r="E228" s="77">
        <v>5</v>
      </c>
      <c r="F228" s="1"/>
      <c r="G228" s="76">
        <v>0.29166666666666669</v>
      </c>
      <c r="H228" s="76">
        <v>0.57777777777777783</v>
      </c>
      <c r="I228" s="173" t="s">
        <v>1432</v>
      </c>
      <c r="J228" s="23">
        <v>4</v>
      </c>
      <c r="K228" s="68">
        <v>1.0416666666666666E-2</v>
      </c>
      <c r="L228" s="68">
        <v>0.33333333333333331</v>
      </c>
      <c r="M228" s="68">
        <v>0.60416666666666663</v>
      </c>
      <c r="N228" s="173" t="s">
        <v>1330</v>
      </c>
      <c r="O228" s="23">
        <v>3140</v>
      </c>
      <c r="P228" s="70">
        <v>0.29166666666666669</v>
      </c>
      <c r="Q228" s="70">
        <v>0.60416666666666663</v>
      </c>
      <c r="R228" s="229" t="s">
        <v>1329</v>
      </c>
    </row>
    <row r="229" spans="1:18" x14ac:dyDescent="0.4">
      <c r="A229" s="42" t="s">
        <v>624</v>
      </c>
      <c r="B229" s="42" t="s">
        <v>51</v>
      </c>
      <c r="C229" s="30" t="s">
        <v>253</v>
      </c>
      <c r="D229" s="42">
        <v>12</v>
      </c>
      <c r="E229" s="77">
        <v>5</v>
      </c>
      <c r="F229" s="1"/>
      <c r="G229" s="76">
        <v>0.57777777777777783</v>
      </c>
      <c r="H229" s="76">
        <v>0.72916666666666663</v>
      </c>
      <c r="I229" s="173" t="s">
        <v>1429</v>
      </c>
      <c r="J229" s="23">
        <v>4</v>
      </c>
      <c r="K229" s="68">
        <v>1.0416666666666666E-2</v>
      </c>
      <c r="L229" s="68">
        <v>0.60416666666666663</v>
      </c>
      <c r="M229" s="68">
        <v>0.75</v>
      </c>
      <c r="N229" s="173" t="s">
        <v>1380</v>
      </c>
      <c r="O229" s="23">
        <v>1990</v>
      </c>
      <c r="P229" s="70">
        <v>0.57777777777777783</v>
      </c>
      <c r="Q229" s="70">
        <v>0.75</v>
      </c>
      <c r="R229" s="229" t="s">
        <v>1433</v>
      </c>
    </row>
    <row r="230" spans="1:18" x14ac:dyDescent="0.4">
      <c r="A230" s="42" t="s">
        <v>624</v>
      </c>
      <c r="B230" s="42" t="s">
        <v>63</v>
      </c>
      <c r="C230" s="30" t="s">
        <v>267</v>
      </c>
      <c r="D230" s="42">
        <v>28</v>
      </c>
      <c r="E230" s="77">
        <v>5</v>
      </c>
      <c r="F230" s="1"/>
      <c r="G230" s="76">
        <v>0.39444444444444443</v>
      </c>
      <c r="H230" s="76">
        <v>0.6875</v>
      </c>
      <c r="I230" s="173" t="s">
        <v>1394</v>
      </c>
      <c r="J230" s="23">
        <v>3</v>
      </c>
      <c r="K230" s="68">
        <v>1.0416666666666666E-2</v>
      </c>
      <c r="L230" s="68">
        <v>0.4236111111111111</v>
      </c>
      <c r="M230" s="68">
        <v>0.70833333333333337</v>
      </c>
      <c r="N230" s="173" t="s">
        <v>1360</v>
      </c>
      <c r="O230" s="23">
        <v>2905</v>
      </c>
      <c r="P230" s="70">
        <v>0.39444444444444443</v>
      </c>
      <c r="Q230" s="70">
        <v>0.70833333333333337</v>
      </c>
      <c r="R230" s="229" t="s">
        <v>1409</v>
      </c>
    </row>
    <row r="231" spans="1:18" x14ac:dyDescent="0.4">
      <c r="A231" s="42" t="s">
        <v>624</v>
      </c>
      <c r="B231" s="42" t="s">
        <v>504</v>
      </c>
      <c r="C231" s="30" t="s">
        <v>245</v>
      </c>
      <c r="D231" s="42">
        <v>12</v>
      </c>
      <c r="E231" s="77">
        <v>5</v>
      </c>
      <c r="F231" s="1"/>
      <c r="G231" s="76">
        <v>0.29166666666666669</v>
      </c>
      <c r="H231" s="76">
        <v>0.39444444444444443</v>
      </c>
      <c r="I231" s="173" t="s">
        <v>1424</v>
      </c>
      <c r="J231" s="23">
        <v>3</v>
      </c>
      <c r="K231" s="68">
        <v>1.0416666666666666E-2</v>
      </c>
      <c r="L231" s="68">
        <v>0.33333333333333331</v>
      </c>
      <c r="M231" s="68">
        <v>0.4236111111111111</v>
      </c>
      <c r="N231" s="173" t="s">
        <v>1331</v>
      </c>
      <c r="O231" s="23">
        <v>1175</v>
      </c>
      <c r="P231" s="70">
        <v>0.29166666666666669</v>
      </c>
      <c r="Q231" s="70">
        <v>0.4236111111111111</v>
      </c>
      <c r="R231" s="229" t="s">
        <v>1256</v>
      </c>
    </row>
    <row r="232" spans="1:18" x14ac:dyDescent="0.4">
      <c r="A232" s="42" t="s">
        <v>624</v>
      </c>
      <c r="B232" s="42" t="s">
        <v>82</v>
      </c>
      <c r="C232" s="30" t="s">
        <v>171</v>
      </c>
      <c r="D232" s="42">
        <v>20</v>
      </c>
      <c r="E232" s="77">
        <v>3</v>
      </c>
      <c r="F232" s="76">
        <v>4.9999999999999996E-2</v>
      </c>
      <c r="G232" s="76">
        <v>0.30902777777777779</v>
      </c>
      <c r="H232" s="76">
        <v>0.4513888888888889</v>
      </c>
      <c r="I232" s="173" t="s">
        <v>1434</v>
      </c>
      <c r="J232" s="23">
        <v>7</v>
      </c>
      <c r="K232" s="68">
        <v>2.0833333333333332E-2</v>
      </c>
      <c r="L232" s="68">
        <v>0.33333333333333331</v>
      </c>
      <c r="M232" s="68">
        <v>0.5</v>
      </c>
      <c r="N232" s="173" t="s">
        <v>1243</v>
      </c>
      <c r="O232" s="23">
        <v>2721</v>
      </c>
      <c r="P232" s="70">
        <v>0.30902777777777779</v>
      </c>
      <c r="Q232" s="70">
        <v>0.5</v>
      </c>
      <c r="R232" s="229" t="s">
        <v>1304</v>
      </c>
    </row>
    <row r="233" spans="1:18" x14ac:dyDescent="0.4">
      <c r="A233" s="42" t="s">
        <v>624</v>
      </c>
      <c r="B233" s="42" t="s">
        <v>65</v>
      </c>
      <c r="C233" s="30" t="s">
        <v>189</v>
      </c>
      <c r="D233" s="173">
        <v>32</v>
      </c>
      <c r="E233" s="77">
        <v>3</v>
      </c>
      <c r="F233" s="76">
        <v>4.9999999999999996E-2</v>
      </c>
      <c r="G233" s="76">
        <v>0.4513888888888889</v>
      </c>
      <c r="H233" s="76">
        <v>0.70833333333333337</v>
      </c>
      <c r="I233" s="173" t="s">
        <v>1435</v>
      </c>
      <c r="J233" s="23">
        <v>4</v>
      </c>
      <c r="K233" s="68">
        <v>2.0833333333333332E-2</v>
      </c>
      <c r="L233" s="68">
        <v>0.54166666666666663</v>
      </c>
      <c r="M233" s="68">
        <v>0.72916666666666663</v>
      </c>
      <c r="N233" s="173" t="s">
        <v>1327</v>
      </c>
      <c r="O233" s="23">
        <v>2346</v>
      </c>
      <c r="P233" s="70">
        <v>0.4513888888888889</v>
      </c>
      <c r="Q233" s="70">
        <v>0.72916666666666663</v>
      </c>
      <c r="R233" s="229" t="s">
        <v>1339</v>
      </c>
    </row>
    <row r="234" spans="1:18" x14ac:dyDescent="0.4">
      <c r="A234" s="42" t="s">
        <v>625</v>
      </c>
      <c r="B234" s="42" t="s">
        <v>87</v>
      </c>
      <c r="C234" s="30" t="s">
        <v>199</v>
      </c>
      <c r="D234" s="42">
        <v>70</v>
      </c>
      <c r="E234" s="77">
        <v>6</v>
      </c>
      <c r="F234" s="1"/>
      <c r="G234" s="76">
        <v>0.29166666666666669</v>
      </c>
      <c r="H234" s="76">
        <v>0.70833333333333337</v>
      </c>
      <c r="I234" s="173" t="s">
        <v>1252</v>
      </c>
      <c r="J234" s="23">
        <v>6</v>
      </c>
      <c r="K234" s="68"/>
      <c r="L234" s="68">
        <v>0.3125</v>
      </c>
      <c r="M234" s="68">
        <v>0.70833333333333337</v>
      </c>
      <c r="N234" s="173" t="s">
        <v>990</v>
      </c>
      <c r="O234" s="23">
        <v>6300</v>
      </c>
      <c r="P234" s="70">
        <v>0.29166666666666669</v>
      </c>
      <c r="Q234" s="70">
        <v>0.70833333333333337</v>
      </c>
      <c r="R234" s="229" t="s">
        <v>1252</v>
      </c>
    </row>
    <row r="235" spans="1:18" x14ac:dyDescent="0.4">
      <c r="A235" s="42" t="s">
        <v>625</v>
      </c>
      <c r="B235" s="42" t="s">
        <v>547</v>
      </c>
      <c r="C235" s="30" t="s">
        <v>205</v>
      </c>
      <c r="D235" s="42">
        <v>12</v>
      </c>
      <c r="E235" s="77">
        <v>5</v>
      </c>
      <c r="F235" s="1"/>
      <c r="G235" s="76">
        <v>0.29166666666666669</v>
      </c>
      <c r="H235" s="76">
        <v>0.39999999999999997</v>
      </c>
      <c r="I235" s="173" t="s">
        <v>1373</v>
      </c>
      <c r="J235" s="23">
        <v>4</v>
      </c>
      <c r="K235" s="68">
        <v>1.3888888888888888E-2</v>
      </c>
      <c r="L235" s="68">
        <v>0.33333333333333331</v>
      </c>
      <c r="M235" s="68">
        <v>0.4375</v>
      </c>
      <c r="N235" s="173" t="s">
        <v>1314</v>
      </c>
      <c r="O235" s="23">
        <v>1460</v>
      </c>
      <c r="P235" s="70">
        <v>0.29166666666666669</v>
      </c>
      <c r="Q235" s="70">
        <v>0.4375</v>
      </c>
      <c r="R235" s="229" t="s">
        <v>1303</v>
      </c>
    </row>
    <row r="236" spans="1:18" x14ac:dyDescent="0.4">
      <c r="A236" s="42" t="s">
        <v>625</v>
      </c>
      <c r="B236" s="42" t="s">
        <v>117</v>
      </c>
      <c r="C236" s="30" t="s">
        <v>304</v>
      </c>
      <c r="D236" s="42">
        <v>8</v>
      </c>
      <c r="E236" s="77">
        <v>5</v>
      </c>
      <c r="F236" s="1"/>
      <c r="G236" s="76">
        <v>0.39999999999999997</v>
      </c>
      <c r="H236" s="76">
        <v>0.5</v>
      </c>
      <c r="I236" s="173" t="s">
        <v>1436</v>
      </c>
      <c r="J236" s="23">
        <v>4</v>
      </c>
      <c r="K236" s="68">
        <v>1.3888888888888888E-2</v>
      </c>
      <c r="L236" s="68">
        <v>0.4375</v>
      </c>
      <c r="M236" s="68">
        <v>0.5625</v>
      </c>
      <c r="N236" s="173" t="s">
        <v>1313</v>
      </c>
      <c r="O236" s="23">
        <v>1280</v>
      </c>
      <c r="P236" s="70">
        <v>0.39999999999999997</v>
      </c>
      <c r="Q236" s="70">
        <v>0.5625</v>
      </c>
      <c r="R236" s="229" t="s">
        <v>1437</v>
      </c>
    </row>
    <row r="237" spans="1:18" x14ac:dyDescent="0.4">
      <c r="A237" s="42" t="s">
        <v>625</v>
      </c>
      <c r="B237" s="42" t="s">
        <v>63</v>
      </c>
      <c r="C237" s="30" t="s">
        <v>267</v>
      </c>
      <c r="D237" s="42">
        <v>20</v>
      </c>
      <c r="E237" s="77">
        <v>5</v>
      </c>
      <c r="F237" s="1"/>
      <c r="G237" s="76">
        <v>0.54166666666666663</v>
      </c>
      <c r="H237" s="76">
        <v>0.70833333333333337</v>
      </c>
      <c r="I237" s="173" t="s">
        <v>1244</v>
      </c>
      <c r="J237" s="23">
        <v>3</v>
      </c>
      <c r="K237" s="68">
        <v>1.3888888888888888E-2</v>
      </c>
      <c r="L237" s="68">
        <v>0.5625</v>
      </c>
      <c r="M237" s="68">
        <v>0.70833333333333337</v>
      </c>
      <c r="N237" s="173" t="s">
        <v>1332</v>
      </c>
      <c r="O237" s="23">
        <v>1890</v>
      </c>
      <c r="P237" s="70">
        <v>0.54166666666666663</v>
      </c>
      <c r="Q237" s="70">
        <v>0.70833333333333337</v>
      </c>
      <c r="R237" s="229" t="s">
        <v>1244</v>
      </c>
    </row>
    <row r="238" spans="1:18" x14ac:dyDescent="0.4">
      <c r="A238" s="42" t="s">
        <v>625</v>
      </c>
      <c r="B238" s="42" t="s">
        <v>65</v>
      </c>
      <c r="C238" s="30" t="s">
        <v>189</v>
      </c>
      <c r="D238" s="173">
        <v>72</v>
      </c>
      <c r="E238" s="77">
        <v>3</v>
      </c>
      <c r="F238" s="76">
        <v>6.25E-2</v>
      </c>
      <c r="G238" s="76">
        <v>0.29166666666666669</v>
      </c>
      <c r="H238" s="76">
        <v>0.77083333333333337</v>
      </c>
      <c r="I238" s="173" t="s">
        <v>1317</v>
      </c>
      <c r="J238" s="23">
        <v>4</v>
      </c>
      <c r="K238" s="23"/>
      <c r="L238" s="68">
        <v>0.29166666666666669</v>
      </c>
      <c r="M238" s="68">
        <v>0.79166666666666663</v>
      </c>
      <c r="N238" s="173" t="s">
        <v>1318</v>
      </c>
      <c r="O238" s="23">
        <v>4800</v>
      </c>
      <c r="P238" s="70">
        <v>0.29166666666666669</v>
      </c>
      <c r="Q238" s="70">
        <v>0.79166666666666663</v>
      </c>
      <c r="R238" s="229" t="s">
        <v>1318</v>
      </c>
    </row>
    <row r="239" spans="1:18" x14ac:dyDescent="0.4">
      <c r="A239" s="29" t="s">
        <v>626</v>
      </c>
      <c r="B239" s="9" t="s">
        <v>68</v>
      </c>
      <c r="C239" s="30" t="s">
        <v>185</v>
      </c>
      <c r="D239" s="9">
        <v>40</v>
      </c>
      <c r="E239" s="77">
        <v>5</v>
      </c>
      <c r="F239" s="1"/>
      <c r="G239" s="76">
        <v>0.29166666666666669</v>
      </c>
      <c r="H239" s="76">
        <v>0.66666666666666663</v>
      </c>
      <c r="I239" s="173" t="s">
        <v>1292</v>
      </c>
      <c r="J239" s="23">
        <v>5</v>
      </c>
      <c r="K239" s="68"/>
      <c r="L239" s="68">
        <v>0.3125</v>
      </c>
      <c r="M239" s="68">
        <v>0.70833333333333337</v>
      </c>
      <c r="N239" s="173" t="s">
        <v>990</v>
      </c>
      <c r="O239" s="23">
        <v>4950</v>
      </c>
      <c r="P239" s="70">
        <v>0.29166666666666669</v>
      </c>
      <c r="Q239" s="70">
        <v>0.70833333333333337</v>
      </c>
      <c r="R239" s="229" t="s">
        <v>1252</v>
      </c>
    </row>
    <row r="240" spans="1:18" x14ac:dyDescent="0.4">
      <c r="A240" s="29" t="s">
        <v>626</v>
      </c>
      <c r="B240" s="9" t="s">
        <v>100</v>
      </c>
      <c r="C240" s="30" t="s">
        <v>257</v>
      </c>
      <c r="D240" s="9">
        <v>6</v>
      </c>
      <c r="E240" s="77">
        <v>5</v>
      </c>
      <c r="F240" s="1"/>
      <c r="G240" s="76">
        <v>0.59722222222222221</v>
      </c>
      <c r="H240" s="76">
        <v>0.6875</v>
      </c>
      <c r="I240" s="173" t="s">
        <v>1248</v>
      </c>
      <c r="J240" s="23">
        <v>4</v>
      </c>
      <c r="K240" s="68">
        <v>6.9444444444444441E-3</v>
      </c>
      <c r="L240" s="68">
        <v>0.625</v>
      </c>
      <c r="M240" s="68">
        <v>0.6875</v>
      </c>
      <c r="N240" s="173" t="s">
        <v>1386</v>
      </c>
      <c r="O240" s="23">
        <v>1050</v>
      </c>
      <c r="P240" s="70">
        <v>0.59722222222222221</v>
      </c>
      <c r="Q240" s="70">
        <v>0.6875</v>
      </c>
      <c r="R240" s="229" t="s">
        <v>1248</v>
      </c>
    </row>
    <row r="241" spans="1:18" x14ac:dyDescent="0.4">
      <c r="A241" s="29" t="s">
        <v>626</v>
      </c>
      <c r="B241" s="9" t="s">
        <v>435</v>
      </c>
      <c r="C241" s="30" t="s">
        <v>449</v>
      </c>
      <c r="D241" s="9">
        <v>6</v>
      </c>
      <c r="E241" s="77">
        <v>5</v>
      </c>
      <c r="F241" s="1"/>
      <c r="G241" s="76">
        <v>0.54166666666666663</v>
      </c>
      <c r="H241" s="76">
        <v>0.59722222222222221</v>
      </c>
      <c r="I241" s="173" t="s">
        <v>1420</v>
      </c>
      <c r="J241" s="23">
        <v>4</v>
      </c>
      <c r="K241" s="68">
        <v>6.9444444444444441E-3</v>
      </c>
      <c r="L241" s="68">
        <v>0.5625</v>
      </c>
      <c r="M241" s="68">
        <v>0.625</v>
      </c>
      <c r="N241" s="173" t="s">
        <v>1386</v>
      </c>
      <c r="O241" s="23">
        <v>800</v>
      </c>
      <c r="P241" s="70">
        <v>0.54166666666666663</v>
      </c>
      <c r="Q241" s="70">
        <v>0.625</v>
      </c>
      <c r="R241" s="229" t="s">
        <v>1296</v>
      </c>
    </row>
    <row r="242" spans="1:18" x14ac:dyDescent="0.4">
      <c r="A242" s="29" t="s">
        <v>626</v>
      </c>
      <c r="B242" s="9" t="s">
        <v>54</v>
      </c>
      <c r="C242" s="30" t="s">
        <v>251</v>
      </c>
      <c r="D242" s="9">
        <v>28</v>
      </c>
      <c r="E242" s="77">
        <v>5</v>
      </c>
      <c r="F242" s="1"/>
      <c r="G242" s="76">
        <v>0.29166666666666669</v>
      </c>
      <c r="H242" s="76">
        <v>0.5</v>
      </c>
      <c r="I242" s="173" t="s">
        <v>1327</v>
      </c>
      <c r="J242" s="23">
        <v>4</v>
      </c>
      <c r="K242" s="68">
        <v>6.9444444444444441E-3</v>
      </c>
      <c r="L242" s="68">
        <v>0.33333333333333331</v>
      </c>
      <c r="M242" s="68">
        <v>0.5625</v>
      </c>
      <c r="N242" s="173" t="s">
        <v>1255</v>
      </c>
      <c r="O242" s="23">
        <v>2620</v>
      </c>
      <c r="P242" s="70">
        <v>0.29166666666666669</v>
      </c>
      <c r="Q242" s="70">
        <v>0.5625</v>
      </c>
      <c r="R242" s="229" t="s">
        <v>1320</v>
      </c>
    </row>
    <row r="243" spans="1:18" x14ac:dyDescent="0.4">
      <c r="A243" s="29" t="s">
        <v>626</v>
      </c>
      <c r="B243" s="9" t="s">
        <v>65</v>
      </c>
      <c r="C243" s="30" t="s">
        <v>189</v>
      </c>
      <c r="D243" s="224">
        <v>72</v>
      </c>
      <c r="E243" s="77">
        <v>3</v>
      </c>
      <c r="F243" s="76">
        <v>6.25E-2</v>
      </c>
      <c r="G243" s="76">
        <v>0.29166666666666669</v>
      </c>
      <c r="H243" s="76">
        <v>0.77083333333333337</v>
      </c>
      <c r="I243" s="173" t="s">
        <v>1317</v>
      </c>
      <c r="J243" s="23">
        <v>4</v>
      </c>
      <c r="K243" s="23"/>
      <c r="L243" s="68">
        <v>0.29166666666666669</v>
      </c>
      <c r="M243" s="68">
        <v>0.79166666666666663</v>
      </c>
      <c r="N243" s="173" t="s">
        <v>1318</v>
      </c>
      <c r="O243" s="23">
        <v>4800</v>
      </c>
      <c r="P243" s="70">
        <v>0.29166666666666669</v>
      </c>
      <c r="Q243" s="70">
        <v>0.79166666666666663</v>
      </c>
      <c r="R243" s="229" t="s">
        <v>1318</v>
      </c>
    </row>
    <row r="244" spans="1:18" x14ac:dyDescent="0.4">
      <c r="A244" s="101" t="s">
        <v>626</v>
      </c>
      <c r="B244" s="102">
        <v>153010</v>
      </c>
      <c r="C244" s="390" t="s">
        <v>484</v>
      </c>
      <c r="D244" s="102">
        <v>1</v>
      </c>
      <c r="E244" s="103"/>
      <c r="F244" s="104"/>
      <c r="G244" s="104"/>
      <c r="H244" s="104"/>
      <c r="I244" s="225" t="s">
        <v>1002</v>
      </c>
      <c r="J244" s="105"/>
      <c r="K244" s="105"/>
      <c r="L244" s="106"/>
      <c r="M244" s="106"/>
      <c r="N244" s="225" t="s">
        <v>1002</v>
      </c>
      <c r="O244" s="105">
        <v>0</v>
      </c>
      <c r="P244" s="70">
        <v>0</v>
      </c>
      <c r="Q244" s="70">
        <v>0</v>
      </c>
      <c r="R244" s="232" t="s">
        <v>1002</v>
      </c>
    </row>
    <row r="245" spans="1:18" x14ac:dyDescent="0.4">
      <c r="A245" s="29" t="s">
        <v>629</v>
      </c>
      <c r="B245" s="9" t="s">
        <v>61</v>
      </c>
      <c r="C245" s="30" t="s">
        <v>156</v>
      </c>
      <c r="D245" s="9">
        <v>20</v>
      </c>
      <c r="E245" s="77">
        <v>5</v>
      </c>
      <c r="F245" s="1"/>
      <c r="G245" s="76">
        <v>0.29166666666666669</v>
      </c>
      <c r="H245" s="76">
        <v>0.5</v>
      </c>
      <c r="I245" s="173" t="s">
        <v>1327</v>
      </c>
      <c r="J245" s="23">
        <v>10</v>
      </c>
      <c r="K245" s="23"/>
      <c r="L245" s="68">
        <v>0.3125</v>
      </c>
      <c r="M245" s="68">
        <v>0.5</v>
      </c>
      <c r="N245" s="173" t="s">
        <v>1243</v>
      </c>
      <c r="O245" s="23">
        <v>4200</v>
      </c>
      <c r="P245" s="70">
        <v>0.29166666666666669</v>
      </c>
      <c r="Q245" s="70">
        <v>0.5</v>
      </c>
      <c r="R245" s="229" t="s">
        <v>1327</v>
      </c>
    </row>
    <row r="246" spans="1:18" x14ac:dyDescent="0.4">
      <c r="A246" s="29" t="s">
        <v>629</v>
      </c>
      <c r="B246" s="9" t="s">
        <v>630</v>
      </c>
      <c r="C246" s="30" t="s">
        <v>300</v>
      </c>
      <c r="D246" s="9">
        <v>4</v>
      </c>
      <c r="E246" s="77">
        <v>4</v>
      </c>
      <c r="F246" s="1"/>
      <c r="G246" s="76">
        <v>0.54166666666666663</v>
      </c>
      <c r="H246" s="76">
        <v>0.6875</v>
      </c>
      <c r="I246" s="173" t="s">
        <v>1303</v>
      </c>
      <c r="J246" s="23">
        <v>10</v>
      </c>
      <c r="K246" s="23"/>
      <c r="L246" s="68">
        <v>0.625</v>
      </c>
      <c r="M246" s="68">
        <v>0.72916666666666663</v>
      </c>
      <c r="N246" s="173" t="s">
        <v>1298</v>
      </c>
      <c r="O246" s="23">
        <v>2340</v>
      </c>
      <c r="P246" s="70">
        <v>0.54166666666666663</v>
      </c>
      <c r="Q246" s="70">
        <v>0.72916666666666663</v>
      </c>
      <c r="R246" s="229" t="s">
        <v>1243</v>
      </c>
    </row>
    <row r="247" spans="1:18" x14ac:dyDescent="0.4">
      <c r="A247" s="29" t="s">
        <v>629</v>
      </c>
      <c r="B247" s="9" t="s">
        <v>631</v>
      </c>
      <c r="C247" s="30" t="s">
        <v>347</v>
      </c>
      <c r="D247" s="9">
        <v>4</v>
      </c>
      <c r="E247" s="77">
        <v>4</v>
      </c>
      <c r="F247" s="1"/>
      <c r="G247" s="76">
        <v>0.54166666666666663</v>
      </c>
      <c r="H247" s="76">
        <v>0.61249999999999993</v>
      </c>
      <c r="I247" s="173" t="s">
        <v>1438</v>
      </c>
      <c r="J247" s="23">
        <v>6</v>
      </c>
      <c r="K247" s="23"/>
      <c r="L247" s="68">
        <v>0.54166666666666663</v>
      </c>
      <c r="M247" s="68">
        <v>0.625</v>
      </c>
      <c r="N247" s="173" t="s">
        <v>1296</v>
      </c>
      <c r="O247" s="23">
        <v>1128</v>
      </c>
      <c r="P247" s="70">
        <v>0.54166666666666663</v>
      </c>
      <c r="Q247" s="70">
        <v>0.625</v>
      </c>
      <c r="R247" s="229" t="s">
        <v>1296</v>
      </c>
    </row>
    <row r="248" spans="1:18" x14ac:dyDescent="0.4">
      <c r="A248" s="29" t="s">
        <v>629</v>
      </c>
      <c r="B248" s="9" t="s">
        <v>64</v>
      </c>
      <c r="C248" s="30" t="s">
        <v>271</v>
      </c>
      <c r="D248" s="9">
        <v>24</v>
      </c>
      <c r="E248" s="77">
        <v>5</v>
      </c>
      <c r="F248" s="1"/>
      <c r="G248" s="76">
        <v>0.29166666666666669</v>
      </c>
      <c r="H248" s="76">
        <v>0.5</v>
      </c>
      <c r="I248" s="173" t="s">
        <v>1327</v>
      </c>
      <c r="J248" s="23">
        <v>3</v>
      </c>
      <c r="K248" s="68">
        <v>1.0416666666666666E-2</v>
      </c>
      <c r="L248" s="68">
        <v>0.33333333333333331</v>
      </c>
      <c r="M248" s="68">
        <v>0.5625</v>
      </c>
      <c r="N248" s="173" t="s">
        <v>1335</v>
      </c>
      <c r="O248" s="23">
        <v>2355</v>
      </c>
      <c r="P248" s="70">
        <v>0.29166666666666669</v>
      </c>
      <c r="Q248" s="70">
        <v>0.5625</v>
      </c>
      <c r="R248" s="229" t="s">
        <v>1320</v>
      </c>
    </row>
    <row r="249" spans="1:18" x14ac:dyDescent="0.4">
      <c r="A249" s="29" t="s">
        <v>629</v>
      </c>
      <c r="B249" s="9" t="s">
        <v>63</v>
      </c>
      <c r="C249" s="30" t="s">
        <v>267</v>
      </c>
      <c r="D249" s="9">
        <v>20</v>
      </c>
      <c r="E249" s="77">
        <v>5</v>
      </c>
      <c r="F249" s="1"/>
      <c r="G249" s="76">
        <v>0.54166666666666663</v>
      </c>
      <c r="H249" s="76">
        <v>0.70833333333333337</v>
      </c>
      <c r="I249" s="173" t="s">
        <v>1244</v>
      </c>
      <c r="J249" s="23">
        <v>3</v>
      </c>
      <c r="K249" s="68">
        <v>1.0416666666666666E-2</v>
      </c>
      <c r="L249" s="68">
        <v>0.5625</v>
      </c>
      <c r="M249" s="68">
        <v>0.72916666666666663</v>
      </c>
      <c r="N249" s="173" t="s">
        <v>1259</v>
      </c>
      <c r="O249" s="23">
        <v>1965</v>
      </c>
      <c r="P249" s="70">
        <v>0.54166666666666663</v>
      </c>
      <c r="Q249" s="70">
        <v>0.72916666666666663</v>
      </c>
      <c r="R249" s="229" t="s">
        <v>1243</v>
      </c>
    </row>
    <row r="250" spans="1:18" x14ac:dyDescent="0.4">
      <c r="A250" s="29" t="s">
        <v>629</v>
      </c>
      <c r="B250" s="9" t="s">
        <v>65</v>
      </c>
      <c r="C250" s="30" t="s">
        <v>189</v>
      </c>
      <c r="D250" s="224">
        <v>72</v>
      </c>
      <c r="E250" s="77">
        <v>3</v>
      </c>
      <c r="F250" s="76">
        <v>6.25E-2</v>
      </c>
      <c r="G250" s="76">
        <v>0.29166666666666669</v>
      </c>
      <c r="H250" s="76">
        <v>0.75</v>
      </c>
      <c r="I250" s="173" t="s">
        <v>1336</v>
      </c>
      <c r="J250" s="23">
        <v>4</v>
      </c>
      <c r="K250" s="23"/>
      <c r="L250" s="68">
        <v>0.29166666666666669</v>
      </c>
      <c r="M250" s="68">
        <v>0.77083333333333337</v>
      </c>
      <c r="N250" s="173" t="s">
        <v>1369</v>
      </c>
      <c r="O250" s="23">
        <v>4590</v>
      </c>
      <c r="P250" s="70">
        <v>0.29166666666666669</v>
      </c>
      <c r="Q250" s="70">
        <v>0.77083333333333337</v>
      </c>
      <c r="R250" s="229" t="s">
        <v>1369</v>
      </c>
    </row>
    <row r="251" spans="1:18" x14ac:dyDescent="0.4">
      <c r="A251" s="29" t="s">
        <v>632</v>
      </c>
      <c r="B251" s="9" t="s">
        <v>86</v>
      </c>
      <c r="C251" s="30" t="s">
        <v>201</v>
      </c>
      <c r="D251" s="9">
        <v>40</v>
      </c>
      <c r="E251" s="77">
        <v>5</v>
      </c>
      <c r="F251" s="1"/>
      <c r="G251" s="76">
        <v>0.29166666666666669</v>
      </c>
      <c r="H251" s="76">
        <v>0.6875</v>
      </c>
      <c r="I251" s="173" t="s">
        <v>990</v>
      </c>
      <c r="J251" s="23">
        <v>5</v>
      </c>
      <c r="K251" s="23"/>
      <c r="L251" s="68">
        <v>0.3125</v>
      </c>
      <c r="M251" s="68">
        <v>0.70833333333333337</v>
      </c>
      <c r="N251" s="173" t="s">
        <v>990</v>
      </c>
      <c r="O251" s="23">
        <v>5100</v>
      </c>
      <c r="P251" s="70">
        <v>0.29166666666666669</v>
      </c>
      <c r="Q251" s="70">
        <v>0.70833333333333337</v>
      </c>
      <c r="R251" s="229" t="s">
        <v>1252</v>
      </c>
    </row>
    <row r="252" spans="1:18" x14ac:dyDescent="0.4">
      <c r="A252" s="29" t="s">
        <v>632</v>
      </c>
      <c r="B252" s="9" t="s">
        <v>93</v>
      </c>
      <c r="C252" s="30" t="s">
        <v>322</v>
      </c>
      <c r="D252" s="9">
        <v>24</v>
      </c>
      <c r="E252" s="77">
        <v>5</v>
      </c>
      <c r="F252" s="1"/>
      <c r="G252" s="76">
        <v>0.29166666666666669</v>
      </c>
      <c r="H252" s="76">
        <v>0.5</v>
      </c>
      <c r="I252" s="173" t="s">
        <v>1327</v>
      </c>
      <c r="J252" s="23">
        <v>4</v>
      </c>
      <c r="K252" s="68">
        <v>1.0416666666666666E-2</v>
      </c>
      <c r="L252" s="68">
        <v>0.33333333333333331</v>
      </c>
      <c r="M252" s="68">
        <v>0.5625</v>
      </c>
      <c r="N252" s="173" t="s">
        <v>1335</v>
      </c>
      <c r="O252" s="23">
        <v>2640</v>
      </c>
      <c r="P252" s="70">
        <v>0.29166666666666669</v>
      </c>
      <c r="Q252" s="70">
        <v>0.5625</v>
      </c>
      <c r="R252" s="229" t="s">
        <v>1320</v>
      </c>
    </row>
    <row r="253" spans="1:18" x14ac:dyDescent="0.4">
      <c r="A253" s="29" t="s">
        <v>632</v>
      </c>
      <c r="B253" s="9" t="s">
        <v>102</v>
      </c>
      <c r="C253" s="30" t="s">
        <v>308</v>
      </c>
      <c r="D253" s="9">
        <v>12</v>
      </c>
      <c r="E253" s="77">
        <v>5</v>
      </c>
      <c r="F253" s="1"/>
      <c r="G253" s="76">
        <v>0.54166666666666663</v>
      </c>
      <c r="H253" s="76">
        <v>0.66666666666666663</v>
      </c>
      <c r="I253" s="173" t="s">
        <v>1316</v>
      </c>
      <c r="J253" s="23">
        <v>4</v>
      </c>
      <c r="K253" s="68">
        <v>1.0416666666666666E-2</v>
      </c>
      <c r="L253" s="68">
        <v>0.5625</v>
      </c>
      <c r="M253" s="68">
        <v>0.6875</v>
      </c>
      <c r="N253" s="173" t="s">
        <v>1391</v>
      </c>
      <c r="O253" s="23">
        <v>1680</v>
      </c>
      <c r="P253" s="70">
        <v>0.54166666666666663</v>
      </c>
      <c r="Q253" s="70">
        <v>0.6875</v>
      </c>
      <c r="R253" s="229" t="s">
        <v>1303</v>
      </c>
    </row>
    <row r="254" spans="1:18" x14ac:dyDescent="0.4">
      <c r="A254" s="29" t="s">
        <v>632</v>
      </c>
      <c r="B254" s="9" t="s">
        <v>58</v>
      </c>
      <c r="C254" s="30" t="s">
        <v>165</v>
      </c>
      <c r="D254" s="9">
        <v>36</v>
      </c>
      <c r="E254" s="77">
        <v>3</v>
      </c>
      <c r="F254" s="76">
        <v>4.1666666666666664E-2</v>
      </c>
      <c r="G254" s="76">
        <v>0.29166666666666669</v>
      </c>
      <c r="H254" s="76">
        <v>0.60416666666666663</v>
      </c>
      <c r="I254" s="173" t="s">
        <v>1309</v>
      </c>
      <c r="J254" s="23">
        <v>6</v>
      </c>
      <c r="K254" s="23"/>
      <c r="L254" s="68">
        <v>0.29166666666666669</v>
      </c>
      <c r="M254" s="68">
        <v>0.66666666666666663</v>
      </c>
      <c r="N254" s="173" t="s">
        <v>1292</v>
      </c>
      <c r="O254" s="23">
        <v>4230</v>
      </c>
      <c r="P254" s="70">
        <v>0.29166666666666669</v>
      </c>
      <c r="Q254" s="70">
        <v>0.66666666666666663</v>
      </c>
      <c r="R254" s="229" t="s">
        <v>1292</v>
      </c>
    </row>
    <row r="255" spans="1:18" x14ac:dyDescent="0.4">
      <c r="A255" s="29" t="s">
        <v>633</v>
      </c>
      <c r="B255" s="9" t="s">
        <v>71</v>
      </c>
      <c r="C255" s="30" t="s">
        <v>176</v>
      </c>
      <c r="D255" s="9">
        <v>72</v>
      </c>
      <c r="E255" s="77">
        <v>6</v>
      </c>
      <c r="F255" s="1"/>
      <c r="G255" s="76">
        <v>0.29166666666666669</v>
      </c>
      <c r="H255" s="76">
        <v>0.66666666666666663</v>
      </c>
      <c r="I255" s="173" t="s">
        <v>1292</v>
      </c>
      <c r="J255" s="23">
        <v>5</v>
      </c>
      <c r="K255" s="23"/>
      <c r="L255" s="68">
        <v>0.3125</v>
      </c>
      <c r="M255" s="68">
        <v>0.70833333333333337</v>
      </c>
      <c r="N255" s="173" t="s">
        <v>990</v>
      </c>
      <c r="O255" s="23">
        <v>5430</v>
      </c>
      <c r="P255" s="70">
        <v>0.29166666666666669</v>
      </c>
      <c r="Q255" s="70">
        <v>0.70833333333333337</v>
      </c>
      <c r="R255" s="229" t="s">
        <v>1252</v>
      </c>
    </row>
    <row r="256" spans="1:18" x14ac:dyDescent="0.4">
      <c r="A256" s="29" t="s">
        <v>633</v>
      </c>
      <c r="B256" s="9" t="s">
        <v>63</v>
      </c>
      <c r="C256" s="30" t="s">
        <v>267</v>
      </c>
      <c r="D256" s="9">
        <v>20</v>
      </c>
      <c r="E256" s="77">
        <v>5</v>
      </c>
      <c r="F256" s="76"/>
      <c r="G256" s="76">
        <v>0.44930555555555557</v>
      </c>
      <c r="H256" s="76">
        <v>0.6875</v>
      </c>
      <c r="I256" s="173" t="s">
        <v>1439</v>
      </c>
      <c r="J256" s="77">
        <v>4</v>
      </c>
      <c r="K256" s="76">
        <v>6.9444444444444441E-3</v>
      </c>
      <c r="L256" s="76">
        <v>0.47916666666666669</v>
      </c>
      <c r="M256" s="76">
        <v>0.6875</v>
      </c>
      <c r="N256" s="173" t="s">
        <v>1311</v>
      </c>
      <c r="O256" s="23">
        <v>2415</v>
      </c>
      <c r="P256" s="70">
        <v>0.44930555555555557</v>
      </c>
      <c r="Q256" s="70">
        <v>0.6875</v>
      </c>
      <c r="R256" s="229" t="s">
        <v>1439</v>
      </c>
    </row>
    <row r="257" spans="1:18" x14ac:dyDescent="0.4">
      <c r="A257" s="29" t="s">
        <v>633</v>
      </c>
      <c r="B257" s="9" t="s">
        <v>109</v>
      </c>
      <c r="C257" s="30" t="s">
        <v>263</v>
      </c>
      <c r="D257" s="9">
        <v>12</v>
      </c>
      <c r="E257" s="77">
        <v>5</v>
      </c>
      <c r="F257" s="76"/>
      <c r="G257" s="76">
        <v>0.36527777777777781</v>
      </c>
      <c r="H257" s="76">
        <v>0.44930555555555557</v>
      </c>
      <c r="I257" s="173" t="s">
        <v>1440</v>
      </c>
      <c r="J257" s="77">
        <v>4</v>
      </c>
      <c r="K257" s="76">
        <v>6.9444444444444441E-3</v>
      </c>
      <c r="L257" s="76">
        <v>0.375</v>
      </c>
      <c r="M257" s="76">
        <v>0.47916666666666669</v>
      </c>
      <c r="N257" s="173" t="s">
        <v>1325</v>
      </c>
      <c r="O257" s="23">
        <v>1245</v>
      </c>
      <c r="P257" s="70">
        <v>0.36527777777777781</v>
      </c>
      <c r="Q257" s="70">
        <v>0.47916666666666669</v>
      </c>
      <c r="R257" s="229" t="s">
        <v>1441</v>
      </c>
    </row>
    <row r="258" spans="1:18" x14ac:dyDescent="0.4">
      <c r="A258" s="29" t="s">
        <v>633</v>
      </c>
      <c r="B258" s="9" t="s">
        <v>571</v>
      </c>
      <c r="C258" s="30" t="s">
        <v>237</v>
      </c>
      <c r="D258" s="9">
        <v>8</v>
      </c>
      <c r="E258" s="77">
        <v>5</v>
      </c>
      <c r="F258" s="76"/>
      <c r="G258" s="76">
        <v>0.29166666666666669</v>
      </c>
      <c r="H258" s="76">
        <v>0.36527777777777781</v>
      </c>
      <c r="I258" s="173" t="s">
        <v>1413</v>
      </c>
      <c r="J258" s="77">
        <v>4</v>
      </c>
      <c r="K258" s="76">
        <v>6.9444444444444441E-3</v>
      </c>
      <c r="L258" s="76">
        <v>0.33333333333333331</v>
      </c>
      <c r="M258" s="76">
        <v>0.375</v>
      </c>
      <c r="N258" s="173" t="s">
        <v>1442</v>
      </c>
      <c r="O258" s="23">
        <v>810</v>
      </c>
      <c r="P258" s="70">
        <v>0.29166666666666669</v>
      </c>
      <c r="Q258" s="70">
        <v>0.375</v>
      </c>
      <c r="R258" s="229" t="s">
        <v>1296</v>
      </c>
    </row>
    <row r="259" spans="1:18" x14ac:dyDescent="0.4">
      <c r="A259" s="29" t="s">
        <v>633</v>
      </c>
      <c r="B259" s="9" t="s">
        <v>73</v>
      </c>
      <c r="C259" s="30" t="s">
        <v>231</v>
      </c>
      <c r="D259" s="9">
        <v>21</v>
      </c>
      <c r="E259" s="77">
        <v>3</v>
      </c>
      <c r="F259" s="76">
        <v>2.0833333333333332E-2</v>
      </c>
      <c r="G259" s="76">
        <v>0.29166666666666669</v>
      </c>
      <c r="H259" s="76">
        <v>0.70833333333333337</v>
      </c>
      <c r="I259" s="173" t="s">
        <v>1247</v>
      </c>
      <c r="J259" s="23">
        <v>6</v>
      </c>
      <c r="K259" s="23"/>
      <c r="L259" s="68">
        <v>0.29166666666666669</v>
      </c>
      <c r="M259" s="68">
        <v>0.70833333333333337</v>
      </c>
      <c r="N259" s="173" t="s">
        <v>1252</v>
      </c>
      <c r="O259" s="23">
        <v>4950</v>
      </c>
      <c r="P259" s="70">
        <v>0.29166666666666669</v>
      </c>
      <c r="Q259" s="70">
        <v>0.70833333333333337</v>
      </c>
      <c r="R259" s="229" t="s">
        <v>1252</v>
      </c>
    </row>
    <row r="260" spans="1:18" x14ac:dyDescent="0.4">
      <c r="A260" s="29" t="s">
        <v>634</v>
      </c>
      <c r="B260" s="9" t="s">
        <v>91</v>
      </c>
      <c r="C260" s="30" t="s">
        <v>163</v>
      </c>
      <c r="D260" s="9">
        <v>16</v>
      </c>
      <c r="E260" s="77">
        <v>4</v>
      </c>
      <c r="F260" s="1"/>
      <c r="G260" s="76">
        <v>0.29166666666666669</v>
      </c>
      <c r="H260" s="76">
        <v>0.5</v>
      </c>
      <c r="I260" s="173" t="s">
        <v>1327</v>
      </c>
      <c r="J260" s="23">
        <v>9</v>
      </c>
      <c r="K260" s="68">
        <v>5.5555555555555558E-3</v>
      </c>
      <c r="L260" s="68">
        <v>0.33333333333333331</v>
      </c>
      <c r="M260" s="68">
        <v>0.5625</v>
      </c>
      <c r="N260" s="173" t="s">
        <v>1362</v>
      </c>
      <c r="O260" s="23">
        <v>3702</v>
      </c>
      <c r="P260" s="70">
        <v>0.29166666666666669</v>
      </c>
      <c r="Q260" s="70">
        <v>0.5625</v>
      </c>
      <c r="R260" s="229" t="s">
        <v>1320</v>
      </c>
    </row>
    <row r="261" spans="1:18" x14ac:dyDescent="0.4">
      <c r="A261" s="29" t="s">
        <v>634</v>
      </c>
      <c r="B261" s="9" t="s">
        <v>158</v>
      </c>
      <c r="C261" s="30" t="s">
        <v>159</v>
      </c>
      <c r="D261" s="9">
        <v>8</v>
      </c>
      <c r="E261" s="77">
        <v>4</v>
      </c>
      <c r="F261" s="1"/>
      <c r="G261" s="76">
        <v>0.54166666666666663</v>
      </c>
      <c r="H261" s="76">
        <v>0.64583333333333337</v>
      </c>
      <c r="I261" s="173" t="s">
        <v>1298</v>
      </c>
      <c r="J261" s="23">
        <v>9</v>
      </c>
      <c r="K261" s="68">
        <v>5.5555555555555558E-3</v>
      </c>
      <c r="L261" s="68">
        <v>0.5625</v>
      </c>
      <c r="M261" s="68">
        <v>0.65972222222222221</v>
      </c>
      <c r="N261" s="173" t="s">
        <v>1424</v>
      </c>
      <c r="O261" s="23">
        <v>1932</v>
      </c>
      <c r="P261" s="70">
        <v>0.54166666666666663</v>
      </c>
      <c r="Q261" s="70">
        <v>0.65972222222222221</v>
      </c>
      <c r="R261" s="229" t="s">
        <v>1314</v>
      </c>
    </row>
    <row r="262" spans="1:18" x14ac:dyDescent="0.4">
      <c r="A262" s="29" t="s">
        <v>634</v>
      </c>
      <c r="B262" s="9" t="s">
        <v>636</v>
      </c>
      <c r="C262" s="30" t="e">
        <v>#N/A</v>
      </c>
      <c r="D262" s="9">
        <v>4.3055555555555555E-3</v>
      </c>
      <c r="E262" s="77">
        <v>4</v>
      </c>
      <c r="F262" s="1"/>
      <c r="G262" s="76">
        <v>0.64583333333333337</v>
      </c>
      <c r="H262" s="76">
        <v>0.6875</v>
      </c>
      <c r="I262" s="173" t="s">
        <v>1322</v>
      </c>
      <c r="J262" s="23">
        <v>9</v>
      </c>
      <c r="K262" s="68">
        <v>5.5555555555555558E-3</v>
      </c>
      <c r="L262" s="68">
        <v>0.65972222222222221</v>
      </c>
      <c r="M262" s="68">
        <v>0.69444444444444453</v>
      </c>
      <c r="N262" s="173" t="s">
        <v>1443</v>
      </c>
      <c r="O262" s="23">
        <v>762</v>
      </c>
      <c r="P262" s="70">
        <v>0.64583333333333337</v>
      </c>
      <c r="Q262" s="70">
        <v>0.69444444444444453</v>
      </c>
      <c r="R262" s="229" t="s">
        <v>1442</v>
      </c>
    </row>
    <row r="263" spans="1:18" x14ac:dyDescent="0.4">
      <c r="A263" s="29" t="s">
        <v>634</v>
      </c>
      <c r="B263" s="9" t="s">
        <v>636</v>
      </c>
      <c r="C263" s="30" t="e">
        <v>#N/A</v>
      </c>
      <c r="D263" s="9">
        <v>4.5833333333333334E-3</v>
      </c>
      <c r="E263" s="77">
        <v>4</v>
      </c>
      <c r="F263" s="1"/>
      <c r="G263" s="76">
        <v>0.6875</v>
      </c>
      <c r="H263" s="76">
        <v>0.70833333333333337</v>
      </c>
      <c r="I263" s="173" t="s">
        <v>1444</v>
      </c>
      <c r="J263" s="23">
        <v>9</v>
      </c>
      <c r="K263" s="68">
        <v>5.5555555555555558E-3</v>
      </c>
      <c r="L263" s="68">
        <v>0.69444444444444453</v>
      </c>
      <c r="M263" s="68">
        <v>0.75</v>
      </c>
      <c r="N263" s="173" t="s">
        <v>1410</v>
      </c>
      <c r="O263" s="23">
        <v>912</v>
      </c>
      <c r="P263" s="70">
        <v>0.6875</v>
      </c>
      <c r="Q263" s="70">
        <v>0.75</v>
      </c>
      <c r="R263" s="229" t="s">
        <v>1375</v>
      </c>
    </row>
    <row r="264" spans="1:18" x14ac:dyDescent="0.4">
      <c r="A264" s="29" t="s">
        <v>634</v>
      </c>
      <c r="B264" s="9" t="s">
        <v>63</v>
      </c>
      <c r="C264" s="30" t="s">
        <v>267</v>
      </c>
      <c r="D264" s="9">
        <v>24</v>
      </c>
      <c r="E264" s="77">
        <v>5</v>
      </c>
      <c r="F264" s="1"/>
      <c r="G264" s="76">
        <v>0.3659722222222222</v>
      </c>
      <c r="H264" s="76">
        <v>0.60416666666666663</v>
      </c>
      <c r="I264" s="173" t="s">
        <v>1439</v>
      </c>
      <c r="J264" s="23">
        <v>3</v>
      </c>
      <c r="K264" s="68">
        <v>6.9444444444444441E-3</v>
      </c>
      <c r="L264" s="68">
        <v>0.39583333333333331</v>
      </c>
      <c r="M264" s="68">
        <v>0.63194444444444442</v>
      </c>
      <c r="N264" s="173" t="s">
        <v>1258</v>
      </c>
      <c r="O264" s="23">
        <v>2285</v>
      </c>
      <c r="P264" s="70">
        <v>0.3659722222222222</v>
      </c>
      <c r="Q264" s="70">
        <v>0.63194444444444442</v>
      </c>
      <c r="R264" s="229" t="s">
        <v>1445</v>
      </c>
    </row>
    <row r="265" spans="1:18" x14ac:dyDescent="0.4">
      <c r="A265" s="29" t="s">
        <v>634</v>
      </c>
      <c r="B265" s="9" t="s">
        <v>639</v>
      </c>
      <c r="C265" s="30" t="s">
        <v>338</v>
      </c>
      <c r="D265" s="9">
        <v>8</v>
      </c>
      <c r="E265" s="77">
        <v>5</v>
      </c>
      <c r="F265" s="1"/>
      <c r="G265" s="76">
        <v>0.60416666666666663</v>
      </c>
      <c r="H265" s="76">
        <v>0.66666666666666663</v>
      </c>
      <c r="I265" s="173" t="s">
        <v>1375</v>
      </c>
      <c r="J265" s="23">
        <v>3</v>
      </c>
      <c r="K265" s="68">
        <v>6.9444444444444441E-3</v>
      </c>
      <c r="L265" s="68">
        <v>0.63194444444444442</v>
      </c>
      <c r="M265" s="68">
        <v>0.70833333333333337</v>
      </c>
      <c r="N265" s="173" t="s">
        <v>1296</v>
      </c>
      <c r="O265" s="23">
        <v>810</v>
      </c>
      <c r="P265" s="70">
        <v>0.60416666666666663</v>
      </c>
      <c r="Q265" s="70">
        <v>0.70833333333333337</v>
      </c>
      <c r="R265" s="229" t="s">
        <v>1298</v>
      </c>
    </row>
    <row r="266" spans="1:18" x14ac:dyDescent="0.4">
      <c r="A266" s="29" t="s">
        <v>634</v>
      </c>
      <c r="B266" s="9" t="s">
        <v>128</v>
      </c>
      <c r="C266" s="30" t="s">
        <v>312</v>
      </c>
      <c r="D266" s="9">
        <v>8</v>
      </c>
      <c r="E266" s="77">
        <v>5</v>
      </c>
      <c r="F266" s="1"/>
      <c r="G266" s="76">
        <v>0.29166666666666669</v>
      </c>
      <c r="H266" s="76">
        <v>0.3659722222222222</v>
      </c>
      <c r="I266" s="173" t="s">
        <v>1446</v>
      </c>
      <c r="J266" s="23">
        <v>3</v>
      </c>
      <c r="K266" s="68">
        <v>6.9444444444444441E-3</v>
      </c>
      <c r="L266" s="68">
        <v>0.33333333333333331</v>
      </c>
      <c r="M266" s="68">
        <v>0.39583333333333331</v>
      </c>
      <c r="N266" s="173" t="s">
        <v>1386</v>
      </c>
      <c r="O266" s="23">
        <v>835</v>
      </c>
      <c r="P266" s="70">
        <v>0.29166666666666669</v>
      </c>
      <c r="Q266" s="70">
        <v>0.39583333333333331</v>
      </c>
      <c r="R266" s="229" t="s">
        <v>1298</v>
      </c>
    </row>
    <row r="267" spans="1:18" x14ac:dyDescent="0.4">
      <c r="A267" s="29" t="s">
        <v>634</v>
      </c>
      <c r="B267" s="9" t="s">
        <v>104</v>
      </c>
      <c r="C267" s="30" t="s">
        <v>191</v>
      </c>
      <c r="D267" s="9">
        <v>72</v>
      </c>
      <c r="E267" s="77">
        <v>3</v>
      </c>
      <c r="F267" s="76">
        <v>0.10416666666666667</v>
      </c>
      <c r="G267" s="76">
        <v>0.29166666666666669</v>
      </c>
      <c r="H267" s="76">
        <v>0.72916666666666663</v>
      </c>
      <c r="I267" s="173" t="s">
        <v>1317</v>
      </c>
      <c r="J267" s="23">
        <v>4</v>
      </c>
      <c r="K267" s="23"/>
      <c r="L267" s="68">
        <v>0.29166666666666669</v>
      </c>
      <c r="M267" s="68">
        <v>0.72916666666666663</v>
      </c>
      <c r="N267" s="173" t="s">
        <v>1247</v>
      </c>
      <c r="O267" s="23">
        <v>4440</v>
      </c>
      <c r="P267" s="70">
        <v>0.29166666666666669</v>
      </c>
      <c r="Q267" s="70">
        <v>0.72916666666666663</v>
      </c>
      <c r="R267" s="229" t="s">
        <v>1247</v>
      </c>
    </row>
    <row r="268" spans="1:18" x14ac:dyDescent="0.4">
      <c r="A268" s="29" t="s">
        <v>662</v>
      </c>
      <c r="B268" s="9" t="s">
        <v>71</v>
      </c>
      <c r="C268" s="30" t="s">
        <v>176</v>
      </c>
      <c r="D268" s="9">
        <v>72</v>
      </c>
      <c r="E268" s="77">
        <v>6</v>
      </c>
      <c r="F268" s="1"/>
      <c r="G268" s="76">
        <v>0.29166666666666669</v>
      </c>
      <c r="H268" s="76">
        <v>0.66666666666666663</v>
      </c>
      <c r="I268" s="173" t="s">
        <v>1292</v>
      </c>
      <c r="J268" s="23">
        <v>5</v>
      </c>
      <c r="K268" s="23"/>
      <c r="L268" s="68">
        <v>0.3125</v>
      </c>
      <c r="M268" s="68">
        <v>0.70833333333333337</v>
      </c>
      <c r="N268" s="173" t="s">
        <v>990</v>
      </c>
      <c r="O268" s="23">
        <v>5430</v>
      </c>
      <c r="P268" s="70">
        <v>0.29166666666666669</v>
      </c>
      <c r="Q268" s="70">
        <v>0.70833333333333337</v>
      </c>
      <c r="R268" s="229" t="s">
        <v>1252</v>
      </c>
    </row>
    <row r="269" spans="1:18" x14ac:dyDescent="0.4">
      <c r="A269" s="29" t="s">
        <v>662</v>
      </c>
      <c r="B269" s="9" t="s">
        <v>646</v>
      </c>
      <c r="C269" s="30" t="s">
        <v>310</v>
      </c>
      <c r="D269" s="9">
        <v>3</v>
      </c>
      <c r="E269" s="77">
        <v>5</v>
      </c>
      <c r="F269" s="1"/>
      <c r="G269" s="76">
        <v>0.3888888888888889</v>
      </c>
      <c r="H269" s="76">
        <v>0.42708333333333331</v>
      </c>
      <c r="I269" s="173" t="s">
        <v>1447</v>
      </c>
      <c r="J269" s="23">
        <v>4</v>
      </c>
      <c r="K269" s="68">
        <v>5.5555555555555558E-3</v>
      </c>
      <c r="L269" s="68">
        <v>0.41666666666666669</v>
      </c>
      <c r="M269" s="68">
        <v>0.45833333333333331</v>
      </c>
      <c r="N269" s="173" t="s">
        <v>1448</v>
      </c>
      <c r="O269" s="23">
        <v>547</v>
      </c>
      <c r="P269" s="70">
        <v>0.3888888888888889</v>
      </c>
      <c r="Q269" s="70">
        <v>0.45833333333333331</v>
      </c>
      <c r="R269" s="229" t="s">
        <v>1386</v>
      </c>
    </row>
    <row r="270" spans="1:18" x14ac:dyDescent="0.4">
      <c r="A270" s="29" t="s">
        <v>662</v>
      </c>
      <c r="B270" s="9" t="s">
        <v>548</v>
      </c>
      <c r="C270" s="30" t="s">
        <v>218</v>
      </c>
      <c r="D270" s="9">
        <v>8</v>
      </c>
      <c r="E270" s="77">
        <v>5</v>
      </c>
      <c r="F270" s="1"/>
      <c r="G270" s="76">
        <v>0.29166666666666669</v>
      </c>
      <c r="H270" s="76">
        <v>0.3888888888888889</v>
      </c>
      <c r="I270" s="173" t="s">
        <v>1313</v>
      </c>
      <c r="J270" s="23">
        <v>4</v>
      </c>
      <c r="K270" s="68">
        <v>5.5555555555555558E-3</v>
      </c>
      <c r="L270" s="68">
        <v>0.33333333333333331</v>
      </c>
      <c r="M270" s="68">
        <v>0.41666666666666669</v>
      </c>
      <c r="N270" s="173" t="s">
        <v>1343</v>
      </c>
      <c r="O270" s="23">
        <v>1212</v>
      </c>
      <c r="P270" s="70">
        <v>0.29166666666666669</v>
      </c>
      <c r="Q270" s="70">
        <v>0.41666666666666669</v>
      </c>
      <c r="R270" s="229" t="s">
        <v>1316</v>
      </c>
    </row>
    <row r="271" spans="1:18" x14ac:dyDescent="0.4">
      <c r="A271" s="29" t="s">
        <v>662</v>
      </c>
      <c r="B271" s="9" t="s">
        <v>63</v>
      </c>
      <c r="C271" s="30" t="s">
        <v>267</v>
      </c>
      <c r="D271" s="9">
        <v>16</v>
      </c>
      <c r="E271" s="77">
        <v>5</v>
      </c>
      <c r="F271" s="1"/>
      <c r="G271" s="76">
        <v>0.5708333333333333</v>
      </c>
      <c r="H271" s="76">
        <v>0.75</v>
      </c>
      <c r="I271" s="173" t="s">
        <v>1449</v>
      </c>
      <c r="J271" s="23">
        <v>4</v>
      </c>
      <c r="K271" s="68">
        <v>5.5555555555555558E-3</v>
      </c>
      <c r="L271" s="68">
        <v>0.45833333333333331</v>
      </c>
      <c r="M271" s="68">
        <v>0.60416666666666663</v>
      </c>
      <c r="N271" s="173" t="s">
        <v>1450</v>
      </c>
      <c r="O271" s="23">
        <v>1922</v>
      </c>
      <c r="P271" s="70">
        <v>0.45833333333333331</v>
      </c>
      <c r="Q271" s="70">
        <v>0.75</v>
      </c>
      <c r="R271" s="229" t="s">
        <v>1321</v>
      </c>
    </row>
    <row r="272" spans="1:18" x14ac:dyDescent="0.4">
      <c r="A272" s="29" t="s">
        <v>662</v>
      </c>
      <c r="B272" s="9" t="s">
        <v>470</v>
      </c>
      <c r="C272" s="30" t="s">
        <v>210</v>
      </c>
      <c r="D272" s="9">
        <v>8</v>
      </c>
      <c r="E272" s="77">
        <v>5</v>
      </c>
      <c r="F272" s="1"/>
      <c r="G272" s="76">
        <v>0.42708333333333331</v>
      </c>
      <c r="H272" s="76">
        <v>0.5708333333333333</v>
      </c>
      <c r="I272" s="173" t="s">
        <v>1451</v>
      </c>
      <c r="J272" s="23">
        <v>4</v>
      </c>
      <c r="K272" s="68">
        <v>5.5555555555555558E-3</v>
      </c>
      <c r="L272" s="68">
        <v>0.60416666666666663</v>
      </c>
      <c r="M272" s="68">
        <v>0.77083333333333337</v>
      </c>
      <c r="N272" s="173" t="s">
        <v>1433</v>
      </c>
      <c r="O272" s="23">
        <v>1727</v>
      </c>
      <c r="P272" s="70">
        <v>0.42708333333333331</v>
      </c>
      <c r="Q272" s="70">
        <v>0.77083333333333337</v>
      </c>
      <c r="R272" s="229" t="s">
        <v>1245</v>
      </c>
    </row>
    <row r="273" spans="1:18" x14ac:dyDescent="0.4">
      <c r="A273" s="29" t="s">
        <v>662</v>
      </c>
      <c r="B273" s="9" t="s">
        <v>97</v>
      </c>
      <c r="C273" s="30" t="s">
        <v>274</v>
      </c>
      <c r="D273" s="9">
        <v>24</v>
      </c>
      <c r="E273" s="77">
        <v>3</v>
      </c>
      <c r="F273" s="76">
        <v>2.0833333333333332E-2</v>
      </c>
      <c r="G273" s="76">
        <v>0.44444444444444442</v>
      </c>
      <c r="H273" s="76">
        <v>0.72916666666666663</v>
      </c>
      <c r="I273" s="173" t="s">
        <v>1353</v>
      </c>
      <c r="J273" s="23">
        <v>4</v>
      </c>
      <c r="K273" s="68"/>
      <c r="L273" s="68">
        <v>0.4861111111111111</v>
      </c>
      <c r="M273" s="68">
        <v>0.77083333333333337</v>
      </c>
      <c r="N273" s="173" t="s">
        <v>1415</v>
      </c>
      <c r="O273" s="23">
        <v>2540</v>
      </c>
      <c r="P273" s="70">
        <v>0.44444444444444442</v>
      </c>
      <c r="Q273" s="70">
        <v>0.77083333333333337</v>
      </c>
      <c r="R273" s="229" t="s">
        <v>1337</v>
      </c>
    </row>
    <row r="274" spans="1:18" x14ac:dyDescent="0.4">
      <c r="A274" s="29" t="s">
        <v>662</v>
      </c>
      <c r="B274" s="9" t="s">
        <v>131</v>
      </c>
      <c r="C274" s="30" t="s">
        <v>274</v>
      </c>
      <c r="D274" s="9">
        <v>40</v>
      </c>
      <c r="E274" s="77">
        <v>3</v>
      </c>
      <c r="F274" s="76">
        <v>4.1666666666666664E-2</v>
      </c>
      <c r="G274" s="76">
        <v>0.29166666666666669</v>
      </c>
      <c r="H274" s="76">
        <v>0.44444444444444442</v>
      </c>
      <c r="I274" s="173" t="s">
        <v>1255</v>
      </c>
      <c r="J274" s="23">
        <v>4</v>
      </c>
      <c r="K274" s="68">
        <v>2.0833333333333332E-2</v>
      </c>
      <c r="L274" s="68">
        <v>0.33333333333333331</v>
      </c>
      <c r="M274" s="68">
        <v>0.4861111111111111</v>
      </c>
      <c r="N274" s="173" t="s">
        <v>1311</v>
      </c>
      <c r="O274" s="23">
        <v>1840</v>
      </c>
      <c r="P274" s="70">
        <v>0.29166666666666669</v>
      </c>
      <c r="Q274" s="70">
        <v>0.4861111111111111</v>
      </c>
      <c r="R274" s="229" t="s">
        <v>1255</v>
      </c>
    </row>
    <row r="275" spans="1:18" x14ac:dyDescent="0.4">
      <c r="A275" s="101" t="s">
        <v>662</v>
      </c>
      <c r="B275" s="102" t="s">
        <v>636</v>
      </c>
      <c r="C275" s="390" t="e">
        <v>#N/A</v>
      </c>
      <c r="D275" s="102">
        <v>100</v>
      </c>
      <c r="E275" s="103"/>
      <c r="F275" s="104"/>
      <c r="G275" s="104"/>
      <c r="H275" s="104"/>
      <c r="I275" s="225" t="s">
        <v>1002</v>
      </c>
      <c r="J275" s="105"/>
      <c r="K275" s="105"/>
      <c r="L275" s="106"/>
      <c r="M275" s="106"/>
      <c r="N275" s="225" t="s">
        <v>1002</v>
      </c>
      <c r="O275" s="105">
        <v>0</v>
      </c>
      <c r="P275" s="70">
        <v>0</v>
      </c>
      <c r="Q275" s="70">
        <v>0</v>
      </c>
      <c r="R275" s="232" t="s">
        <v>1002</v>
      </c>
    </row>
    <row r="276" spans="1:18" x14ac:dyDescent="0.4">
      <c r="A276" s="101" t="s">
        <v>662</v>
      </c>
      <c r="B276" s="102" t="s">
        <v>636</v>
      </c>
      <c r="C276" s="390" t="e">
        <v>#N/A</v>
      </c>
      <c r="D276" s="102">
        <v>300</v>
      </c>
      <c r="E276" s="103"/>
      <c r="F276" s="104"/>
      <c r="G276" s="104"/>
      <c r="H276" s="104"/>
      <c r="I276" s="225" t="s">
        <v>1002</v>
      </c>
      <c r="J276" s="105"/>
      <c r="K276" s="105"/>
      <c r="L276" s="106"/>
      <c r="M276" s="106"/>
      <c r="N276" s="225" t="s">
        <v>1002</v>
      </c>
      <c r="O276" s="105">
        <v>0</v>
      </c>
      <c r="P276" s="70">
        <v>0</v>
      </c>
      <c r="Q276" s="70">
        <v>0</v>
      </c>
      <c r="R276" s="232" t="s">
        <v>1002</v>
      </c>
    </row>
    <row r="277" spans="1:18" x14ac:dyDescent="0.4">
      <c r="A277" s="29" t="s">
        <v>663</v>
      </c>
      <c r="B277" s="9" t="s">
        <v>81</v>
      </c>
      <c r="C277" s="30" t="s">
        <v>235</v>
      </c>
      <c r="D277" s="9">
        <v>32</v>
      </c>
      <c r="E277" s="77">
        <v>5</v>
      </c>
      <c r="F277" s="1"/>
      <c r="G277" s="76">
        <v>0.36527777777777781</v>
      </c>
      <c r="H277" s="76">
        <v>0.70833333333333337</v>
      </c>
      <c r="I277" s="173" t="s">
        <v>1452</v>
      </c>
      <c r="J277" s="23">
        <v>3</v>
      </c>
      <c r="K277" s="68">
        <v>1.0416666666666666E-2</v>
      </c>
      <c r="L277" s="68">
        <v>0.375</v>
      </c>
      <c r="M277" s="68">
        <v>0.72916666666666663</v>
      </c>
      <c r="N277" s="173" t="s">
        <v>1453</v>
      </c>
      <c r="O277" s="23">
        <v>3565</v>
      </c>
      <c r="P277" s="70">
        <v>0.36527777777777781</v>
      </c>
      <c r="Q277" s="70">
        <v>0.72916666666666663</v>
      </c>
      <c r="R277" s="229" t="s">
        <v>1454</v>
      </c>
    </row>
    <row r="278" spans="1:18" x14ac:dyDescent="0.4">
      <c r="A278" s="29" t="s">
        <v>663</v>
      </c>
      <c r="B278" s="9" t="s">
        <v>451</v>
      </c>
      <c r="C278" s="30" t="s">
        <v>255</v>
      </c>
      <c r="D278" s="9">
        <v>6</v>
      </c>
      <c r="E278" s="77">
        <v>5</v>
      </c>
      <c r="F278" s="1"/>
      <c r="G278" s="76">
        <v>0.29166666666666669</v>
      </c>
      <c r="H278" s="76">
        <v>0.36527777777777781</v>
      </c>
      <c r="I278" s="173" t="s">
        <v>1413</v>
      </c>
      <c r="J278" s="23">
        <v>3</v>
      </c>
      <c r="K278" s="68">
        <v>1.0416666666666666E-2</v>
      </c>
      <c r="L278" s="68">
        <v>0.33333333333333331</v>
      </c>
      <c r="M278" s="68">
        <v>0.375</v>
      </c>
      <c r="N278" s="173" t="s">
        <v>1323</v>
      </c>
      <c r="O278" s="23">
        <v>755</v>
      </c>
      <c r="P278" s="70">
        <v>0.29166666666666669</v>
      </c>
      <c r="Q278" s="70">
        <v>0.375</v>
      </c>
      <c r="R278" s="229" t="s">
        <v>1296</v>
      </c>
    </row>
    <row r="279" spans="1:18" x14ac:dyDescent="0.4">
      <c r="A279" s="29" t="s">
        <v>663</v>
      </c>
      <c r="B279" s="9" t="s">
        <v>110</v>
      </c>
      <c r="C279" s="30" t="s">
        <v>231</v>
      </c>
      <c r="D279" s="9">
        <v>21</v>
      </c>
      <c r="E279" s="77">
        <v>4</v>
      </c>
      <c r="F279" s="1"/>
      <c r="G279" s="76">
        <v>0.29166666666666669</v>
      </c>
      <c r="H279" s="76">
        <v>0.70833333333333337</v>
      </c>
      <c r="I279" s="173" t="s">
        <v>1252</v>
      </c>
      <c r="J279" s="23">
        <v>6</v>
      </c>
      <c r="K279" s="23"/>
      <c r="L279" s="68">
        <v>0.3888888888888889</v>
      </c>
      <c r="M279" s="68">
        <v>0.70833333333333337</v>
      </c>
      <c r="N279" s="173" t="s">
        <v>1328</v>
      </c>
      <c r="O279" s="23">
        <v>4560</v>
      </c>
      <c r="P279" s="70">
        <v>0.29166666666666669</v>
      </c>
      <c r="Q279" s="70">
        <v>0.70833333333333337</v>
      </c>
      <c r="R279" s="229" t="s">
        <v>1252</v>
      </c>
    </row>
    <row r="280" spans="1:18" x14ac:dyDescent="0.4">
      <c r="A280" s="29" t="s">
        <v>663</v>
      </c>
      <c r="B280" s="9" t="s">
        <v>96</v>
      </c>
      <c r="C280" s="30" t="s">
        <v>167</v>
      </c>
      <c r="D280" s="9">
        <v>28</v>
      </c>
      <c r="E280" s="77">
        <v>3</v>
      </c>
      <c r="F280" s="76">
        <v>4.1666666666666664E-2</v>
      </c>
      <c r="G280" s="76">
        <v>0.3923611111111111</v>
      </c>
      <c r="H280" s="76">
        <v>0.70833333333333337</v>
      </c>
      <c r="I280" s="173" t="s">
        <v>1455</v>
      </c>
      <c r="J280" s="23">
        <v>6</v>
      </c>
      <c r="K280" s="23"/>
      <c r="L280" s="68">
        <v>0.44444444444444442</v>
      </c>
      <c r="M280" s="68">
        <v>0.75</v>
      </c>
      <c r="N280" s="173" t="s">
        <v>1353</v>
      </c>
      <c r="O280" s="23">
        <v>3645</v>
      </c>
      <c r="P280" s="70">
        <v>0.3923611111111111</v>
      </c>
      <c r="Q280" s="70">
        <v>0.75</v>
      </c>
      <c r="R280" s="229" t="s">
        <v>1455</v>
      </c>
    </row>
    <row r="281" spans="1:18" x14ac:dyDescent="0.4">
      <c r="A281" s="29" t="s">
        <v>663</v>
      </c>
      <c r="B281" s="9" t="s">
        <v>640</v>
      </c>
      <c r="C281" s="30" t="s">
        <v>280</v>
      </c>
      <c r="D281" s="9">
        <v>8</v>
      </c>
      <c r="E281" s="77">
        <v>3</v>
      </c>
      <c r="F281" s="76">
        <v>4.1666666666666664E-2</v>
      </c>
      <c r="G281" s="76">
        <v>0.29166666666666669</v>
      </c>
      <c r="H281" s="76">
        <v>0.3923611111111111</v>
      </c>
      <c r="I281" s="173" t="s">
        <v>1299</v>
      </c>
      <c r="J281" s="23">
        <v>7</v>
      </c>
      <c r="K281" s="68">
        <v>4.1666666666666664E-2</v>
      </c>
      <c r="L281" s="68">
        <v>0.33333333333333331</v>
      </c>
      <c r="M281" s="68">
        <v>0.44444444444444442</v>
      </c>
      <c r="N281" s="173" t="s">
        <v>1254</v>
      </c>
      <c r="O281" s="23">
        <v>2155</v>
      </c>
      <c r="P281" s="70">
        <v>0.29166666666666669</v>
      </c>
      <c r="Q281" s="70">
        <v>0.44444444444444442</v>
      </c>
      <c r="R281" s="229" t="s">
        <v>1254</v>
      </c>
    </row>
    <row r="282" spans="1:18" x14ac:dyDescent="0.4">
      <c r="A282" s="29" t="s">
        <v>664</v>
      </c>
      <c r="B282" s="9" t="s">
        <v>61</v>
      </c>
      <c r="C282" s="30" t="s">
        <v>156</v>
      </c>
      <c r="D282" s="9">
        <v>28</v>
      </c>
      <c r="E282" s="77">
        <v>5</v>
      </c>
      <c r="F282" s="1"/>
      <c r="G282" s="76">
        <v>0.29166666666666669</v>
      </c>
      <c r="H282" s="76">
        <v>0.62847222222222221</v>
      </c>
      <c r="I282" s="173" t="s">
        <v>1456</v>
      </c>
      <c r="J282" s="23">
        <v>10</v>
      </c>
      <c r="K282" s="68">
        <v>2.0833333333333332E-2</v>
      </c>
      <c r="L282" s="68">
        <v>0.33333333333333331</v>
      </c>
      <c r="M282" s="68">
        <v>0.64583333333333337</v>
      </c>
      <c r="N282" s="173" t="s">
        <v>1341</v>
      </c>
      <c r="O282" s="23">
        <v>6325</v>
      </c>
      <c r="P282" s="70">
        <v>0.29166666666666669</v>
      </c>
      <c r="Q282" s="70">
        <v>0.64583333333333337</v>
      </c>
      <c r="R282" s="229" t="s">
        <v>1309</v>
      </c>
    </row>
    <row r="283" spans="1:18" x14ac:dyDescent="0.4">
      <c r="A283" s="29" t="s">
        <v>664</v>
      </c>
      <c r="B283" s="9" t="s">
        <v>472</v>
      </c>
      <c r="C283" s="30" t="s">
        <v>285</v>
      </c>
      <c r="D283" s="9">
        <v>4</v>
      </c>
      <c r="E283" s="77">
        <v>4</v>
      </c>
      <c r="F283" s="1"/>
      <c r="G283" s="76">
        <v>0.62847222222222221</v>
      </c>
      <c r="H283" s="76">
        <v>0.70833333333333337</v>
      </c>
      <c r="I283" s="173" t="s">
        <v>1457</v>
      </c>
      <c r="J283" s="23">
        <v>10</v>
      </c>
      <c r="K283" s="68">
        <v>2.0833333333333332E-2</v>
      </c>
      <c r="L283" s="68">
        <v>0.64583333333333337</v>
      </c>
      <c r="M283" s="68">
        <v>0.75</v>
      </c>
      <c r="N283" s="173" t="s">
        <v>1316</v>
      </c>
      <c r="O283" s="23">
        <v>2260</v>
      </c>
      <c r="P283" s="70">
        <v>0.62847222222222221</v>
      </c>
      <c r="Q283" s="70">
        <v>0.75</v>
      </c>
      <c r="R283" s="229" t="s">
        <v>1326</v>
      </c>
    </row>
    <row r="284" spans="1:18" x14ac:dyDescent="0.4">
      <c r="A284" s="29" t="s">
        <v>664</v>
      </c>
      <c r="B284" s="9" t="s">
        <v>63</v>
      </c>
      <c r="C284" s="30" t="s">
        <v>267</v>
      </c>
      <c r="D284" s="9">
        <v>24</v>
      </c>
      <c r="E284" s="77">
        <v>5</v>
      </c>
      <c r="F284" s="1"/>
      <c r="G284" s="76">
        <v>0.45833333333333331</v>
      </c>
      <c r="H284" s="76">
        <v>0.70833333333333337</v>
      </c>
      <c r="I284" s="173" t="s">
        <v>1327</v>
      </c>
      <c r="J284" s="23">
        <v>3</v>
      </c>
      <c r="K284" s="68">
        <v>1.0416666666666666E-2</v>
      </c>
      <c r="L284" s="68">
        <v>0.4861111111111111</v>
      </c>
      <c r="M284" s="68">
        <v>0.70833333333333337</v>
      </c>
      <c r="N284" s="173" t="s">
        <v>1304</v>
      </c>
      <c r="O284" s="23">
        <v>2325</v>
      </c>
      <c r="P284" s="70">
        <v>0.45833333333333331</v>
      </c>
      <c r="Q284" s="70">
        <v>0.70833333333333337</v>
      </c>
      <c r="R284" s="229" t="s">
        <v>1327</v>
      </c>
    </row>
    <row r="285" spans="1:18" x14ac:dyDescent="0.4">
      <c r="A285" s="29" t="s">
        <v>664</v>
      </c>
      <c r="B285" s="9" t="s">
        <v>64</v>
      </c>
      <c r="C285" s="30" t="s">
        <v>271</v>
      </c>
      <c r="D285" s="9">
        <v>20</v>
      </c>
      <c r="E285" s="77">
        <v>5</v>
      </c>
      <c r="F285" s="1"/>
      <c r="G285" s="76">
        <v>0.29166666666666669</v>
      </c>
      <c r="H285" s="76">
        <v>0.45833333333333331</v>
      </c>
      <c r="I285" s="173" t="s">
        <v>1244</v>
      </c>
      <c r="J285" s="23">
        <v>3</v>
      </c>
      <c r="K285" s="68">
        <v>1.0416666666666666E-2</v>
      </c>
      <c r="L285" s="68">
        <v>0.33333333333333331</v>
      </c>
      <c r="M285" s="68">
        <v>0.4861111111111111</v>
      </c>
      <c r="N285" s="173" t="s">
        <v>1359</v>
      </c>
      <c r="O285" s="23">
        <v>1905</v>
      </c>
      <c r="P285" s="70">
        <v>0.29166666666666669</v>
      </c>
      <c r="Q285" s="70">
        <v>0.4861111111111111</v>
      </c>
      <c r="R285" s="229" t="s">
        <v>1255</v>
      </c>
    </row>
    <row r="286" spans="1:18" x14ac:dyDescent="0.4">
      <c r="A286" s="29" t="s">
        <v>664</v>
      </c>
      <c r="B286" s="9" t="s">
        <v>65</v>
      </c>
      <c r="C286" s="30" t="s">
        <v>189</v>
      </c>
      <c r="D286" s="224">
        <v>36</v>
      </c>
      <c r="E286" s="77">
        <v>3</v>
      </c>
      <c r="F286" s="76">
        <v>4.1666666666666664E-2</v>
      </c>
      <c r="G286" s="76">
        <v>0.29166666666666669</v>
      </c>
      <c r="H286" s="76">
        <v>0.5</v>
      </c>
      <c r="I286" s="173" t="s">
        <v>1321</v>
      </c>
      <c r="J286" s="23">
        <v>4</v>
      </c>
      <c r="K286" s="23"/>
      <c r="L286" s="68">
        <v>0.29166666666666669</v>
      </c>
      <c r="M286" s="68">
        <v>0.57638888888888895</v>
      </c>
      <c r="N286" s="173" t="s">
        <v>1415</v>
      </c>
      <c r="O286" s="23">
        <v>2480</v>
      </c>
      <c r="P286" s="70">
        <v>0.29166666666666669</v>
      </c>
      <c r="Q286" s="70">
        <v>0.57638888888888895</v>
      </c>
      <c r="R286" s="229" t="s">
        <v>1415</v>
      </c>
    </row>
    <row r="287" spans="1:18" x14ac:dyDescent="0.4">
      <c r="A287" s="29" t="s">
        <v>665</v>
      </c>
      <c r="B287" s="9" t="s">
        <v>66</v>
      </c>
      <c r="C287" s="30" t="s">
        <v>195</v>
      </c>
      <c r="D287" s="9">
        <v>20</v>
      </c>
      <c r="E287" s="77">
        <v>3</v>
      </c>
      <c r="F287" s="76">
        <v>2.0833333333333332E-2</v>
      </c>
      <c r="G287" s="76">
        <v>0.54166666666666663</v>
      </c>
      <c r="H287" s="76">
        <v>0.70833333333333337</v>
      </c>
      <c r="I287" s="173" t="s">
        <v>1243</v>
      </c>
      <c r="J287" s="23">
        <v>4</v>
      </c>
      <c r="K287" s="23"/>
      <c r="L287" s="68">
        <v>0.57638888888888895</v>
      </c>
      <c r="M287" s="68">
        <v>0.72916666666666663</v>
      </c>
      <c r="N287" s="173" t="s">
        <v>1254</v>
      </c>
      <c r="O287" s="23">
        <v>1690</v>
      </c>
      <c r="P287" s="70">
        <v>0.54166666666666663</v>
      </c>
      <c r="Q287" s="70">
        <v>0.72916666666666663</v>
      </c>
      <c r="R287" s="229" t="s">
        <v>1243</v>
      </c>
    </row>
    <row r="288" spans="1:18" x14ac:dyDescent="0.4">
      <c r="A288" s="29" t="s">
        <v>665</v>
      </c>
      <c r="B288" s="9" t="s">
        <v>71</v>
      </c>
      <c r="C288" s="30" t="s">
        <v>176</v>
      </c>
      <c r="D288" s="9">
        <v>72</v>
      </c>
      <c r="E288" s="77">
        <v>6</v>
      </c>
      <c r="F288" s="1"/>
      <c r="G288" s="76">
        <v>0.29166666666666669</v>
      </c>
      <c r="H288" s="76">
        <v>0.66666666666666663</v>
      </c>
      <c r="I288" s="173" t="s">
        <v>1292</v>
      </c>
      <c r="J288" s="23">
        <v>5</v>
      </c>
      <c r="K288" s="23"/>
      <c r="L288" s="68">
        <v>0.3125</v>
      </c>
      <c r="M288" s="68">
        <v>0.70833333333333337</v>
      </c>
      <c r="N288" s="173" t="s">
        <v>990</v>
      </c>
      <c r="O288" s="23">
        <v>5430</v>
      </c>
      <c r="P288" s="70">
        <v>0.29166666666666669</v>
      </c>
      <c r="Q288" s="70">
        <v>0.70833333333333337</v>
      </c>
      <c r="R288" s="229" t="s">
        <v>1252</v>
      </c>
    </row>
    <row r="289" spans="1:18" x14ac:dyDescent="0.4">
      <c r="A289" s="29" t="s">
        <v>665</v>
      </c>
      <c r="B289" s="9" t="s">
        <v>63</v>
      </c>
      <c r="C289" s="30" t="s">
        <v>267</v>
      </c>
      <c r="D289" s="9">
        <v>20</v>
      </c>
      <c r="E289" s="77">
        <v>5</v>
      </c>
      <c r="F289" s="1"/>
      <c r="G289" s="76">
        <v>0.54166666666666663</v>
      </c>
      <c r="H289" s="76">
        <v>0.70833333333333337</v>
      </c>
      <c r="I289" s="173" t="s">
        <v>1244</v>
      </c>
      <c r="J289" s="23">
        <v>4</v>
      </c>
      <c r="K289" s="68">
        <v>1.0416666666666666E-2</v>
      </c>
      <c r="L289" s="68">
        <v>0.5625</v>
      </c>
      <c r="M289" s="68">
        <v>0.70833333333333337</v>
      </c>
      <c r="N289" s="173" t="s">
        <v>1380</v>
      </c>
      <c r="O289" s="23">
        <v>2100</v>
      </c>
      <c r="P289" s="70">
        <v>0.54166666666666663</v>
      </c>
      <c r="Q289" s="70">
        <v>0.70833333333333337</v>
      </c>
      <c r="R289" s="229" t="s">
        <v>1244</v>
      </c>
    </row>
    <row r="290" spans="1:18" x14ac:dyDescent="0.4">
      <c r="A290" s="29" t="s">
        <v>665</v>
      </c>
      <c r="B290" s="9" t="s">
        <v>75</v>
      </c>
      <c r="C290" s="30" t="s">
        <v>229</v>
      </c>
      <c r="D290" s="9">
        <v>24</v>
      </c>
      <c r="E290" s="77">
        <v>5</v>
      </c>
      <c r="F290" s="1"/>
      <c r="G290" s="76">
        <v>0.29166666666666669</v>
      </c>
      <c r="H290" s="76">
        <v>0.5</v>
      </c>
      <c r="I290" s="173" t="s">
        <v>1327</v>
      </c>
      <c r="J290" s="23">
        <v>3</v>
      </c>
      <c r="K290" s="68">
        <v>1.0416666666666666E-2</v>
      </c>
      <c r="L290" s="68">
        <v>0.33333333333333331</v>
      </c>
      <c r="M290" s="68">
        <v>0.5625</v>
      </c>
      <c r="N290" s="173" t="s">
        <v>1335</v>
      </c>
      <c r="O290" s="23">
        <v>2355</v>
      </c>
      <c r="P290" s="70">
        <v>0.29166666666666669</v>
      </c>
      <c r="Q290" s="70">
        <v>0.5625</v>
      </c>
      <c r="R290" s="229" t="s">
        <v>1320</v>
      </c>
    </row>
    <row r="291" spans="1:18" x14ac:dyDescent="0.4">
      <c r="A291" s="29" t="s">
        <v>665</v>
      </c>
      <c r="B291" s="9" t="s">
        <v>82</v>
      </c>
      <c r="C291" s="30" t="s">
        <v>171</v>
      </c>
      <c r="D291" s="9">
        <v>12</v>
      </c>
      <c r="E291" s="77">
        <v>3</v>
      </c>
      <c r="F291" s="76">
        <v>2.0833333333333332E-2</v>
      </c>
      <c r="G291" s="76">
        <v>0.56944444444444442</v>
      </c>
      <c r="H291" s="76">
        <v>0.72916666666666663</v>
      </c>
      <c r="I291" s="173" t="s">
        <v>1379</v>
      </c>
      <c r="J291" s="23">
        <v>8</v>
      </c>
      <c r="K291" s="23"/>
      <c r="L291" s="68">
        <v>0.64583333333333337</v>
      </c>
      <c r="M291" s="68">
        <v>0.79166666666666663</v>
      </c>
      <c r="N291" s="173" t="s">
        <v>1303</v>
      </c>
      <c r="O291" s="23">
        <v>2460</v>
      </c>
      <c r="P291" s="70">
        <v>0.56944444444444442</v>
      </c>
      <c r="Q291" s="70">
        <v>0.79166666666666663</v>
      </c>
      <c r="R291" s="229" t="s">
        <v>1357</v>
      </c>
    </row>
    <row r="292" spans="1:18" x14ac:dyDescent="0.4">
      <c r="A292" s="29" t="s">
        <v>665</v>
      </c>
      <c r="B292" s="9" t="s">
        <v>641</v>
      </c>
      <c r="C292" s="30" t="s">
        <v>1105</v>
      </c>
      <c r="D292" s="9">
        <v>8</v>
      </c>
      <c r="E292" s="77">
        <v>3</v>
      </c>
      <c r="F292" s="76">
        <v>2.0833333333333332E-2</v>
      </c>
      <c r="G292" s="76">
        <v>0.4236111111111111</v>
      </c>
      <c r="H292" s="76">
        <v>0.56944444444444442</v>
      </c>
      <c r="I292" s="173" t="s">
        <v>1316</v>
      </c>
      <c r="J292" s="23">
        <v>7</v>
      </c>
      <c r="K292" s="23"/>
      <c r="L292" s="68">
        <v>0.54861111111111105</v>
      </c>
      <c r="M292" s="68">
        <v>0.64583333333333337</v>
      </c>
      <c r="N292" s="173" t="s">
        <v>1313</v>
      </c>
      <c r="O292" s="23">
        <v>1520</v>
      </c>
      <c r="P292" s="70">
        <v>0.4236111111111111</v>
      </c>
      <c r="Q292" s="70">
        <v>0.64583333333333337</v>
      </c>
      <c r="R292" s="229" t="s">
        <v>1379</v>
      </c>
    </row>
    <row r="293" spans="1:18" x14ac:dyDescent="0.4">
      <c r="A293" s="29" t="s">
        <v>665</v>
      </c>
      <c r="B293" s="9" t="s">
        <v>59</v>
      </c>
      <c r="C293" s="30" t="s">
        <v>197</v>
      </c>
      <c r="D293" s="9">
        <v>16</v>
      </c>
      <c r="E293" s="77">
        <v>3</v>
      </c>
      <c r="F293" s="76">
        <v>2.9861111111111113E-2</v>
      </c>
      <c r="G293" s="76">
        <v>0.30902777777777779</v>
      </c>
      <c r="H293" s="76">
        <v>0.4236111111111111</v>
      </c>
      <c r="I293" s="173" t="s">
        <v>1425</v>
      </c>
      <c r="J293" s="23">
        <v>4</v>
      </c>
      <c r="K293" s="23"/>
      <c r="L293" s="68">
        <v>0.29166666666666669</v>
      </c>
      <c r="M293" s="68">
        <v>0.54861111111111105</v>
      </c>
      <c r="N293" s="173" t="s">
        <v>1257</v>
      </c>
      <c r="O293" s="23">
        <v>1864</v>
      </c>
      <c r="P293" s="70">
        <v>0.29166666666666669</v>
      </c>
      <c r="Q293" s="70">
        <v>0.54861111111111105</v>
      </c>
      <c r="R293" s="229" t="s">
        <v>1257</v>
      </c>
    </row>
    <row r="294" spans="1:18" x14ac:dyDescent="0.4">
      <c r="A294" s="29" t="s">
        <v>665</v>
      </c>
      <c r="B294" s="9" t="s">
        <v>642</v>
      </c>
      <c r="C294" s="30" t="s">
        <v>643</v>
      </c>
      <c r="D294" s="9">
        <v>4</v>
      </c>
      <c r="E294" s="77">
        <v>3</v>
      </c>
      <c r="F294" s="76">
        <v>2.9861111111111113E-2</v>
      </c>
      <c r="G294" s="76">
        <v>0.30902777777777779</v>
      </c>
      <c r="H294" s="76">
        <v>0.4236111111111111</v>
      </c>
      <c r="I294" s="173" t="s">
        <v>1425</v>
      </c>
      <c r="J294" s="23">
        <v>4</v>
      </c>
      <c r="K294" s="23"/>
      <c r="L294" s="68">
        <v>0.29166666666666669</v>
      </c>
      <c r="M294" s="68">
        <v>0.54861111111111105</v>
      </c>
      <c r="N294" s="173" t="s">
        <v>1257</v>
      </c>
      <c r="O294" s="23">
        <v>1864</v>
      </c>
      <c r="P294" s="70">
        <v>0.29166666666666669</v>
      </c>
      <c r="Q294" s="70">
        <v>0.54861111111111105</v>
      </c>
      <c r="R294" s="229" t="s">
        <v>1257</v>
      </c>
    </row>
    <row r="295" spans="1:18" x14ac:dyDescent="0.4">
      <c r="A295" s="29" t="s">
        <v>666</v>
      </c>
      <c r="B295" s="9" t="s">
        <v>88</v>
      </c>
      <c r="C295" s="30" t="s">
        <v>328</v>
      </c>
      <c r="D295" s="9">
        <v>32</v>
      </c>
      <c r="E295" s="77">
        <v>5</v>
      </c>
      <c r="F295" s="1"/>
      <c r="G295" s="76">
        <v>0.29166666666666669</v>
      </c>
      <c r="H295" s="76">
        <v>0.59166666666666667</v>
      </c>
      <c r="I295" s="173" t="s">
        <v>1458</v>
      </c>
      <c r="J295" s="23">
        <v>3</v>
      </c>
      <c r="K295" s="68">
        <v>1.0416666666666666E-2</v>
      </c>
      <c r="L295" s="68">
        <v>0.33333333333333331</v>
      </c>
      <c r="M295" s="68">
        <v>0.63888888888888895</v>
      </c>
      <c r="N295" s="173" t="s">
        <v>1402</v>
      </c>
      <c r="O295" s="23">
        <v>3045</v>
      </c>
      <c r="P295" s="70">
        <v>0.29166666666666669</v>
      </c>
      <c r="Q295" s="70">
        <v>0.63888888888888895</v>
      </c>
      <c r="R295" s="229" t="s">
        <v>1459</v>
      </c>
    </row>
    <row r="296" spans="1:18" x14ac:dyDescent="0.4">
      <c r="A296" s="29" t="s">
        <v>666</v>
      </c>
      <c r="B296" s="9" t="s">
        <v>461</v>
      </c>
      <c r="C296" s="30" t="s">
        <v>237</v>
      </c>
      <c r="D296" s="9">
        <v>4</v>
      </c>
      <c r="E296" s="77">
        <v>5</v>
      </c>
      <c r="F296" s="1"/>
      <c r="G296" s="76">
        <v>0.59166666666666667</v>
      </c>
      <c r="H296" s="76">
        <v>0.6875</v>
      </c>
      <c r="I296" s="173" t="s">
        <v>1345</v>
      </c>
      <c r="J296" s="23">
        <v>3</v>
      </c>
      <c r="K296" s="68">
        <v>1.0416666666666666E-2</v>
      </c>
      <c r="L296" s="68">
        <v>0.63888888888888895</v>
      </c>
      <c r="M296" s="68">
        <v>0.70833333333333337</v>
      </c>
      <c r="N296" s="173" t="s">
        <v>1457</v>
      </c>
      <c r="O296" s="23">
        <v>1035</v>
      </c>
      <c r="P296" s="70">
        <v>0.59166666666666667</v>
      </c>
      <c r="Q296" s="70">
        <v>0.70833333333333337</v>
      </c>
      <c r="R296" s="229" t="s">
        <v>1460</v>
      </c>
    </row>
    <row r="297" spans="1:18" x14ac:dyDescent="0.4">
      <c r="A297" s="29" t="s">
        <v>666</v>
      </c>
      <c r="B297" s="9" t="s">
        <v>73</v>
      </c>
      <c r="C297" s="30" t="s">
        <v>231</v>
      </c>
      <c r="D297" s="9">
        <v>21</v>
      </c>
      <c r="E297" s="77">
        <v>3</v>
      </c>
      <c r="F297" s="1"/>
      <c r="G297" s="76">
        <v>0.29166666666666669</v>
      </c>
      <c r="H297" s="76">
        <v>0.67708333333333337</v>
      </c>
      <c r="I297" s="173" t="s">
        <v>1340</v>
      </c>
      <c r="J297" s="23">
        <v>9</v>
      </c>
      <c r="K297" s="23"/>
      <c r="L297" s="68">
        <v>0.39583333333333331</v>
      </c>
      <c r="M297" s="68">
        <v>0.70833333333333337</v>
      </c>
      <c r="N297" s="173" t="s">
        <v>1329</v>
      </c>
      <c r="O297" s="23">
        <v>4995</v>
      </c>
      <c r="P297" s="70">
        <v>0.29166666666666669</v>
      </c>
      <c r="Q297" s="70">
        <v>0.70833333333333337</v>
      </c>
      <c r="R297" s="229" t="s">
        <v>1252</v>
      </c>
    </row>
    <row r="298" spans="1:18" x14ac:dyDescent="0.4">
      <c r="A298" s="29" t="s">
        <v>666</v>
      </c>
      <c r="B298" s="9" t="s">
        <v>65</v>
      </c>
      <c r="C298" s="30" t="s">
        <v>189</v>
      </c>
      <c r="D298" s="224">
        <v>56</v>
      </c>
      <c r="E298" s="77">
        <v>3</v>
      </c>
      <c r="F298" s="76">
        <v>4.1666666666666664E-2</v>
      </c>
      <c r="G298" s="76">
        <v>0.29166666666666669</v>
      </c>
      <c r="H298" s="76">
        <v>0.72916666666666663</v>
      </c>
      <c r="I298" s="173" t="s">
        <v>1369</v>
      </c>
      <c r="J298" s="23">
        <v>4</v>
      </c>
      <c r="K298" s="23"/>
      <c r="L298" s="68">
        <v>0.29166666666666669</v>
      </c>
      <c r="M298" s="68">
        <v>0.77083333333333337</v>
      </c>
      <c r="N298" s="173" t="s">
        <v>1369</v>
      </c>
      <c r="O298" s="23">
        <v>4410</v>
      </c>
      <c r="P298" s="70">
        <v>0.29166666666666669</v>
      </c>
      <c r="Q298" s="70">
        <v>0.77083333333333337</v>
      </c>
      <c r="R298" s="229" t="s">
        <v>1369</v>
      </c>
    </row>
    <row r="299" spans="1:18" x14ac:dyDescent="0.4">
      <c r="A299" s="29" t="s">
        <v>666</v>
      </c>
      <c r="B299" s="9" t="s">
        <v>10</v>
      </c>
      <c r="C299" s="30" t="s">
        <v>195</v>
      </c>
      <c r="D299" s="9">
        <v>4</v>
      </c>
      <c r="E299" s="77">
        <v>3</v>
      </c>
      <c r="F299" s="76">
        <v>4.1666666666666664E-2</v>
      </c>
      <c r="G299" s="76">
        <v>0.29166666666666669</v>
      </c>
      <c r="H299" s="76">
        <v>0.72916666666666663</v>
      </c>
      <c r="I299" s="173" t="s">
        <v>1369</v>
      </c>
      <c r="J299" s="23">
        <v>4</v>
      </c>
      <c r="K299" s="23"/>
      <c r="L299" s="68">
        <v>0.29166666666666669</v>
      </c>
      <c r="M299" s="68">
        <v>0.77083333333333337</v>
      </c>
      <c r="N299" s="173" t="s">
        <v>1369</v>
      </c>
      <c r="O299" s="23">
        <v>4410</v>
      </c>
      <c r="P299" s="70">
        <v>0.29166666666666669</v>
      </c>
      <c r="Q299" s="70">
        <v>0.77083333333333337</v>
      </c>
      <c r="R299" s="229" t="s">
        <v>1369</v>
      </c>
    </row>
    <row r="300" spans="1:18" x14ac:dyDescent="0.4">
      <c r="A300" s="29" t="s">
        <v>657</v>
      </c>
      <c r="B300" s="9" t="s">
        <v>61</v>
      </c>
      <c r="C300" s="30" t="s">
        <v>156</v>
      </c>
      <c r="D300" s="9">
        <v>28</v>
      </c>
      <c r="E300" s="77">
        <v>4</v>
      </c>
      <c r="F300" s="1"/>
      <c r="G300" s="76">
        <v>0.29166666666666669</v>
      </c>
      <c r="H300" s="76">
        <v>0.58888888888888891</v>
      </c>
      <c r="I300" s="173" t="s">
        <v>1461</v>
      </c>
      <c r="J300" s="23">
        <v>10</v>
      </c>
      <c r="K300" s="68">
        <v>6.9444444444444441E-3</v>
      </c>
      <c r="L300" s="68">
        <v>0.33333333333333331</v>
      </c>
      <c r="M300" s="68">
        <v>0.60416666666666663</v>
      </c>
      <c r="N300" s="173" t="s">
        <v>1339</v>
      </c>
      <c r="O300" s="23">
        <v>4872</v>
      </c>
      <c r="P300" s="70">
        <v>0.29166666666666669</v>
      </c>
      <c r="Q300" s="70">
        <v>0.60416666666666663</v>
      </c>
      <c r="R300" s="229" t="s">
        <v>1329</v>
      </c>
    </row>
    <row r="301" spans="1:18" x14ac:dyDescent="0.4">
      <c r="A301" s="29" t="s">
        <v>657</v>
      </c>
      <c r="B301" s="9" t="s">
        <v>106</v>
      </c>
      <c r="C301" s="30" t="s">
        <v>173</v>
      </c>
      <c r="D301" s="9">
        <v>6</v>
      </c>
      <c r="E301" s="77">
        <v>4</v>
      </c>
      <c r="F301" s="1"/>
      <c r="G301" s="76">
        <v>0.58888888888888891</v>
      </c>
      <c r="H301" s="76">
        <v>0.70833333333333337</v>
      </c>
      <c r="I301" s="173" t="s">
        <v>1344</v>
      </c>
      <c r="J301" s="23">
        <v>9</v>
      </c>
      <c r="K301" s="68">
        <v>6.9444444444444441E-3</v>
      </c>
      <c r="L301" s="68">
        <v>0.625</v>
      </c>
      <c r="M301" s="68">
        <v>0.70833333333333337</v>
      </c>
      <c r="N301" s="173" t="s">
        <v>1248</v>
      </c>
      <c r="O301" s="23">
        <v>1858</v>
      </c>
      <c r="P301" s="70">
        <v>0.58888888888888891</v>
      </c>
      <c r="Q301" s="70">
        <v>0.70833333333333337</v>
      </c>
      <c r="R301" s="229" t="s">
        <v>1344</v>
      </c>
    </row>
    <row r="302" spans="1:18" x14ac:dyDescent="0.4">
      <c r="A302" s="29" t="s">
        <v>657</v>
      </c>
      <c r="B302" s="9" t="s">
        <v>529</v>
      </c>
      <c r="C302" s="30" t="s">
        <v>173</v>
      </c>
      <c r="D302" s="9">
        <v>2</v>
      </c>
      <c r="E302" s="77">
        <v>4</v>
      </c>
      <c r="F302" s="1"/>
      <c r="G302" s="76">
        <v>0.58888888888888891</v>
      </c>
      <c r="H302" s="76">
        <v>0.60138888888888886</v>
      </c>
      <c r="I302" s="173" t="s">
        <v>1462</v>
      </c>
      <c r="J302" s="23">
        <v>9</v>
      </c>
      <c r="K302" s="68">
        <v>6.9444444444444441E-3</v>
      </c>
      <c r="L302" s="68">
        <v>0.60416666666666663</v>
      </c>
      <c r="M302" s="68">
        <v>0.625</v>
      </c>
      <c r="N302" s="173" t="s">
        <v>1463</v>
      </c>
      <c r="O302" s="23">
        <v>432</v>
      </c>
      <c r="P302" s="70">
        <v>0.58888888888888891</v>
      </c>
      <c r="Q302" s="70">
        <v>0.625</v>
      </c>
      <c r="R302" s="229" t="s">
        <v>1464</v>
      </c>
    </row>
    <row r="303" spans="1:18" x14ac:dyDescent="0.4">
      <c r="A303" s="29" t="s">
        <v>657</v>
      </c>
      <c r="B303" s="9" t="s">
        <v>116</v>
      </c>
      <c r="C303" s="30" t="s">
        <v>212</v>
      </c>
      <c r="D303" s="9">
        <v>12</v>
      </c>
      <c r="E303" s="77">
        <v>5</v>
      </c>
      <c r="F303" s="1"/>
      <c r="G303" s="76">
        <v>0.29166666666666669</v>
      </c>
      <c r="H303" s="76">
        <v>0.39930555555555558</v>
      </c>
      <c r="I303" s="173" t="s">
        <v>1301</v>
      </c>
      <c r="J303" s="23">
        <v>4</v>
      </c>
      <c r="K303" s="68">
        <v>6.9444444444444441E-3</v>
      </c>
      <c r="L303" s="68">
        <v>0.33333333333333331</v>
      </c>
      <c r="M303" s="68">
        <v>0.43055555555555558</v>
      </c>
      <c r="N303" s="173" t="s">
        <v>1298</v>
      </c>
      <c r="O303" s="23">
        <v>1375</v>
      </c>
      <c r="P303" s="70">
        <v>0.29166666666666669</v>
      </c>
      <c r="Q303" s="70">
        <v>0.43055555555555558</v>
      </c>
      <c r="R303" s="229" t="s">
        <v>1250</v>
      </c>
    </row>
    <row r="304" spans="1:18" x14ac:dyDescent="0.4">
      <c r="A304" s="29" t="s">
        <v>657</v>
      </c>
      <c r="B304" s="9" t="s">
        <v>126</v>
      </c>
      <c r="C304" s="30" t="s">
        <v>316</v>
      </c>
      <c r="D304" s="9">
        <v>6</v>
      </c>
      <c r="E304" s="77">
        <v>5</v>
      </c>
      <c r="F304" s="1"/>
      <c r="G304" s="76">
        <v>0.39930555555555558</v>
      </c>
      <c r="H304" s="76">
        <v>0.5</v>
      </c>
      <c r="I304" s="173" t="s">
        <v>1331</v>
      </c>
      <c r="J304" s="23">
        <v>3</v>
      </c>
      <c r="K304" s="68">
        <v>6.9444444444444441E-3</v>
      </c>
      <c r="L304" s="68">
        <v>0.43055555555555558</v>
      </c>
      <c r="M304" s="68">
        <v>0.56944444444444442</v>
      </c>
      <c r="N304" s="173" t="s">
        <v>1298</v>
      </c>
      <c r="O304" s="23">
        <v>1175</v>
      </c>
      <c r="P304" s="70">
        <v>0.39930555555555558</v>
      </c>
      <c r="Q304" s="70">
        <v>0.56944444444444442</v>
      </c>
      <c r="R304" s="229" t="s">
        <v>1251</v>
      </c>
    </row>
    <row r="305" spans="1:18" x14ac:dyDescent="0.4">
      <c r="A305" s="29" t="s">
        <v>657</v>
      </c>
      <c r="B305" s="9" t="s">
        <v>64</v>
      </c>
      <c r="C305" s="30" t="s">
        <v>271</v>
      </c>
      <c r="D305" s="9">
        <v>20</v>
      </c>
      <c r="E305" s="77">
        <v>5</v>
      </c>
      <c r="F305" s="1"/>
      <c r="G305" s="76">
        <v>0.54166666666666663</v>
      </c>
      <c r="H305" s="76">
        <v>0.70833333333333337</v>
      </c>
      <c r="I305" s="173" t="s">
        <v>1244</v>
      </c>
      <c r="J305" s="23">
        <v>3</v>
      </c>
      <c r="K305" s="68">
        <v>6.9444444444444441E-3</v>
      </c>
      <c r="L305" s="68">
        <v>0.56944444444444442</v>
      </c>
      <c r="M305" s="68">
        <v>0.72916666666666663</v>
      </c>
      <c r="N305" s="173" t="s">
        <v>1244</v>
      </c>
      <c r="O305" s="23">
        <v>1920</v>
      </c>
      <c r="P305" s="70">
        <v>0.54166666666666663</v>
      </c>
      <c r="Q305" s="70">
        <v>0.72916666666666663</v>
      </c>
      <c r="R305" s="229" t="s">
        <v>1243</v>
      </c>
    </row>
    <row r="306" spans="1:18" x14ac:dyDescent="0.4">
      <c r="A306" s="29" t="s">
        <v>657</v>
      </c>
      <c r="B306" s="9" t="s">
        <v>131</v>
      </c>
      <c r="C306" s="30" t="s">
        <v>274</v>
      </c>
      <c r="D306" s="9">
        <v>28</v>
      </c>
      <c r="E306" s="77">
        <v>3</v>
      </c>
      <c r="F306" s="76">
        <v>1.0416666666666666E-2</v>
      </c>
      <c r="G306" s="76">
        <v>0.4375</v>
      </c>
      <c r="H306" s="76">
        <v>0.66666666666666663</v>
      </c>
      <c r="I306" s="173" t="s">
        <v>1335</v>
      </c>
      <c r="J306" s="23">
        <v>4</v>
      </c>
      <c r="K306" s="68">
        <v>2.0833333333333332E-2</v>
      </c>
      <c r="L306" s="68">
        <v>0.54166666666666663</v>
      </c>
      <c r="M306" s="68">
        <v>0.70833333333333337</v>
      </c>
      <c r="N306" s="173" t="s">
        <v>1243</v>
      </c>
      <c r="O306" s="23">
        <v>1935</v>
      </c>
      <c r="P306" s="70">
        <v>0.4375</v>
      </c>
      <c r="Q306" s="70">
        <v>0.70833333333333337</v>
      </c>
      <c r="R306" s="229" t="s">
        <v>1320</v>
      </c>
    </row>
    <row r="307" spans="1:18" x14ac:dyDescent="0.4">
      <c r="A307" s="29" t="s">
        <v>657</v>
      </c>
      <c r="B307" s="9" t="s">
        <v>66</v>
      </c>
      <c r="C307" s="30" t="s">
        <v>195</v>
      </c>
      <c r="D307" s="9">
        <v>20</v>
      </c>
      <c r="E307" s="77">
        <v>3</v>
      </c>
      <c r="F307" s="76">
        <v>3.125E-2</v>
      </c>
      <c r="G307" s="76">
        <v>0.3125</v>
      </c>
      <c r="H307" s="76">
        <v>0.4375</v>
      </c>
      <c r="I307" s="173" t="s">
        <v>1380</v>
      </c>
      <c r="J307" s="23">
        <v>4</v>
      </c>
      <c r="K307" s="68">
        <v>2.0833333333333332E-2</v>
      </c>
      <c r="L307" s="68">
        <v>0.33333333333333331</v>
      </c>
      <c r="M307" s="68">
        <v>0.5</v>
      </c>
      <c r="N307" s="173" t="s">
        <v>1243</v>
      </c>
      <c r="O307" s="23">
        <v>1755</v>
      </c>
      <c r="P307" s="70">
        <v>0.3125</v>
      </c>
      <c r="Q307" s="70">
        <v>0.5</v>
      </c>
      <c r="R307" s="229" t="s">
        <v>1243</v>
      </c>
    </row>
    <row r="308" spans="1:18" x14ac:dyDescent="0.4">
      <c r="A308" s="29" t="s">
        <v>658</v>
      </c>
      <c r="B308" s="9" t="s">
        <v>75</v>
      </c>
      <c r="C308" s="30" t="s">
        <v>229</v>
      </c>
      <c r="D308" s="9">
        <v>20</v>
      </c>
      <c r="E308" s="77">
        <v>5</v>
      </c>
      <c r="F308" s="1"/>
      <c r="G308" s="76">
        <v>0.54166666666666663</v>
      </c>
      <c r="H308" s="76">
        <v>0.70833333333333337</v>
      </c>
      <c r="I308" s="173" t="s">
        <v>1244</v>
      </c>
      <c r="J308" s="23">
        <v>3</v>
      </c>
      <c r="K308" s="68">
        <v>1.0416666666666666E-2</v>
      </c>
      <c r="L308" s="68">
        <v>0.5625</v>
      </c>
      <c r="M308" s="68">
        <v>0.70833333333333337</v>
      </c>
      <c r="N308" s="173" t="s">
        <v>1380</v>
      </c>
      <c r="O308" s="23">
        <v>1875</v>
      </c>
      <c r="P308" s="70">
        <v>0.54166666666666663</v>
      </c>
      <c r="Q308" s="70">
        <v>0.70833333333333337</v>
      </c>
      <c r="R308" s="229" t="s">
        <v>1244</v>
      </c>
    </row>
    <row r="309" spans="1:18" x14ac:dyDescent="0.4">
      <c r="A309" s="29" t="s">
        <v>658</v>
      </c>
      <c r="B309" s="9" t="s">
        <v>63</v>
      </c>
      <c r="C309" s="30" t="s">
        <v>267</v>
      </c>
      <c r="D309" s="9">
        <v>24</v>
      </c>
      <c r="E309" s="77">
        <v>5</v>
      </c>
      <c r="F309" s="1"/>
      <c r="G309" s="76">
        <v>0.29166666666666669</v>
      </c>
      <c r="H309" s="76">
        <v>0.5</v>
      </c>
      <c r="I309" s="173" t="s">
        <v>1327</v>
      </c>
      <c r="J309" s="23">
        <v>3</v>
      </c>
      <c r="K309" s="68">
        <v>1.0416666666666666E-2</v>
      </c>
      <c r="L309" s="68">
        <v>0.33333333333333331</v>
      </c>
      <c r="M309" s="68">
        <v>0.5625</v>
      </c>
      <c r="N309" s="173" t="s">
        <v>1335</v>
      </c>
      <c r="O309" s="23">
        <v>2355</v>
      </c>
      <c r="P309" s="70">
        <v>0.29166666666666669</v>
      </c>
      <c r="Q309" s="70">
        <v>0.5625</v>
      </c>
      <c r="R309" s="229" t="s">
        <v>1320</v>
      </c>
    </row>
    <row r="310" spans="1:18" x14ac:dyDescent="0.4">
      <c r="A310" s="29" t="s">
        <v>658</v>
      </c>
      <c r="B310" s="9" t="s">
        <v>108</v>
      </c>
      <c r="C310" s="30" t="s">
        <v>231</v>
      </c>
      <c r="D310" s="9">
        <v>21</v>
      </c>
      <c r="E310" s="77">
        <v>6</v>
      </c>
      <c r="F310" s="1"/>
      <c r="G310" s="76">
        <v>0.29166666666666669</v>
      </c>
      <c r="H310" s="76">
        <v>0.68055555555555547</v>
      </c>
      <c r="I310" s="173" t="s">
        <v>1465</v>
      </c>
      <c r="J310" s="23">
        <v>8</v>
      </c>
      <c r="K310" s="23"/>
      <c r="L310" s="68">
        <v>0.41666666666666669</v>
      </c>
      <c r="M310" s="68">
        <v>0.54166666666666663</v>
      </c>
      <c r="N310" s="173" t="s">
        <v>1296</v>
      </c>
      <c r="O310" s="23">
        <v>3960</v>
      </c>
      <c r="P310" s="70">
        <v>0.29166666666666669</v>
      </c>
      <c r="Q310" s="70">
        <v>0.68055555555555547</v>
      </c>
      <c r="R310" s="229" t="s">
        <v>1465</v>
      </c>
    </row>
    <row r="311" spans="1:18" x14ac:dyDescent="0.4">
      <c r="A311" s="29" t="s">
        <v>658</v>
      </c>
      <c r="B311" s="9" t="s">
        <v>471</v>
      </c>
      <c r="C311" s="30" t="s">
        <v>280</v>
      </c>
      <c r="D311" s="9">
        <v>8</v>
      </c>
      <c r="E311" s="77">
        <v>3</v>
      </c>
      <c r="F311" s="1"/>
      <c r="G311" s="76">
        <v>0.35416666666666669</v>
      </c>
      <c r="H311" s="76">
        <v>0.625</v>
      </c>
      <c r="I311" s="173" t="s">
        <v>1320</v>
      </c>
      <c r="J311" s="23">
        <v>7</v>
      </c>
      <c r="K311" s="68">
        <v>2.0833333333333332E-2</v>
      </c>
      <c r="L311" s="68">
        <v>0.4513888888888889</v>
      </c>
      <c r="M311" s="68">
        <v>0.64583333333333337</v>
      </c>
      <c r="N311" s="173" t="s">
        <v>1311</v>
      </c>
      <c r="O311" s="23">
        <v>2740</v>
      </c>
      <c r="P311" s="70">
        <v>0.35416666666666669</v>
      </c>
      <c r="Q311" s="70">
        <v>0.64583333333333337</v>
      </c>
      <c r="R311" s="229" t="s">
        <v>1321</v>
      </c>
    </row>
    <row r="312" spans="1:18" x14ac:dyDescent="0.4">
      <c r="A312" s="29" t="s">
        <v>658</v>
      </c>
      <c r="B312" s="9" t="s">
        <v>597</v>
      </c>
      <c r="C312" s="30" t="s">
        <v>283</v>
      </c>
      <c r="D312" s="9">
        <v>8</v>
      </c>
      <c r="E312" s="77">
        <v>3</v>
      </c>
      <c r="F312" s="76">
        <v>1.3888888888888888E-2</v>
      </c>
      <c r="G312" s="76">
        <v>0.30555555555555552</v>
      </c>
      <c r="H312" s="76">
        <v>0.35416666666666669</v>
      </c>
      <c r="I312" s="173" t="s">
        <v>1375</v>
      </c>
      <c r="J312" s="23">
        <v>8</v>
      </c>
      <c r="K312" s="68">
        <v>2.0833333333333332E-2</v>
      </c>
      <c r="L312" s="68">
        <v>0.33333333333333331</v>
      </c>
      <c r="M312" s="68">
        <v>0.4513888888888889</v>
      </c>
      <c r="N312" s="173" t="s">
        <v>1250</v>
      </c>
      <c r="O312" s="23">
        <v>1870</v>
      </c>
      <c r="P312" s="70">
        <v>0.30555555555555552</v>
      </c>
      <c r="Q312" s="70">
        <v>0.4513888888888889</v>
      </c>
      <c r="R312" s="229" t="s">
        <v>1303</v>
      </c>
    </row>
    <row r="313" spans="1:18" x14ac:dyDescent="0.4">
      <c r="A313" s="29" t="s">
        <v>659</v>
      </c>
      <c r="B313" s="9" t="s">
        <v>68</v>
      </c>
      <c r="C313" s="30" t="s">
        <v>185</v>
      </c>
      <c r="D313" s="9">
        <v>20</v>
      </c>
      <c r="E313" s="77">
        <v>5</v>
      </c>
      <c r="F313" s="1"/>
      <c r="G313" s="76">
        <v>0.54166666666666663</v>
      </c>
      <c r="H313" s="76">
        <v>0.70833333333333337</v>
      </c>
      <c r="I313" s="173" t="s">
        <v>1244</v>
      </c>
      <c r="J313" s="23">
        <v>5</v>
      </c>
      <c r="K313" s="68">
        <v>1.0416666666666666E-2</v>
      </c>
      <c r="L313" s="68">
        <v>0.55555555555555558</v>
      </c>
      <c r="M313" s="68">
        <v>0.72916666666666663</v>
      </c>
      <c r="N313" s="173" t="s">
        <v>1356</v>
      </c>
      <c r="O313" s="23">
        <v>2525</v>
      </c>
      <c r="P313" s="70">
        <v>0.54166666666666663</v>
      </c>
      <c r="Q313" s="70">
        <v>0.72916666666666663</v>
      </c>
      <c r="R313" s="229" t="s">
        <v>1243</v>
      </c>
    </row>
    <row r="314" spans="1:18" x14ac:dyDescent="0.4">
      <c r="A314" s="29" t="s">
        <v>659</v>
      </c>
      <c r="B314" s="9" t="s">
        <v>80</v>
      </c>
      <c r="C314" s="30" t="s">
        <v>203</v>
      </c>
      <c r="D314" s="9">
        <v>40</v>
      </c>
      <c r="E314" s="77">
        <v>6</v>
      </c>
      <c r="F314" s="76"/>
      <c r="G314" s="76">
        <v>0.29166666666666669</v>
      </c>
      <c r="H314" s="76">
        <v>0.5</v>
      </c>
      <c r="I314" s="173" t="s">
        <v>1327</v>
      </c>
      <c r="J314" s="23">
        <v>5</v>
      </c>
      <c r="K314" s="68">
        <v>1.0416666666666666E-2</v>
      </c>
      <c r="L314" s="68">
        <v>0.33333333333333331</v>
      </c>
      <c r="M314" s="68">
        <v>0.55555555555555558</v>
      </c>
      <c r="N314" s="173" t="s">
        <v>1304</v>
      </c>
      <c r="O314" s="23">
        <v>3175</v>
      </c>
      <c r="P314" s="70">
        <v>0.29166666666666669</v>
      </c>
      <c r="Q314" s="70">
        <v>0.55555555555555558</v>
      </c>
      <c r="R314" s="229" t="s">
        <v>1357</v>
      </c>
    </row>
    <row r="315" spans="1:18" x14ac:dyDescent="0.4">
      <c r="A315" s="29" t="s">
        <v>659</v>
      </c>
      <c r="B315" s="9" t="s">
        <v>76</v>
      </c>
      <c r="C315" s="30" t="s">
        <v>224</v>
      </c>
      <c r="D315" s="9">
        <v>20</v>
      </c>
      <c r="E315" s="77">
        <v>5</v>
      </c>
      <c r="F315" s="1"/>
      <c r="G315" s="76">
        <v>0.29166666666666669</v>
      </c>
      <c r="H315" s="76">
        <v>0.43402777777777773</v>
      </c>
      <c r="I315" s="173" t="s">
        <v>1299</v>
      </c>
      <c r="J315" s="23">
        <v>3</v>
      </c>
      <c r="K315" s="68">
        <v>1.0416666666666666E-2</v>
      </c>
      <c r="L315" s="68">
        <v>0.33333333333333331</v>
      </c>
      <c r="M315" s="68">
        <v>0.46527777777777773</v>
      </c>
      <c r="N315" s="173" t="s">
        <v>1299</v>
      </c>
      <c r="O315" s="23">
        <v>1640</v>
      </c>
      <c r="P315" s="70">
        <v>0.29166666666666669</v>
      </c>
      <c r="Q315" s="70">
        <v>0.46527777777777773</v>
      </c>
      <c r="R315" s="229" t="s">
        <v>1311</v>
      </c>
    </row>
    <row r="316" spans="1:18" x14ac:dyDescent="0.4">
      <c r="A316" s="29" t="s">
        <v>659</v>
      </c>
      <c r="B316" s="9" t="s">
        <v>63</v>
      </c>
      <c r="C316" s="30" t="s">
        <v>267</v>
      </c>
      <c r="D316" s="9">
        <v>24</v>
      </c>
      <c r="E316" s="77">
        <v>5</v>
      </c>
      <c r="F316" s="1"/>
      <c r="G316" s="76">
        <v>0.43402777777777773</v>
      </c>
      <c r="H316" s="76">
        <v>0.6875</v>
      </c>
      <c r="I316" s="173" t="s">
        <v>1466</v>
      </c>
      <c r="J316" s="23">
        <v>3</v>
      </c>
      <c r="K316" s="68">
        <v>1.0416666666666666E-2</v>
      </c>
      <c r="L316" s="68">
        <v>0.46527777777777773</v>
      </c>
      <c r="M316" s="68">
        <v>0.70833333333333337</v>
      </c>
      <c r="N316" s="173" t="s">
        <v>1466</v>
      </c>
      <c r="O316" s="23">
        <v>2440</v>
      </c>
      <c r="P316" s="70">
        <v>0.43402777777777773</v>
      </c>
      <c r="Q316" s="70">
        <v>0.70833333333333337</v>
      </c>
      <c r="R316" s="229" t="s">
        <v>1354</v>
      </c>
    </row>
    <row r="317" spans="1:18" x14ac:dyDescent="0.4">
      <c r="A317" s="29" t="s">
        <v>659</v>
      </c>
      <c r="B317" s="9" t="s">
        <v>83</v>
      </c>
      <c r="C317" s="30" t="s">
        <v>169</v>
      </c>
      <c r="D317" s="9">
        <v>20</v>
      </c>
      <c r="E317" s="77">
        <v>2</v>
      </c>
      <c r="F317" s="76">
        <v>4.1666666666666664E-2</v>
      </c>
      <c r="G317" s="76">
        <v>0.29166666666666669</v>
      </c>
      <c r="H317" s="76">
        <v>0.5</v>
      </c>
      <c r="I317" s="173" t="s">
        <v>1321</v>
      </c>
      <c r="J317" s="23">
        <v>7</v>
      </c>
      <c r="K317" s="23"/>
      <c r="L317" s="68">
        <v>0.29166666666666669</v>
      </c>
      <c r="M317" s="68">
        <v>0.5625</v>
      </c>
      <c r="N317" s="173" t="s">
        <v>1320</v>
      </c>
      <c r="O317" s="23">
        <v>3030</v>
      </c>
      <c r="P317" s="70">
        <v>0.29166666666666669</v>
      </c>
      <c r="Q317" s="70">
        <v>0.5625</v>
      </c>
      <c r="R317" s="229" t="s">
        <v>1320</v>
      </c>
    </row>
    <row r="318" spans="1:18" x14ac:dyDescent="0.4">
      <c r="A318" s="29" t="s">
        <v>659</v>
      </c>
      <c r="B318" s="9" t="s">
        <v>536</v>
      </c>
      <c r="C318" s="30" t="s">
        <v>306</v>
      </c>
      <c r="D318" s="9">
        <v>6</v>
      </c>
      <c r="E318" s="77">
        <v>3</v>
      </c>
      <c r="F318" s="76">
        <v>2.0833333333333332E-2</v>
      </c>
      <c r="G318" s="76">
        <v>0.4375</v>
      </c>
      <c r="H318" s="76">
        <v>0.56944444444444442</v>
      </c>
      <c r="I318" s="173" t="s">
        <v>1325</v>
      </c>
      <c r="J318" s="23">
        <v>7</v>
      </c>
      <c r="K318" s="23"/>
      <c r="L318" s="68">
        <v>0.54166666666666663</v>
      </c>
      <c r="M318" s="68">
        <v>0.6875</v>
      </c>
      <c r="N318" s="173" t="s">
        <v>1303</v>
      </c>
      <c r="O318" s="23">
        <v>1950</v>
      </c>
      <c r="P318" s="70">
        <v>0.4375</v>
      </c>
      <c r="Q318" s="70">
        <v>0.6875</v>
      </c>
      <c r="R318" s="229" t="s">
        <v>1327</v>
      </c>
    </row>
    <row r="319" spans="1:18" x14ac:dyDescent="0.4">
      <c r="A319" s="29" t="s">
        <v>660</v>
      </c>
      <c r="B319" s="9" t="s">
        <v>55</v>
      </c>
      <c r="C319" s="30" t="s">
        <v>208</v>
      </c>
      <c r="D319" s="9">
        <v>12</v>
      </c>
      <c r="E319" s="77">
        <v>5</v>
      </c>
      <c r="F319" s="1"/>
      <c r="G319" s="76">
        <v>0.29166666666666669</v>
      </c>
      <c r="H319" s="76">
        <v>0.42777777777777781</v>
      </c>
      <c r="I319" s="173" t="s">
        <v>1467</v>
      </c>
      <c r="J319" s="23">
        <v>4</v>
      </c>
      <c r="K319" s="68">
        <v>6.9444444444444441E-3</v>
      </c>
      <c r="L319" s="68">
        <v>0.33333333333333331</v>
      </c>
      <c r="M319" s="68">
        <v>0.47569444444444442</v>
      </c>
      <c r="N319" s="173" t="s">
        <v>1355</v>
      </c>
      <c r="O319" s="23">
        <v>1840</v>
      </c>
      <c r="P319" s="70">
        <v>0.29166666666666669</v>
      </c>
      <c r="Q319" s="70">
        <v>0.47569444444444442</v>
      </c>
      <c r="R319" s="229" t="s">
        <v>1356</v>
      </c>
    </row>
    <row r="320" spans="1:18" x14ac:dyDescent="0.4">
      <c r="A320" s="29" t="s">
        <v>660</v>
      </c>
      <c r="B320" s="9" t="s">
        <v>661</v>
      </c>
      <c r="C320" s="30" t="s">
        <v>645</v>
      </c>
      <c r="D320" s="9">
        <v>20</v>
      </c>
      <c r="E320" s="77">
        <v>5</v>
      </c>
      <c r="F320" s="1"/>
      <c r="G320" s="76">
        <v>0.42777777777777781</v>
      </c>
      <c r="H320" s="76">
        <v>0.67291666666666661</v>
      </c>
      <c r="I320" s="173" t="s">
        <v>1468</v>
      </c>
      <c r="J320" s="23">
        <v>4</v>
      </c>
      <c r="K320" s="68">
        <v>6.9444444444444441E-3</v>
      </c>
      <c r="L320" s="68">
        <v>0.47569444444444442</v>
      </c>
      <c r="M320" s="68">
        <v>0.69444444444444453</v>
      </c>
      <c r="N320" s="173" t="s">
        <v>1356</v>
      </c>
      <c r="O320" s="23">
        <v>2525</v>
      </c>
      <c r="P320" s="70">
        <v>0.42777777777777781</v>
      </c>
      <c r="Q320" s="70">
        <v>0.69444444444444453</v>
      </c>
      <c r="R320" s="229" t="s">
        <v>1408</v>
      </c>
    </row>
    <row r="321" spans="1:18" x14ac:dyDescent="0.4">
      <c r="A321" s="29" t="s">
        <v>660</v>
      </c>
      <c r="B321" s="9" t="s">
        <v>115</v>
      </c>
      <c r="C321" s="30" t="s">
        <v>214</v>
      </c>
      <c r="D321" s="9">
        <v>8</v>
      </c>
      <c r="E321" s="77">
        <v>5</v>
      </c>
      <c r="F321" s="1"/>
      <c r="G321" s="76">
        <v>0.67291666666666661</v>
      </c>
      <c r="H321" s="76">
        <v>0.77083333333333337</v>
      </c>
      <c r="I321" s="173" t="s">
        <v>1469</v>
      </c>
      <c r="J321" s="23">
        <v>4</v>
      </c>
      <c r="K321" s="68">
        <v>6.9444444444444441E-3</v>
      </c>
      <c r="L321" s="68">
        <v>0.69444444444444453</v>
      </c>
      <c r="M321" s="68">
        <v>0.8125</v>
      </c>
      <c r="N321" s="173" t="s">
        <v>1316</v>
      </c>
      <c r="O321" s="23">
        <v>1425</v>
      </c>
      <c r="P321" s="70">
        <v>0.67291666666666661</v>
      </c>
      <c r="Q321" s="70">
        <v>0.8125</v>
      </c>
      <c r="R321" s="229" t="s">
        <v>1470</v>
      </c>
    </row>
    <row r="322" spans="1:18" x14ac:dyDescent="0.4">
      <c r="A322" s="29" t="s">
        <v>660</v>
      </c>
      <c r="B322" s="9" t="s">
        <v>73</v>
      </c>
      <c r="C322" s="30" t="s">
        <v>231</v>
      </c>
      <c r="D322" s="9">
        <v>21</v>
      </c>
      <c r="E322" s="77">
        <v>3</v>
      </c>
      <c r="F322" s="76">
        <v>2.0833333333333332E-2</v>
      </c>
      <c r="G322" s="76">
        <v>0.29166666666666669</v>
      </c>
      <c r="H322" s="76">
        <v>0.70833333333333337</v>
      </c>
      <c r="I322" s="173" t="s">
        <v>1247</v>
      </c>
      <c r="J322" s="23">
        <v>6</v>
      </c>
      <c r="K322" s="23"/>
      <c r="L322" s="68">
        <v>0.33333333333333331</v>
      </c>
      <c r="M322" s="68">
        <v>0.70833333333333337</v>
      </c>
      <c r="N322" s="173" t="s">
        <v>1292</v>
      </c>
      <c r="O322" s="23">
        <v>4590</v>
      </c>
      <c r="P322" s="70">
        <v>0.29166666666666669</v>
      </c>
      <c r="Q322" s="70">
        <v>0.70833333333333337</v>
      </c>
      <c r="R322" s="229" t="s">
        <v>1252</v>
      </c>
    </row>
    <row r="323" spans="1:18" x14ac:dyDescent="0.4">
      <c r="A323" s="29" t="s">
        <v>660</v>
      </c>
      <c r="B323" s="9" t="s">
        <v>58</v>
      </c>
      <c r="C323" s="30" t="s">
        <v>165</v>
      </c>
      <c r="D323" s="9">
        <v>36</v>
      </c>
      <c r="E323" s="77">
        <v>3</v>
      </c>
      <c r="F323" s="76">
        <v>4.1666666666666664E-2</v>
      </c>
      <c r="G323" s="76">
        <v>0.29166666666666669</v>
      </c>
      <c r="H323" s="76">
        <v>0.625</v>
      </c>
      <c r="I323" s="173" t="s">
        <v>1292</v>
      </c>
      <c r="J323" s="23">
        <v>6</v>
      </c>
      <c r="K323" s="23"/>
      <c r="L323" s="68">
        <v>0.29166666666666669</v>
      </c>
      <c r="M323" s="68">
        <v>0.67361111111111116</v>
      </c>
      <c r="N323" s="173" t="s">
        <v>1307</v>
      </c>
      <c r="O323" s="23">
        <v>4380</v>
      </c>
      <c r="P323" s="70">
        <v>0.29166666666666669</v>
      </c>
      <c r="Q323" s="70">
        <v>0.67361111111111116</v>
      </c>
      <c r="R323" s="229" t="s">
        <v>1307</v>
      </c>
    </row>
    <row r="324" spans="1:18" x14ac:dyDescent="0.4">
      <c r="A324" s="29" t="s">
        <v>889</v>
      </c>
      <c r="B324" s="9" t="s">
        <v>88</v>
      </c>
      <c r="C324" s="30" t="s">
        <v>328</v>
      </c>
      <c r="D324" s="9">
        <v>40</v>
      </c>
      <c r="E324" s="77">
        <v>5</v>
      </c>
      <c r="F324" s="1"/>
      <c r="G324" s="76">
        <v>0.29166666666666669</v>
      </c>
      <c r="H324" s="76">
        <v>0.66666666666666663</v>
      </c>
      <c r="I324" s="173" t="s">
        <v>1292</v>
      </c>
      <c r="J324" s="23">
        <v>3</v>
      </c>
      <c r="K324" s="23"/>
      <c r="L324" s="68">
        <v>0.3125</v>
      </c>
      <c r="M324" s="68">
        <v>0.6875</v>
      </c>
      <c r="N324" s="173" t="s">
        <v>1292</v>
      </c>
      <c r="O324" s="23">
        <v>3840</v>
      </c>
      <c r="P324" s="70">
        <v>0.29166666666666669</v>
      </c>
      <c r="Q324" s="70">
        <v>0.6875</v>
      </c>
      <c r="R324" s="229" t="s">
        <v>990</v>
      </c>
    </row>
    <row r="325" spans="1:18" x14ac:dyDescent="0.4">
      <c r="A325" s="29" t="s">
        <v>889</v>
      </c>
      <c r="B325" s="9" t="s">
        <v>110</v>
      </c>
      <c r="C325" s="30" t="s">
        <v>231</v>
      </c>
      <c r="D325" s="9">
        <v>21</v>
      </c>
      <c r="E325" s="77">
        <v>6</v>
      </c>
      <c r="F325" s="1"/>
      <c r="G325" s="76">
        <v>0.29166666666666669</v>
      </c>
      <c r="H325" s="76">
        <v>0.67708333333333337</v>
      </c>
      <c r="I325" s="173" t="s">
        <v>1340</v>
      </c>
      <c r="J325" s="23">
        <v>8</v>
      </c>
      <c r="K325" s="23"/>
      <c r="L325" s="68">
        <v>0.39583333333333331</v>
      </c>
      <c r="M325" s="68">
        <v>0.70833333333333337</v>
      </c>
      <c r="N325" s="173" t="s">
        <v>1329</v>
      </c>
      <c r="O325" s="23">
        <v>6090</v>
      </c>
      <c r="P325" s="70">
        <v>0.29166666666666669</v>
      </c>
      <c r="Q325" s="70">
        <v>0.70833333333333337</v>
      </c>
      <c r="R325" s="229" t="s">
        <v>1252</v>
      </c>
    </row>
    <row r="326" spans="1:18" x14ac:dyDescent="0.4">
      <c r="A326" s="29" t="s">
        <v>889</v>
      </c>
      <c r="B326" s="9" t="s">
        <v>65</v>
      </c>
      <c r="C326" s="30" t="s">
        <v>189</v>
      </c>
      <c r="D326" s="224">
        <v>72</v>
      </c>
      <c r="E326" s="77">
        <v>3</v>
      </c>
      <c r="F326" s="76">
        <v>4.1666666666666664E-2</v>
      </c>
      <c r="G326" s="76">
        <v>0.29166666666666669</v>
      </c>
      <c r="H326" s="76">
        <v>0.77083333333333337</v>
      </c>
      <c r="I326" s="173" t="s">
        <v>1336</v>
      </c>
      <c r="J326" s="23">
        <v>4</v>
      </c>
      <c r="K326" s="23"/>
      <c r="L326" s="68">
        <v>0.29166666666666669</v>
      </c>
      <c r="M326" s="68">
        <v>0.79166666666666663</v>
      </c>
      <c r="N326" s="173" t="s">
        <v>1318</v>
      </c>
      <c r="O326" s="23">
        <v>4710</v>
      </c>
      <c r="P326" s="70">
        <v>0.29166666666666669</v>
      </c>
      <c r="Q326" s="70">
        <v>0.79166666666666663</v>
      </c>
      <c r="R326" s="229" t="s">
        <v>1318</v>
      </c>
    </row>
    <row r="327" spans="1:18" x14ac:dyDescent="0.4">
      <c r="A327" s="29" t="s">
        <v>891</v>
      </c>
      <c r="B327" s="9" t="s">
        <v>87</v>
      </c>
      <c r="C327" s="30" t="s">
        <v>199</v>
      </c>
      <c r="D327" s="9">
        <v>36</v>
      </c>
      <c r="E327" s="77">
        <v>6</v>
      </c>
      <c r="F327" s="1"/>
      <c r="G327" s="76">
        <v>0.54166666666666663</v>
      </c>
      <c r="H327" s="76">
        <v>0.72916666666666663</v>
      </c>
      <c r="I327" s="173" t="s">
        <v>1243</v>
      </c>
      <c r="J327" s="23">
        <v>6</v>
      </c>
      <c r="K327" s="23"/>
      <c r="L327" s="68">
        <v>0.54166666666666663</v>
      </c>
      <c r="M327" s="68">
        <v>0.72916666666666663</v>
      </c>
      <c r="N327" s="173" t="s">
        <v>1243</v>
      </c>
      <c r="O327" s="23">
        <v>3240</v>
      </c>
      <c r="P327" s="70">
        <v>0.54166666666666663</v>
      </c>
      <c r="Q327" s="70">
        <v>0.72916666666666663</v>
      </c>
      <c r="R327" s="229" t="s">
        <v>1243</v>
      </c>
    </row>
    <row r="328" spans="1:18" x14ac:dyDescent="0.4">
      <c r="A328" s="29" t="s">
        <v>891</v>
      </c>
      <c r="B328" s="9" t="s">
        <v>114</v>
      </c>
      <c r="C328" s="30" t="s">
        <v>161</v>
      </c>
      <c r="D328" s="9">
        <v>12</v>
      </c>
      <c r="E328" s="77">
        <v>4</v>
      </c>
      <c r="F328" s="1"/>
      <c r="G328" s="76">
        <v>0.29166666666666669</v>
      </c>
      <c r="H328" s="76">
        <v>0.5</v>
      </c>
      <c r="I328" s="173" t="s">
        <v>1327</v>
      </c>
      <c r="J328" s="23">
        <v>13</v>
      </c>
      <c r="K328" s="23"/>
      <c r="L328" s="68">
        <v>0.3125</v>
      </c>
      <c r="M328" s="68">
        <v>0.5</v>
      </c>
      <c r="N328" s="173" t="s">
        <v>1243</v>
      </c>
      <c r="O328" s="23">
        <v>4710</v>
      </c>
      <c r="P328" s="70">
        <v>0.29166666666666669</v>
      </c>
      <c r="Q328" s="70">
        <v>0.5</v>
      </c>
      <c r="R328" s="229" t="s">
        <v>1327</v>
      </c>
    </row>
    <row r="329" spans="1:18" x14ac:dyDescent="0.4">
      <c r="A329" s="29" t="s">
        <v>891</v>
      </c>
      <c r="B329" s="9" t="s">
        <v>72</v>
      </c>
      <c r="C329" s="30" t="s">
        <v>227</v>
      </c>
      <c r="D329" s="9">
        <v>20</v>
      </c>
      <c r="E329" s="77">
        <v>5</v>
      </c>
      <c r="F329" s="1"/>
      <c r="G329" s="76">
        <v>0.40972222222222227</v>
      </c>
      <c r="H329" s="76">
        <v>0.6875</v>
      </c>
      <c r="I329" s="173" t="s">
        <v>1339</v>
      </c>
      <c r="J329" s="23">
        <v>3</v>
      </c>
      <c r="K329" s="23"/>
      <c r="L329" s="68">
        <v>0.3125</v>
      </c>
      <c r="M329" s="68">
        <v>0.4375</v>
      </c>
      <c r="N329" s="173" t="s">
        <v>1316</v>
      </c>
      <c r="O329" s="23">
        <v>2240</v>
      </c>
      <c r="P329" s="70">
        <v>0.3125</v>
      </c>
      <c r="Q329" s="70">
        <v>0.6875</v>
      </c>
      <c r="R329" s="229" t="s">
        <v>1292</v>
      </c>
    </row>
    <row r="330" spans="1:18" x14ac:dyDescent="0.4">
      <c r="A330" s="29" t="s">
        <v>891</v>
      </c>
      <c r="B330" s="9" t="s">
        <v>93</v>
      </c>
      <c r="C330" s="30" t="s">
        <v>322</v>
      </c>
      <c r="D330" s="9">
        <v>16</v>
      </c>
      <c r="E330" s="77">
        <v>5</v>
      </c>
      <c r="F330" s="1"/>
      <c r="G330" s="76">
        <v>0.29166666666666669</v>
      </c>
      <c r="H330" s="76">
        <v>0.40972222222222227</v>
      </c>
      <c r="I330" s="173" t="s">
        <v>1314</v>
      </c>
      <c r="J330" s="23">
        <v>3</v>
      </c>
      <c r="K330" s="23"/>
      <c r="L330" s="68">
        <v>0.4375</v>
      </c>
      <c r="M330" s="68">
        <v>0.6875</v>
      </c>
      <c r="N330" s="173" t="s">
        <v>1327</v>
      </c>
      <c r="O330" s="23">
        <v>1750</v>
      </c>
      <c r="P330" s="70">
        <v>0.29166666666666669</v>
      </c>
      <c r="Q330" s="70">
        <v>0.6875</v>
      </c>
      <c r="R330" s="229" t="s">
        <v>990</v>
      </c>
    </row>
    <row r="331" spans="1:18" x14ac:dyDescent="0.4">
      <c r="A331" s="29" t="s">
        <v>891</v>
      </c>
      <c r="B331" s="9" t="s">
        <v>104</v>
      </c>
      <c r="C331" s="30" t="s">
        <v>191</v>
      </c>
      <c r="D331" s="9">
        <v>72</v>
      </c>
      <c r="E331" s="77">
        <v>3</v>
      </c>
      <c r="F331" s="76">
        <v>4.1666666666666664E-2</v>
      </c>
      <c r="G331" s="76">
        <v>0.29166666666666669</v>
      </c>
      <c r="H331" s="76">
        <v>0.70833333333333337</v>
      </c>
      <c r="I331" s="173" t="s">
        <v>1308</v>
      </c>
      <c r="J331" s="23">
        <v>4</v>
      </c>
      <c r="K331" s="23"/>
      <c r="L331" s="68">
        <v>0.29166666666666669</v>
      </c>
      <c r="M331" s="68">
        <v>0.72916666666666663</v>
      </c>
      <c r="N331" s="173" t="s">
        <v>1247</v>
      </c>
      <c r="O331" s="23">
        <v>4080</v>
      </c>
      <c r="P331" s="70">
        <v>0.29166666666666669</v>
      </c>
      <c r="Q331" s="70">
        <v>0.72916666666666663</v>
      </c>
      <c r="R331" s="229" t="s">
        <v>1247</v>
      </c>
    </row>
    <row r="332" spans="1:18" x14ac:dyDescent="0.4">
      <c r="A332" s="29" t="s">
        <v>892</v>
      </c>
      <c r="B332" s="9" t="s">
        <v>54</v>
      </c>
      <c r="C332" s="30" t="s">
        <v>251</v>
      </c>
      <c r="D332" s="9">
        <v>30</v>
      </c>
      <c r="E332" s="77">
        <v>4</v>
      </c>
      <c r="F332" s="1"/>
      <c r="G332" s="76">
        <v>0.29166666666666669</v>
      </c>
      <c r="H332" s="76">
        <v>0.59027777777777779</v>
      </c>
      <c r="I332" s="173" t="s">
        <v>1471</v>
      </c>
      <c r="J332" s="23">
        <v>4</v>
      </c>
      <c r="K332" s="68">
        <v>1.0416666666666666E-2</v>
      </c>
      <c r="L332" s="68">
        <v>0.33333333333333331</v>
      </c>
      <c r="M332" s="68">
        <v>0.67361111111111116</v>
      </c>
      <c r="N332" s="173" t="s">
        <v>1406</v>
      </c>
      <c r="O332" s="23">
        <v>3260</v>
      </c>
      <c r="P332" s="70">
        <v>0.29166666666666669</v>
      </c>
      <c r="Q332" s="70">
        <v>0.67361111111111116</v>
      </c>
      <c r="R332" s="229" t="s">
        <v>1307</v>
      </c>
    </row>
    <row r="333" spans="1:18" x14ac:dyDescent="0.4">
      <c r="A333" s="29" t="s">
        <v>892</v>
      </c>
      <c r="B333" s="9" t="s">
        <v>51</v>
      </c>
      <c r="C333" s="30" t="s">
        <v>253</v>
      </c>
      <c r="D333" s="9">
        <v>12</v>
      </c>
      <c r="E333" s="77">
        <v>5</v>
      </c>
      <c r="F333" s="1"/>
      <c r="G333" s="76">
        <v>0.59027777777777779</v>
      </c>
      <c r="H333" s="76">
        <v>0.75</v>
      </c>
      <c r="I333" s="173" t="s">
        <v>1332</v>
      </c>
      <c r="J333" s="23">
        <v>4</v>
      </c>
      <c r="K333" s="68">
        <v>1.0416666666666666E-2</v>
      </c>
      <c r="L333" s="68">
        <v>0.67361111111111116</v>
      </c>
      <c r="M333" s="68">
        <v>0.77083333333333337</v>
      </c>
      <c r="N333" s="173" t="s">
        <v>1301</v>
      </c>
      <c r="O333" s="23">
        <v>1770</v>
      </c>
      <c r="P333" s="70">
        <v>0.59027777777777779</v>
      </c>
      <c r="Q333" s="70">
        <v>0.77083333333333337</v>
      </c>
      <c r="R333" s="229" t="s">
        <v>1379</v>
      </c>
    </row>
    <row r="334" spans="1:18" x14ac:dyDescent="0.4">
      <c r="A334" s="29" t="s">
        <v>892</v>
      </c>
      <c r="B334" s="9" t="s">
        <v>118</v>
      </c>
      <c r="C334" s="30" t="s">
        <v>318</v>
      </c>
      <c r="D334" s="9">
        <v>4</v>
      </c>
      <c r="E334" s="77">
        <v>5</v>
      </c>
      <c r="F334" s="1"/>
      <c r="G334" s="76">
        <v>0.29166666666666669</v>
      </c>
      <c r="H334" s="76">
        <v>0.33402777777777781</v>
      </c>
      <c r="I334" s="173" t="s">
        <v>1472</v>
      </c>
      <c r="J334" s="23">
        <v>4</v>
      </c>
      <c r="K334" s="68">
        <v>6.9444444444444441E-3</v>
      </c>
      <c r="L334" s="68">
        <v>0.33333333333333331</v>
      </c>
      <c r="M334" s="68">
        <v>0.37152777777777773</v>
      </c>
      <c r="N334" s="173" t="s">
        <v>1473</v>
      </c>
      <c r="O334" s="23">
        <v>565</v>
      </c>
      <c r="P334" s="70">
        <v>0.29166666666666669</v>
      </c>
      <c r="Q334" s="70">
        <v>0.37152777777777773</v>
      </c>
      <c r="R334" s="229" t="s">
        <v>1457</v>
      </c>
    </row>
    <row r="335" spans="1:18" x14ac:dyDescent="0.4">
      <c r="A335" s="29" t="s">
        <v>892</v>
      </c>
      <c r="B335" s="9" t="s">
        <v>55</v>
      </c>
      <c r="C335" s="30" t="s">
        <v>208</v>
      </c>
      <c r="D335" s="9">
        <v>24</v>
      </c>
      <c r="E335" s="77">
        <v>5</v>
      </c>
      <c r="F335" s="1"/>
      <c r="G335" s="76">
        <v>0.33402777777777781</v>
      </c>
      <c r="H335" s="76">
        <v>0.61805555555555558</v>
      </c>
      <c r="I335" s="173" t="s">
        <v>1422</v>
      </c>
      <c r="J335" s="23">
        <v>4</v>
      </c>
      <c r="K335" s="68">
        <v>6.9444444444444441E-3</v>
      </c>
      <c r="L335" s="68">
        <v>0.37152777777777773</v>
      </c>
      <c r="M335" s="68">
        <v>0.65972222222222221</v>
      </c>
      <c r="N335" s="173" t="s">
        <v>1360</v>
      </c>
      <c r="O335" s="23">
        <v>3205</v>
      </c>
      <c r="P335" s="70">
        <v>0.33402777777777781</v>
      </c>
      <c r="Q335" s="70">
        <v>0.65972222222222221</v>
      </c>
      <c r="R335" s="229" t="s">
        <v>1474</v>
      </c>
    </row>
    <row r="336" spans="1:18" x14ac:dyDescent="0.4">
      <c r="A336" s="29" t="s">
        <v>892</v>
      </c>
      <c r="B336" s="9" t="s">
        <v>885</v>
      </c>
      <c r="C336" s="30" t="s">
        <v>886</v>
      </c>
      <c r="D336" s="9">
        <v>6</v>
      </c>
      <c r="E336" s="77">
        <v>5</v>
      </c>
      <c r="F336" s="1"/>
      <c r="G336" s="76">
        <v>0.61805555555555558</v>
      </c>
      <c r="H336" s="76">
        <v>0.70833333333333337</v>
      </c>
      <c r="I336" s="173" t="s">
        <v>1248</v>
      </c>
      <c r="J336" s="23">
        <v>4</v>
      </c>
      <c r="K336" s="68">
        <v>6.9444444444444441E-3</v>
      </c>
      <c r="L336" s="68">
        <v>0.65972222222222221</v>
      </c>
      <c r="M336" s="68">
        <v>0.72916666666666663</v>
      </c>
      <c r="N336" s="173" t="s">
        <v>1377</v>
      </c>
      <c r="O336" s="23">
        <v>1090</v>
      </c>
      <c r="P336" s="70">
        <v>0.61805555555555558</v>
      </c>
      <c r="Q336" s="70">
        <v>0.72916666666666663</v>
      </c>
      <c r="R336" s="229" t="s">
        <v>1325</v>
      </c>
    </row>
    <row r="337" spans="1:18" x14ac:dyDescent="0.4">
      <c r="A337" s="29" t="s">
        <v>892</v>
      </c>
      <c r="B337" s="9" t="s">
        <v>123</v>
      </c>
      <c r="C337" s="30" t="s">
        <v>277</v>
      </c>
      <c r="D337" s="9">
        <v>40</v>
      </c>
      <c r="E337" s="77">
        <v>3</v>
      </c>
      <c r="F337" s="76">
        <v>4.1666666666666664E-2</v>
      </c>
      <c r="G337" s="76">
        <v>0.29166666666666669</v>
      </c>
      <c r="H337" s="76">
        <v>0.60416666666666663</v>
      </c>
      <c r="I337" s="173" t="s">
        <v>1309</v>
      </c>
      <c r="J337" s="23">
        <v>4</v>
      </c>
      <c r="K337" s="23"/>
      <c r="L337" s="68">
        <v>0.29166666666666669</v>
      </c>
      <c r="M337" s="68">
        <v>0.63194444444444442</v>
      </c>
      <c r="N337" s="173" t="s">
        <v>1403</v>
      </c>
      <c r="O337" s="23">
        <v>3070</v>
      </c>
      <c r="P337" s="70">
        <v>0.29166666666666669</v>
      </c>
      <c r="Q337" s="70">
        <v>0.63194444444444442</v>
      </c>
      <c r="R337" s="229" t="s">
        <v>1403</v>
      </c>
    </row>
    <row r="338" spans="1:18" x14ac:dyDescent="0.4">
      <c r="A338" s="29" t="s">
        <v>893</v>
      </c>
      <c r="B338" s="9" t="s">
        <v>71</v>
      </c>
      <c r="C338" s="30" t="s">
        <v>176</v>
      </c>
      <c r="D338" s="9">
        <v>72</v>
      </c>
      <c r="E338" s="77">
        <v>6</v>
      </c>
      <c r="F338" s="1"/>
      <c r="G338" s="76">
        <v>0.29166666666666669</v>
      </c>
      <c r="H338" s="76">
        <v>0.66666666666666663</v>
      </c>
      <c r="I338" s="173" t="s">
        <v>1292</v>
      </c>
      <c r="J338" s="23">
        <v>5</v>
      </c>
      <c r="K338" s="23"/>
      <c r="L338" s="68">
        <v>0.3125</v>
      </c>
      <c r="M338" s="68">
        <v>0.70833333333333337</v>
      </c>
      <c r="N338" s="173" t="s">
        <v>990</v>
      </c>
      <c r="O338" s="23">
        <v>5430</v>
      </c>
      <c r="P338" s="70">
        <v>0.29166666666666669</v>
      </c>
      <c r="Q338" s="70">
        <v>0.70833333333333337</v>
      </c>
      <c r="R338" s="229" t="s">
        <v>1252</v>
      </c>
    </row>
    <row r="339" spans="1:18" x14ac:dyDescent="0.4">
      <c r="A339" s="29" t="s">
        <v>893</v>
      </c>
      <c r="B339" s="9" t="s">
        <v>73</v>
      </c>
      <c r="C339" s="30" t="s">
        <v>231</v>
      </c>
      <c r="D339" s="9">
        <v>21</v>
      </c>
      <c r="E339" s="77">
        <v>6</v>
      </c>
      <c r="F339" s="1"/>
      <c r="G339" s="76">
        <v>0.29166666666666669</v>
      </c>
      <c r="H339" s="76">
        <v>0.67708333333333337</v>
      </c>
      <c r="I339" s="173" t="s">
        <v>1340</v>
      </c>
      <c r="J339" s="23">
        <v>9</v>
      </c>
      <c r="K339" s="23"/>
      <c r="L339" s="68">
        <v>0.39583333333333331</v>
      </c>
      <c r="M339" s="68">
        <v>0.70833333333333337</v>
      </c>
      <c r="N339" s="173" t="s">
        <v>1329</v>
      </c>
      <c r="O339" s="23">
        <v>6480</v>
      </c>
      <c r="P339" s="70">
        <v>0.29166666666666669</v>
      </c>
      <c r="Q339" s="70">
        <v>0.70833333333333337</v>
      </c>
      <c r="R339" s="229" t="s">
        <v>1252</v>
      </c>
    </row>
    <row r="340" spans="1:18" x14ac:dyDescent="0.4">
      <c r="A340" s="29" t="s">
        <v>893</v>
      </c>
      <c r="B340" s="9" t="s">
        <v>65</v>
      </c>
      <c r="C340" s="30" t="s">
        <v>189</v>
      </c>
      <c r="D340" s="224">
        <v>36</v>
      </c>
      <c r="E340" s="77">
        <v>3</v>
      </c>
      <c r="F340" s="1"/>
      <c r="G340" s="76">
        <v>0.29166666666666669</v>
      </c>
      <c r="H340" s="76">
        <v>0.5</v>
      </c>
      <c r="I340" s="173" t="s">
        <v>1327</v>
      </c>
      <c r="J340" s="23">
        <v>4</v>
      </c>
      <c r="K340" s="23"/>
      <c r="L340" s="68">
        <v>0.29166666666666669</v>
      </c>
      <c r="M340" s="68">
        <v>0.58333333333333337</v>
      </c>
      <c r="N340" s="173" t="s">
        <v>1321</v>
      </c>
      <c r="O340" s="23">
        <v>2340</v>
      </c>
      <c r="P340" s="70">
        <v>0.29166666666666669</v>
      </c>
      <c r="Q340" s="70">
        <v>0.58333333333333337</v>
      </c>
      <c r="R340" s="229" t="s">
        <v>1321</v>
      </c>
    </row>
    <row r="341" spans="1:18" x14ac:dyDescent="0.4">
      <c r="A341" s="29" t="s">
        <v>895</v>
      </c>
      <c r="B341" s="9" t="s">
        <v>602</v>
      </c>
      <c r="C341" s="30" t="s">
        <v>324</v>
      </c>
      <c r="D341" s="9">
        <v>8</v>
      </c>
      <c r="E341" s="77">
        <v>3</v>
      </c>
      <c r="F341" s="1"/>
      <c r="G341" s="76">
        <v>0.47916666666666669</v>
      </c>
      <c r="H341" s="76">
        <v>0.6875</v>
      </c>
      <c r="I341" s="173" t="s">
        <v>1244</v>
      </c>
      <c r="J341" s="23">
        <v>4</v>
      </c>
      <c r="K341" s="23"/>
      <c r="L341" s="68">
        <v>0.58333333333333337</v>
      </c>
      <c r="M341" s="68">
        <v>0.70833333333333337</v>
      </c>
      <c r="N341" s="173" t="s">
        <v>1316</v>
      </c>
      <c r="O341" s="23">
        <v>1440</v>
      </c>
      <c r="P341" s="70">
        <v>0.47916666666666669</v>
      </c>
      <c r="Q341" s="70">
        <v>0.70833333333333337</v>
      </c>
      <c r="R341" s="229" t="s">
        <v>1243</v>
      </c>
    </row>
    <row r="342" spans="1:18" x14ac:dyDescent="0.4">
      <c r="A342" s="29" t="s">
        <v>896</v>
      </c>
      <c r="B342" s="9" t="s">
        <v>106</v>
      </c>
      <c r="C342" s="30" t="s">
        <v>173</v>
      </c>
      <c r="D342" s="9">
        <v>12</v>
      </c>
      <c r="E342" s="77">
        <v>4</v>
      </c>
      <c r="F342" s="1"/>
      <c r="G342" s="76">
        <v>0.29166666666666669</v>
      </c>
      <c r="H342" s="76">
        <v>0.5</v>
      </c>
      <c r="I342" s="173" t="s">
        <v>1327</v>
      </c>
      <c r="J342" s="23">
        <v>9</v>
      </c>
      <c r="K342" s="23"/>
      <c r="L342" s="68">
        <v>0.3125</v>
      </c>
      <c r="M342" s="68">
        <v>0.5</v>
      </c>
      <c r="N342" s="173" t="s">
        <v>1243</v>
      </c>
      <c r="O342" s="23">
        <v>3630</v>
      </c>
      <c r="P342" s="70">
        <v>0.29166666666666669</v>
      </c>
      <c r="Q342" s="70">
        <v>0.5</v>
      </c>
      <c r="R342" s="229" t="s">
        <v>1327</v>
      </c>
    </row>
    <row r="343" spans="1:18" x14ac:dyDescent="0.4">
      <c r="A343" s="29" t="s">
        <v>896</v>
      </c>
      <c r="B343" s="9" t="s">
        <v>887</v>
      </c>
      <c r="C343" s="30" t="s">
        <v>888</v>
      </c>
      <c r="D343" s="9">
        <v>4</v>
      </c>
      <c r="E343" s="77">
        <v>4</v>
      </c>
      <c r="F343" s="1"/>
      <c r="G343" s="76">
        <v>0.52083333333333337</v>
      </c>
      <c r="H343" s="76">
        <v>0.62291666666666667</v>
      </c>
      <c r="I343" s="173" t="s">
        <v>1451</v>
      </c>
      <c r="J343" s="23">
        <v>10</v>
      </c>
      <c r="K343" s="23"/>
      <c r="L343" s="68">
        <v>0.54166666666666663</v>
      </c>
      <c r="M343" s="68">
        <v>0.64583333333333337</v>
      </c>
      <c r="N343" s="173" t="s">
        <v>1298</v>
      </c>
      <c r="O343" s="23">
        <v>2088</v>
      </c>
      <c r="P343" s="70">
        <v>0.52083333333333337</v>
      </c>
      <c r="Q343" s="70">
        <v>0.64583333333333337</v>
      </c>
      <c r="R343" s="229" t="s">
        <v>1316</v>
      </c>
    </row>
    <row r="344" spans="1:18" x14ac:dyDescent="0.4">
      <c r="A344" s="29" t="s">
        <v>896</v>
      </c>
      <c r="B344" s="9" t="s">
        <v>473</v>
      </c>
      <c r="C344" s="30" t="s">
        <v>289</v>
      </c>
      <c r="D344" s="9">
        <v>8</v>
      </c>
      <c r="E344" s="77">
        <v>4</v>
      </c>
      <c r="F344" s="1"/>
      <c r="G344" s="76">
        <v>0.62291666666666667</v>
      </c>
      <c r="H344" s="76">
        <v>0.75</v>
      </c>
      <c r="I344" s="173" t="s">
        <v>1475</v>
      </c>
      <c r="J344" s="23">
        <v>12</v>
      </c>
      <c r="K344" s="23"/>
      <c r="L344" s="68">
        <v>0.64583333333333337</v>
      </c>
      <c r="M344" s="68">
        <v>0.79166666666666663</v>
      </c>
      <c r="N344" s="173" t="s">
        <v>1303</v>
      </c>
      <c r="O344" s="23">
        <v>3252</v>
      </c>
      <c r="P344" s="70">
        <v>0.62291666666666667</v>
      </c>
      <c r="Q344" s="70">
        <v>0.79166666666666663</v>
      </c>
      <c r="R344" s="229" t="s">
        <v>1476</v>
      </c>
    </row>
    <row r="345" spans="1:18" x14ac:dyDescent="0.4">
      <c r="A345" s="29" t="s">
        <v>896</v>
      </c>
      <c r="B345" s="9" t="s">
        <v>88</v>
      </c>
      <c r="C345" s="30" t="s">
        <v>328</v>
      </c>
      <c r="D345" s="9">
        <v>40</v>
      </c>
      <c r="E345" s="77">
        <v>5</v>
      </c>
      <c r="F345" s="1"/>
      <c r="G345" s="76">
        <v>0.29166666666666669</v>
      </c>
      <c r="H345" s="76">
        <v>0.66666666666666663</v>
      </c>
      <c r="I345" s="173" t="s">
        <v>1292</v>
      </c>
      <c r="J345" s="23">
        <v>3</v>
      </c>
      <c r="K345" s="23"/>
      <c r="L345" s="68">
        <v>0.3125</v>
      </c>
      <c r="M345" s="68">
        <v>0.6875</v>
      </c>
      <c r="N345" s="173" t="s">
        <v>1292</v>
      </c>
      <c r="O345" s="23">
        <v>3840</v>
      </c>
      <c r="P345" s="70">
        <v>0.29166666666666669</v>
      </c>
      <c r="Q345" s="70">
        <v>0.6875</v>
      </c>
      <c r="R345" s="229" t="s">
        <v>990</v>
      </c>
    </row>
    <row r="346" spans="1:18" x14ac:dyDescent="0.4">
      <c r="A346" s="29" t="s">
        <v>896</v>
      </c>
      <c r="B346" s="9" t="s">
        <v>65</v>
      </c>
      <c r="C346" s="30" t="s">
        <v>189</v>
      </c>
      <c r="D346" s="224">
        <v>72</v>
      </c>
      <c r="E346" s="77">
        <v>3</v>
      </c>
      <c r="F346" s="76">
        <v>6.25E-2</v>
      </c>
      <c r="G346" s="76">
        <v>0.29166666666666669</v>
      </c>
      <c r="H346" s="76">
        <v>0.77083333333333337</v>
      </c>
      <c r="I346" s="173" t="s">
        <v>1317</v>
      </c>
      <c r="J346" s="23">
        <v>4</v>
      </c>
      <c r="K346" s="23"/>
      <c r="L346" s="68">
        <v>0.29166666666666669</v>
      </c>
      <c r="M346" s="68">
        <v>0.8125</v>
      </c>
      <c r="N346" s="173" t="s">
        <v>1336</v>
      </c>
      <c r="O346" s="23">
        <v>4920</v>
      </c>
      <c r="P346" s="70">
        <v>0.29166666666666669</v>
      </c>
      <c r="Q346" s="70">
        <v>0.8125</v>
      </c>
      <c r="R346" s="229" t="s">
        <v>1336</v>
      </c>
    </row>
    <row r="347" spans="1:18" s="146" customFormat="1" x14ac:dyDescent="0.4">
      <c r="A347" s="135">
        <v>45667</v>
      </c>
      <c r="B347" s="102">
        <v>151010</v>
      </c>
      <c r="C347" s="136" t="s">
        <v>482</v>
      </c>
      <c r="D347" s="102">
        <v>1</v>
      </c>
      <c r="E347" s="103"/>
      <c r="F347" s="104"/>
      <c r="G347" s="104"/>
      <c r="H347" s="104"/>
      <c r="I347" s="225" t="s">
        <v>1002</v>
      </c>
      <c r="J347" s="105"/>
      <c r="K347" s="105"/>
      <c r="L347" s="106"/>
      <c r="M347" s="106"/>
      <c r="N347" s="225" t="s">
        <v>1002</v>
      </c>
      <c r="O347" s="105">
        <v>0</v>
      </c>
      <c r="P347" s="247">
        <v>0</v>
      </c>
      <c r="Q347" s="247">
        <v>0</v>
      </c>
      <c r="R347" s="232" t="s">
        <v>1002</v>
      </c>
    </row>
    <row r="348" spans="1:18" x14ac:dyDescent="0.4">
      <c r="A348" s="133">
        <v>45670</v>
      </c>
      <c r="B348" s="9" t="s">
        <v>91</v>
      </c>
      <c r="C348" s="30" t="s">
        <v>163</v>
      </c>
      <c r="D348" s="9">
        <v>16</v>
      </c>
      <c r="E348" s="77">
        <v>4</v>
      </c>
      <c r="F348" s="1"/>
      <c r="G348" s="76">
        <v>0.29166666666666669</v>
      </c>
      <c r="H348" s="76">
        <v>0.5</v>
      </c>
      <c r="I348" s="173" t="s">
        <v>1327</v>
      </c>
      <c r="J348" s="23">
        <v>9</v>
      </c>
      <c r="K348" s="68">
        <v>1.0416666666666666E-2</v>
      </c>
      <c r="L348" s="68">
        <v>0.375</v>
      </c>
      <c r="M348" s="68">
        <v>0.54166666666666663</v>
      </c>
      <c r="N348" s="173" t="s">
        <v>1391</v>
      </c>
      <c r="O348" s="23">
        <v>2955</v>
      </c>
      <c r="P348" s="70">
        <v>0.29166666666666669</v>
      </c>
      <c r="Q348" s="70">
        <v>0.54166666666666663</v>
      </c>
      <c r="R348" s="229" t="s">
        <v>1327</v>
      </c>
    </row>
    <row r="349" spans="1:18" x14ac:dyDescent="0.4">
      <c r="A349" s="133">
        <v>45670</v>
      </c>
      <c r="B349" s="9" t="s">
        <v>158</v>
      </c>
      <c r="C349" s="30" t="s">
        <v>159</v>
      </c>
      <c r="D349" s="9">
        <v>4</v>
      </c>
      <c r="E349" s="77">
        <v>4</v>
      </c>
      <c r="F349" s="1"/>
      <c r="G349" s="76">
        <v>0.54166666666666663</v>
      </c>
      <c r="H349" s="76">
        <v>0.60555555555555551</v>
      </c>
      <c r="I349" s="173" t="s">
        <v>1477</v>
      </c>
      <c r="J349" s="23">
        <v>9</v>
      </c>
      <c r="K349" s="68">
        <v>1.0416666666666666E-2</v>
      </c>
      <c r="L349" s="68">
        <v>0.57638888888888895</v>
      </c>
      <c r="M349" s="68">
        <v>0.57638888888888895</v>
      </c>
      <c r="N349" s="173" t="s">
        <v>1478</v>
      </c>
      <c r="O349" s="23">
        <v>503</v>
      </c>
      <c r="P349" s="70">
        <v>0.54166666666666663</v>
      </c>
      <c r="Q349" s="70">
        <v>0.60555555555555551</v>
      </c>
      <c r="R349" s="229" t="s">
        <v>1477</v>
      </c>
    </row>
    <row r="350" spans="1:18" x14ac:dyDescent="0.4">
      <c r="A350" s="133">
        <v>45670</v>
      </c>
      <c r="B350" s="9" t="s">
        <v>636</v>
      </c>
      <c r="C350" s="30" t="e">
        <v>#N/A</v>
      </c>
      <c r="D350" s="134">
        <v>0.42666666666666669</v>
      </c>
      <c r="E350" s="77">
        <v>4</v>
      </c>
      <c r="F350" s="1"/>
      <c r="G350" s="76">
        <v>0.60555555555555551</v>
      </c>
      <c r="H350" s="76">
        <v>0.63888888888888895</v>
      </c>
      <c r="I350" s="173" t="s">
        <v>1479</v>
      </c>
      <c r="J350" s="23">
        <v>9</v>
      </c>
      <c r="K350" s="68">
        <v>1.0416666666666666E-2</v>
      </c>
      <c r="L350" s="68">
        <v>0.64583333333333337</v>
      </c>
      <c r="M350" s="68">
        <v>0.67361111111111116</v>
      </c>
      <c r="N350" s="173" t="s">
        <v>1447</v>
      </c>
      <c r="O350" s="23">
        <v>687</v>
      </c>
      <c r="P350" s="70">
        <v>0.60555555555555551</v>
      </c>
      <c r="Q350" s="70">
        <v>0.67361111111111116</v>
      </c>
      <c r="R350" s="229" t="s">
        <v>1385</v>
      </c>
    </row>
    <row r="351" spans="1:18" x14ac:dyDescent="0.4">
      <c r="A351" s="133">
        <v>45670</v>
      </c>
      <c r="B351" s="9" t="s">
        <v>636</v>
      </c>
      <c r="C351" s="30" t="e">
        <v>#N/A</v>
      </c>
      <c r="D351" s="134">
        <v>10.666666666666666</v>
      </c>
      <c r="E351" s="77">
        <v>4</v>
      </c>
      <c r="F351" s="1"/>
      <c r="G351" s="76">
        <v>0.63888888888888895</v>
      </c>
      <c r="H351" s="76">
        <v>0.6875</v>
      </c>
      <c r="I351" s="173" t="s">
        <v>1442</v>
      </c>
      <c r="J351" s="23">
        <v>9</v>
      </c>
      <c r="K351" s="68">
        <v>1.0416666666666666E-2</v>
      </c>
      <c r="L351" s="68">
        <v>0.67361111111111116</v>
      </c>
      <c r="M351" s="68">
        <v>0.72916666666666663</v>
      </c>
      <c r="N351" s="173" t="s">
        <v>1405</v>
      </c>
      <c r="O351" s="23">
        <v>1135</v>
      </c>
      <c r="P351" s="70">
        <v>0.63888888888888895</v>
      </c>
      <c r="Q351" s="70">
        <v>0.72916666666666663</v>
      </c>
      <c r="R351" s="229" t="s">
        <v>1248</v>
      </c>
    </row>
    <row r="352" spans="1:18" x14ac:dyDescent="0.4">
      <c r="A352" s="133">
        <v>45670</v>
      </c>
      <c r="B352" s="9" t="s">
        <v>88</v>
      </c>
      <c r="C352" s="30" t="s">
        <v>328</v>
      </c>
      <c r="D352" s="9">
        <v>44</v>
      </c>
      <c r="E352" s="77">
        <v>5</v>
      </c>
      <c r="F352" s="1"/>
      <c r="G352" s="76">
        <v>0.29166666666666669</v>
      </c>
      <c r="H352" s="76">
        <v>0.6875</v>
      </c>
      <c r="I352" s="173" t="s">
        <v>990</v>
      </c>
      <c r="J352" s="23">
        <v>3</v>
      </c>
      <c r="K352" s="23"/>
      <c r="L352" s="68">
        <v>0.3125</v>
      </c>
      <c r="M352" s="68">
        <v>0.6875</v>
      </c>
      <c r="N352" s="173" t="s">
        <v>1292</v>
      </c>
      <c r="O352" s="23">
        <v>3990</v>
      </c>
      <c r="P352" s="70">
        <v>0.29166666666666669</v>
      </c>
      <c r="Q352" s="70">
        <v>0.6875</v>
      </c>
      <c r="R352" s="229" t="s">
        <v>990</v>
      </c>
    </row>
    <row r="353" spans="1:18" x14ac:dyDescent="0.4">
      <c r="A353" s="133">
        <v>45670</v>
      </c>
      <c r="B353" s="9" t="s">
        <v>65</v>
      </c>
      <c r="C353" s="30" t="s">
        <v>189</v>
      </c>
      <c r="D353" s="224">
        <v>72</v>
      </c>
      <c r="E353" s="77">
        <v>3</v>
      </c>
      <c r="F353" s="76">
        <v>4.1666666666666664E-2</v>
      </c>
      <c r="G353" s="76">
        <v>0.29166666666666669</v>
      </c>
      <c r="H353" s="76">
        <v>0.75</v>
      </c>
      <c r="I353" s="173" t="s">
        <v>1318</v>
      </c>
      <c r="J353" s="23">
        <v>4</v>
      </c>
      <c r="K353" s="23"/>
      <c r="L353" s="68">
        <v>0.29166666666666669</v>
      </c>
      <c r="M353" s="68">
        <v>0.79166666666666663</v>
      </c>
      <c r="N353" s="173" t="s">
        <v>1318</v>
      </c>
      <c r="O353" s="23">
        <v>4620</v>
      </c>
      <c r="P353" s="70">
        <v>0.29166666666666669</v>
      </c>
      <c r="Q353" s="70">
        <v>0.79166666666666663</v>
      </c>
      <c r="R353" s="229" t="s">
        <v>1318</v>
      </c>
    </row>
    <row r="354" spans="1:18" x14ac:dyDescent="0.4">
      <c r="A354" s="133">
        <v>45671</v>
      </c>
      <c r="B354" s="9" t="s">
        <v>53</v>
      </c>
      <c r="C354" s="30" t="s">
        <v>261</v>
      </c>
      <c r="D354" s="9">
        <v>14</v>
      </c>
      <c r="E354" s="77">
        <v>5</v>
      </c>
      <c r="F354" s="1"/>
      <c r="G354" s="76">
        <v>0.29166666666666669</v>
      </c>
      <c r="H354" s="76">
        <v>0.41388888888888892</v>
      </c>
      <c r="I354" s="173" t="s">
        <v>1480</v>
      </c>
      <c r="J354" s="23">
        <v>3</v>
      </c>
      <c r="K354" s="68">
        <v>9.7222222222222224E-3</v>
      </c>
      <c r="L354" s="68">
        <v>0.34027777777777773</v>
      </c>
      <c r="M354" s="68">
        <v>0.45833333333333331</v>
      </c>
      <c r="N354" s="173" t="s">
        <v>1481</v>
      </c>
      <c r="O354" s="23">
        <v>1432</v>
      </c>
      <c r="P354" s="70">
        <v>0.29166666666666669</v>
      </c>
      <c r="Q354" s="70">
        <v>0.45833333333333331</v>
      </c>
      <c r="R354" s="229" t="s">
        <v>1244</v>
      </c>
    </row>
    <row r="355" spans="1:18" x14ac:dyDescent="0.4">
      <c r="A355" s="133">
        <v>45671</v>
      </c>
      <c r="B355" s="9" t="s">
        <v>109</v>
      </c>
      <c r="C355" s="30" t="s">
        <v>263</v>
      </c>
      <c r="D355" s="9">
        <v>12</v>
      </c>
      <c r="E355" s="77">
        <v>5</v>
      </c>
      <c r="F355" s="1"/>
      <c r="G355" s="76">
        <v>0.5854166666666667</v>
      </c>
      <c r="H355" s="76">
        <v>0.72916666666666663</v>
      </c>
      <c r="I355" s="173" t="s">
        <v>1482</v>
      </c>
      <c r="J355" s="23">
        <v>3</v>
      </c>
      <c r="K355" s="68">
        <v>9.7222222222222224E-3</v>
      </c>
      <c r="L355" s="68">
        <v>0.64236111111111105</v>
      </c>
      <c r="M355" s="68">
        <v>0.77083333333333337</v>
      </c>
      <c r="N355" s="173" t="s">
        <v>1483</v>
      </c>
      <c r="O355" s="23">
        <v>1632</v>
      </c>
      <c r="P355" s="70">
        <v>0.5854166666666667</v>
      </c>
      <c r="Q355" s="70">
        <v>0.77083333333333337</v>
      </c>
      <c r="R355" s="229" t="s">
        <v>1484</v>
      </c>
    </row>
    <row r="356" spans="1:18" x14ac:dyDescent="0.4">
      <c r="A356" s="133">
        <v>45671</v>
      </c>
      <c r="B356" s="9" t="s">
        <v>51</v>
      </c>
      <c r="C356" s="30" t="s">
        <v>253</v>
      </c>
      <c r="D356" s="9">
        <v>12</v>
      </c>
      <c r="E356" s="77">
        <v>5</v>
      </c>
      <c r="F356" s="1"/>
      <c r="G356" s="76">
        <v>0.41388888888888892</v>
      </c>
      <c r="H356" s="76">
        <v>0.5854166666666667</v>
      </c>
      <c r="I356" s="173" t="s">
        <v>1485</v>
      </c>
      <c r="J356" s="23">
        <v>3</v>
      </c>
      <c r="K356" s="68">
        <v>9.7222222222222224E-3</v>
      </c>
      <c r="L356" s="68">
        <v>0.45833333333333331</v>
      </c>
      <c r="M356" s="68">
        <v>0.64236111111111105</v>
      </c>
      <c r="N356" s="173" t="s">
        <v>1486</v>
      </c>
      <c r="O356" s="23">
        <v>1592</v>
      </c>
      <c r="P356" s="70">
        <v>0.41388888888888892</v>
      </c>
      <c r="Q356" s="70">
        <v>0.64236111111111105</v>
      </c>
      <c r="R356" s="229" t="s">
        <v>1487</v>
      </c>
    </row>
    <row r="357" spans="1:18" x14ac:dyDescent="0.4">
      <c r="A357" s="133">
        <v>45671</v>
      </c>
      <c r="B357" s="9" t="s">
        <v>661</v>
      </c>
      <c r="C357" s="30" t="s">
        <v>645</v>
      </c>
      <c r="D357" s="9">
        <v>32</v>
      </c>
      <c r="E357" s="77">
        <v>5</v>
      </c>
      <c r="F357" s="1"/>
      <c r="G357" s="76">
        <v>0.29166666666666669</v>
      </c>
      <c r="H357" s="76">
        <v>0.61597222222222225</v>
      </c>
      <c r="I357" s="173" t="s">
        <v>1488</v>
      </c>
      <c r="J357" s="23">
        <v>4</v>
      </c>
      <c r="K357" s="68">
        <v>1.0416666666666666E-2</v>
      </c>
      <c r="L357" s="68">
        <v>0.33333333333333331</v>
      </c>
      <c r="M357" s="68">
        <v>0.65972222222222221</v>
      </c>
      <c r="N357" s="173" t="s">
        <v>1456</v>
      </c>
      <c r="O357" s="23">
        <v>3735</v>
      </c>
      <c r="P357" s="70">
        <v>0.29166666666666669</v>
      </c>
      <c r="Q357" s="70">
        <v>0.65972222222222221</v>
      </c>
      <c r="R357" s="229" t="s">
        <v>1338</v>
      </c>
    </row>
    <row r="358" spans="1:18" x14ac:dyDescent="0.4">
      <c r="A358" s="133">
        <v>45671</v>
      </c>
      <c r="B358" s="9" t="s">
        <v>77</v>
      </c>
      <c r="C358" s="30" t="s">
        <v>293</v>
      </c>
      <c r="D358" s="9">
        <v>8</v>
      </c>
      <c r="E358" s="77">
        <v>5</v>
      </c>
      <c r="F358" s="1"/>
      <c r="G358" s="76">
        <v>0.61597222222222225</v>
      </c>
      <c r="H358" s="76">
        <v>0.72916666666666663</v>
      </c>
      <c r="I358" s="173" t="s">
        <v>1489</v>
      </c>
      <c r="J358" s="23">
        <v>3</v>
      </c>
      <c r="K358" s="68">
        <v>1.0416666666666666E-2</v>
      </c>
      <c r="L358" s="68">
        <v>0.65972222222222221</v>
      </c>
      <c r="M358" s="68">
        <v>0.72916666666666663</v>
      </c>
      <c r="N358" s="173" t="s">
        <v>1457</v>
      </c>
      <c r="O358" s="23">
        <v>1160</v>
      </c>
      <c r="P358" s="70">
        <v>0.61597222222222225</v>
      </c>
      <c r="Q358" s="70">
        <v>0.72916666666666663</v>
      </c>
      <c r="R358" s="229" t="s">
        <v>1489</v>
      </c>
    </row>
    <row r="359" spans="1:18" x14ac:dyDescent="0.4">
      <c r="A359" s="133">
        <v>45671</v>
      </c>
      <c r="B359" s="9" t="s">
        <v>82</v>
      </c>
      <c r="C359" s="30" t="s">
        <v>171</v>
      </c>
      <c r="D359" s="9">
        <v>28</v>
      </c>
      <c r="E359" s="77">
        <v>3</v>
      </c>
      <c r="F359" s="76">
        <v>2.0833333333333332E-2</v>
      </c>
      <c r="G359" s="76">
        <v>0.29166666666666669</v>
      </c>
      <c r="H359" s="76">
        <v>0.64583333333333337</v>
      </c>
      <c r="I359" s="173" t="s">
        <v>1292</v>
      </c>
      <c r="J359" s="23">
        <v>7</v>
      </c>
      <c r="K359" s="23"/>
      <c r="L359" s="68">
        <v>0.29166666666666669</v>
      </c>
      <c r="M359" s="68">
        <v>0.71180555555555547</v>
      </c>
      <c r="N359" s="173" t="s">
        <v>1253</v>
      </c>
      <c r="O359" s="23">
        <v>5255</v>
      </c>
      <c r="P359" s="70">
        <v>0.29166666666666669</v>
      </c>
      <c r="Q359" s="70">
        <v>0.71180555555555547</v>
      </c>
      <c r="R359" s="229" t="s">
        <v>1253</v>
      </c>
    </row>
    <row r="360" spans="1:18" x14ac:dyDescent="0.4">
      <c r="A360" s="133">
        <v>45671</v>
      </c>
      <c r="B360" s="9" t="s">
        <v>83</v>
      </c>
      <c r="C360" s="30" t="s">
        <v>169</v>
      </c>
      <c r="D360" s="9">
        <v>8</v>
      </c>
      <c r="E360" s="77">
        <v>3</v>
      </c>
      <c r="F360" s="76">
        <v>2.0833333333333332E-2</v>
      </c>
      <c r="G360" s="76">
        <v>0.29166666666666669</v>
      </c>
      <c r="H360" s="76">
        <v>0.64583333333333337</v>
      </c>
      <c r="I360" s="173" t="s">
        <v>1292</v>
      </c>
      <c r="J360" s="23">
        <v>7</v>
      </c>
      <c r="K360" s="23"/>
      <c r="L360" s="68">
        <v>0.29166666666666669</v>
      </c>
      <c r="M360" s="68">
        <v>0.71180555555555547</v>
      </c>
      <c r="N360" s="173" t="s">
        <v>1253</v>
      </c>
      <c r="O360" s="23">
        <v>5255</v>
      </c>
      <c r="P360" s="70">
        <v>0.29166666666666669</v>
      </c>
      <c r="Q360" s="70">
        <v>0.71180555555555547</v>
      </c>
      <c r="R360" s="229" t="s">
        <v>1253</v>
      </c>
    </row>
    <row r="361" spans="1:18" x14ac:dyDescent="0.4">
      <c r="A361" s="133">
        <v>45672</v>
      </c>
      <c r="B361" s="9" t="s">
        <v>68</v>
      </c>
      <c r="C361" s="30" t="s">
        <v>185</v>
      </c>
      <c r="D361" s="9">
        <v>20</v>
      </c>
      <c r="E361" s="77">
        <v>5</v>
      </c>
      <c r="F361" s="1"/>
      <c r="G361" s="76">
        <v>0.29166666666666669</v>
      </c>
      <c r="H361" s="76">
        <v>0.5</v>
      </c>
      <c r="I361" s="173" t="s">
        <v>1327</v>
      </c>
      <c r="J361" s="23">
        <v>5</v>
      </c>
      <c r="K361" s="68">
        <v>1.0416666666666666E-2</v>
      </c>
      <c r="L361" s="68">
        <v>0.33333333333333331</v>
      </c>
      <c r="M361" s="68">
        <v>0.5625</v>
      </c>
      <c r="N361" s="173" t="s">
        <v>1335</v>
      </c>
      <c r="O361" s="23">
        <v>2925</v>
      </c>
      <c r="P361" s="70">
        <v>0.29166666666666669</v>
      </c>
      <c r="Q361" s="70">
        <v>0.5625</v>
      </c>
      <c r="R361" s="229" t="s">
        <v>1320</v>
      </c>
    </row>
    <row r="362" spans="1:18" x14ac:dyDescent="0.4">
      <c r="A362" s="133">
        <v>45672</v>
      </c>
      <c r="B362" s="9" t="s">
        <v>61</v>
      </c>
      <c r="C362" s="30" t="s">
        <v>156</v>
      </c>
      <c r="D362" s="9">
        <v>24</v>
      </c>
      <c r="E362" s="77">
        <v>4</v>
      </c>
      <c r="F362" s="1"/>
      <c r="G362" s="76">
        <v>0.54166666666666663</v>
      </c>
      <c r="H362" s="76">
        <v>0.72916666666666663</v>
      </c>
      <c r="I362" s="173" t="s">
        <v>1243</v>
      </c>
      <c r="J362" s="23">
        <v>10</v>
      </c>
      <c r="K362" s="68">
        <v>1.0416666666666666E-2</v>
      </c>
      <c r="L362" s="68">
        <v>0.5625</v>
      </c>
      <c r="M362" s="68">
        <v>0.75</v>
      </c>
      <c r="N362" s="173" t="s">
        <v>1335</v>
      </c>
      <c r="O362" s="23">
        <v>3930</v>
      </c>
      <c r="P362" s="70">
        <v>0.54166666666666663</v>
      </c>
      <c r="Q362" s="70">
        <v>0.75</v>
      </c>
      <c r="R362" s="229" t="s">
        <v>1327</v>
      </c>
    </row>
    <row r="363" spans="1:18" x14ac:dyDescent="0.4">
      <c r="A363" s="133">
        <v>45672</v>
      </c>
      <c r="B363" s="9" t="s">
        <v>88</v>
      </c>
      <c r="C363" s="30" t="s">
        <v>328</v>
      </c>
      <c r="D363" s="9">
        <v>16</v>
      </c>
      <c r="E363" s="77">
        <v>5</v>
      </c>
      <c r="F363" s="1"/>
      <c r="G363" s="76">
        <v>0.38819444444444445</v>
      </c>
      <c r="H363" s="76">
        <v>0.5625</v>
      </c>
      <c r="I363" s="173" t="s">
        <v>1490</v>
      </c>
      <c r="J363" s="23">
        <v>3</v>
      </c>
      <c r="K363" s="68">
        <v>5.5555555555555558E-3</v>
      </c>
      <c r="L363" s="68">
        <v>0.41666666666666669</v>
      </c>
      <c r="M363" s="68">
        <v>0.5625</v>
      </c>
      <c r="N363" s="173" t="s">
        <v>1450</v>
      </c>
      <c r="O363" s="23">
        <v>1429</v>
      </c>
      <c r="P363" s="70">
        <v>0.38819444444444445</v>
      </c>
      <c r="Q363" s="70">
        <v>0.5625</v>
      </c>
      <c r="R363" s="229" t="s">
        <v>1490</v>
      </c>
    </row>
    <row r="364" spans="1:18" x14ac:dyDescent="0.4">
      <c r="A364" s="133">
        <v>45672</v>
      </c>
      <c r="B364" s="9" t="s">
        <v>357</v>
      </c>
      <c r="C364" s="30" t="s">
        <v>338</v>
      </c>
      <c r="D364" s="9">
        <v>12</v>
      </c>
      <c r="E364" s="77">
        <v>5</v>
      </c>
      <c r="F364" s="1"/>
      <c r="G364" s="76">
        <v>0.29166666666666669</v>
      </c>
      <c r="H364" s="76">
        <v>0.38819444444444445</v>
      </c>
      <c r="I364" s="173" t="s">
        <v>1491</v>
      </c>
      <c r="J364" s="23">
        <v>3</v>
      </c>
      <c r="K364" s="68">
        <v>5.5555555555555558E-3</v>
      </c>
      <c r="L364" s="68">
        <v>0.33333333333333331</v>
      </c>
      <c r="M364" s="68">
        <v>0.41666666666666669</v>
      </c>
      <c r="N364" s="173" t="s">
        <v>1343</v>
      </c>
      <c r="O364" s="23">
        <v>1079</v>
      </c>
      <c r="P364" s="70">
        <v>0.29166666666666669</v>
      </c>
      <c r="Q364" s="70">
        <v>0.41666666666666669</v>
      </c>
      <c r="R364" s="229" t="s">
        <v>1316</v>
      </c>
    </row>
    <row r="365" spans="1:18" x14ac:dyDescent="0.4">
      <c r="A365" s="133">
        <v>45672</v>
      </c>
      <c r="B365" s="9" t="s">
        <v>538</v>
      </c>
      <c r="C365" s="30" t="s">
        <v>265</v>
      </c>
      <c r="D365" s="9">
        <v>6</v>
      </c>
      <c r="E365" s="77">
        <v>5</v>
      </c>
      <c r="F365" s="1"/>
      <c r="G365" s="76">
        <v>0.62638888888888888</v>
      </c>
      <c r="H365" s="76">
        <v>0.70833333333333337</v>
      </c>
      <c r="I365" s="173" t="s">
        <v>1411</v>
      </c>
      <c r="J365" s="23">
        <v>3</v>
      </c>
      <c r="K365" s="68">
        <v>5.5555555555555558E-3</v>
      </c>
      <c r="L365" s="68">
        <v>0.65972222222222221</v>
      </c>
      <c r="M365" s="68">
        <v>0.70833333333333337</v>
      </c>
      <c r="N365" s="173" t="s">
        <v>1492</v>
      </c>
      <c r="O365" s="23">
        <v>824</v>
      </c>
      <c r="P365" s="70">
        <v>0.62638888888888888</v>
      </c>
      <c r="Q365" s="70">
        <v>0.70833333333333337</v>
      </c>
      <c r="R365" s="229" t="s">
        <v>1411</v>
      </c>
    </row>
    <row r="366" spans="1:18" x14ac:dyDescent="0.4">
      <c r="A366" s="133">
        <v>45672</v>
      </c>
      <c r="B366" s="9" t="s">
        <v>99</v>
      </c>
      <c r="C366" s="30" t="s">
        <v>259</v>
      </c>
      <c r="D366" s="9">
        <v>6</v>
      </c>
      <c r="E366" s="77">
        <v>5</v>
      </c>
      <c r="F366" s="1"/>
      <c r="G366" s="76">
        <v>0.5625</v>
      </c>
      <c r="H366" s="76">
        <v>0.62638888888888888</v>
      </c>
      <c r="I366" s="173" t="s">
        <v>1477</v>
      </c>
      <c r="J366" s="23">
        <v>3</v>
      </c>
      <c r="K366" s="68">
        <v>5.5555555555555558E-3</v>
      </c>
      <c r="L366" s="68">
        <v>0.59375</v>
      </c>
      <c r="M366" s="68">
        <v>0.65972222222222221</v>
      </c>
      <c r="N366" s="173" t="s">
        <v>1297</v>
      </c>
      <c r="O366" s="23">
        <v>769</v>
      </c>
      <c r="P366" s="70">
        <v>0.5625</v>
      </c>
      <c r="Q366" s="70">
        <v>0.65972222222222221</v>
      </c>
      <c r="R366" s="229" t="s">
        <v>1313</v>
      </c>
    </row>
    <row r="367" spans="1:18" x14ac:dyDescent="0.4">
      <c r="A367" s="133">
        <v>45672</v>
      </c>
      <c r="B367" s="9" t="s">
        <v>65</v>
      </c>
      <c r="C367" s="30" t="s">
        <v>189</v>
      </c>
      <c r="D367" s="224">
        <v>72</v>
      </c>
      <c r="E367" s="77">
        <v>3</v>
      </c>
      <c r="F367" s="76">
        <v>4.1666666666666664E-2</v>
      </c>
      <c r="G367" s="76">
        <v>0.29166666666666669</v>
      </c>
      <c r="H367" s="76">
        <v>0.75</v>
      </c>
      <c r="I367" s="173" t="s">
        <v>1318</v>
      </c>
      <c r="J367" s="23">
        <v>4</v>
      </c>
      <c r="K367" s="23"/>
      <c r="L367" s="68">
        <v>0.29166666666666669</v>
      </c>
      <c r="M367" s="68">
        <v>0.79166666666666663</v>
      </c>
      <c r="N367" s="173" t="s">
        <v>1318</v>
      </c>
      <c r="O367" s="23">
        <v>4620</v>
      </c>
      <c r="P367" s="70">
        <v>0.29166666666666669</v>
      </c>
      <c r="Q367" s="70">
        <v>0.79166666666666663</v>
      </c>
      <c r="R367" s="229" t="s">
        <v>1318</v>
      </c>
    </row>
    <row r="368" spans="1:18" x14ac:dyDescent="0.4">
      <c r="A368" s="133">
        <v>45673</v>
      </c>
      <c r="B368" s="9" t="s">
        <v>88</v>
      </c>
      <c r="C368" s="30" t="s">
        <v>328</v>
      </c>
      <c r="D368" s="9">
        <v>44</v>
      </c>
      <c r="E368" s="77">
        <v>5</v>
      </c>
      <c r="F368" s="1"/>
      <c r="G368" s="76">
        <v>0.29166666666666669</v>
      </c>
      <c r="H368" s="76">
        <v>0.6875</v>
      </c>
      <c r="I368" s="173" t="s">
        <v>990</v>
      </c>
      <c r="J368" s="23">
        <v>3</v>
      </c>
      <c r="K368" s="23"/>
      <c r="L368" s="68">
        <v>0.3125</v>
      </c>
      <c r="M368" s="68">
        <v>0.6875</v>
      </c>
      <c r="N368" s="173" t="s">
        <v>1292</v>
      </c>
      <c r="O368" s="23">
        <v>3990</v>
      </c>
      <c r="P368" s="70">
        <v>0.29166666666666669</v>
      </c>
      <c r="Q368" s="70">
        <v>0.6875</v>
      </c>
      <c r="R368" s="229" t="s">
        <v>990</v>
      </c>
    </row>
    <row r="369" spans="1:18" x14ac:dyDescent="0.4">
      <c r="A369" s="133">
        <v>45673</v>
      </c>
      <c r="B369" s="9" t="s">
        <v>108</v>
      </c>
      <c r="C369" s="30" t="s">
        <v>231</v>
      </c>
      <c r="D369" s="9">
        <v>21</v>
      </c>
      <c r="E369" s="77">
        <v>6</v>
      </c>
      <c r="F369" s="76"/>
      <c r="G369" s="76">
        <v>0.29166666666666669</v>
      </c>
      <c r="H369" s="76">
        <v>0.67708333333333337</v>
      </c>
      <c r="I369" s="173" t="s">
        <v>1340</v>
      </c>
      <c r="J369" s="23">
        <v>9</v>
      </c>
      <c r="K369" s="23"/>
      <c r="L369" s="68">
        <v>0.39583333333333331</v>
      </c>
      <c r="M369" s="68">
        <v>0.70833333333333337</v>
      </c>
      <c r="N369" s="173" t="s">
        <v>1329</v>
      </c>
      <c r="O369" s="23">
        <v>6480</v>
      </c>
      <c r="P369" s="70">
        <v>0.29166666666666669</v>
      </c>
      <c r="Q369" s="70">
        <v>0.70833333333333337</v>
      </c>
      <c r="R369" s="229" t="s">
        <v>1252</v>
      </c>
    </row>
    <row r="370" spans="1:18" x14ac:dyDescent="0.4">
      <c r="A370" s="133">
        <v>45673</v>
      </c>
      <c r="B370" s="9" t="s">
        <v>58</v>
      </c>
      <c r="C370" s="30" t="s">
        <v>165</v>
      </c>
      <c r="D370" s="9">
        <v>24</v>
      </c>
      <c r="E370" s="77">
        <v>3</v>
      </c>
      <c r="F370" s="76">
        <v>4.1666666666666664E-2</v>
      </c>
      <c r="G370" s="76">
        <v>0.29166666666666669</v>
      </c>
      <c r="H370" s="76">
        <v>0.66666666666666663</v>
      </c>
      <c r="I370" s="173" t="s">
        <v>1252</v>
      </c>
      <c r="J370" s="23">
        <v>6</v>
      </c>
      <c r="K370" s="23"/>
      <c r="L370" s="68">
        <v>0.29166666666666669</v>
      </c>
      <c r="M370" s="68">
        <v>0.70833333333333337</v>
      </c>
      <c r="N370" s="173" t="s">
        <v>1252</v>
      </c>
      <c r="O370" s="23">
        <v>4860</v>
      </c>
      <c r="P370" s="70">
        <v>0.29166666666666669</v>
      </c>
      <c r="Q370" s="70">
        <v>0.70833333333333337</v>
      </c>
      <c r="R370" s="229" t="s">
        <v>1252</v>
      </c>
    </row>
    <row r="371" spans="1:18" x14ac:dyDescent="0.4">
      <c r="A371" s="133">
        <v>45673</v>
      </c>
      <c r="B371" s="9" t="s">
        <v>96</v>
      </c>
      <c r="C371" s="30" t="s">
        <v>167</v>
      </c>
      <c r="D371" s="9">
        <v>16</v>
      </c>
      <c r="E371" s="77">
        <v>3</v>
      </c>
      <c r="F371" s="76">
        <v>4.1666666666666664E-2</v>
      </c>
      <c r="G371" s="76">
        <v>0.29166666666666669</v>
      </c>
      <c r="H371" s="76">
        <v>0.66666666666666663</v>
      </c>
      <c r="I371" s="173" t="s">
        <v>1252</v>
      </c>
      <c r="J371" s="23">
        <v>6</v>
      </c>
      <c r="K371" s="23"/>
      <c r="L371" s="68">
        <v>0.29166666666666669</v>
      </c>
      <c r="M371" s="68">
        <v>0.70833333333333337</v>
      </c>
      <c r="N371" s="173" t="s">
        <v>1252</v>
      </c>
      <c r="O371" s="23">
        <v>4860</v>
      </c>
      <c r="P371" s="70">
        <v>0.29166666666666669</v>
      </c>
      <c r="Q371" s="70">
        <v>0.70833333333333337</v>
      </c>
      <c r="R371" s="229" t="s">
        <v>1252</v>
      </c>
    </row>
    <row r="372" spans="1:18" s="146" customFormat="1" x14ac:dyDescent="0.4">
      <c r="A372" s="135">
        <v>45673</v>
      </c>
      <c r="B372" s="102">
        <v>152010</v>
      </c>
      <c r="C372" s="136" t="s">
        <v>483</v>
      </c>
      <c r="D372" s="102">
        <v>1</v>
      </c>
      <c r="E372" s="103"/>
      <c r="F372" s="104"/>
      <c r="G372" s="104"/>
      <c r="H372" s="104"/>
      <c r="I372" s="225" t="s">
        <v>1002</v>
      </c>
      <c r="J372" s="105"/>
      <c r="K372" s="105"/>
      <c r="L372" s="106"/>
      <c r="M372" s="106"/>
      <c r="N372" s="225" t="s">
        <v>1002</v>
      </c>
      <c r="O372" s="105">
        <v>0</v>
      </c>
      <c r="P372" s="247">
        <v>0</v>
      </c>
      <c r="Q372" s="247">
        <v>0</v>
      </c>
      <c r="R372" s="232" t="s">
        <v>1002</v>
      </c>
    </row>
    <row r="373" spans="1:18" x14ac:dyDescent="0.4">
      <c r="A373" s="133">
        <v>45674</v>
      </c>
      <c r="B373" s="9" t="s">
        <v>71</v>
      </c>
      <c r="C373" s="30" t="s">
        <v>176</v>
      </c>
      <c r="D373" s="9">
        <v>72</v>
      </c>
      <c r="E373" s="77">
        <v>6</v>
      </c>
      <c r="F373" s="1"/>
      <c r="G373" s="76">
        <v>0.29166666666666669</v>
      </c>
      <c r="H373" s="76">
        <v>0.72916666666666663</v>
      </c>
      <c r="I373" s="173" t="s">
        <v>1247</v>
      </c>
      <c r="J373" s="23">
        <v>5</v>
      </c>
      <c r="K373" s="23"/>
      <c r="L373" s="68">
        <v>0.3125</v>
      </c>
      <c r="M373" s="68">
        <v>0.75</v>
      </c>
      <c r="N373" s="173" t="s">
        <v>1247</v>
      </c>
      <c r="O373" s="23">
        <v>6270</v>
      </c>
      <c r="P373" s="70">
        <v>0.29166666666666669</v>
      </c>
      <c r="Q373" s="70">
        <v>0.75</v>
      </c>
      <c r="R373" s="229" t="s">
        <v>1308</v>
      </c>
    </row>
    <row r="374" spans="1:18" x14ac:dyDescent="0.4">
      <c r="A374" s="133">
        <v>45674</v>
      </c>
      <c r="B374" s="9" t="s">
        <v>81</v>
      </c>
      <c r="C374" s="30" t="s">
        <v>235</v>
      </c>
      <c r="D374" s="9">
        <v>20</v>
      </c>
      <c r="E374" s="77">
        <v>5</v>
      </c>
      <c r="F374" s="1"/>
      <c r="G374" s="76">
        <v>0.29166666666666669</v>
      </c>
      <c r="H374" s="76">
        <v>0.45277777777777778</v>
      </c>
      <c r="I374" s="173" t="s">
        <v>1388</v>
      </c>
      <c r="J374" s="23">
        <v>3</v>
      </c>
      <c r="K374" s="68">
        <v>1.0416666666666666E-2</v>
      </c>
      <c r="L374" s="68">
        <v>0.33333333333333331</v>
      </c>
      <c r="M374" s="68">
        <v>0.4826388888888889</v>
      </c>
      <c r="N374" s="173" t="s">
        <v>1332</v>
      </c>
      <c r="O374" s="23">
        <v>1850</v>
      </c>
      <c r="P374" s="70">
        <v>0.29166666666666669</v>
      </c>
      <c r="Q374" s="70">
        <v>0.4826388888888889</v>
      </c>
      <c r="R374" s="229" t="s">
        <v>1304</v>
      </c>
    </row>
    <row r="375" spans="1:18" x14ac:dyDescent="0.4">
      <c r="A375" s="133">
        <v>45674</v>
      </c>
      <c r="B375" s="9" t="s">
        <v>64</v>
      </c>
      <c r="C375" s="30" t="s">
        <v>271</v>
      </c>
      <c r="D375" s="9">
        <v>16</v>
      </c>
      <c r="E375" s="77">
        <v>5</v>
      </c>
      <c r="F375" s="1"/>
      <c r="G375" s="76">
        <v>0.45277777777777778</v>
      </c>
      <c r="H375" s="76">
        <v>0.72916666666666663</v>
      </c>
      <c r="I375" s="173" t="s">
        <v>1427</v>
      </c>
      <c r="J375" s="23">
        <v>3</v>
      </c>
      <c r="K375" s="68">
        <v>1.0416666666666666E-2</v>
      </c>
      <c r="L375" s="68">
        <v>0.4826388888888889</v>
      </c>
      <c r="M375" s="68">
        <v>0.75</v>
      </c>
      <c r="N375" s="173" t="s">
        <v>1339</v>
      </c>
      <c r="O375" s="23">
        <v>2710</v>
      </c>
      <c r="P375" s="70">
        <v>0.45277777777777778</v>
      </c>
      <c r="Q375" s="70">
        <v>0.75</v>
      </c>
      <c r="R375" s="229" t="s">
        <v>1461</v>
      </c>
    </row>
    <row r="376" spans="1:18" x14ac:dyDescent="0.4">
      <c r="A376" s="133">
        <v>45674</v>
      </c>
      <c r="B376" s="9" t="s">
        <v>65</v>
      </c>
      <c r="C376" s="30" t="s">
        <v>189</v>
      </c>
      <c r="D376" s="224">
        <v>72</v>
      </c>
      <c r="E376" s="77">
        <v>3</v>
      </c>
      <c r="F376" s="76">
        <v>4.1666666666666664E-2</v>
      </c>
      <c r="G376" s="76">
        <v>0.29166666666666669</v>
      </c>
      <c r="H376" s="76">
        <v>0.75</v>
      </c>
      <c r="I376" s="173" t="s">
        <v>1318</v>
      </c>
      <c r="J376" s="23">
        <v>4</v>
      </c>
      <c r="K376" s="23"/>
      <c r="L376" s="68">
        <v>0.29166666666666669</v>
      </c>
      <c r="M376" s="68">
        <v>0.79166666666666663</v>
      </c>
      <c r="N376" s="173" t="s">
        <v>1318</v>
      </c>
      <c r="O376" s="23">
        <v>4620</v>
      </c>
      <c r="P376" s="70">
        <v>0.29166666666666669</v>
      </c>
      <c r="Q376" s="70">
        <v>0.79166666666666663</v>
      </c>
      <c r="R376" s="229" t="s">
        <v>1318</v>
      </c>
    </row>
    <row r="377" spans="1:18" x14ac:dyDescent="0.4">
      <c r="A377" s="133">
        <v>45675</v>
      </c>
      <c r="B377" s="9" t="s">
        <v>64</v>
      </c>
      <c r="C377" s="30" t="s">
        <v>271</v>
      </c>
      <c r="D377" s="9">
        <v>12</v>
      </c>
      <c r="E377" s="77">
        <v>4</v>
      </c>
      <c r="F377" s="1"/>
      <c r="G377" s="76">
        <v>0.29166666666666669</v>
      </c>
      <c r="H377" s="76">
        <v>0.4375</v>
      </c>
      <c r="I377" s="173" t="s">
        <v>1303</v>
      </c>
      <c r="J377" s="23">
        <v>3</v>
      </c>
      <c r="K377" s="23"/>
      <c r="L377" s="68">
        <v>0.3125</v>
      </c>
      <c r="M377" s="68">
        <v>0.45833333333333331</v>
      </c>
      <c r="N377" s="173" t="s">
        <v>1303</v>
      </c>
      <c r="O377" s="23">
        <v>1470</v>
      </c>
      <c r="P377" s="70">
        <v>0.29166666666666669</v>
      </c>
      <c r="Q377" s="70">
        <v>0.45833333333333331</v>
      </c>
      <c r="R377" s="229" t="s">
        <v>1244</v>
      </c>
    </row>
    <row r="378" spans="1:18" x14ac:dyDescent="0.4">
      <c r="A378" s="133">
        <v>45677</v>
      </c>
      <c r="B378" s="139" t="s">
        <v>71</v>
      </c>
      <c r="C378" s="30" t="s">
        <v>176</v>
      </c>
      <c r="D378" s="147">
        <v>72</v>
      </c>
      <c r="E378" s="77">
        <v>6</v>
      </c>
      <c r="F378" s="1"/>
      <c r="G378" s="76">
        <v>0.29166666666666669</v>
      </c>
      <c r="H378" s="76">
        <v>0.72916666666666663</v>
      </c>
      <c r="I378" s="173" t="s">
        <v>1247</v>
      </c>
      <c r="J378" s="23">
        <v>5</v>
      </c>
      <c r="K378" s="23"/>
      <c r="L378" s="68">
        <v>0.3125</v>
      </c>
      <c r="M378" s="68">
        <v>0.75</v>
      </c>
      <c r="N378" s="173" t="s">
        <v>1247</v>
      </c>
      <c r="O378" s="23">
        <v>6270</v>
      </c>
      <c r="P378" s="70">
        <v>0.29166666666666669</v>
      </c>
      <c r="Q378" s="70">
        <v>0.75</v>
      </c>
      <c r="R378" s="229" t="s">
        <v>1308</v>
      </c>
    </row>
    <row r="379" spans="1:18" x14ac:dyDescent="0.4">
      <c r="A379" s="133">
        <v>45677</v>
      </c>
      <c r="B379" s="139" t="s">
        <v>55</v>
      </c>
      <c r="C379" s="30" t="s">
        <v>208</v>
      </c>
      <c r="D379" s="147">
        <v>32</v>
      </c>
      <c r="E379" s="77">
        <v>5</v>
      </c>
      <c r="F379" s="1"/>
      <c r="G379" s="76">
        <v>0.29166666666666669</v>
      </c>
      <c r="H379" s="76">
        <v>0.62291666666666667</v>
      </c>
      <c r="I379" s="173" t="s">
        <v>1493</v>
      </c>
      <c r="J379" s="23">
        <v>4</v>
      </c>
      <c r="K379" s="68">
        <v>2.0833333333333332E-2</v>
      </c>
      <c r="L379" s="68">
        <v>0.35416666666666669</v>
      </c>
      <c r="M379" s="68">
        <v>0.65277777777777779</v>
      </c>
      <c r="N379" s="173" t="s">
        <v>1328</v>
      </c>
      <c r="O379" s="23">
        <v>3685</v>
      </c>
      <c r="P379" s="70">
        <v>0.29166666666666669</v>
      </c>
      <c r="Q379" s="70">
        <v>0.65277777777777779</v>
      </c>
      <c r="R379" s="229" t="s">
        <v>1494</v>
      </c>
    </row>
    <row r="380" spans="1:18" x14ac:dyDescent="0.4">
      <c r="A380" s="133">
        <v>45677</v>
      </c>
      <c r="B380" s="139" t="s">
        <v>101</v>
      </c>
      <c r="C380" s="30" t="s">
        <v>222</v>
      </c>
      <c r="D380" s="147">
        <v>3</v>
      </c>
      <c r="E380" s="77">
        <v>5</v>
      </c>
      <c r="F380" s="1"/>
      <c r="G380" s="76">
        <v>0.62291666666666667</v>
      </c>
      <c r="H380" s="76">
        <v>0.70833333333333337</v>
      </c>
      <c r="I380" s="173" t="s">
        <v>1495</v>
      </c>
      <c r="J380" s="23">
        <v>4</v>
      </c>
      <c r="K380" s="68">
        <v>2.0833333333333332E-2</v>
      </c>
      <c r="L380" s="68">
        <v>0.65277777777777779</v>
      </c>
      <c r="M380" s="68">
        <v>0.72916666666666663</v>
      </c>
      <c r="N380" s="173" t="s">
        <v>1313</v>
      </c>
      <c r="O380" s="23">
        <v>1175</v>
      </c>
      <c r="P380" s="70">
        <v>0.62291666666666667</v>
      </c>
      <c r="Q380" s="70">
        <v>0.72916666666666663</v>
      </c>
      <c r="R380" s="229" t="s">
        <v>1346</v>
      </c>
    </row>
    <row r="381" spans="1:18" x14ac:dyDescent="0.4">
      <c r="A381" s="133">
        <v>45677</v>
      </c>
      <c r="B381" s="139" t="s">
        <v>58</v>
      </c>
      <c r="C381" s="30" t="s">
        <v>165</v>
      </c>
      <c r="D381" s="147">
        <v>36</v>
      </c>
      <c r="E381" s="77">
        <v>3</v>
      </c>
      <c r="F381" s="76">
        <v>2.0833333333333332E-2</v>
      </c>
      <c r="G381" s="76">
        <v>0.29166666666666669</v>
      </c>
      <c r="H381" s="76">
        <v>0.64583333333333337</v>
      </c>
      <c r="I381" s="173" t="s">
        <v>1292</v>
      </c>
      <c r="J381" s="23">
        <v>6</v>
      </c>
      <c r="K381" s="23"/>
      <c r="L381" s="68">
        <v>0.29166666666666669</v>
      </c>
      <c r="M381" s="68">
        <v>0.70833333333333337</v>
      </c>
      <c r="N381" s="173" t="s">
        <v>1252</v>
      </c>
      <c r="O381" s="23">
        <v>4680</v>
      </c>
      <c r="P381" s="70">
        <v>0.29166666666666669</v>
      </c>
      <c r="Q381" s="70">
        <v>0.70833333333333337</v>
      </c>
      <c r="R381" s="229" t="s">
        <v>1252</v>
      </c>
    </row>
    <row r="382" spans="1:18" x14ac:dyDescent="0.4">
      <c r="A382" s="133">
        <v>45678</v>
      </c>
      <c r="B382" s="139" t="s">
        <v>61</v>
      </c>
      <c r="C382" s="30" t="s">
        <v>156</v>
      </c>
      <c r="D382" s="147">
        <v>40</v>
      </c>
      <c r="E382" s="77">
        <v>4</v>
      </c>
      <c r="F382" s="1"/>
      <c r="G382" s="76">
        <v>0.29166666666666669</v>
      </c>
      <c r="H382" s="76">
        <v>0.6875</v>
      </c>
      <c r="I382" s="173" t="s">
        <v>990</v>
      </c>
      <c r="J382" s="23">
        <v>10</v>
      </c>
      <c r="K382" s="23"/>
      <c r="L382" s="68">
        <v>0.3125</v>
      </c>
      <c r="M382" s="68">
        <v>0.70833333333333337</v>
      </c>
      <c r="N382" s="173" t="s">
        <v>990</v>
      </c>
      <c r="O382" s="23">
        <v>7140</v>
      </c>
      <c r="P382" s="70">
        <v>0.29166666666666669</v>
      </c>
      <c r="Q382" s="70">
        <v>0.70833333333333337</v>
      </c>
      <c r="R382" s="229" t="s">
        <v>1252</v>
      </c>
    </row>
    <row r="383" spans="1:18" x14ac:dyDescent="0.4">
      <c r="A383" s="133">
        <v>45678</v>
      </c>
      <c r="B383" s="139" t="s">
        <v>128</v>
      </c>
      <c r="C383" s="30" t="s">
        <v>312</v>
      </c>
      <c r="D383" s="147">
        <v>8</v>
      </c>
      <c r="E383" s="77">
        <v>5</v>
      </c>
      <c r="F383" s="1"/>
      <c r="G383" s="76">
        <v>0.3888888888888889</v>
      </c>
      <c r="H383" s="76">
        <v>0.5</v>
      </c>
      <c r="I383" s="173" t="s">
        <v>1325</v>
      </c>
      <c r="J383" s="23">
        <v>3</v>
      </c>
      <c r="K383" s="68">
        <v>6.9444444444444441E-3</v>
      </c>
      <c r="L383" s="68">
        <v>0.4236111111111111</v>
      </c>
      <c r="M383" s="68">
        <v>0.5625</v>
      </c>
      <c r="N383" s="173" t="s">
        <v>1298</v>
      </c>
      <c r="O383" s="23">
        <v>1250</v>
      </c>
      <c r="P383" s="70">
        <v>0.3888888888888889</v>
      </c>
      <c r="Q383" s="70">
        <v>0.5625</v>
      </c>
      <c r="R383" s="229" t="s">
        <v>1256</v>
      </c>
    </row>
    <row r="384" spans="1:18" x14ac:dyDescent="0.4">
      <c r="A384" s="133">
        <v>45678</v>
      </c>
      <c r="B384" s="139" t="s">
        <v>107</v>
      </c>
      <c r="C384" s="30" t="s">
        <v>314</v>
      </c>
      <c r="D384" s="147">
        <v>8</v>
      </c>
      <c r="E384" s="77">
        <v>5</v>
      </c>
      <c r="F384" s="1"/>
      <c r="G384" s="76">
        <v>0.29166666666666669</v>
      </c>
      <c r="H384" s="76">
        <v>0.3888888888888889</v>
      </c>
      <c r="I384" s="173" t="s">
        <v>1313</v>
      </c>
      <c r="J384" s="23">
        <v>3</v>
      </c>
      <c r="K384" s="68">
        <v>6.9444444444444441E-3</v>
      </c>
      <c r="L384" s="68">
        <v>0.33333333333333331</v>
      </c>
      <c r="M384" s="68">
        <v>0.4236111111111111</v>
      </c>
      <c r="N384" s="173" t="s">
        <v>1313</v>
      </c>
      <c r="O384" s="23">
        <v>1120</v>
      </c>
      <c r="P384" s="70">
        <v>0.29166666666666669</v>
      </c>
      <c r="Q384" s="70">
        <v>0.4236111111111111</v>
      </c>
      <c r="R384" s="229" t="s">
        <v>1256</v>
      </c>
    </row>
    <row r="385" spans="1:18" ht="15.75" customHeight="1" x14ac:dyDescent="0.4">
      <c r="A385" s="133">
        <v>45678</v>
      </c>
      <c r="B385" s="139" t="s">
        <v>63</v>
      </c>
      <c r="C385" s="30" t="s">
        <v>267</v>
      </c>
      <c r="D385" s="147">
        <v>20</v>
      </c>
      <c r="E385" s="77">
        <v>5</v>
      </c>
      <c r="F385" s="1"/>
      <c r="G385" s="76">
        <v>0.54166666666666663</v>
      </c>
      <c r="H385" s="76">
        <v>0.70833333333333337</v>
      </c>
      <c r="I385" s="173" t="s">
        <v>1244</v>
      </c>
      <c r="J385" s="23">
        <v>3</v>
      </c>
      <c r="K385" s="68">
        <v>6.9444444444444441E-3</v>
      </c>
      <c r="L385" s="68">
        <v>0.5625</v>
      </c>
      <c r="M385" s="68">
        <v>0.70833333333333337</v>
      </c>
      <c r="N385" s="173" t="s">
        <v>1254</v>
      </c>
      <c r="O385" s="23">
        <v>1860</v>
      </c>
      <c r="P385" s="70">
        <v>0.54166666666666663</v>
      </c>
      <c r="Q385" s="70">
        <v>0.70833333333333337</v>
      </c>
      <c r="R385" s="229" t="s">
        <v>1244</v>
      </c>
    </row>
    <row r="386" spans="1:18" x14ac:dyDescent="0.4">
      <c r="A386" s="133">
        <v>45678</v>
      </c>
      <c r="B386" s="139" t="s">
        <v>104</v>
      </c>
      <c r="C386" s="30" t="s">
        <v>191</v>
      </c>
      <c r="D386" s="147">
        <v>60</v>
      </c>
      <c r="E386" s="77">
        <v>3</v>
      </c>
      <c r="F386" s="76">
        <v>2.0833333333333332E-2</v>
      </c>
      <c r="G386" s="76">
        <v>0.29166666666666669</v>
      </c>
      <c r="H386" s="76">
        <v>0.6875</v>
      </c>
      <c r="I386" s="173" t="s">
        <v>1252</v>
      </c>
      <c r="J386" s="23">
        <v>4</v>
      </c>
      <c r="K386" s="23"/>
      <c r="L386" s="68">
        <v>0.29166666666666669</v>
      </c>
      <c r="M386" s="68">
        <v>0.70833333333333337</v>
      </c>
      <c r="N386" s="173" t="s">
        <v>1252</v>
      </c>
      <c r="O386" s="23">
        <v>3780</v>
      </c>
      <c r="P386" s="70">
        <v>0.29166666666666669</v>
      </c>
      <c r="Q386" s="70">
        <v>0.70833333333333337</v>
      </c>
      <c r="R386" s="229" t="s">
        <v>1252</v>
      </c>
    </row>
    <row r="387" spans="1:18" x14ac:dyDescent="0.4">
      <c r="A387" s="133">
        <v>45679</v>
      </c>
      <c r="B387" s="139" t="s">
        <v>86</v>
      </c>
      <c r="C387" s="30" t="s">
        <v>201</v>
      </c>
      <c r="D387" s="147">
        <v>20</v>
      </c>
      <c r="E387" s="77">
        <v>5</v>
      </c>
      <c r="F387" s="1"/>
      <c r="G387" s="76">
        <v>0.54166666666666663</v>
      </c>
      <c r="H387" s="76">
        <v>0.70833333333333337</v>
      </c>
      <c r="I387" s="173" t="s">
        <v>1244</v>
      </c>
      <c r="J387" s="23">
        <v>5</v>
      </c>
      <c r="K387" s="23"/>
      <c r="L387" s="68">
        <v>0.4861111111111111</v>
      </c>
      <c r="M387" s="68">
        <v>0.72916666666666663</v>
      </c>
      <c r="N387" s="173" t="s">
        <v>1258</v>
      </c>
      <c r="O387" s="23">
        <v>2650</v>
      </c>
      <c r="P387" s="70">
        <v>0.4861111111111111</v>
      </c>
      <c r="Q387" s="70">
        <v>0.72916666666666663</v>
      </c>
      <c r="R387" s="229" t="s">
        <v>1258</v>
      </c>
    </row>
    <row r="388" spans="1:18" x14ac:dyDescent="0.4">
      <c r="A388" s="133">
        <v>45679</v>
      </c>
      <c r="B388" s="139" t="s">
        <v>87</v>
      </c>
      <c r="C388" s="30" t="s">
        <v>199</v>
      </c>
      <c r="D388" s="147">
        <v>36</v>
      </c>
      <c r="E388" s="77">
        <v>5</v>
      </c>
      <c r="F388" s="1"/>
      <c r="G388" s="76">
        <v>0.29166666666666669</v>
      </c>
      <c r="H388" s="76">
        <v>0.5</v>
      </c>
      <c r="I388" s="173" t="s">
        <v>1327</v>
      </c>
      <c r="J388" s="23">
        <v>5</v>
      </c>
      <c r="K388" s="23"/>
      <c r="L388" s="68">
        <v>0.3125</v>
      </c>
      <c r="M388" s="68">
        <v>0.4861111111111111</v>
      </c>
      <c r="N388" s="173" t="s">
        <v>1311</v>
      </c>
      <c r="O388" s="23">
        <v>2750</v>
      </c>
      <c r="P388" s="70">
        <v>0.29166666666666669</v>
      </c>
      <c r="Q388" s="70">
        <v>0.5</v>
      </c>
      <c r="R388" s="229" t="s">
        <v>1327</v>
      </c>
    </row>
    <row r="389" spans="1:18" x14ac:dyDescent="0.4">
      <c r="A389" s="133">
        <v>45679</v>
      </c>
      <c r="B389" s="139" t="s">
        <v>72</v>
      </c>
      <c r="C389" s="30" t="s">
        <v>227</v>
      </c>
      <c r="D389" s="147">
        <v>16</v>
      </c>
      <c r="E389" s="77">
        <v>5</v>
      </c>
      <c r="F389" s="1"/>
      <c r="G389" s="76">
        <v>0.29166666666666669</v>
      </c>
      <c r="H389" s="76">
        <v>0.42499999999999999</v>
      </c>
      <c r="I389" s="173" t="s">
        <v>1382</v>
      </c>
      <c r="J389" s="23">
        <v>4</v>
      </c>
      <c r="K389" s="68">
        <v>1.0416666666666666E-2</v>
      </c>
      <c r="L389" s="68">
        <v>0.33333333333333331</v>
      </c>
      <c r="M389" s="68">
        <v>0.4513888888888889</v>
      </c>
      <c r="N389" s="173" t="s">
        <v>1251</v>
      </c>
      <c r="O389" s="23">
        <v>1700</v>
      </c>
      <c r="P389" s="70">
        <v>0.29166666666666669</v>
      </c>
      <c r="Q389" s="70">
        <v>0.4513888888888889</v>
      </c>
      <c r="R389" s="229" t="s">
        <v>1332</v>
      </c>
    </row>
    <row r="390" spans="1:18" x14ac:dyDescent="0.4">
      <c r="A390" s="133">
        <v>45679</v>
      </c>
      <c r="B390" s="139" t="s">
        <v>63</v>
      </c>
      <c r="C390" s="30" t="s">
        <v>267</v>
      </c>
      <c r="D390" s="147">
        <v>24</v>
      </c>
      <c r="E390" s="77">
        <v>5</v>
      </c>
      <c r="F390" s="1"/>
      <c r="G390" s="76">
        <v>0.42499999999999999</v>
      </c>
      <c r="H390" s="76">
        <v>0.6875</v>
      </c>
      <c r="I390" s="173" t="s">
        <v>1496</v>
      </c>
      <c r="J390" s="23">
        <v>4</v>
      </c>
      <c r="K390" s="68">
        <v>1.0416666666666666E-2</v>
      </c>
      <c r="L390" s="68">
        <v>0.4513888888888889</v>
      </c>
      <c r="M390" s="68">
        <v>6.25E-2</v>
      </c>
      <c r="N390" s="173" t="s">
        <v>1497</v>
      </c>
      <c r="O390" s="23">
        <v>-590</v>
      </c>
      <c r="P390" s="70">
        <v>6.25E-2</v>
      </c>
      <c r="Q390" s="70">
        <v>0.6875</v>
      </c>
      <c r="R390" s="229" t="s">
        <v>1392</v>
      </c>
    </row>
    <row r="391" spans="1:18" x14ac:dyDescent="0.4">
      <c r="A391" s="133">
        <v>45679</v>
      </c>
      <c r="B391" s="139" t="s">
        <v>65</v>
      </c>
      <c r="C391" s="30" t="s">
        <v>189</v>
      </c>
      <c r="D391" s="191">
        <v>60</v>
      </c>
      <c r="E391" s="77">
        <v>3</v>
      </c>
      <c r="F391" s="76">
        <v>4.1666666666666664E-2</v>
      </c>
      <c r="G391" s="76">
        <v>0.29166666666666669</v>
      </c>
      <c r="H391" s="76">
        <v>0.6875</v>
      </c>
      <c r="I391" s="173" t="s">
        <v>1247</v>
      </c>
      <c r="J391" s="23">
        <v>4</v>
      </c>
      <c r="K391" s="23"/>
      <c r="L391" s="68">
        <v>0.29166666666666669</v>
      </c>
      <c r="M391" s="68">
        <v>0.71527777777777779</v>
      </c>
      <c r="N391" s="173" t="s">
        <v>1352</v>
      </c>
      <c r="O391" s="23">
        <v>3910</v>
      </c>
      <c r="P391" s="70">
        <v>0.29166666666666669</v>
      </c>
      <c r="Q391" s="70">
        <v>0.71527777777777779</v>
      </c>
      <c r="R391" s="229" t="s">
        <v>1352</v>
      </c>
    </row>
    <row r="392" spans="1:18" x14ac:dyDescent="0.4">
      <c r="A392" s="133">
        <v>45680</v>
      </c>
      <c r="B392" s="139" t="s">
        <v>54</v>
      </c>
      <c r="C392" s="30" t="s">
        <v>251</v>
      </c>
      <c r="D392" s="147">
        <v>40</v>
      </c>
      <c r="E392" s="77">
        <v>5</v>
      </c>
      <c r="F392" s="1"/>
      <c r="G392" s="76">
        <v>0.29166666666666669</v>
      </c>
      <c r="H392" s="76">
        <v>0.66666666666666663</v>
      </c>
      <c r="I392" s="173" t="s">
        <v>1292</v>
      </c>
      <c r="J392" s="23">
        <v>3</v>
      </c>
      <c r="K392" s="23"/>
      <c r="L392" s="68">
        <v>0.3125</v>
      </c>
      <c r="M392" s="68">
        <v>0.6875</v>
      </c>
      <c r="N392" s="173" t="s">
        <v>1292</v>
      </c>
      <c r="O392" s="23">
        <v>3840</v>
      </c>
      <c r="P392" s="70">
        <v>0.29166666666666669</v>
      </c>
      <c r="Q392" s="70">
        <v>0.6875</v>
      </c>
      <c r="R392" s="229" t="s">
        <v>990</v>
      </c>
    </row>
    <row r="393" spans="1:18" x14ac:dyDescent="0.4">
      <c r="A393" s="133">
        <v>45680</v>
      </c>
      <c r="B393" s="139" t="s">
        <v>110</v>
      </c>
      <c r="C393" s="30" t="s">
        <v>231</v>
      </c>
      <c r="D393" s="147">
        <v>21</v>
      </c>
      <c r="E393" s="77">
        <v>4</v>
      </c>
      <c r="F393" s="76">
        <v>2.0833333333333332E-2</v>
      </c>
      <c r="G393" s="76">
        <v>0.29166666666666669</v>
      </c>
      <c r="H393" s="76">
        <v>0.64583333333333337</v>
      </c>
      <c r="I393" s="173" t="s">
        <v>1292</v>
      </c>
      <c r="J393" s="23">
        <v>9</v>
      </c>
      <c r="K393" s="23"/>
      <c r="L393" s="68">
        <v>0.33333333333333331</v>
      </c>
      <c r="M393" s="68">
        <v>0.70833333333333337</v>
      </c>
      <c r="N393" s="173" t="s">
        <v>1292</v>
      </c>
      <c r="O393" s="23">
        <v>6240</v>
      </c>
      <c r="P393" s="70">
        <v>0.29166666666666669</v>
      </c>
      <c r="Q393" s="70">
        <v>0.70833333333333337</v>
      </c>
      <c r="R393" s="229" t="s">
        <v>1252</v>
      </c>
    </row>
    <row r="394" spans="1:18" x14ac:dyDescent="0.4">
      <c r="A394" s="133">
        <v>45680</v>
      </c>
      <c r="B394" s="139" t="s">
        <v>65</v>
      </c>
      <c r="C394" s="30" t="s">
        <v>189</v>
      </c>
      <c r="D394" s="191">
        <v>60</v>
      </c>
      <c r="E394" s="77">
        <v>3</v>
      </c>
      <c r="F394" s="76">
        <v>2.0833333333333332E-2</v>
      </c>
      <c r="G394" s="76">
        <v>0.29166666666666669</v>
      </c>
      <c r="H394" s="76">
        <v>0.6875</v>
      </c>
      <c r="I394" s="173" t="s">
        <v>1252</v>
      </c>
      <c r="J394" s="23">
        <v>4</v>
      </c>
      <c r="K394" s="23"/>
      <c r="L394" s="68">
        <v>0.29166666666666669</v>
      </c>
      <c r="M394" s="68">
        <v>0.70833333333333337</v>
      </c>
      <c r="N394" s="173" t="s">
        <v>1252</v>
      </c>
      <c r="O394" s="23">
        <v>3780</v>
      </c>
      <c r="P394" s="70">
        <v>0.29166666666666669</v>
      </c>
      <c r="Q394" s="70">
        <v>0.70833333333333337</v>
      </c>
      <c r="R394" s="229" t="s">
        <v>1252</v>
      </c>
    </row>
    <row r="395" spans="1:18" x14ac:dyDescent="0.4">
      <c r="A395" s="133">
        <v>45681</v>
      </c>
      <c r="B395" s="139" t="s">
        <v>114</v>
      </c>
      <c r="C395" s="30" t="s">
        <v>161</v>
      </c>
      <c r="D395" s="147">
        <v>12</v>
      </c>
      <c r="E395" s="77">
        <v>4</v>
      </c>
      <c r="F395" s="1"/>
      <c r="G395" s="76">
        <v>0.29166666666666669</v>
      </c>
      <c r="H395" s="76">
        <v>0.5</v>
      </c>
      <c r="I395" s="173" t="s">
        <v>1327</v>
      </c>
      <c r="J395" s="23">
        <v>13</v>
      </c>
      <c r="K395" s="23"/>
      <c r="L395" s="68">
        <v>0.29166666666666669</v>
      </c>
      <c r="M395" s="68">
        <v>0.54166666666666663</v>
      </c>
      <c r="N395" s="173" t="s">
        <v>1327</v>
      </c>
      <c r="O395" s="23">
        <v>5100</v>
      </c>
      <c r="P395" s="70">
        <v>0.29166666666666669</v>
      </c>
      <c r="Q395" s="70">
        <v>0.54166666666666663</v>
      </c>
      <c r="R395" s="229" t="s">
        <v>1327</v>
      </c>
    </row>
    <row r="396" spans="1:18" s="146" customFormat="1" x14ac:dyDescent="0.4">
      <c r="A396" s="138">
        <v>45681</v>
      </c>
      <c r="B396" s="139" t="s">
        <v>64</v>
      </c>
      <c r="C396" s="140" t="s">
        <v>271</v>
      </c>
      <c r="D396" s="147">
        <v>20</v>
      </c>
      <c r="E396" s="168">
        <v>5</v>
      </c>
      <c r="F396" s="158"/>
      <c r="G396" s="169">
        <v>0.29166666666666669</v>
      </c>
      <c r="H396" s="169">
        <v>0.5</v>
      </c>
      <c r="I396" s="153" t="s">
        <v>1327</v>
      </c>
      <c r="J396" s="144">
        <v>3</v>
      </c>
      <c r="K396" s="170">
        <v>1.0416666666666666E-2</v>
      </c>
      <c r="L396" s="170">
        <v>0.33333333333333331</v>
      </c>
      <c r="M396" s="170">
        <v>0.5625</v>
      </c>
      <c r="N396" s="153" t="s">
        <v>1335</v>
      </c>
      <c r="O396" s="144">
        <v>2355</v>
      </c>
      <c r="P396" s="70">
        <v>0.29166666666666669</v>
      </c>
      <c r="Q396" s="70">
        <v>0.5625</v>
      </c>
      <c r="R396" s="233" t="s">
        <v>1320</v>
      </c>
    </row>
    <row r="397" spans="1:18" s="146" customFormat="1" x14ac:dyDescent="0.4">
      <c r="A397" s="138">
        <v>45681</v>
      </c>
      <c r="B397" s="139" t="s">
        <v>63</v>
      </c>
      <c r="C397" s="140" t="s">
        <v>267</v>
      </c>
      <c r="D397" s="147">
        <v>16</v>
      </c>
      <c r="E397" s="168">
        <v>5</v>
      </c>
      <c r="F397" s="158"/>
      <c r="G397" s="169">
        <v>0.54166666666666663</v>
      </c>
      <c r="H397" s="169">
        <v>0.66666666666666663</v>
      </c>
      <c r="I397" s="153" t="s">
        <v>1316</v>
      </c>
      <c r="J397" s="144">
        <v>3</v>
      </c>
      <c r="K397" s="170">
        <v>1.0416666666666666E-2</v>
      </c>
      <c r="L397" s="170">
        <v>0.5625</v>
      </c>
      <c r="M397" s="170">
        <v>0.6875</v>
      </c>
      <c r="N397" s="153" t="s">
        <v>1391</v>
      </c>
      <c r="O397" s="144">
        <v>1485</v>
      </c>
      <c r="P397" s="70">
        <v>0.54166666666666663</v>
      </c>
      <c r="Q397" s="70">
        <v>0.6875</v>
      </c>
      <c r="R397" s="233" t="s">
        <v>1303</v>
      </c>
    </row>
    <row r="398" spans="1:18" s="146" customFormat="1" x14ac:dyDescent="0.4">
      <c r="A398" s="138">
        <v>45681</v>
      </c>
      <c r="B398" s="139" t="s">
        <v>65</v>
      </c>
      <c r="C398" s="140" t="s">
        <v>189</v>
      </c>
      <c r="D398" s="191">
        <v>40</v>
      </c>
      <c r="E398" s="168">
        <v>3</v>
      </c>
      <c r="F398" s="169">
        <v>2.0833333333333332E-2</v>
      </c>
      <c r="G398" s="169">
        <v>0.29166666666666669</v>
      </c>
      <c r="H398" s="169">
        <v>0.60416666666666663</v>
      </c>
      <c r="I398" s="153" t="s">
        <v>1341</v>
      </c>
      <c r="J398" s="144">
        <v>4</v>
      </c>
      <c r="K398" s="144"/>
      <c r="L398" s="170">
        <v>0.29166666666666669</v>
      </c>
      <c r="M398" s="170">
        <v>0.64583333333333337</v>
      </c>
      <c r="N398" s="153" t="s">
        <v>1309</v>
      </c>
      <c r="O398" s="144">
        <v>3060</v>
      </c>
      <c r="P398" s="70">
        <v>0.29166666666666669</v>
      </c>
      <c r="Q398" s="70">
        <v>0.64583333333333337</v>
      </c>
      <c r="R398" s="233" t="s">
        <v>1309</v>
      </c>
    </row>
    <row r="399" spans="1:18" x14ac:dyDescent="0.4">
      <c r="A399" s="133">
        <v>45691</v>
      </c>
      <c r="B399" s="139" t="s">
        <v>68</v>
      </c>
      <c r="C399" s="30" t="s">
        <v>185</v>
      </c>
      <c r="D399" s="147">
        <v>40</v>
      </c>
      <c r="E399" s="77">
        <v>5</v>
      </c>
      <c r="F399" s="1"/>
      <c r="G399" s="76">
        <v>0.29166666666666669</v>
      </c>
      <c r="H399" s="76">
        <v>0.66666666666666663</v>
      </c>
      <c r="I399" s="173" t="s">
        <v>1292</v>
      </c>
      <c r="J399" s="23">
        <v>5</v>
      </c>
      <c r="K399" s="23"/>
      <c r="L399" s="68">
        <v>0.3125</v>
      </c>
      <c r="M399" s="68">
        <v>0.70833333333333337</v>
      </c>
      <c r="N399" s="173" t="s">
        <v>990</v>
      </c>
      <c r="O399" s="23">
        <v>4950</v>
      </c>
      <c r="P399" s="70">
        <v>0.29166666666666669</v>
      </c>
      <c r="Q399" s="70">
        <v>0.70833333333333337</v>
      </c>
      <c r="R399" s="229" t="s">
        <v>1252</v>
      </c>
    </row>
    <row r="400" spans="1:18" x14ac:dyDescent="0.4">
      <c r="A400" s="133">
        <v>45691</v>
      </c>
      <c r="B400" s="139" t="s">
        <v>73</v>
      </c>
      <c r="C400" s="30" t="s">
        <v>231</v>
      </c>
      <c r="D400" s="147">
        <v>21</v>
      </c>
      <c r="E400" s="77">
        <v>6</v>
      </c>
      <c r="F400" s="1"/>
      <c r="G400" s="76">
        <v>0.29166666666666669</v>
      </c>
      <c r="H400" s="76">
        <v>0.67013888888888884</v>
      </c>
      <c r="I400" s="173" t="s">
        <v>1498</v>
      </c>
      <c r="J400" s="23">
        <v>8</v>
      </c>
      <c r="K400" s="23"/>
      <c r="L400" s="68">
        <v>0.39583333333333331</v>
      </c>
      <c r="M400" s="68">
        <v>0.70833333333333337</v>
      </c>
      <c r="N400" s="173" t="s">
        <v>1329</v>
      </c>
      <c r="O400" s="23">
        <v>6030</v>
      </c>
      <c r="P400" s="70">
        <v>0.29166666666666669</v>
      </c>
      <c r="Q400" s="70">
        <v>0.70833333333333337</v>
      </c>
      <c r="R400" s="229" t="s">
        <v>1252</v>
      </c>
    </row>
    <row r="401" spans="1:18" x14ac:dyDescent="0.4">
      <c r="A401" s="133">
        <v>45691</v>
      </c>
      <c r="B401" s="139" t="s">
        <v>65</v>
      </c>
      <c r="C401" s="30" t="s">
        <v>189</v>
      </c>
      <c r="D401" s="191">
        <v>60</v>
      </c>
      <c r="E401" s="77">
        <v>3</v>
      </c>
      <c r="F401" s="1"/>
      <c r="G401" s="76">
        <v>0.29166666666666669</v>
      </c>
      <c r="H401" s="76">
        <v>0.70833333333333337</v>
      </c>
      <c r="I401" s="173" t="s">
        <v>1252</v>
      </c>
      <c r="J401" s="23">
        <v>4</v>
      </c>
      <c r="K401" s="23"/>
      <c r="L401" s="68">
        <v>0.29166666666666669</v>
      </c>
      <c r="M401" s="68">
        <v>0.75</v>
      </c>
      <c r="N401" s="173" t="s">
        <v>1308</v>
      </c>
      <c r="O401" s="23">
        <v>4020</v>
      </c>
      <c r="P401" s="70">
        <v>0.29166666666666669</v>
      </c>
      <c r="Q401" s="70">
        <v>0.75</v>
      </c>
      <c r="R401" s="229" t="s">
        <v>1308</v>
      </c>
    </row>
    <row r="402" spans="1:18" x14ac:dyDescent="0.4">
      <c r="A402" s="135">
        <v>45691</v>
      </c>
      <c r="B402" s="102">
        <v>153010</v>
      </c>
      <c r="C402" s="136" t="s">
        <v>484</v>
      </c>
      <c r="D402" s="183">
        <v>1</v>
      </c>
      <c r="E402" s="103"/>
      <c r="F402" s="104"/>
      <c r="G402" s="184"/>
      <c r="H402" s="184"/>
      <c r="I402" s="225" t="s">
        <v>1002</v>
      </c>
      <c r="J402" s="105"/>
      <c r="K402" s="105"/>
      <c r="L402" s="106"/>
      <c r="M402" s="106"/>
      <c r="N402" s="225" t="s">
        <v>1002</v>
      </c>
      <c r="O402" s="105">
        <v>0</v>
      </c>
      <c r="P402" s="70">
        <v>0</v>
      </c>
      <c r="Q402" s="70">
        <v>0</v>
      </c>
      <c r="R402" s="232" t="s">
        <v>1002</v>
      </c>
    </row>
    <row r="403" spans="1:18" x14ac:dyDescent="0.4">
      <c r="A403" s="133">
        <v>45692</v>
      </c>
      <c r="B403" s="139" t="s">
        <v>456</v>
      </c>
      <c r="C403" s="30" t="s">
        <v>287</v>
      </c>
      <c r="D403" s="147">
        <v>3</v>
      </c>
      <c r="E403" s="77">
        <v>4</v>
      </c>
      <c r="F403" s="1"/>
      <c r="G403" s="76">
        <v>0.59444444444444444</v>
      </c>
      <c r="H403" s="76">
        <v>0.72916666666666663</v>
      </c>
      <c r="I403" s="173" t="s">
        <v>1499</v>
      </c>
      <c r="J403" s="23">
        <v>12</v>
      </c>
      <c r="K403" s="68">
        <v>1.0416666666666666E-2</v>
      </c>
      <c r="L403" s="68">
        <v>0.66666666666666663</v>
      </c>
      <c r="M403" s="68">
        <v>0.75</v>
      </c>
      <c r="N403" s="173" t="s">
        <v>1324</v>
      </c>
      <c r="O403" s="23">
        <v>2396</v>
      </c>
      <c r="P403" s="70">
        <v>0.59444444444444444</v>
      </c>
      <c r="Q403" s="70">
        <v>0.75</v>
      </c>
      <c r="R403" s="229" t="s">
        <v>1349</v>
      </c>
    </row>
    <row r="404" spans="1:18" x14ac:dyDescent="0.4">
      <c r="A404" s="133">
        <v>45692</v>
      </c>
      <c r="B404" s="139" t="s">
        <v>106</v>
      </c>
      <c r="C404" s="30" t="s">
        <v>173</v>
      </c>
      <c r="D404" s="147">
        <v>24</v>
      </c>
      <c r="E404" s="77">
        <v>4</v>
      </c>
      <c r="F404" s="1"/>
      <c r="G404" s="76">
        <v>0.29166666666666669</v>
      </c>
      <c r="H404" s="76">
        <v>0.59444444444444444</v>
      </c>
      <c r="I404" s="173" t="s">
        <v>1500</v>
      </c>
      <c r="J404" s="23">
        <v>9</v>
      </c>
      <c r="K404" s="68">
        <v>1.0416666666666666E-2</v>
      </c>
      <c r="L404" s="68">
        <v>0.33333333333333331</v>
      </c>
      <c r="M404" s="68">
        <v>0.66666666666666663</v>
      </c>
      <c r="N404" s="173" t="s">
        <v>1245</v>
      </c>
      <c r="O404" s="23">
        <v>5419</v>
      </c>
      <c r="P404" s="70">
        <v>0.29166666666666669</v>
      </c>
      <c r="Q404" s="70">
        <v>0.66666666666666663</v>
      </c>
      <c r="R404" s="229" t="s">
        <v>1292</v>
      </c>
    </row>
    <row r="405" spans="1:18" x14ac:dyDescent="0.4">
      <c r="A405" s="133">
        <v>45692</v>
      </c>
      <c r="B405" s="139" t="s">
        <v>64</v>
      </c>
      <c r="C405" s="30" t="s">
        <v>271</v>
      </c>
      <c r="D405" s="147">
        <v>24</v>
      </c>
      <c r="E405" s="77">
        <v>5</v>
      </c>
      <c r="F405" s="1"/>
      <c r="G405" s="76">
        <v>0.29166666666666669</v>
      </c>
      <c r="H405" s="76">
        <v>0.5</v>
      </c>
      <c r="I405" s="173" t="s">
        <v>1327</v>
      </c>
      <c r="J405" s="23">
        <v>3</v>
      </c>
      <c r="K405" s="68">
        <v>1.0416666666666666E-2</v>
      </c>
      <c r="L405" s="68">
        <v>0.33333333333333331</v>
      </c>
      <c r="M405" s="68">
        <v>0.5625</v>
      </c>
      <c r="N405" s="173" t="s">
        <v>1335</v>
      </c>
      <c r="O405" s="23">
        <v>2355</v>
      </c>
      <c r="P405" s="70">
        <v>0.29166666666666669</v>
      </c>
      <c r="Q405" s="70">
        <v>0.5625</v>
      </c>
      <c r="R405" s="229" t="s">
        <v>1320</v>
      </c>
    </row>
    <row r="406" spans="1:18" x14ac:dyDescent="0.4">
      <c r="A406" s="133">
        <v>45692</v>
      </c>
      <c r="B406" s="139" t="s">
        <v>63</v>
      </c>
      <c r="C406" s="30" t="s">
        <v>267</v>
      </c>
      <c r="D406" s="147">
        <v>16</v>
      </c>
      <c r="E406" s="77">
        <v>5</v>
      </c>
      <c r="F406" s="1"/>
      <c r="G406" s="76">
        <v>0.54166666666666663</v>
      </c>
      <c r="H406" s="76">
        <v>0.6875</v>
      </c>
      <c r="I406" s="173" t="s">
        <v>1303</v>
      </c>
      <c r="J406" s="23">
        <v>3</v>
      </c>
      <c r="K406" s="68">
        <v>1.0416666666666666E-2</v>
      </c>
      <c r="L406" s="68">
        <v>0.5625</v>
      </c>
      <c r="M406" s="68">
        <v>0.6875</v>
      </c>
      <c r="N406" s="173" t="s">
        <v>1391</v>
      </c>
      <c r="O406" s="23">
        <v>1635</v>
      </c>
      <c r="P406" s="70">
        <v>0.54166666666666663</v>
      </c>
      <c r="Q406" s="70">
        <v>0.6875</v>
      </c>
      <c r="R406" s="229" t="s">
        <v>1303</v>
      </c>
    </row>
    <row r="407" spans="1:18" x14ac:dyDescent="0.4">
      <c r="A407" s="133">
        <v>45692</v>
      </c>
      <c r="B407" s="139" t="s">
        <v>97</v>
      </c>
      <c r="C407" s="30" t="s">
        <v>274</v>
      </c>
      <c r="D407" s="147">
        <v>16</v>
      </c>
      <c r="E407" s="77">
        <v>3</v>
      </c>
      <c r="F407" s="76">
        <v>1.0416666666666666E-2</v>
      </c>
      <c r="G407" s="76">
        <v>0.29166666666666669</v>
      </c>
      <c r="H407" s="76">
        <v>0.38194444444444442</v>
      </c>
      <c r="I407" s="173" t="s">
        <v>1331</v>
      </c>
      <c r="J407" s="23">
        <v>4</v>
      </c>
      <c r="K407" s="23"/>
      <c r="L407" s="68">
        <v>0.29166666666666669</v>
      </c>
      <c r="M407" s="68">
        <v>0.42708333333333331</v>
      </c>
      <c r="N407" s="173" t="s">
        <v>1391</v>
      </c>
      <c r="O407" s="23">
        <v>1215</v>
      </c>
      <c r="P407" s="70">
        <v>0.29166666666666669</v>
      </c>
      <c r="Q407" s="70">
        <v>0.42708333333333331</v>
      </c>
      <c r="R407" s="229" t="s">
        <v>1391</v>
      </c>
    </row>
    <row r="408" spans="1:18" x14ac:dyDescent="0.4">
      <c r="A408" s="133">
        <v>45692</v>
      </c>
      <c r="B408" s="139" t="s">
        <v>66</v>
      </c>
      <c r="C408" s="30" t="s">
        <v>195</v>
      </c>
      <c r="D408" s="147">
        <v>20</v>
      </c>
      <c r="E408" s="77">
        <v>3</v>
      </c>
      <c r="F408" s="76">
        <v>1.0416666666666666E-2</v>
      </c>
      <c r="G408" s="76">
        <v>0.38194444444444442</v>
      </c>
      <c r="H408" s="76">
        <v>0.60416666666666663</v>
      </c>
      <c r="I408" s="173" t="s">
        <v>1304</v>
      </c>
      <c r="J408" s="23">
        <v>4</v>
      </c>
      <c r="K408" s="23"/>
      <c r="L408" s="68">
        <v>0.42708333333333331</v>
      </c>
      <c r="M408" s="68">
        <v>0.66666666666666663</v>
      </c>
      <c r="N408" s="173" t="s">
        <v>1335</v>
      </c>
      <c r="O408" s="23">
        <v>1965</v>
      </c>
      <c r="P408" s="70">
        <v>0.38194444444444442</v>
      </c>
      <c r="Q408" s="70">
        <v>0.66666666666666663</v>
      </c>
      <c r="R408" s="229" t="s">
        <v>1415</v>
      </c>
    </row>
    <row r="409" spans="1:18" x14ac:dyDescent="0.4">
      <c r="A409" s="133">
        <v>45693</v>
      </c>
      <c r="B409" s="139" t="s">
        <v>71</v>
      </c>
      <c r="C409" s="30" t="s">
        <v>176</v>
      </c>
      <c r="D409" s="147">
        <v>72</v>
      </c>
      <c r="E409" s="77">
        <v>6</v>
      </c>
      <c r="F409" s="1"/>
      <c r="G409" s="76">
        <v>0.29166666666666669</v>
      </c>
      <c r="H409" s="76">
        <v>0.6875</v>
      </c>
      <c r="I409" s="173" t="s">
        <v>990</v>
      </c>
      <c r="J409" s="23">
        <v>5</v>
      </c>
      <c r="K409" s="23"/>
      <c r="L409" s="68">
        <v>0.3125</v>
      </c>
      <c r="M409" s="68">
        <v>0.70833333333333337</v>
      </c>
      <c r="N409" s="173" t="s">
        <v>990</v>
      </c>
      <c r="O409" s="23">
        <v>5610</v>
      </c>
      <c r="P409" s="70">
        <v>0.29166666666666669</v>
      </c>
      <c r="Q409" s="70">
        <v>0.70833333333333337</v>
      </c>
      <c r="R409" s="229" t="s">
        <v>1252</v>
      </c>
    </row>
    <row r="410" spans="1:18" x14ac:dyDescent="0.4">
      <c r="A410" s="133">
        <v>45693</v>
      </c>
      <c r="B410" s="139" t="s">
        <v>72</v>
      </c>
      <c r="C410" s="30" t="s">
        <v>227</v>
      </c>
      <c r="D410" s="147">
        <v>12</v>
      </c>
      <c r="E410" s="77">
        <v>5</v>
      </c>
      <c r="F410" s="1"/>
      <c r="G410" s="76">
        <v>0.29166666666666669</v>
      </c>
      <c r="H410" s="76">
        <v>0.39166666666666666</v>
      </c>
      <c r="I410" s="173" t="s">
        <v>1436</v>
      </c>
      <c r="J410" s="23">
        <v>3</v>
      </c>
      <c r="K410" s="68">
        <v>6.9444444444444441E-3</v>
      </c>
      <c r="L410" s="68">
        <v>0.33333333333333331</v>
      </c>
      <c r="M410" s="68">
        <v>0.41666666666666669</v>
      </c>
      <c r="N410" s="173" t="s">
        <v>1248</v>
      </c>
      <c r="O410" s="23">
        <v>1110</v>
      </c>
      <c r="P410" s="70">
        <v>0.29166666666666669</v>
      </c>
      <c r="Q410" s="70">
        <v>0.41666666666666669</v>
      </c>
      <c r="R410" s="229" t="s">
        <v>1316</v>
      </c>
    </row>
    <row r="411" spans="1:18" x14ac:dyDescent="0.4">
      <c r="A411" s="133">
        <v>45693</v>
      </c>
      <c r="B411" s="139" t="s">
        <v>76</v>
      </c>
      <c r="C411" s="30" t="s">
        <v>224</v>
      </c>
      <c r="D411" s="147">
        <v>12</v>
      </c>
      <c r="E411" s="77">
        <v>5</v>
      </c>
      <c r="F411" s="1"/>
      <c r="G411" s="76">
        <v>0.39166666666666666</v>
      </c>
      <c r="H411" s="76">
        <v>0.4680555555555555</v>
      </c>
      <c r="I411" s="173" t="s">
        <v>1377</v>
      </c>
      <c r="J411" s="23">
        <v>3</v>
      </c>
      <c r="K411" s="68">
        <v>6.9444444444444441E-3</v>
      </c>
      <c r="L411" s="68">
        <v>0.41666666666666669</v>
      </c>
      <c r="M411" s="68">
        <v>0.5625</v>
      </c>
      <c r="N411" s="173" t="s">
        <v>1325</v>
      </c>
      <c r="O411" s="23">
        <v>1030</v>
      </c>
      <c r="P411" s="70">
        <v>0.39166666666666666</v>
      </c>
      <c r="Q411" s="70">
        <v>0.5625</v>
      </c>
      <c r="R411" s="229" t="s">
        <v>1407</v>
      </c>
    </row>
    <row r="412" spans="1:18" x14ac:dyDescent="0.4">
      <c r="A412" s="133">
        <v>45693</v>
      </c>
      <c r="B412" s="139" t="s">
        <v>63</v>
      </c>
      <c r="C412" s="30" t="s">
        <v>267</v>
      </c>
      <c r="D412" s="147">
        <v>16</v>
      </c>
      <c r="E412" s="77">
        <v>5</v>
      </c>
      <c r="F412" s="1"/>
      <c r="G412" s="76">
        <v>0.54166666666666663</v>
      </c>
      <c r="H412" s="76">
        <v>0.6875</v>
      </c>
      <c r="I412" s="173" t="s">
        <v>1303</v>
      </c>
      <c r="J412" s="23">
        <v>3</v>
      </c>
      <c r="K412" s="68">
        <v>6.9444444444444441E-3</v>
      </c>
      <c r="L412" s="68">
        <v>0.5625</v>
      </c>
      <c r="M412" s="68">
        <v>0.70833333333333337</v>
      </c>
      <c r="N412" s="173" t="s">
        <v>1254</v>
      </c>
      <c r="O412" s="23">
        <v>1710</v>
      </c>
      <c r="P412" s="70">
        <v>0.54166666666666663</v>
      </c>
      <c r="Q412" s="70">
        <v>0.70833333333333337</v>
      </c>
      <c r="R412" s="229" t="s">
        <v>1244</v>
      </c>
    </row>
    <row r="413" spans="1:18" x14ac:dyDescent="0.4">
      <c r="A413" s="133">
        <v>45693</v>
      </c>
      <c r="B413" s="139" t="s">
        <v>65</v>
      </c>
      <c r="C413" s="30" t="s">
        <v>189</v>
      </c>
      <c r="D413" s="191">
        <v>60</v>
      </c>
      <c r="E413" s="77">
        <v>3</v>
      </c>
      <c r="F413" s="76">
        <v>4.1666666666666664E-2</v>
      </c>
      <c r="G413" s="76">
        <v>0.29166666666666669</v>
      </c>
      <c r="H413" s="76">
        <v>0.66666666666666663</v>
      </c>
      <c r="I413" s="173" t="s">
        <v>1252</v>
      </c>
      <c r="J413" s="23">
        <v>4</v>
      </c>
      <c r="K413" s="23"/>
      <c r="L413" s="68">
        <v>0.29166666666666669</v>
      </c>
      <c r="M413" s="68">
        <v>0.70833333333333337</v>
      </c>
      <c r="N413" s="173" t="s">
        <v>1252</v>
      </c>
      <c r="O413" s="23">
        <v>3780</v>
      </c>
      <c r="P413" s="70">
        <v>0.29166666666666669</v>
      </c>
      <c r="Q413" s="70">
        <v>0.70833333333333337</v>
      </c>
      <c r="R413" s="229" t="s">
        <v>1252</v>
      </c>
    </row>
    <row r="414" spans="1:18" x14ac:dyDescent="0.4">
      <c r="A414" s="133">
        <v>45694</v>
      </c>
      <c r="B414" s="139" t="s">
        <v>63</v>
      </c>
      <c r="C414" s="30" t="s">
        <v>267</v>
      </c>
      <c r="D414" s="147">
        <v>24</v>
      </c>
      <c r="E414" s="77">
        <v>5</v>
      </c>
      <c r="F414" s="1"/>
      <c r="G414" s="76">
        <v>0.4201388888888889</v>
      </c>
      <c r="H414" s="76">
        <v>0.6875</v>
      </c>
      <c r="I414" s="173" t="s">
        <v>1306</v>
      </c>
      <c r="J414" s="23">
        <v>3</v>
      </c>
      <c r="K414" s="68">
        <v>1.0416666666666666E-2</v>
      </c>
      <c r="L414" s="68">
        <v>0.45833333333333331</v>
      </c>
      <c r="M414" s="68">
        <v>0.70833333333333337</v>
      </c>
      <c r="N414" s="173" t="s">
        <v>1401</v>
      </c>
      <c r="O414" s="23">
        <v>2570</v>
      </c>
      <c r="P414" s="70">
        <v>0.4201388888888889</v>
      </c>
      <c r="Q414" s="70">
        <v>0.70833333333333337</v>
      </c>
      <c r="R414" s="229" t="s">
        <v>1358</v>
      </c>
    </row>
    <row r="415" spans="1:18" x14ac:dyDescent="0.4">
      <c r="A415" s="133">
        <v>45694</v>
      </c>
      <c r="B415" s="139" t="s">
        <v>75</v>
      </c>
      <c r="C415" s="30" t="s">
        <v>229</v>
      </c>
      <c r="D415" s="147">
        <v>16</v>
      </c>
      <c r="E415" s="77">
        <v>5</v>
      </c>
      <c r="F415" s="1"/>
      <c r="G415" s="76">
        <v>0.29166666666666669</v>
      </c>
      <c r="H415" s="76">
        <v>0.4201388888888889</v>
      </c>
      <c r="I415" s="173" t="s">
        <v>1251</v>
      </c>
      <c r="J415" s="23">
        <v>3</v>
      </c>
      <c r="K415" s="68">
        <v>1.0416666666666666E-2</v>
      </c>
      <c r="L415" s="68">
        <v>0.33333333333333331</v>
      </c>
      <c r="M415" s="68">
        <v>0.45833333333333331</v>
      </c>
      <c r="N415" s="173" t="s">
        <v>1391</v>
      </c>
      <c r="O415" s="23">
        <v>1510</v>
      </c>
      <c r="P415" s="70">
        <v>0.29166666666666669</v>
      </c>
      <c r="Q415" s="70">
        <v>0.45833333333333331</v>
      </c>
      <c r="R415" s="229" t="s">
        <v>1244</v>
      </c>
    </row>
    <row r="416" spans="1:18" x14ac:dyDescent="0.4">
      <c r="A416" s="133">
        <v>45694</v>
      </c>
      <c r="B416" s="139" t="s">
        <v>108</v>
      </c>
      <c r="C416" s="30" t="s">
        <v>231</v>
      </c>
      <c r="D416" s="147">
        <v>21</v>
      </c>
      <c r="E416" s="77">
        <v>4</v>
      </c>
      <c r="F416" s="76">
        <v>4.1666666666666664E-2</v>
      </c>
      <c r="G416" s="76">
        <v>0.29166666666666669</v>
      </c>
      <c r="H416" s="76">
        <v>0.64583333333333337</v>
      </c>
      <c r="I416" s="173" t="s">
        <v>990</v>
      </c>
      <c r="J416" s="23">
        <v>9</v>
      </c>
      <c r="K416" s="23"/>
      <c r="L416" s="68">
        <v>0.33333333333333331</v>
      </c>
      <c r="M416" s="68">
        <v>0.70833333333333337</v>
      </c>
      <c r="N416" s="173" t="s">
        <v>1292</v>
      </c>
      <c r="O416" s="23">
        <v>6360</v>
      </c>
      <c r="P416" s="70">
        <v>0.29166666666666669</v>
      </c>
      <c r="Q416" s="70">
        <v>0.70833333333333337</v>
      </c>
      <c r="R416" s="229" t="s">
        <v>1252</v>
      </c>
    </row>
    <row r="417" spans="1:18" x14ac:dyDescent="0.4">
      <c r="A417" s="133">
        <v>45694</v>
      </c>
      <c r="B417" s="139" t="s">
        <v>82</v>
      </c>
      <c r="C417" s="30" t="s">
        <v>171</v>
      </c>
      <c r="D417" s="147">
        <v>36</v>
      </c>
      <c r="E417" s="77">
        <v>3</v>
      </c>
      <c r="F417" s="76">
        <v>2.0833333333333332E-2</v>
      </c>
      <c r="G417" s="76">
        <v>0.29166666666666669</v>
      </c>
      <c r="H417" s="76">
        <v>0.64583333333333337</v>
      </c>
      <c r="I417" s="173" t="s">
        <v>1292</v>
      </c>
      <c r="J417" s="23">
        <v>7</v>
      </c>
      <c r="K417" s="23"/>
      <c r="L417" s="68">
        <v>0.29166666666666669</v>
      </c>
      <c r="M417" s="68">
        <v>0.70833333333333337</v>
      </c>
      <c r="N417" s="173" t="s">
        <v>1252</v>
      </c>
      <c r="O417" s="23">
        <v>5220</v>
      </c>
      <c r="P417" s="70">
        <v>0.29166666666666669</v>
      </c>
      <c r="Q417" s="70">
        <v>0.70833333333333337</v>
      </c>
      <c r="R417" s="229" t="s">
        <v>1252</v>
      </c>
    </row>
    <row r="418" spans="1:18" x14ac:dyDescent="0.4">
      <c r="A418" s="133">
        <v>45695</v>
      </c>
      <c r="B418" s="139" t="s">
        <v>91</v>
      </c>
      <c r="C418" s="30" t="s">
        <v>163</v>
      </c>
      <c r="D418" s="147">
        <v>12</v>
      </c>
      <c r="E418" s="77">
        <v>4</v>
      </c>
      <c r="F418" s="1"/>
      <c r="G418" s="76">
        <v>0.29166666666666669</v>
      </c>
      <c r="H418" s="76">
        <v>0.5</v>
      </c>
      <c r="I418" s="173" t="s">
        <v>1327</v>
      </c>
      <c r="J418" s="23">
        <v>9</v>
      </c>
      <c r="K418" s="23"/>
      <c r="L418" s="68">
        <v>0.33333333333333331</v>
      </c>
      <c r="M418" s="68">
        <v>0.5</v>
      </c>
      <c r="N418" s="173" t="s">
        <v>1244</v>
      </c>
      <c r="O418" s="23">
        <v>3360</v>
      </c>
      <c r="P418" s="70">
        <v>0.29166666666666669</v>
      </c>
      <c r="Q418" s="70">
        <v>0.5</v>
      </c>
      <c r="R418" s="229" t="s">
        <v>1327</v>
      </c>
    </row>
    <row r="419" spans="1:18" x14ac:dyDescent="0.4">
      <c r="A419" s="133">
        <v>45695</v>
      </c>
      <c r="B419" s="139" t="s">
        <v>100</v>
      </c>
      <c r="C419" s="30" t="s">
        <v>257</v>
      </c>
      <c r="D419" s="147">
        <v>6</v>
      </c>
      <c r="E419" s="77">
        <v>5</v>
      </c>
      <c r="F419" s="1"/>
      <c r="G419" s="76">
        <v>0.54166666666666663</v>
      </c>
      <c r="H419" s="76">
        <v>0.61111111111111105</v>
      </c>
      <c r="I419" s="173" t="s">
        <v>1386</v>
      </c>
      <c r="J419" s="23">
        <v>4</v>
      </c>
      <c r="K419" s="23"/>
      <c r="L419" s="68">
        <v>0.54166666666666663</v>
      </c>
      <c r="M419" s="68">
        <v>0.63888888888888895</v>
      </c>
      <c r="N419" s="173" t="s">
        <v>1313</v>
      </c>
      <c r="O419" s="23">
        <v>1060</v>
      </c>
      <c r="P419" s="70">
        <v>0.54166666666666663</v>
      </c>
      <c r="Q419" s="70">
        <v>0.63888888888888895</v>
      </c>
      <c r="R419" s="229" t="s">
        <v>1313</v>
      </c>
    </row>
    <row r="420" spans="1:18" x14ac:dyDescent="0.4">
      <c r="A420" s="133">
        <v>45695</v>
      </c>
      <c r="B420" s="139" t="s">
        <v>51</v>
      </c>
      <c r="C420" s="30" t="s">
        <v>253</v>
      </c>
      <c r="D420" s="147">
        <v>12</v>
      </c>
      <c r="E420" s="77">
        <v>5</v>
      </c>
      <c r="F420" s="1"/>
      <c r="G420" s="76">
        <v>0.61111111111111105</v>
      </c>
      <c r="H420" s="76">
        <v>0.72916666666666663</v>
      </c>
      <c r="I420" s="173" t="s">
        <v>1314</v>
      </c>
      <c r="J420" s="23">
        <v>4</v>
      </c>
      <c r="K420" s="23"/>
      <c r="L420" s="68">
        <v>0.63888888888888895</v>
      </c>
      <c r="M420" s="68">
        <v>0.75</v>
      </c>
      <c r="N420" s="173" t="s">
        <v>1325</v>
      </c>
      <c r="O420" s="23">
        <v>1490</v>
      </c>
      <c r="P420" s="70">
        <v>0.61111111111111105</v>
      </c>
      <c r="Q420" s="70">
        <v>0.75</v>
      </c>
      <c r="R420" s="229" t="s">
        <v>1250</v>
      </c>
    </row>
    <row r="421" spans="1:18" x14ac:dyDescent="0.4">
      <c r="A421" s="133">
        <v>45695</v>
      </c>
      <c r="B421" s="139" t="s">
        <v>55</v>
      </c>
      <c r="C421" s="30" t="s">
        <v>208</v>
      </c>
      <c r="D421" s="147">
        <v>28</v>
      </c>
      <c r="E421" s="77">
        <v>5</v>
      </c>
      <c r="F421" s="1"/>
      <c r="G421" s="76">
        <v>0.37708333333333338</v>
      </c>
      <c r="H421" s="76">
        <v>0.66666666666666663</v>
      </c>
      <c r="I421" s="173" t="s">
        <v>1501</v>
      </c>
      <c r="J421" s="23">
        <v>4</v>
      </c>
      <c r="K421" s="68">
        <v>1.0416666666666666E-2</v>
      </c>
      <c r="L421" s="68">
        <v>0.40277777777777773</v>
      </c>
      <c r="M421" s="68">
        <v>0.70833333333333337</v>
      </c>
      <c r="N421" s="173" t="s">
        <v>1402</v>
      </c>
      <c r="O421" s="23">
        <v>3365</v>
      </c>
      <c r="P421" s="70">
        <v>0.37708333333333338</v>
      </c>
      <c r="Q421" s="70">
        <v>0.70833333333333337</v>
      </c>
      <c r="R421" s="229" t="s">
        <v>1493</v>
      </c>
    </row>
    <row r="422" spans="1:18" x14ac:dyDescent="0.4">
      <c r="A422" s="133">
        <v>45695</v>
      </c>
      <c r="B422" s="139" t="s">
        <v>117</v>
      </c>
      <c r="C422" s="30" t="s">
        <v>304</v>
      </c>
      <c r="D422" s="147">
        <v>8</v>
      </c>
      <c r="E422" s="77">
        <v>5</v>
      </c>
      <c r="F422" s="1"/>
      <c r="G422" s="76">
        <v>0.29166666666666669</v>
      </c>
      <c r="H422" s="76">
        <v>0.37708333333333338</v>
      </c>
      <c r="I422" s="173" t="s">
        <v>1495</v>
      </c>
      <c r="J422" s="23">
        <v>4</v>
      </c>
      <c r="K422" s="68">
        <v>1.0416666666666666E-2</v>
      </c>
      <c r="L422" s="68">
        <v>0.33333333333333331</v>
      </c>
      <c r="M422" s="68">
        <v>0.40277777777777773</v>
      </c>
      <c r="N422" s="173" t="s">
        <v>1457</v>
      </c>
      <c r="O422" s="23">
        <v>1075</v>
      </c>
      <c r="P422" s="70">
        <v>0.29166666666666669</v>
      </c>
      <c r="Q422" s="70">
        <v>0.40277777777777773</v>
      </c>
      <c r="R422" s="229" t="s">
        <v>1325</v>
      </c>
    </row>
    <row r="423" spans="1:18" x14ac:dyDescent="0.4">
      <c r="A423" s="133">
        <v>45695</v>
      </c>
      <c r="B423" s="139" t="s">
        <v>104</v>
      </c>
      <c r="C423" s="30" t="s">
        <v>191</v>
      </c>
      <c r="D423" s="147">
        <v>60</v>
      </c>
      <c r="E423" s="77">
        <v>3</v>
      </c>
      <c r="F423" s="76">
        <v>2.0833333333333332E-2</v>
      </c>
      <c r="G423" s="76">
        <v>0.29166666666666669</v>
      </c>
      <c r="H423" s="76">
        <v>0.64583333333333337</v>
      </c>
      <c r="I423" s="173" t="s">
        <v>1292</v>
      </c>
      <c r="J423" s="23">
        <v>4</v>
      </c>
      <c r="K423" s="23"/>
      <c r="L423" s="68">
        <v>0.29166666666666669</v>
      </c>
      <c r="M423" s="68">
        <v>0.70833333333333337</v>
      </c>
      <c r="N423" s="173" t="s">
        <v>1252</v>
      </c>
      <c r="O423" s="23">
        <v>3600</v>
      </c>
      <c r="P423" s="70">
        <v>0.29166666666666669</v>
      </c>
      <c r="Q423" s="70">
        <v>0.70833333333333337</v>
      </c>
      <c r="R423" s="229" t="s">
        <v>1252</v>
      </c>
    </row>
    <row r="424" spans="1:18" x14ac:dyDescent="0.4">
      <c r="A424" s="138">
        <v>45698</v>
      </c>
      <c r="B424" s="139" t="s">
        <v>539</v>
      </c>
      <c r="C424" s="140" t="s">
        <v>291</v>
      </c>
      <c r="D424" s="148">
        <v>6</v>
      </c>
      <c r="E424" s="77">
        <v>4</v>
      </c>
      <c r="F424" s="1"/>
      <c r="G424" s="76">
        <v>0.54166666666666663</v>
      </c>
      <c r="H424" s="76">
        <v>0.66666666666666663</v>
      </c>
      <c r="I424" s="173" t="s">
        <v>1316</v>
      </c>
      <c r="J424" s="23">
        <v>10</v>
      </c>
      <c r="K424" s="68">
        <v>1.0416666666666666E-2</v>
      </c>
      <c r="L424" s="68">
        <v>0.60416666666666663</v>
      </c>
      <c r="M424" s="68">
        <v>0.70833333333333337</v>
      </c>
      <c r="N424" s="173" t="s">
        <v>1315</v>
      </c>
      <c r="O424" s="23">
        <v>2370</v>
      </c>
      <c r="P424" s="70">
        <v>0.54166666666666663</v>
      </c>
      <c r="Q424" s="70">
        <v>0.70833333333333337</v>
      </c>
      <c r="R424" s="229" t="s">
        <v>1244</v>
      </c>
    </row>
    <row r="425" spans="1:18" x14ac:dyDescent="0.4">
      <c r="A425" s="138">
        <v>45698</v>
      </c>
      <c r="B425" s="139" t="s">
        <v>71</v>
      </c>
      <c r="C425" s="140" t="s">
        <v>176</v>
      </c>
      <c r="D425" s="148">
        <v>36</v>
      </c>
      <c r="E425" s="77">
        <v>6</v>
      </c>
      <c r="F425" s="1"/>
      <c r="G425" s="76">
        <v>0.29166666666666669</v>
      </c>
      <c r="H425" s="76">
        <v>0.5</v>
      </c>
      <c r="I425" s="173" t="s">
        <v>1327</v>
      </c>
      <c r="J425" s="23">
        <v>6</v>
      </c>
      <c r="K425" s="68">
        <v>1.0416666666666666E-2</v>
      </c>
      <c r="L425" s="68">
        <v>0.33333333333333331</v>
      </c>
      <c r="M425" s="68">
        <v>0.60416666666666663</v>
      </c>
      <c r="N425" s="173" t="s">
        <v>1330</v>
      </c>
      <c r="O425" s="23">
        <v>3870</v>
      </c>
      <c r="P425" s="70">
        <v>0.29166666666666669</v>
      </c>
      <c r="Q425" s="70">
        <v>0.60416666666666663</v>
      </c>
      <c r="R425" s="229" t="s">
        <v>1329</v>
      </c>
    </row>
    <row r="426" spans="1:18" x14ac:dyDescent="0.4">
      <c r="A426" s="138">
        <v>45698</v>
      </c>
      <c r="B426" s="139" t="s">
        <v>63</v>
      </c>
      <c r="C426" s="140" t="s">
        <v>267</v>
      </c>
      <c r="D426" s="148">
        <v>20</v>
      </c>
      <c r="E426" s="77">
        <v>5</v>
      </c>
      <c r="F426" s="1"/>
      <c r="G426" s="76">
        <v>0.44305555555555554</v>
      </c>
      <c r="H426" s="76">
        <v>0.6875</v>
      </c>
      <c r="I426" s="173" t="s">
        <v>1502</v>
      </c>
      <c r="J426" s="23">
        <v>3</v>
      </c>
      <c r="K426" s="68">
        <v>1.0416666666666666E-2</v>
      </c>
      <c r="L426" s="68">
        <v>0.45833333333333331</v>
      </c>
      <c r="M426" s="68">
        <v>0.70833333333333337</v>
      </c>
      <c r="N426" s="173" t="s">
        <v>1401</v>
      </c>
      <c r="O426" s="23">
        <v>2405</v>
      </c>
      <c r="P426" s="70">
        <v>0.44305555555555554</v>
      </c>
      <c r="Q426" s="70">
        <v>0.70833333333333337</v>
      </c>
      <c r="R426" s="229" t="s">
        <v>1396</v>
      </c>
    </row>
    <row r="427" spans="1:18" x14ac:dyDescent="0.4">
      <c r="A427" s="138">
        <v>45698</v>
      </c>
      <c r="B427" s="139" t="s">
        <v>64</v>
      </c>
      <c r="C427" s="140" t="s">
        <v>271</v>
      </c>
      <c r="D427" s="148">
        <v>16</v>
      </c>
      <c r="E427" s="77">
        <v>5</v>
      </c>
      <c r="F427" s="1"/>
      <c r="G427" s="76">
        <v>0.29166666666666669</v>
      </c>
      <c r="H427" s="76">
        <v>0.44305555555555554</v>
      </c>
      <c r="I427" s="173" t="s">
        <v>1429</v>
      </c>
      <c r="J427" s="23">
        <v>3</v>
      </c>
      <c r="K427" s="68">
        <v>1.0416666666666666E-2</v>
      </c>
      <c r="L427" s="68">
        <v>0.33333333333333331</v>
      </c>
      <c r="M427" s="68">
        <v>0.45833333333333331</v>
      </c>
      <c r="N427" s="173" t="s">
        <v>1391</v>
      </c>
      <c r="O427" s="23">
        <v>1675</v>
      </c>
      <c r="P427" s="70">
        <v>0.29166666666666669</v>
      </c>
      <c r="Q427" s="70">
        <v>0.45833333333333331</v>
      </c>
      <c r="R427" s="229" t="s">
        <v>1244</v>
      </c>
    </row>
    <row r="428" spans="1:18" x14ac:dyDescent="0.4">
      <c r="A428" s="138">
        <v>45698</v>
      </c>
      <c r="B428" s="139" t="s">
        <v>65</v>
      </c>
      <c r="C428" s="140" t="s">
        <v>189</v>
      </c>
      <c r="D428" s="192">
        <v>60</v>
      </c>
      <c r="E428" s="77">
        <v>3</v>
      </c>
      <c r="F428" s="76">
        <v>2.0833333333333332E-2</v>
      </c>
      <c r="G428" s="76">
        <v>0.29166666666666669</v>
      </c>
      <c r="H428" s="76">
        <v>0.70833333333333337</v>
      </c>
      <c r="I428" s="173" t="s">
        <v>1247</v>
      </c>
      <c r="J428" s="23">
        <v>4</v>
      </c>
      <c r="K428" s="68">
        <v>2.0833333333333332E-2</v>
      </c>
      <c r="L428" s="68">
        <v>0.29166666666666669</v>
      </c>
      <c r="M428" s="68">
        <v>0.75</v>
      </c>
      <c r="N428" s="173" t="s">
        <v>1369</v>
      </c>
      <c r="O428" s="23">
        <v>4230</v>
      </c>
      <c r="P428" s="70">
        <v>0.29166666666666669</v>
      </c>
      <c r="Q428" s="70">
        <v>0.75</v>
      </c>
      <c r="R428" s="229" t="s">
        <v>1308</v>
      </c>
    </row>
    <row r="429" spans="1:18" s="146" customFormat="1" x14ac:dyDescent="0.4">
      <c r="A429" s="135">
        <v>45698</v>
      </c>
      <c r="B429" s="102" t="s">
        <v>943</v>
      </c>
      <c r="C429" s="136" t="s">
        <v>1095</v>
      </c>
      <c r="D429" s="187">
        <v>1</v>
      </c>
      <c r="E429" s="103"/>
      <c r="F429" s="104"/>
      <c r="G429" s="184"/>
      <c r="H429" s="184"/>
      <c r="I429" s="225" t="s">
        <v>1002</v>
      </c>
      <c r="J429" s="105"/>
      <c r="K429" s="105"/>
      <c r="L429" s="106"/>
      <c r="M429" s="106"/>
      <c r="N429" s="225" t="s">
        <v>1002</v>
      </c>
      <c r="O429" s="105">
        <v>0</v>
      </c>
      <c r="P429" s="247">
        <v>0</v>
      </c>
      <c r="Q429" s="247">
        <v>0</v>
      </c>
      <c r="R429" s="232" t="s">
        <v>1002</v>
      </c>
    </row>
    <row r="430" spans="1:18" x14ac:dyDescent="0.4">
      <c r="A430" s="138">
        <v>45699</v>
      </c>
      <c r="B430" s="139" t="s">
        <v>54</v>
      </c>
      <c r="C430" s="140" t="s">
        <v>251</v>
      </c>
      <c r="D430" s="148">
        <v>36</v>
      </c>
      <c r="E430" s="77">
        <v>5</v>
      </c>
      <c r="F430" s="1"/>
      <c r="G430" s="76">
        <v>0.29166666666666669</v>
      </c>
      <c r="H430" s="76">
        <v>0.66666666666666663</v>
      </c>
      <c r="I430" s="173" t="s">
        <v>1292</v>
      </c>
      <c r="J430" s="23">
        <v>4</v>
      </c>
      <c r="K430" s="23"/>
      <c r="L430" s="68">
        <v>0.3125</v>
      </c>
      <c r="M430" s="68">
        <v>0.6875</v>
      </c>
      <c r="N430" s="173" t="s">
        <v>1292</v>
      </c>
      <c r="O430" s="23">
        <v>4320</v>
      </c>
      <c r="P430" s="70">
        <v>0.29166666666666669</v>
      </c>
      <c r="Q430" s="70">
        <v>0.6875</v>
      </c>
      <c r="R430" s="229" t="s">
        <v>990</v>
      </c>
    </row>
    <row r="431" spans="1:18" x14ac:dyDescent="0.4">
      <c r="A431" s="138">
        <v>45699</v>
      </c>
      <c r="B431" s="139" t="s">
        <v>547</v>
      </c>
      <c r="C431" s="140" t="s">
        <v>205</v>
      </c>
      <c r="D431" s="148">
        <v>8</v>
      </c>
      <c r="E431" s="77">
        <v>5</v>
      </c>
      <c r="F431" s="1"/>
      <c r="G431" s="76">
        <v>0.29166666666666669</v>
      </c>
      <c r="H431" s="76">
        <v>0.375</v>
      </c>
      <c r="I431" s="173" t="s">
        <v>1296</v>
      </c>
      <c r="J431" s="23">
        <v>4</v>
      </c>
      <c r="K431" s="68">
        <v>6.9444444444444441E-3</v>
      </c>
      <c r="L431" s="68">
        <v>0.33333333333333331</v>
      </c>
      <c r="M431" s="68">
        <v>0.44444444444444442</v>
      </c>
      <c r="N431" s="173" t="s">
        <v>1314</v>
      </c>
      <c r="O431" s="23">
        <v>1280</v>
      </c>
      <c r="P431" s="70">
        <v>0.29166666666666669</v>
      </c>
      <c r="Q431" s="70">
        <v>0.44444444444444442</v>
      </c>
      <c r="R431" s="229" t="s">
        <v>1254</v>
      </c>
    </row>
    <row r="432" spans="1:18" x14ac:dyDescent="0.4">
      <c r="A432" s="138">
        <v>45699</v>
      </c>
      <c r="B432" s="139" t="s">
        <v>115</v>
      </c>
      <c r="C432" s="140" t="s">
        <v>214</v>
      </c>
      <c r="D432" s="148">
        <v>12</v>
      </c>
      <c r="E432" s="77">
        <v>5</v>
      </c>
      <c r="F432" s="1"/>
      <c r="G432" s="76">
        <v>0.5805555555555556</v>
      </c>
      <c r="H432" s="76">
        <v>0.70833333333333337</v>
      </c>
      <c r="I432" s="173" t="s">
        <v>1481</v>
      </c>
      <c r="J432" s="23">
        <v>4</v>
      </c>
      <c r="K432" s="68">
        <v>6.9444444444444441E-3</v>
      </c>
      <c r="L432" s="68">
        <v>0.61805555555555558</v>
      </c>
      <c r="M432" s="68">
        <v>0.72916666666666663</v>
      </c>
      <c r="N432" s="173" t="s">
        <v>1314</v>
      </c>
      <c r="O432" s="23">
        <v>1600</v>
      </c>
      <c r="P432" s="70">
        <v>0.5805555555555556</v>
      </c>
      <c r="Q432" s="70">
        <v>0.72916666666666663</v>
      </c>
      <c r="R432" s="229" t="s">
        <v>1503</v>
      </c>
    </row>
    <row r="433" spans="1:18" x14ac:dyDescent="0.4">
      <c r="A433" s="138">
        <v>45699</v>
      </c>
      <c r="B433" s="139" t="s">
        <v>130</v>
      </c>
      <c r="C433" s="140" t="s">
        <v>216</v>
      </c>
      <c r="D433" s="148">
        <v>12</v>
      </c>
      <c r="E433" s="77">
        <v>5</v>
      </c>
      <c r="F433" s="1"/>
      <c r="G433" s="76">
        <v>0.375</v>
      </c>
      <c r="H433" s="76">
        <v>0.5805555555555556</v>
      </c>
      <c r="I433" s="173" t="s">
        <v>1504</v>
      </c>
      <c r="J433" s="23">
        <v>4</v>
      </c>
      <c r="K433" s="68">
        <v>6.9444444444444441E-3</v>
      </c>
      <c r="L433" s="68">
        <v>0.44444444444444442</v>
      </c>
      <c r="M433" s="68">
        <v>0.61805555555555558</v>
      </c>
      <c r="N433" s="173" t="s">
        <v>1250</v>
      </c>
      <c r="O433" s="23">
        <v>1980</v>
      </c>
      <c r="P433" s="70">
        <v>0.375</v>
      </c>
      <c r="Q433" s="70">
        <v>0.61805555555555558</v>
      </c>
      <c r="R433" s="229" t="s">
        <v>1258</v>
      </c>
    </row>
    <row r="434" spans="1:18" x14ac:dyDescent="0.4">
      <c r="A434" s="138">
        <v>45699</v>
      </c>
      <c r="B434" s="139" t="s">
        <v>96</v>
      </c>
      <c r="C434" s="140" t="s">
        <v>167</v>
      </c>
      <c r="D434" s="148">
        <v>16</v>
      </c>
      <c r="E434" s="77">
        <v>3</v>
      </c>
      <c r="F434" s="76">
        <v>4.1666666666666664E-2</v>
      </c>
      <c r="G434" s="76">
        <v>0.29166666666666669</v>
      </c>
      <c r="H434" s="76">
        <v>0.3888888888888889</v>
      </c>
      <c r="I434" s="173" t="s">
        <v>1250</v>
      </c>
      <c r="J434" s="23">
        <v>6</v>
      </c>
      <c r="K434" s="23"/>
      <c r="L434" s="68">
        <v>0.29166666666666669</v>
      </c>
      <c r="M434" s="68">
        <v>0.46180555555555558</v>
      </c>
      <c r="N434" s="173" t="s">
        <v>1365</v>
      </c>
      <c r="O434" s="23">
        <v>2070</v>
      </c>
      <c r="P434" s="70">
        <v>0.29166666666666669</v>
      </c>
      <c r="Q434" s="70">
        <v>0.46180555555555558</v>
      </c>
      <c r="R434" s="229" t="s">
        <v>1365</v>
      </c>
    </row>
    <row r="435" spans="1:18" x14ac:dyDescent="0.4">
      <c r="A435" s="138">
        <v>45699</v>
      </c>
      <c r="B435" s="139" t="s">
        <v>65</v>
      </c>
      <c r="C435" s="140" t="s">
        <v>189</v>
      </c>
      <c r="D435" s="191">
        <v>32</v>
      </c>
      <c r="E435" s="77">
        <v>3</v>
      </c>
      <c r="F435" s="1"/>
      <c r="G435" s="76">
        <v>0.3888888888888889</v>
      </c>
      <c r="H435" s="76">
        <v>0.66666666666666663</v>
      </c>
      <c r="I435" s="173" t="s">
        <v>1339</v>
      </c>
      <c r="J435" s="23">
        <v>4</v>
      </c>
      <c r="K435" s="23"/>
      <c r="L435" s="68">
        <v>0.46180555555555558</v>
      </c>
      <c r="M435" s="68">
        <v>0.70833333333333337</v>
      </c>
      <c r="N435" s="173" t="s">
        <v>1305</v>
      </c>
      <c r="O435" s="23">
        <v>2200</v>
      </c>
      <c r="P435" s="70">
        <v>0.3888888888888889</v>
      </c>
      <c r="Q435" s="70">
        <v>0.70833333333333337</v>
      </c>
      <c r="R435" s="229" t="s">
        <v>1328</v>
      </c>
    </row>
    <row r="436" spans="1:18" x14ac:dyDescent="0.4">
      <c r="A436" s="138">
        <v>45700</v>
      </c>
      <c r="B436" s="139" t="s">
        <v>77</v>
      </c>
      <c r="C436" s="140" t="s">
        <v>293</v>
      </c>
      <c r="D436" s="148">
        <v>8</v>
      </c>
      <c r="E436" s="77">
        <v>5</v>
      </c>
      <c r="F436" s="1"/>
      <c r="G436" s="76">
        <v>0.29166666666666669</v>
      </c>
      <c r="H436" s="76">
        <v>0.36180555555555555</v>
      </c>
      <c r="I436" s="173" t="s">
        <v>1505</v>
      </c>
      <c r="J436" s="23">
        <v>4</v>
      </c>
      <c r="K436" s="68">
        <v>1.0416666666666666E-2</v>
      </c>
      <c r="L436" s="68">
        <v>0.33333333333333331</v>
      </c>
      <c r="M436" s="68">
        <v>0.39583333333333331</v>
      </c>
      <c r="N436" s="173" t="s">
        <v>1246</v>
      </c>
      <c r="O436" s="23">
        <v>925</v>
      </c>
      <c r="P436" s="70">
        <v>0.29166666666666669</v>
      </c>
      <c r="Q436" s="70">
        <v>0.39583333333333331</v>
      </c>
      <c r="R436" s="229" t="s">
        <v>1298</v>
      </c>
    </row>
    <row r="437" spans="1:18" x14ac:dyDescent="0.4">
      <c r="A437" s="138">
        <v>45700</v>
      </c>
      <c r="B437" s="139" t="s">
        <v>63</v>
      </c>
      <c r="C437" s="140" t="s">
        <v>267</v>
      </c>
      <c r="D437" s="148">
        <v>28</v>
      </c>
      <c r="E437" s="77">
        <v>5</v>
      </c>
      <c r="F437" s="1"/>
      <c r="G437" s="76">
        <v>0.36180555555555555</v>
      </c>
      <c r="H437" s="76">
        <v>0.66666666666666663</v>
      </c>
      <c r="I437" s="173" t="s">
        <v>1506</v>
      </c>
      <c r="J437" s="23">
        <v>4</v>
      </c>
      <c r="K437" s="68">
        <v>1.0416666666666666E-2</v>
      </c>
      <c r="L437" s="68">
        <v>0.39583333333333331</v>
      </c>
      <c r="M437" s="68">
        <v>0.6875</v>
      </c>
      <c r="N437" s="173" t="s">
        <v>1383</v>
      </c>
      <c r="O437" s="23">
        <v>3395</v>
      </c>
      <c r="P437" s="70">
        <v>0.36180555555555555</v>
      </c>
      <c r="Q437" s="70">
        <v>0.6875</v>
      </c>
      <c r="R437" s="229" t="s">
        <v>1474</v>
      </c>
    </row>
    <row r="438" spans="1:18" x14ac:dyDescent="0.4">
      <c r="A438" s="138">
        <v>45700</v>
      </c>
      <c r="B438" s="139" t="s">
        <v>73</v>
      </c>
      <c r="C438" s="140" t="s">
        <v>231</v>
      </c>
      <c r="D438" s="148">
        <v>21</v>
      </c>
      <c r="E438" s="77">
        <v>4</v>
      </c>
      <c r="F438" s="76">
        <v>4.1666666666666664E-2</v>
      </c>
      <c r="G438" s="76">
        <v>0.29166666666666669</v>
      </c>
      <c r="H438" s="76">
        <v>0.64583333333333337</v>
      </c>
      <c r="I438" s="173" t="s">
        <v>990</v>
      </c>
      <c r="J438" s="23">
        <v>9</v>
      </c>
      <c r="K438" s="23"/>
      <c r="L438" s="68">
        <v>0.33333333333333331</v>
      </c>
      <c r="M438" s="68">
        <v>0.70833333333333337</v>
      </c>
      <c r="N438" s="173" t="s">
        <v>1292</v>
      </c>
      <c r="O438" s="23">
        <v>6360</v>
      </c>
      <c r="P438" s="70">
        <v>0.29166666666666669</v>
      </c>
      <c r="Q438" s="70">
        <v>0.70833333333333337</v>
      </c>
      <c r="R438" s="229" t="s">
        <v>1252</v>
      </c>
    </row>
    <row r="439" spans="1:18" x14ac:dyDescent="0.4">
      <c r="A439" s="138">
        <v>45700</v>
      </c>
      <c r="B439" s="139" t="s">
        <v>65</v>
      </c>
      <c r="C439" s="140" t="s">
        <v>189</v>
      </c>
      <c r="D439" s="192">
        <v>60</v>
      </c>
      <c r="E439" s="77">
        <v>3</v>
      </c>
      <c r="F439" s="76">
        <v>2.0833333333333332E-2</v>
      </c>
      <c r="G439" s="76">
        <v>0.29166666666666669</v>
      </c>
      <c r="H439" s="76">
        <v>0.66666666666666663</v>
      </c>
      <c r="I439" s="173" t="s">
        <v>990</v>
      </c>
      <c r="J439" s="23">
        <v>4</v>
      </c>
      <c r="K439" s="68"/>
      <c r="L439" s="68">
        <v>0.29166666666666669</v>
      </c>
      <c r="M439" s="68">
        <v>0.70833333333333337</v>
      </c>
      <c r="N439" s="173" t="s">
        <v>1252</v>
      </c>
      <c r="O439" s="23">
        <v>3690</v>
      </c>
      <c r="P439" s="70">
        <v>0.29166666666666669</v>
      </c>
      <c r="Q439" s="70">
        <v>0.70833333333333337</v>
      </c>
      <c r="R439" s="229" t="s">
        <v>1252</v>
      </c>
    </row>
    <row r="440" spans="1:18" x14ac:dyDescent="0.4">
      <c r="A440" s="138">
        <v>45701</v>
      </c>
      <c r="B440" s="139" t="s">
        <v>87</v>
      </c>
      <c r="C440" s="140" t="s">
        <v>199</v>
      </c>
      <c r="D440" s="148">
        <v>36</v>
      </c>
      <c r="E440" s="77">
        <v>5</v>
      </c>
      <c r="F440" s="1"/>
      <c r="G440" s="76">
        <v>0.29166666666666669</v>
      </c>
      <c r="H440" s="76">
        <v>0.5</v>
      </c>
      <c r="I440" s="173" t="s">
        <v>1327</v>
      </c>
      <c r="J440" s="23">
        <v>5</v>
      </c>
      <c r="K440" s="23"/>
      <c r="L440" s="68">
        <v>0.3125</v>
      </c>
      <c r="M440" s="68">
        <v>0.70833333333333337</v>
      </c>
      <c r="N440" s="173" t="s">
        <v>990</v>
      </c>
      <c r="O440" s="23">
        <v>4050</v>
      </c>
      <c r="P440" s="70">
        <v>0.29166666666666669</v>
      </c>
      <c r="Q440" s="70">
        <v>0.70833333333333337</v>
      </c>
      <c r="R440" s="229" t="s">
        <v>1252</v>
      </c>
    </row>
    <row r="441" spans="1:18" x14ac:dyDescent="0.4">
      <c r="A441" s="138">
        <v>45701</v>
      </c>
      <c r="B441" s="139" t="s">
        <v>532</v>
      </c>
      <c r="C441" s="140" t="s">
        <v>336</v>
      </c>
      <c r="D441" s="148">
        <v>12</v>
      </c>
      <c r="E441" s="77">
        <v>5</v>
      </c>
      <c r="F441" s="1"/>
      <c r="G441" s="76">
        <v>0.29166666666666669</v>
      </c>
      <c r="H441" s="76">
        <v>0.45833333333333331</v>
      </c>
      <c r="I441" s="173" t="s">
        <v>1244</v>
      </c>
      <c r="J441" s="23">
        <v>4</v>
      </c>
      <c r="K441" s="23"/>
      <c r="L441" s="68">
        <v>0.3125</v>
      </c>
      <c r="M441" s="68">
        <v>0.5</v>
      </c>
      <c r="N441" s="173" t="s">
        <v>1243</v>
      </c>
      <c r="O441" s="23">
        <v>2280</v>
      </c>
      <c r="P441" s="70">
        <v>0.29166666666666669</v>
      </c>
      <c r="Q441" s="70">
        <v>0.5</v>
      </c>
      <c r="R441" s="229" t="s">
        <v>1327</v>
      </c>
    </row>
    <row r="442" spans="1:18" x14ac:dyDescent="0.4">
      <c r="A442" s="138">
        <v>45701</v>
      </c>
      <c r="B442" s="139" t="s">
        <v>83</v>
      </c>
      <c r="C442" s="140" t="s">
        <v>169</v>
      </c>
      <c r="D442" s="148">
        <v>16</v>
      </c>
      <c r="E442" s="77">
        <v>3</v>
      </c>
      <c r="F442" s="76">
        <v>2.0833333333333332E-2</v>
      </c>
      <c r="G442" s="76">
        <v>0.29166666666666669</v>
      </c>
      <c r="H442" s="76">
        <v>0.5</v>
      </c>
      <c r="I442" s="173" t="s">
        <v>1320</v>
      </c>
      <c r="J442" s="23">
        <v>7</v>
      </c>
      <c r="K442" s="23"/>
      <c r="L442" s="68">
        <v>0.29166666666666669</v>
      </c>
      <c r="M442" s="68">
        <v>0.5</v>
      </c>
      <c r="N442" s="173" t="s">
        <v>1327</v>
      </c>
      <c r="O442" s="23">
        <v>3090</v>
      </c>
      <c r="P442" s="70">
        <v>0.29166666666666669</v>
      </c>
      <c r="Q442" s="70">
        <v>0.5</v>
      </c>
      <c r="R442" s="229" t="s">
        <v>1327</v>
      </c>
    </row>
    <row r="443" spans="1:18" s="146" customFormat="1" x14ac:dyDescent="0.4">
      <c r="A443" s="138">
        <v>45702</v>
      </c>
      <c r="B443" s="139" t="s">
        <v>61</v>
      </c>
      <c r="C443" s="140" t="s">
        <v>156</v>
      </c>
      <c r="D443" s="148">
        <v>40</v>
      </c>
      <c r="E443" s="168">
        <v>4</v>
      </c>
      <c r="F443" s="158"/>
      <c r="G443" s="169">
        <v>0.29166666666666669</v>
      </c>
      <c r="H443" s="169">
        <v>0.66666666666666663</v>
      </c>
      <c r="I443" s="153" t="s">
        <v>1292</v>
      </c>
      <c r="J443" s="144"/>
      <c r="K443" s="144"/>
      <c r="L443" s="170">
        <v>0.3125</v>
      </c>
      <c r="M443" s="170">
        <v>0.70833333333333337</v>
      </c>
      <c r="N443" s="153" t="s">
        <v>990</v>
      </c>
      <c r="O443" s="144">
        <v>1920</v>
      </c>
      <c r="P443" s="70">
        <v>0.29166666666666669</v>
      </c>
      <c r="Q443" s="70">
        <v>0.70833333333333337</v>
      </c>
      <c r="R443" s="233" t="s">
        <v>1252</v>
      </c>
    </row>
    <row r="444" spans="1:18" s="146" customFormat="1" x14ac:dyDescent="0.4">
      <c r="A444" s="138">
        <v>45702</v>
      </c>
      <c r="B444" s="139" t="s">
        <v>81</v>
      </c>
      <c r="C444" s="140" t="s">
        <v>235</v>
      </c>
      <c r="D444" s="148">
        <v>12</v>
      </c>
      <c r="E444" s="168">
        <v>5</v>
      </c>
      <c r="F444" s="158"/>
      <c r="G444" s="169">
        <v>0.29166666666666669</v>
      </c>
      <c r="H444" s="169">
        <v>0.4055555555555555</v>
      </c>
      <c r="I444" s="153" t="s">
        <v>1441</v>
      </c>
      <c r="J444" s="144">
        <v>3</v>
      </c>
      <c r="K444" s="170">
        <v>1.0416666666666666E-2</v>
      </c>
      <c r="L444" s="170">
        <v>0.33333333333333331</v>
      </c>
      <c r="M444" s="170">
        <v>0.4375</v>
      </c>
      <c r="N444" s="153" t="s">
        <v>1315</v>
      </c>
      <c r="O444" s="144">
        <v>1315</v>
      </c>
      <c r="P444" s="70">
        <v>0.29166666666666669</v>
      </c>
      <c r="Q444" s="70">
        <v>0.4375</v>
      </c>
      <c r="R444" s="233" t="s">
        <v>1303</v>
      </c>
    </row>
    <row r="445" spans="1:18" s="146" customFormat="1" x14ac:dyDescent="0.4">
      <c r="A445" s="138">
        <v>45702</v>
      </c>
      <c r="B445" s="139" t="s">
        <v>63</v>
      </c>
      <c r="C445" s="140" t="s">
        <v>267</v>
      </c>
      <c r="D445" s="148">
        <v>24</v>
      </c>
      <c r="E445" s="168">
        <v>5</v>
      </c>
      <c r="F445" s="158"/>
      <c r="G445" s="169">
        <v>0.4055555555555555</v>
      </c>
      <c r="H445" s="169">
        <v>0.66666666666666663</v>
      </c>
      <c r="I445" s="153" t="s">
        <v>1507</v>
      </c>
      <c r="J445" s="144">
        <v>3</v>
      </c>
      <c r="K445" s="170">
        <v>1.0416666666666666E-2</v>
      </c>
      <c r="L445" s="170">
        <v>0.4375</v>
      </c>
      <c r="M445" s="170">
        <v>0.6875</v>
      </c>
      <c r="N445" s="153" t="s">
        <v>1401</v>
      </c>
      <c r="O445" s="144">
        <v>2525</v>
      </c>
      <c r="P445" s="70">
        <v>0.4055555555555555</v>
      </c>
      <c r="Q445" s="70">
        <v>0.6875</v>
      </c>
      <c r="R445" s="233" t="s">
        <v>1348</v>
      </c>
    </row>
    <row r="446" spans="1:18" s="146" customFormat="1" x14ac:dyDescent="0.4">
      <c r="A446" s="138">
        <v>45702</v>
      </c>
      <c r="B446" s="139" t="s">
        <v>104</v>
      </c>
      <c r="C446" s="140" t="s">
        <v>191</v>
      </c>
      <c r="D446" s="148">
        <v>32</v>
      </c>
      <c r="E446" s="168">
        <v>3</v>
      </c>
      <c r="F446" s="169">
        <v>2.0833333333333332E-2</v>
      </c>
      <c r="G446" s="169">
        <v>0.29166666666666669</v>
      </c>
      <c r="H446" s="169">
        <v>0.66666666666666663</v>
      </c>
      <c r="I446" s="153" t="s">
        <v>990</v>
      </c>
      <c r="J446" s="144">
        <v>4</v>
      </c>
      <c r="K446" s="144"/>
      <c r="L446" s="170">
        <v>0.29166666666666669</v>
      </c>
      <c r="M446" s="170">
        <v>0.70833333333333337</v>
      </c>
      <c r="N446" s="153" t="s">
        <v>1252</v>
      </c>
      <c r="O446" s="144">
        <v>3690</v>
      </c>
      <c r="P446" s="70">
        <v>0.29166666666666669</v>
      </c>
      <c r="Q446" s="70">
        <v>0.70833333333333337</v>
      </c>
      <c r="R446" s="233" t="s">
        <v>1252</v>
      </c>
    </row>
    <row r="447" spans="1:18" s="146" customFormat="1" x14ac:dyDescent="0.4">
      <c r="A447" s="138">
        <v>45702</v>
      </c>
      <c r="B447" s="139" t="s">
        <v>642</v>
      </c>
      <c r="C447" s="140" t="s">
        <v>643</v>
      </c>
      <c r="D447" s="148">
        <v>20</v>
      </c>
      <c r="E447" s="168">
        <v>3</v>
      </c>
      <c r="F447" s="169">
        <v>2.0833333333333332E-2</v>
      </c>
      <c r="G447" s="169">
        <v>0.29166666666666669</v>
      </c>
      <c r="H447" s="169">
        <v>0.66666666666666663</v>
      </c>
      <c r="I447" s="153" t="s">
        <v>990</v>
      </c>
      <c r="J447" s="144">
        <v>4</v>
      </c>
      <c r="K447" s="144"/>
      <c r="L447" s="170">
        <v>0.29166666666666669</v>
      </c>
      <c r="M447" s="170">
        <v>0.70833333333333337</v>
      </c>
      <c r="N447" s="153" t="s">
        <v>1252</v>
      </c>
      <c r="O447" s="144">
        <v>3690</v>
      </c>
      <c r="P447" s="70">
        <v>0.29166666666666669</v>
      </c>
      <c r="Q447" s="70">
        <v>0.70833333333333337</v>
      </c>
      <c r="R447" s="233" t="s">
        <v>1252</v>
      </c>
    </row>
    <row r="448" spans="1:18" x14ac:dyDescent="0.4">
      <c r="A448" s="133">
        <v>45705</v>
      </c>
      <c r="B448" s="139" t="s">
        <v>80</v>
      </c>
      <c r="C448" s="30" t="s">
        <v>203</v>
      </c>
      <c r="D448" s="191">
        <v>32</v>
      </c>
      <c r="E448" s="77">
        <v>6</v>
      </c>
      <c r="F448" s="1"/>
      <c r="G448" s="76">
        <v>0.29166666666666669</v>
      </c>
      <c r="H448" s="76">
        <v>0.4458333333333333</v>
      </c>
      <c r="I448" s="173" t="s">
        <v>1508</v>
      </c>
      <c r="J448" s="23">
        <v>5</v>
      </c>
      <c r="K448" s="68">
        <v>6.9444444444444441E-3</v>
      </c>
      <c r="L448" s="68">
        <v>0.33333333333333331</v>
      </c>
      <c r="M448" s="68">
        <v>0.47916666666666669</v>
      </c>
      <c r="N448" s="173" t="s">
        <v>1254</v>
      </c>
      <c r="O448" s="23">
        <v>2432</v>
      </c>
      <c r="P448" s="70">
        <v>0.29166666666666669</v>
      </c>
      <c r="Q448" s="70">
        <v>0.47916666666666669</v>
      </c>
      <c r="R448" s="229" t="s">
        <v>1243</v>
      </c>
    </row>
    <row r="449" spans="1:18" x14ac:dyDescent="0.4">
      <c r="A449" s="133">
        <v>45705</v>
      </c>
      <c r="B449" s="139" t="s">
        <v>109</v>
      </c>
      <c r="C449" s="30" t="s">
        <v>263</v>
      </c>
      <c r="D449" s="191">
        <v>12</v>
      </c>
      <c r="E449" s="77">
        <v>5</v>
      </c>
      <c r="F449" s="1"/>
      <c r="G449" s="76">
        <v>0.59444444444444444</v>
      </c>
      <c r="H449" s="76">
        <v>0.72916666666666663</v>
      </c>
      <c r="I449" s="173" t="s">
        <v>1499</v>
      </c>
      <c r="J449" s="23">
        <v>4</v>
      </c>
      <c r="K449" s="68">
        <v>6.9444444444444441E-3</v>
      </c>
      <c r="L449" s="68">
        <v>0.64583333333333337</v>
      </c>
      <c r="M449" s="68">
        <v>0.77083333333333337</v>
      </c>
      <c r="N449" s="173" t="s">
        <v>1256</v>
      </c>
      <c r="O449" s="23">
        <v>1730</v>
      </c>
      <c r="P449" s="70">
        <v>0.59444444444444444</v>
      </c>
      <c r="Q449" s="70">
        <v>0.77083333333333337</v>
      </c>
      <c r="R449" s="229" t="s">
        <v>1509</v>
      </c>
    </row>
    <row r="450" spans="1:18" x14ac:dyDescent="0.4">
      <c r="A450" s="133">
        <v>45705</v>
      </c>
      <c r="B450" s="139" t="s">
        <v>51</v>
      </c>
      <c r="C450" s="30" t="s">
        <v>253</v>
      </c>
      <c r="D450" s="191">
        <v>12</v>
      </c>
      <c r="E450" s="77">
        <v>5</v>
      </c>
      <c r="F450" s="1"/>
      <c r="G450" s="76">
        <v>0.4458333333333333</v>
      </c>
      <c r="H450" s="76">
        <v>0.59444444444444444</v>
      </c>
      <c r="I450" s="173" t="s">
        <v>1510</v>
      </c>
      <c r="J450" s="23">
        <v>4</v>
      </c>
      <c r="K450" s="68">
        <v>6.9444444444444441E-3</v>
      </c>
      <c r="L450" s="68">
        <v>0.47916666666666669</v>
      </c>
      <c r="M450" s="68">
        <v>0.64583333333333337</v>
      </c>
      <c r="N450" s="173" t="s">
        <v>1256</v>
      </c>
      <c r="O450" s="23">
        <v>1530</v>
      </c>
      <c r="P450" s="70">
        <v>0.4458333333333333</v>
      </c>
      <c r="Q450" s="70">
        <v>0.64583333333333337</v>
      </c>
      <c r="R450" s="229" t="s">
        <v>1511</v>
      </c>
    </row>
    <row r="451" spans="1:18" x14ac:dyDescent="0.4">
      <c r="A451" s="133">
        <v>45705</v>
      </c>
      <c r="B451" s="139" t="s">
        <v>93</v>
      </c>
      <c r="C451" s="30" t="s">
        <v>322</v>
      </c>
      <c r="D451" s="191">
        <v>16</v>
      </c>
      <c r="E451" s="77">
        <v>5</v>
      </c>
      <c r="F451" s="1"/>
      <c r="G451" s="76">
        <v>0.29166666666666669</v>
      </c>
      <c r="H451" s="76">
        <v>0.42083333333333334</v>
      </c>
      <c r="I451" s="173" t="s">
        <v>1407</v>
      </c>
      <c r="J451" s="23">
        <v>3</v>
      </c>
      <c r="K451" s="68">
        <v>6.9444444444444441E-3</v>
      </c>
      <c r="L451" s="68">
        <v>0.33333333333333331</v>
      </c>
      <c r="M451" s="68">
        <v>0.45833333333333331</v>
      </c>
      <c r="N451" s="173" t="s">
        <v>1256</v>
      </c>
      <c r="O451" s="23">
        <v>1500</v>
      </c>
      <c r="P451" s="70">
        <v>0.29166666666666669</v>
      </c>
      <c r="Q451" s="70">
        <v>0.45833333333333331</v>
      </c>
      <c r="R451" s="229" t="s">
        <v>1244</v>
      </c>
    </row>
    <row r="452" spans="1:18" x14ac:dyDescent="0.4">
      <c r="A452" s="133">
        <v>45705</v>
      </c>
      <c r="B452" s="139" t="s">
        <v>357</v>
      </c>
      <c r="C452" s="30" t="s">
        <v>338</v>
      </c>
      <c r="D452" s="191">
        <v>4</v>
      </c>
      <c r="E452" s="77">
        <v>5</v>
      </c>
      <c r="F452" s="1"/>
      <c r="G452" s="76">
        <v>0.42083333333333334</v>
      </c>
      <c r="H452" s="76">
        <v>0.4548611111111111</v>
      </c>
      <c r="I452" s="173" t="s">
        <v>1512</v>
      </c>
      <c r="J452" s="23">
        <v>3</v>
      </c>
      <c r="K452" s="68">
        <v>6.9444444444444441E-3</v>
      </c>
      <c r="L452" s="68">
        <v>0.45833333333333331</v>
      </c>
      <c r="M452" s="68">
        <v>0.4861111111111111</v>
      </c>
      <c r="N452" s="173" t="s">
        <v>1513</v>
      </c>
      <c r="O452" s="23">
        <v>395</v>
      </c>
      <c r="P452" s="70">
        <v>0.42083333333333334</v>
      </c>
      <c r="Q452" s="70">
        <v>0.4861111111111111</v>
      </c>
      <c r="R452" s="229" t="s">
        <v>1514</v>
      </c>
    </row>
    <row r="453" spans="1:18" x14ac:dyDescent="0.4">
      <c r="A453" s="133">
        <v>45705</v>
      </c>
      <c r="B453" s="139" t="s">
        <v>63</v>
      </c>
      <c r="C453" s="30" t="s">
        <v>267</v>
      </c>
      <c r="D453" s="191">
        <v>16</v>
      </c>
      <c r="E453" s="77">
        <v>5</v>
      </c>
      <c r="F453" s="1"/>
      <c r="G453" s="76">
        <v>0.4548611111111111</v>
      </c>
      <c r="H453" s="76">
        <v>0.66666666666666663</v>
      </c>
      <c r="I453" s="173" t="s">
        <v>1365</v>
      </c>
      <c r="J453" s="23">
        <v>3</v>
      </c>
      <c r="K453" s="68">
        <v>6.9444444444444441E-3</v>
      </c>
      <c r="L453" s="68">
        <v>0.4861111111111111</v>
      </c>
      <c r="M453" s="68">
        <v>0.52083333333333337</v>
      </c>
      <c r="N453" s="173" t="s">
        <v>1322</v>
      </c>
      <c r="O453" s="23">
        <v>1405</v>
      </c>
      <c r="P453" s="70">
        <v>0.4548611111111111</v>
      </c>
      <c r="Q453" s="70">
        <v>0.66666666666666663</v>
      </c>
      <c r="R453" s="229" t="s">
        <v>1365</v>
      </c>
    </row>
    <row r="454" spans="1:18" x14ac:dyDescent="0.4">
      <c r="A454" s="133">
        <v>45705</v>
      </c>
      <c r="B454" s="139" t="s">
        <v>65</v>
      </c>
      <c r="C454" s="30" t="s">
        <v>189</v>
      </c>
      <c r="D454" s="191">
        <v>56</v>
      </c>
      <c r="E454" s="77">
        <v>3</v>
      </c>
      <c r="F454" s="76">
        <v>4.1666666666666664E-2</v>
      </c>
      <c r="G454" s="76">
        <v>0.29166666666666669</v>
      </c>
      <c r="H454" s="76">
        <v>0.64583333333333337</v>
      </c>
      <c r="I454" s="173" t="s">
        <v>990</v>
      </c>
      <c r="J454" s="23">
        <v>4</v>
      </c>
      <c r="K454" s="23"/>
      <c r="L454" s="68">
        <v>0.29166666666666669</v>
      </c>
      <c r="M454" s="68">
        <v>0.70833333333333337</v>
      </c>
      <c r="N454" s="173" t="s">
        <v>1252</v>
      </c>
      <c r="O454" s="23">
        <v>3690</v>
      </c>
      <c r="P454" s="70">
        <v>0.29166666666666669</v>
      </c>
      <c r="Q454" s="70">
        <v>0.70833333333333337</v>
      </c>
      <c r="R454" s="229" t="s">
        <v>1252</v>
      </c>
    </row>
    <row r="455" spans="1:18" s="146" customFormat="1" x14ac:dyDescent="0.4">
      <c r="A455" s="135">
        <v>45705</v>
      </c>
      <c r="B455" s="102" t="s">
        <v>594</v>
      </c>
      <c r="C455" s="136" t="s">
        <v>595</v>
      </c>
      <c r="D455" s="193">
        <v>1</v>
      </c>
      <c r="E455" s="103"/>
      <c r="F455" s="104"/>
      <c r="G455" s="184"/>
      <c r="H455" s="184"/>
      <c r="I455" s="225" t="s">
        <v>1002</v>
      </c>
      <c r="J455" s="105"/>
      <c r="K455" s="105"/>
      <c r="L455" s="106"/>
      <c r="M455" s="106"/>
      <c r="N455" s="225" t="s">
        <v>1002</v>
      </c>
      <c r="O455" s="105">
        <v>0</v>
      </c>
      <c r="P455" s="247">
        <v>0</v>
      </c>
      <c r="Q455" s="247">
        <v>0</v>
      </c>
      <c r="R455" s="232" t="s">
        <v>1002</v>
      </c>
    </row>
    <row r="456" spans="1:18" x14ac:dyDescent="0.4">
      <c r="A456" s="133">
        <v>45706</v>
      </c>
      <c r="B456" s="139" t="s">
        <v>54</v>
      </c>
      <c r="C456" s="30" t="s">
        <v>251</v>
      </c>
      <c r="D456" s="191">
        <v>36</v>
      </c>
      <c r="E456" s="77">
        <v>5</v>
      </c>
      <c r="F456" s="1"/>
      <c r="G456" s="76">
        <v>0.29166666666666669</v>
      </c>
      <c r="H456" s="76">
        <v>0.66666666666666663</v>
      </c>
      <c r="I456" s="173" t="s">
        <v>1292</v>
      </c>
      <c r="J456" s="23">
        <v>4</v>
      </c>
      <c r="K456" s="23"/>
      <c r="L456" s="68">
        <v>0.29166666666666669</v>
      </c>
      <c r="M456" s="68">
        <v>0.70833333333333337</v>
      </c>
      <c r="N456" s="173" t="s">
        <v>1252</v>
      </c>
      <c r="O456" s="23">
        <v>4560</v>
      </c>
      <c r="P456" s="70">
        <v>0.29166666666666669</v>
      </c>
      <c r="Q456" s="70">
        <v>0.70833333333333337</v>
      </c>
      <c r="R456" s="229" t="s">
        <v>1252</v>
      </c>
    </row>
    <row r="457" spans="1:18" x14ac:dyDescent="0.4">
      <c r="A457" s="133">
        <v>45706</v>
      </c>
      <c r="B457" s="139" t="s">
        <v>55</v>
      </c>
      <c r="C457" s="30" t="s">
        <v>208</v>
      </c>
      <c r="D457" s="191">
        <v>24</v>
      </c>
      <c r="E457" s="77">
        <v>5</v>
      </c>
      <c r="F457" s="1"/>
      <c r="G457" s="76">
        <v>0.29166666666666669</v>
      </c>
      <c r="H457" s="76">
        <v>0.5</v>
      </c>
      <c r="I457" s="173" t="s">
        <v>1327</v>
      </c>
      <c r="J457" s="23">
        <v>4</v>
      </c>
      <c r="K457" s="68">
        <v>6.9444444444444441E-3</v>
      </c>
      <c r="L457" s="68">
        <v>0.33333333333333331</v>
      </c>
      <c r="M457" s="68">
        <v>0.56944444444444442</v>
      </c>
      <c r="N457" s="173" t="s">
        <v>1258</v>
      </c>
      <c r="O457" s="23">
        <v>2660</v>
      </c>
      <c r="P457" s="70">
        <v>0.29166666666666669</v>
      </c>
      <c r="Q457" s="70">
        <v>0.56944444444444442</v>
      </c>
      <c r="R457" s="229" t="s">
        <v>1339</v>
      </c>
    </row>
    <row r="458" spans="1:18" x14ac:dyDescent="0.4">
      <c r="A458" s="133">
        <v>45706</v>
      </c>
      <c r="B458" s="139" t="s">
        <v>470</v>
      </c>
      <c r="C458" s="30" t="s">
        <v>210</v>
      </c>
      <c r="D458" s="191">
        <v>4</v>
      </c>
      <c r="E458" s="77">
        <v>5</v>
      </c>
      <c r="F458" s="1"/>
      <c r="G458" s="76">
        <v>0.62222222222222223</v>
      </c>
      <c r="H458" s="76">
        <v>0.6875</v>
      </c>
      <c r="I458" s="173" t="s">
        <v>1514</v>
      </c>
      <c r="J458" s="23">
        <v>4</v>
      </c>
      <c r="K458" s="68">
        <v>6.9444444444444441E-3</v>
      </c>
      <c r="L458" s="68">
        <v>0.66666666666666663</v>
      </c>
      <c r="M458" s="68">
        <v>0.72916666666666663</v>
      </c>
      <c r="N458" s="173" t="s">
        <v>1386</v>
      </c>
      <c r="O458" s="23">
        <v>870</v>
      </c>
      <c r="P458" s="70">
        <v>0.62222222222222223</v>
      </c>
      <c r="Q458" s="70">
        <v>0.72916666666666663</v>
      </c>
      <c r="R458" s="229" t="s">
        <v>1510</v>
      </c>
    </row>
    <row r="459" spans="1:18" x14ac:dyDescent="0.4">
      <c r="A459" s="133">
        <v>45706</v>
      </c>
      <c r="B459" s="139" t="s">
        <v>56</v>
      </c>
      <c r="C459" s="30" t="s">
        <v>220</v>
      </c>
      <c r="D459" s="191">
        <v>8</v>
      </c>
      <c r="E459" s="77">
        <v>5</v>
      </c>
      <c r="F459" s="1"/>
      <c r="G459" s="76">
        <v>0.54166666666666663</v>
      </c>
      <c r="H459" s="76">
        <v>0.62222222222222223</v>
      </c>
      <c r="I459" s="173" t="s">
        <v>1416</v>
      </c>
      <c r="J459" s="23">
        <v>4</v>
      </c>
      <c r="K459" s="68">
        <v>6.9444444444444441E-3</v>
      </c>
      <c r="L459" s="68">
        <v>0.56944444444444442</v>
      </c>
      <c r="M459" s="68">
        <v>0.66666666666666663</v>
      </c>
      <c r="N459" s="173" t="s">
        <v>1298</v>
      </c>
      <c r="O459" s="23">
        <v>1180</v>
      </c>
      <c r="P459" s="70">
        <v>0.54166666666666663</v>
      </c>
      <c r="Q459" s="70">
        <v>0.66666666666666663</v>
      </c>
      <c r="R459" s="229" t="s">
        <v>1316</v>
      </c>
    </row>
    <row r="460" spans="1:18" x14ac:dyDescent="0.4">
      <c r="A460" s="133">
        <v>45706</v>
      </c>
      <c r="B460" s="139" t="s">
        <v>104</v>
      </c>
      <c r="C460" s="30" t="s">
        <v>191</v>
      </c>
      <c r="D460" s="191">
        <v>56</v>
      </c>
      <c r="E460" s="77">
        <v>3</v>
      </c>
      <c r="F460" s="76">
        <v>4.1666666666666664E-2</v>
      </c>
      <c r="G460" s="76">
        <v>0.29166666666666669</v>
      </c>
      <c r="H460" s="76">
        <v>0.625</v>
      </c>
      <c r="I460" s="173" t="s">
        <v>1292</v>
      </c>
      <c r="J460" s="23">
        <v>4</v>
      </c>
      <c r="K460" s="23"/>
      <c r="L460" s="68">
        <v>0.29166666666666669</v>
      </c>
      <c r="M460" s="68">
        <v>0.66666666666666663</v>
      </c>
      <c r="N460" s="173" t="s">
        <v>1292</v>
      </c>
      <c r="O460" s="23">
        <v>3360</v>
      </c>
      <c r="P460" s="70">
        <v>0.29166666666666669</v>
      </c>
      <c r="Q460" s="70">
        <v>0.66666666666666663</v>
      </c>
      <c r="R460" s="229" t="s">
        <v>1292</v>
      </c>
    </row>
    <row r="461" spans="1:18" x14ac:dyDescent="0.4">
      <c r="A461" s="133">
        <v>45707</v>
      </c>
      <c r="B461" s="139" t="s">
        <v>81</v>
      </c>
      <c r="C461" s="30" t="s">
        <v>235</v>
      </c>
      <c r="D461" s="191">
        <v>16</v>
      </c>
      <c r="E461" s="77">
        <v>5</v>
      </c>
      <c r="F461" s="1"/>
      <c r="G461" s="68">
        <v>0.54166666666666663</v>
      </c>
      <c r="H461" s="68">
        <v>0.66666666666666663</v>
      </c>
      <c r="I461" s="173" t="s">
        <v>1316</v>
      </c>
      <c r="J461" s="23">
        <v>3</v>
      </c>
      <c r="K461" s="68">
        <v>1.0416666666666666E-2</v>
      </c>
      <c r="L461" s="68">
        <v>0.33333333333333331</v>
      </c>
      <c r="M461" s="68">
        <v>0.5625</v>
      </c>
      <c r="N461" s="173" t="s">
        <v>1335</v>
      </c>
      <c r="O461" s="23">
        <v>1755</v>
      </c>
      <c r="P461" s="70">
        <v>0.33333333333333331</v>
      </c>
      <c r="Q461" s="70">
        <v>0.66666666666666663</v>
      </c>
      <c r="R461" s="229" t="s">
        <v>1341</v>
      </c>
    </row>
    <row r="462" spans="1:18" x14ac:dyDescent="0.4">
      <c r="A462" s="133">
        <v>45707</v>
      </c>
      <c r="B462" s="139" t="s">
        <v>72</v>
      </c>
      <c r="C462" s="30" t="s">
        <v>227</v>
      </c>
      <c r="D462" s="191">
        <v>24</v>
      </c>
      <c r="E462" s="77">
        <v>5</v>
      </c>
      <c r="F462" s="1"/>
      <c r="G462" s="76">
        <v>0.29166666666666669</v>
      </c>
      <c r="H462" s="76">
        <v>0.5</v>
      </c>
      <c r="I462" s="173" t="s">
        <v>1327</v>
      </c>
      <c r="J462" s="23">
        <v>3</v>
      </c>
      <c r="K462" s="68">
        <v>1.0416666666666666E-2</v>
      </c>
      <c r="L462" s="68">
        <v>0.5625</v>
      </c>
      <c r="M462" s="68">
        <v>0.60416666666666663</v>
      </c>
      <c r="N462" s="173" t="s">
        <v>1323</v>
      </c>
      <c r="O462" s="23">
        <v>1725</v>
      </c>
      <c r="P462" s="70">
        <v>0.29166666666666669</v>
      </c>
      <c r="Q462" s="70">
        <v>0.60416666666666663</v>
      </c>
      <c r="R462" s="229" t="s">
        <v>1329</v>
      </c>
    </row>
    <row r="463" spans="1:18" x14ac:dyDescent="0.4">
      <c r="A463" s="133">
        <v>45707</v>
      </c>
      <c r="B463" s="139" t="s">
        <v>110</v>
      </c>
      <c r="C463" s="30" t="s">
        <v>231</v>
      </c>
      <c r="D463" s="191">
        <v>21</v>
      </c>
      <c r="E463" s="77">
        <v>6</v>
      </c>
      <c r="F463" s="1"/>
      <c r="G463" s="76">
        <v>0.29166666666666669</v>
      </c>
      <c r="H463" s="76">
        <v>0.68055555555555547</v>
      </c>
      <c r="I463" s="173" t="s">
        <v>1465</v>
      </c>
      <c r="J463" s="23">
        <v>9</v>
      </c>
      <c r="K463" s="23"/>
      <c r="L463" s="68">
        <v>0.40277777777777773</v>
      </c>
      <c r="M463" s="68">
        <v>0.70833333333333337</v>
      </c>
      <c r="N463" s="173" t="s">
        <v>1353</v>
      </c>
      <c r="O463" s="23">
        <v>6420</v>
      </c>
      <c r="P463" s="70">
        <v>0.29166666666666669</v>
      </c>
      <c r="Q463" s="70">
        <v>0.70833333333333337</v>
      </c>
      <c r="R463" s="229" t="s">
        <v>1252</v>
      </c>
    </row>
    <row r="464" spans="1:18" x14ac:dyDescent="0.4">
      <c r="A464" s="133">
        <v>45707</v>
      </c>
      <c r="B464" s="139" t="s">
        <v>97</v>
      </c>
      <c r="C464" s="30" t="s">
        <v>274</v>
      </c>
      <c r="D464" s="191">
        <v>8</v>
      </c>
      <c r="E464" s="77">
        <v>3</v>
      </c>
      <c r="F464" s="76">
        <v>8.3333333333333329E-2</v>
      </c>
      <c r="G464" s="76">
        <v>0.29166666666666669</v>
      </c>
      <c r="H464" s="76">
        <v>0.58333333333333337</v>
      </c>
      <c r="I464" s="173" t="s">
        <v>1292</v>
      </c>
      <c r="J464" s="23">
        <v>4</v>
      </c>
      <c r="K464" s="23"/>
      <c r="L464" s="68">
        <v>0.29166666666666669</v>
      </c>
      <c r="M464" s="68">
        <v>0.375</v>
      </c>
      <c r="N464" s="173" t="s">
        <v>1296</v>
      </c>
      <c r="O464" s="23">
        <v>1920</v>
      </c>
      <c r="P464" s="70">
        <v>0.29166666666666669</v>
      </c>
      <c r="Q464" s="70">
        <v>0.58333333333333337</v>
      </c>
      <c r="R464" s="229" t="s">
        <v>1321</v>
      </c>
    </row>
    <row r="465" spans="1:18" x14ac:dyDescent="0.4">
      <c r="A465" s="133">
        <v>45707</v>
      </c>
      <c r="B465" s="139" t="s">
        <v>597</v>
      </c>
      <c r="C465" s="30" t="s">
        <v>283</v>
      </c>
      <c r="D465" s="191">
        <v>8</v>
      </c>
      <c r="E465" s="77">
        <v>3</v>
      </c>
      <c r="F465" s="76">
        <v>8.3333333333333329E-2</v>
      </c>
      <c r="G465" s="76">
        <v>0.29166666666666669</v>
      </c>
      <c r="H465" s="76">
        <v>0.58333333333333337</v>
      </c>
      <c r="I465" s="173" t="s">
        <v>1292</v>
      </c>
      <c r="J465" s="23">
        <v>8</v>
      </c>
      <c r="K465" s="23"/>
      <c r="L465" s="68">
        <v>0.38541666666666669</v>
      </c>
      <c r="M465" s="68">
        <v>0.59375</v>
      </c>
      <c r="N465" s="173" t="s">
        <v>1244</v>
      </c>
      <c r="O465" s="23">
        <v>3360</v>
      </c>
      <c r="P465" s="70">
        <v>0.29166666666666669</v>
      </c>
      <c r="Q465" s="70">
        <v>0.59375</v>
      </c>
      <c r="R465" s="229" t="s">
        <v>1383</v>
      </c>
    </row>
    <row r="466" spans="1:18" x14ac:dyDescent="0.4">
      <c r="A466" s="133">
        <v>45707</v>
      </c>
      <c r="B466" s="139" t="s">
        <v>96</v>
      </c>
      <c r="C466" s="30" t="s">
        <v>167</v>
      </c>
      <c r="D466" s="191">
        <v>8</v>
      </c>
      <c r="E466" s="77">
        <v>3</v>
      </c>
      <c r="F466" s="76">
        <v>8.3333333333333329E-2</v>
      </c>
      <c r="G466" s="76">
        <v>0.29166666666666669</v>
      </c>
      <c r="H466" s="76">
        <v>0.58333333333333337</v>
      </c>
      <c r="I466" s="173" t="s">
        <v>1292</v>
      </c>
      <c r="J466" s="23">
        <v>7</v>
      </c>
      <c r="K466" s="23"/>
      <c r="L466" s="68">
        <v>0.59722222222222221</v>
      </c>
      <c r="M466" s="68">
        <v>0.66666666666666663</v>
      </c>
      <c r="N466" s="173" t="s">
        <v>1386</v>
      </c>
      <c r="O466" s="23">
        <v>2140</v>
      </c>
      <c r="P466" s="70">
        <v>0.29166666666666669</v>
      </c>
      <c r="Q466" s="70">
        <v>0.66666666666666663</v>
      </c>
      <c r="R466" s="229" t="s">
        <v>1292</v>
      </c>
    </row>
    <row r="467" spans="1:18" x14ac:dyDescent="0.4">
      <c r="A467" s="133">
        <v>45708</v>
      </c>
      <c r="B467" s="139" t="s">
        <v>61</v>
      </c>
      <c r="C467" s="30" t="s">
        <v>156</v>
      </c>
      <c r="D467" s="191">
        <v>32</v>
      </c>
      <c r="E467" s="77">
        <v>4</v>
      </c>
      <c r="F467" s="1"/>
      <c r="G467" s="76">
        <v>0.29166666666666669</v>
      </c>
      <c r="H467" s="76">
        <v>0.5625</v>
      </c>
      <c r="I467" s="173" t="s">
        <v>1320</v>
      </c>
      <c r="J467" s="23">
        <v>10</v>
      </c>
      <c r="K467" s="68">
        <v>1.0416666666666666E-2</v>
      </c>
      <c r="L467" s="68">
        <v>0.33333333333333331</v>
      </c>
      <c r="M467" s="68">
        <v>0.63194444444444442</v>
      </c>
      <c r="N467" s="173" t="s">
        <v>1374</v>
      </c>
      <c r="O467" s="23">
        <v>5170</v>
      </c>
      <c r="P467" s="70">
        <v>0.29166666666666669</v>
      </c>
      <c r="Q467" s="70">
        <v>0.63194444444444442</v>
      </c>
      <c r="R467" s="229" t="s">
        <v>1403</v>
      </c>
    </row>
    <row r="468" spans="1:18" x14ac:dyDescent="0.4">
      <c r="A468" s="133">
        <v>45708</v>
      </c>
      <c r="B468" s="139" t="s">
        <v>158</v>
      </c>
      <c r="C468" s="30" t="s">
        <v>159</v>
      </c>
      <c r="D468" s="191">
        <v>4</v>
      </c>
      <c r="E468" s="77">
        <v>4</v>
      </c>
      <c r="F468" s="1"/>
      <c r="G468" s="76">
        <v>0.5625</v>
      </c>
      <c r="H468" s="76">
        <v>0.70833333333333337</v>
      </c>
      <c r="I468" s="173" t="s">
        <v>1303</v>
      </c>
      <c r="J468" s="23">
        <v>9</v>
      </c>
      <c r="K468" s="68">
        <v>1.0416666666666666E-2</v>
      </c>
      <c r="L468" s="68">
        <v>0.63194444444444442</v>
      </c>
      <c r="M468" s="68">
        <v>0.70833333333333337</v>
      </c>
      <c r="N468" s="173" t="s">
        <v>1249</v>
      </c>
      <c r="O468" s="23">
        <v>1965</v>
      </c>
      <c r="P468" s="70">
        <v>0.5625</v>
      </c>
      <c r="Q468" s="70">
        <v>0.70833333333333337</v>
      </c>
      <c r="R468" s="229" t="s">
        <v>1303</v>
      </c>
    </row>
    <row r="469" spans="1:18" x14ac:dyDescent="0.4">
      <c r="A469" s="133">
        <v>45708</v>
      </c>
      <c r="B469" s="139" t="s">
        <v>951</v>
      </c>
      <c r="C469" s="30" t="s">
        <v>332</v>
      </c>
      <c r="D469" s="191">
        <v>12</v>
      </c>
      <c r="E469" s="77">
        <v>5</v>
      </c>
      <c r="F469" s="1"/>
      <c r="G469" s="76">
        <v>0.29166666666666669</v>
      </c>
      <c r="H469" s="76">
        <v>0.39513888888888887</v>
      </c>
      <c r="I469" s="173" t="s">
        <v>1515</v>
      </c>
      <c r="J469" s="23">
        <v>4</v>
      </c>
      <c r="K469" s="68">
        <v>6.9444444444444441E-3</v>
      </c>
      <c r="L469" s="68">
        <v>0.33333333333333331</v>
      </c>
      <c r="M469" s="68">
        <v>0.4236111111111111</v>
      </c>
      <c r="N469" s="173" t="s">
        <v>1313</v>
      </c>
      <c r="O469" s="23">
        <v>1305</v>
      </c>
      <c r="P469" s="70">
        <v>0.29166666666666669</v>
      </c>
      <c r="Q469" s="70">
        <v>0.4236111111111111</v>
      </c>
      <c r="R469" s="229" t="s">
        <v>1256</v>
      </c>
    </row>
    <row r="470" spans="1:18" x14ac:dyDescent="0.4">
      <c r="A470" s="133">
        <v>45708</v>
      </c>
      <c r="B470" s="139" t="s">
        <v>116</v>
      </c>
      <c r="C470" s="30" t="s">
        <v>212</v>
      </c>
      <c r="D470" s="191">
        <v>8</v>
      </c>
      <c r="E470" s="77">
        <v>5</v>
      </c>
      <c r="F470" s="1"/>
      <c r="G470" s="76">
        <v>0.39513888888888887</v>
      </c>
      <c r="H470" s="76">
        <v>0.5</v>
      </c>
      <c r="I470" s="173" t="s">
        <v>1516</v>
      </c>
      <c r="J470" s="23">
        <v>4</v>
      </c>
      <c r="K470" s="68">
        <v>6.9444444444444441E-3</v>
      </c>
      <c r="L470" s="68">
        <v>0.4236111111111111</v>
      </c>
      <c r="M470" s="68">
        <v>0.56944444444444442</v>
      </c>
      <c r="N470" s="173" t="s">
        <v>1325</v>
      </c>
      <c r="O470" s="23">
        <v>1395</v>
      </c>
      <c r="P470" s="70">
        <v>0.39513888888888887</v>
      </c>
      <c r="Q470" s="70">
        <v>0.56944444444444442</v>
      </c>
      <c r="R470" s="229" t="s">
        <v>1490</v>
      </c>
    </row>
    <row r="471" spans="1:18" x14ac:dyDescent="0.4">
      <c r="A471" s="133">
        <v>45708</v>
      </c>
      <c r="B471" s="139" t="s">
        <v>75</v>
      </c>
      <c r="C471" s="30" t="s">
        <v>229</v>
      </c>
      <c r="D471" s="191">
        <v>16</v>
      </c>
      <c r="E471" s="77">
        <v>5</v>
      </c>
      <c r="F471" s="1"/>
      <c r="G471" s="76">
        <v>0.54166666666666663</v>
      </c>
      <c r="H471" s="76">
        <v>0.6875</v>
      </c>
      <c r="I471" s="173" t="s">
        <v>1303</v>
      </c>
      <c r="J471" s="23">
        <v>3</v>
      </c>
      <c r="K471" s="68">
        <v>6.9444444444444441E-3</v>
      </c>
      <c r="L471" s="68">
        <v>0.56944444444444442</v>
      </c>
      <c r="M471" s="68">
        <v>0.6875</v>
      </c>
      <c r="N471" s="173" t="s">
        <v>1316</v>
      </c>
      <c r="O471" s="23">
        <v>1590</v>
      </c>
      <c r="P471" s="70">
        <v>0.54166666666666663</v>
      </c>
      <c r="Q471" s="70">
        <v>0.6875</v>
      </c>
      <c r="R471" s="229" t="s">
        <v>1303</v>
      </c>
    </row>
    <row r="472" spans="1:18" x14ac:dyDescent="0.4">
      <c r="A472" s="133">
        <v>45708</v>
      </c>
      <c r="B472" s="139" t="s">
        <v>73</v>
      </c>
      <c r="C472" s="30" t="s">
        <v>231</v>
      </c>
      <c r="D472" s="191">
        <v>21</v>
      </c>
      <c r="E472" s="77">
        <v>6</v>
      </c>
      <c r="F472" s="76">
        <v>2.0833333333333332E-2</v>
      </c>
      <c r="G472" s="76">
        <v>0.29166666666666669</v>
      </c>
      <c r="H472" s="76">
        <v>0.67361111111111116</v>
      </c>
      <c r="I472" s="173" t="s">
        <v>1351</v>
      </c>
      <c r="J472" s="23">
        <v>9</v>
      </c>
      <c r="K472" s="23"/>
      <c r="L472" s="68">
        <v>0.40277777777777773</v>
      </c>
      <c r="M472" s="68">
        <v>0.70833333333333337</v>
      </c>
      <c r="N472" s="173" t="s">
        <v>1353</v>
      </c>
      <c r="O472" s="23">
        <v>6540</v>
      </c>
      <c r="P472" s="70">
        <v>0.29166666666666669</v>
      </c>
      <c r="Q472" s="70">
        <v>0.70833333333333337</v>
      </c>
      <c r="R472" s="229" t="s">
        <v>1252</v>
      </c>
    </row>
    <row r="473" spans="1:18" x14ac:dyDescent="0.4">
      <c r="A473" s="133">
        <v>45709</v>
      </c>
      <c r="B473" s="139" t="s">
        <v>71</v>
      </c>
      <c r="C473" s="30" t="s">
        <v>176</v>
      </c>
      <c r="D473" s="191">
        <v>72</v>
      </c>
      <c r="E473" s="77">
        <v>6</v>
      </c>
      <c r="F473" s="1"/>
      <c r="G473" s="76">
        <v>0.29166666666666669</v>
      </c>
      <c r="H473" s="76">
        <v>0.66666666666666663</v>
      </c>
      <c r="I473" s="173" t="s">
        <v>1292</v>
      </c>
      <c r="J473" s="23">
        <v>5</v>
      </c>
      <c r="K473" s="23"/>
      <c r="L473" s="68">
        <v>0.3125</v>
      </c>
      <c r="M473" s="68">
        <v>0.70833333333333337</v>
      </c>
      <c r="N473" s="173" t="s">
        <v>990</v>
      </c>
      <c r="O473" s="23">
        <v>5430</v>
      </c>
      <c r="P473" s="70">
        <v>0.29166666666666669</v>
      </c>
      <c r="Q473" s="70">
        <v>0.70833333333333337</v>
      </c>
      <c r="R473" s="229" t="s">
        <v>1252</v>
      </c>
    </row>
    <row r="474" spans="1:18" x14ac:dyDescent="0.4">
      <c r="A474" s="133">
        <v>45709</v>
      </c>
      <c r="B474" s="139" t="s">
        <v>76</v>
      </c>
      <c r="C474" s="30" t="s">
        <v>224</v>
      </c>
      <c r="D474" s="191">
        <v>12</v>
      </c>
      <c r="E474" s="77">
        <v>5</v>
      </c>
      <c r="F474" s="1"/>
      <c r="G474" s="76">
        <v>0.29166666666666669</v>
      </c>
      <c r="H474" s="76">
        <v>0.38750000000000001</v>
      </c>
      <c r="I474" s="173" t="s">
        <v>1345</v>
      </c>
      <c r="J474" s="23">
        <v>3</v>
      </c>
      <c r="K474" s="68">
        <v>2.0833333333333332E-2</v>
      </c>
      <c r="L474" s="68">
        <v>0.33333333333333331</v>
      </c>
      <c r="M474" s="68">
        <v>0.41666666666666669</v>
      </c>
      <c r="N474" s="173" t="s">
        <v>1298</v>
      </c>
      <c r="O474" s="23">
        <v>1140</v>
      </c>
      <c r="P474" s="70">
        <v>0.29166666666666669</v>
      </c>
      <c r="Q474" s="70">
        <v>0.41666666666666669</v>
      </c>
      <c r="R474" s="229" t="s">
        <v>1316</v>
      </c>
    </row>
    <row r="475" spans="1:18" x14ac:dyDescent="0.4">
      <c r="A475" s="133">
        <v>45709</v>
      </c>
      <c r="B475" s="139" t="s">
        <v>63</v>
      </c>
      <c r="C475" s="30" t="s">
        <v>267</v>
      </c>
      <c r="D475" s="191">
        <v>24</v>
      </c>
      <c r="E475" s="77">
        <v>5</v>
      </c>
      <c r="F475" s="1"/>
      <c r="G475" s="76">
        <v>0.38750000000000001</v>
      </c>
      <c r="H475" s="76">
        <v>0.66666666666666663</v>
      </c>
      <c r="I475" s="173" t="s">
        <v>1517</v>
      </c>
      <c r="J475" s="23">
        <v>3</v>
      </c>
      <c r="K475" s="68">
        <v>2.0833333333333332E-2</v>
      </c>
      <c r="L475" s="68">
        <v>0.41666666666666669</v>
      </c>
      <c r="M475" s="68">
        <v>0.6875</v>
      </c>
      <c r="N475" s="173" t="s">
        <v>1321</v>
      </c>
      <c r="O475" s="23">
        <v>2790</v>
      </c>
      <c r="P475" s="70">
        <v>0.38750000000000001</v>
      </c>
      <c r="Q475" s="70">
        <v>0.6875</v>
      </c>
      <c r="R475" s="229" t="s">
        <v>1458</v>
      </c>
    </row>
    <row r="476" spans="1:18" x14ac:dyDescent="0.4">
      <c r="A476" s="133">
        <v>45709</v>
      </c>
      <c r="B476" s="139" t="s">
        <v>82</v>
      </c>
      <c r="C476" s="30" t="s">
        <v>171</v>
      </c>
      <c r="D476" s="191">
        <v>36</v>
      </c>
      <c r="E476" s="77">
        <v>3</v>
      </c>
      <c r="F476" s="76">
        <v>4.1666666666666664E-2</v>
      </c>
      <c r="G476" s="76">
        <v>0.29166666666666669</v>
      </c>
      <c r="H476" s="76">
        <v>0.625</v>
      </c>
      <c r="I476" s="173" t="s">
        <v>1292</v>
      </c>
      <c r="J476" s="23">
        <v>7</v>
      </c>
      <c r="K476" s="23"/>
      <c r="L476" s="68">
        <v>0.33333333333333331</v>
      </c>
      <c r="M476" s="68">
        <v>0.70833333333333337</v>
      </c>
      <c r="N476" s="173" t="s">
        <v>1292</v>
      </c>
      <c r="O476" s="23">
        <v>4800</v>
      </c>
      <c r="P476" s="70">
        <v>0.29166666666666669</v>
      </c>
      <c r="Q476" s="70">
        <v>0.70833333333333337</v>
      </c>
      <c r="R476" s="229" t="s">
        <v>1252</v>
      </c>
    </row>
    <row r="477" spans="1:18" x14ac:dyDescent="0.4">
      <c r="A477" s="138">
        <v>45712</v>
      </c>
      <c r="B477" s="139" t="s">
        <v>92</v>
      </c>
      <c r="C477" s="140" t="s">
        <v>296</v>
      </c>
      <c r="D477" s="191">
        <v>4</v>
      </c>
      <c r="E477" s="77">
        <v>3</v>
      </c>
      <c r="F477" s="1"/>
      <c r="G477" s="76">
        <v>0.56388888888888888</v>
      </c>
      <c r="H477" s="76">
        <v>0.70833333333333337</v>
      </c>
      <c r="I477" s="173" t="s">
        <v>1425</v>
      </c>
      <c r="J477" s="23">
        <v>9</v>
      </c>
      <c r="K477" s="68">
        <v>1.0416666666666666E-2</v>
      </c>
      <c r="L477" s="68">
        <v>0.65972222222222221</v>
      </c>
      <c r="M477" s="68">
        <v>0.72916666666666663</v>
      </c>
      <c r="N477" s="173" t="s">
        <v>1457</v>
      </c>
      <c r="O477" s="23">
        <v>1659</v>
      </c>
      <c r="P477" s="70">
        <v>0.56388888888888888</v>
      </c>
      <c r="Q477" s="70">
        <v>0.72916666666666663</v>
      </c>
      <c r="R477" s="229" t="s">
        <v>1310</v>
      </c>
    </row>
    <row r="478" spans="1:18" x14ac:dyDescent="0.4">
      <c r="A478" s="138">
        <v>45712</v>
      </c>
      <c r="B478" s="139" t="s">
        <v>106</v>
      </c>
      <c r="C478" s="140" t="s">
        <v>173</v>
      </c>
      <c r="D478" s="191">
        <v>20</v>
      </c>
      <c r="E478" s="77">
        <v>3</v>
      </c>
      <c r="F478" s="1"/>
      <c r="G478" s="76">
        <v>0.29166666666666669</v>
      </c>
      <c r="H478" s="76">
        <v>0.57638888888888895</v>
      </c>
      <c r="I478" s="173" t="s">
        <v>1415</v>
      </c>
      <c r="J478" s="23">
        <v>10</v>
      </c>
      <c r="K478" s="68">
        <v>1.0416666666666666E-2</v>
      </c>
      <c r="L478" s="68">
        <v>0.33333333333333331</v>
      </c>
      <c r="M478" s="68">
        <v>0.65972222222222221</v>
      </c>
      <c r="N478" s="173" t="s">
        <v>1456</v>
      </c>
      <c r="O478" s="23">
        <v>5300</v>
      </c>
      <c r="P478" s="70">
        <v>0.29166666666666669</v>
      </c>
      <c r="Q478" s="70">
        <v>0.65972222222222221</v>
      </c>
      <c r="R478" s="229" t="s">
        <v>1338</v>
      </c>
    </row>
    <row r="479" spans="1:18" s="146" customFormat="1" x14ac:dyDescent="0.4">
      <c r="A479" s="138">
        <v>45712</v>
      </c>
      <c r="B479" s="139" t="s">
        <v>954</v>
      </c>
      <c r="C479" s="140" t="s">
        <v>959</v>
      </c>
      <c r="D479" s="191">
        <v>0.5</v>
      </c>
      <c r="E479" s="168">
        <v>5</v>
      </c>
      <c r="F479" s="158"/>
      <c r="G479" s="169">
        <v>0.29166666666666669</v>
      </c>
      <c r="H479" s="169">
        <v>0.35555555555555557</v>
      </c>
      <c r="I479" s="153" t="s">
        <v>1477</v>
      </c>
      <c r="J479" s="144">
        <v>3</v>
      </c>
      <c r="K479" s="170">
        <v>6.9444444444444441E-3</v>
      </c>
      <c r="L479" s="170">
        <v>0.3611111111111111</v>
      </c>
      <c r="M479" s="170">
        <v>0.39583333333333331</v>
      </c>
      <c r="N479" s="153" t="s">
        <v>1322</v>
      </c>
      <c r="O479" s="144">
        <v>640</v>
      </c>
      <c r="P479" s="70">
        <v>0.29166666666666669</v>
      </c>
      <c r="Q479" s="70">
        <v>0.39583333333333331</v>
      </c>
      <c r="R479" s="233" t="s">
        <v>1298</v>
      </c>
    </row>
    <row r="480" spans="1:18" x14ac:dyDescent="0.4">
      <c r="A480" s="138">
        <v>45712</v>
      </c>
      <c r="B480" s="139" t="s">
        <v>81</v>
      </c>
      <c r="C480" s="140" t="s">
        <v>235</v>
      </c>
      <c r="D480" s="191">
        <v>16</v>
      </c>
      <c r="E480" s="77">
        <v>5</v>
      </c>
      <c r="F480" s="1"/>
      <c r="G480" s="76">
        <v>0.40069444444444446</v>
      </c>
      <c r="H480" s="76">
        <v>0.55833333333333335</v>
      </c>
      <c r="I480" s="173" t="s">
        <v>1518</v>
      </c>
      <c r="J480" s="23">
        <v>4</v>
      </c>
      <c r="K480" s="170">
        <v>6.9444444444444441E-3</v>
      </c>
      <c r="L480" s="68">
        <v>0.41666666666666669</v>
      </c>
      <c r="M480" s="68">
        <v>0.59722222222222221</v>
      </c>
      <c r="N480" s="173" t="s">
        <v>1303</v>
      </c>
      <c r="O480" s="23">
        <v>1675</v>
      </c>
      <c r="P480" s="70">
        <v>0.40069444444444446</v>
      </c>
      <c r="Q480" s="70">
        <v>0.59722222222222221</v>
      </c>
      <c r="R480" s="229" t="s">
        <v>1519</v>
      </c>
    </row>
    <row r="481" spans="1:18" x14ac:dyDescent="0.4">
      <c r="A481" s="138">
        <v>45712</v>
      </c>
      <c r="B481" s="139" t="s">
        <v>57</v>
      </c>
      <c r="C481" s="140" t="s">
        <v>334</v>
      </c>
      <c r="D481" s="191">
        <v>12</v>
      </c>
      <c r="E481" s="77">
        <v>5</v>
      </c>
      <c r="F481" s="1"/>
      <c r="G481" s="76">
        <v>0.55833333333333335</v>
      </c>
      <c r="H481" s="76">
        <v>0.70833333333333337</v>
      </c>
      <c r="I481" s="173" t="s">
        <v>1520</v>
      </c>
      <c r="J481" s="23">
        <v>4</v>
      </c>
      <c r="K481" s="170">
        <v>6.9444444444444441E-3</v>
      </c>
      <c r="L481" s="68">
        <v>0.59722222222222221</v>
      </c>
      <c r="M481" s="68">
        <v>0.70833333333333337</v>
      </c>
      <c r="N481" s="173" t="s">
        <v>1314</v>
      </c>
      <c r="O481" s="23">
        <v>1760</v>
      </c>
      <c r="P481" s="70">
        <v>0.55833333333333335</v>
      </c>
      <c r="Q481" s="70">
        <v>0.70833333333333337</v>
      </c>
      <c r="R481" s="229" t="s">
        <v>1520</v>
      </c>
    </row>
    <row r="482" spans="1:18" x14ac:dyDescent="0.4">
      <c r="A482" s="138">
        <v>45712</v>
      </c>
      <c r="B482" s="139" t="s">
        <v>53</v>
      </c>
      <c r="C482" s="140" t="s">
        <v>261</v>
      </c>
      <c r="D482" s="191">
        <v>4</v>
      </c>
      <c r="E482" s="77">
        <v>5</v>
      </c>
      <c r="F482" s="1"/>
      <c r="G482" s="76">
        <v>0.35555555555555557</v>
      </c>
      <c r="H482" s="76">
        <v>0.40069444444444446</v>
      </c>
      <c r="I482" s="173" t="s">
        <v>1473</v>
      </c>
      <c r="J482" s="23">
        <v>3</v>
      </c>
      <c r="K482" s="170">
        <v>6.9444444444444441E-3</v>
      </c>
      <c r="L482" s="68">
        <v>0.39583333333333331</v>
      </c>
      <c r="M482" s="68">
        <v>0.43055555555555558</v>
      </c>
      <c r="N482" s="173" t="s">
        <v>1322</v>
      </c>
      <c r="O482" s="23">
        <v>505</v>
      </c>
      <c r="P482" s="70">
        <v>0.35555555555555557</v>
      </c>
      <c r="Q482" s="70">
        <v>0.43055555555555558</v>
      </c>
      <c r="R482" s="229" t="s">
        <v>1521</v>
      </c>
    </row>
    <row r="483" spans="1:18" x14ac:dyDescent="0.4">
      <c r="A483" s="138">
        <v>45712</v>
      </c>
      <c r="B483" s="139" t="s">
        <v>97</v>
      </c>
      <c r="C483" s="140" t="s">
        <v>274</v>
      </c>
      <c r="D483" s="191">
        <v>8</v>
      </c>
      <c r="E483" s="77">
        <v>3</v>
      </c>
      <c r="F483" s="76">
        <v>2.7777777777777776E-2</v>
      </c>
      <c r="G483" s="76">
        <v>0.29166666666666669</v>
      </c>
      <c r="H483" s="76">
        <v>0.35416666666666669</v>
      </c>
      <c r="I483" s="173" t="s">
        <v>1248</v>
      </c>
      <c r="J483" s="23">
        <v>4</v>
      </c>
      <c r="K483" s="23"/>
      <c r="L483" s="68">
        <v>0.29166666666666669</v>
      </c>
      <c r="M483" s="68">
        <v>0.40277777777777773</v>
      </c>
      <c r="N483" s="173" t="s">
        <v>1325</v>
      </c>
      <c r="O483" s="23">
        <v>1030</v>
      </c>
      <c r="P483" s="70">
        <v>0.29166666666666669</v>
      </c>
      <c r="Q483" s="70">
        <v>0.40277777777777773</v>
      </c>
      <c r="R483" s="229" t="s">
        <v>1325</v>
      </c>
    </row>
    <row r="484" spans="1:18" x14ac:dyDescent="0.4">
      <c r="A484" s="138">
        <v>45712</v>
      </c>
      <c r="B484" s="139" t="s">
        <v>104</v>
      </c>
      <c r="C484" s="140" t="s">
        <v>191</v>
      </c>
      <c r="D484" s="191">
        <v>32</v>
      </c>
      <c r="E484" s="77">
        <v>3</v>
      </c>
      <c r="F484" s="1"/>
      <c r="G484" s="76">
        <v>0.35416666666666669</v>
      </c>
      <c r="H484" s="76">
        <v>0.66666666666666663</v>
      </c>
      <c r="I484" s="173" t="s">
        <v>1329</v>
      </c>
      <c r="J484" s="23">
        <v>4</v>
      </c>
      <c r="K484" s="23"/>
      <c r="L484" s="68">
        <v>0.40277777777777773</v>
      </c>
      <c r="M484" s="68">
        <v>0.66666666666666663</v>
      </c>
      <c r="N484" s="173" t="s">
        <v>1357</v>
      </c>
      <c r="O484" s="23">
        <v>2450</v>
      </c>
      <c r="P484" s="70">
        <v>0.35416666666666669</v>
      </c>
      <c r="Q484" s="70">
        <v>0.66666666666666663</v>
      </c>
      <c r="R484" s="229" t="s">
        <v>1329</v>
      </c>
    </row>
    <row r="485" spans="1:18" x14ac:dyDescent="0.4">
      <c r="A485" s="138">
        <v>45713</v>
      </c>
      <c r="B485" s="139" t="s">
        <v>63</v>
      </c>
      <c r="C485" s="140" t="s">
        <v>267</v>
      </c>
      <c r="D485" s="191">
        <v>16</v>
      </c>
      <c r="E485" s="77">
        <v>5</v>
      </c>
      <c r="F485" s="1"/>
      <c r="G485" s="76">
        <v>0.54166666666666663</v>
      </c>
      <c r="H485" s="76">
        <v>0.6875</v>
      </c>
      <c r="I485" s="173" t="s">
        <v>1303</v>
      </c>
      <c r="J485" s="23">
        <v>3</v>
      </c>
      <c r="K485" s="68">
        <v>6.9444444444444441E-3</v>
      </c>
      <c r="L485" s="68">
        <v>0.56944444444444442</v>
      </c>
      <c r="M485" s="68">
        <v>0.6875</v>
      </c>
      <c r="N485" s="173" t="s">
        <v>1316</v>
      </c>
      <c r="O485" s="23">
        <v>1590</v>
      </c>
      <c r="P485" s="70">
        <v>0.54166666666666663</v>
      </c>
      <c r="Q485" s="70">
        <v>0.6875</v>
      </c>
      <c r="R485" s="229" t="s">
        <v>1303</v>
      </c>
    </row>
    <row r="486" spans="1:18" x14ac:dyDescent="0.4">
      <c r="A486" s="138">
        <v>45713</v>
      </c>
      <c r="B486" s="139" t="s">
        <v>357</v>
      </c>
      <c r="C486" s="140" t="s">
        <v>338</v>
      </c>
      <c r="D486" s="191">
        <v>12</v>
      </c>
      <c r="E486" s="77">
        <v>5</v>
      </c>
      <c r="F486" s="1"/>
      <c r="G486" s="76">
        <v>0.3888888888888889</v>
      </c>
      <c r="H486" s="76">
        <v>0.5</v>
      </c>
      <c r="I486" s="173" t="s">
        <v>1325</v>
      </c>
      <c r="J486" s="23">
        <v>3</v>
      </c>
      <c r="K486" s="68">
        <v>6.9444444444444441E-3</v>
      </c>
      <c r="L486" s="68">
        <v>0.43055555555555558</v>
      </c>
      <c r="M486" s="68">
        <v>0.56944444444444442</v>
      </c>
      <c r="N486" s="173" t="s">
        <v>1298</v>
      </c>
      <c r="O486" s="23">
        <v>1250</v>
      </c>
      <c r="P486" s="70">
        <v>0.3888888888888889</v>
      </c>
      <c r="Q486" s="70">
        <v>0.56944444444444442</v>
      </c>
      <c r="R486" s="229" t="s">
        <v>1250</v>
      </c>
    </row>
    <row r="487" spans="1:18" x14ac:dyDescent="0.4">
      <c r="A487" s="138">
        <v>45713</v>
      </c>
      <c r="B487" s="139" t="s">
        <v>77</v>
      </c>
      <c r="C487" s="140" t="s">
        <v>293</v>
      </c>
      <c r="D487" s="191">
        <v>8</v>
      </c>
      <c r="E487" s="77">
        <v>5</v>
      </c>
      <c r="F487" s="1"/>
      <c r="G487" s="76">
        <v>0.29166666666666669</v>
      </c>
      <c r="H487" s="76">
        <v>0.3888888888888889</v>
      </c>
      <c r="I487" s="173" t="s">
        <v>1313</v>
      </c>
      <c r="J487" s="23">
        <v>3</v>
      </c>
      <c r="K487" s="68">
        <v>6.9444444444444441E-3</v>
      </c>
      <c r="L487" s="68">
        <v>0.33333333333333331</v>
      </c>
      <c r="M487" s="68">
        <v>0.43055555555555558</v>
      </c>
      <c r="N487" s="173" t="s">
        <v>1298</v>
      </c>
      <c r="O487" s="23">
        <v>1150</v>
      </c>
      <c r="P487" s="70">
        <v>0.29166666666666669</v>
      </c>
      <c r="Q487" s="70">
        <v>0.43055555555555558</v>
      </c>
      <c r="R487" s="229" t="s">
        <v>1250</v>
      </c>
    </row>
    <row r="488" spans="1:18" x14ac:dyDescent="0.4">
      <c r="A488" s="138">
        <v>45713</v>
      </c>
      <c r="B488" s="139" t="s">
        <v>73</v>
      </c>
      <c r="C488" s="140" t="s">
        <v>231</v>
      </c>
      <c r="D488" s="191">
        <v>21</v>
      </c>
      <c r="E488" s="77">
        <v>6</v>
      </c>
      <c r="F488" s="1"/>
      <c r="G488" s="76">
        <v>0.29166666666666669</v>
      </c>
      <c r="H488" s="76">
        <v>0.68055555555555547</v>
      </c>
      <c r="I488" s="173" t="s">
        <v>1465</v>
      </c>
      <c r="J488" s="23">
        <v>9</v>
      </c>
      <c r="K488" s="23"/>
      <c r="L488" s="68">
        <v>0.40277777777777773</v>
      </c>
      <c r="M488" s="68">
        <v>0.70833333333333337</v>
      </c>
      <c r="N488" s="173" t="s">
        <v>1353</v>
      </c>
      <c r="O488" s="23">
        <v>6420</v>
      </c>
      <c r="P488" s="70">
        <v>0.29166666666666669</v>
      </c>
      <c r="Q488" s="70">
        <v>0.70833333333333337</v>
      </c>
      <c r="R488" s="229" t="s">
        <v>1252</v>
      </c>
    </row>
    <row r="489" spans="1:18" x14ac:dyDescent="0.4">
      <c r="A489" s="138">
        <v>45713</v>
      </c>
      <c r="B489" s="139" t="s">
        <v>65</v>
      </c>
      <c r="C489" s="140" t="s">
        <v>189</v>
      </c>
      <c r="D489" s="191">
        <v>56</v>
      </c>
      <c r="E489" s="77">
        <v>3</v>
      </c>
      <c r="F489" s="76">
        <v>4.1666666666666664E-2</v>
      </c>
      <c r="G489" s="76">
        <v>0.29166666666666669</v>
      </c>
      <c r="H489" s="76">
        <v>0.625</v>
      </c>
      <c r="I489" s="173" t="s">
        <v>1292</v>
      </c>
      <c r="J489" s="23">
        <v>4</v>
      </c>
      <c r="K489" s="23"/>
      <c r="L489" s="68">
        <v>0.29166666666666669</v>
      </c>
      <c r="M489" s="68">
        <v>0.70833333333333337</v>
      </c>
      <c r="N489" s="173" t="s">
        <v>1252</v>
      </c>
      <c r="O489" s="23">
        <v>3600</v>
      </c>
      <c r="P489" s="70">
        <v>0.29166666666666669</v>
      </c>
      <c r="Q489" s="70">
        <v>0.70833333333333337</v>
      </c>
      <c r="R489" s="229" t="s">
        <v>1252</v>
      </c>
    </row>
    <row r="490" spans="1:18" x14ac:dyDescent="0.4">
      <c r="A490" s="138">
        <v>45714</v>
      </c>
      <c r="B490" s="139" t="s">
        <v>71</v>
      </c>
      <c r="C490" s="140" t="s">
        <v>176</v>
      </c>
      <c r="D490" s="191">
        <v>72</v>
      </c>
      <c r="E490" s="77">
        <v>6</v>
      </c>
      <c r="F490" s="1"/>
      <c r="G490" s="76">
        <v>0.29166666666666669</v>
      </c>
      <c r="H490" s="76">
        <v>0.6875</v>
      </c>
      <c r="I490" s="173" t="s">
        <v>990</v>
      </c>
      <c r="J490" s="23">
        <v>6</v>
      </c>
      <c r="K490" s="23"/>
      <c r="L490" s="68">
        <v>0.3125</v>
      </c>
      <c r="M490" s="68">
        <v>0.70833333333333337</v>
      </c>
      <c r="N490" s="173" t="s">
        <v>990</v>
      </c>
      <c r="O490" s="23">
        <v>6120</v>
      </c>
      <c r="P490" s="70">
        <v>0.29166666666666669</v>
      </c>
      <c r="Q490" s="70">
        <v>0.70833333333333337</v>
      </c>
      <c r="R490" s="229" t="s">
        <v>1252</v>
      </c>
    </row>
    <row r="491" spans="1:18" x14ac:dyDescent="0.4">
      <c r="A491" s="138">
        <v>45714</v>
      </c>
      <c r="B491" s="139" t="s">
        <v>63</v>
      </c>
      <c r="C491" s="140" t="s">
        <v>267</v>
      </c>
      <c r="D491" s="191">
        <v>16</v>
      </c>
      <c r="E491" s="77">
        <v>5</v>
      </c>
      <c r="F491" s="1"/>
      <c r="G491" s="76">
        <v>0.45347222222222222</v>
      </c>
      <c r="H491" s="76">
        <v>0.6875</v>
      </c>
      <c r="I491" s="173" t="s">
        <v>1434</v>
      </c>
      <c r="J491" s="23">
        <v>3</v>
      </c>
      <c r="K491" s="68">
        <v>1.0416666666666666E-2</v>
      </c>
      <c r="L491" s="68">
        <v>0.47916666666666669</v>
      </c>
      <c r="M491" s="68">
        <v>0.6875</v>
      </c>
      <c r="N491" s="173" t="s">
        <v>1259</v>
      </c>
      <c r="O491" s="23">
        <v>2150</v>
      </c>
      <c r="P491" s="70">
        <v>0.45347222222222222</v>
      </c>
      <c r="Q491" s="70">
        <v>0.6875</v>
      </c>
      <c r="R491" s="229" t="s">
        <v>1434</v>
      </c>
    </row>
    <row r="492" spans="1:18" x14ac:dyDescent="0.4">
      <c r="A492" s="138">
        <v>45714</v>
      </c>
      <c r="B492" s="139" t="s">
        <v>72</v>
      </c>
      <c r="C492" s="140" t="s">
        <v>227</v>
      </c>
      <c r="D492" s="191">
        <v>20</v>
      </c>
      <c r="E492" s="77">
        <v>5</v>
      </c>
      <c r="F492" s="1"/>
      <c r="G492" s="76">
        <v>0.29166666666666669</v>
      </c>
      <c r="H492" s="76">
        <v>0.45347222222222222</v>
      </c>
      <c r="I492" s="173" t="s">
        <v>1522</v>
      </c>
      <c r="J492" s="23">
        <v>3</v>
      </c>
      <c r="K492" s="68">
        <v>1.0416666666666666E-2</v>
      </c>
      <c r="L492" s="68">
        <v>0.33333333333333331</v>
      </c>
      <c r="M492" s="68">
        <v>0.47916666666666669</v>
      </c>
      <c r="N492" s="173" t="s">
        <v>1380</v>
      </c>
      <c r="O492" s="23">
        <v>1840</v>
      </c>
      <c r="P492" s="70">
        <v>0.29166666666666669</v>
      </c>
      <c r="Q492" s="70">
        <v>0.47916666666666669</v>
      </c>
      <c r="R492" s="229" t="s">
        <v>1243</v>
      </c>
    </row>
    <row r="493" spans="1:18" x14ac:dyDescent="0.4">
      <c r="A493" s="138">
        <v>45714</v>
      </c>
      <c r="B493" s="139" t="s">
        <v>65</v>
      </c>
      <c r="C493" s="140" t="s">
        <v>189</v>
      </c>
      <c r="D493" s="191">
        <v>56</v>
      </c>
      <c r="E493" s="77">
        <v>3</v>
      </c>
      <c r="F493" s="76">
        <v>4.1666666666666664E-2</v>
      </c>
      <c r="G493" s="76">
        <v>0.29166666666666669</v>
      </c>
      <c r="H493" s="76">
        <v>0.66666666666666663</v>
      </c>
      <c r="I493" s="173" t="s">
        <v>1252</v>
      </c>
      <c r="J493" s="23">
        <v>4</v>
      </c>
      <c r="K493" s="23"/>
      <c r="L493" s="68">
        <v>0.29166666666666669</v>
      </c>
      <c r="M493" s="68">
        <v>0.70833333333333337</v>
      </c>
      <c r="N493" s="173" t="s">
        <v>1252</v>
      </c>
      <c r="O493" s="23">
        <v>3780</v>
      </c>
      <c r="P493" s="70">
        <v>0.29166666666666669</v>
      </c>
      <c r="Q493" s="70">
        <v>0.70833333333333337</v>
      </c>
      <c r="R493" s="229" t="s">
        <v>1252</v>
      </c>
    </row>
    <row r="494" spans="1:18" x14ac:dyDescent="0.4">
      <c r="A494" s="138">
        <v>45715</v>
      </c>
      <c r="B494" s="139" t="s">
        <v>91</v>
      </c>
      <c r="C494" s="140" t="s">
        <v>163</v>
      </c>
      <c r="D494" s="191">
        <v>12</v>
      </c>
      <c r="E494" s="77">
        <v>5</v>
      </c>
      <c r="F494" s="1"/>
      <c r="G494" s="76">
        <v>0.54166666666666663</v>
      </c>
      <c r="H494" s="76">
        <v>0.6875</v>
      </c>
      <c r="I494" s="173" t="s">
        <v>1303</v>
      </c>
      <c r="J494" s="23">
        <v>9</v>
      </c>
      <c r="K494" s="68">
        <v>1.0416666666666666E-2</v>
      </c>
      <c r="L494" s="68">
        <v>0.60416666666666663</v>
      </c>
      <c r="M494" s="68">
        <v>0.75</v>
      </c>
      <c r="N494" s="173" t="s">
        <v>1380</v>
      </c>
      <c r="O494" s="23">
        <v>3075</v>
      </c>
      <c r="P494" s="70">
        <v>0.54166666666666663</v>
      </c>
      <c r="Q494" s="70">
        <v>0.75</v>
      </c>
      <c r="R494" s="229" t="s">
        <v>1327</v>
      </c>
    </row>
    <row r="495" spans="1:18" x14ac:dyDescent="0.4">
      <c r="A495" s="138">
        <v>45715</v>
      </c>
      <c r="B495" s="139" t="s">
        <v>114</v>
      </c>
      <c r="C495" s="140" t="s">
        <v>161</v>
      </c>
      <c r="D495" s="191">
        <v>12</v>
      </c>
      <c r="E495" s="77">
        <v>5</v>
      </c>
      <c r="F495" s="1"/>
      <c r="G495" s="76">
        <v>0.29166666666666669</v>
      </c>
      <c r="H495" s="76">
        <v>0.5</v>
      </c>
      <c r="I495" s="173" t="s">
        <v>1327</v>
      </c>
      <c r="J495" s="23">
        <v>13</v>
      </c>
      <c r="K495" s="68">
        <v>1.0416666666666666E-2</v>
      </c>
      <c r="L495" s="68">
        <v>0.33333333333333331</v>
      </c>
      <c r="M495" s="68">
        <v>0.60416666666666663</v>
      </c>
      <c r="N495" s="173" t="s">
        <v>1330</v>
      </c>
      <c r="O495" s="23">
        <v>5985</v>
      </c>
      <c r="P495" s="70">
        <v>0.29166666666666669</v>
      </c>
      <c r="Q495" s="70">
        <v>0.60416666666666663</v>
      </c>
      <c r="R495" s="229" t="s">
        <v>1329</v>
      </c>
    </row>
    <row r="496" spans="1:18" x14ac:dyDescent="0.4">
      <c r="A496" s="138">
        <v>45715</v>
      </c>
      <c r="B496" s="139" t="s">
        <v>955</v>
      </c>
      <c r="C496" s="140" t="s">
        <v>161</v>
      </c>
      <c r="D496" s="191">
        <v>3</v>
      </c>
      <c r="E496" s="77">
        <v>5</v>
      </c>
      <c r="F496" s="1"/>
      <c r="G496" s="76">
        <v>0.29166666666666669</v>
      </c>
      <c r="H496" s="76">
        <v>0.5</v>
      </c>
      <c r="I496" s="173" t="s">
        <v>1327</v>
      </c>
      <c r="J496" s="23">
        <v>13</v>
      </c>
      <c r="K496" s="68">
        <v>1.0416666666666666E-2</v>
      </c>
      <c r="L496" s="68">
        <v>0.33333333333333331</v>
      </c>
      <c r="M496" s="68">
        <v>0.60416666666666663</v>
      </c>
      <c r="N496" s="173" t="s">
        <v>1330</v>
      </c>
      <c r="O496" s="23">
        <v>5985</v>
      </c>
      <c r="P496" s="70">
        <v>0.29166666666666669</v>
      </c>
      <c r="Q496" s="70">
        <v>0.60416666666666663</v>
      </c>
      <c r="R496" s="229" t="s">
        <v>1329</v>
      </c>
    </row>
    <row r="497" spans="1:18" x14ac:dyDescent="0.4">
      <c r="A497" s="138">
        <v>45715</v>
      </c>
      <c r="B497" s="139" t="s">
        <v>108</v>
      </c>
      <c r="C497" s="140" t="s">
        <v>231</v>
      </c>
      <c r="D497" s="191">
        <v>21</v>
      </c>
      <c r="E497" s="77">
        <v>6</v>
      </c>
      <c r="F497" s="1"/>
      <c r="G497" s="76">
        <v>0.29166666666666669</v>
      </c>
      <c r="H497" s="76">
        <v>0.68055555555555547</v>
      </c>
      <c r="I497" s="173" t="s">
        <v>1465</v>
      </c>
      <c r="J497" s="23">
        <v>9</v>
      </c>
      <c r="K497" s="23"/>
      <c r="L497" s="68">
        <v>0.40277777777777773</v>
      </c>
      <c r="M497" s="68">
        <v>0.54166666666666663</v>
      </c>
      <c r="N497" s="173" t="s">
        <v>1313</v>
      </c>
      <c r="O497" s="23">
        <v>4260</v>
      </c>
      <c r="P497" s="70">
        <v>0.29166666666666669</v>
      </c>
      <c r="Q497" s="70">
        <v>0.68055555555555547</v>
      </c>
      <c r="R497" s="229" t="s">
        <v>1465</v>
      </c>
    </row>
    <row r="498" spans="1:18" x14ac:dyDescent="0.4">
      <c r="A498" s="138">
        <v>45715</v>
      </c>
      <c r="B498" s="139" t="s">
        <v>65</v>
      </c>
      <c r="C498" s="140" t="s">
        <v>189</v>
      </c>
      <c r="D498" s="191">
        <v>56</v>
      </c>
      <c r="E498" s="77">
        <v>3</v>
      </c>
      <c r="F498" s="76">
        <v>4.1666666666666664E-2</v>
      </c>
      <c r="G498" s="76">
        <v>0.29166666666666669</v>
      </c>
      <c r="H498" s="76">
        <v>0.625</v>
      </c>
      <c r="I498" s="173" t="s">
        <v>1292</v>
      </c>
      <c r="J498" s="23">
        <v>4</v>
      </c>
      <c r="K498" s="23"/>
      <c r="L498" s="68">
        <v>0.29166666666666669</v>
      </c>
      <c r="M498" s="68">
        <v>0.70833333333333337</v>
      </c>
      <c r="N498" s="173" t="s">
        <v>1252</v>
      </c>
      <c r="O498" s="23">
        <v>3600</v>
      </c>
      <c r="P498" s="70">
        <v>0.29166666666666669</v>
      </c>
      <c r="Q498" s="70">
        <v>0.70833333333333337</v>
      </c>
      <c r="R498" s="229" t="s">
        <v>1252</v>
      </c>
    </row>
    <row r="499" spans="1:18" x14ac:dyDescent="0.4">
      <c r="A499" s="138">
        <v>45719</v>
      </c>
      <c r="B499" s="139" t="s">
        <v>71</v>
      </c>
      <c r="C499" s="140" t="s">
        <v>176</v>
      </c>
      <c r="D499" s="191">
        <v>72</v>
      </c>
      <c r="E499" s="77">
        <v>6</v>
      </c>
      <c r="F499" s="1"/>
      <c r="G499" s="76">
        <v>0.29166666666666669</v>
      </c>
      <c r="H499" s="76">
        <v>0.66666666666666663</v>
      </c>
      <c r="I499" s="173" t="s">
        <v>1292</v>
      </c>
      <c r="J499" s="23">
        <v>5</v>
      </c>
      <c r="K499" s="23"/>
      <c r="L499" s="68">
        <v>0.3125</v>
      </c>
      <c r="M499" s="68">
        <v>0.70833333333333337</v>
      </c>
      <c r="N499" s="173" t="s">
        <v>990</v>
      </c>
      <c r="O499" s="23">
        <v>5430</v>
      </c>
      <c r="P499" s="70">
        <v>0.29166666666666669</v>
      </c>
      <c r="Q499" s="70">
        <v>0.70833333333333337</v>
      </c>
      <c r="R499" s="229" t="s">
        <v>1252</v>
      </c>
    </row>
    <row r="500" spans="1:18" x14ac:dyDescent="0.4">
      <c r="A500" s="138">
        <v>45719</v>
      </c>
      <c r="B500" s="139" t="s">
        <v>76</v>
      </c>
      <c r="C500" s="140" t="s">
        <v>224</v>
      </c>
      <c r="D500" s="191">
        <v>16</v>
      </c>
      <c r="E500" s="77">
        <v>5</v>
      </c>
      <c r="F500" s="1"/>
      <c r="G500" s="76">
        <v>0.29166666666666669</v>
      </c>
      <c r="H500" s="76">
        <v>0.41666666666666669</v>
      </c>
      <c r="I500" s="173" t="s">
        <v>1316</v>
      </c>
      <c r="J500" s="23">
        <v>3</v>
      </c>
      <c r="K500" s="68">
        <v>1.0416666666666666E-2</v>
      </c>
      <c r="L500" s="68">
        <v>0.3125</v>
      </c>
      <c r="M500" s="68">
        <v>0.4375</v>
      </c>
      <c r="N500" s="173" t="s">
        <v>1391</v>
      </c>
      <c r="O500" s="23">
        <v>1485</v>
      </c>
      <c r="P500" s="70">
        <v>0.29166666666666669</v>
      </c>
      <c r="Q500" s="70">
        <v>0.4375</v>
      </c>
      <c r="R500" s="229" t="s">
        <v>1303</v>
      </c>
    </row>
    <row r="501" spans="1:18" x14ac:dyDescent="0.4">
      <c r="A501" s="138">
        <v>45719</v>
      </c>
      <c r="B501" s="139" t="s">
        <v>63</v>
      </c>
      <c r="C501" s="140" t="s">
        <v>267</v>
      </c>
      <c r="D501" s="191">
        <v>20</v>
      </c>
      <c r="E501" s="77">
        <v>5</v>
      </c>
      <c r="F501" s="1"/>
      <c r="G501" s="76">
        <v>0.41666666666666669</v>
      </c>
      <c r="H501" s="76">
        <v>0.66666666666666663</v>
      </c>
      <c r="I501" s="173" t="s">
        <v>1327</v>
      </c>
      <c r="J501" s="23">
        <v>3</v>
      </c>
      <c r="K501" s="68">
        <v>1.0416666666666666E-2</v>
      </c>
      <c r="L501" s="68">
        <v>0.4375</v>
      </c>
      <c r="M501" s="68">
        <v>0.6875</v>
      </c>
      <c r="N501" s="173" t="s">
        <v>1401</v>
      </c>
      <c r="O501" s="23">
        <v>2445</v>
      </c>
      <c r="P501" s="70">
        <v>0.41666666666666669</v>
      </c>
      <c r="Q501" s="70">
        <v>0.6875</v>
      </c>
      <c r="R501" s="229" t="s">
        <v>1320</v>
      </c>
    </row>
    <row r="502" spans="1:18" x14ac:dyDescent="0.4">
      <c r="A502" s="138">
        <v>45719</v>
      </c>
      <c r="B502" s="139" t="s">
        <v>96</v>
      </c>
      <c r="C502" s="140" t="s">
        <v>167</v>
      </c>
      <c r="D502" s="191">
        <v>20</v>
      </c>
      <c r="E502" s="77">
        <v>3</v>
      </c>
      <c r="F502" s="76">
        <v>4.1666666666666664E-2</v>
      </c>
      <c r="G502" s="76">
        <v>0.29166666666666669</v>
      </c>
      <c r="H502" s="76">
        <v>0.625</v>
      </c>
      <c r="I502" s="173" t="s">
        <v>1292</v>
      </c>
      <c r="J502" s="23">
        <v>4</v>
      </c>
      <c r="K502" s="23"/>
      <c r="L502" s="68">
        <v>0.29166666666666669</v>
      </c>
      <c r="M502" s="68">
        <v>0.49305555555555558</v>
      </c>
      <c r="N502" s="173" t="s">
        <v>1258</v>
      </c>
      <c r="O502" s="23">
        <v>2600</v>
      </c>
      <c r="P502" s="70">
        <v>0.29166666666666669</v>
      </c>
      <c r="Q502" s="70">
        <v>0.625</v>
      </c>
      <c r="R502" s="229" t="s">
        <v>1341</v>
      </c>
    </row>
    <row r="503" spans="1:18" x14ac:dyDescent="0.4">
      <c r="A503" s="138">
        <v>45719</v>
      </c>
      <c r="B503" s="139" t="s">
        <v>66</v>
      </c>
      <c r="C503" s="140" t="s">
        <v>195</v>
      </c>
      <c r="D503" s="191">
        <v>20</v>
      </c>
      <c r="E503" s="77">
        <v>3</v>
      </c>
      <c r="F503" s="76">
        <v>4.1666666666666664E-2</v>
      </c>
      <c r="G503" s="76">
        <v>0.29166666666666669</v>
      </c>
      <c r="H503" s="76">
        <v>0.625</v>
      </c>
      <c r="I503" s="173" t="s">
        <v>1292</v>
      </c>
      <c r="J503" s="23">
        <v>4</v>
      </c>
      <c r="K503" s="23"/>
      <c r="L503" s="68">
        <v>0.49305555555555558</v>
      </c>
      <c r="M503" s="68">
        <v>0.70833333333333337</v>
      </c>
      <c r="N503" s="173" t="s">
        <v>1311</v>
      </c>
      <c r="O503" s="23">
        <v>2440</v>
      </c>
      <c r="P503" s="70">
        <v>0.29166666666666669</v>
      </c>
      <c r="Q503" s="70">
        <v>0.70833333333333337</v>
      </c>
      <c r="R503" s="229" t="s">
        <v>1252</v>
      </c>
    </row>
    <row r="504" spans="1:18" s="146" customFormat="1" x14ac:dyDescent="0.4">
      <c r="A504" s="135">
        <v>45719</v>
      </c>
      <c r="B504" s="102" t="s">
        <v>431</v>
      </c>
      <c r="C504" s="136" t="s">
        <v>436</v>
      </c>
      <c r="D504" s="193">
        <v>2</v>
      </c>
      <c r="E504" s="103"/>
      <c r="F504" s="104"/>
      <c r="G504" s="184"/>
      <c r="H504" s="184"/>
      <c r="I504" s="225" t="s">
        <v>1002</v>
      </c>
      <c r="J504" s="105"/>
      <c r="K504" s="105"/>
      <c r="L504" s="106"/>
      <c r="M504" s="106"/>
      <c r="N504" s="225" t="s">
        <v>1002</v>
      </c>
      <c r="O504" s="105">
        <v>0</v>
      </c>
      <c r="P504" s="247">
        <v>0</v>
      </c>
      <c r="Q504" s="247">
        <v>0</v>
      </c>
      <c r="R504" s="232" t="s">
        <v>1002</v>
      </c>
    </row>
    <row r="505" spans="1:18" x14ac:dyDescent="0.4">
      <c r="A505" s="138">
        <v>45720</v>
      </c>
      <c r="B505" s="139" t="s">
        <v>456</v>
      </c>
      <c r="C505" s="140" t="s">
        <v>287</v>
      </c>
      <c r="D505" s="191">
        <v>3</v>
      </c>
      <c r="E505" s="77">
        <v>3</v>
      </c>
      <c r="F505" s="1"/>
      <c r="G505" s="76">
        <v>0.54166666666666663</v>
      </c>
      <c r="H505" s="76">
        <v>0.66666666666666663</v>
      </c>
      <c r="I505" s="173" t="s">
        <v>1316</v>
      </c>
      <c r="J505" s="23">
        <v>3</v>
      </c>
      <c r="K505" s="23"/>
      <c r="L505" s="68">
        <v>0.54166666666666663</v>
      </c>
      <c r="M505" s="68">
        <v>0.70833333333333337</v>
      </c>
      <c r="N505" s="173" t="s">
        <v>1244</v>
      </c>
      <c r="O505" s="23">
        <v>1260</v>
      </c>
      <c r="P505" s="70">
        <v>0.54166666666666663</v>
      </c>
      <c r="Q505" s="70">
        <v>0.70833333333333337</v>
      </c>
      <c r="R505" s="229" t="s">
        <v>1244</v>
      </c>
    </row>
    <row r="506" spans="1:18" x14ac:dyDescent="0.4">
      <c r="A506" s="138">
        <v>45720</v>
      </c>
      <c r="B506" s="139" t="s">
        <v>63</v>
      </c>
      <c r="C506" s="140" t="s">
        <v>267</v>
      </c>
      <c r="D506" s="191">
        <v>20</v>
      </c>
      <c r="E506" s="77">
        <v>5</v>
      </c>
      <c r="F506" s="1"/>
      <c r="G506" s="76">
        <v>0.29166666666666669</v>
      </c>
      <c r="H506" s="76">
        <v>0.5</v>
      </c>
      <c r="I506" s="173" t="s">
        <v>1327</v>
      </c>
      <c r="J506" s="23">
        <v>13</v>
      </c>
      <c r="K506" s="23"/>
      <c r="L506" s="68">
        <v>0.3125</v>
      </c>
      <c r="M506" s="68">
        <v>0.5</v>
      </c>
      <c r="N506" s="173" t="s">
        <v>1243</v>
      </c>
      <c r="O506" s="23">
        <v>5010</v>
      </c>
      <c r="P506" s="70">
        <v>0.29166666666666669</v>
      </c>
      <c r="Q506" s="70">
        <v>0.5</v>
      </c>
      <c r="R506" s="229" t="s">
        <v>1327</v>
      </c>
    </row>
    <row r="507" spans="1:18" x14ac:dyDescent="0.4">
      <c r="A507" s="138">
        <v>45720</v>
      </c>
      <c r="B507" s="139" t="s">
        <v>73</v>
      </c>
      <c r="C507" s="140" t="s">
        <v>231</v>
      </c>
      <c r="D507" s="191">
        <v>21</v>
      </c>
      <c r="E507" s="77">
        <v>6</v>
      </c>
      <c r="F507" s="1"/>
      <c r="G507" s="76">
        <v>0.29166666666666669</v>
      </c>
      <c r="H507" s="76">
        <v>0.68055555555555547</v>
      </c>
      <c r="I507" s="173" t="s">
        <v>1465</v>
      </c>
      <c r="J507" s="23">
        <v>8</v>
      </c>
      <c r="K507" s="23"/>
      <c r="L507" s="68">
        <v>0.40277777777777773</v>
      </c>
      <c r="M507" s="68">
        <v>0.70833333333333337</v>
      </c>
      <c r="N507" s="173" t="s">
        <v>1353</v>
      </c>
      <c r="O507" s="23">
        <v>6040</v>
      </c>
      <c r="P507" s="70">
        <v>0.29166666666666669</v>
      </c>
      <c r="Q507" s="70">
        <v>0.70833333333333337</v>
      </c>
      <c r="R507" s="229" t="s">
        <v>1252</v>
      </c>
    </row>
    <row r="508" spans="1:18" x14ac:dyDescent="0.4">
      <c r="A508" s="138">
        <v>45720</v>
      </c>
      <c r="B508" s="139" t="s">
        <v>123</v>
      </c>
      <c r="C508" s="140" t="s">
        <v>277</v>
      </c>
      <c r="D508" s="191">
        <v>40</v>
      </c>
      <c r="E508" s="77">
        <v>3</v>
      </c>
      <c r="F508" s="76">
        <v>4.1666666666666664E-2</v>
      </c>
      <c r="G508" s="76">
        <v>0.29166666666666669</v>
      </c>
      <c r="H508" s="76">
        <v>0.60416666666666663</v>
      </c>
      <c r="I508" s="173" t="s">
        <v>1309</v>
      </c>
      <c r="J508" s="23">
        <v>4</v>
      </c>
      <c r="K508" s="23"/>
      <c r="L508" s="68">
        <v>0.29166666666666669</v>
      </c>
      <c r="M508" s="68">
        <v>0.625</v>
      </c>
      <c r="N508" s="173" t="s">
        <v>1341</v>
      </c>
      <c r="O508" s="23">
        <v>3030</v>
      </c>
      <c r="P508" s="70">
        <v>0.29166666666666669</v>
      </c>
      <c r="Q508" s="70">
        <v>0.625</v>
      </c>
      <c r="R508" s="229" t="s">
        <v>1341</v>
      </c>
    </row>
    <row r="509" spans="1:18" s="146" customFormat="1" x14ac:dyDescent="0.4">
      <c r="A509" s="135">
        <v>45720</v>
      </c>
      <c r="B509" s="102">
        <v>151010</v>
      </c>
      <c r="C509" s="136" t="s">
        <v>482</v>
      </c>
      <c r="D509" s="193">
        <v>1</v>
      </c>
      <c r="E509" s="103"/>
      <c r="F509" s="104"/>
      <c r="G509" s="184"/>
      <c r="H509" s="184"/>
      <c r="I509" s="225" t="s">
        <v>1002</v>
      </c>
      <c r="J509" s="105"/>
      <c r="K509" s="105"/>
      <c r="L509" s="106"/>
      <c r="M509" s="106"/>
      <c r="N509" s="225" t="s">
        <v>1002</v>
      </c>
      <c r="O509" s="105">
        <v>0</v>
      </c>
      <c r="P509" s="247">
        <v>0</v>
      </c>
      <c r="Q509" s="247">
        <v>0</v>
      </c>
      <c r="R509" s="232" t="s">
        <v>1002</v>
      </c>
    </row>
    <row r="510" spans="1:18" x14ac:dyDescent="0.4">
      <c r="A510" s="138">
        <v>45721</v>
      </c>
      <c r="B510" s="139" t="s">
        <v>86</v>
      </c>
      <c r="C510" s="140" t="s">
        <v>201</v>
      </c>
      <c r="D510" s="191">
        <v>20</v>
      </c>
      <c r="E510" s="77">
        <v>5</v>
      </c>
      <c r="F510" s="1"/>
      <c r="G510" s="76">
        <v>0.54166666666666663</v>
      </c>
      <c r="H510" s="76">
        <v>0.70833333333333337</v>
      </c>
      <c r="I510" s="173" t="s">
        <v>1244</v>
      </c>
      <c r="J510" s="23">
        <v>5</v>
      </c>
      <c r="K510" s="68">
        <v>1.0416666666666666E-2</v>
      </c>
      <c r="L510" s="68">
        <v>0.56944444444444442</v>
      </c>
      <c r="M510" s="68">
        <v>0.72916666666666663</v>
      </c>
      <c r="N510" s="173" t="s">
        <v>1365</v>
      </c>
      <c r="O510" s="23">
        <v>2425</v>
      </c>
      <c r="P510" s="70">
        <v>0.54166666666666663</v>
      </c>
      <c r="Q510" s="70">
        <v>0.72916666666666663</v>
      </c>
      <c r="R510" s="229" t="s">
        <v>1243</v>
      </c>
    </row>
    <row r="511" spans="1:18" x14ac:dyDescent="0.4">
      <c r="A511" s="138">
        <v>45721</v>
      </c>
      <c r="B511" s="139" t="s">
        <v>68</v>
      </c>
      <c r="C511" s="140" t="s">
        <v>185</v>
      </c>
      <c r="D511" s="191">
        <v>20</v>
      </c>
      <c r="E511" s="77">
        <v>5</v>
      </c>
      <c r="F511" s="1"/>
      <c r="G511" s="76">
        <v>0.29166666666666669</v>
      </c>
      <c r="H511" s="76">
        <v>0.5</v>
      </c>
      <c r="I511" s="173" t="s">
        <v>1327</v>
      </c>
      <c r="J511" s="23">
        <v>5</v>
      </c>
      <c r="K511" s="68">
        <v>1.0416666666666666E-2</v>
      </c>
      <c r="L511" s="68">
        <v>0.33333333333333331</v>
      </c>
      <c r="M511" s="68">
        <v>0.56944444444444442</v>
      </c>
      <c r="N511" s="173" t="s">
        <v>1305</v>
      </c>
      <c r="O511" s="23">
        <v>2975</v>
      </c>
      <c r="P511" s="70">
        <v>0.29166666666666669</v>
      </c>
      <c r="Q511" s="70">
        <v>0.56944444444444442</v>
      </c>
      <c r="R511" s="229" t="s">
        <v>1339</v>
      </c>
    </row>
    <row r="512" spans="1:18" x14ac:dyDescent="0.4">
      <c r="A512" s="138">
        <v>45721</v>
      </c>
      <c r="B512" s="139" t="s">
        <v>110</v>
      </c>
      <c r="C512" s="140" t="s">
        <v>231</v>
      </c>
      <c r="D512" s="191">
        <v>21</v>
      </c>
      <c r="E512" s="77">
        <v>6</v>
      </c>
      <c r="F512" s="1"/>
      <c r="G512" s="76">
        <v>0.29166666666666669</v>
      </c>
      <c r="H512" s="76">
        <v>0.60416666666666663</v>
      </c>
      <c r="I512" s="173" t="s">
        <v>1329</v>
      </c>
      <c r="J512" s="23">
        <v>8</v>
      </c>
      <c r="K512" s="23"/>
      <c r="L512" s="68">
        <v>0.40277777777777773</v>
      </c>
      <c r="M512" s="68">
        <v>0.70833333333333337</v>
      </c>
      <c r="N512" s="173" t="s">
        <v>1353</v>
      </c>
      <c r="O512" s="23">
        <v>5380</v>
      </c>
      <c r="P512" s="70">
        <v>0.29166666666666669</v>
      </c>
      <c r="Q512" s="70">
        <v>0.70833333333333337</v>
      </c>
      <c r="R512" s="229" t="s">
        <v>1252</v>
      </c>
    </row>
    <row r="513" spans="1:18" x14ac:dyDescent="0.4">
      <c r="A513" s="138">
        <v>45721</v>
      </c>
      <c r="B513" s="139" t="s">
        <v>65</v>
      </c>
      <c r="C513" s="140" t="s">
        <v>189</v>
      </c>
      <c r="D513" s="191">
        <v>56</v>
      </c>
      <c r="E513" s="77">
        <v>3</v>
      </c>
      <c r="F513" s="76">
        <v>6.25E-2</v>
      </c>
      <c r="G513" s="76">
        <v>0.29166666666666669</v>
      </c>
      <c r="H513" s="76">
        <v>0.64583333333333337</v>
      </c>
      <c r="I513" s="173" t="s">
        <v>1252</v>
      </c>
      <c r="J513" s="23">
        <v>4</v>
      </c>
      <c r="K513" s="23"/>
      <c r="L513" s="68">
        <v>0.29166666666666669</v>
      </c>
      <c r="M513" s="68">
        <v>0.70833333333333337</v>
      </c>
      <c r="N513" s="173" t="s">
        <v>1252</v>
      </c>
      <c r="O513" s="23">
        <v>3780</v>
      </c>
      <c r="P513" s="70">
        <v>0.29166666666666669</v>
      </c>
      <c r="Q513" s="70">
        <v>0.70833333333333337</v>
      </c>
      <c r="R513" s="229" t="s">
        <v>1252</v>
      </c>
    </row>
    <row r="514" spans="1:18" x14ac:dyDescent="0.4">
      <c r="A514" s="138">
        <v>45722</v>
      </c>
      <c r="B514" s="139" t="s">
        <v>61</v>
      </c>
      <c r="C514" s="140" t="s">
        <v>156</v>
      </c>
      <c r="D514" s="191">
        <v>36</v>
      </c>
      <c r="E514" s="77">
        <v>5</v>
      </c>
      <c r="F514" s="1"/>
      <c r="G514" s="76">
        <v>0.29166666666666669</v>
      </c>
      <c r="H514" s="76">
        <v>0.66666666666666663</v>
      </c>
      <c r="I514" s="173" t="s">
        <v>1292</v>
      </c>
      <c r="J514" s="23">
        <v>10</v>
      </c>
      <c r="K514" s="23"/>
      <c r="L514" s="68">
        <v>0.3125</v>
      </c>
      <c r="M514" s="68">
        <v>0.70833333333333337</v>
      </c>
      <c r="N514" s="173" t="s">
        <v>990</v>
      </c>
      <c r="O514" s="23">
        <v>7500</v>
      </c>
      <c r="P514" s="70">
        <v>0.29166666666666669</v>
      </c>
      <c r="Q514" s="70">
        <v>0.70833333333333337</v>
      </c>
      <c r="R514" s="229" t="s">
        <v>1252</v>
      </c>
    </row>
    <row r="515" spans="1:18" x14ac:dyDescent="0.4">
      <c r="A515" s="138">
        <v>45722</v>
      </c>
      <c r="B515" s="139" t="s">
        <v>72</v>
      </c>
      <c r="C515" s="140" t="s">
        <v>227</v>
      </c>
      <c r="D515" s="191">
        <v>20</v>
      </c>
      <c r="E515" s="77">
        <v>5</v>
      </c>
      <c r="F515" s="1"/>
      <c r="G515" s="76">
        <v>0.29166666666666669</v>
      </c>
      <c r="H515" s="76">
        <v>0.45416666666666666</v>
      </c>
      <c r="I515" s="173" t="s">
        <v>1523</v>
      </c>
      <c r="J515" s="23">
        <v>3</v>
      </c>
      <c r="K515" s="68">
        <v>1.0416666666666666E-2</v>
      </c>
      <c r="L515" s="68">
        <v>0.33333333333333331</v>
      </c>
      <c r="M515" s="68">
        <v>0.4861111111111111</v>
      </c>
      <c r="N515" s="173" t="s">
        <v>1359</v>
      </c>
      <c r="O515" s="23">
        <v>1875</v>
      </c>
      <c r="P515" s="70">
        <v>0.29166666666666669</v>
      </c>
      <c r="Q515" s="70">
        <v>0.4861111111111111</v>
      </c>
      <c r="R515" s="229" t="s">
        <v>1255</v>
      </c>
    </row>
    <row r="516" spans="1:18" x14ac:dyDescent="0.4">
      <c r="A516" s="138">
        <v>45722</v>
      </c>
      <c r="B516" s="139" t="s">
        <v>75</v>
      </c>
      <c r="C516" s="140" t="s">
        <v>229</v>
      </c>
      <c r="D516" s="191">
        <v>16</v>
      </c>
      <c r="E516" s="77">
        <v>5</v>
      </c>
      <c r="F516" s="1"/>
      <c r="G516" s="76">
        <v>0.45416666666666666</v>
      </c>
      <c r="H516" s="76">
        <v>0.66666666666666663</v>
      </c>
      <c r="I516" s="173" t="s">
        <v>1366</v>
      </c>
      <c r="J516" s="23">
        <v>3</v>
      </c>
      <c r="K516" s="68">
        <v>1.0416666666666666E-2</v>
      </c>
      <c r="L516" s="68">
        <v>0.4861111111111111</v>
      </c>
      <c r="M516" s="68">
        <v>0.6875</v>
      </c>
      <c r="N516" s="173" t="s">
        <v>1365</v>
      </c>
      <c r="O516" s="23">
        <v>1965</v>
      </c>
      <c r="P516" s="70">
        <v>0.45416666666666666</v>
      </c>
      <c r="Q516" s="70">
        <v>0.6875</v>
      </c>
      <c r="R516" s="229" t="s">
        <v>1524</v>
      </c>
    </row>
    <row r="517" spans="1:18" x14ac:dyDescent="0.4">
      <c r="A517" s="138">
        <v>45722</v>
      </c>
      <c r="B517" s="139" t="s">
        <v>65</v>
      </c>
      <c r="C517" s="140" t="s">
        <v>189</v>
      </c>
      <c r="D517" s="191">
        <v>44</v>
      </c>
      <c r="E517" s="77">
        <v>3</v>
      </c>
      <c r="F517" s="76">
        <v>6.25E-2</v>
      </c>
      <c r="G517" s="76">
        <v>0.29166666666666669</v>
      </c>
      <c r="H517" s="76">
        <v>0.64583333333333337</v>
      </c>
      <c r="I517" s="173" t="s">
        <v>1252</v>
      </c>
      <c r="J517" s="23">
        <v>4</v>
      </c>
      <c r="K517" s="23"/>
      <c r="L517" s="68">
        <v>0.375</v>
      </c>
      <c r="M517" s="68">
        <v>0.66666666666666663</v>
      </c>
      <c r="N517" s="173" t="s">
        <v>1321</v>
      </c>
      <c r="O517" s="23">
        <v>3060</v>
      </c>
      <c r="P517" s="70">
        <v>0.29166666666666669</v>
      </c>
      <c r="Q517" s="70">
        <v>0.66666666666666663</v>
      </c>
      <c r="R517" s="229" t="s">
        <v>1292</v>
      </c>
    </row>
    <row r="518" spans="1:18" x14ac:dyDescent="0.4">
      <c r="A518" s="138">
        <v>45722</v>
      </c>
      <c r="B518" s="139" t="s">
        <v>97</v>
      </c>
      <c r="C518" s="140" t="s">
        <v>274</v>
      </c>
      <c r="D518" s="191">
        <v>8</v>
      </c>
      <c r="E518" s="77">
        <v>3</v>
      </c>
      <c r="F518" s="76">
        <v>6.25E-2</v>
      </c>
      <c r="G518" s="76">
        <v>0.29166666666666669</v>
      </c>
      <c r="H518" s="76">
        <v>0.33333333333333331</v>
      </c>
      <c r="I518" s="173" t="s">
        <v>1298</v>
      </c>
      <c r="J518" s="23">
        <v>4</v>
      </c>
      <c r="K518" s="23"/>
      <c r="L518" s="68">
        <v>0.29166666666666669</v>
      </c>
      <c r="M518" s="68">
        <v>0.375</v>
      </c>
      <c r="N518" s="173" t="s">
        <v>1296</v>
      </c>
      <c r="O518" s="23">
        <v>930</v>
      </c>
      <c r="P518" s="70">
        <v>0.29166666666666669</v>
      </c>
      <c r="Q518" s="70">
        <v>0.375</v>
      </c>
      <c r="R518" s="229" t="s">
        <v>1296</v>
      </c>
    </row>
    <row r="519" spans="1:18" x14ac:dyDescent="0.4">
      <c r="A519" s="138">
        <v>45723</v>
      </c>
      <c r="B519" s="139" t="s">
        <v>71</v>
      </c>
      <c r="C519" s="140" t="s">
        <v>176</v>
      </c>
      <c r="D519" s="191">
        <v>60</v>
      </c>
      <c r="E519" s="77">
        <v>6</v>
      </c>
      <c r="F519" s="1"/>
      <c r="G519" s="76">
        <v>0.29166666666666669</v>
      </c>
      <c r="H519" s="76">
        <v>0.66666666666666663</v>
      </c>
      <c r="I519" s="173" t="s">
        <v>1292</v>
      </c>
      <c r="J519" s="23">
        <v>5</v>
      </c>
      <c r="K519" s="23"/>
      <c r="L519" s="68">
        <v>0.3125</v>
      </c>
      <c r="M519" s="68">
        <v>0.70833333333333337</v>
      </c>
      <c r="N519" s="173" t="s">
        <v>990</v>
      </c>
      <c r="O519" s="23">
        <v>5430</v>
      </c>
      <c r="P519" s="70">
        <v>0.29166666666666669</v>
      </c>
      <c r="Q519" s="70">
        <v>0.70833333333333337</v>
      </c>
      <c r="R519" s="229" t="s">
        <v>1252</v>
      </c>
    </row>
    <row r="520" spans="1:18" x14ac:dyDescent="0.4">
      <c r="A520" s="138">
        <v>45723</v>
      </c>
      <c r="B520" s="139" t="s">
        <v>81</v>
      </c>
      <c r="C520" s="140" t="s">
        <v>235</v>
      </c>
      <c r="D520" s="191">
        <v>24</v>
      </c>
      <c r="E520" s="77">
        <v>5</v>
      </c>
      <c r="F520" s="1"/>
      <c r="G520" s="76">
        <v>0.29166666666666669</v>
      </c>
      <c r="H520" s="76">
        <v>0.5</v>
      </c>
      <c r="I520" s="173" t="s">
        <v>1327</v>
      </c>
      <c r="J520" s="23">
        <v>4</v>
      </c>
      <c r="K520" s="68">
        <v>6.9444444444444441E-3</v>
      </c>
      <c r="L520" s="68">
        <v>0.33333333333333331</v>
      </c>
      <c r="M520" s="68">
        <v>0.5625</v>
      </c>
      <c r="N520" s="173" t="s">
        <v>1255</v>
      </c>
      <c r="O520" s="23">
        <v>2620</v>
      </c>
      <c r="P520" s="70">
        <v>0.29166666666666669</v>
      </c>
      <c r="Q520" s="70">
        <v>0.5625</v>
      </c>
      <c r="R520" s="229" t="s">
        <v>1320</v>
      </c>
    </row>
    <row r="521" spans="1:18" x14ac:dyDescent="0.4">
      <c r="A521" s="138">
        <v>45723</v>
      </c>
      <c r="B521" s="139" t="s">
        <v>51</v>
      </c>
      <c r="C521" s="140" t="s">
        <v>253</v>
      </c>
      <c r="D521" s="191">
        <v>12</v>
      </c>
      <c r="E521" s="77">
        <v>5</v>
      </c>
      <c r="F521" s="1"/>
      <c r="G521" s="76">
        <v>0.54166666666666663</v>
      </c>
      <c r="H521" s="76">
        <v>0.62083333333333335</v>
      </c>
      <c r="I521" s="173" t="s">
        <v>1412</v>
      </c>
      <c r="J521" s="23">
        <v>4</v>
      </c>
      <c r="K521" s="68">
        <v>6.9444444444444441E-3</v>
      </c>
      <c r="L521" s="68">
        <v>0.5625</v>
      </c>
      <c r="M521" s="68">
        <v>0.64930555555555558</v>
      </c>
      <c r="N521" s="173" t="s">
        <v>1324</v>
      </c>
      <c r="O521" s="23">
        <v>1110</v>
      </c>
      <c r="P521" s="70">
        <v>0.54166666666666663</v>
      </c>
      <c r="Q521" s="70">
        <v>0.64930555555555558</v>
      </c>
      <c r="R521" s="229" t="s">
        <v>1301</v>
      </c>
    </row>
    <row r="522" spans="1:18" x14ac:dyDescent="0.4">
      <c r="A522" s="138">
        <v>45723</v>
      </c>
      <c r="B522" s="139" t="s">
        <v>954</v>
      </c>
      <c r="C522" s="140" t="s">
        <v>963</v>
      </c>
      <c r="D522" s="191">
        <v>0.5</v>
      </c>
      <c r="E522" s="77"/>
      <c r="F522" s="1"/>
      <c r="G522" s="76">
        <v>0.62083333333333335</v>
      </c>
      <c r="H522" s="76">
        <v>0.66666666666666663</v>
      </c>
      <c r="I522" s="173" t="s">
        <v>1525</v>
      </c>
      <c r="J522" s="23">
        <v>4</v>
      </c>
      <c r="K522" s="68">
        <v>6.9444444444444441E-3</v>
      </c>
      <c r="L522" s="68">
        <v>0.64930555555555558</v>
      </c>
      <c r="M522" s="68">
        <v>0.6875</v>
      </c>
      <c r="N522" s="173" t="s">
        <v>1473</v>
      </c>
      <c r="O522" s="23">
        <v>260</v>
      </c>
      <c r="P522" s="70">
        <v>0.62083333333333335</v>
      </c>
      <c r="Q522" s="70">
        <v>0.6875</v>
      </c>
      <c r="R522" s="229" t="s">
        <v>1526</v>
      </c>
    </row>
    <row r="523" spans="1:18" x14ac:dyDescent="0.4">
      <c r="A523" s="138">
        <v>45723</v>
      </c>
      <c r="B523" s="139" t="s">
        <v>104</v>
      </c>
      <c r="C523" s="140" t="s">
        <v>191</v>
      </c>
      <c r="D523" s="191">
        <v>56</v>
      </c>
      <c r="E523" s="77">
        <v>3</v>
      </c>
      <c r="F523" s="76">
        <v>2.0833333333333332E-2</v>
      </c>
      <c r="G523" s="76">
        <v>0.29166666666666669</v>
      </c>
      <c r="H523" s="76">
        <v>0.64583333333333337</v>
      </c>
      <c r="I523" s="173" t="s">
        <v>1292</v>
      </c>
      <c r="J523" s="23">
        <v>4</v>
      </c>
      <c r="K523" s="23"/>
      <c r="L523" s="68">
        <v>0.29166666666666669</v>
      </c>
      <c r="M523" s="68">
        <v>0.66666666666666663</v>
      </c>
      <c r="N523" s="173" t="s">
        <v>1292</v>
      </c>
      <c r="O523" s="23">
        <v>3360</v>
      </c>
      <c r="P523" s="70">
        <v>0.29166666666666669</v>
      </c>
      <c r="Q523" s="70">
        <v>0.66666666666666663</v>
      </c>
      <c r="R523" s="229" t="s">
        <v>1292</v>
      </c>
    </row>
    <row r="524" spans="1:18" x14ac:dyDescent="0.4">
      <c r="A524" s="133">
        <v>45726</v>
      </c>
      <c r="B524" s="139" t="s">
        <v>71</v>
      </c>
      <c r="C524" s="30" t="s">
        <v>176</v>
      </c>
      <c r="D524" s="191">
        <v>56</v>
      </c>
      <c r="E524" s="77">
        <v>5</v>
      </c>
      <c r="F524" s="1"/>
      <c r="G524" s="76">
        <v>0.29166666666666669</v>
      </c>
      <c r="H524" s="76">
        <v>0.63888888888888895</v>
      </c>
      <c r="I524" s="173" t="s">
        <v>1459</v>
      </c>
      <c r="J524" s="23">
        <v>5</v>
      </c>
      <c r="K524" s="68">
        <v>1.0416666666666666E-2</v>
      </c>
      <c r="L524" s="68">
        <v>0.33333333333333331</v>
      </c>
      <c r="M524" s="68">
        <v>0.64583333333333337</v>
      </c>
      <c r="N524" s="173" t="s">
        <v>1527</v>
      </c>
      <c r="O524" s="23">
        <v>4225</v>
      </c>
      <c r="P524" s="70">
        <v>0.29166666666666669</v>
      </c>
      <c r="Q524" s="70">
        <v>0.64583333333333337</v>
      </c>
      <c r="R524" s="229" t="s">
        <v>1309</v>
      </c>
    </row>
    <row r="525" spans="1:18" x14ac:dyDescent="0.4">
      <c r="A525" s="133">
        <v>45726</v>
      </c>
      <c r="B525" s="139" t="s">
        <v>460</v>
      </c>
      <c r="C525" s="30" t="s">
        <v>183</v>
      </c>
      <c r="D525" s="191">
        <v>4</v>
      </c>
      <c r="E525" s="77">
        <v>5</v>
      </c>
      <c r="F525" s="1"/>
      <c r="G525" s="76">
        <v>0.6</v>
      </c>
      <c r="H525" s="76">
        <v>0.6875</v>
      </c>
      <c r="I525" s="173" t="s">
        <v>1528</v>
      </c>
      <c r="J525" s="23">
        <v>5</v>
      </c>
      <c r="K525" s="68">
        <v>1.0416666666666666E-2</v>
      </c>
      <c r="L525" s="68">
        <v>0.64583333333333337</v>
      </c>
      <c r="M525" s="68">
        <v>0.70833333333333337</v>
      </c>
      <c r="N525" s="173" t="s">
        <v>1246</v>
      </c>
      <c r="O525" s="23">
        <v>1155</v>
      </c>
      <c r="P525" s="70">
        <v>0.6</v>
      </c>
      <c r="Q525" s="70">
        <v>0.70833333333333337</v>
      </c>
      <c r="R525" s="229" t="s">
        <v>1373</v>
      </c>
    </row>
    <row r="526" spans="1:18" x14ac:dyDescent="0.4">
      <c r="A526" s="133">
        <v>45726</v>
      </c>
      <c r="B526" s="139" t="s">
        <v>64</v>
      </c>
      <c r="C526" s="30" t="s">
        <v>271</v>
      </c>
      <c r="D526" s="191">
        <v>24</v>
      </c>
      <c r="E526" s="77">
        <v>5</v>
      </c>
      <c r="F526" s="1"/>
      <c r="G526" s="76">
        <v>0.29166666666666669</v>
      </c>
      <c r="H526" s="76">
        <v>0.58611111111111114</v>
      </c>
      <c r="I526" s="173" t="s">
        <v>1529</v>
      </c>
      <c r="J526" s="23">
        <v>3</v>
      </c>
      <c r="K526" s="68">
        <v>1.0416666666666666E-2</v>
      </c>
      <c r="L526" s="68">
        <v>0.33333333333333331</v>
      </c>
      <c r="M526" s="68">
        <v>0.60416666666666663</v>
      </c>
      <c r="N526" s="173" t="s">
        <v>1330</v>
      </c>
      <c r="O526" s="23">
        <v>2855</v>
      </c>
      <c r="P526" s="70">
        <v>0.29166666666666669</v>
      </c>
      <c r="Q526" s="70">
        <v>0.60416666666666663</v>
      </c>
      <c r="R526" s="229" t="s">
        <v>1329</v>
      </c>
    </row>
    <row r="527" spans="1:18" x14ac:dyDescent="0.4">
      <c r="A527" s="133">
        <v>45726</v>
      </c>
      <c r="B527" s="139" t="s">
        <v>63</v>
      </c>
      <c r="C527" s="30" t="s">
        <v>267</v>
      </c>
      <c r="D527" s="191">
        <v>12</v>
      </c>
      <c r="E527" s="77">
        <v>5</v>
      </c>
      <c r="F527" s="1"/>
      <c r="G527" s="76">
        <v>0.58611111111111114</v>
      </c>
      <c r="H527" s="76">
        <v>0.70833333333333337</v>
      </c>
      <c r="I527" s="173" t="s">
        <v>1480</v>
      </c>
      <c r="J527" s="23">
        <v>3</v>
      </c>
      <c r="K527" s="68">
        <v>1.0416666666666666E-2</v>
      </c>
      <c r="L527" s="68">
        <v>0.60416666666666663</v>
      </c>
      <c r="M527" s="68">
        <v>0.70833333333333337</v>
      </c>
      <c r="N527" s="173" t="s">
        <v>1315</v>
      </c>
      <c r="O527" s="23">
        <v>1375</v>
      </c>
      <c r="P527" s="70">
        <v>0.58611111111111114</v>
      </c>
      <c r="Q527" s="70">
        <v>0.70833333333333337</v>
      </c>
      <c r="R527" s="229" t="s">
        <v>1480</v>
      </c>
    </row>
    <row r="528" spans="1:18" x14ac:dyDescent="0.4">
      <c r="A528" s="133">
        <v>45726</v>
      </c>
      <c r="B528" s="139" t="s">
        <v>108</v>
      </c>
      <c r="C528" s="30" t="s">
        <v>231</v>
      </c>
      <c r="D528" s="191">
        <v>21</v>
      </c>
      <c r="E528" s="77">
        <v>7</v>
      </c>
      <c r="F528" s="76">
        <v>2.0833333333333332E-2</v>
      </c>
      <c r="G528" s="76">
        <v>0.29166666666666669</v>
      </c>
      <c r="H528" s="76">
        <v>0.68055555555555547</v>
      </c>
      <c r="I528" s="173" t="s">
        <v>1395</v>
      </c>
      <c r="J528" s="23">
        <v>9</v>
      </c>
      <c r="K528" s="23"/>
      <c r="L528" s="68">
        <v>0.40277777777777773</v>
      </c>
      <c r="M528" s="68">
        <v>0.52083333333333337</v>
      </c>
      <c r="N528" s="173" t="s">
        <v>1314</v>
      </c>
      <c r="O528" s="23">
        <v>5240</v>
      </c>
      <c r="P528" s="70">
        <v>0.29166666666666669</v>
      </c>
      <c r="Q528" s="70">
        <v>0.68055555555555547</v>
      </c>
      <c r="R528" s="229" t="s">
        <v>1465</v>
      </c>
    </row>
    <row r="529" spans="1:18" s="146" customFormat="1" x14ac:dyDescent="0.4">
      <c r="A529" s="135">
        <v>45726</v>
      </c>
      <c r="B529" s="102" t="s">
        <v>431</v>
      </c>
      <c r="C529" s="136" t="s">
        <v>436</v>
      </c>
      <c r="D529" s="193">
        <v>2</v>
      </c>
      <c r="E529" s="103"/>
      <c r="F529" s="104"/>
      <c r="G529" s="184"/>
      <c r="H529" s="184"/>
      <c r="I529" s="225" t="s">
        <v>1002</v>
      </c>
      <c r="J529" s="105"/>
      <c r="K529" s="105"/>
      <c r="L529" s="106"/>
      <c r="M529" s="106"/>
      <c r="N529" s="225" t="s">
        <v>1002</v>
      </c>
      <c r="O529" s="105">
        <v>0</v>
      </c>
      <c r="P529" s="247">
        <v>0</v>
      </c>
      <c r="Q529" s="247">
        <v>0</v>
      </c>
      <c r="R529" s="232" t="s">
        <v>1002</v>
      </c>
    </row>
    <row r="530" spans="1:18" x14ac:dyDescent="0.4">
      <c r="A530" s="133">
        <v>45727</v>
      </c>
      <c r="B530" s="139" t="s">
        <v>106</v>
      </c>
      <c r="C530" s="30" t="s">
        <v>173</v>
      </c>
      <c r="D530" s="191">
        <v>16</v>
      </c>
      <c r="E530" s="77">
        <v>5</v>
      </c>
      <c r="F530" s="1"/>
      <c r="G530" s="76">
        <v>0.29166666666666669</v>
      </c>
      <c r="H530" s="76">
        <v>0.5</v>
      </c>
      <c r="I530" s="173" t="s">
        <v>1327</v>
      </c>
      <c r="J530" s="23">
        <v>9</v>
      </c>
      <c r="K530" s="23"/>
      <c r="L530" s="68">
        <v>0.3125</v>
      </c>
      <c r="M530" s="68">
        <v>0.5</v>
      </c>
      <c r="N530" s="173" t="s">
        <v>1243</v>
      </c>
      <c r="O530" s="23">
        <v>3930</v>
      </c>
      <c r="P530" s="70">
        <v>0.29166666666666669</v>
      </c>
      <c r="Q530" s="70">
        <v>0.5</v>
      </c>
      <c r="R530" s="229" t="s">
        <v>1327</v>
      </c>
    </row>
    <row r="531" spans="1:18" x14ac:dyDescent="0.4">
      <c r="A531" s="133">
        <v>45727</v>
      </c>
      <c r="B531" s="139" t="s">
        <v>435</v>
      </c>
      <c r="C531" s="30" t="s">
        <v>449</v>
      </c>
      <c r="D531" s="191">
        <v>6</v>
      </c>
      <c r="E531" s="77">
        <v>5</v>
      </c>
      <c r="F531" s="1"/>
      <c r="G531" s="76">
        <v>0.54166666666666663</v>
      </c>
      <c r="H531" s="76">
        <v>0.60277777777777775</v>
      </c>
      <c r="I531" s="173" t="s">
        <v>1410</v>
      </c>
      <c r="J531" s="23">
        <v>4</v>
      </c>
      <c r="K531" s="68">
        <v>1.5277777777777777E-2</v>
      </c>
      <c r="L531" s="68">
        <v>0.57291666666666663</v>
      </c>
      <c r="M531" s="68">
        <v>0.63541666666666663</v>
      </c>
      <c r="N531" s="173" t="s">
        <v>1530</v>
      </c>
      <c r="O531" s="23">
        <v>888</v>
      </c>
      <c r="P531" s="70">
        <v>0.54166666666666663</v>
      </c>
      <c r="Q531" s="70">
        <v>0.63541666666666663</v>
      </c>
      <c r="R531" s="229" t="s">
        <v>1324</v>
      </c>
    </row>
    <row r="532" spans="1:18" x14ac:dyDescent="0.4">
      <c r="A532" s="133">
        <v>45727</v>
      </c>
      <c r="B532" s="139" t="s">
        <v>53</v>
      </c>
      <c r="C532" s="30" t="s">
        <v>261</v>
      </c>
      <c r="D532" s="191">
        <v>8</v>
      </c>
      <c r="E532" s="77">
        <v>5</v>
      </c>
      <c r="F532" s="1"/>
      <c r="G532" s="76">
        <v>0.58888888888888891</v>
      </c>
      <c r="H532" s="76">
        <v>0.6875</v>
      </c>
      <c r="I532" s="173" t="s">
        <v>1342</v>
      </c>
      <c r="J532" s="23">
        <v>4</v>
      </c>
      <c r="K532" s="68">
        <v>1.5277777777777777E-2</v>
      </c>
      <c r="L532" s="68">
        <v>0.63541666666666663</v>
      </c>
      <c r="M532" s="68">
        <v>0.70833333333333337</v>
      </c>
      <c r="N532" s="173" t="s">
        <v>1312</v>
      </c>
      <c r="O532" s="23">
        <v>1218</v>
      </c>
      <c r="P532" s="70">
        <v>0.58888888888888891</v>
      </c>
      <c r="Q532" s="70">
        <v>0.70833333333333337</v>
      </c>
      <c r="R532" s="229" t="s">
        <v>1344</v>
      </c>
    </row>
    <row r="533" spans="1:18" x14ac:dyDescent="0.4">
      <c r="A533" s="133">
        <v>45727</v>
      </c>
      <c r="B533" s="139" t="s">
        <v>107</v>
      </c>
      <c r="C533" s="30" t="s">
        <v>314</v>
      </c>
      <c r="D533" s="191">
        <v>8</v>
      </c>
      <c r="E533" s="77">
        <v>5</v>
      </c>
      <c r="F533" s="1"/>
      <c r="G533" s="76">
        <v>0.29166666666666669</v>
      </c>
      <c r="H533" s="76">
        <v>0.37986111111111115</v>
      </c>
      <c r="I533" s="173" t="s">
        <v>1312</v>
      </c>
      <c r="J533" s="23">
        <v>4</v>
      </c>
      <c r="K533" s="68">
        <v>1.0416666666666666E-2</v>
      </c>
      <c r="L533" s="68">
        <v>0.33333333333333331</v>
      </c>
      <c r="M533" s="68">
        <v>0.41666666666666669</v>
      </c>
      <c r="N533" s="173" t="s">
        <v>1324</v>
      </c>
      <c r="O533" s="23">
        <v>1175</v>
      </c>
      <c r="P533" s="70">
        <v>0.29166666666666669</v>
      </c>
      <c r="Q533" s="70">
        <v>0.41666666666666669</v>
      </c>
      <c r="R533" s="229" t="s">
        <v>1316</v>
      </c>
    </row>
    <row r="534" spans="1:18" x14ac:dyDescent="0.4">
      <c r="A534" s="133">
        <v>45727</v>
      </c>
      <c r="B534" s="139" t="s">
        <v>63</v>
      </c>
      <c r="C534" s="30" t="s">
        <v>267</v>
      </c>
      <c r="D534" s="191">
        <v>28</v>
      </c>
      <c r="E534" s="77">
        <v>5</v>
      </c>
      <c r="F534" s="1"/>
      <c r="G534" s="76">
        <v>0.37986111111111115</v>
      </c>
      <c r="H534" s="76">
        <v>0.70833333333333337</v>
      </c>
      <c r="I534" s="173" t="s">
        <v>1531</v>
      </c>
      <c r="J534" s="23">
        <v>4</v>
      </c>
      <c r="K534" s="68">
        <v>1.0416666666666666E-2</v>
      </c>
      <c r="L534" s="68">
        <v>0.41666666666666669</v>
      </c>
      <c r="M534" s="68">
        <v>0.70833333333333337</v>
      </c>
      <c r="N534" s="173" t="s">
        <v>1383</v>
      </c>
      <c r="O534" s="23">
        <v>3565</v>
      </c>
      <c r="P534" s="70">
        <v>0.37986111111111115</v>
      </c>
      <c r="Q534" s="70">
        <v>0.70833333333333337</v>
      </c>
      <c r="R534" s="229" t="s">
        <v>1531</v>
      </c>
    </row>
    <row r="535" spans="1:18" x14ac:dyDescent="0.4">
      <c r="A535" s="133">
        <v>45727</v>
      </c>
      <c r="B535" s="139" t="s">
        <v>65</v>
      </c>
      <c r="C535" s="30" t="s">
        <v>189</v>
      </c>
      <c r="D535" s="191">
        <v>56</v>
      </c>
      <c r="E535" s="77">
        <v>3</v>
      </c>
      <c r="F535" s="76">
        <v>4.1666666666666664E-2</v>
      </c>
      <c r="G535" s="76">
        <v>0.29166666666666669</v>
      </c>
      <c r="H535" s="76">
        <v>0.64583333333333337</v>
      </c>
      <c r="I535" s="173" t="s">
        <v>990</v>
      </c>
      <c r="J535" s="23">
        <v>4</v>
      </c>
      <c r="K535" s="23"/>
      <c r="L535" s="68">
        <v>0.29166666666666669</v>
      </c>
      <c r="M535" s="68">
        <v>0.70833333333333337</v>
      </c>
      <c r="N535" s="173" t="s">
        <v>1252</v>
      </c>
      <c r="O535" s="23">
        <v>3690</v>
      </c>
      <c r="P535" s="70">
        <v>0.29166666666666669</v>
      </c>
      <c r="Q535" s="70">
        <v>0.70833333333333337</v>
      </c>
      <c r="R535" s="229" t="s">
        <v>1252</v>
      </c>
    </row>
    <row r="536" spans="1:18" x14ac:dyDescent="0.4">
      <c r="A536" s="133">
        <v>45728</v>
      </c>
      <c r="B536" s="139" t="s">
        <v>87</v>
      </c>
      <c r="C536" s="30" t="s">
        <v>199</v>
      </c>
      <c r="D536" s="191">
        <v>28</v>
      </c>
      <c r="E536" s="77">
        <v>5</v>
      </c>
      <c r="F536" s="1"/>
      <c r="G536" s="76">
        <v>0.29166666666666669</v>
      </c>
      <c r="H536" s="76">
        <v>0.5</v>
      </c>
      <c r="I536" s="173" t="s">
        <v>1327</v>
      </c>
      <c r="J536" s="23">
        <v>5</v>
      </c>
      <c r="K536" s="68">
        <v>1.0416666666666666E-2</v>
      </c>
      <c r="L536" s="68">
        <v>0.33333333333333331</v>
      </c>
      <c r="M536" s="68">
        <v>0.5</v>
      </c>
      <c r="N536" s="173" t="s">
        <v>1259</v>
      </c>
      <c r="O536" s="23">
        <v>2775</v>
      </c>
      <c r="P536" s="70">
        <v>0.29166666666666669</v>
      </c>
      <c r="Q536" s="70">
        <v>0.5</v>
      </c>
      <c r="R536" s="229" t="s">
        <v>1327</v>
      </c>
    </row>
    <row r="537" spans="1:18" x14ac:dyDescent="0.4">
      <c r="A537" s="133">
        <v>45728</v>
      </c>
      <c r="B537" s="139" t="s">
        <v>80</v>
      </c>
      <c r="C537" s="30" t="s">
        <v>203</v>
      </c>
      <c r="D537" s="191">
        <v>28</v>
      </c>
      <c r="E537" s="77">
        <v>5</v>
      </c>
      <c r="F537" s="1"/>
      <c r="G537" s="76">
        <v>0.54166666666666663</v>
      </c>
      <c r="H537" s="76">
        <v>0.6875</v>
      </c>
      <c r="I537" s="173" t="s">
        <v>1303</v>
      </c>
      <c r="J537" s="23">
        <v>5</v>
      </c>
      <c r="K537" s="68">
        <v>1.0416666666666666E-2</v>
      </c>
      <c r="L537" s="68">
        <v>0.54166666666666663</v>
      </c>
      <c r="M537" s="68">
        <v>0.70833333333333337</v>
      </c>
      <c r="N537" s="173" t="s">
        <v>1259</v>
      </c>
      <c r="O537" s="23">
        <v>2325</v>
      </c>
      <c r="P537" s="70">
        <v>0.54166666666666663</v>
      </c>
      <c r="Q537" s="70">
        <v>0.70833333333333337</v>
      </c>
      <c r="R537" s="229" t="s">
        <v>1244</v>
      </c>
    </row>
    <row r="538" spans="1:18" x14ac:dyDescent="0.4">
      <c r="A538" s="133">
        <v>45728</v>
      </c>
      <c r="B538" s="139" t="s">
        <v>451</v>
      </c>
      <c r="C538" s="30" t="s">
        <v>255</v>
      </c>
      <c r="D538" s="191">
        <v>6</v>
      </c>
      <c r="E538" s="77">
        <v>5</v>
      </c>
      <c r="F538" s="1"/>
      <c r="G538" s="76">
        <v>0.29166666666666669</v>
      </c>
      <c r="H538" s="76">
        <v>0.36736111111111108</v>
      </c>
      <c r="I538" s="173" t="s">
        <v>1532</v>
      </c>
      <c r="J538" s="23">
        <v>4</v>
      </c>
      <c r="K538" s="68">
        <v>4.1666666666666666E-3</v>
      </c>
      <c r="L538" s="68">
        <v>0.33333333333333331</v>
      </c>
      <c r="M538" s="68">
        <v>0.41666666666666669</v>
      </c>
      <c r="N538" s="173" t="s">
        <v>1528</v>
      </c>
      <c r="O538" s="23">
        <v>1049</v>
      </c>
      <c r="P538" s="70">
        <v>0.29166666666666669</v>
      </c>
      <c r="Q538" s="70">
        <v>0.41666666666666669</v>
      </c>
      <c r="R538" s="229" t="s">
        <v>1316</v>
      </c>
    </row>
    <row r="539" spans="1:18" x14ac:dyDescent="0.4">
      <c r="A539" s="133">
        <v>45728</v>
      </c>
      <c r="B539" s="139" t="s">
        <v>75</v>
      </c>
      <c r="C539" s="30" t="s">
        <v>229</v>
      </c>
      <c r="D539" s="191">
        <v>12</v>
      </c>
      <c r="E539" s="77">
        <v>5</v>
      </c>
      <c r="F539" s="1"/>
      <c r="G539" s="76">
        <v>0.54166666666666663</v>
      </c>
      <c r="H539" s="76">
        <v>0.66666666666666663</v>
      </c>
      <c r="I539" s="173" t="s">
        <v>1316</v>
      </c>
      <c r="J539" s="23">
        <v>3</v>
      </c>
      <c r="K539" s="68">
        <v>4.1666666666666666E-3</v>
      </c>
      <c r="L539" s="68">
        <v>0.5625</v>
      </c>
      <c r="M539" s="68">
        <v>0.6875</v>
      </c>
      <c r="N539" s="173" t="s">
        <v>1407</v>
      </c>
      <c r="O539" s="23">
        <v>1458</v>
      </c>
      <c r="P539" s="70">
        <v>0.54166666666666663</v>
      </c>
      <c r="Q539" s="70">
        <v>0.6875</v>
      </c>
      <c r="R539" s="229" t="s">
        <v>1303</v>
      </c>
    </row>
    <row r="540" spans="1:18" x14ac:dyDescent="0.4">
      <c r="A540" s="133">
        <v>45728</v>
      </c>
      <c r="B540" s="139" t="s">
        <v>885</v>
      </c>
      <c r="C540" s="30" t="s">
        <v>886</v>
      </c>
      <c r="D540" s="191">
        <v>2.73</v>
      </c>
      <c r="E540" s="77">
        <v>5</v>
      </c>
      <c r="F540" s="1"/>
      <c r="G540" s="76">
        <v>0.46180555555555558</v>
      </c>
      <c r="H540" s="76">
        <v>0.5</v>
      </c>
      <c r="I540" s="173" t="s">
        <v>1447</v>
      </c>
      <c r="J540" s="23">
        <v>4</v>
      </c>
      <c r="K540" s="68">
        <v>4.1666666666666666E-3</v>
      </c>
      <c r="L540" s="68">
        <v>0.47222222222222227</v>
      </c>
      <c r="M540" s="68">
        <v>0.5625</v>
      </c>
      <c r="N540" s="173" t="s">
        <v>1533</v>
      </c>
      <c r="O540" s="23">
        <v>579</v>
      </c>
      <c r="P540" s="70">
        <v>0.46180555555555558</v>
      </c>
      <c r="Q540" s="70">
        <v>0.5625</v>
      </c>
      <c r="R540" s="229" t="s">
        <v>1534</v>
      </c>
    </row>
    <row r="541" spans="1:18" x14ac:dyDescent="0.4">
      <c r="A541" s="133">
        <v>45728</v>
      </c>
      <c r="B541" s="139" t="s">
        <v>93</v>
      </c>
      <c r="C541" s="30" t="s">
        <v>322</v>
      </c>
      <c r="D541" s="191">
        <v>8</v>
      </c>
      <c r="E541" s="77">
        <v>5</v>
      </c>
      <c r="F541" s="1"/>
      <c r="G541" s="76">
        <v>0.36736111111111108</v>
      </c>
      <c r="H541" s="76">
        <v>0.43472222222222223</v>
      </c>
      <c r="I541" s="173" t="s">
        <v>1535</v>
      </c>
      <c r="J541" s="23">
        <v>4</v>
      </c>
      <c r="K541" s="68">
        <v>4.1666666666666666E-3</v>
      </c>
      <c r="L541" s="68">
        <v>0.41666666666666669</v>
      </c>
      <c r="M541" s="68">
        <v>0.46527777777777773</v>
      </c>
      <c r="N541" s="173" t="s">
        <v>1533</v>
      </c>
      <c r="O541" s="23">
        <v>789</v>
      </c>
      <c r="P541" s="70">
        <v>0.36736111111111108</v>
      </c>
      <c r="Q541" s="70">
        <v>0.46527777777777773</v>
      </c>
      <c r="R541" s="229" t="s">
        <v>1469</v>
      </c>
    </row>
    <row r="542" spans="1:18" x14ac:dyDescent="0.4">
      <c r="A542" s="133">
        <v>45728</v>
      </c>
      <c r="B542" s="139" t="s">
        <v>965</v>
      </c>
      <c r="C542" s="30" t="s">
        <v>966</v>
      </c>
      <c r="D542" s="191">
        <v>1</v>
      </c>
      <c r="E542" s="77">
        <v>5</v>
      </c>
      <c r="F542" s="1"/>
      <c r="G542" s="76">
        <v>0.43472222222222223</v>
      </c>
      <c r="H542" s="76">
        <v>0.46180555555555558</v>
      </c>
      <c r="I542" s="173" t="s">
        <v>1536</v>
      </c>
      <c r="J542" s="23">
        <v>4</v>
      </c>
      <c r="K542" s="68">
        <v>4.1666666666666666E-3</v>
      </c>
      <c r="L542" s="68">
        <v>0.46527777777777773</v>
      </c>
      <c r="M542" s="68">
        <v>0.47222222222222227</v>
      </c>
      <c r="N542" s="173" t="s">
        <v>1537</v>
      </c>
      <c r="O542" s="23">
        <v>259</v>
      </c>
      <c r="P542" s="70">
        <v>0.43472222222222223</v>
      </c>
      <c r="Q542" s="70">
        <v>0.47222222222222227</v>
      </c>
      <c r="R542" s="229" t="s">
        <v>1538</v>
      </c>
    </row>
    <row r="543" spans="1:18" x14ac:dyDescent="0.4">
      <c r="A543" s="133">
        <v>45728</v>
      </c>
      <c r="B543" s="139" t="s">
        <v>65</v>
      </c>
      <c r="C543" s="30" t="s">
        <v>189</v>
      </c>
      <c r="D543" s="191">
        <v>56</v>
      </c>
      <c r="E543" s="77">
        <v>3</v>
      </c>
      <c r="F543" s="76">
        <v>2.0833333333333332E-2</v>
      </c>
      <c r="G543" s="76">
        <v>0.29166666666666669</v>
      </c>
      <c r="H543" s="76">
        <v>0.64583333333333337</v>
      </c>
      <c r="I543" s="173" t="s">
        <v>1292</v>
      </c>
      <c r="J543" s="23">
        <v>4</v>
      </c>
      <c r="K543" s="23"/>
      <c r="L543" s="68">
        <v>0.29166666666666669</v>
      </c>
      <c r="M543" s="68">
        <v>0.69791666666666663</v>
      </c>
      <c r="N543" s="173" t="s">
        <v>991</v>
      </c>
      <c r="O543" s="23">
        <v>3540</v>
      </c>
      <c r="P543" s="70">
        <v>0.29166666666666669</v>
      </c>
      <c r="Q543" s="70">
        <v>0.69791666666666663</v>
      </c>
      <c r="R543" s="229" t="s">
        <v>991</v>
      </c>
    </row>
    <row r="544" spans="1:18" x14ac:dyDescent="0.4">
      <c r="A544" s="133">
        <v>45729</v>
      </c>
      <c r="B544" s="139" t="s">
        <v>54</v>
      </c>
      <c r="C544" s="30" t="s">
        <v>251</v>
      </c>
      <c r="D544" s="191">
        <v>24</v>
      </c>
      <c r="E544" s="77">
        <v>5</v>
      </c>
      <c r="F544" s="1"/>
      <c r="G544" s="76">
        <v>0.29166666666666669</v>
      </c>
      <c r="H544" s="76">
        <v>0.5</v>
      </c>
      <c r="I544" s="173" t="s">
        <v>1327</v>
      </c>
      <c r="J544" s="23">
        <v>4</v>
      </c>
      <c r="K544" s="68">
        <v>1.0416666666666666E-2</v>
      </c>
      <c r="L544" s="68">
        <v>0.33333333333333331</v>
      </c>
      <c r="M544" s="68">
        <v>0.56944444444444442</v>
      </c>
      <c r="N544" s="173" t="s">
        <v>1305</v>
      </c>
      <c r="O544" s="23">
        <v>2680</v>
      </c>
      <c r="P544" s="70">
        <v>0.29166666666666669</v>
      </c>
      <c r="Q544" s="70">
        <v>0.56944444444444442</v>
      </c>
      <c r="R544" s="229" t="s">
        <v>1339</v>
      </c>
    </row>
    <row r="545" spans="1:18" x14ac:dyDescent="0.4">
      <c r="A545" s="133">
        <v>45729</v>
      </c>
      <c r="B545" s="139" t="s">
        <v>51</v>
      </c>
      <c r="C545" s="30" t="s">
        <v>253</v>
      </c>
      <c r="D545" s="191">
        <v>12</v>
      </c>
      <c r="E545" s="77">
        <v>5</v>
      </c>
      <c r="F545" s="1"/>
      <c r="G545" s="76">
        <v>0.54166666666666663</v>
      </c>
      <c r="H545" s="76">
        <v>0.66666666666666663</v>
      </c>
      <c r="I545" s="173" t="s">
        <v>1316</v>
      </c>
      <c r="J545" s="23">
        <v>4</v>
      </c>
      <c r="K545" s="68">
        <v>1.0416666666666666E-2</v>
      </c>
      <c r="L545" s="68">
        <v>0.56944444444444442</v>
      </c>
      <c r="M545" s="68">
        <v>0.6875</v>
      </c>
      <c r="N545" s="173" t="s">
        <v>1251</v>
      </c>
      <c r="O545" s="23">
        <v>1640</v>
      </c>
      <c r="P545" s="70">
        <v>0.54166666666666663</v>
      </c>
      <c r="Q545" s="70">
        <v>0.6875</v>
      </c>
      <c r="R545" s="229" t="s">
        <v>1303</v>
      </c>
    </row>
    <row r="546" spans="1:18" x14ac:dyDescent="0.4">
      <c r="A546" s="133">
        <v>45729</v>
      </c>
      <c r="B546" s="139" t="s">
        <v>117</v>
      </c>
      <c r="C546" s="30" t="s">
        <v>304</v>
      </c>
      <c r="D546" s="191">
        <v>8</v>
      </c>
      <c r="E546" s="77">
        <v>5</v>
      </c>
      <c r="F546" s="1"/>
      <c r="G546" s="76">
        <v>0.3430555555555555</v>
      </c>
      <c r="H546" s="76">
        <v>0.4375</v>
      </c>
      <c r="I546" s="173" t="s">
        <v>1539</v>
      </c>
      <c r="J546" s="23">
        <v>4</v>
      </c>
      <c r="K546" s="68">
        <v>6.9444444444444441E-3</v>
      </c>
      <c r="L546" s="68">
        <v>0.3888888888888889</v>
      </c>
      <c r="M546" s="68">
        <v>0.47916666666666669</v>
      </c>
      <c r="N546" s="173" t="s">
        <v>1313</v>
      </c>
      <c r="O546" s="23">
        <v>1240</v>
      </c>
      <c r="P546" s="70">
        <v>0.3430555555555555</v>
      </c>
      <c r="Q546" s="70">
        <v>0.47916666666666669</v>
      </c>
      <c r="R546" s="229" t="s">
        <v>1467</v>
      </c>
    </row>
    <row r="547" spans="1:18" x14ac:dyDescent="0.4">
      <c r="A547" s="138">
        <v>45729</v>
      </c>
      <c r="B547" s="139" t="s">
        <v>646</v>
      </c>
      <c r="C547" s="140" t="s">
        <v>310</v>
      </c>
      <c r="D547" s="191">
        <v>3</v>
      </c>
      <c r="E547" s="77">
        <v>5</v>
      </c>
      <c r="F547" s="1"/>
      <c r="G547" s="76">
        <v>0.29166666666666669</v>
      </c>
      <c r="H547" s="76">
        <v>0.3430555555555555</v>
      </c>
      <c r="I547" s="173" t="s">
        <v>1540</v>
      </c>
      <c r="J547" s="23">
        <v>4</v>
      </c>
      <c r="K547" s="68">
        <v>6.9444444444444441E-3</v>
      </c>
      <c r="L547" s="68">
        <v>0.33333333333333331</v>
      </c>
      <c r="M547" s="68">
        <v>0.3888888888888889</v>
      </c>
      <c r="N547" s="173" t="s">
        <v>1375</v>
      </c>
      <c r="O547" s="23">
        <v>730</v>
      </c>
      <c r="P547" s="70">
        <v>0.29166666666666669</v>
      </c>
      <c r="Q547" s="70">
        <v>0.3888888888888889</v>
      </c>
      <c r="R547" s="229" t="s">
        <v>1313</v>
      </c>
    </row>
    <row r="548" spans="1:18" x14ac:dyDescent="0.4">
      <c r="A548" s="138">
        <v>45729</v>
      </c>
      <c r="B548" s="139" t="s">
        <v>72</v>
      </c>
      <c r="C548" s="140" t="s">
        <v>227</v>
      </c>
      <c r="D548" s="191">
        <v>20</v>
      </c>
      <c r="E548" s="77">
        <v>5</v>
      </c>
      <c r="F548" s="1"/>
      <c r="G548" s="76">
        <v>0.4375</v>
      </c>
      <c r="H548" s="76">
        <v>0.6875</v>
      </c>
      <c r="I548" s="173" t="s">
        <v>1327</v>
      </c>
      <c r="J548" s="23">
        <v>3</v>
      </c>
      <c r="K548" s="68">
        <v>6.9444444444444441E-3</v>
      </c>
      <c r="L548" s="68">
        <v>0.47916666666666669</v>
      </c>
      <c r="M548" s="68">
        <v>0.70833333333333337</v>
      </c>
      <c r="N548" s="173" t="s">
        <v>1255</v>
      </c>
      <c r="O548" s="23">
        <v>2340</v>
      </c>
      <c r="P548" s="70">
        <v>0.4375</v>
      </c>
      <c r="Q548" s="70">
        <v>0.70833333333333337</v>
      </c>
      <c r="R548" s="229" t="s">
        <v>1320</v>
      </c>
    </row>
    <row r="549" spans="1:18" x14ac:dyDescent="0.4">
      <c r="A549" s="138">
        <v>45729</v>
      </c>
      <c r="B549" s="139" t="s">
        <v>471</v>
      </c>
      <c r="C549" s="140" t="s">
        <v>280</v>
      </c>
      <c r="D549" s="191">
        <v>8</v>
      </c>
      <c r="E549" s="77">
        <v>3</v>
      </c>
      <c r="F549" s="76">
        <v>4.1666666666666664E-2</v>
      </c>
      <c r="G549" s="76">
        <v>0.29166666666666669</v>
      </c>
      <c r="H549" s="76">
        <v>0.625</v>
      </c>
      <c r="I549" s="173" t="s">
        <v>1292</v>
      </c>
      <c r="J549" s="23">
        <v>7</v>
      </c>
      <c r="K549" s="68">
        <v>2.0833333333333332E-2</v>
      </c>
      <c r="L549" s="68">
        <v>0.47916666666666669</v>
      </c>
      <c r="M549" s="68">
        <v>0.64583333333333337</v>
      </c>
      <c r="N549" s="173" t="s">
        <v>1303</v>
      </c>
      <c r="O549" s="23">
        <v>2910</v>
      </c>
      <c r="P549" s="70">
        <v>0.29166666666666669</v>
      </c>
      <c r="Q549" s="70">
        <v>0.64583333333333337</v>
      </c>
      <c r="R549" s="229" t="s">
        <v>1309</v>
      </c>
    </row>
    <row r="550" spans="1:18" x14ac:dyDescent="0.4">
      <c r="A550" s="138">
        <v>45729</v>
      </c>
      <c r="B550" s="139" t="s">
        <v>58</v>
      </c>
      <c r="C550" s="140" t="s">
        <v>165</v>
      </c>
      <c r="D550" s="191">
        <v>16</v>
      </c>
      <c r="E550" s="77">
        <v>3</v>
      </c>
      <c r="F550" s="76">
        <v>4.1666666666666664E-2</v>
      </c>
      <c r="G550" s="76">
        <v>0.29166666666666669</v>
      </c>
      <c r="H550" s="76">
        <v>0.625</v>
      </c>
      <c r="I550" s="173" t="s">
        <v>1292</v>
      </c>
      <c r="J550" s="23">
        <v>6</v>
      </c>
      <c r="K550" s="68">
        <v>2.0833333333333332E-2</v>
      </c>
      <c r="L550" s="68">
        <v>0.33333333333333331</v>
      </c>
      <c r="M550" s="68">
        <v>0.45833333333333331</v>
      </c>
      <c r="N550" s="173" t="s">
        <v>1303</v>
      </c>
      <c r="O550" s="23">
        <v>2700</v>
      </c>
      <c r="P550" s="70">
        <v>0.29166666666666669</v>
      </c>
      <c r="Q550" s="70">
        <v>0.625</v>
      </c>
      <c r="R550" s="229" t="s">
        <v>1341</v>
      </c>
    </row>
    <row r="551" spans="1:18" x14ac:dyDescent="0.4">
      <c r="A551" s="138">
        <v>45730</v>
      </c>
      <c r="B551" s="139" t="s">
        <v>71</v>
      </c>
      <c r="C551" s="140" t="s">
        <v>176</v>
      </c>
      <c r="D551" s="191">
        <v>60</v>
      </c>
      <c r="E551" s="77">
        <v>5</v>
      </c>
      <c r="F551" s="1"/>
      <c r="G551" s="76">
        <v>0.29166666666666669</v>
      </c>
      <c r="H551" s="76">
        <v>0.66666666666666663</v>
      </c>
      <c r="I551" s="173" t="s">
        <v>1292</v>
      </c>
      <c r="J551" s="23">
        <v>5</v>
      </c>
      <c r="K551" s="23"/>
      <c r="L551" s="68">
        <v>0.3125</v>
      </c>
      <c r="M551" s="68">
        <v>0.70833333333333337</v>
      </c>
      <c r="N551" s="173" t="s">
        <v>990</v>
      </c>
      <c r="O551" s="23">
        <v>4950</v>
      </c>
      <c r="P551" s="70">
        <v>0.29166666666666669</v>
      </c>
      <c r="Q551" s="70">
        <v>0.70833333333333337</v>
      </c>
      <c r="R551" s="229" t="s">
        <v>1252</v>
      </c>
    </row>
    <row r="552" spans="1:18" x14ac:dyDescent="0.4">
      <c r="A552" s="138">
        <v>45730</v>
      </c>
      <c r="B552" s="139" t="s">
        <v>63</v>
      </c>
      <c r="C552" s="140" t="s">
        <v>267</v>
      </c>
      <c r="D552" s="191">
        <v>20</v>
      </c>
      <c r="E552" s="77">
        <v>5</v>
      </c>
      <c r="F552" s="1"/>
      <c r="G552" s="76">
        <v>0.4284722222222222</v>
      </c>
      <c r="H552" s="76">
        <v>0.66666666666666663</v>
      </c>
      <c r="I552" s="173" t="s">
        <v>1439</v>
      </c>
      <c r="J552" s="23">
        <v>3</v>
      </c>
      <c r="K552" s="68">
        <v>1.0416666666666666E-2</v>
      </c>
      <c r="L552" s="68">
        <v>0.46527777777777773</v>
      </c>
      <c r="M552" s="68">
        <v>0.6875</v>
      </c>
      <c r="N552" s="173" t="s">
        <v>1304</v>
      </c>
      <c r="O552" s="23">
        <v>2240</v>
      </c>
      <c r="P552" s="70">
        <v>0.4284722222222222</v>
      </c>
      <c r="Q552" s="70">
        <v>0.6875</v>
      </c>
      <c r="R552" s="229" t="s">
        <v>1541</v>
      </c>
    </row>
    <row r="553" spans="1:18" x14ac:dyDescent="0.4">
      <c r="A553" s="138">
        <v>45730</v>
      </c>
      <c r="B553" s="139" t="s">
        <v>81</v>
      </c>
      <c r="C553" s="140" t="s">
        <v>235</v>
      </c>
      <c r="D553" s="191">
        <v>16</v>
      </c>
      <c r="E553" s="77">
        <v>5</v>
      </c>
      <c r="F553" s="1"/>
      <c r="G553" s="76">
        <v>0.29166666666666669</v>
      </c>
      <c r="H553" s="76">
        <v>0.4284722222222222</v>
      </c>
      <c r="I553" s="173" t="s">
        <v>1390</v>
      </c>
      <c r="J553" s="23">
        <v>3</v>
      </c>
      <c r="K553" s="68">
        <v>1.0416666666666666E-2</v>
      </c>
      <c r="L553" s="68">
        <v>0.33333333333333331</v>
      </c>
      <c r="M553" s="68">
        <v>0.46527777777777773</v>
      </c>
      <c r="N553" s="173" t="s">
        <v>1299</v>
      </c>
      <c r="O553" s="23">
        <v>1600</v>
      </c>
      <c r="P553" s="70">
        <v>0.29166666666666669</v>
      </c>
      <c r="Q553" s="70">
        <v>0.46527777777777773</v>
      </c>
      <c r="R553" s="229" t="s">
        <v>1311</v>
      </c>
    </row>
    <row r="554" spans="1:18" x14ac:dyDescent="0.4">
      <c r="A554" s="138">
        <v>45730</v>
      </c>
      <c r="B554" s="139" t="s">
        <v>73</v>
      </c>
      <c r="C554" s="140" t="s">
        <v>231</v>
      </c>
      <c r="D554" s="191">
        <v>21</v>
      </c>
      <c r="E554" s="77">
        <v>5</v>
      </c>
      <c r="F554" s="76">
        <v>2.0833333333333332E-2</v>
      </c>
      <c r="G554" s="76">
        <v>0.29166666666666669</v>
      </c>
      <c r="H554" s="76">
        <v>0.68055555555555547</v>
      </c>
      <c r="I554" s="173" t="s">
        <v>1395</v>
      </c>
      <c r="J554" s="23">
        <v>8</v>
      </c>
      <c r="K554" s="23"/>
      <c r="L554" s="68">
        <v>0.33333333333333331</v>
      </c>
      <c r="M554" s="68">
        <v>0.70833333333333337</v>
      </c>
      <c r="N554" s="173" t="s">
        <v>1292</v>
      </c>
      <c r="O554" s="23">
        <v>6490</v>
      </c>
      <c r="P554" s="70">
        <v>0.29166666666666669</v>
      </c>
      <c r="Q554" s="70">
        <v>0.70833333333333337</v>
      </c>
      <c r="R554" s="229" t="s">
        <v>1252</v>
      </c>
    </row>
    <row r="555" spans="1:18" x14ac:dyDescent="0.4">
      <c r="A555" s="133">
        <v>45733</v>
      </c>
      <c r="B555" s="139" t="s">
        <v>158</v>
      </c>
      <c r="C555" s="30" t="s">
        <v>159</v>
      </c>
      <c r="D555" s="191">
        <v>4</v>
      </c>
      <c r="E555" s="77">
        <v>4</v>
      </c>
      <c r="F555" s="1"/>
      <c r="G555" s="76">
        <v>0.29166666666666669</v>
      </c>
      <c r="H555" s="76">
        <v>0.40833333333333338</v>
      </c>
      <c r="I555" s="173" t="s">
        <v>1460</v>
      </c>
      <c r="J555" s="23">
        <v>9</v>
      </c>
      <c r="K555" s="68">
        <v>1.0416666666666666E-2</v>
      </c>
      <c r="L555" s="68">
        <v>0.33333333333333331</v>
      </c>
      <c r="M555" s="68">
        <v>0.46527777777777773</v>
      </c>
      <c r="N555" s="173" t="s">
        <v>1299</v>
      </c>
      <c r="O555" s="23">
        <v>2517</v>
      </c>
      <c r="P555" s="70">
        <v>0.29166666666666669</v>
      </c>
      <c r="Q555" s="70">
        <v>0.46527777777777773</v>
      </c>
      <c r="R555" s="229" t="s">
        <v>1311</v>
      </c>
    </row>
    <row r="556" spans="1:18" x14ac:dyDescent="0.4">
      <c r="A556" s="133">
        <v>45733</v>
      </c>
      <c r="B556" s="139" t="s">
        <v>887</v>
      </c>
      <c r="C556" s="30" t="s">
        <v>888</v>
      </c>
      <c r="D556" s="191">
        <v>4</v>
      </c>
      <c r="E556" s="77">
        <v>4</v>
      </c>
      <c r="F556" s="1"/>
      <c r="G556" s="76">
        <v>0.40833333333333338</v>
      </c>
      <c r="H556" s="76">
        <v>0.5</v>
      </c>
      <c r="I556" s="173" t="s">
        <v>1542</v>
      </c>
      <c r="J556" s="23">
        <v>9</v>
      </c>
      <c r="K556" s="68">
        <v>1.0416666666666666E-2</v>
      </c>
      <c r="L556" s="68">
        <v>0.46527777777777773</v>
      </c>
      <c r="M556" s="68">
        <v>0.5625</v>
      </c>
      <c r="N556" s="173" t="s">
        <v>1405</v>
      </c>
      <c r="O556" s="23">
        <v>1383</v>
      </c>
      <c r="P556" s="70">
        <v>0.40833333333333338</v>
      </c>
      <c r="Q556" s="70">
        <v>0.5625</v>
      </c>
      <c r="R556" s="229" t="s">
        <v>1543</v>
      </c>
    </row>
    <row r="557" spans="1:18" x14ac:dyDescent="0.4">
      <c r="A557" s="133">
        <v>45733</v>
      </c>
      <c r="B557" s="139" t="s">
        <v>77</v>
      </c>
      <c r="C557" s="30" t="s">
        <v>293</v>
      </c>
      <c r="D557" s="191">
        <v>8</v>
      </c>
      <c r="E557" s="77">
        <v>5</v>
      </c>
      <c r="F557" s="1"/>
      <c r="G557" s="76">
        <v>0.29166666666666669</v>
      </c>
      <c r="H557" s="76">
        <v>0.37222222222222223</v>
      </c>
      <c r="I557" s="173" t="s">
        <v>1416</v>
      </c>
      <c r="J557" s="23">
        <v>3</v>
      </c>
      <c r="K557" s="68">
        <v>6.9444444444444441E-3</v>
      </c>
      <c r="L557" s="68">
        <v>0.33333333333333331</v>
      </c>
      <c r="M557" s="68">
        <v>0.39583333333333331</v>
      </c>
      <c r="N557" s="173" t="s">
        <v>1386</v>
      </c>
      <c r="O557" s="23">
        <v>880</v>
      </c>
      <c r="P557" s="70">
        <v>0.29166666666666669</v>
      </c>
      <c r="Q557" s="70">
        <v>0.39583333333333331</v>
      </c>
      <c r="R557" s="229" t="s">
        <v>1298</v>
      </c>
    </row>
    <row r="558" spans="1:18" x14ac:dyDescent="0.4">
      <c r="A558" s="133">
        <v>45733</v>
      </c>
      <c r="B558" s="139" t="s">
        <v>965</v>
      </c>
      <c r="C558" s="30" t="s">
        <v>966</v>
      </c>
      <c r="D558" s="191">
        <v>16</v>
      </c>
      <c r="E558" s="77">
        <v>5</v>
      </c>
      <c r="F558" s="1"/>
      <c r="G558" s="76">
        <v>0.37222222222222223</v>
      </c>
      <c r="H558" s="76">
        <v>0.48819444444444443</v>
      </c>
      <c r="I558" s="173" t="s">
        <v>1518</v>
      </c>
      <c r="J558" s="23">
        <v>3</v>
      </c>
      <c r="K558" s="68">
        <v>6.9444444444444441E-3</v>
      </c>
      <c r="L558" s="68">
        <v>0.39583333333333331</v>
      </c>
      <c r="M558" s="68">
        <v>0.56944444444444442</v>
      </c>
      <c r="N558" s="173" t="s">
        <v>1250</v>
      </c>
      <c r="O558" s="23">
        <v>1435</v>
      </c>
      <c r="P558" s="70">
        <v>0.37222222222222223</v>
      </c>
      <c r="Q558" s="70">
        <v>0.56944444444444442</v>
      </c>
      <c r="R558" s="229" t="s">
        <v>1349</v>
      </c>
    </row>
    <row r="559" spans="1:18" x14ac:dyDescent="0.4">
      <c r="A559" s="133">
        <v>45733</v>
      </c>
      <c r="B559" s="139" t="s">
        <v>63</v>
      </c>
      <c r="C559" s="30" t="s">
        <v>267</v>
      </c>
      <c r="D559" s="191">
        <v>20</v>
      </c>
      <c r="E559" s="77">
        <v>5</v>
      </c>
      <c r="F559" s="1"/>
      <c r="G559" s="76">
        <v>0.54166666666666663</v>
      </c>
      <c r="H559" s="76">
        <v>0.72916666666666663</v>
      </c>
      <c r="I559" s="173" t="s">
        <v>1243</v>
      </c>
      <c r="J559" s="23">
        <v>3</v>
      </c>
      <c r="K559" s="68">
        <v>6.9444444444444441E-3</v>
      </c>
      <c r="L559" s="68">
        <v>0.56944444444444442</v>
      </c>
      <c r="M559" s="68">
        <v>0.72916666666666663</v>
      </c>
      <c r="N559" s="173" t="s">
        <v>1244</v>
      </c>
      <c r="O559" s="23">
        <v>2070</v>
      </c>
      <c r="P559" s="70">
        <v>0.54166666666666663</v>
      </c>
      <c r="Q559" s="70">
        <v>0.72916666666666663</v>
      </c>
      <c r="R559" s="229" t="s">
        <v>1243</v>
      </c>
    </row>
    <row r="560" spans="1:18" x14ac:dyDescent="0.4">
      <c r="A560" s="133">
        <v>45733</v>
      </c>
      <c r="B560" s="139" t="s">
        <v>82</v>
      </c>
      <c r="C560" s="30" t="s">
        <v>171</v>
      </c>
      <c r="D560" s="191">
        <v>36</v>
      </c>
      <c r="E560" s="77">
        <v>3</v>
      </c>
      <c r="F560" s="76">
        <v>4.1666666666666664E-2</v>
      </c>
      <c r="G560" s="76">
        <v>0.29166666666666669</v>
      </c>
      <c r="H560" s="76">
        <v>0.66666666666666663</v>
      </c>
      <c r="I560" s="173" t="s">
        <v>1252</v>
      </c>
      <c r="J560" s="23">
        <v>7</v>
      </c>
      <c r="K560" s="23"/>
      <c r="L560" s="68">
        <v>0.375</v>
      </c>
      <c r="M560" s="68">
        <v>0.75</v>
      </c>
      <c r="N560" s="173" t="s">
        <v>1292</v>
      </c>
      <c r="O560" s="23">
        <v>4980</v>
      </c>
      <c r="P560" s="70">
        <v>0.29166666666666669</v>
      </c>
      <c r="Q560" s="70">
        <v>0.75</v>
      </c>
      <c r="R560" s="229" t="s">
        <v>1308</v>
      </c>
    </row>
    <row r="561" spans="1:18" s="146" customFormat="1" x14ac:dyDescent="0.4">
      <c r="A561" s="135">
        <v>45733</v>
      </c>
      <c r="B561" s="102" t="s">
        <v>488</v>
      </c>
      <c r="C561" s="136" t="s">
        <v>475</v>
      </c>
      <c r="D561" s="193">
        <v>1</v>
      </c>
      <c r="E561" s="103"/>
      <c r="F561" s="184"/>
      <c r="G561" s="184"/>
      <c r="H561" s="184"/>
      <c r="I561" s="225" t="s">
        <v>1002</v>
      </c>
      <c r="J561" s="105"/>
      <c r="K561" s="105"/>
      <c r="L561" s="106"/>
      <c r="M561" s="106"/>
      <c r="N561" s="225" t="s">
        <v>1002</v>
      </c>
      <c r="O561" s="105">
        <v>0</v>
      </c>
      <c r="P561" s="247">
        <v>0</v>
      </c>
      <c r="Q561" s="247">
        <v>0</v>
      </c>
      <c r="R561" s="232" t="s">
        <v>1002</v>
      </c>
    </row>
    <row r="562" spans="1:18" x14ac:dyDescent="0.4">
      <c r="A562" s="133">
        <v>45734</v>
      </c>
      <c r="B562" s="139" t="s">
        <v>54</v>
      </c>
      <c r="C562" s="30" t="s">
        <v>251</v>
      </c>
      <c r="D562" s="191">
        <v>28</v>
      </c>
      <c r="E562" s="77">
        <v>5</v>
      </c>
      <c r="F562" s="1"/>
      <c r="G562" s="76">
        <v>0.36458333333333331</v>
      </c>
      <c r="H562" s="76">
        <v>0.66666666666666663</v>
      </c>
      <c r="I562" s="173" t="s">
        <v>1383</v>
      </c>
      <c r="J562" s="23">
        <v>4</v>
      </c>
      <c r="K562" s="68">
        <v>1.0416666666666666E-2</v>
      </c>
      <c r="L562" s="68">
        <v>0.40972222222222227</v>
      </c>
      <c r="M562" s="68">
        <v>0.6875</v>
      </c>
      <c r="N562" s="173" t="s">
        <v>1358</v>
      </c>
      <c r="O562" s="23">
        <v>3295</v>
      </c>
      <c r="P562" s="70">
        <v>0.36458333333333331</v>
      </c>
      <c r="Q562" s="70">
        <v>0.6875</v>
      </c>
      <c r="R562" s="229" t="s">
        <v>1527</v>
      </c>
    </row>
    <row r="563" spans="1:18" x14ac:dyDescent="0.4">
      <c r="A563" s="133">
        <v>45734</v>
      </c>
      <c r="B563" s="139" t="s">
        <v>538</v>
      </c>
      <c r="C563" s="30" t="s">
        <v>265</v>
      </c>
      <c r="D563" s="191">
        <v>6</v>
      </c>
      <c r="E563" s="77">
        <v>5</v>
      </c>
      <c r="F563" s="1"/>
      <c r="G563" s="76">
        <v>0.29166666666666669</v>
      </c>
      <c r="H563" s="76">
        <v>0.3611111111111111</v>
      </c>
      <c r="I563" s="173" t="s">
        <v>1386</v>
      </c>
      <c r="J563" s="23">
        <v>4</v>
      </c>
      <c r="K563" s="68">
        <v>1.0416666666666666E-2</v>
      </c>
      <c r="L563" s="68">
        <v>0.33333333333333331</v>
      </c>
      <c r="M563" s="68">
        <v>0.40972222222222227</v>
      </c>
      <c r="N563" s="173" t="s">
        <v>1249</v>
      </c>
      <c r="O563" s="23">
        <v>1000</v>
      </c>
      <c r="P563" s="70">
        <v>0.29166666666666669</v>
      </c>
      <c r="Q563" s="70">
        <v>0.40972222222222227</v>
      </c>
      <c r="R563" s="229" t="s">
        <v>1314</v>
      </c>
    </row>
    <row r="564" spans="1:18" x14ac:dyDescent="0.4">
      <c r="A564" s="133">
        <v>45734</v>
      </c>
      <c r="B564" s="139" t="s">
        <v>115</v>
      </c>
      <c r="C564" s="30" t="s">
        <v>214</v>
      </c>
      <c r="D564" s="191">
        <v>16</v>
      </c>
      <c r="E564" s="77">
        <v>5</v>
      </c>
      <c r="F564" s="1"/>
      <c r="G564" s="76">
        <v>0.29166666666666669</v>
      </c>
      <c r="H564" s="76">
        <v>0.47569444444444442</v>
      </c>
      <c r="I564" s="173" t="s">
        <v>1356</v>
      </c>
      <c r="J564" s="23">
        <v>4</v>
      </c>
      <c r="K564" s="68">
        <v>4.1666666666666666E-3</v>
      </c>
      <c r="L564" s="68">
        <v>0.34027777777777773</v>
      </c>
      <c r="M564" s="68">
        <v>0.5625</v>
      </c>
      <c r="N564" s="173" t="s">
        <v>1544</v>
      </c>
      <c r="O564" s="23">
        <v>2389</v>
      </c>
      <c r="P564" s="70">
        <v>0.29166666666666669</v>
      </c>
      <c r="Q564" s="70">
        <v>0.5625</v>
      </c>
      <c r="R564" s="229" t="s">
        <v>1320</v>
      </c>
    </row>
    <row r="565" spans="1:18" x14ac:dyDescent="0.4">
      <c r="A565" s="133">
        <v>45734</v>
      </c>
      <c r="B565" s="139" t="s">
        <v>470</v>
      </c>
      <c r="C565" s="30" t="s">
        <v>210</v>
      </c>
      <c r="D565" s="191">
        <v>4</v>
      </c>
      <c r="E565" s="77">
        <v>5</v>
      </c>
      <c r="F565" s="1"/>
      <c r="G565" s="76">
        <v>0.54166666666666663</v>
      </c>
      <c r="H565" s="76">
        <v>0.56944444444444442</v>
      </c>
      <c r="I565" s="173" t="s">
        <v>1463</v>
      </c>
      <c r="J565" s="23">
        <v>4</v>
      </c>
      <c r="K565" s="68">
        <v>4.1666666666666666E-3</v>
      </c>
      <c r="L565" s="68">
        <v>0.5625</v>
      </c>
      <c r="M565" s="68">
        <v>0.61111111111111105</v>
      </c>
      <c r="N565" s="173" t="s">
        <v>1533</v>
      </c>
      <c r="O565" s="23">
        <v>504</v>
      </c>
      <c r="P565" s="70">
        <v>0.54166666666666663</v>
      </c>
      <c r="Q565" s="70">
        <v>0.61111111111111105</v>
      </c>
      <c r="R565" s="229" t="s">
        <v>1386</v>
      </c>
    </row>
    <row r="566" spans="1:18" x14ac:dyDescent="0.4">
      <c r="A566" s="133">
        <v>45734</v>
      </c>
      <c r="B566" s="139" t="s">
        <v>116</v>
      </c>
      <c r="C566" s="30" t="s">
        <v>212</v>
      </c>
      <c r="D566" s="191">
        <v>8</v>
      </c>
      <c r="E566" s="77">
        <v>5</v>
      </c>
      <c r="F566" s="1"/>
      <c r="G566" s="76">
        <v>0.56944444444444442</v>
      </c>
      <c r="H566" s="76">
        <v>0.64097222222222217</v>
      </c>
      <c r="I566" s="173" t="s">
        <v>1297</v>
      </c>
      <c r="J566" s="23">
        <v>4</v>
      </c>
      <c r="K566" s="68">
        <v>4.1666666666666666E-3</v>
      </c>
      <c r="L566" s="68">
        <v>0.61111111111111105</v>
      </c>
      <c r="M566" s="68">
        <v>0.66666666666666663</v>
      </c>
      <c r="N566" s="173" t="s">
        <v>1545</v>
      </c>
      <c r="O566" s="23">
        <v>859</v>
      </c>
      <c r="P566" s="70">
        <v>0.56944444444444442</v>
      </c>
      <c r="Q566" s="70">
        <v>0.66666666666666663</v>
      </c>
      <c r="R566" s="229" t="s">
        <v>1313</v>
      </c>
    </row>
    <row r="567" spans="1:18" x14ac:dyDescent="0.4">
      <c r="A567" s="133">
        <v>45734</v>
      </c>
      <c r="B567" s="139" t="s">
        <v>611</v>
      </c>
      <c r="C567" s="30" t="s">
        <v>212</v>
      </c>
      <c r="D567" s="191">
        <v>6</v>
      </c>
      <c r="E567" s="77">
        <v>5</v>
      </c>
      <c r="F567" s="1"/>
      <c r="G567" s="76">
        <v>0.64097222222222217</v>
      </c>
      <c r="H567" s="76">
        <v>0.72916666666666663</v>
      </c>
      <c r="I567" s="173" t="s">
        <v>1312</v>
      </c>
      <c r="J567" s="23">
        <v>4</v>
      </c>
      <c r="K567" s="68">
        <v>4.1666666666666666E-3</v>
      </c>
      <c r="L567" s="68">
        <v>0.66666666666666663</v>
      </c>
      <c r="M567" s="68">
        <v>0.75</v>
      </c>
      <c r="N567" s="173" t="s">
        <v>1528</v>
      </c>
      <c r="O567" s="23">
        <v>1139</v>
      </c>
      <c r="P567" s="70">
        <v>0.64097222222222217</v>
      </c>
      <c r="Q567" s="70">
        <v>0.75</v>
      </c>
      <c r="R567" s="229" t="s">
        <v>1546</v>
      </c>
    </row>
    <row r="568" spans="1:18" x14ac:dyDescent="0.4">
      <c r="A568" s="133">
        <v>45734</v>
      </c>
      <c r="B568" s="139" t="s">
        <v>104</v>
      </c>
      <c r="C568" s="30" t="s">
        <v>191</v>
      </c>
      <c r="D568" s="191">
        <v>56</v>
      </c>
      <c r="E568" s="77">
        <v>3</v>
      </c>
      <c r="F568" s="76">
        <v>4.1666666666666664E-2</v>
      </c>
      <c r="G568" s="76">
        <v>0.29166666666666669</v>
      </c>
      <c r="H568" s="76">
        <v>0.64583333333333337</v>
      </c>
      <c r="I568" s="173" t="s">
        <v>990</v>
      </c>
      <c r="J568" s="23">
        <v>4</v>
      </c>
      <c r="K568" s="23"/>
      <c r="L568" s="68">
        <v>0.29166666666666669</v>
      </c>
      <c r="M568" s="68">
        <v>0.66666666666666663</v>
      </c>
      <c r="N568" s="173" t="s">
        <v>1292</v>
      </c>
      <c r="O568" s="23">
        <v>3450</v>
      </c>
      <c r="P568" s="70">
        <v>0.29166666666666669</v>
      </c>
      <c r="Q568" s="70">
        <v>0.66666666666666663</v>
      </c>
      <c r="R568" s="229" t="s">
        <v>1292</v>
      </c>
    </row>
    <row r="569" spans="1:18" x14ac:dyDescent="0.4">
      <c r="A569" s="135">
        <v>45734</v>
      </c>
      <c r="B569" s="102">
        <v>153010</v>
      </c>
      <c r="C569" s="136" t="s">
        <v>484</v>
      </c>
      <c r="D569" s="193">
        <v>1</v>
      </c>
      <c r="E569" s="103"/>
      <c r="F569" s="104"/>
      <c r="G569" s="184"/>
      <c r="H569" s="184"/>
      <c r="I569" s="225" t="s">
        <v>1002</v>
      </c>
      <c r="J569" s="105"/>
      <c r="K569" s="105"/>
      <c r="L569" s="106"/>
      <c r="M569" s="106"/>
      <c r="N569" s="225" t="s">
        <v>1002</v>
      </c>
      <c r="O569" s="105">
        <v>0</v>
      </c>
      <c r="P569" s="70">
        <v>0</v>
      </c>
      <c r="Q569" s="70">
        <v>0</v>
      </c>
      <c r="R569" s="232" t="s">
        <v>1002</v>
      </c>
    </row>
    <row r="570" spans="1:18" x14ac:dyDescent="0.4">
      <c r="A570" s="133">
        <v>45735</v>
      </c>
      <c r="B570" s="139" t="s">
        <v>72</v>
      </c>
      <c r="C570" s="30" t="s">
        <v>227</v>
      </c>
      <c r="D570" s="191">
        <v>20</v>
      </c>
      <c r="E570" s="77">
        <v>5</v>
      </c>
      <c r="F570" s="1"/>
      <c r="G570" s="76">
        <v>0.29166666666666669</v>
      </c>
      <c r="H570" s="76">
        <v>0.4513888888888889</v>
      </c>
      <c r="I570" s="173" t="s">
        <v>1332</v>
      </c>
      <c r="J570" s="23">
        <v>3</v>
      </c>
      <c r="K570" s="68">
        <v>1.0416666666666666E-2</v>
      </c>
      <c r="L570" s="68">
        <v>0.33333333333333331</v>
      </c>
      <c r="M570" s="68">
        <v>0.5625</v>
      </c>
      <c r="N570" s="173" t="s">
        <v>1335</v>
      </c>
      <c r="O570" s="23">
        <v>2005</v>
      </c>
      <c r="P570" s="70">
        <v>0.29166666666666669</v>
      </c>
      <c r="Q570" s="70">
        <v>0.5625</v>
      </c>
      <c r="R570" s="229" t="s">
        <v>1320</v>
      </c>
    </row>
    <row r="571" spans="1:18" x14ac:dyDescent="0.4">
      <c r="A571" s="133">
        <v>45735</v>
      </c>
      <c r="B571" s="139" t="s">
        <v>64</v>
      </c>
      <c r="C571" s="30" t="s">
        <v>271</v>
      </c>
      <c r="D571" s="191">
        <v>20</v>
      </c>
      <c r="E571" s="77">
        <v>5</v>
      </c>
      <c r="F571" s="1"/>
      <c r="G571" s="76">
        <v>0.4513888888888889</v>
      </c>
      <c r="H571" s="76">
        <v>0.6875</v>
      </c>
      <c r="I571" s="173" t="s">
        <v>1255</v>
      </c>
      <c r="J571" s="23">
        <v>3</v>
      </c>
      <c r="K571" s="68">
        <v>1.0416666666666666E-2</v>
      </c>
      <c r="L571" s="68">
        <v>0.5625</v>
      </c>
      <c r="M571" s="68">
        <v>0.6875</v>
      </c>
      <c r="N571" s="173" t="s">
        <v>1391</v>
      </c>
      <c r="O571" s="23">
        <v>1985</v>
      </c>
      <c r="P571" s="70">
        <v>0.4513888888888889</v>
      </c>
      <c r="Q571" s="70">
        <v>0.6875</v>
      </c>
      <c r="R571" s="229" t="s">
        <v>1255</v>
      </c>
    </row>
    <row r="572" spans="1:18" x14ac:dyDescent="0.4">
      <c r="A572" s="133">
        <v>45735</v>
      </c>
      <c r="B572" s="139" t="s">
        <v>110</v>
      </c>
      <c r="C572" s="30" t="s">
        <v>231</v>
      </c>
      <c r="D572" s="191">
        <v>21</v>
      </c>
      <c r="E572" s="77">
        <v>5</v>
      </c>
      <c r="F572" s="1"/>
      <c r="G572" s="76">
        <v>0.29166666666666669</v>
      </c>
      <c r="H572" s="76">
        <v>0.68055555555555547</v>
      </c>
      <c r="I572" s="173" t="s">
        <v>1465</v>
      </c>
      <c r="J572" s="23">
        <v>10</v>
      </c>
      <c r="K572" s="23"/>
      <c r="L572" s="68">
        <v>0.33333333333333331</v>
      </c>
      <c r="M572" s="68">
        <v>0.70833333333333337</v>
      </c>
      <c r="N572" s="173" t="s">
        <v>1292</v>
      </c>
      <c r="O572" s="23">
        <v>7300</v>
      </c>
      <c r="P572" s="70">
        <v>0.29166666666666669</v>
      </c>
      <c r="Q572" s="70">
        <v>0.70833333333333337</v>
      </c>
      <c r="R572" s="229" t="s">
        <v>1252</v>
      </c>
    </row>
    <row r="573" spans="1:18" x14ac:dyDescent="0.4">
      <c r="A573" s="133">
        <v>45735</v>
      </c>
      <c r="B573" s="139" t="s">
        <v>83</v>
      </c>
      <c r="C573" s="30" t="s">
        <v>169</v>
      </c>
      <c r="D573" s="191">
        <v>20</v>
      </c>
      <c r="E573" s="77">
        <v>3</v>
      </c>
      <c r="F573" s="76">
        <v>2.0833333333333332E-2</v>
      </c>
      <c r="G573" s="76">
        <v>0.29166666666666669</v>
      </c>
      <c r="H573" s="76">
        <v>0.625</v>
      </c>
      <c r="I573" s="173" t="s">
        <v>1309</v>
      </c>
      <c r="J573" s="23">
        <v>7</v>
      </c>
      <c r="K573" s="68">
        <v>2.0833333333333332E-2</v>
      </c>
      <c r="L573" s="68">
        <v>0.33333333333333331</v>
      </c>
      <c r="M573" s="68">
        <v>0.57638888888888895</v>
      </c>
      <c r="N573" s="173" t="s">
        <v>1357</v>
      </c>
      <c r="O573" s="23">
        <v>3590</v>
      </c>
      <c r="P573" s="70">
        <v>0.29166666666666669</v>
      </c>
      <c r="Q573" s="70">
        <v>0.625</v>
      </c>
      <c r="R573" s="229" t="s">
        <v>1341</v>
      </c>
    </row>
    <row r="574" spans="1:18" x14ac:dyDescent="0.4">
      <c r="A574" s="133">
        <v>45735</v>
      </c>
      <c r="B574" s="139" t="s">
        <v>96</v>
      </c>
      <c r="C574" s="30" t="s">
        <v>167</v>
      </c>
      <c r="D574" s="191">
        <v>16</v>
      </c>
      <c r="E574" s="77">
        <v>2</v>
      </c>
      <c r="F574" s="76">
        <v>2.0833333333333332E-2</v>
      </c>
      <c r="G574" s="76">
        <v>0.29166666666666669</v>
      </c>
      <c r="H574" s="76">
        <v>0.625</v>
      </c>
      <c r="I574" s="173" t="s">
        <v>1309</v>
      </c>
      <c r="J574" s="23">
        <v>6</v>
      </c>
      <c r="K574" s="68">
        <v>2.0833333333333332E-2</v>
      </c>
      <c r="L574" s="68">
        <v>0.57638888888888895</v>
      </c>
      <c r="M574" s="68">
        <v>0.70833333333333337</v>
      </c>
      <c r="N574" s="173" t="s">
        <v>1254</v>
      </c>
      <c r="O574" s="23">
        <v>2220</v>
      </c>
      <c r="P574" s="70">
        <v>0.29166666666666669</v>
      </c>
      <c r="Q574" s="70">
        <v>0.70833333333333337</v>
      </c>
      <c r="R574" s="229" t="s">
        <v>1252</v>
      </c>
    </row>
    <row r="575" spans="1:18" x14ac:dyDescent="0.4">
      <c r="A575" s="133">
        <v>45736</v>
      </c>
      <c r="B575" s="139" t="s">
        <v>61</v>
      </c>
      <c r="C575" s="30" t="s">
        <v>156</v>
      </c>
      <c r="D575" s="191">
        <v>40</v>
      </c>
      <c r="E575" s="77">
        <v>5</v>
      </c>
      <c r="F575" s="1"/>
      <c r="G575" s="76">
        <v>0.29166666666666669</v>
      </c>
      <c r="H575" s="76">
        <v>0.66666666666666663</v>
      </c>
      <c r="I575" s="173" t="s">
        <v>1292</v>
      </c>
      <c r="J575" s="23">
        <v>10</v>
      </c>
      <c r="K575" s="23"/>
      <c r="L575" s="68">
        <v>0.3125</v>
      </c>
      <c r="M575" s="68">
        <v>0.70833333333333337</v>
      </c>
      <c r="N575" s="173" t="s">
        <v>990</v>
      </c>
      <c r="O575" s="23">
        <v>7500</v>
      </c>
      <c r="P575" s="70">
        <v>0.29166666666666669</v>
      </c>
      <c r="Q575" s="70">
        <v>0.70833333333333337</v>
      </c>
      <c r="R575" s="229" t="s">
        <v>1252</v>
      </c>
    </row>
    <row r="576" spans="1:18" x14ac:dyDescent="0.4">
      <c r="A576" s="133">
        <v>45736</v>
      </c>
      <c r="B576" s="139" t="s">
        <v>63</v>
      </c>
      <c r="C576" s="30" t="s">
        <v>267</v>
      </c>
      <c r="D576" s="191">
        <v>28</v>
      </c>
      <c r="E576" s="77">
        <v>5</v>
      </c>
      <c r="F576" s="1"/>
      <c r="G576" s="76">
        <v>0.29166666666666669</v>
      </c>
      <c r="H576" s="76">
        <v>0.57361111111111118</v>
      </c>
      <c r="I576" s="173" t="s">
        <v>1348</v>
      </c>
      <c r="J576" s="23">
        <v>3</v>
      </c>
      <c r="K576" s="68">
        <v>1.0416666666666666E-2</v>
      </c>
      <c r="L576" s="68">
        <v>0.33333333333333331</v>
      </c>
      <c r="M576" s="68">
        <v>0.61111111111111105</v>
      </c>
      <c r="N576" s="173" t="s">
        <v>1358</v>
      </c>
      <c r="O576" s="23">
        <v>2795</v>
      </c>
      <c r="P576" s="70">
        <v>0.29166666666666669</v>
      </c>
      <c r="Q576" s="70">
        <v>0.61111111111111105</v>
      </c>
      <c r="R576" s="229" t="s">
        <v>1328</v>
      </c>
    </row>
    <row r="577" spans="1:18" x14ac:dyDescent="0.4">
      <c r="A577" s="133">
        <v>45736</v>
      </c>
      <c r="B577" s="139" t="s">
        <v>547</v>
      </c>
      <c r="C577" s="30" t="s">
        <v>205</v>
      </c>
      <c r="D577" s="191">
        <v>12</v>
      </c>
      <c r="E577" s="77">
        <v>5</v>
      </c>
      <c r="F577" s="1"/>
      <c r="G577" s="76">
        <v>0.57361111111111118</v>
      </c>
      <c r="H577" s="76">
        <v>0.6875</v>
      </c>
      <c r="I577" s="173" t="s">
        <v>1441</v>
      </c>
      <c r="J577" s="23">
        <v>4</v>
      </c>
      <c r="K577" s="68">
        <v>1.0416666666666666E-2</v>
      </c>
      <c r="L577" s="68">
        <v>0.61111111111111105</v>
      </c>
      <c r="M577" s="68">
        <v>0.70833333333333337</v>
      </c>
      <c r="N577" s="173" t="s">
        <v>1301</v>
      </c>
      <c r="O577" s="23">
        <v>1440</v>
      </c>
      <c r="P577" s="70">
        <v>0.57361111111111118</v>
      </c>
      <c r="Q577" s="70">
        <v>0.70833333333333337</v>
      </c>
      <c r="R577" s="229" t="s">
        <v>1499</v>
      </c>
    </row>
    <row r="578" spans="1:18" x14ac:dyDescent="0.4">
      <c r="A578" s="133">
        <v>45736</v>
      </c>
      <c r="B578" s="139" t="s">
        <v>123</v>
      </c>
      <c r="C578" s="30" t="s">
        <v>277</v>
      </c>
      <c r="D578" s="191">
        <v>40</v>
      </c>
      <c r="E578" s="77">
        <v>3</v>
      </c>
      <c r="F578" s="76">
        <v>4.1666666666666664E-2</v>
      </c>
      <c r="G578" s="76">
        <v>0.29166666666666669</v>
      </c>
      <c r="H578" s="76">
        <v>0.625</v>
      </c>
      <c r="I578" s="173" t="s">
        <v>1292</v>
      </c>
      <c r="J578" s="23">
        <v>4</v>
      </c>
      <c r="K578" s="23"/>
      <c r="L578" s="68">
        <v>0.29166666666666669</v>
      </c>
      <c r="M578" s="68">
        <v>0.66666666666666663</v>
      </c>
      <c r="N578" s="173" t="s">
        <v>1292</v>
      </c>
      <c r="O578" s="23">
        <v>3360</v>
      </c>
      <c r="P578" s="70">
        <v>0.29166666666666669</v>
      </c>
      <c r="Q578" s="70">
        <v>0.66666666666666663</v>
      </c>
      <c r="R578" s="229" t="s">
        <v>1292</v>
      </c>
    </row>
    <row r="579" spans="1:18" x14ac:dyDescent="0.4">
      <c r="A579" s="133">
        <v>45737</v>
      </c>
      <c r="B579" s="139" t="s">
        <v>548</v>
      </c>
      <c r="C579" s="30" t="s">
        <v>218</v>
      </c>
      <c r="D579" s="191">
        <v>8</v>
      </c>
      <c r="E579" s="77">
        <v>5</v>
      </c>
      <c r="F579" s="1"/>
      <c r="G579" s="76">
        <v>0.61111111111111105</v>
      </c>
      <c r="H579" s="76">
        <v>0.72916666666666663</v>
      </c>
      <c r="I579" s="173" t="s">
        <v>1314</v>
      </c>
      <c r="J579" s="23">
        <v>4</v>
      </c>
      <c r="K579" s="68">
        <v>6.9444444444444441E-3</v>
      </c>
      <c r="L579" s="68">
        <v>0.65972222222222221</v>
      </c>
      <c r="M579" s="68">
        <v>0.75</v>
      </c>
      <c r="N579" s="173" t="s">
        <v>1313</v>
      </c>
      <c r="O579" s="23">
        <v>1410</v>
      </c>
      <c r="P579" s="70">
        <v>0.61111111111111105</v>
      </c>
      <c r="Q579" s="70">
        <v>0.75</v>
      </c>
      <c r="R579" s="229" t="s">
        <v>1250</v>
      </c>
    </row>
    <row r="580" spans="1:18" x14ac:dyDescent="0.4">
      <c r="A580" s="133">
        <v>45737</v>
      </c>
      <c r="B580" s="139" t="s">
        <v>56</v>
      </c>
      <c r="C580" s="30" t="s">
        <v>220</v>
      </c>
      <c r="D580" s="191">
        <v>12</v>
      </c>
      <c r="E580" s="77">
        <v>5</v>
      </c>
      <c r="F580" s="1"/>
      <c r="G580" s="76">
        <v>0.54166666666666663</v>
      </c>
      <c r="H580" s="76">
        <v>0.61111111111111105</v>
      </c>
      <c r="I580" s="173" t="s">
        <v>1386</v>
      </c>
      <c r="J580" s="23">
        <v>4</v>
      </c>
      <c r="K580" s="68">
        <v>6.9444444444444441E-3</v>
      </c>
      <c r="L580" s="68">
        <v>0.55555555555555558</v>
      </c>
      <c r="M580" s="68">
        <v>0.65972222222222221</v>
      </c>
      <c r="N580" s="173" t="s">
        <v>1325</v>
      </c>
      <c r="O580" s="23">
        <v>1140</v>
      </c>
      <c r="P580" s="70">
        <v>0.54166666666666663</v>
      </c>
      <c r="Q580" s="70">
        <v>0.65972222222222221</v>
      </c>
      <c r="R580" s="229" t="s">
        <v>1314</v>
      </c>
    </row>
    <row r="581" spans="1:18" x14ac:dyDescent="0.4">
      <c r="A581" s="133">
        <v>45737</v>
      </c>
      <c r="B581" s="139" t="s">
        <v>55</v>
      </c>
      <c r="C581" s="30" t="s">
        <v>208</v>
      </c>
      <c r="D581" s="191">
        <v>20</v>
      </c>
      <c r="E581" s="77">
        <v>5</v>
      </c>
      <c r="F581" s="1"/>
      <c r="G581" s="76">
        <v>0.29166666666666669</v>
      </c>
      <c r="H581" s="76">
        <v>0.5</v>
      </c>
      <c r="I581" s="173" t="s">
        <v>1327</v>
      </c>
      <c r="J581" s="23">
        <v>4</v>
      </c>
      <c r="K581" s="68">
        <v>6.9444444444444441E-3</v>
      </c>
      <c r="L581" s="68">
        <v>0.33333333333333331</v>
      </c>
      <c r="M581" s="68">
        <v>0.55555555555555558</v>
      </c>
      <c r="N581" s="173" t="s">
        <v>1243</v>
      </c>
      <c r="O581" s="23">
        <v>2580</v>
      </c>
      <c r="P581" s="70">
        <v>0.29166666666666669</v>
      </c>
      <c r="Q581" s="70">
        <v>0.55555555555555558</v>
      </c>
      <c r="R581" s="229" t="s">
        <v>1357</v>
      </c>
    </row>
    <row r="582" spans="1:18" x14ac:dyDescent="0.4">
      <c r="A582" s="133">
        <v>45737</v>
      </c>
      <c r="B582" s="139" t="s">
        <v>73</v>
      </c>
      <c r="C582" s="30" t="s">
        <v>231</v>
      </c>
      <c r="D582" s="191">
        <v>21</v>
      </c>
      <c r="E582" s="77">
        <v>5</v>
      </c>
      <c r="F582" s="1"/>
      <c r="G582" s="76">
        <v>0.29166666666666669</v>
      </c>
      <c r="H582" s="76">
        <v>0.68055555555555547</v>
      </c>
      <c r="I582" s="173" t="s">
        <v>1465</v>
      </c>
      <c r="J582" s="23">
        <v>10</v>
      </c>
      <c r="K582" s="23"/>
      <c r="L582" s="68">
        <v>0.33333333333333331</v>
      </c>
      <c r="M582" s="68">
        <v>0.70833333333333337</v>
      </c>
      <c r="N582" s="173" t="s">
        <v>1292</v>
      </c>
      <c r="O582" s="23">
        <v>7300</v>
      </c>
      <c r="P582" s="70">
        <v>0.29166666666666669</v>
      </c>
      <c r="Q582" s="70">
        <v>0.70833333333333337</v>
      </c>
      <c r="R582" s="229" t="s">
        <v>1252</v>
      </c>
    </row>
    <row r="583" spans="1:18" x14ac:dyDescent="0.4">
      <c r="A583" s="133">
        <v>45737</v>
      </c>
      <c r="B583" s="139" t="s">
        <v>65</v>
      </c>
      <c r="C583" s="30" t="s">
        <v>189</v>
      </c>
      <c r="D583" s="191">
        <v>56</v>
      </c>
      <c r="E583" s="77">
        <v>3</v>
      </c>
      <c r="F583" s="76">
        <v>4.1666666666666664E-2</v>
      </c>
      <c r="G583" s="76">
        <v>0.29166666666666669</v>
      </c>
      <c r="H583" s="76">
        <v>0.64583333333333337</v>
      </c>
      <c r="I583" s="173" t="s">
        <v>990</v>
      </c>
      <c r="J583" s="23">
        <v>4</v>
      </c>
      <c r="K583" s="23"/>
      <c r="L583" s="68">
        <v>0.29166666666666669</v>
      </c>
      <c r="M583" s="68">
        <v>0.69791666666666663</v>
      </c>
      <c r="N583" s="173" t="s">
        <v>991</v>
      </c>
      <c r="O583" s="23">
        <v>3630</v>
      </c>
      <c r="P583" s="70">
        <v>0.29166666666666669</v>
      </c>
      <c r="Q583" s="70">
        <v>0.69791666666666663</v>
      </c>
      <c r="R583" s="229" t="s">
        <v>991</v>
      </c>
    </row>
    <row r="584" spans="1:18" x14ac:dyDescent="0.4">
      <c r="A584" s="138">
        <v>45740</v>
      </c>
      <c r="B584" s="139" t="s">
        <v>472</v>
      </c>
      <c r="C584" s="140" t="s">
        <v>285</v>
      </c>
      <c r="D584" s="191">
        <v>4</v>
      </c>
      <c r="E584" s="77">
        <v>4</v>
      </c>
      <c r="F584" s="1"/>
      <c r="G584" s="76">
        <v>0.33333333333333331</v>
      </c>
      <c r="H584" s="76">
        <v>0.3979166666666667</v>
      </c>
      <c r="I584" s="173" t="s">
        <v>1547</v>
      </c>
      <c r="J584" s="23">
        <v>9</v>
      </c>
      <c r="K584" s="68">
        <v>6.9444444444444441E-3</v>
      </c>
      <c r="L584" s="68">
        <v>0.33333333333333331</v>
      </c>
      <c r="M584" s="68">
        <v>0.47222222222222227</v>
      </c>
      <c r="N584" s="173" t="s">
        <v>1303</v>
      </c>
      <c r="O584" s="23">
        <v>2262</v>
      </c>
      <c r="P584" s="70">
        <v>0.33333333333333331</v>
      </c>
      <c r="Q584" s="70">
        <v>0.47222222222222227</v>
      </c>
      <c r="R584" s="229" t="s">
        <v>1250</v>
      </c>
    </row>
    <row r="585" spans="1:18" x14ac:dyDescent="0.4">
      <c r="A585" s="138">
        <v>45740</v>
      </c>
      <c r="B585" s="139" t="s">
        <v>106</v>
      </c>
      <c r="C585" s="140" t="s">
        <v>173</v>
      </c>
      <c r="D585" s="191">
        <v>16</v>
      </c>
      <c r="E585" s="77">
        <v>4</v>
      </c>
      <c r="F585" s="1"/>
      <c r="G585" s="76">
        <v>0.43055555555555558</v>
      </c>
      <c r="H585" s="76">
        <v>0.61111111111111105</v>
      </c>
      <c r="I585" s="173" t="s">
        <v>1250</v>
      </c>
      <c r="J585" s="23">
        <v>9</v>
      </c>
      <c r="K585" s="68">
        <v>6.9444444444444441E-3</v>
      </c>
      <c r="L585" s="68">
        <v>0.47222222222222227</v>
      </c>
      <c r="M585" s="68">
        <v>0.67361111111111116</v>
      </c>
      <c r="N585" s="173" t="s">
        <v>1244</v>
      </c>
      <c r="O585" s="23">
        <v>2960</v>
      </c>
      <c r="P585" s="70">
        <v>0.43055555555555558</v>
      </c>
      <c r="Q585" s="70">
        <v>0.67361111111111116</v>
      </c>
      <c r="R585" s="229" t="s">
        <v>1258</v>
      </c>
    </row>
    <row r="586" spans="1:18" x14ac:dyDescent="0.4">
      <c r="A586" s="138">
        <v>45740</v>
      </c>
      <c r="B586" s="139" t="s">
        <v>970</v>
      </c>
      <c r="C586" s="140" t="s">
        <v>975</v>
      </c>
      <c r="D586" s="191">
        <v>4.5</v>
      </c>
      <c r="E586" s="77">
        <v>3</v>
      </c>
      <c r="F586" s="1"/>
      <c r="G586" s="76">
        <v>0.61805555555555558</v>
      </c>
      <c r="H586" s="76">
        <v>0.72916666666666663</v>
      </c>
      <c r="I586" s="173" t="s">
        <v>1325</v>
      </c>
      <c r="J586" s="23">
        <v>9</v>
      </c>
      <c r="K586" s="68">
        <v>6.9444444444444441E-3</v>
      </c>
      <c r="L586" s="68">
        <v>0.67361111111111116</v>
      </c>
      <c r="M586" s="68">
        <v>0.77083333333333337</v>
      </c>
      <c r="N586" s="173" t="s">
        <v>1298</v>
      </c>
      <c r="O586" s="23">
        <v>1830</v>
      </c>
      <c r="P586" s="70">
        <v>0.61805555555555558</v>
      </c>
      <c r="Q586" s="70">
        <v>0.77083333333333337</v>
      </c>
      <c r="R586" s="229" t="s">
        <v>1254</v>
      </c>
    </row>
    <row r="587" spans="1:18" x14ac:dyDescent="0.4">
      <c r="A587" s="138">
        <v>45740</v>
      </c>
      <c r="B587" s="139" t="s">
        <v>93</v>
      </c>
      <c r="C587" s="140" t="s">
        <v>322</v>
      </c>
      <c r="D587" s="191">
        <v>6</v>
      </c>
      <c r="E587" s="77">
        <v>5</v>
      </c>
      <c r="F587" s="1"/>
      <c r="G587" s="76">
        <v>0.29166666666666669</v>
      </c>
      <c r="H587" s="76">
        <v>0.36944444444444446</v>
      </c>
      <c r="I587" s="173" t="s">
        <v>1530</v>
      </c>
      <c r="J587" s="23">
        <v>3</v>
      </c>
      <c r="K587" s="23"/>
      <c r="L587" s="68">
        <v>0.3125</v>
      </c>
      <c r="M587" s="68">
        <v>0.39583333333333331</v>
      </c>
      <c r="N587" s="173" t="s">
        <v>1296</v>
      </c>
      <c r="O587" s="23">
        <v>920</v>
      </c>
      <c r="P587" s="70">
        <v>0.29166666666666669</v>
      </c>
      <c r="Q587" s="70">
        <v>0.39583333333333331</v>
      </c>
      <c r="R587" s="229" t="s">
        <v>1298</v>
      </c>
    </row>
    <row r="588" spans="1:18" x14ac:dyDescent="0.4">
      <c r="A588" s="138">
        <v>45740</v>
      </c>
      <c r="B588" s="139" t="s">
        <v>357</v>
      </c>
      <c r="C588" s="140" t="s">
        <v>338</v>
      </c>
      <c r="D588" s="191">
        <v>8</v>
      </c>
      <c r="E588" s="77">
        <v>5</v>
      </c>
      <c r="F588" s="1"/>
      <c r="G588" s="76">
        <v>0.36944444444444446</v>
      </c>
      <c r="H588" s="76">
        <v>0.42638888888888887</v>
      </c>
      <c r="I588" s="173" t="s">
        <v>1430</v>
      </c>
      <c r="J588" s="23">
        <v>3</v>
      </c>
      <c r="K588" s="23"/>
      <c r="L588" s="68">
        <v>0.39583333333333331</v>
      </c>
      <c r="M588" s="68">
        <v>0.4513888888888889</v>
      </c>
      <c r="N588" s="173" t="s">
        <v>1420</v>
      </c>
      <c r="O588" s="23">
        <v>650</v>
      </c>
      <c r="P588" s="70">
        <v>0.36944444444444446</v>
      </c>
      <c r="Q588" s="70">
        <v>0.4513888888888889</v>
      </c>
      <c r="R588" s="229" t="s">
        <v>1411</v>
      </c>
    </row>
    <row r="589" spans="1:18" x14ac:dyDescent="0.4">
      <c r="A589" s="138">
        <v>45740</v>
      </c>
      <c r="B589" s="139" t="s">
        <v>63</v>
      </c>
      <c r="C589" s="140" t="s">
        <v>267</v>
      </c>
      <c r="D589" s="191">
        <v>24</v>
      </c>
      <c r="E589" s="77">
        <v>5</v>
      </c>
      <c r="F589" s="1"/>
      <c r="G589" s="76">
        <v>0.42638888888888887</v>
      </c>
      <c r="H589" s="76">
        <v>0.70833333333333337</v>
      </c>
      <c r="I589" s="173" t="s">
        <v>1348</v>
      </c>
      <c r="J589" s="23">
        <v>3</v>
      </c>
      <c r="K589" s="23"/>
      <c r="L589" s="68">
        <v>0.4513888888888889</v>
      </c>
      <c r="M589" s="68">
        <v>0.70833333333333337</v>
      </c>
      <c r="N589" s="173" t="s">
        <v>1257</v>
      </c>
      <c r="O589" s="23">
        <v>2660</v>
      </c>
      <c r="P589" s="70">
        <v>0.42638888888888887</v>
      </c>
      <c r="Q589" s="70">
        <v>0.70833333333333337</v>
      </c>
      <c r="R589" s="229" t="s">
        <v>1348</v>
      </c>
    </row>
    <row r="590" spans="1:18" x14ac:dyDescent="0.4">
      <c r="A590" s="138">
        <v>45740</v>
      </c>
      <c r="B590" s="139" t="s">
        <v>104</v>
      </c>
      <c r="C590" s="140" t="s">
        <v>191</v>
      </c>
      <c r="D590" s="191">
        <v>56</v>
      </c>
      <c r="E590" s="77">
        <v>3</v>
      </c>
      <c r="F590" s="76">
        <v>4.1666666666666664E-2</v>
      </c>
      <c r="G590" s="76">
        <v>0.29166666666666669</v>
      </c>
      <c r="H590" s="76">
        <v>0.625</v>
      </c>
      <c r="I590" s="173" t="s">
        <v>1292</v>
      </c>
      <c r="J590" s="23">
        <v>4</v>
      </c>
      <c r="K590" s="23"/>
      <c r="L590" s="68">
        <v>0.29166666666666669</v>
      </c>
      <c r="M590" s="68">
        <v>0.66666666666666663</v>
      </c>
      <c r="N590" s="173" t="s">
        <v>1292</v>
      </c>
      <c r="O590" s="23">
        <v>3360</v>
      </c>
      <c r="P590" s="70">
        <v>0.29166666666666669</v>
      </c>
      <c r="Q590" s="70">
        <v>0.66666666666666663</v>
      </c>
      <c r="R590" s="229" t="s">
        <v>1292</v>
      </c>
    </row>
    <row r="591" spans="1:18" s="146" customFormat="1" x14ac:dyDescent="0.4">
      <c r="A591" s="135">
        <v>45740</v>
      </c>
      <c r="B591" s="102">
        <v>153010</v>
      </c>
      <c r="C591" s="136" t="s">
        <v>484</v>
      </c>
      <c r="D591" s="193">
        <v>1</v>
      </c>
      <c r="E591" s="103"/>
      <c r="F591" s="104"/>
      <c r="G591" s="184"/>
      <c r="H591" s="184"/>
      <c r="I591" s="225" t="s">
        <v>1002</v>
      </c>
      <c r="J591" s="105"/>
      <c r="K591" s="105"/>
      <c r="L591" s="106"/>
      <c r="M591" s="106"/>
      <c r="N591" s="225" t="s">
        <v>1002</v>
      </c>
      <c r="O591" s="105">
        <v>0</v>
      </c>
      <c r="P591" s="247">
        <v>0</v>
      </c>
      <c r="Q591" s="247">
        <v>0</v>
      </c>
      <c r="R591" s="232" t="s">
        <v>1002</v>
      </c>
    </row>
    <row r="592" spans="1:18" x14ac:dyDescent="0.4">
      <c r="A592" s="138">
        <v>45741</v>
      </c>
      <c r="B592" s="139" t="s">
        <v>460</v>
      </c>
      <c r="C592" s="140" t="s">
        <v>183</v>
      </c>
      <c r="D592" s="191">
        <v>4</v>
      </c>
      <c r="E592" s="77">
        <v>4</v>
      </c>
      <c r="F592" s="1"/>
      <c r="G592" s="76">
        <v>0.57638888888888895</v>
      </c>
      <c r="H592" s="76">
        <v>0.6875</v>
      </c>
      <c r="I592" s="173" t="s">
        <v>1325</v>
      </c>
      <c r="J592" s="23">
        <v>5</v>
      </c>
      <c r="K592" s="68">
        <v>1.0416666666666666E-2</v>
      </c>
      <c r="L592" s="68">
        <v>0.63194444444444442</v>
      </c>
      <c r="M592" s="68">
        <v>0.72916666666666663</v>
      </c>
      <c r="N592" s="173" t="s">
        <v>1301</v>
      </c>
      <c r="O592" s="23">
        <v>1415</v>
      </c>
      <c r="P592" s="70">
        <v>0.57638888888888895</v>
      </c>
      <c r="Q592" s="70">
        <v>0.72916666666666663</v>
      </c>
      <c r="R592" s="229" t="s">
        <v>1254</v>
      </c>
    </row>
    <row r="593" spans="1:18" x14ac:dyDescent="0.4">
      <c r="A593" s="138">
        <v>45741</v>
      </c>
      <c r="B593" s="139" t="s">
        <v>68</v>
      </c>
      <c r="C593" s="140" t="s">
        <v>185</v>
      </c>
      <c r="D593" s="191">
        <v>32</v>
      </c>
      <c r="E593" s="77">
        <v>4</v>
      </c>
      <c r="F593" s="1"/>
      <c r="G593" s="76">
        <v>0.29166666666666669</v>
      </c>
      <c r="H593" s="76">
        <v>0.57361111111111118</v>
      </c>
      <c r="I593" s="173" t="s">
        <v>1348</v>
      </c>
      <c r="J593" s="23">
        <v>5</v>
      </c>
      <c r="K593" s="68">
        <v>1.0416666666666666E-2</v>
      </c>
      <c r="L593" s="68">
        <v>0.33333333333333331</v>
      </c>
      <c r="M593" s="68">
        <v>0.63194444444444442</v>
      </c>
      <c r="N593" s="173" t="s">
        <v>1374</v>
      </c>
      <c r="O593" s="23">
        <v>3309</v>
      </c>
      <c r="P593" s="70">
        <v>0.29166666666666669</v>
      </c>
      <c r="Q593" s="70">
        <v>0.63194444444444442</v>
      </c>
      <c r="R593" s="229" t="s">
        <v>1403</v>
      </c>
    </row>
    <row r="594" spans="1:18" x14ac:dyDescent="0.4">
      <c r="A594" s="138">
        <v>45741</v>
      </c>
      <c r="B594" s="139" t="s">
        <v>64</v>
      </c>
      <c r="C594" s="140" t="s">
        <v>271</v>
      </c>
      <c r="D594" s="191">
        <v>24</v>
      </c>
      <c r="E594" s="77">
        <v>5</v>
      </c>
      <c r="F594" s="1"/>
      <c r="G594" s="76">
        <v>0.45</v>
      </c>
      <c r="H594" s="76">
        <v>0.72916666666666663</v>
      </c>
      <c r="I594" s="173" t="s">
        <v>1517</v>
      </c>
      <c r="J594" s="23">
        <v>3</v>
      </c>
      <c r="K594" s="68">
        <v>1.0416666666666666E-2</v>
      </c>
      <c r="L594" s="68">
        <v>0.47916666666666669</v>
      </c>
      <c r="M594" s="68">
        <v>0.72916666666666663</v>
      </c>
      <c r="N594" s="173" t="s">
        <v>1401</v>
      </c>
      <c r="O594" s="23">
        <v>2655</v>
      </c>
      <c r="P594" s="70">
        <v>0.45</v>
      </c>
      <c r="Q594" s="70">
        <v>0.72916666666666663</v>
      </c>
      <c r="R594" s="229" t="s">
        <v>1517</v>
      </c>
    </row>
    <row r="595" spans="1:18" x14ac:dyDescent="0.4">
      <c r="A595" s="138">
        <v>45741</v>
      </c>
      <c r="B595" s="139" t="s">
        <v>81</v>
      </c>
      <c r="C595" s="140" t="s">
        <v>235</v>
      </c>
      <c r="D595" s="191">
        <v>20</v>
      </c>
      <c r="E595" s="77">
        <v>5</v>
      </c>
      <c r="F595" s="1"/>
      <c r="G595" s="76">
        <v>0.29166666666666669</v>
      </c>
      <c r="H595" s="76">
        <v>0.45</v>
      </c>
      <c r="I595" s="173" t="s">
        <v>1511</v>
      </c>
      <c r="J595" s="23">
        <v>3</v>
      </c>
      <c r="K595" s="68">
        <v>1.0416666666666666E-2</v>
      </c>
      <c r="L595" s="68">
        <v>0.33333333333333331</v>
      </c>
      <c r="M595" s="68">
        <v>0.47916666666666669</v>
      </c>
      <c r="N595" s="173" t="s">
        <v>1380</v>
      </c>
      <c r="O595" s="23">
        <v>1815</v>
      </c>
      <c r="P595" s="70">
        <v>0.29166666666666669</v>
      </c>
      <c r="Q595" s="70">
        <v>0.47916666666666669</v>
      </c>
      <c r="R595" s="229" t="s">
        <v>1243</v>
      </c>
    </row>
    <row r="596" spans="1:18" x14ac:dyDescent="0.4">
      <c r="A596" s="138">
        <v>45741</v>
      </c>
      <c r="B596" s="139" t="s">
        <v>58</v>
      </c>
      <c r="C596" s="140" t="s">
        <v>165</v>
      </c>
      <c r="D596" s="191">
        <v>36</v>
      </c>
      <c r="E596" s="77">
        <v>3</v>
      </c>
      <c r="F596" s="76">
        <v>4.1666666666666664E-2</v>
      </c>
      <c r="G596" s="76">
        <v>0.29166666666666669</v>
      </c>
      <c r="H596" s="76">
        <v>0.625</v>
      </c>
      <c r="I596" s="173" t="s">
        <v>1292</v>
      </c>
      <c r="J596" s="23">
        <v>6</v>
      </c>
      <c r="K596" s="23"/>
      <c r="L596" s="68">
        <v>0.29166666666666669</v>
      </c>
      <c r="M596" s="68">
        <v>0.66666666666666663</v>
      </c>
      <c r="N596" s="173" t="s">
        <v>1292</v>
      </c>
      <c r="O596" s="23">
        <v>4320</v>
      </c>
      <c r="P596" s="70">
        <v>0.29166666666666669</v>
      </c>
      <c r="Q596" s="70">
        <v>0.66666666666666663</v>
      </c>
      <c r="R596" s="229" t="s">
        <v>1292</v>
      </c>
    </row>
    <row r="597" spans="1:18" s="146" customFormat="1" x14ac:dyDescent="0.4">
      <c r="A597" s="135">
        <v>45741</v>
      </c>
      <c r="B597" s="102">
        <v>111010</v>
      </c>
      <c r="C597" s="136" t="s">
        <v>480</v>
      </c>
      <c r="D597" s="193">
        <v>1</v>
      </c>
      <c r="E597" s="103"/>
      <c r="F597" s="104"/>
      <c r="G597" s="184"/>
      <c r="H597" s="184"/>
      <c r="I597" s="225" t="s">
        <v>1002</v>
      </c>
      <c r="J597" s="105"/>
      <c r="K597" s="105"/>
      <c r="L597" s="106"/>
      <c r="M597" s="106"/>
      <c r="N597" s="225" t="s">
        <v>1002</v>
      </c>
      <c r="O597" s="105">
        <v>0</v>
      </c>
      <c r="P597" s="247">
        <v>0</v>
      </c>
      <c r="Q597" s="247">
        <v>0</v>
      </c>
      <c r="R597" s="232" t="s">
        <v>1002</v>
      </c>
    </row>
    <row r="598" spans="1:18" x14ac:dyDescent="0.4">
      <c r="A598" s="138">
        <v>45742</v>
      </c>
      <c r="B598" s="139" t="s">
        <v>99</v>
      </c>
      <c r="C598" s="140" t="s">
        <v>259</v>
      </c>
      <c r="D598" s="191">
        <v>6</v>
      </c>
      <c r="E598" s="77">
        <v>5</v>
      </c>
      <c r="F598" s="1"/>
      <c r="G598" s="76">
        <v>0.625</v>
      </c>
      <c r="H598" s="76">
        <v>0.70833333333333337</v>
      </c>
      <c r="I598" s="173" t="s">
        <v>1296</v>
      </c>
      <c r="J598" s="23">
        <v>4</v>
      </c>
      <c r="K598" s="68">
        <v>4.8611111111111112E-3</v>
      </c>
      <c r="L598" s="68">
        <v>0.66666666666666663</v>
      </c>
      <c r="M598" s="68">
        <v>0.75</v>
      </c>
      <c r="N598" s="173" t="s">
        <v>1312</v>
      </c>
      <c r="O598" s="23">
        <v>1108</v>
      </c>
      <c r="P598" s="70">
        <v>0.625</v>
      </c>
      <c r="Q598" s="70">
        <v>0.75</v>
      </c>
      <c r="R598" s="229" t="s">
        <v>1316</v>
      </c>
    </row>
    <row r="599" spans="1:18" x14ac:dyDescent="0.4">
      <c r="A599" s="138">
        <v>45742</v>
      </c>
      <c r="B599" s="139" t="s">
        <v>51</v>
      </c>
      <c r="C599" s="140" t="s">
        <v>253</v>
      </c>
      <c r="D599" s="191">
        <v>12</v>
      </c>
      <c r="E599" s="77">
        <v>5</v>
      </c>
      <c r="F599" s="1"/>
      <c r="G599" s="76">
        <v>0.41319444444444442</v>
      </c>
      <c r="H599" s="76">
        <v>0.5</v>
      </c>
      <c r="I599" s="173" t="s">
        <v>1249</v>
      </c>
      <c r="J599" s="23">
        <v>4</v>
      </c>
      <c r="K599" s="68">
        <v>4.8611111111111112E-3</v>
      </c>
      <c r="L599" s="68">
        <v>0.44444444444444442</v>
      </c>
      <c r="M599" s="68">
        <v>0.57638888888888895</v>
      </c>
      <c r="N599" s="173" t="s">
        <v>1548</v>
      </c>
      <c r="O599" s="23">
        <v>1173</v>
      </c>
      <c r="P599" s="70">
        <v>0.41319444444444442</v>
      </c>
      <c r="Q599" s="70">
        <v>0.57638888888888895</v>
      </c>
      <c r="R599" s="229" t="s">
        <v>1326</v>
      </c>
    </row>
    <row r="600" spans="1:18" x14ac:dyDescent="0.4">
      <c r="A600" s="138">
        <v>45742</v>
      </c>
      <c r="B600" s="139" t="s">
        <v>109</v>
      </c>
      <c r="C600" s="140" t="s">
        <v>263</v>
      </c>
      <c r="D600" s="191">
        <v>8</v>
      </c>
      <c r="E600" s="77">
        <v>5</v>
      </c>
      <c r="F600" s="1"/>
      <c r="G600" s="76">
        <v>0.54166666666666663</v>
      </c>
      <c r="H600" s="76">
        <v>0.62222222222222223</v>
      </c>
      <c r="I600" s="173" t="s">
        <v>1416</v>
      </c>
      <c r="J600" s="23">
        <v>4</v>
      </c>
      <c r="K600" s="68">
        <v>4.8611111111111112E-3</v>
      </c>
      <c r="L600" s="68">
        <v>0.57638888888888895</v>
      </c>
      <c r="M600" s="68">
        <v>0.66666666666666663</v>
      </c>
      <c r="N600" s="173" t="s">
        <v>1548</v>
      </c>
      <c r="O600" s="23">
        <v>1128</v>
      </c>
      <c r="P600" s="70">
        <v>0.54166666666666663</v>
      </c>
      <c r="Q600" s="70">
        <v>0.66666666666666663</v>
      </c>
      <c r="R600" s="229" t="s">
        <v>1316</v>
      </c>
    </row>
    <row r="601" spans="1:18" x14ac:dyDescent="0.4">
      <c r="A601" s="138">
        <v>45742</v>
      </c>
      <c r="B601" s="139" t="s">
        <v>53</v>
      </c>
      <c r="C601" s="140" t="s">
        <v>261</v>
      </c>
      <c r="D601" s="191">
        <v>12</v>
      </c>
      <c r="E601" s="77">
        <v>5</v>
      </c>
      <c r="F601" s="1"/>
      <c r="G601" s="76">
        <v>0.29166666666666669</v>
      </c>
      <c r="H601" s="76">
        <v>0.40833333333333338</v>
      </c>
      <c r="I601" s="173" t="s">
        <v>1460</v>
      </c>
      <c r="J601" s="23">
        <v>4</v>
      </c>
      <c r="K601" s="68">
        <v>4.8611111111111112E-3</v>
      </c>
      <c r="L601" s="68">
        <v>0.33333333333333331</v>
      </c>
      <c r="M601" s="68">
        <v>0.44444444444444442</v>
      </c>
      <c r="N601" s="173" t="s">
        <v>1518</v>
      </c>
      <c r="O601" s="23">
        <v>1508</v>
      </c>
      <c r="P601" s="70">
        <v>0.29166666666666669</v>
      </c>
      <c r="Q601" s="70">
        <v>0.44444444444444442</v>
      </c>
      <c r="R601" s="229" t="s">
        <v>1254</v>
      </c>
    </row>
    <row r="602" spans="1:18" x14ac:dyDescent="0.4">
      <c r="A602" s="138">
        <v>45742</v>
      </c>
      <c r="B602" s="139" t="s">
        <v>88</v>
      </c>
      <c r="C602" s="140" t="s">
        <v>328</v>
      </c>
      <c r="D602" s="191">
        <v>16</v>
      </c>
      <c r="E602" s="77">
        <v>5</v>
      </c>
      <c r="F602" s="1"/>
      <c r="G602" s="76">
        <v>0.29166666666666669</v>
      </c>
      <c r="H602" s="76">
        <v>0.4236111111111111</v>
      </c>
      <c r="I602" s="173" t="s">
        <v>1256</v>
      </c>
      <c r="J602" s="23">
        <v>3</v>
      </c>
      <c r="K602" s="68">
        <v>1.0416666666666666E-2</v>
      </c>
      <c r="L602" s="68">
        <v>0.33333333333333331</v>
      </c>
      <c r="M602" s="68">
        <v>0.44444444444444442</v>
      </c>
      <c r="N602" s="173" t="s">
        <v>1326</v>
      </c>
      <c r="O602" s="23">
        <v>1475</v>
      </c>
      <c r="P602" s="70">
        <v>0.29166666666666669</v>
      </c>
      <c r="Q602" s="70">
        <v>0.44444444444444442</v>
      </c>
      <c r="R602" s="229" t="s">
        <v>1254</v>
      </c>
    </row>
    <row r="603" spans="1:18" x14ac:dyDescent="0.4">
      <c r="A603" s="138">
        <v>45742</v>
      </c>
      <c r="B603" s="139" t="s">
        <v>63</v>
      </c>
      <c r="C603" s="140" t="s">
        <v>267</v>
      </c>
      <c r="D603" s="191">
        <v>24</v>
      </c>
      <c r="E603" s="77">
        <v>5</v>
      </c>
      <c r="F603" s="1"/>
      <c r="G603" s="76">
        <v>0.4236111111111111</v>
      </c>
      <c r="H603" s="76">
        <v>0.6875</v>
      </c>
      <c r="I603" s="173" t="s">
        <v>1357</v>
      </c>
      <c r="J603" s="23">
        <v>3</v>
      </c>
      <c r="K603" s="68">
        <v>1.0416666666666666E-2</v>
      </c>
      <c r="L603" s="68">
        <v>0.44444444444444442</v>
      </c>
      <c r="M603" s="68">
        <v>0.6875</v>
      </c>
      <c r="N603" s="173" t="s">
        <v>1466</v>
      </c>
      <c r="O603" s="23">
        <v>2515</v>
      </c>
      <c r="P603" s="70">
        <v>0.4236111111111111</v>
      </c>
      <c r="Q603" s="70">
        <v>0.6875</v>
      </c>
      <c r="R603" s="229" t="s">
        <v>1357</v>
      </c>
    </row>
    <row r="604" spans="1:18" x14ac:dyDescent="0.4">
      <c r="A604" s="138">
        <v>45742</v>
      </c>
      <c r="B604" s="139" t="s">
        <v>131</v>
      </c>
      <c r="C604" s="140" t="s">
        <v>274</v>
      </c>
      <c r="D604" s="191">
        <v>40</v>
      </c>
      <c r="E604" s="77">
        <v>3</v>
      </c>
      <c r="F604" s="76">
        <v>4.1666666666666664E-2</v>
      </c>
      <c r="G604" s="76">
        <v>0.29166666666666669</v>
      </c>
      <c r="H604" s="76">
        <v>0.625</v>
      </c>
      <c r="I604" s="173" t="s">
        <v>1292</v>
      </c>
      <c r="J604" s="23">
        <v>4</v>
      </c>
      <c r="K604" s="23"/>
      <c r="L604" s="68">
        <v>0.29166666666666669</v>
      </c>
      <c r="M604" s="68">
        <v>0.65277777777777779</v>
      </c>
      <c r="N604" s="173" t="s">
        <v>1494</v>
      </c>
      <c r="O604" s="23">
        <v>3280</v>
      </c>
      <c r="P604" s="70">
        <v>0.29166666666666669</v>
      </c>
      <c r="Q604" s="70">
        <v>0.65277777777777779</v>
      </c>
      <c r="R604" s="229" t="s">
        <v>1494</v>
      </c>
    </row>
    <row r="605" spans="1:18" x14ac:dyDescent="0.4">
      <c r="A605" s="138">
        <v>45743</v>
      </c>
      <c r="B605" s="139" t="s">
        <v>54</v>
      </c>
      <c r="C605" s="140" t="s">
        <v>251</v>
      </c>
      <c r="D605" s="191">
        <v>32</v>
      </c>
      <c r="E605" s="77">
        <v>5</v>
      </c>
      <c r="F605" s="1"/>
      <c r="G605" s="76">
        <v>0.3520833333333333</v>
      </c>
      <c r="H605" s="76">
        <v>0.66666666666666663</v>
      </c>
      <c r="I605" s="173" t="s">
        <v>1549</v>
      </c>
      <c r="J605" s="23">
        <v>3</v>
      </c>
      <c r="K605" s="68">
        <v>1.0416666666666666E-2</v>
      </c>
      <c r="L605" s="68">
        <v>0.38194444444444442</v>
      </c>
      <c r="M605" s="68">
        <v>0.6875</v>
      </c>
      <c r="N605" s="173" t="s">
        <v>1402</v>
      </c>
      <c r="O605" s="23">
        <v>3150</v>
      </c>
      <c r="P605" s="70">
        <v>0.3520833333333333</v>
      </c>
      <c r="Q605" s="70">
        <v>0.6875</v>
      </c>
      <c r="R605" s="229" t="s">
        <v>1550</v>
      </c>
    </row>
    <row r="606" spans="1:18" x14ac:dyDescent="0.4">
      <c r="A606" s="138">
        <v>45743</v>
      </c>
      <c r="B606" s="139" t="s">
        <v>538</v>
      </c>
      <c r="C606" s="140" t="s">
        <v>265</v>
      </c>
      <c r="D606" s="191">
        <v>6</v>
      </c>
      <c r="E606" s="77">
        <v>5</v>
      </c>
      <c r="F606" s="1"/>
      <c r="G606" s="76">
        <v>0.29166666666666669</v>
      </c>
      <c r="H606" s="76">
        <v>0.3520833333333333</v>
      </c>
      <c r="I606" s="173" t="s">
        <v>1551</v>
      </c>
      <c r="J606" s="23">
        <v>3</v>
      </c>
      <c r="K606" s="68">
        <v>1.0416666666666666E-2</v>
      </c>
      <c r="L606" s="68">
        <v>0.33333333333333331</v>
      </c>
      <c r="M606" s="68">
        <v>0.38194444444444442</v>
      </c>
      <c r="N606" s="173" t="s">
        <v>1534</v>
      </c>
      <c r="O606" s="23">
        <v>690</v>
      </c>
      <c r="P606" s="70">
        <v>0.29166666666666669</v>
      </c>
      <c r="Q606" s="70">
        <v>0.38194444444444442</v>
      </c>
      <c r="R606" s="229" t="s">
        <v>1248</v>
      </c>
    </row>
    <row r="607" spans="1:18" x14ac:dyDescent="0.4">
      <c r="A607" s="138">
        <v>45743</v>
      </c>
      <c r="B607" s="139" t="s">
        <v>73</v>
      </c>
      <c r="C607" s="140" t="s">
        <v>231</v>
      </c>
      <c r="D607" s="191">
        <v>21</v>
      </c>
      <c r="E607" s="77">
        <v>5</v>
      </c>
      <c r="F607" s="1"/>
      <c r="G607" s="76">
        <v>0.29166666666666669</v>
      </c>
      <c r="H607" s="76">
        <v>0.68055555555555547</v>
      </c>
      <c r="I607" s="173" t="s">
        <v>1465</v>
      </c>
      <c r="J607" s="23">
        <v>9</v>
      </c>
      <c r="K607" s="23"/>
      <c r="L607" s="68">
        <v>0.33333333333333331</v>
      </c>
      <c r="M607" s="68">
        <v>0.70833333333333337</v>
      </c>
      <c r="N607" s="173" t="s">
        <v>1292</v>
      </c>
      <c r="O607" s="23">
        <v>6820</v>
      </c>
      <c r="P607" s="70">
        <v>0.29166666666666669</v>
      </c>
      <c r="Q607" s="70">
        <v>0.70833333333333337</v>
      </c>
      <c r="R607" s="229" t="s">
        <v>1252</v>
      </c>
    </row>
    <row r="608" spans="1:18" x14ac:dyDescent="0.4">
      <c r="A608" s="138">
        <v>45743</v>
      </c>
      <c r="B608" s="139" t="s">
        <v>65</v>
      </c>
      <c r="C608" s="140" t="s">
        <v>189</v>
      </c>
      <c r="D608" s="191">
        <v>44</v>
      </c>
      <c r="E608" s="77">
        <v>3</v>
      </c>
      <c r="F608" s="76">
        <v>4.1666666666666664E-2</v>
      </c>
      <c r="G608" s="76">
        <v>0.29166666666666669</v>
      </c>
      <c r="H608" s="76">
        <v>0.625</v>
      </c>
      <c r="I608" s="173" t="s">
        <v>1292</v>
      </c>
      <c r="J608" s="23">
        <v>4</v>
      </c>
      <c r="K608" s="23"/>
      <c r="L608" s="68">
        <v>0.29166666666666669</v>
      </c>
      <c r="M608" s="68">
        <v>0.66666666666666663</v>
      </c>
      <c r="N608" s="173" t="s">
        <v>1292</v>
      </c>
      <c r="O608" s="23">
        <v>3360</v>
      </c>
      <c r="P608" s="70">
        <v>0.29166666666666669</v>
      </c>
      <c r="Q608" s="70">
        <v>0.66666666666666663</v>
      </c>
      <c r="R608" s="229" t="s">
        <v>1292</v>
      </c>
    </row>
    <row r="609" spans="1:18" x14ac:dyDescent="0.4">
      <c r="A609" s="138">
        <v>45743</v>
      </c>
      <c r="B609" s="139" t="s">
        <v>97</v>
      </c>
      <c r="C609" s="140" t="s">
        <v>274</v>
      </c>
      <c r="D609" s="191">
        <v>8</v>
      </c>
      <c r="E609" s="77">
        <v>3</v>
      </c>
      <c r="F609" s="76">
        <v>4.1666666666666664E-2</v>
      </c>
      <c r="G609" s="76">
        <v>0.29166666666666669</v>
      </c>
      <c r="H609" s="76">
        <v>0.35416666666666669</v>
      </c>
      <c r="I609" s="173" t="s">
        <v>1298</v>
      </c>
      <c r="J609" s="23">
        <v>4</v>
      </c>
      <c r="K609" s="23"/>
      <c r="L609" s="68">
        <v>0.29166666666666669</v>
      </c>
      <c r="M609" s="68">
        <v>0.375</v>
      </c>
      <c r="N609" s="173" t="s">
        <v>1296</v>
      </c>
      <c r="O609" s="23">
        <v>930</v>
      </c>
      <c r="P609" s="70">
        <v>0.29166666666666669</v>
      </c>
      <c r="Q609" s="70">
        <v>0.375</v>
      </c>
      <c r="R609" s="229" t="s">
        <v>1296</v>
      </c>
    </row>
    <row r="610" spans="1:18" x14ac:dyDescent="0.4">
      <c r="A610" s="138">
        <v>45744</v>
      </c>
      <c r="B610" s="139" t="s">
        <v>114</v>
      </c>
      <c r="C610" s="140" t="s">
        <v>161</v>
      </c>
      <c r="D610" s="191">
        <v>12</v>
      </c>
      <c r="E610" s="77">
        <v>5</v>
      </c>
      <c r="F610" s="1"/>
      <c r="G610" s="76">
        <v>0.29166666666666669</v>
      </c>
      <c r="H610" s="76">
        <v>0.5</v>
      </c>
      <c r="I610" s="173" t="s">
        <v>1327</v>
      </c>
      <c r="J610" s="23">
        <v>13</v>
      </c>
      <c r="K610" s="68">
        <v>1.0416666666666666E-2</v>
      </c>
      <c r="L610" s="68">
        <v>0.33333333333333331</v>
      </c>
      <c r="M610" s="68">
        <v>0.58333333333333337</v>
      </c>
      <c r="N610" s="173" t="s">
        <v>1401</v>
      </c>
      <c r="O610" s="23">
        <v>5595</v>
      </c>
      <c r="P610" s="70">
        <v>0.29166666666666669</v>
      </c>
      <c r="Q610" s="70">
        <v>0.58333333333333337</v>
      </c>
      <c r="R610" s="229" t="s">
        <v>1321</v>
      </c>
    </row>
    <row r="611" spans="1:18" x14ac:dyDescent="0.4">
      <c r="A611" s="138">
        <v>45744</v>
      </c>
      <c r="B611" s="139" t="s">
        <v>955</v>
      </c>
      <c r="C611" s="140" t="s">
        <v>161</v>
      </c>
      <c r="D611" s="191">
        <v>3</v>
      </c>
      <c r="E611" s="77">
        <v>5</v>
      </c>
      <c r="F611" s="1"/>
      <c r="G611" s="76">
        <v>0.29166666666666669</v>
      </c>
      <c r="H611" s="76">
        <v>0.5</v>
      </c>
      <c r="I611" s="173" t="s">
        <v>1327</v>
      </c>
      <c r="J611" s="23">
        <v>13</v>
      </c>
      <c r="K611" s="68">
        <v>1.0416666666666666E-2</v>
      </c>
      <c r="L611" s="68">
        <v>0.33333333333333331</v>
      </c>
      <c r="M611" s="68">
        <v>0.58333333333333337</v>
      </c>
      <c r="N611" s="173" t="s">
        <v>1401</v>
      </c>
      <c r="O611" s="23">
        <v>5595</v>
      </c>
      <c r="P611" s="70">
        <v>0.29166666666666669</v>
      </c>
      <c r="Q611" s="70">
        <v>0.58333333333333337</v>
      </c>
      <c r="R611" s="229" t="s">
        <v>1321</v>
      </c>
    </row>
    <row r="612" spans="1:18" x14ac:dyDescent="0.4">
      <c r="A612" s="138">
        <v>45744</v>
      </c>
      <c r="B612" s="139" t="s">
        <v>91</v>
      </c>
      <c r="C612" s="140" t="s">
        <v>163</v>
      </c>
      <c r="D612" s="191">
        <v>12</v>
      </c>
      <c r="E612" s="77">
        <v>5</v>
      </c>
      <c r="F612" s="1"/>
      <c r="G612" s="76">
        <v>0.5</v>
      </c>
      <c r="H612" s="76">
        <v>0.6875</v>
      </c>
      <c r="I612" s="173" t="s">
        <v>1303</v>
      </c>
      <c r="J612" s="23">
        <v>9</v>
      </c>
      <c r="K612" s="68">
        <v>1.0416666666666666E-2</v>
      </c>
      <c r="L612" s="68">
        <v>0.58333333333333337</v>
      </c>
      <c r="M612" s="68">
        <v>0.70833333333333337</v>
      </c>
      <c r="N612" s="173" t="s">
        <v>1391</v>
      </c>
      <c r="O612" s="23">
        <v>2805</v>
      </c>
      <c r="P612" s="70">
        <v>0.5</v>
      </c>
      <c r="Q612" s="70">
        <v>0.70833333333333337</v>
      </c>
      <c r="R612" s="229" t="s">
        <v>1244</v>
      </c>
    </row>
    <row r="613" spans="1:18" x14ac:dyDescent="0.4">
      <c r="A613" s="138">
        <v>45744</v>
      </c>
      <c r="B613" s="139" t="s">
        <v>108</v>
      </c>
      <c r="C613" s="140" t="s">
        <v>231</v>
      </c>
      <c r="D613" s="191">
        <v>21</v>
      </c>
      <c r="E613" s="77">
        <v>5</v>
      </c>
      <c r="F613" s="76">
        <v>2.0833333333333332E-2</v>
      </c>
      <c r="G613" s="76">
        <v>0.29166666666666669</v>
      </c>
      <c r="H613" s="76">
        <v>0.68055555555555547</v>
      </c>
      <c r="I613" s="173" t="s">
        <v>1395</v>
      </c>
      <c r="J613" s="23">
        <v>9</v>
      </c>
      <c r="K613" s="23"/>
      <c r="L613" s="68">
        <v>0.33333333333333331</v>
      </c>
      <c r="M613" s="68">
        <v>0.70833333333333337</v>
      </c>
      <c r="N613" s="173" t="s">
        <v>1292</v>
      </c>
      <c r="O613" s="23">
        <v>6970</v>
      </c>
      <c r="P613" s="70">
        <v>0.29166666666666669</v>
      </c>
      <c r="Q613" s="70">
        <v>0.70833333333333337</v>
      </c>
      <c r="R613" s="229" t="s">
        <v>1252</v>
      </c>
    </row>
    <row r="614" spans="1:18" x14ac:dyDescent="0.4">
      <c r="A614" s="133">
        <v>45747</v>
      </c>
      <c r="B614" s="139" t="s">
        <v>71</v>
      </c>
      <c r="C614" s="30" t="s">
        <v>176</v>
      </c>
      <c r="D614" s="191">
        <v>60</v>
      </c>
      <c r="E614" s="77">
        <v>6</v>
      </c>
      <c r="F614" s="1"/>
      <c r="G614" s="76">
        <v>0.29166666666666669</v>
      </c>
      <c r="H614" s="76">
        <v>0.58750000000000002</v>
      </c>
      <c r="I614" s="173" t="s">
        <v>1552</v>
      </c>
      <c r="J614" s="23">
        <v>5</v>
      </c>
      <c r="K614" s="68">
        <v>1.0416666666666666E-2</v>
      </c>
      <c r="L614" s="68">
        <v>0.33333333333333331</v>
      </c>
      <c r="M614" s="68">
        <v>0.61805555555555558</v>
      </c>
      <c r="N614" s="173" t="s">
        <v>1360</v>
      </c>
      <c r="O614" s="23">
        <v>4021</v>
      </c>
      <c r="P614" s="70">
        <v>0.29166666666666669</v>
      </c>
      <c r="Q614" s="70">
        <v>0.61805555555555558</v>
      </c>
      <c r="R614" s="229" t="s">
        <v>1337</v>
      </c>
    </row>
    <row r="615" spans="1:18" x14ac:dyDescent="0.4">
      <c r="A615" s="133">
        <v>45747</v>
      </c>
      <c r="B615" s="139" t="s">
        <v>979</v>
      </c>
      <c r="C615" s="30" t="s">
        <v>199</v>
      </c>
      <c r="D615" s="191">
        <v>2</v>
      </c>
      <c r="E615" s="77">
        <v>6</v>
      </c>
      <c r="F615" s="1"/>
      <c r="G615" s="76">
        <v>0.58750000000000002</v>
      </c>
      <c r="H615" s="76">
        <v>0.66666666666666663</v>
      </c>
      <c r="I615" s="173" t="s">
        <v>1412</v>
      </c>
      <c r="J615" s="23">
        <v>5</v>
      </c>
      <c r="K615" s="68">
        <v>1.0416666666666666E-2</v>
      </c>
      <c r="L615" s="68">
        <v>0.61805555555555558</v>
      </c>
      <c r="M615" s="68">
        <v>0.70833333333333337</v>
      </c>
      <c r="N615" s="173" t="s">
        <v>1331</v>
      </c>
      <c r="O615" s="23">
        <v>1409</v>
      </c>
      <c r="P615" s="70">
        <v>0.58750000000000002</v>
      </c>
      <c r="Q615" s="70">
        <v>0.70833333333333337</v>
      </c>
      <c r="R615" s="229" t="s">
        <v>1437</v>
      </c>
    </row>
    <row r="616" spans="1:18" x14ac:dyDescent="0.4">
      <c r="A616" s="133">
        <v>45747</v>
      </c>
      <c r="B616" s="139" t="s">
        <v>63</v>
      </c>
      <c r="C616" s="30" t="s">
        <v>267</v>
      </c>
      <c r="D616" s="191">
        <v>24</v>
      </c>
      <c r="E616" s="77">
        <v>5</v>
      </c>
      <c r="F616" s="1"/>
      <c r="G616" s="76">
        <v>0.39513888888888887</v>
      </c>
      <c r="H616" s="76">
        <v>0.66666666666666663</v>
      </c>
      <c r="I616" s="173" t="s">
        <v>1553</v>
      </c>
      <c r="J616" s="23">
        <v>3</v>
      </c>
      <c r="K616" s="68">
        <v>1.0416666666666666E-2</v>
      </c>
      <c r="L616" s="68">
        <v>0.4236111111111111</v>
      </c>
      <c r="M616" s="68">
        <v>0.6875</v>
      </c>
      <c r="N616" s="173" t="s">
        <v>1354</v>
      </c>
      <c r="O616" s="23">
        <v>2660</v>
      </c>
      <c r="P616" s="70">
        <v>0.39513888888888887</v>
      </c>
      <c r="Q616" s="70">
        <v>0.6875</v>
      </c>
      <c r="R616" s="229" t="s">
        <v>1554</v>
      </c>
    </row>
    <row r="617" spans="1:18" x14ac:dyDescent="0.4">
      <c r="A617" s="133">
        <v>45747</v>
      </c>
      <c r="B617" s="139" t="s">
        <v>76</v>
      </c>
      <c r="C617" s="30" t="s">
        <v>224</v>
      </c>
      <c r="D617" s="191">
        <v>12</v>
      </c>
      <c r="E617" s="77">
        <v>5</v>
      </c>
      <c r="F617" s="1"/>
      <c r="G617" s="76">
        <v>0.29166666666666669</v>
      </c>
      <c r="H617" s="76">
        <v>0.39513888888888887</v>
      </c>
      <c r="I617" s="173" t="s">
        <v>1515</v>
      </c>
      <c r="J617" s="23">
        <v>3</v>
      </c>
      <c r="K617" s="68">
        <v>1.0416666666666666E-2</v>
      </c>
      <c r="L617" s="68">
        <v>0.33333333333333331</v>
      </c>
      <c r="M617" s="68">
        <v>0.4236111111111111</v>
      </c>
      <c r="N617" s="173" t="s">
        <v>1331</v>
      </c>
      <c r="O617" s="23">
        <v>1180</v>
      </c>
      <c r="P617" s="70">
        <v>0.29166666666666669</v>
      </c>
      <c r="Q617" s="70">
        <v>0.4236111111111111</v>
      </c>
      <c r="R617" s="229" t="s">
        <v>1256</v>
      </c>
    </row>
    <row r="618" spans="1:18" x14ac:dyDescent="0.4">
      <c r="A618" s="133">
        <v>45747</v>
      </c>
      <c r="B618" s="139" t="s">
        <v>65</v>
      </c>
      <c r="C618" s="30" t="s">
        <v>189</v>
      </c>
      <c r="D618" s="191">
        <v>52</v>
      </c>
      <c r="E618" s="77">
        <v>3</v>
      </c>
      <c r="F618" s="76">
        <v>4.1666666666666664E-2</v>
      </c>
      <c r="G618" s="76">
        <v>0.29166666666666669</v>
      </c>
      <c r="H618" s="76">
        <v>0.66666666666666663</v>
      </c>
      <c r="I618" s="173" t="s">
        <v>1252</v>
      </c>
      <c r="J618" s="23">
        <v>5</v>
      </c>
      <c r="K618" s="23"/>
      <c r="L618" s="68">
        <v>0.29166666666666669</v>
      </c>
      <c r="M618" s="68">
        <v>0.70833333333333337</v>
      </c>
      <c r="N618" s="173" t="s">
        <v>1252</v>
      </c>
      <c r="O618" s="23">
        <v>4320</v>
      </c>
      <c r="P618" s="70">
        <v>0.29166666666666669</v>
      </c>
      <c r="Q618" s="70">
        <v>0.70833333333333337</v>
      </c>
      <c r="R618" s="229" t="s">
        <v>1252</v>
      </c>
    </row>
    <row r="619" spans="1:18" x14ac:dyDescent="0.4">
      <c r="A619" s="133">
        <v>45748</v>
      </c>
      <c r="B619" s="139" t="s">
        <v>54</v>
      </c>
      <c r="C619" s="30" t="s">
        <v>251</v>
      </c>
      <c r="D619" s="191">
        <v>30</v>
      </c>
      <c r="E619" s="77">
        <v>5</v>
      </c>
      <c r="F619" s="1"/>
      <c r="G619" s="76">
        <v>0.35416666666666669</v>
      </c>
      <c r="H619" s="76">
        <v>0.66666666666666663</v>
      </c>
      <c r="I619" s="173" t="s">
        <v>1329</v>
      </c>
      <c r="J619" s="23">
        <v>3</v>
      </c>
      <c r="K619" s="68">
        <v>1.0416666666666666E-2</v>
      </c>
      <c r="L619" s="68">
        <v>0.40277777777777773</v>
      </c>
      <c r="M619" s="68">
        <v>0.72916666666666663</v>
      </c>
      <c r="N619" s="173" t="s">
        <v>1456</v>
      </c>
      <c r="O619" s="23">
        <v>3225</v>
      </c>
      <c r="P619" s="70">
        <v>0.35416666666666669</v>
      </c>
      <c r="Q619" s="70">
        <v>0.72916666666666663</v>
      </c>
      <c r="R619" s="229" t="s">
        <v>1292</v>
      </c>
    </row>
    <row r="620" spans="1:18" x14ac:dyDescent="0.4">
      <c r="A620" s="133">
        <v>45748</v>
      </c>
      <c r="B620" s="139" t="s">
        <v>100</v>
      </c>
      <c r="C620" s="30" t="s">
        <v>257</v>
      </c>
      <c r="D620" s="191">
        <v>6</v>
      </c>
      <c r="E620" s="77">
        <v>5</v>
      </c>
      <c r="F620" s="1"/>
      <c r="G620" s="76">
        <v>0.29166666666666669</v>
      </c>
      <c r="H620" s="76">
        <v>0.35416666666666669</v>
      </c>
      <c r="I620" s="173" t="s">
        <v>1375</v>
      </c>
      <c r="J620" s="23">
        <v>3</v>
      </c>
      <c r="K620" s="68">
        <v>1.0416666666666666E-2</v>
      </c>
      <c r="L620" s="68">
        <v>0.33333333333333331</v>
      </c>
      <c r="M620" s="68">
        <v>0.40277777777777773</v>
      </c>
      <c r="N620" s="173" t="s">
        <v>1457</v>
      </c>
      <c r="O620" s="23">
        <v>795</v>
      </c>
      <c r="P620" s="70">
        <v>0.29166666666666669</v>
      </c>
      <c r="Q620" s="70">
        <v>0.40277777777777773</v>
      </c>
      <c r="R620" s="229" t="s">
        <v>1325</v>
      </c>
    </row>
    <row r="621" spans="1:18" x14ac:dyDescent="0.4">
      <c r="A621" s="133">
        <v>45748</v>
      </c>
      <c r="B621" s="139" t="s">
        <v>55</v>
      </c>
      <c r="C621" s="30" t="s">
        <v>208</v>
      </c>
      <c r="D621" s="191">
        <v>40</v>
      </c>
      <c r="E621" s="77">
        <v>5</v>
      </c>
      <c r="F621" s="1"/>
      <c r="G621" s="76">
        <v>0.29166666666666669</v>
      </c>
      <c r="H621" s="76">
        <v>0.6875</v>
      </c>
      <c r="I621" s="173" t="s">
        <v>990</v>
      </c>
      <c r="J621" s="23">
        <v>4</v>
      </c>
      <c r="K621" s="23"/>
      <c r="L621" s="68">
        <v>0.3125</v>
      </c>
      <c r="M621" s="68">
        <v>0.70833333333333337</v>
      </c>
      <c r="N621" s="173" t="s">
        <v>990</v>
      </c>
      <c r="O621" s="23">
        <v>4590</v>
      </c>
      <c r="P621" s="70">
        <v>0.29166666666666669</v>
      </c>
      <c r="Q621" s="70">
        <v>0.70833333333333337</v>
      </c>
      <c r="R621" s="229" t="s">
        <v>1252</v>
      </c>
    </row>
    <row r="622" spans="1:18" x14ac:dyDescent="0.4">
      <c r="A622" s="133">
        <v>45748</v>
      </c>
      <c r="B622" s="139" t="s">
        <v>65</v>
      </c>
      <c r="C622" s="30" t="s">
        <v>189</v>
      </c>
      <c r="D622" s="191">
        <v>52</v>
      </c>
      <c r="E622" s="77">
        <v>3</v>
      </c>
      <c r="F622" s="76">
        <v>4.1666666666666664E-2</v>
      </c>
      <c r="G622" s="76">
        <v>0.29166666666666669</v>
      </c>
      <c r="H622" s="76">
        <v>0.66666666666666663</v>
      </c>
      <c r="I622" s="173" t="s">
        <v>1252</v>
      </c>
      <c r="J622" s="23">
        <v>5</v>
      </c>
      <c r="K622" s="23"/>
      <c r="L622" s="68">
        <v>0.29166666666666669</v>
      </c>
      <c r="M622" s="68">
        <v>0.70833333333333337</v>
      </c>
      <c r="N622" s="173" t="s">
        <v>1252</v>
      </c>
      <c r="O622" s="23">
        <v>4320</v>
      </c>
      <c r="P622" s="70">
        <v>0.29166666666666669</v>
      </c>
      <c r="Q622" s="70">
        <v>0.70833333333333337</v>
      </c>
      <c r="R622" s="229" t="s">
        <v>1252</v>
      </c>
    </row>
    <row r="623" spans="1:18" x14ac:dyDescent="0.4">
      <c r="A623" s="133">
        <v>45749</v>
      </c>
      <c r="B623" s="139" t="s">
        <v>61</v>
      </c>
      <c r="C623" s="30" t="s">
        <v>156</v>
      </c>
      <c r="D623" s="191">
        <v>40</v>
      </c>
      <c r="E623" s="77">
        <v>4</v>
      </c>
      <c r="F623" s="1"/>
      <c r="G623" s="76">
        <v>0.29166666666666669</v>
      </c>
      <c r="H623" s="76">
        <v>0.66666666666666663</v>
      </c>
      <c r="I623" s="173" t="s">
        <v>1292</v>
      </c>
      <c r="J623" s="23">
        <v>10</v>
      </c>
      <c r="K623" s="23"/>
      <c r="L623" s="68">
        <v>0.29166666666666669</v>
      </c>
      <c r="M623" s="68">
        <v>0.70833333333333337</v>
      </c>
      <c r="N623" s="173" t="s">
        <v>1252</v>
      </c>
      <c r="O623" s="23">
        <v>7320</v>
      </c>
      <c r="P623" s="70">
        <v>0.29166666666666669</v>
      </c>
      <c r="Q623" s="70">
        <v>0.70833333333333337</v>
      </c>
      <c r="R623" s="229" t="s">
        <v>1252</v>
      </c>
    </row>
    <row r="624" spans="1:18" x14ac:dyDescent="0.4">
      <c r="A624" s="133">
        <v>45749</v>
      </c>
      <c r="B624" s="139" t="s">
        <v>64</v>
      </c>
      <c r="C624" s="30" t="s">
        <v>271</v>
      </c>
      <c r="D624" s="191">
        <v>12</v>
      </c>
      <c r="E624" s="77">
        <v>5</v>
      </c>
      <c r="F624" s="1"/>
      <c r="G624" s="76">
        <v>0.29166666666666669</v>
      </c>
      <c r="H624" s="76">
        <v>0.41111111111111115</v>
      </c>
      <c r="I624" s="173" t="s">
        <v>1344</v>
      </c>
      <c r="J624" s="23">
        <v>3</v>
      </c>
      <c r="K624" s="68">
        <v>1.0416666666666666E-2</v>
      </c>
      <c r="L624" s="68">
        <v>0.33333333333333331</v>
      </c>
      <c r="M624" s="68">
        <v>0.44097222222222227</v>
      </c>
      <c r="N624" s="173" t="s">
        <v>1314</v>
      </c>
      <c r="O624" s="23">
        <v>1370</v>
      </c>
      <c r="P624" s="70">
        <v>0.29166666666666669</v>
      </c>
      <c r="Q624" s="70">
        <v>0.44097222222222227</v>
      </c>
      <c r="R624" s="229" t="s">
        <v>1355</v>
      </c>
    </row>
    <row r="625" spans="1:18" x14ac:dyDescent="0.4">
      <c r="A625" s="133">
        <v>45749</v>
      </c>
      <c r="B625" s="139" t="s">
        <v>63</v>
      </c>
      <c r="C625" s="30" t="s">
        <v>267</v>
      </c>
      <c r="D625" s="191">
        <v>24</v>
      </c>
      <c r="E625" s="77">
        <v>5</v>
      </c>
      <c r="F625" s="1"/>
      <c r="G625" s="76">
        <v>0.41111111111111115</v>
      </c>
      <c r="H625" s="76">
        <v>0.70833333333333337</v>
      </c>
      <c r="I625" s="173" t="s">
        <v>1461</v>
      </c>
      <c r="J625" s="23">
        <v>3</v>
      </c>
      <c r="K625" s="68">
        <v>1.0416666666666666E-2</v>
      </c>
      <c r="L625" s="68">
        <v>0.44097222222222227</v>
      </c>
      <c r="M625" s="68">
        <v>0.70833333333333337</v>
      </c>
      <c r="N625" s="173" t="s">
        <v>1339</v>
      </c>
      <c r="O625" s="23">
        <v>2860</v>
      </c>
      <c r="P625" s="70">
        <v>0.41111111111111115</v>
      </c>
      <c r="Q625" s="70">
        <v>0.70833333333333337</v>
      </c>
      <c r="R625" s="229" t="s">
        <v>1461</v>
      </c>
    </row>
    <row r="626" spans="1:18" x14ac:dyDescent="0.4">
      <c r="A626" s="133">
        <v>45749</v>
      </c>
      <c r="B626" s="139" t="s">
        <v>65</v>
      </c>
      <c r="C626" s="30" t="s">
        <v>189</v>
      </c>
      <c r="D626" s="191">
        <v>44</v>
      </c>
      <c r="E626" s="77">
        <v>3</v>
      </c>
      <c r="F626" s="76">
        <v>2.0833333333333332E-2</v>
      </c>
      <c r="G626" s="76">
        <v>0.35416666666666669</v>
      </c>
      <c r="H626" s="76">
        <v>0.625</v>
      </c>
      <c r="I626" s="173" t="s">
        <v>1321</v>
      </c>
      <c r="J626" s="23">
        <v>4</v>
      </c>
      <c r="K626" s="23"/>
      <c r="L626" s="68">
        <v>0.38541666666666669</v>
      </c>
      <c r="M626" s="68">
        <v>0.6875</v>
      </c>
      <c r="N626" s="173" t="s">
        <v>1383</v>
      </c>
      <c r="O626" s="23">
        <v>2580</v>
      </c>
      <c r="P626" s="70">
        <v>0.35416666666666669</v>
      </c>
      <c r="Q626" s="70">
        <v>0.6875</v>
      </c>
      <c r="R626" s="229" t="s">
        <v>1341</v>
      </c>
    </row>
    <row r="627" spans="1:18" x14ac:dyDescent="0.4">
      <c r="A627" s="133">
        <v>45749</v>
      </c>
      <c r="B627" s="139" t="s">
        <v>97</v>
      </c>
      <c r="C627" s="30" t="s">
        <v>274</v>
      </c>
      <c r="D627" s="191">
        <v>8</v>
      </c>
      <c r="E627" s="77">
        <v>3</v>
      </c>
      <c r="F627" s="76">
        <v>2.0833333333333332E-2</v>
      </c>
      <c r="G627" s="76">
        <v>0.29166666666666669</v>
      </c>
      <c r="H627" s="76">
        <v>0.35416666666666669</v>
      </c>
      <c r="I627" s="173" t="s">
        <v>1296</v>
      </c>
      <c r="J627" s="23">
        <v>4</v>
      </c>
      <c r="K627" s="23"/>
      <c r="L627" s="68">
        <v>0.29166666666666669</v>
      </c>
      <c r="M627" s="68">
        <v>0.38194444444444442</v>
      </c>
      <c r="N627" s="173" t="s">
        <v>1248</v>
      </c>
      <c r="O627" s="23">
        <v>880</v>
      </c>
      <c r="P627" s="70">
        <v>0.29166666666666669</v>
      </c>
      <c r="Q627" s="70">
        <v>0.38194444444444442</v>
      </c>
      <c r="R627" s="229" t="s">
        <v>1248</v>
      </c>
    </row>
    <row r="628" spans="1:18" x14ac:dyDescent="0.4">
      <c r="A628" s="133">
        <v>45754</v>
      </c>
      <c r="B628" s="139" t="s">
        <v>80</v>
      </c>
      <c r="C628" s="30" t="s">
        <v>203</v>
      </c>
      <c r="D628" s="191">
        <v>32</v>
      </c>
      <c r="E628" s="77">
        <v>5</v>
      </c>
      <c r="F628" s="1"/>
      <c r="G628" s="76">
        <v>0.29166666666666669</v>
      </c>
      <c r="H628" s="76">
        <v>0.5</v>
      </c>
      <c r="I628" s="173" t="s">
        <v>1327</v>
      </c>
      <c r="J628" s="23">
        <v>5</v>
      </c>
      <c r="K628" s="68">
        <v>1.0416666666666666E-2</v>
      </c>
      <c r="L628" s="68">
        <v>0.33333333333333331</v>
      </c>
      <c r="M628" s="68">
        <v>0.5</v>
      </c>
      <c r="N628" s="173" t="s">
        <v>1259</v>
      </c>
      <c r="O628" s="23">
        <v>2775</v>
      </c>
      <c r="P628" s="70">
        <v>0.29166666666666669</v>
      </c>
      <c r="Q628" s="70">
        <v>0.5</v>
      </c>
      <c r="R628" s="229" t="s">
        <v>1327</v>
      </c>
    </row>
    <row r="629" spans="1:18" x14ac:dyDescent="0.4">
      <c r="A629" s="133">
        <v>45754</v>
      </c>
      <c r="B629" s="139" t="s">
        <v>71</v>
      </c>
      <c r="C629" s="30" t="s">
        <v>176</v>
      </c>
      <c r="D629" s="191">
        <v>32</v>
      </c>
      <c r="E629" s="77">
        <v>5</v>
      </c>
      <c r="F629" s="1"/>
      <c r="G629" s="76">
        <v>0.4548611111111111</v>
      </c>
      <c r="H629" s="76">
        <v>0.6875</v>
      </c>
      <c r="I629" s="173" t="s">
        <v>1304</v>
      </c>
      <c r="J629" s="23">
        <v>5</v>
      </c>
      <c r="K629" s="68">
        <v>1.0416666666666666E-2</v>
      </c>
      <c r="L629" s="68">
        <v>0.54166666666666663</v>
      </c>
      <c r="M629" s="68">
        <v>0.70833333333333337</v>
      </c>
      <c r="N629" s="173" t="s">
        <v>1259</v>
      </c>
      <c r="O629" s="23">
        <v>2650</v>
      </c>
      <c r="P629" s="70">
        <v>0.4548611111111111</v>
      </c>
      <c r="Q629" s="70">
        <v>0.70833333333333337</v>
      </c>
      <c r="R629" s="229" t="s">
        <v>1466</v>
      </c>
    </row>
    <row r="630" spans="1:18" x14ac:dyDescent="0.4">
      <c r="A630" s="133">
        <v>45754</v>
      </c>
      <c r="B630" s="139" t="s">
        <v>75</v>
      </c>
      <c r="C630" s="30" t="s">
        <v>229</v>
      </c>
      <c r="D630" s="191">
        <v>16</v>
      </c>
      <c r="E630" s="77">
        <v>5</v>
      </c>
      <c r="F630" s="1"/>
      <c r="G630" s="76">
        <v>0.29166666666666669</v>
      </c>
      <c r="H630" s="76">
        <v>0.66666666666666663</v>
      </c>
      <c r="I630" s="173" t="s">
        <v>1292</v>
      </c>
      <c r="J630" s="23">
        <v>3</v>
      </c>
      <c r="K630" s="68">
        <v>6.9444444444444441E-3</v>
      </c>
      <c r="L630" s="68">
        <v>0.33333333333333331</v>
      </c>
      <c r="M630" s="68">
        <v>0.47222222222222227</v>
      </c>
      <c r="N630" s="173" t="s">
        <v>1303</v>
      </c>
      <c r="O630" s="23">
        <v>3030</v>
      </c>
      <c r="P630" s="70">
        <v>0.29166666666666669</v>
      </c>
      <c r="Q630" s="70">
        <v>0.66666666666666663</v>
      </c>
      <c r="R630" s="229" t="s">
        <v>1292</v>
      </c>
    </row>
    <row r="631" spans="1:18" x14ac:dyDescent="0.4">
      <c r="A631" s="133">
        <v>45754</v>
      </c>
      <c r="B631" s="139" t="s">
        <v>63</v>
      </c>
      <c r="C631" s="30" t="s">
        <v>267</v>
      </c>
      <c r="D631" s="191">
        <v>16</v>
      </c>
      <c r="E631" s="77">
        <v>5</v>
      </c>
      <c r="F631" s="1"/>
      <c r="G631" s="76">
        <v>0.54166666666666663</v>
      </c>
      <c r="H631" s="76">
        <v>0.6875</v>
      </c>
      <c r="I631" s="173" t="s">
        <v>1303</v>
      </c>
      <c r="J631" s="23">
        <v>3</v>
      </c>
      <c r="K631" s="68">
        <v>6.9444444444444441E-3</v>
      </c>
      <c r="L631" s="68">
        <v>0.56944444444444442</v>
      </c>
      <c r="M631" s="68">
        <v>0.70833333333333337</v>
      </c>
      <c r="N631" s="173" t="s">
        <v>1303</v>
      </c>
      <c r="O631" s="23">
        <v>1680</v>
      </c>
      <c r="P631" s="70">
        <v>0.54166666666666663</v>
      </c>
      <c r="Q631" s="70">
        <v>0.70833333333333337</v>
      </c>
      <c r="R631" s="229" t="s">
        <v>1244</v>
      </c>
    </row>
    <row r="632" spans="1:18" x14ac:dyDescent="0.4">
      <c r="A632" s="133">
        <v>45754</v>
      </c>
      <c r="B632" s="139" t="s">
        <v>984</v>
      </c>
      <c r="C632" s="30" t="s">
        <v>245</v>
      </c>
      <c r="D632" s="191">
        <v>1</v>
      </c>
      <c r="E632" s="77">
        <v>5</v>
      </c>
      <c r="F632" s="1"/>
      <c r="G632" s="76">
        <v>0.44305555555555554</v>
      </c>
      <c r="H632" s="76">
        <v>0.5</v>
      </c>
      <c r="I632" s="173" t="s">
        <v>1430</v>
      </c>
      <c r="J632" s="23">
        <v>3</v>
      </c>
      <c r="K632" s="68">
        <v>6.9444444444444441E-3</v>
      </c>
      <c r="L632" s="68">
        <v>0.47222222222222227</v>
      </c>
      <c r="M632" s="68">
        <v>0.56944444444444442</v>
      </c>
      <c r="N632" s="173" t="s">
        <v>1375</v>
      </c>
      <c r="O632" s="23">
        <v>680</v>
      </c>
      <c r="P632" s="70">
        <v>0.44305555555555554</v>
      </c>
      <c r="Q632" s="70">
        <v>0.56944444444444442</v>
      </c>
      <c r="R632" s="229" t="s">
        <v>1364</v>
      </c>
    </row>
    <row r="633" spans="1:18" x14ac:dyDescent="0.4">
      <c r="A633" s="133">
        <v>45754</v>
      </c>
      <c r="B633" s="139" t="s">
        <v>597</v>
      </c>
      <c r="C633" s="30" t="s">
        <v>283</v>
      </c>
      <c r="D633" s="191">
        <v>8</v>
      </c>
      <c r="E633" s="77">
        <v>3</v>
      </c>
      <c r="F633" s="76">
        <v>3.125E-2</v>
      </c>
      <c r="G633" s="76">
        <v>0.29166666666666669</v>
      </c>
      <c r="H633" s="76">
        <v>0.35416666666666669</v>
      </c>
      <c r="I633" s="173" t="s">
        <v>1324</v>
      </c>
      <c r="J633" s="23">
        <v>7</v>
      </c>
      <c r="K633" s="23"/>
      <c r="L633" s="68">
        <v>0.29166666666666669</v>
      </c>
      <c r="M633" s="68">
        <v>0.44444444444444442</v>
      </c>
      <c r="N633" s="173" t="s">
        <v>1254</v>
      </c>
      <c r="O633" s="23">
        <v>1945</v>
      </c>
      <c r="P633" s="70">
        <v>0.29166666666666669</v>
      </c>
      <c r="Q633" s="70">
        <v>0.44444444444444442</v>
      </c>
      <c r="R633" s="229" t="s">
        <v>1254</v>
      </c>
    </row>
    <row r="634" spans="1:18" x14ac:dyDescent="0.4">
      <c r="A634" s="133">
        <v>45754</v>
      </c>
      <c r="B634" s="139" t="s">
        <v>96</v>
      </c>
      <c r="C634" s="30" t="s">
        <v>167</v>
      </c>
      <c r="D634" s="191">
        <v>16</v>
      </c>
      <c r="E634" s="77">
        <v>2</v>
      </c>
      <c r="F634" s="76">
        <v>3.125E-2</v>
      </c>
      <c r="G634" s="76">
        <v>0.375</v>
      </c>
      <c r="H634" s="76">
        <v>0.625</v>
      </c>
      <c r="I634" s="173" t="s">
        <v>1330</v>
      </c>
      <c r="J634" s="23">
        <v>6</v>
      </c>
      <c r="K634" s="23"/>
      <c r="L634" s="68">
        <v>0.45833333333333331</v>
      </c>
      <c r="M634" s="68">
        <v>0.66666666666666663</v>
      </c>
      <c r="N634" s="173" t="s">
        <v>1244</v>
      </c>
      <c r="O634" s="23">
        <v>2130</v>
      </c>
      <c r="P634" s="70">
        <v>0.375</v>
      </c>
      <c r="Q634" s="70">
        <v>0.66666666666666663</v>
      </c>
      <c r="R634" s="229" t="s">
        <v>1321</v>
      </c>
    </row>
    <row r="635" spans="1:18" x14ac:dyDescent="0.4">
      <c r="A635" s="135">
        <v>45754</v>
      </c>
      <c r="B635" s="102" t="s">
        <v>594</v>
      </c>
      <c r="C635" s="136" t="s">
        <v>595</v>
      </c>
      <c r="D635" s="193">
        <v>1</v>
      </c>
      <c r="E635" s="103"/>
      <c r="F635" s="104"/>
      <c r="G635" s="184"/>
      <c r="H635" s="184"/>
      <c r="I635" s="225" t="s">
        <v>1002</v>
      </c>
      <c r="J635" s="105"/>
      <c r="K635" s="105"/>
      <c r="L635" s="106"/>
      <c r="M635" s="106"/>
      <c r="N635" s="225" t="s">
        <v>1002</v>
      </c>
      <c r="O635" s="105">
        <v>0</v>
      </c>
      <c r="P635" s="70">
        <v>0</v>
      </c>
      <c r="Q635" s="70">
        <v>0</v>
      </c>
      <c r="R635" s="232" t="s">
        <v>1002</v>
      </c>
    </row>
    <row r="636" spans="1:18" x14ac:dyDescent="0.4">
      <c r="A636" s="133">
        <v>45755</v>
      </c>
      <c r="B636" s="139" t="s">
        <v>51</v>
      </c>
      <c r="C636" s="30" t="s">
        <v>253</v>
      </c>
      <c r="D636" s="191">
        <v>24</v>
      </c>
      <c r="E636" s="77">
        <v>5</v>
      </c>
      <c r="F636" s="1"/>
      <c r="G636" s="76">
        <v>0.29166666666666669</v>
      </c>
      <c r="H636" s="76">
        <v>0.5</v>
      </c>
      <c r="I636" s="173" t="s">
        <v>1327</v>
      </c>
      <c r="J636" s="23">
        <v>4</v>
      </c>
      <c r="K636" s="68">
        <v>1.0416666666666666E-2</v>
      </c>
      <c r="L636" s="68">
        <v>0.33333333333333331</v>
      </c>
      <c r="M636" s="68">
        <v>0.56944444444444442</v>
      </c>
      <c r="N636" s="173" t="s">
        <v>1305</v>
      </c>
      <c r="O636" s="23">
        <v>2680</v>
      </c>
      <c r="P636" s="70">
        <v>0.29166666666666669</v>
      </c>
      <c r="Q636" s="70">
        <v>0.56944444444444442</v>
      </c>
      <c r="R636" s="229" t="s">
        <v>1339</v>
      </c>
    </row>
    <row r="637" spans="1:18" x14ac:dyDescent="0.4">
      <c r="A637" s="133">
        <v>45755</v>
      </c>
      <c r="B637" s="139" t="s">
        <v>109</v>
      </c>
      <c r="C637" s="30" t="s">
        <v>263</v>
      </c>
      <c r="D637" s="191">
        <v>12</v>
      </c>
      <c r="E637" s="77">
        <v>5</v>
      </c>
      <c r="F637" s="1"/>
      <c r="G637" s="76">
        <v>0.54166666666666663</v>
      </c>
      <c r="H637" s="76">
        <v>0.66666666666666663</v>
      </c>
      <c r="I637" s="173" t="s">
        <v>1316</v>
      </c>
      <c r="J637" s="23">
        <v>4</v>
      </c>
      <c r="K637" s="68">
        <v>1.0416666666666666E-2</v>
      </c>
      <c r="L637" s="68">
        <v>0.56944444444444442</v>
      </c>
      <c r="M637" s="68">
        <v>0.75</v>
      </c>
      <c r="N637" s="173" t="s">
        <v>1304</v>
      </c>
      <c r="O637" s="23">
        <v>2000</v>
      </c>
      <c r="P637" s="70">
        <v>0.54166666666666663</v>
      </c>
      <c r="Q637" s="70">
        <v>0.75</v>
      </c>
      <c r="R637" s="229" t="s">
        <v>1327</v>
      </c>
    </row>
    <row r="638" spans="1:18" x14ac:dyDescent="0.4">
      <c r="A638" s="133">
        <v>45755</v>
      </c>
      <c r="B638" s="139" t="s">
        <v>63</v>
      </c>
      <c r="C638" s="30" t="s">
        <v>267</v>
      </c>
      <c r="D638" s="191">
        <v>28</v>
      </c>
      <c r="E638" s="77">
        <v>5</v>
      </c>
      <c r="F638" s="1"/>
      <c r="G638" s="76">
        <v>0.38194444444444442</v>
      </c>
      <c r="H638" s="76">
        <v>0.6875</v>
      </c>
      <c r="I638" s="173" t="s">
        <v>1353</v>
      </c>
      <c r="J638" s="23">
        <v>3</v>
      </c>
      <c r="K638" s="68">
        <v>0.3125</v>
      </c>
      <c r="L638" s="68">
        <v>0.41666666666666669</v>
      </c>
      <c r="M638" s="68">
        <v>0.6875</v>
      </c>
      <c r="N638" s="173" t="s">
        <v>1555</v>
      </c>
      <c r="O638" s="23">
        <v>4240</v>
      </c>
      <c r="P638" s="70">
        <v>0.38194444444444442</v>
      </c>
      <c r="Q638" s="70">
        <v>0.6875</v>
      </c>
      <c r="R638" s="229" t="s">
        <v>1353</v>
      </c>
    </row>
    <row r="639" spans="1:18" x14ac:dyDescent="0.4">
      <c r="A639" s="133">
        <v>45755</v>
      </c>
      <c r="B639" s="139" t="s">
        <v>81</v>
      </c>
      <c r="C639" s="30" t="s">
        <v>235</v>
      </c>
      <c r="D639" s="191">
        <v>8</v>
      </c>
      <c r="E639" s="77">
        <v>5</v>
      </c>
      <c r="F639" s="1"/>
      <c r="G639" s="76">
        <v>0.29166666666666669</v>
      </c>
      <c r="H639" s="76">
        <v>0.38194444444444442</v>
      </c>
      <c r="I639" s="173" t="s">
        <v>1248</v>
      </c>
      <c r="J639" s="23">
        <v>3</v>
      </c>
      <c r="K639" s="68">
        <v>0.33333333333333331</v>
      </c>
      <c r="L639" s="68">
        <v>0.33333333333333331</v>
      </c>
      <c r="M639" s="68">
        <v>0.41666666666666669</v>
      </c>
      <c r="N639" s="173" t="s">
        <v>1308</v>
      </c>
      <c r="O639" s="23">
        <v>2450</v>
      </c>
      <c r="P639" s="70">
        <v>0.29166666666666669</v>
      </c>
      <c r="Q639" s="70">
        <v>0.41666666666666669</v>
      </c>
      <c r="R639" s="229" t="s">
        <v>1316</v>
      </c>
    </row>
    <row r="640" spans="1:18" x14ac:dyDescent="0.4">
      <c r="A640" s="133">
        <v>45755</v>
      </c>
      <c r="B640" s="139" t="s">
        <v>66</v>
      </c>
      <c r="C640" s="30" t="s">
        <v>195</v>
      </c>
      <c r="D640" s="191">
        <v>20</v>
      </c>
      <c r="E640" s="77">
        <v>3</v>
      </c>
      <c r="F640" s="76">
        <v>2.0833333333333332E-2</v>
      </c>
      <c r="G640" s="76">
        <v>0.47916666666666669</v>
      </c>
      <c r="H640" s="76">
        <v>0.625</v>
      </c>
      <c r="I640" s="173" t="s">
        <v>1316</v>
      </c>
      <c r="J640" s="23">
        <v>5</v>
      </c>
      <c r="K640" s="68">
        <v>2.0833333333333332E-2</v>
      </c>
      <c r="L640" s="68">
        <v>0.47916666666666669</v>
      </c>
      <c r="M640" s="68">
        <v>0.6875</v>
      </c>
      <c r="N640" s="173" t="s">
        <v>1243</v>
      </c>
      <c r="O640" s="23">
        <v>1890</v>
      </c>
      <c r="P640" s="70">
        <v>0.47916666666666669</v>
      </c>
      <c r="Q640" s="70">
        <v>0.6875</v>
      </c>
      <c r="R640" s="229" t="s">
        <v>1244</v>
      </c>
    </row>
    <row r="641" spans="1:18" x14ac:dyDescent="0.4">
      <c r="A641" s="133">
        <v>45755</v>
      </c>
      <c r="B641" s="139" t="s">
        <v>65</v>
      </c>
      <c r="C641" s="30" t="s">
        <v>189</v>
      </c>
      <c r="D641" s="191">
        <v>24</v>
      </c>
      <c r="E641" s="77">
        <v>3</v>
      </c>
      <c r="F641" s="76">
        <v>2.0833333333333332E-2</v>
      </c>
      <c r="G641" s="76">
        <v>0.29166666666666669</v>
      </c>
      <c r="H641" s="76">
        <v>0.47916666666666669</v>
      </c>
      <c r="I641" s="173" t="s">
        <v>1327</v>
      </c>
      <c r="J641" s="23">
        <v>5</v>
      </c>
      <c r="K641" s="68">
        <v>2.0833333333333332E-2</v>
      </c>
      <c r="L641" s="68">
        <v>0.33333333333333331</v>
      </c>
      <c r="M641" s="68">
        <v>0.47222222222222227</v>
      </c>
      <c r="N641" s="173" t="s">
        <v>1332</v>
      </c>
      <c r="O641" s="23">
        <v>2050</v>
      </c>
      <c r="P641" s="70">
        <v>0.29166666666666669</v>
      </c>
      <c r="Q641" s="70">
        <v>0.47916666666666669</v>
      </c>
      <c r="R641" s="229" t="s">
        <v>1243</v>
      </c>
    </row>
    <row r="642" spans="1:18" x14ac:dyDescent="0.4">
      <c r="A642" s="133">
        <v>45756</v>
      </c>
      <c r="B642" s="139" t="s">
        <v>68</v>
      </c>
      <c r="C642" s="30" t="s">
        <v>185</v>
      </c>
      <c r="D642" s="191">
        <v>40</v>
      </c>
      <c r="E642" s="77">
        <v>4</v>
      </c>
      <c r="F642" s="1"/>
      <c r="G642" s="76">
        <v>0.29166666666666669</v>
      </c>
      <c r="H642" s="76">
        <v>0.66666666666666663</v>
      </c>
      <c r="I642" s="173" t="s">
        <v>1292</v>
      </c>
      <c r="J642" s="23">
        <v>5</v>
      </c>
      <c r="K642" s="23"/>
      <c r="L642" s="68">
        <v>0.33333333333333331</v>
      </c>
      <c r="M642" s="68">
        <v>0.70833333333333337</v>
      </c>
      <c r="N642" s="173" t="s">
        <v>1292</v>
      </c>
      <c r="O642" s="23">
        <v>4320</v>
      </c>
      <c r="P642" s="70">
        <v>0.29166666666666669</v>
      </c>
      <c r="Q642" s="70">
        <v>0.70833333333333337</v>
      </c>
      <c r="R642" s="229" t="s">
        <v>1252</v>
      </c>
    </row>
    <row r="643" spans="1:18" x14ac:dyDescent="0.4">
      <c r="A643" s="133">
        <v>45756</v>
      </c>
      <c r="B643" s="139" t="s">
        <v>130</v>
      </c>
      <c r="C643" s="30" t="s">
        <v>216</v>
      </c>
      <c r="D643" s="191">
        <v>8</v>
      </c>
      <c r="E643" s="77">
        <v>5</v>
      </c>
      <c r="F643" s="1"/>
      <c r="G643" s="76">
        <v>0.59027777777777779</v>
      </c>
      <c r="H643" s="76">
        <v>0.70833333333333337</v>
      </c>
      <c r="I643" s="173" t="s">
        <v>1314</v>
      </c>
      <c r="J643" s="23">
        <v>3</v>
      </c>
      <c r="K643" s="68">
        <v>6.9444444444444441E-3</v>
      </c>
      <c r="L643" s="68">
        <v>0.625</v>
      </c>
      <c r="M643" s="68">
        <v>0.70833333333333337</v>
      </c>
      <c r="N643" s="173" t="s">
        <v>1248</v>
      </c>
      <c r="O643" s="23">
        <v>1240</v>
      </c>
      <c r="P643" s="70">
        <v>0.59027777777777779</v>
      </c>
      <c r="Q643" s="70">
        <v>0.70833333333333337</v>
      </c>
      <c r="R643" s="229" t="s">
        <v>1314</v>
      </c>
    </row>
    <row r="644" spans="1:18" x14ac:dyDescent="0.4">
      <c r="A644" s="133">
        <v>45756</v>
      </c>
      <c r="B644" s="139" t="s">
        <v>63</v>
      </c>
      <c r="C644" s="30" t="s">
        <v>267</v>
      </c>
      <c r="D644" s="191">
        <v>20</v>
      </c>
      <c r="E644" s="77">
        <v>5</v>
      </c>
      <c r="F644" s="1"/>
      <c r="G644" s="76">
        <v>0.37013888888888885</v>
      </c>
      <c r="H644" s="76">
        <v>0.59027777777777779</v>
      </c>
      <c r="I644" s="173" t="s">
        <v>1556</v>
      </c>
      <c r="J644" s="23">
        <v>3</v>
      </c>
      <c r="K644" s="68">
        <v>6.9444444444444441E-3</v>
      </c>
      <c r="L644" s="68">
        <v>0.39583333333333331</v>
      </c>
      <c r="M644" s="68">
        <v>0.625</v>
      </c>
      <c r="N644" s="173" t="s">
        <v>1255</v>
      </c>
      <c r="O644" s="23">
        <v>2125</v>
      </c>
      <c r="P644" s="70">
        <v>0.37013888888888885</v>
      </c>
      <c r="Q644" s="70">
        <v>0.625</v>
      </c>
      <c r="R644" s="229" t="s">
        <v>1557</v>
      </c>
    </row>
    <row r="645" spans="1:18" x14ac:dyDescent="0.4">
      <c r="A645" s="133">
        <v>45756</v>
      </c>
      <c r="B645" s="139" t="s">
        <v>77</v>
      </c>
      <c r="C645" s="30" t="s">
        <v>293</v>
      </c>
      <c r="D645" s="191">
        <v>8</v>
      </c>
      <c r="E645" s="77">
        <v>5</v>
      </c>
      <c r="F645" s="1"/>
      <c r="G645" s="76">
        <v>0.29166666666666669</v>
      </c>
      <c r="H645" s="76">
        <v>0.37013888888888885</v>
      </c>
      <c r="I645" s="173" t="s">
        <v>1558</v>
      </c>
      <c r="J645" s="23">
        <v>3</v>
      </c>
      <c r="K645" s="68">
        <v>6.9444444444444441E-3</v>
      </c>
      <c r="L645" s="68">
        <v>0.33333333333333331</v>
      </c>
      <c r="M645" s="68">
        <v>0.39583333333333331</v>
      </c>
      <c r="N645" s="173" t="s">
        <v>1386</v>
      </c>
      <c r="O645" s="23">
        <v>865</v>
      </c>
      <c r="P645" s="70">
        <v>0.29166666666666669</v>
      </c>
      <c r="Q645" s="70">
        <v>0.39583333333333331</v>
      </c>
      <c r="R645" s="229" t="s">
        <v>1298</v>
      </c>
    </row>
    <row r="646" spans="1:18" x14ac:dyDescent="0.4">
      <c r="A646" s="133">
        <v>45756</v>
      </c>
      <c r="B646" s="139" t="s">
        <v>110</v>
      </c>
      <c r="C646" s="30" t="s">
        <v>231</v>
      </c>
      <c r="D646" s="191">
        <v>21</v>
      </c>
      <c r="E646" s="77">
        <v>5</v>
      </c>
      <c r="F646" s="76">
        <v>2.0833333333333332E-2</v>
      </c>
      <c r="G646" s="76">
        <v>0.29166666666666669</v>
      </c>
      <c r="H646" s="76">
        <v>0.6875</v>
      </c>
      <c r="I646" s="173" t="s">
        <v>1252</v>
      </c>
      <c r="J646" s="23">
        <v>9</v>
      </c>
      <c r="K646" s="23"/>
      <c r="L646" s="68">
        <v>0.40277777777777773</v>
      </c>
      <c r="M646" s="68">
        <v>0.70833333333333337</v>
      </c>
      <c r="N646" s="173" t="s">
        <v>1353</v>
      </c>
      <c r="O646" s="23">
        <v>6120</v>
      </c>
      <c r="P646" s="70">
        <v>0.29166666666666669</v>
      </c>
      <c r="Q646" s="70">
        <v>0.70833333333333337</v>
      </c>
      <c r="R646" s="229" t="s">
        <v>1252</v>
      </c>
    </row>
    <row r="647" spans="1:18" x14ac:dyDescent="0.4">
      <c r="A647" s="133">
        <v>45757</v>
      </c>
      <c r="B647" s="139" t="s">
        <v>61</v>
      </c>
      <c r="C647" s="30" t="s">
        <v>156</v>
      </c>
      <c r="D647" s="191">
        <v>20</v>
      </c>
      <c r="E647" s="77">
        <v>4</v>
      </c>
      <c r="F647" s="1"/>
      <c r="G647" s="76">
        <v>0.29166666666666669</v>
      </c>
      <c r="H647" s="76">
        <v>0.5</v>
      </c>
      <c r="I647" s="173" t="s">
        <v>1327</v>
      </c>
      <c r="J647" s="23">
        <v>10</v>
      </c>
      <c r="K647" s="23"/>
      <c r="L647" s="68">
        <v>0.3125</v>
      </c>
      <c r="M647" s="68">
        <v>0.5</v>
      </c>
      <c r="N647" s="173" t="s">
        <v>1243</v>
      </c>
      <c r="O647" s="23">
        <v>3900</v>
      </c>
      <c r="P647" s="70">
        <v>0.29166666666666669</v>
      </c>
      <c r="Q647" s="70">
        <v>0.5</v>
      </c>
      <c r="R647" s="229" t="s">
        <v>1327</v>
      </c>
    </row>
    <row r="648" spans="1:18" x14ac:dyDescent="0.4">
      <c r="A648" s="133">
        <v>45757</v>
      </c>
      <c r="B648" s="139" t="s">
        <v>106</v>
      </c>
      <c r="C648" s="30" t="s">
        <v>173</v>
      </c>
      <c r="D648" s="191">
        <v>16</v>
      </c>
      <c r="E648" s="23">
        <v>4</v>
      </c>
      <c r="F648" s="23"/>
      <c r="G648" s="68">
        <v>0.54166666666666663</v>
      </c>
      <c r="H648" s="68">
        <v>0.70833333333333337</v>
      </c>
      <c r="I648" s="173" t="s">
        <v>1244</v>
      </c>
      <c r="J648" s="23">
        <v>9</v>
      </c>
      <c r="K648" s="23"/>
      <c r="L648" s="68">
        <v>0.54166666666666663</v>
      </c>
      <c r="M648" s="68">
        <v>0.72916666666666663</v>
      </c>
      <c r="N648" s="173" t="s">
        <v>1243</v>
      </c>
      <c r="O648" s="23">
        <v>3390</v>
      </c>
      <c r="P648" s="70">
        <v>0.54166666666666663</v>
      </c>
      <c r="Q648" s="70">
        <v>0.72916666666666663</v>
      </c>
      <c r="R648" s="229" t="s">
        <v>1243</v>
      </c>
    </row>
    <row r="649" spans="1:18" x14ac:dyDescent="0.4">
      <c r="A649" s="133">
        <v>45757</v>
      </c>
      <c r="B649" s="139" t="s">
        <v>55</v>
      </c>
      <c r="C649" s="30" t="s">
        <v>208</v>
      </c>
      <c r="D649" s="191">
        <v>32</v>
      </c>
      <c r="E649" s="23">
        <v>5</v>
      </c>
      <c r="F649" s="23"/>
      <c r="G649" s="68">
        <v>0.29166666666666669</v>
      </c>
      <c r="H649" s="68">
        <v>0.61458333333333337</v>
      </c>
      <c r="I649" s="173" t="s">
        <v>1527</v>
      </c>
      <c r="J649" s="23">
        <v>4</v>
      </c>
      <c r="K649" s="68">
        <v>1.0416666666666666E-2</v>
      </c>
      <c r="L649" s="68">
        <v>0.33333333333333331</v>
      </c>
      <c r="M649" s="68">
        <v>0.65972222222222221</v>
      </c>
      <c r="N649" s="173" t="s">
        <v>1456</v>
      </c>
      <c r="O649" s="23">
        <v>3725</v>
      </c>
      <c r="P649" s="70">
        <v>0.29166666666666669</v>
      </c>
      <c r="Q649" s="70">
        <v>0.65972222222222221</v>
      </c>
      <c r="R649" s="229" t="s">
        <v>1338</v>
      </c>
    </row>
    <row r="650" spans="1:18" x14ac:dyDescent="0.4">
      <c r="A650" s="133">
        <v>45757</v>
      </c>
      <c r="B650" s="139" t="s">
        <v>117</v>
      </c>
      <c r="C650" s="30" t="s">
        <v>304</v>
      </c>
      <c r="D650" s="191">
        <v>8</v>
      </c>
      <c r="E650" s="77">
        <v>5</v>
      </c>
      <c r="F650" s="1"/>
      <c r="G650" s="76">
        <v>0.61458333333333337</v>
      </c>
      <c r="H650" s="76">
        <v>0.70833333333333337</v>
      </c>
      <c r="I650" s="173" t="s">
        <v>1324</v>
      </c>
      <c r="J650" s="23">
        <v>4</v>
      </c>
      <c r="K650" s="68">
        <v>1.0416666666666666E-2</v>
      </c>
      <c r="L650" s="68">
        <v>0.65972222222222221</v>
      </c>
      <c r="M650" s="68">
        <v>0.77083333333333337</v>
      </c>
      <c r="N650" s="173" t="s">
        <v>1326</v>
      </c>
      <c r="O650" s="23">
        <v>1375</v>
      </c>
      <c r="P650" s="70">
        <v>0.61458333333333337</v>
      </c>
      <c r="Q650" s="70">
        <v>0.77083333333333337</v>
      </c>
      <c r="R650" s="229" t="s">
        <v>1380</v>
      </c>
    </row>
    <row r="651" spans="1:18" x14ac:dyDescent="0.4">
      <c r="A651" s="133">
        <v>45757</v>
      </c>
      <c r="B651" s="139" t="s">
        <v>65</v>
      </c>
      <c r="C651" s="30" t="s">
        <v>189</v>
      </c>
      <c r="D651" s="191">
        <v>56</v>
      </c>
      <c r="E651" s="77">
        <v>3</v>
      </c>
      <c r="F651" s="76">
        <v>4.1666666666666664E-2</v>
      </c>
      <c r="G651" s="76">
        <v>0.29166666666666669</v>
      </c>
      <c r="H651" s="76">
        <v>0.64583333333333337</v>
      </c>
      <c r="I651" s="173" t="s">
        <v>990</v>
      </c>
      <c r="J651" s="23">
        <v>4</v>
      </c>
      <c r="K651" s="23"/>
      <c r="L651" s="68">
        <v>0.29166666666666669</v>
      </c>
      <c r="M651" s="68">
        <v>0.69791666666666663</v>
      </c>
      <c r="N651" s="173" t="s">
        <v>991</v>
      </c>
      <c r="O651" s="23">
        <v>3630</v>
      </c>
      <c r="P651" s="70">
        <v>0.29166666666666669</v>
      </c>
      <c r="Q651" s="70">
        <v>0.69791666666666663</v>
      </c>
      <c r="R651" s="229" t="s">
        <v>991</v>
      </c>
    </row>
    <row r="652" spans="1:18" x14ac:dyDescent="0.4">
      <c r="A652" s="133">
        <v>45758</v>
      </c>
      <c r="B652" s="139" t="s">
        <v>71</v>
      </c>
      <c r="C652" s="30" t="s">
        <v>176</v>
      </c>
      <c r="D652" s="191">
        <v>72</v>
      </c>
      <c r="E652" s="77">
        <v>6</v>
      </c>
      <c r="F652" s="1"/>
      <c r="G652" s="76">
        <v>0.29166666666666669</v>
      </c>
      <c r="H652" s="76">
        <v>0.66666666666666663</v>
      </c>
      <c r="I652" s="173" t="s">
        <v>1292</v>
      </c>
      <c r="J652" s="23">
        <v>5</v>
      </c>
      <c r="K652" s="23"/>
      <c r="L652" s="68">
        <v>0.3125</v>
      </c>
      <c r="M652" s="68">
        <v>0.70833333333333337</v>
      </c>
      <c r="N652" s="173" t="s">
        <v>990</v>
      </c>
      <c r="O652" s="23">
        <v>5430</v>
      </c>
      <c r="P652" s="70">
        <v>0.29166666666666669</v>
      </c>
      <c r="Q652" s="70">
        <v>0.70833333333333337</v>
      </c>
      <c r="R652" s="229" t="s">
        <v>1252</v>
      </c>
    </row>
    <row r="653" spans="1:18" x14ac:dyDescent="0.4">
      <c r="A653" s="133">
        <v>45758</v>
      </c>
      <c r="B653" s="139" t="s">
        <v>63</v>
      </c>
      <c r="C653" s="30" t="s">
        <v>267</v>
      </c>
      <c r="D653" s="191">
        <v>20</v>
      </c>
      <c r="E653" s="77">
        <v>5</v>
      </c>
      <c r="F653" s="1"/>
      <c r="G653" s="76">
        <v>0.44791666666666669</v>
      </c>
      <c r="H653" s="76">
        <v>0.6875</v>
      </c>
      <c r="I653" s="173" t="s">
        <v>1335</v>
      </c>
      <c r="J653" s="23">
        <v>4</v>
      </c>
      <c r="K653" s="68">
        <v>1.0416666666666666E-2</v>
      </c>
      <c r="L653" s="68">
        <v>0.47916666666666669</v>
      </c>
      <c r="M653" s="68">
        <v>0.70833333333333337</v>
      </c>
      <c r="N653" s="173" t="s">
        <v>1335</v>
      </c>
      <c r="O653" s="23">
        <v>2565</v>
      </c>
      <c r="P653" s="70">
        <v>0.44791666666666669</v>
      </c>
      <c r="Q653" s="70">
        <v>0.70833333333333337</v>
      </c>
      <c r="R653" s="229" t="s">
        <v>1401</v>
      </c>
    </row>
    <row r="654" spans="1:18" x14ac:dyDescent="0.4">
      <c r="A654" s="133">
        <v>45758</v>
      </c>
      <c r="B654" s="139" t="s">
        <v>64</v>
      </c>
      <c r="C654" s="30" t="s">
        <v>271</v>
      </c>
      <c r="D654" s="191">
        <v>16</v>
      </c>
      <c r="E654" s="77">
        <v>5</v>
      </c>
      <c r="F654" s="1"/>
      <c r="G654" s="76">
        <v>0.29166666666666669</v>
      </c>
      <c r="H654" s="76">
        <v>0.44791666666666669</v>
      </c>
      <c r="I654" s="173" t="s">
        <v>1380</v>
      </c>
      <c r="J654" s="23">
        <v>4</v>
      </c>
      <c r="K654" s="68">
        <v>1.0416666666666666E-2</v>
      </c>
      <c r="L654" s="68">
        <v>0.33333333333333331</v>
      </c>
      <c r="M654" s="68">
        <v>0.47916666666666669</v>
      </c>
      <c r="N654" s="173" t="s">
        <v>1380</v>
      </c>
      <c r="O654" s="23">
        <v>2025</v>
      </c>
      <c r="P654" s="70">
        <v>0.29166666666666669</v>
      </c>
      <c r="Q654" s="70">
        <v>0.47916666666666669</v>
      </c>
      <c r="R654" s="229" t="s">
        <v>1243</v>
      </c>
    </row>
    <row r="655" spans="1:18" x14ac:dyDescent="0.4">
      <c r="A655" s="133">
        <v>45758</v>
      </c>
      <c r="B655" s="139" t="s">
        <v>82</v>
      </c>
      <c r="C655" s="30" t="s">
        <v>171</v>
      </c>
      <c r="D655" s="191">
        <v>36</v>
      </c>
      <c r="E655" s="77">
        <v>3</v>
      </c>
      <c r="F655" s="76">
        <v>4.1666666666666664E-2</v>
      </c>
      <c r="G655" s="76">
        <v>0.29166666666666669</v>
      </c>
      <c r="H655" s="76">
        <v>0.66666666666666663</v>
      </c>
      <c r="I655" s="173" t="s">
        <v>1252</v>
      </c>
      <c r="J655" s="23">
        <v>7</v>
      </c>
      <c r="K655" s="23"/>
      <c r="L655" s="68">
        <v>0.375</v>
      </c>
      <c r="M655" s="68">
        <v>0.75</v>
      </c>
      <c r="N655" s="173" t="s">
        <v>1292</v>
      </c>
      <c r="O655" s="23">
        <v>4980</v>
      </c>
      <c r="P655" s="70">
        <v>0.29166666666666669</v>
      </c>
      <c r="Q655" s="70">
        <v>0.75</v>
      </c>
      <c r="R655" s="229" t="s">
        <v>1308</v>
      </c>
    </row>
    <row r="656" spans="1:18" x14ac:dyDescent="0.4">
      <c r="A656" s="133">
        <v>45761</v>
      </c>
      <c r="B656" s="139" t="s">
        <v>71</v>
      </c>
      <c r="C656" s="30" t="s">
        <v>176</v>
      </c>
      <c r="D656" s="191">
        <v>72</v>
      </c>
      <c r="E656" s="77">
        <v>5</v>
      </c>
      <c r="F656" s="1"/>
      <c r="G656" s="76">
        <v>0.29166666666666669</v>
      </c>
      <c r="H656" s="76">
        <v>0.66666666666666663</v>
      </c>
      <c r="I656" s="173" t="s">
        <v>1292</v>
      </c>
      <c r="J656" s="23">
        <v>5</v>
      </c>
      <c r="K656" s="23"/>
      <c r="L656" s="68">
        <v>0.3125</v>
      </c>
      <c r="M656" s="68">
        <v>0.70833333333333337</v>
      </c>
      <c r="N656" s="173" t="s">
        <v>990</v>
      </c>
      <c r="O656" s="23">
        <v>4950</v>
      </c>
      <c r="P656" s="70">
        <v>0.29166666666666669</v>
      </c>
      <c r="Q656" s="70">
        <v>0.70833333333333337</v>
      </c>
      <c r="R656" s="229" t="s">
        <v>1252</v>
      </c>
    </row>
    <row r="657" spans="1:18" x14ac:dyDescent="0.4">
      <c r="A657" s="133">
        <v>45761</v>
      </c>
      <c r="B657" s="139" t="s">
        <v>63</v>
      </c>
      <c r="C657" s="30" t="s">
        <v>267</v>
      </c>
      <c r="D657" s="191">
        <v>24</v>
      </c>
      <c r="E657" s="77">
        <v>5</v>
      </c>
      <c r="F657" s="1"/>
      <c r="G657" s="76">
        <v>0.3979166666666667</v>
      </c>
      <c r="H657" s="76">
        <v>0.6875</v>
      </c>
      <c r="I657" s="173" t="s">
        <v>1501</v>
      </c>
      <c r="J657" s="23">
        <v>3</v>
      </c>
      <c r="K657" s="68">
        <v>1.0416666666666666E-2</v>
      </c>
      <c r="L657" s="68">
        <v>0.42708333333333331</v>
      </c>
      <c r="M657" s="68">
        <v>0.6875</v>
      </c>
      <c r="N657" s="173" t="s">
        <v>1320</v>
      </c>
      <c r="O657" s="23">
        <v>2775</v>
      </c>
      <c r="P657" s="70">
        <v>0.3979166666666667</v>
      </c>
      <c r="Q657" s="70">
        <v>0.6875</v>
      </c>
      <c r="R657" s="229" t="s">
        <v>1501</v>
      </c>
    </row>
    <row r="658" spans="1:18" x14ac:dyDescent="0.4">
      <c r="A658" s="133">
        <v>45761</v>
      </c>
      <c r="B658" s="139" t="s">
        <v>965</v>
      </c>
      <c r="C658" s="30" t="s">
        <v>966</v>
      </c>
      <c r="D658" s="191">
        <v>12</v>
      </c>
      <c r="E658" s="77">
        <v>5</v>
      </c>
      <c r="F658" s="1"/>
      <c r="G658" s="76">
        <v>0.29166666666666669</v>
      </c>
      <c r="H658" s="76">
        <v>0.3979166666666667</v>
      </c>
      <c r="I658" s="173" t="s">
        <v>1346</v>
      </c>
      <c r="J658" s="23">
        <v>3</v>
      </c>
      <c r="K658" s="68">
        <v>1.0416666666666666E-2</v>
      </c>
      <c r="L658" s="68">
        <v>0.33333333333333331</v>
      </c>
      <c r="M658" s="68">
        <v>0.42708333333333331</v>
      </c>
      <c r="N658" s="173" t="s">
        <v>1298</v>
      </c>
      <c r="O658" s="23">
        <v>1215</v>
      </c>
      <c r="P658" s="70">
        <v>0.29166666666666669</v>
      </c>
      <c r="Q658" s="70">
        <v>0.42708333333333331</v>
      </c>
      <c r="R658" s="229" t="s">
        <v>1391</v>
      </c>
    </row>
    <row r="659" spans="1:18" x14ac:dyDescent="0.4">
      <c r="A659" s="133">
        <v>45761</v>
      </c>
      <c r="B659" s="139" t="s">
        <v>104</v>
      </c>
      <c r="C659" s="30" t="s">
        <v>191</v>
      </c>
      <c r="D659" s="191">
        <v>56</v>
      </c>
      <c r="E659" s="77">
        <v>3</v>
      </c>
      <c r="F659" s="76">
        <v>4.1666666666666664E-2</v>
      </c>
      <c r="G659" s="76">
        <v>0.29166666666666669</v>
      </c>
      <c r="H659" s="76">
        <v>0.64583333333333337</v>
      </c>
      <c r="I659" s="173" t="s">
        <v>990</v>
      </c>
      <c r="J659" s="23">
        <v>4</v>
      </c>
      <c r="K659" s="23"/>
      <c r="L659" s="68">
        <v>0.29166666666666669</v>
      </c>
      <c r="M659" s="68">
        <v>0.69791666666666663</v>
      </c>
      <c r="N659" s="173" t="s">
        <v>991</v>
      </c>
      <c r="O659" s="23">
        <v>3630</v>
      </c>
      <c r="P659" s="70">
        <v>0.29166666666666669</v>
      </c>
      <c r="Q659" s="70">
        <v>0.69791666666666663</v>
      </c>
      <c r="R659" s="229" t="s">
        <v>991</v>
      </c>
    </row>
    <row r="660" spans="1:18" x14ac:dyDescent="0.4">
      <c r="A660" s="133">
        <v>45762</v>
      </c>
      <c r="B660" s="139" t="s">
        <v>54</v>
      </c>
      <c r="C660" s="30" t="s">
        <v>251</v>
      </c>
      <c r="D660" s="191">
        <v>36</v>
      </c>
      <c r="E660" s="77">
        <v>5</v>
      </c>
      <c r="F660" s="1"/>
      <c r="G660" s="76">
        <v>0.29166666666666669</v>
      </c>
      <c r="H660" s="76">
        <v>0.66666666666666663</v>
      </c>
      <c r="I660" s="173" t="s">
        <v>1292</v>
      </c>
      <c r="J660" s="23">
        <v>4</v>
      </c>
      <c r="K660" s="23"/>
      <c r="L660" s="68">
        <v>0.3125</v>
      </c>
      <c r="M660" s="68">
        <v>0.70833333333333337</v>
      </c>
      <c r="N660" s="173" t="s">
        <v>990</v>
      </c>
      <c r="O660" s="23">
        <v>4440</v>
      </c>
      <c r="P660" s="70">
        <v>0.29166666666666669</v>
      </c>
      <c r="Q660" s="70">
        <v>0.70833333333333337</v>
      </c>
      <c r="R660" s="229" t="s">
        <v>1252</v>
      </c>
    </row>
    <row r="661" spans="1:18" x14ac:dyDescent="0.4">
      <c r="A661" s="133">
        <v>45762</v>
      </c>
      <c r="B661" s="139" t="s">
        <v>102</v>
      </c>
      <c r="C661" s="30" t="s">
        <v>308</v>
      </c>
      <c r="D661" s="191">
        <v>12</v>
      </c>
      <c r="E661" s="77">
        <v>5</v>
      </c>
      <c r="F661" s="1"/>
      <c r="G661" s="76">
        <v>0.57222222222222219</v>
      </c>
      <c r="H661" s="76">
        <v>0.70833333333333337</v>
      </c>
      <c r="I661" s="173" t="s">
        <v>1467</v>
      </c>
      <c r="J661" s="23">
        <v>4</v>
      </c>
      <c r="K661" s="68">
        <v>1.0416666666666666E-2</v>
      </c>
      <c r="L661" s="68">
        <v>0.60416666666666663</v>
      </c>
      <c r="M661" s="68">
        <v>0.70833333333333337</v>
      </c>
      <c r="N661" s="173" t="s">
        <v>1315</v>
      </c>
      <c r="O661" s="23">
        <v>1640</v>
      </c>
      <c r="P661" s="70">
        <v>0.57222222222222219</v>
      </c>
      <c r="Q661" s="70">
        <v>0.70833333333333337</v>
      </c>
      <c r="R661" s="229" t="s">
        <v>1467</v>
      </c>
    </row>
    <row r="662" spans="1:18" x14ac:dyDescent="0.4">
      <c r="A662" s="133">
        <v>45762</v>
      </c>
      <c r="B662" s="139" t="s">
        <v>55</v>
      </c>
      <c r="C662" s="30" t="s">
        <v>208</v>
      </c>
      <c r="D662" s="191">
        <v>28</v>
      </c>
      <c r="E662" s="77">
        <v>5</v>
      </c>
      <c r="F662" s="1"/>
      <c r="G662" s="76">
        <v>0.29166666666666669</v>
      </c>
      <c r="H662" s="76">
        <v>0.57222222222222219</v>
      </c>
      <c r="I662" s="173" t="s">
        <v>1559</v>
      </c>
      <c r="J662" s="23">
        <v>4</v>
      </c>
      <c r="K662" s="68">
        <v>1.0416666666666666E-2</v>
      </c>
      <c r="L662" s="68">
        <v>0.33333333333333331</v>
      </c>
      <c r="M662" s="68">
        <v>0.60416666666666663</v>
      </c>
      <c r="N662" s="173" t="s">
        <v>1330</v>
      </c>
      <c r="O662" s="23">
        <v>3100</v>
      </c>
      <c r="P662" s="70">
        <v>0.29166666666666669</v>
      </c>
      <c r="Q662" s="70">
        <v>0.60416666666666663</v>
      </c>
      <c r="R662" s="229" t="s">
        <v>1329</v>
      </c>
    </row>
    <row r="663" spans="1:18" x14ac:dyDescent="0.4">
      <c r="A663" s="133">
        <v>45762</v>
      </c>
      <c r="B663" s="139" t="s">
        <v>65</v>
      </c>
      <c r="C663" s="30" t="s">
        <v>189</v>
      </c>
      <c r="D663" s="191">
        <v>56</v>
      </c>
      <c r="E663" s="77">
        <v>3</v>
      </c>
      <c r="F663" s="76">
        <v>4.1666666666666664E-2</v>
      </c>
      <c r="G663" s="76">
        <v>0.29166666666666669</v>
      </c>
      <c r="H663" s="76">
        <v>0.70833333333333337</v>
      </c>
      <c r="I663" s="173" t="s">
        <v>1308</v>
      </c>
      <c r="J663" s="23">
        <v>5</v>
      </c>
      <c r="K663" s="23"/>
      <c r="L663" s="68">
        <v>0.29166666666666669</v>
      </c>
      <c r="M663" s="68">
        <v>0.71527777777777779</v>
      </c>
      <c r="N663" s="173" t="s">
        <v>1352</v>
      </c>
      <c r="O663" s="23">
        <v>4550</v>
      </c>
      <c r="P663" s="70">
        <v>0.29166666666666669</v>
      </c>
      <c r="Q663" s="70">
        <v>0.71527777777777779</v>
      </c>
      <c r="R663" s="229" t="s">
        <v>1352</v>
      </c>
    </row>
    <row r="664" spans="1:18" x14ac:dyDescent="0.4">
      <c r="A664" s="135">
        <v>45762</v>
      </c>
      <c r="B664" s="102">
        <v>152010</v>
      </c>
      <c r="C664" s="136" t="s">
        <v>483</v>
      </c>
      <c r="D664" s="193">
        <v>1</v>
      </c>
      <c r="E664" s="103"/>
      <c r="F664" s="104"/>
      <c r="G664" s="184"/>
      <c r="H664" s="184"/>
      <c r="I664" s="225" t="s">
        <v>1002</v>
      </c>
      <c r="J664" s="105"/>
      <c r="K664" s="105"/>
      <c r="L664" s="106"/>
      <c r="M664" s="106"/>
      <c r="N664" s="225" t="s">
        <v>1002</v>
      </c>
      <c r="O664" s="105">
        <v>0</v>
      </c>
      <c r="P664" s="70">
        <v>0</v>
      </c>
      <c r="Q664" s="70">
        <v>0</v>
      </c>
      <c r="R664" s="232" t="s">
        <v>1002</v>
      </c>
    </row>
    <row r="665" spans="1:18" x14ac:dyDescent="0.4">
      <c r="A665" s="133">
        <v>45763</v>
      </c>
      <c r="B665" s="139" t="s">
        <v>51</v>
      </c>
      <c r="C665" s="30" t="s">
        <v>253</v>
      </c>
      <c r="D665" s="191">
        <v>16</v>
      </c>
      <c r="E665" s="77">
        <v>5</v>
      </c>
      <c r="F665" s="1"/>
      <c r="G665" s="76">
        <v>0.3611111111111111</v>
      </c>
      <c r="H665" s="76">
        <v>0.5</v>
      </c>
      <c r="I665" s="173" t="s">
        <v>1250</v>
      </c>
      <c r="J665" s="23">
        <v>4</v>
      </c>
      <c r="K665" s="68">
        <v>6.9444444444444441E-3</v>
      </c>
      <c r="L665" s="68">
        <v>0.39583333333333331</v>
      </c>
      <c r="M665" s="68">
        <v>0.5</v>
      </c>
      <c r="N665" s="173" t="s">
        <v>1325</v>
      </c>
      <c r="O665" s="23">
        <v>1640</v>
      </c>
      <c r="P665" s="70">
        <v>0.3611111111111111</v>
      </c>
      <c r="Q665" s="70">
        <v>0.5</v>
      </c>
      <c r="R665" s="229" t="s">
        <v>1250</v>
      </c>
    </row>
    <row r="666" spans="1:18" x14ac:dyDescent="0.4">
      <c r="A666" s="133">
        <v>45763</v>
      </c>
      <c r="B666" s="139" t="s">
        <v>451</v>
      </c>
      <c r="C666" s="30" t="s">
        <v>255</v>
      </c>
      <c r="D666" s="191">
        <v>6</v>
      </c>
      <c r="E666" s="77">
        <v>4</v>
      </c>
      <c r="F666" s="1"/>
      <c r="G666" s="76">
        <v>0.29166666666666669</v>
      </c>
      <c r="H666" s="76">
        <v>0.35833333333333334</v>
      </c>
      <c r="I666" s="173" t="s">
        <v>1526</v>
      </c>
      <c r="J666" s="23">
        <v>4</v>
      </c>
      <c r="K666" s="68">
        <v>6.9444444444444441E-3</v>
      </c>
      <c r="L666" s="68">
        <v>0.33333333333333331</v>
      </c>
      <c r="M666" s="68">
        <v>0.39583333333333331</v>
      </c>
      <c r="N666" s="173" t="s">
        <v>1386</v>
      </c>
      <c r="O666" s="23">
        <v>784</v>
      </c>
      <c r="P666" s="70">
        <v>0.29166666666666669</v>
      </c>
      <c r="Q666" s="70">
        <v>0.39583333333333331</v>
      </c>
      <c r="R666" s="229" t="s">
        <v>1298</v>
      </c>
    </row>
    <row r="667" spans="1:18" x14ac:dyDescent="0.4">
      <c r="A667" s="133">
        <v>45763</v>
      </c>
      <c r="B667" s="139" t="s">
        <v>109</v>
      </c>
      <c r="C667" s="30" t="s">
        <v>263</v>
      </c>
      <c r="D667" s="191">
        <v>12</v>
      </c>
      <c r="E667" s="77">
        <v>5</v>
      </c>
      <c r="F667" s="1"/>
      <c r="G667" s="76">
        <v>0.54166666666666663</v>
      </c>
      <c r="H667" s="76">
        <v>0.66666666666666663</v>
      </c>
      <c r="I667" s="173" t="s">
        <v>1316</v>
      </c>
      <c r="J667" s="23">
        <v>4</v>
      </c>
      <c r="K667" s="68">
        <v>6.9444444444444441E-3</v>
      </c>
      <c r="L667" s="68">
        <v>0.54166666666666663</v>
      </c>
      <c r="M667" s="68">
        <v>0.6875</v>
      </c>
      <c r="N667" s="173" t="s">
        <v>1254</v>
      </c>
      <c r="O667" s="23">
        <v>1780</v>
      </c>
      <c r="P667" s="70">
        <v>0.54166666666666663</v>
      </c>
      <c r="Q667" s="70">
        <v>0.6875</v>
      </c>
      <c r="R667" s="229" t="s">
        <v>1303</v>
      </c>
    </row>
    <row r="668" spans="1:18" x14ac:dyDescent="0.4">
      <c r="A668" s="133">
        <v>45763</v>
      </c>
      <c r="B668" s="139" t="s">
        <v>547</v>
      </c>
      <c r="C668" s="30" t="s">
        <v>205</v>
      </c>
      <c r="D668" s="191">
        <v>12</v>
      </c>
      <c r="E668" s="77">
        <v>5</v>
      </c>
      <c r="F668" s="1"/>
      <c r="G668" s="76">
        <v>0.29166666666666669</v>
      </c>
      <c r="H668" s="76">
        <v>0.42083333333333334</v>
      </c>
      <c r="I668" s="173" t="s">
        <v>1407</v>
      </c>
      <c r="J668" s="23">
        <v>4</v>
      </c>
      <c r="K668" s="68">
        <v>2.0833333333333332E-2</v>
      </c>
      <c r="L668" s="68">
        <v>0.33333333333333331</v>
      </c>
      <c r="M668" s="68">
        <v>0.4513888888888889</v>
      </c>
      <c r="N668" s="173" t="s">
        <v>1250</v>
      </c>
      <c r="O668" s="23">
        <v>1730</v>
      </c>
      <c r="P668" s="70">
        <v>0.29166666666666669</v>
      </c>
      <c r="Q668" s="70">
        <v>0.4513888888888889</v>
      </c>
      <c r="R668" s="229" t="s">
        <v>1332</v>
      </c>
    </row>
    <row r="669" spans="1:18" x14ac:dyDescent="0.4">
      <c r="A669" s="133">
        <v>45763</v>
      </c>
      <c r="B669" s="139" t="s">
        <v>63</v>
      </c>
      <c r="C669" s="30" t="s">
        <v>267</v>
      </c>
      <c r="D669" s="191">
        <v>24</v>
      </c>
      <c r="E669" s="77">
        <v>5</v>
      </c>
      <c r="F669" s="1"/>
      <c r="G669" s="76">
        <v>0.42083333333333334</v>
      </c>
      <c r="H669" s="76">
        <v>0.6875</v>
      </c>
      <c r="I669" s="173" t="s">
        <v>1408</v>
      </c>
      <c r="J669" s="23">
        <v>4</v>
      </c>
      <c r="K669" s="68">
        <v>2.0833333333333332E-2</v>
      </c>
      <c r="L669" s="68">
        <v>0.4513888888888889</v>
      </c>
      <c r="M669" s="68">
        <v>0.6875</v>
      </c>
      <c r="N669" s="173" t="s">
        <v>1257</v>
      </c>
      <c r="O669" s="23">
        <v>2860</v>
      </c>
      <c r="P669" s="70">
        <v>0.42083333333333334</v>
      </c>
      <c r="Q669" s="70">
        <v>0.6875</v>
      </c>
      <c r="R669" s="229" t="s">
        <v>1408</v>
      </c>
    </row>
    <row r="670" spans="1:18" x14ac:dyDescent="0.4">
      <c r="A670" s="138">
        <v>45763</v>
      </c>
      <c r="B670" s="139" t="s">
        <v>65</v>
      </c>
      <c r="C670" s="140" t="s">
        <v>189</v>
      </c>
      <c r="D670" s="191">
        <v>56</v>
      </c>
      <c r="E670" s="77">
        <v>3</v>
      </c>
      <c r="F670" s="76">
        <v>4.1666666666666664E-2</v>
      </c>
      <c r="G670" s="76">
        <v>0.29166666666666669</v>
      </c>
      <c r="H670" s="76">
        <v>0.6875</v>
      </c>
      <c r="I670" s="173" t="s">
        <v>1247</v>
      </c>
      <c r="J670" s="23">
        <v>5</v>
      </c>
      <c r="K670" s="23"/>
      <c r="L670" s="68">
        <v>0.29166666666666669</v>
      </c>
      <c r="M670" s="68">
        <v>0.71527777777777779</v>
      </c>
      <c r="N670" s="173" t="s">
        <v>1352</v>
      </c>
      <c r="O670" s="23">
        <v>4460</v>
      </c>
      <c r="P670" s="70">
        <v>0.29166666666666669</v>
      </c>
      <c r="Q670" s="70">
        <v>0.71527777777777779</v>
      </c>
      <c r="R670" s="229" t="s">
        <v>1352</v>
      </c>
    </row>
    <row r="671" spans="1:18" x14ac:dyDescent="0.4">
      <c r="A671" s="138">
        <v>45764</v>
      </c>
      <c r="B671" s="139" t="s">
        <v>114</v>
      </c>
      <c r="C671" s="140" t="s">
        <v>161</v>
      </c>
      <c r="D671" s="191">
        <v>15</v>
      </c>
      <c r="E671" s="77">
        <v>5</v>
      </c>
      <c r="F671" s="1"/>
      <c r="G671" s="76">
        <v>0.29166666666666669</v>
      </c>
      <c r="H671" s="76">
        <v>0.5</v>
      </c>
      <c r="I671" s="173" t="s">
        <v>1327</v>
      </c>
      <c r="J671" s="23">
        <v>13</v>
      </c>
      <c r="K671" s="23"/>
      <c r="L671" s="68">
        <v>0.3125</v>
      </c>
      <c r="M671" s="68">
        <v>0.54166666666666663</v>
      </c>
      <c r="N671" s="173" t="s">
        <v>1243</v>
      </c>
      <c r="O671" s="23">
        <v>5010</v>
      </c>
      <c r="P671" s="70">
        <v>0.29166666666666669</v>
      </c>
      <c r="Q671" s="70">
        <v>0.54166666666666663</v>
      </c>
      <c r="R671" s="229" t="s">
        <v>1327</v>
      </c>
    </row>
    <row r="672" spans="1:18" x14ac:dyDescent="0.4">
      <c r="A672" s="138">
        <v>45764</v>
      </c>
      <c r="B672" s="139" t="s">
        <v>456</v>
      </c>
      <c r="C672" s="140" t="s">
        <v>287</v>
      </c>
      <c r="D672" s="191">
        <v>3</v>
      </c>
      <c r="E672" s="77">
        <v>5</v>
      </c>
      <c r="F672" s="1"/>
      <c r="G672" s="76">
        <v>0.54166666666666663</v>
      </c>
      <c r="H672" s="76">
        <v>0.66666666666666663</v>
      </c>
      <c r="I672" s="173" t="s">
        <v>1316</v>
      </c>
      <c r="J672" s="23">
        <v>12</v>
      </c>
      <c r="K672" s="23"/>
      <c r="L672" s="68">
        <v>0.54166666666666663</v>
      </c>
      <c r="M672" s="68">
        <v>0.70833333333333337</v>
      </c>
      <c r="N672" s="173" t="s">
        <v>1244</v>
      </c>
      <c r="O672" s="23">
        <v>3780</v>
      </c>
      <c r="P672" s="70">
        <v>0.54166666666666663</v>
      </c>
      <c r="Q672" s="70">
        <v>0.70833333333333337</v>
      </c>
      <c r="R672" s="229" t="s">
        <v>1244</v>
      </c>
    </row>
    <row r="673" spans="1:18" x14ac:dyDescent="0.4">
      <c r="A673" s="138">
        <v>45764</v>
      </c>
      <c r="B673" s="139" t="s">
        <v>72</v>
      </c>
      <c r="C673" s="140" t="s">
        <v>227</v>
      </c>
      <c r="D673" s="191">
        <v>20</v>
      </c>
      <c r="E673" s="77">
        <v>5</v>
      </c>
      <c r="F673" s="1"/>
      <c r="G673" s="76">
        <v>0.29166666666666669</v>
      </c>
      <c r="H673" s="76">
        <v>0.5</v>
      </c>
      <c r="I673" s="173" t="s">
        <v>1327</v>
      </c>
      <c r="J673" s="23">
        <v>3</v>
      </c>
      <c r="K673" s="68">
        <v>1.0416666666666666E-2</v>
      </c>
      <c r="L673" s="68">
        <v>0.33333333333333331</v>
      </c>
      <c r="M673" s="68">
        <v>0.56944444444444442</v>
      </c>
      <c r="N673" s="173" t="s">
        <v>1305</v>
      </c>
      <c r="O673" s="23">
        <v>2385</v>
      </c>
      <c r="P673" s="70">
        <v>0.29166666666666669</v>
      </c>
      <c r="Q673" s="70">
        <v>0.56944444444444442</v>
      </c>
      <c r="R673" s="229" t="s">
        <v>1339</v>
      </c>
    </row>
    <row r="674" spans="1:18" x14ac:dyDescent="0.4">
      <c r="A674" s="138">
        <v>45764</v>
      </c>
      <c r="B674" s="139" t="s">
        <v>81</v>
      </c>
      <c r="C674" s="140" t="s">
        <v>235</v>
      </c>
      <c r="D674" s="191">
        <v>16</v>
      </c>
      <c r="E674" s="77">
        <v>5</v>
      </c>
      <c r="F674" s="1"/>
      <c r="G674" s="76">
        <v>0.54166666666666663</v>
      </c>
      <c r="H674" s="76">
        <v>0.6875</v>
      </c>
      <c r="I674" s="173" t="s">
        <v>1303</v>
      </c>
      <c r="J674" s="23">
        <v>3</v>
      </c>
      <c r="K674" s="68">
        <v>1.0416666666666666E-2</v>
      </c>
      <c r="L674" s="68">
        <v>0.56944444444444442</v>
      </c>
      <c r="M674" s="68">
        <v>0.6875</v>
      </c>
      <c r="N674" s="173" t="s">
        <v>1251</v>
      </c>
      <c r="O674" s="23">
        <v>1605</v>
      </c>
      <c r="P674" s="70">
        <v>0.54166666666666663</v>
      </c>
      <c r="Q674" s="70">
        <v>0.6875</v>
      </c>
      <c r="R674" s="229" t="s">
        <v>1303</v>
      </c>
    </row>
    <row r="675" spans="1:18" x14ac:dyDescent="0.4">
      <c r="A675" s="138">
        <v>45764</v>
      </c>
      <c r="B675" s="139" t="s">
        <v>65</v>
      </c>
      <c r="C675" s="140" t="s">
        <v>189</v>
      </c>
      <c r="D675" s="191">
        <v>56</v>
      </c>
      <c r="E675" s="77">
        <v>3</v>
      </c>
      <c r="F675" s="76">
        <v>4.1666666666666664E-2</v>
      </c>
      <c r="G675" s="76">
        <v>0.29166666666666669</v>
      </c>
      <c r="H675" s="76">
        <v>0.6875</v>
      </c>
      <c r="I675" s="173" t="s">
        <v>1247</v>
      </c>
      <c r="J675" s="23">
        <v>4</v>
      </c>
      <c r="K675" s="23"/>
      <c r="L675" s="68">
        <v>0.29166666666666669</v>
      </c>
      <c r="M675" s="68">
        <v>0.70833333333333337</v>
      </c>
      <c r="N675" s="173" t="s">
        <v>1252</v>
      </c>
      <c r="O675" s="23">
        <v>3870</v>
      </c>
      <c r="P675" s="70">
        <v>0.29166666666666669</v>
      </c>
      <c r="Q675" s="70">
        <v>0.70833333333333337</v>
      </c>
      <c r="R675" s="229" t="s">
        <v>1252</v>
      </c>
    </row>
    <row r="676" spans="1:18" s="146" customFormat="1" x14ac:dyDescent="0.4">
      <c r="A676" s="138">
        <v>45765</v>
      </c>
      <c r="B676" s="139" t="s">
        <v>979</v>
      </c>
      <c r="C676" s="140" t="s">
        <v>199</v>
      </c>
      <c r="D676" s="191">
        <v>72</v>
      </c>
      <c r="E676" s="144">
        <v>6</v>
      </c>
      <c r="F676" s="170"/>
      <c r="G676" s="170">
        <v>0.29166666666666669</v>
      </c>
      <c r="H676" s="170">
        <v>0.66666666666666663</v>
      </c>
      <c r="I676" s="153" t="s">
        <v>1292</v>
      </c>
      <c r="J676" s="144">
        <v>5</v>
      </c>
      <c r="K676" s="144"/>
      <c r="L676" s="170">
        <v>0.3125</v>
      </c>
      <c r="M676" s="170">
        <v>0.70833333333333337</v>
      </c>
      <c r="N676" s="153" t="s">
        <v>990</v>
      </c>
      <c r="O676" s="144">
        <v>5430</v>
      </c>
      <c r="P676" s="70">
        <v>0.29166666666666669</v>
      </c>
      <c r="Q676" s="70">
        <v>0.70833333333333337</v>
      </c>
      <c r="R676" s="233" t="s">
        <v>1252</v>
      </c>
    </row>
    <row r="677" spans="1:18" s="146" customFormat="1" x14ac:dyDescent="0.4">
      <c r="A677" s="138">
        <v>45765</v>
      </c>
      <c r="B677" s="139" t="s">
        <v>538</v>
      </c>
      <c r="C677" s="140" t="s">
        <v>265</v>
      </c>
      <c r="D677" s="191">
        <v>6</v>
      </c>
      <c r="E677" s="168">
        <v>5</v>
      </c>
      <c r="F677" s="158"/>
      <c r="G677" s="169">
        <v>0.59027777777777779</v>
      </c>
      <c r="H677" s="169">
        <v>0.65486111111111112</v>
      </c>
      <c r="I677" s="153" t="s">
        <v>1547</v>
      </c>
      <c r="J677" s="144">
        <v>4</v>
      </c>
      <c r="K677" s="170">
        <v>6.9444444444444441E-3</v>
      </c>
      <c r="L677" s="170">
        <v>0.61805555555555558</v>
      </c>
      <c r="M677" s="170">
        <v>0.68055555555555547</v>
      </c>
      <c r="N677" s="153" t="s">
        <v>1386</v>
      </c>
      <c r="O677" s="144">
        <v>865</v>
      </c>
      <c r="P677" s="70">
        <v>0.59027777777777779</v>
      </c>
      <c r="Q677" s="70">
        <v>0.68055555555555547</v>
      </c>
      <c r="R677" s="233" t="s">
        <v>1248</v>
      </c>
    </row>
    <row r="678" spans="1:18" s="146" customFormat="1" x14ac:dyDescent="0.4">
      <c r="A678" s="138">
        <v>45765</v>
      </c>
      <c r="B678" s="139" t="s">
        <v>64</v>
      </c>
      <c r="C678" s="140" t="s">
        <v>271</v>
      </c>
      <c r="D678" s="191">
        <v>28</v>
      </c>
      <c r="E678" s="168">
        <v>5</v>
      </c>
      <c r="F678" s="158"/>
      <c r="G678" s="169">
        <v>0.29166666666666669</v>
      </c>
      <c r="H678" s="169">
        <v>0.59027777777777779</v>
      </c>
      <c r="I678" s="153" t="s">
        <v>1471</v>
      </c>
      <c r="J678" s="144">
        <v>4</v>
      </c>
      <c r="K678" s="170">
        <v>6.9444444444444441E-3</v>
      </c>
      <c r="L678" s="170">
        <v>0.33333333333333331</v>
      </c>
      <c r="M678" s="170">
        <v>0.61805555555555558</v>
      </c>
      <c r="N678" s="153" t="s">
        <v>1321</v>
      </c>
      <c r="O678" s="144">
        <v>3290</v>
      </c>
      <c r="P678" s="70">
        <v>0.29166666666666669</v>
      </c>
      <c r="Q678" s="70">
        <v>0.61805555555555558</v>
      </c>
      <c r="R678" s="233" t="s">
        <v>1337</v>
      </c>
    </row>
    <row r="679" spans="1:18" s="146" customFormat="1" x14ac:dyDescent="0.4">
      <c r="A679" s="138">
        <v>45765</v>
      </c>
      <c r="B679" s="139" t="s">
        <v>639</v>
      </c>
      <c r="C679" s="140" t="s">
        <v>338</v>
      </c>
      <c r="D679" s="191">
        <v>1</v>
      </c>
      <c r="E679" s="168">
        <v>5</v>
      </c>
      <c r="F679" s="158"/>
      <c r="G679" s="169">
        <v>0.65486111111111112</v>
      </c>
      <c r="H679" s="169">
        <v>0.70833333333333337</v>
      </c>
      <c r="I679" s="153" t="s">
        <v>1560</v>
      </c>
      <c r="J679" s="144">
        <v>4</v>
      </c>
      <c r="K679" s="170">
        <v>6.9444444444444441E-3</v>
      </c>
      <c r="L679" s="170">
        <v>0.68055555555555547</v>
      </c>
      <c r="M679" s="170">
        <v>0.71527777777777779</v>
      </c>
      <c r="N679" s="153" t="s">
        <v>1322</v>
      </c>
      <c r="O679" s="144">
        <v>625</v>
      </c>
      <c r="P679" s="70">
        <v>0.65486111111111112</v>
      </c>
      <c r="Q679" s="70">
        <v>0.71527777777777779</v>
      </c>
      <c r="R679" s="233" t="s">
        <v>1551</v>
      </c>
    </row>
    <row r="680" spans="1:18" x14ac:dyDescent="0.4">
      <c r="A680" s="138">
        <v>45765</v>
      </c>
      <c r="B680" s="139" t="s">
        <v>123</v>
      </c>
      <c r="C680" s="140" t="s">
        <v>277</v>
      </c>
      <c r="D680" s="191">
        <v>40</v>
      </c>
      <c r="E680" s="77">
        <v>3</v>
      </c>
      <c r="F680" s="76">
        <v>4.1666666666666664E-2</v>
      </c>
      <c r="G680" s="76">
        <v>0.29166666666666669</v>
      </c>
      <c r="H680" s="76">
        <v>0.63194444444444442</v>
      </c>
      <c r="I680" s="173" t="s">
        <v>1307</v>
      </c>
      <c r="J680" s="23">
        <v>5</v>
      </c>
      <c r="K680" s="23"/>
      <c r="L680" s="68">
        <v>0.29166666666666669</v>
      </c>
      <c r="M680" s="68">
        <v>0.63194444444444442</v>
      </c>
      <c r="N680" s="173" t="s">
        <v>1403</v>
      </c>
      <c r="O680" s="23">
        <v>3620</v>
      </c>
      <c r="P680" s="70">
        <v>0.29166666666666669</v>
      </c>
      <c r="Q680" s="70">
        <v>0.63194444444444442</v>
      </c>
      <c r="R680" s="229" t="s">
        <v>1403</v>
      </c>
    </row>
    <row r="681" spans="1:18" x14ac:dyDescent="0.4">
      <c r="A681" s="133">
        <v>45768</v>
      </c>
      <c r="B681" s="139" t="s">
        <v>80</v>
      </c>
      <c r="C681" s="30" t="s">
        <v>203</v>
      </c>
      <c r="D681" s="191">
        <v>32</v>
      </c>
      <c r="E681" s="77">
        <v>6</v>
      </c>
      <c r="F681" s="1"/>
      <c r="G681" s="76">
        <v>0.29166666666666669</v>
      </c>
      <c r="H681" s="76">
        <v>0.5</v>
      </c>
      <c r="I681" s="173" t="s">
        <v>1327</v>
      </c>
      <c r="J681" s="23">
        <v>5</v>
      </c>
      <c r="K681" s="68">
        <v>1.0416666666666666E-2</v>
      </c>
      <c r="L681" s="68">
        <v>0.33333333333333331</v>
      </c>
      <c r="M681" s="68">
        <v>0.5625</v>
      </c>
      <c r="N681" s="173" t="s">
        <v>1335</v>
      </c>
      <c r="O681" s="23">
        <v>3225</v>
      </c>
      <c r="P681" s="70">
        <v>0.29166666666666669</v>
      </c>
      <c r="Q681" s="70">
        <v>0.5625</v>
      </c>
      <c r="R681" s="229" t="s">
        <v>1320</v>
      </c>
    </row>
    <row r="682" spans="1:18" x14ac:dyDescent="0.4">
      <c r="A682" s="133">
        <v>45768</v>
      </c>
      <c r="B682" s="139" t="s">
        <v>995</v>
      </c>
      <c r="C682" s="30" t="s">
        <v>201</v>
      </c>
      <c r="D682" s="191">
        <v>20</v>
      </c>
      <c r="E682" s="77">
        <v>6</v>
      </c>
      <c r="F682" s="1"/>
      <c r="G682" s="76">
        <v>0.54166666666666663</v>
      </c>
      <c r="H682" s="76">
        <v>0.70833333333333337</v>
      </c>
      <c r="I682" s="173" t="s">
        <v>1244</v>
      </c>
      <c r="J682" s="23">
        <v>5</v>
      </c>
      <c r="K682" s="68">
        <v>1.0416666666666666E-2</v>
      </c>
      <c r="L682" s="68">
        <v>0.5625</v>
      </c>
      <c r="M682" s="68">
        <v>0.72916666666666663</v>
      </c>
      <c r="N682" s="173" t="s">
        <v>1259</v>
      </c>
      <c r="O682" s="23">
        <v>2715</v>
      </c>
      <c r="P682" s="70">
        <v>0.54166666666666663</v>
      </c>
      <c r="Q682" s="70">
        <v>0.72916666666666663</v>
      </c>
      <c r="R682" s="229" t="s">
        <v>1243</v>
      </c>
    </row>
    <row r="683" spans="1:18" x14ac:dyDescent="0.4">
      <c r="A683" s="133">
        <v>45768</v>
      </c>
      <c r="B683" s="139" t="s">
        <v>55</v>
      </c>
      <c r="C683" s="30" t="s">
        <v>208</v>
      </c>
      <c r="D683" s="191">
        <v>32</v>
      </c>
      <c r="E683" s="77">
        <v>5</v>
      </c>
      <c r="F683" s="1"/>
      <c r="G683" s="76">
        <v>0.29166666666666669</v>
      </c>
      <c r="H683" s="76">
        <v>0.61388888888888882</v>
      </c>
      <c r="I683" s="173" t="s">
        <v>1561</v>
      </c>
      <c r="J683" s="23">
        <v>4</v>
      </c>
      <c r="K683" s="68">
        <v>1.0416666666666666E-2</v>
      </c>
      <c r="L683" s="68">
        <v>0.33333333333333331</v>
      </c>
      <c r="M683" s="68">
        <v>0.64583333333333337</v>
      </c>
      <c r="N683" s="173" t="s">
        <v>1527</v>
      </c>
      <c r="O683" s="23">
        <v>3640</v>
      </c>
      <c r="P683" s="70">
        <v>0.29166666666666669</v>
      </c>
      <c r="Q683" s="70">
        <v>0.64583333333333337</v>
      </c>
      <c r="R683" s="229" t="s">
        <v>1309</v>
      </c>
    </row>
    <row r="684" spans="1:18" x14ac:dyDescent="0.4">
      <c r="A684" s="133">
        <v>45768</v>
      </c>
      <c r="B684" s="139" t="s">
        <v>101</v>
      </c>
      <c r="C684" s="30" t="s">
        <v>222</v>
      </c>
      <c r="D684" s="191">
        <v>3</v>
      </c>
      <c r="E684" s="77">
        <v>5</v>
      </c>
      <c r="F684" s="1"/>
      <c r="G684" s="76">
        <v>0.61388888888888882</v>
      </c>
      <c r="H684" s="76">
        <v>0.6875</v>
      </c>
      <c r="I684" s="173" t="s">
        <v>1413</v>
      </c>
      <c r="J684" s="23">
        <v>4</v>
      </c>
      <c r="K684" s="68">
        <v>1.0416666666666666E-2</v>
      </c>
      <c r="L684" s="68">
        <v>0.64583333333333337</v>
      </c>
      <c r="M684" s="68">
        <v>0.6875</v>
      </c>
      <c r="N684" s="173" t="s">
        <v>1323</v>
      </c>
      <c r="O684" s="23">
        <v>830</v>
      </c>
      <c r="P684" s="70">
        <v>0.61388888888888882</v>
      </c>
      <c r="Q684" s="70">
        <v>0.6875</v>
      </c>
      <c r="R684" s="229" t="s">
        <v>1413</v>
      </c>
    </row>
    <row r="685" spans="1:18" x14ac:dyDescent="0.4">
      <c r="A685" s="133">
        <v>45768</v>
      </c>
      <c r="B685" s="139" t="s">
        <v>65</v>
      </c>
      <c r="C685" s="30" t="s">
        <v>189</v>
      </c>
      <c r="D685" s="191">
        <v>60</v>
      </c>
      <c r="E685" s="77">
        <v>3</v>
      </c>
      <c r="F685" s="76">
        <v>4.1666666666666664E-2</v>
      </c>
      <c r="G685" s="76">
        <v>0.29166666666666669</v>
      </c>
      <c r="H685" s="76">
        <v>0.69791666666666663</v>
      </c>
      <c r="I685" s="173" t="s">
        <v>1428</v>
      </c>
      <c r="J685" s="23">
        <v>5</v>
      </c>
      <c r="K685" s="23"/>
      <c r="L685" s="68">
        <v>0.29166666666666669</v>
      </c>
      <c r="M685" s="68">
        <v>0.72916666666666663</v>
      </c>
      <c r="N685" s="173" t="s">
        <v>1247</v>
      </c>
      <c r="O685" s="23">
        <v>4605</v>
      </c>
      <c r="P685" s="70">
        <v>0.29166666666666669</v>
      </c>
      <c r="Q685" s="70">
        <v>0.72916666666666663</v>
      </c>
      <c r="R685" s="229" t="s">
        <v>1247</v>
      </c>
    </row>
    <row r="686" spans="1:18" x14ac:dyDescent="0.4">
      <c r="A686" s="135">
        <v>45768</v>
      </c>
      <c r="B686" s="102" t="s">
        <v>509</v>
      </c>
      <c r="C686" s="136" t="s">
        <v>1104</v>
      </c>
      <c r="D686" s="193">
        <v>1</v>
      </c>
      <c r="E686" s="103"/>
      <c r="F686" s="104"/>
      <c r="G686" s="184"/>
      <c r="H686" s="184"/>
      <c r="I686" s="225" t="s">
        <v>1002</v>
      </c>
      <c r="J686" s="105"/>
      <c r="K686" s="105"/>
      <c r="L686" s="106"/>
      <c r="M686" s="106"/>
      <c r="N686" s="225" t="s">
        <v>1002</v>
      </c>
      <c r="O686" s="105">
        <v>0</v>
      </c>
      <c r="P686" s="70">
        <v>0</v>
      </c>
      <c r="Q686" s="70">
        <v>0</v>
      </c>
      <c r="R686" s="232" t="s">
        <v>1002</v>
      </c>
    </row>
    <row r="687" spans="1:18" x14ac:dyDescent="0.4">
      <c r="A687" s="133">
        <v>45769</v>
      </c>
      <c r="B687" s="139" t="s">
        <v>61</v>
      </c>
      <c r="C687" s="30" t="s">
        <v>156</v>
      </c>
      <c r="D687" s="191">
        <v>40</v>
      </c>
      <c r="E687" s="77">
        <v>5</v>
      </c>
      <c r="F687" s="1"/>
      <c r="G687" s="76">
        <v>0.29166666666666669</v>
      </c>
      <c r="H687" s="76">
        <v>0.66666666666666663</v>
      </c>
      <c r="I687" s="173" t="s">
        <v>1292</v>
      </c>
      <c r="J687" s="23">
        <v>10</v>
      </c>
      <c r="K687" s="23"/>
      <c r="L687" s="68">
        <v>0.3125</v>
      </c>
      <c r="M687" s="68">
        <v>0.70833333333333337</v>
      </c>
      <c r="N687" s="173" t="s">
        <v>990</v>
      </c>
      <c r="O687" s="23">
        <v>7500</v>
      </c>
      <c r="P687" s="70">
        <v>0.29166666666666669</v>
      </c>
      <c r="Q687" s="70">
        <v>0.70833333333333337</v>
      </c>
      <c r="R687" s="229" t="s">
        <v>1252</v>
      </c>
    </row>
    <row r="688" spans="1:18" x14ac:dyDescent="0.4">
      <c r="A688" s="133">
        <v>45769</v>
      </c>
      <c r="B688" s="139" t="s">
        <v>54</v>
      </c>
      <c r="C688" s="30" t="s">
        <v>251</v>
      </c>
      <c r="D688" s="191">
        <v>36</v>
      </c>
      <c r="E688" s="77">
        <v>5</v>
      </c>
      <c r="F688" s="1"/>
      <c r="G688" s="76">
        <v>0.29166666666666669</v>
      </c>
      <c r="H688" s="76">
        <v>0.66666666666666663</v>
      </c>
      <c r="I688" s="173" t="s">
        <v>1292</v>
      </c>
      <c r="J688" s="23">
        <v>3</v>
      </c>
      <c r="K688" s="23"/>
      <c r="L688" s="68">
        <v>0.3125</v>
      </c>
      <c r="M688" s="68">
        <v>0.6875</v>
      </c>
      <c r="N688" s="173" t="s">
        <v>1292</v>
      </c>
      <c r="O688" s="23">
        <v>3840</v>
      </c>
      <c r="P688" s="70">
        <v>0.29166666666666669</v>
      </c>
      <c r="Q688" s="70">
        <v>0.6875</v>
      </c>
      <c r="R688" s="229" t="s">
        <v>990</v>
      </c>
    </row>
    <row r="689" spans="1:18" x14ac:dyDescent="0.4">
      <c r="A689" s="133">
        <v>45769</v>
      </c>
      <c r="B689" s="139" t="s">
        <v>65</v>
      </c>
      <c r="C689" s="30" t="s">
        <v>189</v>
      </c>
      <c r="D689" s="191">
        <v>60</v>
      </c>
      <c r="E689" s="77">
        <v>3</v>
      </c>
      <c r="F689" s="76">
        <v>4.1666666666666664E-2</v>
      </c>
      <c r="G689" s="76">
        <v>0.29166666666666669</v>
      </c>
      <c r="H689" s="76">
        <v>0.71527777777777779</v>
      </c>
      <c r="I689" s="173" t="s">
        <v>1562</v>
      </c>
      <c r="J689" s="23">
        <v>5</v>
      </c>
      <c r="K689" s="23"/>
      <c r="L689" s="68">
        <v>0.29166666666666669</v>
      </c>
      <c r="M689" s="68">
        <v>0.75</v>
      </c>
      <c r="N689" s="173" t="s">
        <v>1308</v>
      </c>
      <c r="O689" s="23">
        <v>4830</v>
      </c>
      <c r="P689" s="70">
        <v>0.29166666666666669</v>
      </c>
      <c r="Q689" s="70">
        <v>0.75</v>
      </c>
      <c r="R689" s="229" t="s">
        <v>1308</v>
      </c>
    </row>
    <row r="690" spans="1:18" x14ac:dyDescent="0.4">
      <c r="A690" s="133">
        <v>45770</v>
      </c>
      <c r="B690" s="139" t="s">
        <v>71</v>
      </c>
      <c r="C690" s="30" t="s">
        <v>176</v>
      </c>
      <c r="D690" s="191">
        <v>64</v>
      </c>
      <c r="E690" s="77">
        <v>6</v>
      </c>
      <c r="F690" s="1"/>
      <c r="G690" s="76">
        <v>0.29166666666666669</v>
      </c>
      <c r="H690" s="76">
        <v>0.59722222222222221</v>
      </c>
      <c r="I690" s="173" t="s">
        <v>1353</v>
      </c>
      <c r="J690" s="23">
        <v>5</v>
      </c>
      <c r="K690" s="68">
        <v>1.0416666666666666E-2</v>
      </c>
      <c r="L690" s="68">
        <v>0.33333333333333331</v>
      </c>
      <c r="M690" s="68">
        <v>0.63194444444444442</v>
      </c>
      <c r="N690" s="173" t="s">
        <v>1374</v>
      </c>
      <c r="O690" s="23">
        <v>4205</v>
      </c>
      <c r="P690" s="70">
        <v>0.29166666666666669</v>
      </c>
      <c r="Q690" s="70">
        <v>0.63194444444444442</v>
      </c>
      <c r="R690" s="229" t="s">
        <v>1403</v>
      </c>
    </row>
    <row r="691" spans="1:18" x14ac:dyDescent="0.4">
      <c r="A691" s="133">
        <v>45770</v>
      </c>
      <c r="B691" s="139" t="s">
        <v>460</v>
      </c>
      <c r="C691" s="30" t="s">
        <v>183</v>
      </c>
      <c r="D691" s="191">
        <v>4</v>
      </c>
      <c r="E691" s="77">
        <v>6</v>
      </c>
      <c r="F691" s="1"/>
      <c r="G691" s="76">
        <v>0.59722222222222221</v>
      </c>
      <c r="H691" s="76">
        <v>0.66666666666666663</v>
      </c>
      <c r="I691" s="173" t="s">
        <v>1386</v>
      </c>
      <c r="J691" s="23">
        <v>5</v>
      </c>
      <c r="K691" s="68">
        <v>1.0416666666666666E-2</v>
      </c>
      <c r="L691" s="68">
        <v>0.63194444444444442</v>
      </c>
      <c r="M691" s="68">
        <v>0.70833333333333337</v>
      </c>
      <c r="N691" s="173" t="s">
        <v>1249</v>
      </c>
      <c r="O691" s="23">
        <v>1225</v>
      </c>
      <c r="P691" s="70">
        <v>0.59722222222222221</v>
      </c>
      <c r="Q691" s="70">
        <v>0.70833333333333337</v>
      </c>
      <c r="R691" s="229" t="s">
        <v>1325</v>
      </c>
    </row>
    <row r="692" spans="1:18" x14ac:dyDescent="0.4">
      <c r="A692" s="133">
        <v>45770</v>
      </c>
      <c r="B692" s="139" t="s">
        <v>63</v>
      </c>
      <c r="C692" s="30" t="s">
        <v>267</v>
      </c>
      <c r="D692" s="191">
        <v>20</v>
      </c>
      <c r="E692" s="77">
        <v>5</v>
      </c>
      <c r="F692" s="1"/>
      <c r="G692" s="76">
        <v>0.29166666666666669</v>
      </c>
      <c r="H692" s="76">
        <v>0.5</v>
      </c>
      <c r="I692" s="173" t="s">
        <v>1327</v>
      </c>
      <c r="J692" s="23">
        <v>4</v>
      </c>
      <c r="K692" s="68">
        <v>2.0833333333333332E-2</v>
      </c>
      <c r="L692" s="68">
        <v>0.33333333333333331</v>
      </c>
      <c r="M692" s="68">
        <v>0.5</v>
      </c>
      <c r="N692" s="173" t="s">
        <v>1243</v>
      </c>
      <c r="O692" s="23">
        <v>2580</v>
      </c>
      <c r="P692" s="70">
        <v>0.29166666666666669</v>
      </c>
      <c r="Q692" s="70">
        <v>0.5</v>
      </c>
      <c r="R692" s="229" t="s">
        <v>1327</v>
      </c>
    </row>
    <row r="693" spans="1:18" x14ac:dyDescent="0.4">
      <c r="A693" s="133">
        <v>45770</v>
      </c>
      <c r="B693" s="139" t="s">
        <v>536</v>
      </c>
      <c r="C693" s="30" t="s">
        <v>306</v>
      </c>
      <c r="D693" s="191">
        <v>6</v>
      </c>
      <c r="E693" s="77">
        <v>3</v>
      </c>
      <c r="F693" s="76">
        <v>2.0833333333333332E-2</v>
      </c>
      <c r="G693" s="76">
        <v>0.4375</v>
      </c>
      <c r="H693" s="76">
        <v>0.67361111111111116</v>
      </c>
      <c r="I693" s="173" t="s">
        <v>1257</v>
      </c>
      <c r="J693" s="23">
        <v>9</v>
      </c>
      <c r="K693" s="23"/>
      <c r="L693" s="68">
        <v>0.54166666666666663</v>
      </c>
      <c r="M693" s="68">
        <v>0.70833333333333337</v>
      </c>
      <c r="N693" s="173" t="s">
        <v>1244</v>
      </c>
      <c r="O693" s="23">
        <v>3090</v>
      </c>
      <c r="P693" s="70">
        <v>0.4375</v>
      </c>
      <c r="Q693" s="70">
        <v>0.70833333333333337</v>
      </c>
      <c r="R693" s="229" t="s">
        <v>1320</v>
      </c>
    </row>
    <row r="694" spans="1:18" x14ac:dyDescent="0.4">
      <c r="A694" s="133">
        <v>45770</v>
      </c>
      <c r="B694" s="139" t="s">
        <v>65</v>
      </c>
      <c r="C694" s="30" t="s">
        <v>189</v>
      </c>
      <c r="D694" s="191">
        <v>60</v>
      </c>
      <c r="E694" s="77">
        <v>3</v>
      </c>
      <c r="F694" s="76">
        <v>6.25E-2</v>
      </c>
      <c r="G694" s="76">
        <v>0.29166666666666669</v>
      </c>
      <c r="H694" s="76">
        <v>0.70833333333333337</v>
      </c>
      <c r="I694" s="173" t="s">
        <v>1369</v>
      </c>
      <c r="J694" s="23">
        <v>4</v>
      </c>
      <c r="K694" s="23"/>
      <c r="L694" s="68">
        <v>0.29166666666666669</v>
      </c>
      <c r="M694" s="68">
        <v>0.72916666666666663</v>
      </c>
      <c r="N694" s="173" t="s">
        <v>1247</v>
      </c>
      <c r="O694" s="23">
        <v>4170</v>
      </c>
      <c r="P694" s="70">
        <v>0.29166666666666669</v>
      </c>
      <c r="Q694" s="70">
        <v>0.72916666666666663</v>
      </c>
      <c r="R694" s="229" t="s">
        <v>1247</v>
      </c>
    </row>
    <row r="695" spans="1:18" s="146" customFormat="1" ht="15.75" customHeight="1" x14ac:dyDescent="0.4">
      <c r="A695" s="138">
        <v>45771</v>
      </c>
      <c r="B695" s="139" t="s">
        <v>64</v>
      </c>
      <c r="C695" s="140" t="s">
        <v>271</v>
      </c>
      <c r="D695" s="191">
        <v>16</v>
      </c>
      <c r="E695" s="168">
        <v>5</v>
      </c>
      <c r="F695" s="158"/>
      <c r="G695" s="169">
        <v>0.29166666666666669</v>
      </c>
      <c r="H695" s="169">
        <v>0.42708333333333331</v>
      </c>
      <c r="I695" s="153" t="s">
        <v>1391</v>
      </c>
      <c r="J695" s="144">
        <v>3</v>
      </c>
      <c r="K695" s="170">
        <v>1.0416666666666666E-2</v>
      </c>
      <c r="L695" s="170">
        <v>0.33333333333333331</v>
      </c>
      <c r="M695" s="170">
        <v>0.47916666666666669</v>
      </c>
      <c r="N695" s="153" t="s">
        <v>1380</v>
      </c>
      <c r="O695" s="144">
        <v>1650</v>
      </c>
      <c r="P695" s="70">
        <v>0.29166666666666669</v>
      </c>
      <c r="Q695" s="70">
        <v>0.47916666666666669</v>
      </c>
      <c r="R695" s="233" t="s">
        <v>1243</v>
      </c>
    </row>
    <row r="696" spans="1:18" s="146" customFormat="1" x14ac:dyDescent="0.4">
      <c r="A696" s="138">
        <v>45771</v>
      </c>
      <c r="B696" s="139" t="s">
        <v>63</v>
      </c>
      <c r="C696" s="140" t="s">
        <v>267</v>
      </c>
      <c r="D696" s="191">
        <v>24</v>
      </c>
      <c r="E696" s="168">
        <v>5</v>
      </c>
      <c r="F696" s="158"/>
      <c r="G696" s="169">
        <v>0.42708333333333331</v>
      </c>
      <c r="H696" s="169">
        <v>0.66666666666666663</v>
      </c>
      <c r="I696" s="153" t="s">
        <v>1335</v>
      </c>
      <c r="J696" s="144">
        <v>3</v>
      </c>
      <c r="K696" s="170">
        <v>1.0416666666666666E-2</v>
      </c>
      <c r="L696" s="170">
        <v>0.44097222222222227</v>
      </c>
      <c r="M696" s="170">
        <v>0.70833333333333337</v>
      </c>
      <c r="N696" s="153" t="s">
        <v>1339</v>
      </c>
      <c r="O696" s="144">
        <v>2445</v>
      </c>
      <c r="P696" s="70">
        <v>0.42708333333333331</v>
      </c>
      <c r="Q696" s="70">
        <v>0.70833333333333337</v>
      </c>
      <c r="R696" s="233" t="s">
        <v>1330</v>
      </c>
    </row>
    <row r="697" spans="1:18" x14ac:dyDescent="0.4">
      <c r="A697" s="133">
        <v>45771</v>
      </c>
      <c r="B697" s="139" t="s">
        <v>73</v>
      </c>
      <c r="C697" s="30" t="s">
        <v>231</v>
      </c>
      <c r="D697" s="191">
        <v>21</v>
      </c>
      <c r="E697" s="77">
        <v>4</v>
      </c>
      <c r="F697" s="1"/>
      <c r="G697" s="76">
        <v>0.29166666666666669</v>
      </c>
      <c r="H697" s="76">
        <v>0.67361111111111116</v>
      </c>
      <c r="I697" s="173" t="s">
        <v>1307</v>
      </c>
      <c r="J697" s="23">
        <v>8</v>
      </c>
      <c r="K697" s="23"/>
      <c r="L697" s="68">
        <v>0.33333333333333331</v>
      </c>
      <c r="M697" s="68">
        <v>0.6875</v>
      </c>
      <c r="N697" s="173" t="s">
        <v>1309</v>
      </c>
      <c r="O697" s="23">
        <v>5560</v>
      </c>
      <c r="P697" s="70">
        <v>0.29166666666666669</v>
      </c>
      <c r="Q697" s="70">
        <v>0.6875</v>
      </c>
      <c r="R697" s="229" t="s">
        <v>990</v>
      </c>
    </row>
    <row r="698" spans="1:18" x14ac:dyDescent="0.4">
      <c r="A698" s="133">
        <v>45771</v>
      </c>
      <c r="B698" s="139" t="s">
        <v>104</v>
      </c>
      <c r="C698" s="30" t="s">
        <v>191</v>
      </c>
      <c r="D698" s="191">
        <v>60</v>
      </c>
      <c r="E698" s="77">
        <v>3</v>
      </c>
      <c r="F698" s="76">
        <v>6.25E-2</v>
      </c>
      <c r="G698" s="76">
        <v>0.29166666666666669</v>
      </c>
      <c r="H698" s="76">
        <v>0.67361111111111116</v>
      </c>
      <c r="I698" s="173" t="s">
        <v>1350</v>
      </c>
      <c r="J698" s="23">
        <v>4</v>
      </c>
      <c r="K698" s="23"/>
      <c r="L698" s="68">
        <v>0.29166666666666669</v>
      </c>
      <c r="M698" s="68">
        <v>0.67361111111111116</v>
      </c>
      <c r="N698" s="173" t="s">
        <v>1307</v>
      </c>
      <c r="O698" s="23">
        <v>3700</v>
      </c>
      <c r="P698" s="70">
        <v>0.29166666666666669</v>
      </c>
      <c r="Q698" s="70">
        <v>0.67361111111111116</v>
      </c>
      <c r="R698" s="229" t="s">
        <v>1307</v>
      </c>
    </row>
    <row r="699" spans="1:18" x14ac:dyDescent="0.4">
      <c r="A699" s="135">
        <v>45771</v>
      </c>
      <c r="B699" s="102">
        <v>151010</v>
      </c>
      <c r="C699" s="136" t="s">
        <v>482</v>
      </c>
      <c r="D699" s="193">
        <v>1</v>
      </c>
      <c r="E699" s="103"/>
      <c r="F699" s="104"/>
      <c r="G699" s="184"/>
      <c r="H699" s="184"/>
      <c r="I699" s="225" t="s">
        <v>1002</v>
      </c>
      <c r="J699" s="105"/>
      <c r="K699" s="105"/>
      <c r="L699" s="106"/>
      <c r="M699" s="106"/>
      <c r="N699" s="225" t="s">
        <v>1002</v>
      </c>
      <c r="O699" s="105">
        <v>0</v>
      </c>
      <c r="P699" s="70">
        <v>0</v>
      </c>
      <c r="Q699" s="70">
        <v>0</v>
      </c>
      <c r="R699" s="232" t="s">
        <v>1002</v>
      </c>
    </row>
    <row r="700" spans="1:18" x14ac:dyDescent="0.4">
      <c r="A700" s="133">
        <v>45772</v>
      </c>
      <c r="B700" s="139" t="s">
        <v>71</v>
      </c>
      <c r="C700" s="30" t="s">
        <v>176</v>
      </c>
      <c r="D700" s="191">
        <v>72</v>
      </c>
      <c r="E700" s="77">
        <v>7</v>
      </c>
      <c r="F700" s="1"/>
      <c r="G700" s="76">
        <v>0.29166666666666669</v>
      </c>
      <c r="H700" s="76">
        <v>0.66666666666666663</v>
      </c>
      <c r="I700" s="173" t="s">
        <v>1292</v>
      </c>
      <c r="J700" s="23">
        <v>5</v>
      </c>
      <c r="K700" s="23"/>
      <c r="L700" s="68">
        <v>0.3125</v>
      </c>
      <c r="M700" s="68">
        <v>0.70833333333333337</v>
      </c>
      <c r="N700" s="173" t="s">
        <v>990</v>
      </c>
      <c r="O700" s="23">
        <v>5910</v>
      </c>
      <c r="P700" s="70">
        <v>0.29166666666666669</v>
      </c>
      <c r="Q700" s="70">
        <v>0.70833333333333337</v>
      </c>
      <c r="R700" s="229" t="s">
        <v>1252</v>
      </c>
    </row>
    <row r="701" spans="1:18" x14ac:dyDescent="0.4">
      <c r="A701" s="133">
        <v>45772</v>
      </c>
      <c r="B701" s="139" t="s">
        <v>76</v>
      </c>
      <c r="C701" s="30" t="s">
        <v>224</v>
      </c>
      <c r="D701" s="191">
        <v>12</v>
      </c>
      <c r="E701" s="77">
        <v>5</v>
      </c>
      <c r="F701" s="1"/>
      <c r="G701" s="76">
        <v>0.42708333333333331</v>
      </c>
      <c r="H701" s="76">
        <v>0.5708333333333333</v>
      </c>
      <c r="I701" s="173" t="s">
        <v>1451</v>
      </c>
      <c r="J701" s="23">
        <v>3</v>
      </c>
      <c r="K701" s="68">
        <v>6.9444444444444441E-3</v>
      </c>
      <c r="L701" s="68">
        <v>0.4513888888888889</v>
      </c>
      <c r="M701" s="68">
        <v>0.59722222222222221</v>
      </c>
      <c r="N701" s="173" t="s">
        <v>1325</v>
      </c>
      <c r="O701" s="23">
        <v>1215</v>
      </c>
      <c r="P701" s="70">
        <v>0.42708333333333331</v>
      </c>
      <c r="Q701" s="70">
        <v>0.59722222222222221</v>
      </c>
      <c r="R701" s="229" t="s">
        <v>1251</v>
      </c>
    </row>
    <row r="702" spans="1:18" x14ac:dyDescent="0.4">
      <c r="A702" s="133">
        <v>45772</v>
      </c>
      <c r="B702" s="139" t="s">
        <v>75</v>
      </c>
      <c r="C702" s="30" t="s">
        <v>229</v>
      </c>
      <c r="D702" s="191">
        <v>12</v>
      </c>
      <c r="E702" s="77">
        <v>5</v>
      </c>
      <c r="F702" s="1"/>
      <c r="G702" s="76">
        <v>0.5708333333333333</v>
      </c>
      <c r="H702" s="76">
        <v>0.6875</v>
      </c>
      <c r="I702" s="173" t="s">
        <v>1460</v>
      </c>
      <c r="J702" s="23">
        <v>3</v>
      </c>
      <c r="K702" s="68">
        <v>6.9444444444444441E-3</v>
      </c>
      <c r="L702" s="68">
        <v>0.59722222222222221</v>
      </c>
      <c r="M702" s="68">
        <v>0.6875</v>
      </c>
      <c r="N702" s="173" t="s">
        <v>1313</v>
      </c>
      <c r="O702" s="23">
        <v>1260</v>
      </c>
      <c r="P702" s="70">
        <v>0.5708333333333333</v>
      </c>
      <c r="Q702" s="70">
        <v>0.6875</v>
      </c>
      <c r="R702" s="229" t="s">
        <v>1460</v>
      </c>
    </row>
    <row r="703" spans="1:18" x14ac:dyDescent="0.4">
      <c r="A703" s="133">
        <v>45772</v>
      </c>
      <c r="B703" s="139" t="s">
        <v>72</v>
      </c>
      <c r="C703" s="30" t="s">
        <v>227</v>
      </c>
      <c r="D703" s="191">
        <v>16</v>
      </c>
      <c r="E703" s="77">
        <v>5</v>
      </c>
      <c r="F703" s="1"/>
      <c r="G703" s="76">
        <v>0.29166666666666669</v>
      </c>
      <c r="H703" s="76">
        <v>0.42708333333333331</v>
      </c>
      <c r="I703" s="173" t="s">
        <v>1391</v>
      </c>
      <c r="J703" s="23">
        <v>3</v>
      </c>
      <c r="K703" s="68">
        <v>6.9444444444444441E-3</v>
      </c>
      <c r="L703" s="68">
        <v>0.33333333333333331</v>
      </c>
      <c r="M703" s="68">
        <v>0.4513888888888889</v>
      </c>
      <c r="N703" s="173" t="s">
        <v>1316</v>
      </c>
      <c r="O703" s="23">
        <v>1515</v>
      </c>
      <c r="P703" s="70">
        <v>0.29166666666666669</v>
      </c>
      <c r="Q703" s="70">
        <v>0.4513888888888889</v>
      </c>
      <c r="R703" s="229" t="s">
        <v>1332</v>
      </c>
    </row>
    <row r="704" spans="1:18" x14ac:dyDescent="0.4">
      <c r="A704" s="133">
        <v>45772</v>
      </c>
      <c r="B704" s="139" t="s">
        <v>642</v>
      </c>
      <c r="C704" s="30" t="s">
        <v>643</v>
      </c>
      <c r="D704" s="191">
        <v>20</v>
      </c>
      <c r="E704" s="77">
        <v>3</v>
      </c>
      <c r="F704" s="76">
        <v>2.0833333333333332E-2</v>
      </c>
      <c r="G704" s="76">
        <v>0.45833333333333331</v>
      </c>
      <c r="H704" s="76">
        <v>0.66666666666666663</v>
      </c>
      <c r="I704" s="173" t="s">
        <v>1243</v>
      </c>
      <c r="J704" s="23">
        <v>4</v>
      </c>
      <c r="K704" s="23"/>
      <c r="L704" s="68">
        <v>0.47222222222222227</v>
      </c>
      <c r="M704" s="68">
        <v>0.6875</v>
      </c>
      <c r="N704" s="173" t="s">
        <v>1311</v>
      </c>
      <c r="O704" s="23">
        <v>1810</v>
      </c>
      <c r="P704" s="70">
        <v>0.45833333333333331</v>
      </c>
      <c r="Q704" s="70">
        <v>0.6875</v>
      </c>
      <c r="R704" s="229" t="s">
        <v>1243</v>
      </c>
    </row>
    <row r="705" spans="1:18" x14ac:dyDescent="0.4">
      <c r="A705" s="133">
        <v>45772</v>
      </c>
      <c r="B705" s="139" t="s">
        <v>104</v>
      </c>
      <c r="C705" s="30" t="s">
        <v>191</v>
      </c>
      <c r="D705" s="191">
        <v>28</v>
      </c>
      <c r="E705" s="77">
        <v>3</v>
      </c>
      <c r="F705" s="76">
        <v>2.0833333333333332E-2</v>
      </c>
      <c r="G705" s="76">
        <v>0.29166666666666669</v>
      </c>
      <c r="H705" s="76">
        <v>0.45833333333333331</v>
      </c>
      <c r="I705" s="173" t="s">
        <v>1243</v>
      </c>
      <c r="J705" s="23">
        <v>4</v>
      </c>
      <c r="K705" s="23"/>
      <c r="L705" s="68">
        <v>0.29166666666666669</v>
      </c>
      <c r="M705" s="68">
        <v>0.47916666666666669</v>
      </c>
      <c r="N705" s="173" t="s">
        <v>1243</v>
      </c>
      <c r="O705" s="23">
        <v>1890</v>
      </c>
      <c r="P705" s="70">
        <v>0.29166666666666669</v>
      </c>
      <c r="Q705" s="70">
        <v>0.47916666666666669</v>
      </c>
      <c r="R705" s="229" t="s">
        <v>1243</v>
      </c>
    </row>
    <row r="706" spans="1:18" x14ac:dyDescent="0.4">
      <c r="A706" s="133">
        <v>45775</v>
      </c>
      <c r="B706" s="139" t="s">
        <v>106</v>
      </c>
      <c r="C706" s="30" t="s">
        <v>173</v>
      </c>
      <c r="D706" s="191">
        <v>16</v>
      </c>
      <c r="E706" s="77">
        <v>5</v>
      </c>
      <c r="F706" s="1"/>
      <c r="G706" s="76">
        <v>0.29166666666666669</v>
      </c>
      <c r="H706" s="76">
        <v>0.5</v>
      </c>
      <c r="I706" s="173" t="s">
        <v>1327</v>
      </c>
      <c r="J706" s="23">
        <v>10</v>
      </c>
      <c r="K706" s="23"/>
      <c r="L706" s="68">
        <v>0.3125</v>
      </c>
      <c r="M706" s="68">
        <v>0.5</v>
      </c>
      <c r="N706" s="173" t="s">
        <v>1243</v>
      </c>
      <c r="O706" s="23">
        <v>4200</v>
      </c>
      <c r="P706" s="70">
        <v>0.29166666666666669</v>
      </c>
      <c r="Q706" s="70">
        <v>0.5</v>
      </c>
      <c r="R706" s="229" t="s">
        <v>1327</v>
      </c>
    </row>
    <row r="707" spans="1:18" x14ac:dyDescent="0.4">
      <c r="A707" s="133">
        <v>45775</v>
      </c>
      <c r="B707" s="139" t="s">
        <v>473</v>
      </c>
      <c r="C707" s="30" t="s">
        <v>289</v>
      </c>
      <c r="D707" s="191">
        <v>6</v>
      </c>
      <c r="E707" s="77">
        <v>5</v>
      </c>
      <c r="F707" s="1"/>
      <c r="G707" s="76">
        <v>0.54166666666666663</v>
      </c>
      <c r="H707" s="76">
        <v>0.66666666666666663</v>
      </c>
      <c r="I707" s="173" t="s">
        <v>1316</v>
      </c>
      <c r="J707" s="23">
        <v>12</v>
      </c>
      <c r="K707" s="23"/>
      <c r="L707" s="68">
        <v>0.54166666666666663</v>
      </c>
      <c r="M707" s="68">
        <v>0.70833333333333337</v>
      </c>
      <c r="N707" s="173" t="s">
        <v>1244</v>
      </c>
      <c r="O707" s="23">
        <v>3780</v>
      </c>
      <c r="P707" s="70">
        <v>0.54166666666666663</v>
      </c>
      <c r="Q707" s="70">
        <v>0.70833333333333337</v>
      </c>
      <c r="R707" s="229" t="s">
        <v>1244</v>
      </c>
    </row>
    <row r="708" spans="1:18" x14ac:dyDescent="0.4">
      <c r="A708" s="133">
        <v>45775</v>
      </c>
      <c r="B708" s="139" t="s">
        <v>997</v>
      </c>
      <c r="C708" s="30" t="s">
        <v>239</v>
      </c>
      <c r="D708" s="191">
        <v>4</v>
      </c>
      <c r="E708" s="77">
        <v>5</v>
      </c>
      <c r="F708" s="1"/>
      <c r="G708" s="76">
        <v>0.29166666666666669</v>
      </c>
      <c r="H708" s="76">
        <v>0.34930555555555554</v>
      </c>
      <c r="I708" s="173" t="s">
        <v>1404</v>
      </c>
      <c r="J708" s="23">
        <v>3</v>
      </c>
      <c r="K708" s="68">
        <v>6.9444444444444441E-3</v>
      </c>
      <c r="L708" s="68">
        <v>0.33333333333333331</v>
      </c>
      <c r="M708" s="68">
        <v>0.375</v>
      </c>
      <c r="N708" s="173" t="s">
        <v>1442</v>
      </c>
      <c r="O708" s="23">
        <v>625</v>
      </c>
      <c r="P708" s="70">
        <v>0.29166666666666669</v>
      </c>
      <c r="Q708" s="70">
        <v>0.375</v>
      </c>
      <c r="R708" s="229" t="s">
        <v>1296</v>
      </c>
    </row>
    <row r="709" spans="1:18" x14ac:dyDescent="0.4">
      <c r="A709" s="133">
        <v>45775</v>
      </c>
      <c r="B709" s="139" t="s">
        <v>88</v>
      </c>
      <c r="C709" s="30" t="s">
        <v>328</v>
      </c>
      <c r="D709" s="191">
        <v>16</v>
      </c>
      <c r="E709" s="77">
        <v>5</v>
      </c>
      <c r="F709" s="1"/>
      <c r="G709" s="76">
        <v>0.54166666666666663</v>
      </c>
      <c r="H709" s="76">
        <v>0.70833333333333337</v>
      </c>
      <c r="I709" s="173" t="s">
        <v>1244</v>
      </c>
      <c r="J709" s="23">
        <v>3</v>
      </c>
      <c r="K709" s="68">
        <v>6.9444444444444441E-3</v>
      </c>
      <c r="L709" s="68">
        <v>0.57291666666666663</v>
      </c>
      <c r="M709" s="68">
        <v>0.70833333333333337</v>
      </c>
      <c r="N709" s="173" t="s">
        <v>1299</v>
      </c>
      <c r="O709" s="23">
        <v>1815</v>
      </c>
      <c r="P709" s="70">
        <v>0.54166666666666663</v>
      </c>
      <c r="Q709" s="70">
        <v>0.70833333333333337</v>
      </c>
      <c r="R709" s="229" t="s">
        <v>1244</v>
      </c>
    </row>
    <row r="710" spans="1:18" x14ac:dyDescent="0.4">
      <c r="A710" s="133">
        <v>45775</v>
      </c>
      <c r="B710" s="139" t="s">
        <v>965</v>
      </c>
      <c r="C710" s="30" t="s">
        <v>966</v>
      </c>
      <c r="D710" s="191">
        <v>16</v>
      </c>
      <c r="E710" s="77">
        <v>5</v>
      </c>
      <c r="F710" s="1"/>
      <c r="G710" s="76">
        <v>0.34930555555555554</v>
      </c>
      <c r="H710" s="76">
        <v>0.5</v>
      </c>
      <c r="I710" s="173" t="s">
        <v>1563</v>
      </c>
      <c r="J710" s="23">
        <v>3</v>
      </c>
      <c r="K710" s="68">
        <v>6.9444444444444441E-3</v>
      </c>
      <c r="L710" s="68">
        <v>0.375</v>
      </c>
      <c r="M710" s="68">
        <v>0.57291666666666663</v>
      </c>
      <c r="N710" s="173" t="s">
        <v>1359</v>
      </c>
      <c r="O710" s="23">
        <v>1790</v>
      </c>
      <c r="P710" s="70">
        <v>0.34930555555555554</v>
      </c>
      <c r="Q710" s="70">
        <v>0.57291666666666663</v>
      </c>
      <c r="R710" s="229" t="s">
        <v>1564</v>
      </c>
    </row>
    <row r="711" spans="1:18" x14ac:dyDescent="0.4">
      <c r="A711" s="133">
        <v>45775</v>
      </c>
      <c r="B711" s="139" t="s">
        <v>97</v>
      </c>
      <c r="C711" s="30" t="s">
        <v>274</v>
      </c>
      <c r="D711" s="191">
        <v>16</v>
      </c>
      <c r="E711" s="77">
        <v>3</v>
      </c>
      <c r="F711" s="76">
        <v>4.1666666666666664E-2</v>
      </c>
      <c r="G711" s="76">
        <v>0.29166666666666669</v>
      </c>
      <c r="H711" s="76">
        <v>0.43055555555555558</v>
      </c>
      <c r="I711" s="173" t="s">
        <v>1379</v>
      </c>
      <c r="J711" s="23">
        <v>4</v>
      </c>
      <c r="K711" s="23"/>
      <c r="L711" s="68">
        <v>0.29166666666666669</v>
      </c>
      <c r="M711" s="68">
        <v>0.4375</v>
      </c>
      <c r="N711" s="173" t="s">
        <v>1303</v>
      </c>
      <c r="O711" s="23">
        <v>1620</v>
      </c>
      <c r="P711" s="70">
        <v>0.29166666666666669</v>
      </c>
      <c r="Q711" s="70">
        <v>0.4375</v>
      </c>
      <c r="R711" s="229" t="s">
        <v>1303</v>
      </c>
    </row>
    <row r="712" spans="1:18" x14ac:dyDescent="0.4">
      <c r="A712" s="133">
        <v>45775</v>
      </c>
      <c r="B712" s="139" t="s">
        <v>131</v>
      </c>
      <c r="C712" s="30" t="s">
        <v>274</v>
      </c>
      <c r="D712" s="191">
        <v>28</v>
      </c>
      <c r="E712" s="77">
        <v>3</v>
      </c>
      <c r="F712" s="1"/>
      <c r="G712" s="76">
        <v>0.43055555555555558</v>
      </c>
      <c r="H712" s="76">
        <v>0.66666666666666663</v>
      </c>
      <c r="I712" s="173" t="s">
        <v>1255</v>
      </c>
      <c r="J712" s="23">
        <v>4</v>
      </c>
      <c r="K712" s="23"/>
      <c r="L712" s="68">
        <v>0.43055555555555558</v>
      </c>
      <c r="M712" s="68">
        <v>0.66666666666666663</v>
      </c>
      <c r="N712" s="173" t="s">
        <v>1255</v>
      </c>
      <c r="O712" s="23">
        <v>1960</v>
      </c>
      <c r="P712" s="70">
        <v>0.43055555555555558</v>
      </c>
      <c r="Q712" s="70">
        <v>0.66666666666666663</v>
      </c>
      <c r="R712" s="229" t="s">
        <v>1255</v>
      </c>
    </row>
    <row r="713" spans="1:18" x14ac:dyDescent="0.4">
      <c r="A713" s="133">
        <v>45776</v>
      </c>
      <c r="B713" s="139" t="s">
        <v>54</v>
      </c>
      <c r="C713" s="30" t="s">
        <v>251</v>
      </c>
      <c r="D713" s="191">
        <v>32</v>
      </c>
      <c r="E713" s="77">
        <v>5</v>
      </c>
      <c r="F713" s="1"/>
      <c r="G713" s="76">
        <v>0.37291666666666662</v>
      </c>
      <c r="H713" s="76">
        <v>0.6875</v>
      </c>
      <c r="I713" s="173" t="s">
        <v>1549</v>
      </c>
      <c r="J713" s="23">
        <v>3</v>
      </c>
      <c r="K713" s="68">
        <v>1.0416666666666666E-2</v>
      </c>
      <c r="L713" s="68">
        <v>0.39583333333333331</v>
      </c>
      <c r="M713" s="68">
        <v>0.70833333333333337</v>
      </c>
      <c r="N713" s="173" t="s">
        <v>1527</v>
      </c>
      <c r="O713" s="23">
        <v>3180</v>
      </c>
      <c r="P713" s="70">
        <v>0.37291666666666662</v>
      </c>
      <c r="Q713" s="70">
        <v>0.70833333333333337</v>
      </c>
      <c r="R713" s="229" t="s">
        <v>1550</v>
      </c>
    </row>
    <row r="714" spans="1:18" x14ac:dyDescent="0.4">
      <c r="A714" s="133">
        <v>45776</v>
      </c>
      <c r="B714" s="139" t="s">
        <v>53</v>
      </c>
      <c r="C714" s="30" t="s">
        <v>261</v>
      </c>
      <c r="D714" s="191">
        <v>6</v>
      </c>
      <c r="E714" s="77">
        <v>5</v>
      </c>
      <c r="F714" s="1"/>
      <c r="G714" s="76">
        <v>0.29166666666666669</v>
      </c>
      <c r="H714" s="76">
        <v>0.37291666666666662</v>
      </c>
      <c r="I714" s="173" t="s">
        <v>1423</v>
      </c>
      <c r="J714" s="23">
        <v>3</v>
      </c>
      <c r="K714" s="68">
        <v>1.0416666666666666E-2</v>
      </c>
      <c r="L714" s="68">
        <v>0.33333333333333331</v>
      </c>
      <c r="M714" s="68">
        <v>0.39583333333333331</v>
      </c>
      <c r="N714" s="173" t="s">
        <v>1246</v>
      </c>
      <c r="O714" s="23">
        <v>900</v>
      </c>
      <c r="P714" s="70">
        <v>0.29166666666666669</v>
      </c>
      <c r="Q714" s="70">
        <v>0.39583333333333331</v>
      </c>
      <c r="R714" s="229" t="s">
        <v>1298</v>
      </c>
    </row>
    <row r="715" spans="1:18" x14ac:dyDescent="0.4">
      <c r="A715" s="394">
        <v>45776</v>
      </c>
      <c r="B715" s="392" t="s">
        <v>108</v>
      </c>
      <c r="C715" s="375" t="s">
        <v>231</v>
      </c>
      <c r="D715" s="393">
        <v>16.5</v>
      </c>
      <c r="E715" s="77">
        <v>5</v>
      </c>
      <c r="F715" s="1"/>
      <c r="G715" s="76">
        <v>0.33333333333333331</v>
      </c>
      <c r="H715" s="76">
        <v>0.4513888888888889</v>
      </c>
      <c r="I715" s="173" t="s">
        <v>1314</v>
      </c>
      <c r="J715" s="23">
        <v>9</v>
      </c>
      <c r="K715" s="23"/>
      <c r="L715" s="68">
        <v>0.41944444444444445</v>
      </c>
      <c r="M715" s="68">
        <v>0.63194444444444442</v>
      </c>
      <c r="N715" s="173" t="s">
        <v>1366</v>
      </c>
      <c r="O715" s="23">
        <v>3064</v>
      </c>
      <c r="P715" s="70">
        <v>0.33333333333333331</v>
      </c>
      <c r="Q715" s="70">
        <v>0.63194444444444442</v>
      </c>
      <c r="R715" s="229" t="s">
        <v>1471</v>
      </c>
    </row>
    <row r="716" spans="1:18" x14ac:dyDescent="0.4">
      <c r="A716" s="133">
        <v>45776</v>
      </c>
      <c r="B716" s="139" t="s">
        <v>65</v>
      </c>
      <c r="C716" s="30" t="s">
        <v>189</v>
      </c>
      <c r="D716" s="191">
        <v>60</v>
      </c>
      <c r="E716" s="77">
        <v>3</v>
      </c>
      <c r="F716" s="76">
        <v>4.1666666666666664E-2</v>
      </c>
      <c r="G716" s="76">
        <v>0.29166666666666669</v>
      </c>
      <c r="H716" s="76">
        <v>0.70833333333333337</v>
      </c>
      <c r="I716" s="173" t="s">
        <v>1308</v>
      </c>
      <c r="J716" s="23">
        <v>4</v>
      </c>
      <c r="K716" s="23"/>
      <c r="L716" s="68">
        <v>0.29166666666666669</v>
      </c>
      <c r="M716" s="68">
        <v>0.73611111111111116</v>
      </c>
      <c r="N716" s="173" t="s">
        <v>1350</v>
      </c>
      <c r="O716" s="23">
        <v>4120</v>
      </c>
      <c r="P716" s="70">
        <v>0.29166666666666669</v>
      </c>
      <c r="Q716" s="70">
        <v>0.73611111111111116</v>
      </c>
      <c r="R716" s="229" t="s">
        <v>1350</v>
      </c>
    </row>
    <row r="717" spans="1:18" x14ac:dyDescent="0.4">
      <c r="A717" s="240">
        <v>45777</v>
      </c>
      <c r="B717" s="151" t="s">
        <v>114</v>
      </c>
      <c r="C717" s="30" t="s">
        <v>161</v>
      </c>
      <c r="D717" s="190">
        <v>15</v>
      </c>
      <c r="E717" s="77">
        <v>5</v>
      </c>
      <c r="F717" s="1"/>
      <c r="G717" s="76">
        <v>0.29166666666666669</v>
      </c>
      <c r="H717" s="76">
        <v>0.5</v>
      </c>
      <c r="I717" s="173" t="s">
        <v>1327</v>
      </c>
      <c r="J717" s="23">
        <v>13</v>
      </c>
      <c r="K717" s="23"/>
      <c r="L717" s="68">
        <v>0.3125</v>
      </c>
      <c r="M717" s="68">
        <v>0.54166666666666663</v>
      </c>
      <c r="N717" s="173" t="s">
        <v>1243</v>
      </c>
      <c r="O717" s="23">
        <v>5010</v>
      </c>
      <c r="P717" s="70">
        <v>0.29166666666666669</v>
      </c>
      <c r="Q717" s="70">
        <v>0.54166666666666663</v>
      </c>
      <c r="R717" s="229" t="s">
        <v>1327</v>
      </c>
    </row>
    <row r="718" spans="1:18" x14ac:dyDescent="0.4">
      <c r="A718" s="240">
        <v>45777</v>
      </c>
      <c r="B718" s="151" t="s">
        <v>91</v>
      </c>
      <c r="C718" s="30" t="s">
        <v>163</v>
      </c>
      <c r="D718" s="190">
        <v>16</v>
      </c>
      <c r="E718" s="77">
        <v>5</v>
      </c>
      <c r="F718" s="1"/>
      <c r="G718" s="76">
        <v>0.52083333333333337</v>
      </c>
      <c r="H718" s="76">
        <v>0.72916666666666663</v>
      </c>
      <c r="I718" s="173" t="s">
        <v>1327</v>
      </c>
      <c r="J718" s="23">
        <v>9</v>
      </c>
      <c r="K718" s="23"/>
      <c r="L718" s="68">
        <v>0.54166666666666663</v>
      </c>
      <c r="M718" s="68">
        <v>0.75</v>
      </c>
      <c r="N718" s="173" t="s">
        <v>1327</v>
      </c>
      <c r="O718" s="23">
        <v>4200</v>
      </c>
      <c r="P718" s="70">
        <v>0.52083333333333337</v>
      </c>
      <c r="Q718" s="70">
        <v>0.75</v>
      </c>
      <c r="R718" s="229" t="s">
        <v>1320</v>
      </c>
    </row>
    <row r="719" spans="1:18" x14ac:dyDescent="0.4">
      <c r="A719" s="240">
        <v>45777</v>
      </c>
      <c r="B719" s="151" t="s">
        <v>548</v>
      </c>
      <c r="C719" s="30" t="s">
        <v>218</v>
      </c>
      <c r="D719" s="190">
        <v>12</v>
      </c>
      <c r="E719" s="77">
        <v>4</v>
      </c>
      <c r="F719" s="1"/>
      <c r="G719" s="76">
        <v>0.29166666666666669</v>
      </c>
      <c r="H719" s="76">
        <v>0.42083333333333334</v>
      </c>
      <c r="I719" s="173" t="s">
        <v>1407</v>
      </c>
      <c r="J719" s="23">
        <v>4</v>
      </c>
      <c r="K719" s="68">
        <v>6.9444444444444441E-3</v>
      </c>
      <c r="L719" s="68">
        <v>0.33333333333333331</v>
      </c>
      <c r="M719" s="68">
        <v>0.47569444444444442</v>
      </c>
      <c r="N719" s="173" t="s">
        <v>1355</v>
      </c>
      <c r="O719" s="23">
        <v>1604</v>
      </c>
      <c r="P719" s="70">
        <v>0.29166666666666669</v>
      </c>
      <c r="Q719" s="70">
        <v>0.47569444444444442</v>
      </c>
      <c r="R719" s="229" t="s">
        <v>1356</v>
      </c>
    </row>
    <row r="720" spans="1:18" x14ac:dyDescent="0.4">
      <c r="A720" s="240">
        <v>45777</v>
      </c>
      <c r="B720" s="151" t="s">
        <v>81</v>
      </c>
      <c r="C720" s="30" t="s">
        <v>235</v>
      </c>
      <c r="D720" s="190">
        <v>16</v>
      </c>
      <c r="E720" s="77">
        <v>4</v>
      </c>
      <c r="F720" s="1"/>
      <c r="G720" s="76">
        <v>0.58194444444444449</v>
      </c>
      <c r="H720" s="76">
        <v>0.72916666666666663</v>
      </c>
      <c r="I720" s="173" t="s">
        <v>1565</v>
      </c>
      <c r="J720" s="23">
        <v>4</v>
      </c>
      <c r="K720" s="68">
        <v>6.9444444444444441E-3</v>
      </c>
      <c r="L720" s="68">
        <v>0.61111111111111105</v>
      </c>
      <c r="M720" s="68">
        <v>0.75</v>
      </c>
      <c r="N720" s="173" t="s">
        <v>1303</v>
      </c>
      <c r="O720" s="23">
        <v>1688</v>
      </c>
      <c r="P720" s="70">
        <v>0.58194444444444449</v>
      </c>
      <c r="Q720" s="70">
        <v>0.75</v>
      </c>
      <c r="R720" s="229" t="s">
        <v>1566</v>
      </c>
    </row>
    <row r="721" spans="1:18" x14ac:dyDescent="0.4">
      <c r="A721" s="240">
        <v>45777</v>
      </c>
      <c r="B721" s="151" t="s">
        <v>77</v>
      </c>
      <c r="C721" s="30" t="s">
        <v>293</v>
      </c>
      <c r="D721" s="190">
        <v>8</v>
      </c>
      <c r="E721" s="77">
        <v>4</v>
      </c>
      <c r="F721" s="1"/>
      <c r="G721" s="76">
        <v>0.42083333333333334</v>
      </c>
      <c r="H721" s="76">
        <v>0.58194444444444449</v>
      </c>
      <c r="I721" s="173" t="s">
        <v>1344</v>
      </c>
      <c r="J721" s="23">
        <v>4</v>
      </c>
      <c r="K721" s="68">
        <v>6.9444444444444441E-3</v>
      </c>
      <c r="L721" s="68">
        <v>0.47569444444444442</v>
      </c>
      <c r="M721" s="68">
        <v>0.61111111111111105</v>
      </c>
      <c r="N721" s="173" t="s">
        <v>1331</v>
      </c>
      <c r="O721" s="23">
        <v>1268</v>
      </c>
      <c r="P721" s="70">
        <v>0.42083333333333334</v>
      </c>
      <c r="Q721" s="70">
        <v>0.61111111111111105</v>
      </c>
      <c r="R721" s="229" t="s">
        <v>1503</v>
      </c>
    </row>
    <row r="722" spans="1:18" x14ac:dyDescent="0.4">
      <c r="A722" s="240">
        <v>45777</v>
      </c>
      <c r="B722" s="151" t="s">
        <v>65</v>
      </c>
      <c r="C722" s="30" t="s">
        <v>189</v>
      </c>
      <c r="D722" s="190">
        <v>60</v>
      </c>
      <c r="E722" s="77">
        <v>3</v>
      </c>
      <c r="F722" s="76">
        <v>4.1666666666666664E-2</v>
      </c>
      <c r="G722" s="76">
        <v>0.29166666666666669</v>
      </c>
      <c r="H722" s="76">
        <v>0.66666666666666663</v>
      </c>
      <c r="I722" s="173" t="s">
        <v>1252</v>
      </c>
      <c r="J722" s="23">
        <v>4</v>
      </c>
      <c r="K722" s="23"/>
      <c r="L722" s="68">
        <v>0.29166666666666669</v>
      </c>
      <c r="M722" s="68">
        <v>0.73611111111111116</v>
      </c>
      <c r="N722" s="173" t="s">
        <v>1350</v>
      </c>
      <c r="O722" s="23">
        <v>3940</v>
      </c>
      <c r="P722" s="70">
        <v>0.29166666666666669</v>
      </c>
      <c r="Q722" s="70">
        <v>0.73611111111111116</v>
      </c>
      <c r="R722" s="229" t="s">
        <v>1350</v>
      </c>
    </row>
    <row r="723" spans="1:18" x14ac:dyDescent="0.4">
      <c r="A723" s="240">
        <v>45779</v>
      </c>
      <c r="B723" s="151" t="s">
        <v>979</v>
      </c>
      <c r="C723" s="30" t="s">
        <v>199</v>
      </c>
      <c r="D723" s="190">
        <v>72</v>
      </c>
      <c r="E723" s="77">
        <v>7</v>
      </c>
      <c r="F723" s="1"/>
      <c r="G723" s="76">
        <v>0.29166666666666669</v>
      </c>
      <c r="H723" s="76">
        <v>0.70833333333333337</v>
      </c>
      <c r="I723" s="173" t="s">
        <v>1252</v>
      </c>
      <c r="J723" s="23">
        <v>5</v>
      </c>
      <c r="K723" s="23"/>
      <c r="L723" s="68">
        <v>0.3125</v>
      </c>
      <c r="M723" s="68">
        <v>0.72916666666666663</v>
      </c>
      <c r="N723" s="173" t="s">
        <v>1252</v>
      </c>
      <c r="O723" s="23">
        <v>6480</v>
      </c>
      <c r="P723" s="70">
        <v>0.29166666666666669</v>
      </c>
      <c r="Q723" s="70">
        <v>0.72916666666666663</v>
      </c>
      <c r="R723" s="229" t="s">
        <v>1247</v>
      </c>
    </row>
    <row r="724" spans="1:18" x14ac:dyDescent="0.4">
      <c r="A724" s="240">
        <v>45779</v>
      </c>
      <c r="B724" s="151" t="s">
        <v>63</v>
      </c>
      <c r="C724" s="30" t="s">
        <v>267</v>
      </c>
      <c r="D724" s="190">
        <v>16</v>
      </c>
      <c r="E724" s="77">
        <v>5</v>
      </c>
      <c r="F724" s="1"/>
      <c r="G724" s="76">
        <v>0.63194444444444442</v>
      </c>
      <c r="H724" s="76">
        <v>0.79166666666666663</v>
      </c>
      <c r="I724" s="173" t="s">
        <v>1332</v>
      </c>
      <c r="J724" s="23">
        <v>3</v>
      </c>
      <c r="K724" s="68">
        <v>6.9444444444444441E-3</v>
      </c>
      <c r="L724" s="68">
        <v>0.66666666666666663</v>
      </c>
      <c r="M724" s="68">
        <v>0.79166666666666663</v>
      </c>
      <c r="N724" s="173" t="s">
        <v>1256</v>
      </c>
      <c r="O724" s="23">
        <v>1720</v>
      </c>
      <c r="P724" s="70">
        <v>0.63194444444444442</v>
      </c>
      <c r="Q724" s="70">
        <v>0.79166666666666663</v>
      </c>
      <c r="R724" s="229" t="s">
        <v>1332</v>
      </c>
    </row>
    <row r="725" spans="1:18" x14ac:dyDescent="0.4">
      <c r="A725" s="240">
        <v>45779</v>
      </c>
      <c r="B725" s="151" t="s">
        <v>109</v>
      </c>
      <c r="C725" s="30" t="s">
        <v>263</v>
      </c>
      <c r="D725" s="190">
        <v>12</v>
      </c>
      <c r="E725" s="77">
        <v>5</v>
      </c>
      <c r="F725" s="1"/>
      <c r="G725" s="76">
        <v>0.29166666666666669</v>
      </c>
      <c r="H725" s="76">
        <v>0.43124999999999997</v>
      </c>
      <c r="I725" s="173" t="s">
        <v>1470</v>
      </c>
      <c r="J725" s="23">
        <v>3</v>
      </c>
      <c r="K725" s="68">
        <v>6.9444444444444441E-3</v>
      </c>
      <c r="L725" s="68">
        <v>0.33333333333333331</v>
      </c>
      <c r="M725" s="68">
        <v>0.45833333333333331</v>
      </c>
      <c r="N725" s="173" t="s">
        <v>1256</v>
      </c>
      <c r="O725" s="23">
        <v>1575</v>
      </c>
      <c r="P725" s="70">
        <v>0.29166666666666669</v>
      </c>
      <c r="Q725" s="70">
        <v>0.45833333333333331</v>
      </c>
      <c r="R725" s="229" t="s">
        <v>1244</v>
      </c>
    </row>
    <row r="726" spans="1:18" x14ac:dyDescent="0.4">
      <c r="A726" s="240">
        <v>45779</v>
      </c>
      <c r="B726" s="151" t="s">
        <v>51</v>
      </c>
      <c r="C726" s="30" t="s">
        <v>253</v>
      </c>
      <c r="D726" s="190">
        <v>16</v>
      </c>
      <c r="E726" s="77">
        <v>5</v>
      </c>
      <c r="F726" s="1"/>
      <c r="G726" s="76">
        <v>0.43124999999999997</v>
      </c>
      <c r="H726" s="76">
        <v>0.63194444444444442</v>
      </c>
      <c r="I726" s="173" t="s">
        <v>1567</v>
      </c>
      <c r="J726" s="23">
        <v>3</v>
      </c>
      <c r="K726" s="68">
        <v>6.9444444444444441E-3</v>
      </c>
      <c r="L726" s="68">
        <v>0.47222222222222227</v>
      </c>
      <c r="M726" s="68">
        <v>0.66666666666666663</v>
      </c>
      <c r="N726" s="173" t="s">
        <v>1332</v>
      </c>
      <c r="O726" s="23">
        <v>1835</v>
      </c>
      <c r="P726" s="70">
        <v>0.43124999999999997</v>
      </c>
      <c r="Q726" s="70">
        <v>0.66666666666666663</v>
      </c>
      <c r="R726" s="229" t="s">
        <v>1568</v>
      </c>
    </row>
    <row r="727" spans="1:18" ht="18.75" customHeight="1" x14ac:dyDescent="0.4">
      <c r="A727" s="240">
        <v>45779</v>
      </c>
      <c r="B727" s="151" t="s">
        <v>58</v>
      </c>
      <c r="C727" s="30" t="s">
        <v>165</v>
      </c>
      <c r="D727" s="190">
        <v>28</v>
      </c>
      <c r="E727" s="77">
        <v>3</v>
      </c>
      <c r="F727" s="76">
        <v>2.0833333333333332E-2</v>
      </c>
      <c r="G727" s="76">
        <v>0.29166666666666669</v>
      </c>
      <c r="H727" s="76">
        <v>0.5</v>
      </c>
      <c r="I727" s="173" t="s">
        <v>1320</v>
      </c>
      <c r="J727" s="23">
        <v>6</v>
      </c>
      <c r="K727" s="68">
        <v>2.0833333333333332E-2</v>
      </c>
      <c r="L727" s="68">
        <v>0.33333333333333331</v>
      </c>
      <c r="M727" s="68">
        <v>0.61111111111111105</v>
      </c>
      <c r="N727" s="173" t="s">
        <v>1471</v>
      </c>
      <c r="O727" s="23">
        <v>3210</v>
      </c>
      <c r="P727" s="70">
        <v>0.29166666666666669</v>
      </c>
      <c r="Q727" s="70">
        <v>0.61111111111111105</v>
      </c>
      <c r="R727" s="229" t="s">
        <v>1328</v>
      </c>
    </row>
    <row r="728" spans="1:18" x14ac:dyDescent="0.4">
      <c r="A728" s="240">
        <v>45779</v>
      </c>
      <c r="B728" s="151" t="s">
        <v>83</v>
      </c>
      <c r="C728" s="30" t="s">
        <v>169</v>
      </c>
      <c r="D728" s="190">
        <v>8</v>
      </c>
      <c r="E728" s="77">
        <v>3</v>
      </c>
      <c r="F728" s="76">
        <v>2.0833333333333332E-2</v>
      </c>
      <c r="G728" s="76">
        <v>0.54166666666666663</v>
      </c>
      <c r="H728" s="76">
        <v>0.66666666666666663</v>
      </c>
      <c r="I728" s="173" t="s">
        <v>1303</v>
      </c>
      <c r="J728" s="23">
        <v>7</v>
      </c>
      <c r="K728" s="68">
        <v>2.0833333333333332E-2</v>
      </c>
      <c r="L728" s="68">
        <v>0.60416666666666663</v>
      </c>
      <c r="M728" s="68">
        <v>0.71527777777777779</v>
      </c>
      <c r="N728" s="173" t="s">
        <v>1256</v>
      </c>
      <c r="O728" s="23">
        <v>1960</v>
      </c>
      <c r="P728" s="70">
        <v>0.54166666666666663</v>
      </c>
      <c r="Q728" s="70">
        <v>0.71527777777777779</v>
      </c>
      <c r="R728" s="229" t="s">
        <v>1311</v>
      </c>
    </row>
    <row r="729" spans="1:18" x14ac:dyDescent="0.4">
      <c r="A729" s="240">
        <v>45782</v>
      </c>
      <c r="B729" s="151" t="s">
        <v>71</v>
      </c>
      <c r="C729" s="30" t="s">
        <v>176</v>
      </c>
      <c r="D729" s="190">
        <v>72</v>
      </c>
      <c r="E729" s="77">
        <v>6</v>
      </c>
      <c r="F729" s="1"/>
      <c r="G729" s="76">
        <v>0.29166666666666669</v>
      </c>
      <c r="H729" s="76">
        <v>0.66666666666666663</v>
      </c>
      <c r="I729" s="173" t="s">
        <v>1292</v>
      </c>
      <c r="J729" s="23">
        <v>5</v>
      </c>
      <c r="K729" s="23"/>
      <c r="L729" s="68">
        <v>0.3125</v>
      </c>
      <c r="M729" s="68">
        <v>0.6875</v>
      </c>
      <c r="N729" s="173" t="s">
        <v>1292</v>
      </c>
      <c r="O729" s="23">
        <v>5280</v>
      </c>
      <c r="P729" s="70">
        <v>0.29166666666666669</v>
      </c>
      <c r="Q729" s="70">
        <v>0.6875</v>
      </c>
      <c r="R729" s="229" t="s">
        <v>990</v>
      </c>
    </row>
    <row r="730" spans="1:18" x14ac:dyDescent="0.4">
      <c r="A730" s="240">
        <v>45782</v>
      </c>
      <c r="B730" s="151" t="s">
        <v>88</v>
      </c>
      <c r="C730" s="30" t="s">
        <v>328</v>
      </c>
      <c r="D730" s="190">
        <v>36</v>
      </c>
      <c r="E730" s="77">
        <v>5</v>
      </c>
      <c r="F730" s="1"/>
      <c r="G730" s="76">
        <v>0.29166666666666669</v>
      </c>
      <c r="H730" s="76">
        <v>0.72916666666666663</v>
      </c>
      <c r="I730" s="173" t="s">
        <v>1247</v>
      </c>
      <c r="J730" s="23">
        <v>4</v>
      </c>
      <c r="K730" s="23"/>
      <c r="L730" s="68">
        <v>0.3125</v>
      </c>
      <c r="M730" s="68">
        <v>0.70833333333333337</v>
      </c>
      <c r="N730" s="173" t="s">
        <v>990</v>
      </c>
      <c r="O730" s="23">
        <v>4890</v>
      </c>
      <c r="P730" s="70">
        <v>0.29166666666666669</v>
      </c>
      <c r="Q730" s="70">
        <v>0.72916666666666663</v>
      </c>
      <c r="R730" s="229" t="s">
        <v>1247</v>
      </c>
    </row>
    <row r="731" spans="1:18" x14ac:dyDescent="0.4">
      <c r="A731" s="240">
        <v>45782</v>
      </c>
      <c r="B731" s="151" t="s">
        <v>96</v>
      </c>
      <c r="C731" s="30" t="s">
        <v>167</v>
      </c>
      <c r="D731" s="190">
        <v>20</v>
      </c>
      <c r="E731" s="77">
        <v>3</v>
      </c>
      <c r="F731" s="76">
        <v>2.0833333333333332E-2</v>
      </c>
      <c r="G731" s="76">
        <v>0.29166666666666669</v>
      </c>
      <c r="H731" s="76">
        <v>0.4375</v>
      </c>
      <c r="I731" s="173" t="s">
        <v>1244</v>
      </c>
      <c r="J731" s="23">
        <v>6</v>
      </c>
      <c r="K731" s="23"/>
      <c r="L731" s="68">
        <v>0.29166666666666669</v>
      </c>
      <c r="M731" s="68">
        <v>0.5</v>
      </c>
      <c r="N731" s="173" t="s">
        <v>1327</v>
      </c>
      <c r="O731" s="23">
        <v>2520</v>
      </c>
      <c r="P731" s="70">
        <v>0.29166666666666669</v>
      </c>
      <c r="Q731" s="70">
        <v>0.5</v>
      </c>
      <c r="R731" s="229" t="s">
        <v>1327</v>
      </c>
    </row>
    <row r="732" spans="1:18" x14ac:dyDescent="0.4">
      <c r="A732" s="240">
        <v>45782</v>
      </c>
      <c r="B732" s="151" t="s">
        <v>66</v>
      </c>
      <c r="C732" s="30" t="s">
        <v>195</v>
      </c>
      <c r="D732" s="190">
        <v>20</v>
      </c>
      <c r="E732" s="77">
        <v>3</v>
      </c>
      <c r="F732" s="76">
        <v>2.0833333333333332E-2</v>
      </c>
      <c r="G732" s="76">
        <v>0.4375</v>
      </c>
      <c r="H732" s="76">
        <v>0.625</v>
      </c>
      <c r="I732" s="173" t="s">
        <v>1244</v>
      </c>
      <c r="J732" s="23">
        <v>4</v>
      </c>
      <c r="K732" s="23"/>
      <c r="L732" s="68">
        <v>0.54166666666666663</v>
      </c>
      <c r="M732" s="68">
        <v>0.71527777777777779</v>
      </c>
      <c r="N732" s="173" t="s">
        <v>1311</v>
      </c>
      <c r="O732" s="23">
        <v>1720</v>
      </c>
      <c r="P732" s="70">
        <v>0.4375</v>
      </c>
      <c r="Q732" s="70">
        <v>0.71527777777777779</v>
      </c>
      <c r="R732" s="229" t="s">
        <v>1339</v>
      </c>
    </row>
    <row r="733" spans="1:18" s="146" customFormat="1" x14ac:dyDescent="0.4">
      <c r="A733" s="244">
        <v>45782</v>
      </c>
      <c r="B733" s="213">
        <v>153010</v>
      </c>
      <c r="C733" s="136" t="s">
        <v>484</v>
      </c>
      <c r="D733" s="214">
        <v>1</v>
      </c>
      <c r="E733" s="103"/>
      <c r="F733" s="104"/>
      <c r="G733" s="184"/>
      <c r="H733" s="184"/>
      <c r="I733" s="225" t="s">
        <v>1002</v>
      </c>
      <c r="J733" s="105"/>
      <c r="K733" s="105"/>
      <c r="L733" s="106"/>
      <c r="M733" s="106"/>
      <c r="N733" s="225" t="s">
        <v>1002</v>
      </c>
      <c r="O733" s="105">
        <v>0</v>
      </c>
      <c r="P733" s="247">
        <v>0</v>
      </c>
      <c r="Q733" s="247">
        <v>0</v>
      </c>
      <c r="R733" s="232" t="s">
        <v>1002</v>
      </c>
    </row>
    <row r="734" spans="1:18" x14ac:dyDescent="0.4">
      <c r="A734" s="240">
        <v>45783</v>
      </c>
      <c r="B734" s="151" t="s">
        <v>357</v>
      </c>
      <c r="C734" s="30" t="s">
        <v>338</v>
      </c>
      <c r="D734" s="190">
        <v>8</v>
      </c>
      <c r="E734" s="77">
        <v>5</v>
      </c>
      <c r="F734" s="1"/>
      <c r="G734" s="76">
        <v>0.3125</v>
      </c>
      <c r="H734" s="76">
        <v>0.38680555555555557</v>
      </c>
      <c r="I734" s="173" t="s">
        <v>1446</v>
      </c>
      <c r="J734" s="23">
        <v>3</v>
      </c>
      <c r="K734" s="68">
        <v>5.5555555555555558E-3</v>
      </c>
      <c r="L734" s="68">
        <v>0.35416666666666669</v>
      </c>
      <c r="M734" s="68">
        <v>0.4375</v>
      </c>
      <c r="N734" s="173" t="s">
        <v>1343</v>
      </c>
      <c r="O734" s="23">
        <v>919</v>
      </c>
      <c r="P734" s="70">
        <v>0.3125</v>
      </c>
      <c r="Q734" s="70">
        <v>0.4375</v>
      </c>
      <c r="R734" s="229" t="s">
        <v>1316</v>
      </c>
    </row>
    <row r="735" spans="1:18" x14ac:dyDescent="0.4">
      <c r="A735" s="240">
        <v>45783</v>
      </c>
      <c r="B735" s="151" t="s">
        <v>64</v>
      </c>
      <c r="C735" s="30" t="s">
        <v>271</v>
      </c>
      <c r="D735" s="190">
        <v>8</v>
      </c>
      <c r="E735" s="77">
        <v>5</v>
      </c>
      <c r="F735" s="1"/>
      <c r="G735" s="76">
        <v>0.38680555555555557</v>
      </c>
      <c r="H735" s="76">
        <v>0.5</v>
      </c>
      <c r="I735" s="173" t="s">
        <v>1489</v>
      </c>
      <c r="J735" s="23">
        <v>3</v>
      </c>
      <c r="K735" s="68">
        <v>5.5555555555555558E-3</v>
      </c>
      <c r="L735" s="68">
        <v>0.4375</v>
      </c>
      <c r="M735" s="68">
        <v>0.5625</v>
      </c>
      <c r="N735" s="173" t="s">
        <v>1343</v>
      </c>
      <c r="O735" s="23">
        <v>1199</v>
      </c>
      <c r="P735" s="70">
        <v>0.38680555555555557</v>
      </c>
      <c r="Q735" s="70">
        <v>0.5625</v>
      </c>
      <c r="R735" s="229" t="s">
        <v>1569</v>
      </c>
    </row>
    <row r="736" spans="1:18" x14ac:dyDescent="0.4">
      <c r="A736" s="240">
        <v>45783</v>
      </c>
      <c r="B736" s="151" t="s">
        <v>81</v>
      </c>
      <c r="C736" s="30" t="s">
        <v>235</v>
      </c>
      <c r="D736" s="190">
        <v>12</v>
      </c>
      <c r="E736" s="77">
        <v>5</v>
      </c>
      <c r="F736" s="1"/>
      <c r="G736" s="76">
        <v>0.54166666666666663</v>
      </c>
      <c r="H736" s="76">
        <v>0.62847222222222221</v>
      </c>
      <c r="I736" s="173" t="s">
        <v>1249</v>
      </c>
      <c r="J736" s="23">
        <v>3</v>
      </c>
      <c r="K736" s="68">
        <v>5.5555555555555558E-3</v>
      </c>
      <c r="L736" s="68">
        <v>0.5625</v>
      </c>
      <c r="M736" s="68">
        <v>0.64583333333333337</v>
      </c>
      <c r="N736" s="173" t="s">
        <v>1343</v>
      </c>
      <c r="O736" s="23">
        <v>1009</v>
      </c>
      <c r="P736" s="70">
        <v>0.54166666666666663</v>
      </c>
      <c r="Q736" s="70">
        <v>0.64583333333333337</v>
      </c>
      <c r="R736" s="229" t="s">
        <v>1298</v>
      </c>
    </row>
    <row r="737" spans="1:18" x14ac:dyDescent="0.4">
      <c r="A737" s="240">
        <v>45783</v>
      </c>
      <c r="B737" s="151" t="s">
        <v>571</v>
      </c>
      <c r="C737" s="30" t="s">
        <v>237</v>
      </c>
      <c r="D737" s="190">
        <v>4</v>
      </c>
      <c r="E737" s="77">
        <v>5</v>
      </c>
      <c r="F737" s="1"/>
      <c r="G737" s="76">
        <v>0.62847222222222221</v>
      </c>
      <c r="H737" s="76">
        <v>0.6875</v>
      </c>
      <c r="I737" s="173" t="s">
        <v>1534</v>
      </c>
      <c r="J737" s="23">
        <v>3</v>
      </c>
      <c r="K737" s="68">
        <v>5.5555555555555558E-3</v>
      </c>
      <c r="L737" s="68">
        <v>0.64583333333333337</v>
      </c>
      <c r="M737" s="68">
        <v>0.70833333333333337</v>
      </c>
      <c r="N737" s="173" t="s">
        <v>1385</v>
      </c>
      <c r="O737" s="23">
        <v>719</v>
      </c>
      <c r="P737" s="70">
        <v>0.62847222222222221</v>
      </c>
      <c r="Q737" s="70">
        <v>0.70833333333333337</v>
      </c>
      <c r="R737" s="229" t="s">
        <v>1457</v>
      </c>
    </row>
    <row r="738" spans="1:18" x14ac:dyDescent="0.4">
      <c r="A738" s="240">
        <v>45783</v>
      </c>
      <c r="B738" s="151" t="s">
        <v>108</v>
      </c>
      <c r="C738" s="30" t="s">
        <v>231</v>
      </c>
      <c r="D738" s="190">
        <v>21</v>
      </c>
      <c r="E738" s="77">
        <v>5</v>
      </c>
      <c r="F738" s="1"/>
      <c r="G738" s="76">
        <v>0.29166666666666669</v>
      </c>
      <c r="H738" s="76">
        <v>0.5</v>
      </c>
      <c r="I738" s="173" t="s">
        <v>1327</v>
      </c>
      <c r="J738" s="23">
        <v>8</v>
      </c>
      <c r="K738" s="23"/>
      <c r="L738" s="68">
        <v>0.33333333333333331</v>
      </c>
      <c r="M738" s="68">
        <v>0.70833333333333337</v>
      </c>
      <c r="N738" s="173" t="s">
        <v>1292</v>
      </c>
      <c r="O738" s="23">
        <v>5340</v>
      </c>
      <c r="P738" s="70">
        <v>0.29166666666666669</v>
      </c>
      <c r="Q738" s="70">
        <v>0.70833333333333337</v>
      </c>
      <c r="R738" s="229" t="s">
        <v>1252</v>
      </c>
    </row>
    <row r="739" spans="1:18" x14ac:dyDescent="0.4">
      <c r="A739" s="240">
        <v>45783</v>
      </c>
      <c r="B739" s="151" t="s">
        <v>65</v>
      </c>
      <c r="C739" s="30" t="s">
        <v>189</v>
      </c>
      <c r="D739" s="190">
        <v>60</v>
      </c>
      <c r="E739" s="77">
        <v>3</v>
      </c>
      <c r="F739" s="76">
        <v>4.1666666666666664E-2</v>
      </c>
      <c r="G739" s="76">
        <v>0.29166666666666669</v>
      </c>
      <c r="H739" s="76">
        <v>0.69444444444444453</v>
      </c>
      <c r="I739" s="173" t="s">
        <v>1350</v>
      </c>
      <c r="J739" s="23">
        <v>4</v>
      </c>
      <c r="K739" s="68">
        <v>0.29166666666666669</v>
      </c>
      <c r="L739" s="68">
        <v>0.29166666666666669</v>
      </c>
      <c r="M739" s="68">
        <v>0.75</v>
      </c>
      <c r="N739" s="173" t="s">
        <v>1570</v>
      </c>
      <c r="O739" s="23">
        <v>5820</v>
      </c>
      <c r="P739" s="70">
        <v>0.29166666666666669</v>
      </c>
      <c r="Q739" s="70">
        <v>0.75</v>
      </c>
      <c r="R739" s="229" t="s">
        <v>1308</v>
      </c>
    </row>
    <row r="740" spans="1:18" x14ac:dyDescent="0.4">
      <c r="A740" s="240">
        <v>45784</v>
      </c>
      <c r="B740" s="151" t="s">
        <v>158</v>
      </c>
      <c r="C740" s="30" t="s">
        <v>159</v>
      </c>
      <c r="D740" s="190">
        <v>8</v>
      </c>
      <c r="E740" s="77">
        <v>5</v>
      </c>
      <c r="F740" s="1"/>
      <c r="G740" s="76">
        <v>0.54166666666666663</v>
      </c>
      <c r="H740" s="76">
        <v>0.77083333333333337</v>
      </c>
      <c r="I740" s="173" t="s">
        <v>1320</v>
      </c>
      <c r="J740" s="23">
        <v>9</v>
      </c>
      <c r="K740" s="68">
        <v>1.0416666666666666E-2</v>
      </c>
      <c r="L740" s="68">
        <v>0.57638888888888895</v>
      </c>
      <c r="M740" s="68">
        <v>0.79166666666666663</v>
      </c>
      <c r="N740" s="173" t="s">
        <v>1306</v>
      </c>
      <c r="O740" s="23">
        <v>4575</v>
      </c>
      <c r="P740" s="70">
        <v>0.54166666666666663</v>
      </c>
      <c r="Q740" s="70">
        <v>0.79166666666666663</v>
      </c>
      <c r="R740" s="229" t="s">
        <v>1321</v>
      </c>
    </row>
    <row r="741" spans="1:18" x14ac:dyDescent="0.4">
      <c r="A741" s="240">
        <v>45784</v>
      </c>
      <c r="B741" s="151" t="s">
        <v>61</v>
      </c>
      <c r="C741" s="30" t="s">
        <v>156</v>
      </c>
      <c r="D741" s="190">
        <v>24</v>
      </c>
      <c r="E741" s="77">
        <v>5</v>
      </c>
      <c r="F741" s="1"/>
      <c r="G741" s="76">
        <v>0.29166666666666669</v>
      </c>
      <c r="H741" s="76">
        <v>0.5</v>
      </c>
      <c r="I741" s="173" t="s">
        <v>1327</v>
      </c>
      <c r="J741" s="23">
        <v>10</v>
      </c>
      <c r="K741" s="68">
        <v>1.0416666666666666E-2</v>
      </c>
      <c r="L741" s="68">
        <v>0.33333333333333331</v>
      </c>
      <c r="M741" s="68">
        <v>0.57638888888888895</v>
      </c>
      <c r="N741" s="173" t="s">
        <v>1466</v>
      </c>
      <c r="O741" s="23">
        <v>4550</v>
      </c>
      <c r="P741" s="70">
        <v>0.29166666666666669</v>
      </c>
      <c r="Q741" s="70">
        <v>0.57638888888888895</v>
      </c>
      <c r="R741" s="229" t="s">
        <v>1415</v>
      </c>
    </row>
    <row r="742" spans="1:18" x14ac:dyDescent="0.4">
      <c r="A742" s="240">
        <v>45784</v>
      </c>
      <c r="B742" s="151" t="s">
        <v>63</v>
      </c>
      <c r="C742" s="30" t="s">
        <v>267</v>
      </c>
      <c r="D742" s="190">
        <v>24</v>
      </c>
      <c r="E742" s="77">
        <v>5</v>
      </c>
      <c r="F742" s="1"/>
      <c r="G742" s="76">
        <v>0.41875000000000001</v>
      </c>
      <c r="H742" s="76">
        <v>0.6875</v>
      </c>
      <c r="I742" s="173" t="s">
        <v>1571</v>
      </c>
      <c r="J742" s="23">
        <v>3</v>
      </c>
      <c r="K742" s="68">
        <v>1.0416666666666666E-2</v>
      </c>
      <c r="L742" s="68">
        <v>0.44444444444444442</v>
      </c>
      <c r="M742" s="68">
        <v>0.6875</v>
      </c>
      <c r="N742" s="173" t="s">
        <v>1466</v>
      </c>
      <c r="O742" s="23">
        <v>2550</v>
      </c>
      <c r="P742" s="70">
        <v>0.41875000000000001</v>
      </c>
      <c r="Q742" s="70">
        <v>0.6875</v>
      </c>
      <c r="R742" s="229" t="s">
        <v>1571</v>
      </c>
    </row>
    <row r="743" spans="1:18" x14ac:dyDescent="0.4">
      <c r="A743" s="240">
        <v>45784</v>
      </c>
      <c r="B743" s="151" t="s">
        <v>64</v>
      </c>
      <c r="C743" s="30" t="s">
        <v>271</v>
      </c>
      <c r="D743" s="190">
        <v>12</v>
      </c>
      <c r="E743" s="77">
        <v>5</v>
      </c>
      <c r="F743" s="1"/>
      <c r="G743" s="76">
        <v>0.29166666666666669</v>
      </c>
      <c r="H743" s="76">
        <v>0.41875000000000001</v>
      </c>
      <c r="I743" s="173" t="s">
        <v>1475</v>
      </c>
      <c r="J743" s="23">
        <v>3</v>
      </c>
      <c r="K743" s="68">
        <v>1.0416666666666666E-2</v>
      </c>
      <c r="L743" s="68">
        <v>0.33333333333333331</v>
      </c>
      <c r="M743" s="68">
        <v>0.44444444444444442</v>
      </c>
      <c r="N743" s="173" t="s">
        <v>1326</v>
      </c>
      <c r="O743" s="23">
        <v>1440</v>
      </c>
      <c r="P743" s="70">
        <v>0.29166666666666669</v>
      </c>
      <c r="Q743" s="70">
        <v>0.44444444444444442</v>
      </c>
      <c r="R743" s="229" t="s">
        <v>1254</v>
      </c>
    </row>
    <row r="744" spans="1:18" x14ac:dyDescent="0.4">
      <c r="A744" s="240">
        <v>45784</v>
      </c>
      <c r="B744" s="151" t="s">
        <v>110</v>
      </c>
      <c r="C744" s="30" t="s">
        <v>231</v>
      </c>
      <c r="D744" s="190">
        <v>21</v>
      </c>
      <c r="E744" s="77">
        <v>3</v>
      </c>
      <c r="F744" s="76">
        <v>2.0833333333333332E-2</v>
      </c>
      <c r="G744" s="76">
        <v>0.29166666666666669</v>
      </c>
      <c r="H744" s="76">
        <v>0.72916666666666663</v>
      </c>
      <c r="I744" s="173" t="s">
        <v>1308</v>
      </c>
      <c r="J744" s="23">
        <v>9</v>
      </c>
      <c r="K744" s="23"/>
      <c r="L744" s="68">
        <v>0.33333333333333331</v>
      </c>
      <c r="M744" s="68">
        <v>0.75</v>
      </c>
      <c r="N744" s="173" t="s">
        <v>1252</v>
      </c>
      <c r="O744" s="23">
        <v>6660</v>
      </c>
      <c r="P744" s="70">
        <v>0.29166666666666669</v>
      </c>
      <c r="Q744" s="70">
        <v>0.75</v>
      </c>
      <c r="R744" s="229" t="s">
        <v>1308</v>
      </c>
    </row>
    <row r="745" spans="1:18" x14ac:dyDescent="0.4">
      <c r="A745" s="240">
        <v>45785</v>
      </c>
      <c r="B745" s="151" t="s">
        <v>71</v>
      </c>
      <c r="C745" s="30" t="s">
        <v>176</v>
      </c>
      <c r="D745" s="190">
        <v>36</v>
      </c>
      <c r="E745" s="77">
        <v>6</v>
      </c>
      <c r="F745" s="1"/>
      <c r="G745" s="76">
        <v>0.29166666666666669</v>
      </c>
      <c r="H745" s="76">
        <v>0.5</v>
      </c>
      <c r="I745" s="173" t="s">
        <v>1327</v>
      </c>
      <c r="J745" s="23">
        <v>5</v>
      </c>
      <c r="K745" s="68">
        <v>1.0416666666666666E-2</v>
      </c>
      <c r="L745" s="68">
        <v>0.33333333333333331</v>
      </c>
      <c r="M745" s="68">
        <v>0.5</v>
      </c>
      <c r="N745" s="173" t="s">
        <v>1259</v>
      </c>
      <c r="O745" s="23">
        <v>3075</v>
      </c>
      <c r="P745" s="70">
        <v>0.29166666666666669</v>
      </c>
      <c r="Q745" s="70">
        <v>0.5</v>
      </c>
      <c r="R745" s="229" t="s">
        <v>1327</v>
      </c>
    </row>
    <row r="746" spans="1:18" x14ac:dyDescent="0.4">
      <c r="A746" s="240">
        <v>45785</v>
      </c>
      <c r="B746" s="151" t="s">
        <v>68</v>
      </c>
      <c r="C746" s="30" t="s">
        <v>185</v>
      </c>
      <c r="D746" s="190">
        <v>20</v>
      </c>
      <c r="E746" s="77">
        <v>5</v>
      </c>
      <c r="F746" s="1"/>
      <c r="G746" s="76">
        <v>0.54166666666666663</v>
      </c>
      <c r="H746" s="76">
        <v>0.70833333333333337</v>
      </c>
      <c r="I746" s="173" t="s">
        <v>1244</v>
      </c>
      <c r="J746" s="23">
        <v>5</v>
      </c>
      <c r="K746" s="68">
        <v>1.0416666666666666E-2</v>
      </c>
      <c r="L746" s="68">
        <v>0.54166666666666663</v>
      </c>
      <c r="M746" s="68">
        <v>0.72916666666666663</v>
      </c>
      <c r="N746" s="173" t="s">
        <v>1335</v>
      </c>
      <c r="O746" s="23">
        <v>2625</v>
      </c>
      <c r="P746" s="70">
        <v>0.54166666666666663</v>
      </c>
      <c r="Q746" s="70">
        <v>0.72916666666666663</v>
      </c>
      <c r="R746" s="229" t="s">
        <v>1243</v>
      </c>
    </row>
    <row r="747" spans="1:18" x14ac:dyDescent="0.4">
      <c r="A747" s="240">
        <v>45785</v>
      </c>
      <c r="B747" s="151" t="s">
        <v>72</v>
      </c>
      <c r="C747" s="30" t="s">
        <v>227</v>
      </c>
      <c r="D747" s="190">
        <v>20</v>
      </c>
      <c r="E747" s="77">
        <v>5</v>
      </c>
      <c r="F747" s="1"/>
      <c r="G747" s="76">
        <v>0.29166666666666669</v>
      </c>
      <c r="H747" s="76">
        <v>0.45624999999999999</v>
      </c>
      <c r="I747" s="173" t="s">
        <v>1293</v>
      </c>
      <c r="J747" s="23">
        <v>3</v>
      </c>
      <c r="K747" s="68">
        <v>1.0416666666666666E-2</v>
      </c>
      <c r="L747" s="68">
        <v>0.33333333333333331</v>
      </c>
      <c r="M747" s="68">
        <v>0.47916666666666669</v>
      </c>
      <c r="N747" s="173" t="s">
        <v>1380</v>
      </c>
      <c r="O747" s="23">
        <v>1860</v>
      </c>
      <c r="P747" s="70">
        <v>0.29166666666666669</v>
      </c>
      <c r="Q747" s="70">
        <v>0.47916666666666669</v>
      </c>
      <c r="R747" s="229" t="s">
        <v>1243</v>
      </c>
    </row>
    <row r="748" spans="1:18" x14ac:dyDescent="0.4">
      <c r="A748" s="240">
        <v>45785</v>
      </c>
      <c r="B748" s="151" t="s">
        <v>63</v>
      </c>
      <c r="C748" s="30" t="s">
        <v>267</v>
      </c>
      <c r="D748" s="190">
        <v>16</v>
      </c>
      <c r="E748" s="77">
        <v>5</v>
      </c>
      <c r="F748" s="1"/>
      <c r="G748" s="76">
        <v>0.45624999999999999</v>
      </c>
      <c r="H748" s="76">
        <v>0.66666666666666663</v>
      </c>
      <c r="I748" s="173" t="s">
        <v>1476</v>
      </c>
      <c r="J748" s="23">
        <v>3</v>
      </c>
      <c r="K748" s="68">
        <v>1.0416666666666666E-2</v>
      </c>
      <c r="L748" s="68">
        <v>0.47916666666666669</v>
      </c>
      <c r="M748" s="68">
        <v>0.6875</v>
      </c>
      <c r="N748" s="173" t="s">
        <v>1259</v>
      </c>
      <c r="O748" s="23">
        <v>1980</v>
      </c>
      <c r="P748" s="70">
        <v>0.45624999999999999</v>
      </c>
      <c r="Q748" s="70">
        <v>0.6875</v>
      </c>
      <c r="R748" s="229" t="s">
        <v>1572</v>
      </c>
    </row>
    <row r="749" spans="1:18" x14ac:dyDescent="0.4">
      <c r="A749" s="240">
        <v>45785</v>
      </c>
      <c r="B749" s="151" t="s">
        <v>73</v>
      </c>
      <c r="C749" s="30" t="s">
        <v>231</v>
      </c>
      <c r="D749" s="190">
        <v>21</v>
      </c>
      <c r="E749" s="77">
        <v>3</v>
      </c>
      <c r="F749" s="76">
        <v>2.0833333333333332E-2</v>
      </c>
      <c r="G749" s="76">
        <v>0.29166666666666669</v>
      </c>
      <c r="H749" s="76">
        <v>0.68055555555555547</v>
      </c>
      <c r="I749" s="173" t="s">
        <v>1395</v>
      </c>
      <c r="J749" s="23">
        <v>9</v>
      </c>
      <c r="K749" s="23"/>
      <c r="L749" s="68">
        <v>0.33333333333333331</v>
      </c>
      <c r="M749" s="68">
        <v>0.70833333333333337</v>
      </c>
      <c r="N749" s="173" t="s">
        <v>1292</v>
      </c>
      <c r="O749" s="23">
        <v>5910</v>
      </c>
      <c r="P749" s="70">
        <v>0.29166666666666669</v>
      </c>
      <c r="Q749" s="70">
        <v>0.70833333333333337</v>
      </c>
      <c r="R749" s="229" t="s">
        <v>1252</v>
      </c>
    </row>
    <row r="750" spans="1:18" x14ac:dyDescent="0.4">
      <c r="A750" s="240">
        <v>45786</v>
      </c>
      <c r="B750" s="151" t="s">
        <v>100</v>
      </c>
      <c r="C750" s="30" t="s">
        <v>257</v>
      </c>
      <c r="D750" s="190">
        <v>5</v>
      </c>
      <c r="E750" s="77">
        <v>4</v>
      </c>
      <c r="F750" s="1"/>
      <c r="G750" s="76">
        <v>0.29166666666666669</v>
      </c>
      <c r="H750" s="76">
        <v>0.37847222222222227</v>
      </c>
      <c r="I750" s="173" t="s">
        <v>1249</v>
      </c>
      <c r="J750" s="23">
        <v>5</v>
      </c>
      <c r="K750" s="68">
        <v>1.0416666666666666E-2</v>
      </c>
      <c r="L750" s="68">
        <v>0.4375</v>
      </c>
      <c r="M750" s="68">
        <v>0.5</v>
      </c>
      <c r="N750" s="173" t="s">
        <v>1246</v>
      </c>
      <c r="O750" s="23">
        <v>1025</v>
      </c>
      <c r="P750" s="70">
        <v>0.29166666666666669</v>
      </c>
      <c r="Q750" s="70">
        <v>0.5</v>
      </c>
      <c r="R750" s="229" t="s">
        <v>1327</v>
      </c>
    </row>
    <row r="751" spans="1:18" x14ac:dyDescent="0.4">
      <c r="A751" s="240">
        <v>45786</v>
      </c>
      <c r="B751" s="151" t="s">
        <v>106</v>
      </c>
      <c r="C751" s="30" t="s">
        <v>173</v>
      </c>
      <c r="D751" s="190">
        <v>4</v>
      </c>
      <c r="E751" s="77">
        <v>4</v>
      </c>
      <c r="F751" s="1"/>
      <c r="G751" s="76">
        <v>0.37847222222222227</v>
      </c>
      <c r="H751" s="76">
        <v>0.5</v>
      </c>
      <c r="I751" s="173" t="s">
        <v>1326</v>
      </c>
      <c r="J751" s="23">
        <v>9</v>
      </c>
      <c r="K751" s="68">
        <v>1.0416666666666666E-2</v>
      </c>
      <c r="L751" s="68">
        <v>0.33333333333333331</v>
      </c>
      <c r="M751" s="68">
        <v>0.4375</v>
      </c>
      <c r="N751" s="173" t="s">
        <v>1315</v>
      </c>
      <c r="O751" s="23">
        <v>2185</v>
      </c>
      <c r="P751" s="70">
        <v>0.33333333333333331</v>
      </c>
      <c r="Q751" s="70">
        <v>0.5</v>
      </c>
      <c r="R751" s="229" t="s">
        <v>1244</v>
      </c>
    </row>
    <row r="752" spans="1:18" x14ac:dyDescent="0.4">
      <c r="A752" s="240">
        <v>45786</v>
      </c>
      <c r="B752" s="151" t="s">
        <v>115</v>
      </c>
      <c r="C752" s="30" t="s">
        <v>214</v>
      </c>
      <c r="D752" s="190">
        <v>12</v>
      </c>
      <c r="E752" s="77">
        <v>5</v>
      </c>
      <c r="F752" s="1"/>
      <c r="G752" s="76">
        <v>0.40625</v>
      </c>
      <c r="H752" s="76">
        <v>0.57222222222222219</v>
      </c>
      <c r="I752" s="173" t="s">
        <v>1573</v>
      </c>
      <c r="J752" s="23">
        <v>4</v>
      </c>
      <c r="K752" s="68">
        <v>6.9444444444444441E-3</v>
      </c>
      <c r="L752" s="68">
        <v>0.4375</v>
      </c>
      <c r="M752" s="68">
        <v>0.61111111111111105</v>
      </c>
      <c r="N752" s="173" t="s">
        <v>1250</v>
      </c>
      <c r="O752" s="23">
        <v>1695</v>
      </c>
      <c r="P752" s="70">
        <v>0.40625</v>
      </c>
      <c r="Q752" s="70">
        <v>0.61111111111111105</v>
      </c>
      <c r="R752" s="229" t="s">
        <v>1359</v>
      </c>
    </row>
    <row r="753" spans="1:18" x14ac:dyDescent="0.4">
      <c r="A753" s="240">
        <v>45786</v>
      </c>
      <c r="B753" s="151" t="s">
        <v>130</v>
      </c>
      <c r="C753" s="30" t="s">
        <v>216</v>
      </c>
      <c r="D753" s="190">
        <v>10</v>
      </c>
      <c r="E753" s="77">
        <v>5</v>
      </c>
      <c r="F753" s="1"/>
      <c r="G753" s="76">
        <v>0.29166666666666669</v>
      </c>
      <c r="H753" s="76">
        <v>0.40625</v>
      </c>
      <c r="I753" s="173" t="s">
        <v>1315</v>
      </c>
      <c r="J753" s="23">
        <v>4</v>
      </c>
      <c r="K753" s="68">
        <v>6.9444444444444441E-3</v>
      </c>
      <c r="L753" s="68">
        <v>0.33333333333333331</v>
      </c>
      <c r="M753" s="68">
        <v>0.4375</v>
      </c>
      <c r="N753" s="173" t="s">
        <v>1325</v>
      </c>
      <c r="O753" s="23">
        <v>1465</v>
      </c>
      <c r="P753" s="70">
        <v>0.29166666666666669</v>
      </c>
      <c r="Q753" s="70">
        <v>0.4375</v>
      </c>
      <c r="R753" s="229" t="s">
        <v>1303</v>
      </c>
    </row>
    <row r="754" spans="1:18" x14ac:dyDescent="0.4">
      <c r="A754" s="240">
        <v>45786</v>
      </c>
      <c r="B754" s="151" t="s">
        <v>57</v>
      </c>
      <c r="C754" s="30" t="s">
        <v>334</v>
      </c>
      <c r="D754" s="190">
        <v>8</v>
      </c>
      <c r="E754" s="77">
        <v>5</v>
      </c>
      <c r="F754" s="1"/>
      <c r="G754" s="76">
        <v>0.57222222222222219</v>
      </c>
      <c r="H754" s="76">
        <v>0.6875</v>
      </c>
      <c r="I754" s="173" t="s">
        <v>1574</v>
      </c>
      <c r="J754" s="23">
        <v>4</v>
      </c>
      <c r="K754" s="68">
        <v>6.9444444444444441E-3</v>
      </c>
      <c r="L754" s="68">
        <v>0.61111111111111105</v>
      </c>
      <c r="M754" s="68">
        <v>0.70833333333333337</v>
      </c>
      <c r="N754" s="173" t="s">
        <v>1298</v>
      </c>
      <c r="O754" s="23">
        <v>1430</v>
      </c>
      <c r="P754" s="70">
        <v>0.57222222222222219</v>
      </c>
      <c r="Q754" s="70">
        <v>0.70833333333333337</v>
      </c>
      <c r="R754" s="229" t="s">
        <v>1467</v>
      </c>
    </row>
    <row r="755" spans="1:18" x14ac:dyDescent="0.4">
      <c r="A755" s="240">
        <v>45786</v>
      </c>
      <c r="B755" s="151" t="s">
        <v>65</v>
      </c>
      <c r="C755" s="30" t="s">
        <v>189</v>
      </c>
      <c r="D755" s="190">
        <v>60</v>
      </c>
      <c r="E755" s="77">
        <v>3</v>
      </c>
      <c r="F755" s="76">
        <v>4.1666666666666664E-2</v>
      </c>
      <c r="G755" s="76">
        <v>0.29166666666666669</v>
      </c>
      <c r="H755" s="76">
        <v>0.68055555555555547</v>
      </c>
      <c r="I755" s="173" t="s">
        <v>1575</v>
      </c>
      <c r="J755" s="23">
        <v>4</v>
      </c>
      <c r="K755" s="68"/>
      <c r="L755" s="68">
        <v>0.29166666666666669</v>
      </c>
      <c r="M755" s="68">
        <v>0.72569444444444453</v>
      </c>
      <c r="N755" s="173" t="s">
        <v>1576</v>
      </c>
      <c r="O755" s="23">
        <v>3940</v>
      </c>
      <c r="P755" s="70">
        <v>0.29166666666666669</v>
      </c>
      <c r="Q755" s="70">
        <v>0.72569444444444453</v>
      </c>
      <c r="R755" s="229" t="s">
        <v>1576</v>
      </c>
    </row>
    <row r="756" spans="1:18" s="146" customFormat="1" x14ac:dyDescent="0.4">
      <c r="A756" s="244">
        <v>45786</v>
      </c>
      <c r="B756" s="213" t="s">
        <v>434</v>
      </c>
      <c r="C756" s="136" t="s">
        <v>545</v>
      </c>
      <c r="D756" s="214">
        <v>50</v>
      </c>
      <c r="E756" s="103"/>
      <c r="F756" s="104"/>
      <c r="G756" s="184"/>
      <c r="H756" s="184"/>
      <c r="I756" s="225" t="s">
        <v>1002</v>
      </c>
      <c r="J756" s="105"/>
      <c r="K756" s="105"/>
      <c r="L756" s="106"/>
      <c r="M756" s="106"/>
      <c r="N756" s="225" t="s">
        <v>1002</v>
      </c>
      <c r="O756" s="105">
        <v>0</v>
      </c>
      <c r="P756" s="247">
        <v>0</v>
      </c>
      <c r="Q756" s="247">
        <v>0</v>
      </c>
      <c r="R756" s="232" t="s">
        <v>1002</v>
      </c>
    </row>
    <row r="757" spans="1:18" s="146" customFormat="1" x14ac:dyDescent="0.4">
      <c r="A757" s="244">
        <v>45786</v>
      </c>
      <c r="B757" s="213" t="s">
        <v>500</v>
      </c>
      <c r="C757" s="136" t="s">
        <v>506</v>
      </c>
      <c r="D757" s="214">
        <v>50</v>
      </c>
      <c r="E757" s="103"/>
      <c r="F757" s="104"/>
      <c r="G757" s="184"/>
      <c r="H757" s="184"/>
      <c r="I757" s="225" t="s">
        <v>1002</v>
      </c>
      <c r="J757" s="105"/>
      <c r="K757" s="105"/>
      <c r="L757" s="106"/>
      <c r="M757" s="106"/>
      <c r="N757" s="225" t="s">
        <v>1002</v>
      </c>
      <c r="O757" s="105">
        <v>0</v>
      </c>
      <c r="P757" s="247">
        <v>0</v>
      </c>
      <c r="Q757" s="247">
        <v>0</v>
      </c>
      <c r="R757" s="232" t="s">
        <v>1002</v>
      </c>
    </row>
    <row r="758" spans="1:18" x14ac:dyDescent="0.4">
      <c r="A758" s="240">
        <v>45789</v>
      </c>
      <c r="B758" s="151" t="s">
        <v>71</v>
      </c>
      <c r="C758" s="30" t="s">
        <v>176</v>
      </c>
      <c r="D758" s="190">
        <v>72</v>
      </c>
      <c r="E758" s="77">
        <v>6</v>
      </c>
      <c r="F758" s="1"/>
      <c r="G758" s="76">
        <v>0.29166666666666669</v>
      </c>
      <c r="H758" s="76">
        <v>0.66666666666666663</v>
      </c>
      <c r="I758" s="173" t="s">
        <v>1292</v>
      </c>
      <c r="J758" s="23">
        <v>5</v>
      </c>
      <c r="K758" s="23"/>
      <c r="L758" s="68">
        <v>0.3125</v>
      </c>
      <c r="M758" s="68">
        <v>0.70833333333333337</v>
      </c>
      <c r="N758" s="173" t="s">
        <v>990</v>
      </c>
      <c r="O758" s="23">
        <v>5430</v>
      </c>
      <c r="P758" s="70">
        <v>0.29166666666666669</v>
      </c>
      <c r="Q758" s="70">
        <v>0.70833333333333337</v>
      </c>
      <c r="R758" s="229" t="s">
        <v>1252</v>
      </c>
    </row>
    <row r="759" spans="1:18" x14ac:dyDescent="0.4">
      <c r="A759" s="240">
        <v>45789</v>
      </c>
      <c r="B759" s="151" t="s">
        <v>107</v>
      </c>
      <c r="C759" s="30" t="s">
        <v>314</v>
      </c>
      <c r="D759" s="190">
        <v>12</v>
      </c>
      <c r="E759" s="77">
        <v>5</v>
      </c>
      <c r="F759" s="1"/>
      <c r="G759" s="76">
        <v>0.58680555555555558</v>
      </c>
      <c r="H759" s="76">
        <v>0.70833333333333337</v>
      </c>
      <c r="I759" s="173" t="s">
        <v>1326</v>
      </c>
      <c r="J759" s="23">
        <v>3</v>
      </c>
      <c r="K759" s="68">
        <v>6.9444444444444441E-3</v>
      </c>
      <c r="L759" s="68">
        <v>0.61458333333333337</v>
      </c>
      <c r="M759" s="68">
        <v>0.70833333333333337</v>
      </c>
      <c r="N759" s="173" t="s">
        <v>1331</v>
      </c>
      <c r="O759" s="23">
        <v>1310</v>
      </c>
      <c r="P759" s="70">
        <v>0.58680555555555558</v>
      </c>
      <c r="Q759" s="70">
        <v>0.70833333333333337</v>
      </c>
      <c r="R759" s="229" t="s">
        <v>1326</v>
      </c>
    </row>
    <row r="760" spans="1:18" x14ac:dyDescent="0.4">
      <c r="A760" s="240">
        <v>45789</v>
      </c>
      <c r="B760" s="151" t="s">
        <v>76</v>
      </c>
      <c r="C760" s="30" t="s">
        <v>224</v>
      </c>
      <c r="D760" s="190">
        <v>12</v>
      </c>
      <c r="E760" s="77">
        <v>5</v>
      </c>
      <c r="F760" s="1"/>
      <c r="G760" s="76">
        <v>0.29166666666666669</v>
      </c>
      <c r="H760" s="76">
        <v>0.39513888888888887</v>
      </c>
      <c r="I760" s="173" t="s">
        <v>1515</v>
      </c>
      <c r="J760" s="23">
        <v>3</v>
      </c>
      <c r="K760" s="68">
        <v>6.9444444444444441E-3</v>
      </c>
      <c r="L760" s="68">
        <v>0.33333333333333331</v>
      </c>
      <c r="M760" s="68">
        <v>0.4236111111111111</v>
      </c>
      <c r="N760" s="173" t="s">
        <v>1313</v>
      </c>
      <c r="O760" s="23">
        <v>1165</v>
      </c>
      <c r="P760" s="70">
        <v>0.29166666666666669</v>
      </c>
      <c r="Q760" s="70">
        <v>0.4236111111111111</v>
      </c>
      <c r="R760" s="229" t="s">
        <v>1256</v>
      </c>
    </row>
    <row r="761" spans="1:18" x14ac:dyDescent="0.4">
      <c r="A761" s="240">
        <v>45789</v>
      </c>
      <c r="B761" s="151" t="s">
        <v>75</v>
      </c>
      <c r="C761" s="30" t="s">
        <v>229</v>
      </c>
      <c r="D761" s="190">
        <v>16</v>
      </c>
      <c r="E761" s="77">
        <v>5</v>
      </c>
      <c r="F761" s="1"/>
      <c r="G761" s="76">
        <v>0.39513888888888887</v>
      </c>
      <c r="H761" s="76">
        <v>0.58680555555555558</v>
      </c>
      <c r="I761" s="173" t="s">
        <v>1520</v>
      </c>
      <c r="J761" s="23">
        <v>3</v>
      </c>
      <c r="K761" s="68">
        <v>6.9444444444444441E-3</v>
      </c>
      <c r="L761" s="68">
        <v>0.4236111111111111</v>
      </c>
      <c r="M761" s="68">
        <v>0.61458333333333337</v>
      </c>
      <c r="N761" s="173" t="s">
        <v>1380</v>
      </c>
      <c r="O761" s="23">
        <v>1755</v>
      </c>
      <c r="P761" s="70">
        <v>0.39513888888888887</v>
      </c>
      <c r="Q761" s="70">
        <v>0.61458333333333337</v>
      </c>
      <c r="R761" s="229" t="s">
        <v>1577</v>
      </c>
    </row>
    <row r="762" spans="1:18" x14ac:dyDescent="0.4">
      <c r="A762" s="240">
        <v>45789</v>
      </c>
      <c r="B762" s="151" t="s">
        <v>65</v>
      </c>
      <c r="C762" s="30" t="s">
        <v>189</v>
      </c>
      <c r="D762" s="190">
        <v>60</v>
      </c>
      <c r="E762" s="77">
        <v>3</v>
      </c>
      <c r="F762" s="76">
        <v>4.1666666666666664E-2</v>
      </c>
      <c r="G762" s="76">
        <v>0.29166666666666669</v>
      </c>
      <c r="H762" s="76">
        <v>0.69791666666666663</v>
      </c>
      <c r="I762" s="173" t="s">
        <v>1428</v>
      </c>
      <c r="J762" s="23">
        <v>4</v>
      </c>
      <c r="K762" s="23"/>
      <c r="L762" s="68">
        <v>0.29166666666666669</v>
      </c>
      <c r="M762" s="68">
        <v>0.72916666666666663</v>
      </c>
      <c r="N762" s="173" t="s">
        <v>1247</v>
      </c>
      <c r="O762" s="23">
        <v>4035</v>
      </c>
      <c r="P762" s="70">
        <v>0.29166666666666669</v>
      </c>
      <c r="Q762" s="70">
        <v>0.72916666666666663</v>
      </c>
      <c r="R762" s="229" t="s">
        <v>1247</v>
      </c>
    </row>
    <row r="763" spans="1:18" x14ac:dyDescent="0.4">
      <c r="A763" s="240">
        <v>45790</v>
      </c>
      <c r="B763" s="151" t="s">
        <v>63</v>
      </c>
      <c r="C763" s="30" t="s">
        <v>267</v>
      </c>
      <c r="D763" s="190">
        <v>24</v>
      </c>
      <c r="E763" s="77">
        <v>5</v>
      </c>
      <c r="F763" s="1"/>
      <c r="G763" s="76">
        <v>0.41944444444444445</v>
      </c>
      <c r="H763" s="76">
        <v>0.6875</v>
      </c>
      <c r="I763" s="173" t="s">
        <v>1578</v>
      </c>
      <c r="J763" s="23">
        <v>3</v>
      </c>
      <c r="K763" s="68">
        <v>1.0416666666666666E-2</v>
      </c>
      <c r="L763" s="68">
        <v>0.4513888888888889</v>
      </c>
      <c r="M763" s="68">
        <v>0.70833333333333337</v>
      </c>
      <c r="N763" s="173" t="s">
        <v>1306</v>
      </c>
      <c r="O763" s="23">
        <v>2605</v>
      </c>
      <c r="P763" s="70">
        <v>0.41944444444444445</v>
      </c>
      <c r="Q763" s="70">
        <v>0.70833333333333337</v>
      </c>
      <c r="R763" s="229" t="s">
        <v>1579</v>
      </c>
    </row>
    <row r="764" spans="1:18" x14ac:dyDescent="0.4">
      <c r="A764" s="240">
        <v>45790</v>
      </c>
      <c r="B764" s="151" t="s">
        <v>81</v>
      </c>
      <c r="C764" s="30" t="s">
        <v>235</v>
      </c>
      <c r="D764" s="190">
        <v>16</v>
      </c>
      <c r="E764" s="77">
        <v>5</v>
      </c>
      <c r="F764" s="1"/>
      <c r="G764" s="76">
        <v>0.29166666666666669</v>
      </c>
      <c r="H764" s="76">
        <v>0.41944444444444445</v>
      </c>
      <c r="I764" s="173" t="s">
        <v>1481</v>
      </c>
      <c r="J764" s="23">
        <v>3</v>
      </c>
      <c r="K764" s="68">
        <v>1.0416666666666666E-2</v>
      </c>
      <c r="L764" s="68">
        <v>0.3125</v>
      </c>
      <c r="M764" s="68">
        <v>0.4513888888888889</v>
      </c>
      <c r="N764" s="173" t="s">
        <v>1355</v>
      </c>
      <c r="O764" s="23">
        <v>1565</v>
      </c>
      <c r="P764" s="70">
        <v>0.29166666666666669</v>
      </c>
      <c r="Q764" s="70">
        <v>0.4513888888888889</v>
      </c>
      <c r="R764" s="229" t="s">
        <v>1332</v>
      </c>
    </row>
    <row r="765" spans="1:18" x14ac:dyDescent="0.4">
      <c r="A765" s="240">
        <v>45790</v>
      </c>
      <c r="B765" s="151" t="s">
        <v>73</v>
      </c>
      <c r="C765" s="30" t="s">
        <v>231</v>
      </c>
      <c r="D765" s="190">
        <v>21</v>
      </c>
      <c r="E765" s="77">
        <v>5</v>
      </c>
      <c r="F765" s="1"/>
      <c r="G765" s="76">
        <v>0.29166666666666669</v>
      </c>
      <c r="H765" s="76">
        <v>0.68055555555555547</v>
      </c>
      <c r="I765" s="173" t="s">
        <v>1465</v>
      </c>
      <c r="J765" s="23">
        <v>9</v>
      </c>
      <c r="K765" s="23"/>
      <c r="L765" s="68">
        <v>0.33333333333333331</v>
      </c>
      <c r="M765" s="68">
        <v>0.70833333333333337</v>
      </c>
      <c r="N765" s="173" t="s">
        <v>1292</v>
      </c>
      <c r="O765" s="23">
        <v>6820</v>
      </c>
      <c r="P765" s="70">
        <v>0.29166666666666669</v>
      </c>
      <c r="Q765" s="70">
        <v>0.70833333333333337</v>
      </c>
      <c r="R765" s="229" t="s">
        <v>1252</v>
      </c>
    </row>
    <row r="766" spans="1:18" x14ac:dyDescent="0.4">
      <c r="A766" s="240">
        <v>45790</v>
      </c>
      <c r="B766" s="151" t="s">
        <v>65</v>
      </c>
      <c r="C766" s="30" t="s">
        <v>189</v>
      </c>
      <c r="D766" s="190">
        <v>60</v>
      </c>
      <c r="E766" s="77">
        <v>3</v>
      </c>
      <c r="F766" s="76">
        <v>4.1666666666666664E-2</v>
      </c>
      <c r="G766" s="76">
        <v>0.29166666666666669</v>
      </c>
      <c r="H766" s="76">
        <v>0.69791666666666663</v>
      </c>
      <c r="I766" s="173" t="s">
        <v>1428</v>
      </c>
      <c r="J766" s="23">
        <v>4</v>
      </c>
      <c r="K766" s="23"/>
      <c r="L766" s="68">
        <v>0.29166666666666669</v>
      </c>
      <c r="M766" s="68">
        <v>0.72569444444444453</v>
      </c>
      <c r="N766" s="173" t="s">
        <v>1576</v>
      </c>
      <c r="O766" s="23">
        <v>4015</v>
      </c>
      <c r="P766" s="70">
        <v>0.29166666666666669</v>
      </c>
      <c r="Q766" s="70">
        <v>0.72569444444444453</v>
      </c>
      <c r="R766" s="229" t="s">
        <v>1576</v>
      </c>
    </row>
    <row r="767" spans="1:18" x14ac:dyDescent="0.4">
      <c r="A767" s="240">
        <v>45791</v>
      </c>
      <c r="B767" s="151" t="s">
        <v>106</v>
      </c>
      <c r="C767" s="30" t="s">
        <v>173</v>
      </c>
      <c r="D767" s="190">
        <v>16</v>
      </c>
      <c r="E767" s="77">
        <v>4</v>
      </c>
      <c r="F767" s="1"/>
      <c r="G767" s="76">
        <v>0.29166666666666669</v>
      </c>
      <c r="H767" s="76">
        <v>0.5</v>
      </c>
      <c r="I767" s="173" t="s">
        <v>1327</v>
      </c>
      <c r="J767" s="23">
        <v>9</v>
      </c>
      <c r="K767" s="23"/>
      <c r="L767" s="68">
        <v>0.3125</v>
      </c>
      <c r="M767" s="68">
        <v>0.5</v>
      </c>
      <c r="N767" s="173" t="s">
        <v>1243</v>
      </c>
      <c r="O767" s="23">
        <v>3630</v>
      </c>
      <c r="P767" s="70">
        <v>0.29166666666666669</v>
      </c>
      <c r="Q767" s="70">
        <v>0.5</v>
      </c>
      <c r="R767" s="229" t="s">
        <v>1327</v>
      </c>
    </row>
    <row r="768" spans="1:18" x14ac:dyDescent="0.4">
      <c r="A768" s="240">
        <v>45791</v>
      </c>
      <c r="B768" s="151" t="s">
        <v>887</v>
      </c>
      <c r="C768" s="30" t="s">
        <v>888</v>
      </c>
      <c r="D768" s="190">
        <v>4</v>
      </c>
      <c r="E768" s="77">
        <v>4</v>
      </c>
      <c r="F768" s="1"/>
      <c r="G768" s="76">
        <v>0.54166666666666663</v>
      </c>
      <c r="H768" s="76">
        <v>0.59722222222222221</v>
      </c>
      <c r="I768" s="173" t="s">
        <v>1420</v>
      </c>
      <c r="J768" s="23">
        <v>10</v>
      </c>
      <c r="K768" s="23"/>
      <c r="L768" s="68">
        <v>0.54166666666666663</v>
      </c>
      <c r="M768" s="68">
        <v>0.65277777777777779</v>
      </c>
      <c r="N768" s="173" t="s">
        <v>1325</v>
      </c>
      <c r="O768" s="23">
        <v>1920</v>
      </c>
      <c r="P768" s="70">
        <v>0.54166666666666663</v>
      </c>
      <c r="Q768" s="70">
        <v>0.65277777777777779</v>
      </c>
      <c r="R768" s="229" t="s">
        <v>1325</v>
      </c>
    </row>
    <row r="769" spans="1:18" x14ac:dyDescent="0.4">
      <c r="A769" s="240">
        <v>45791</v>
      </c>
      <c r="B769" s="151" t="s">
        <v>367</v>
      </c>
      <c r="C769" s="30" t="s">
        <v>1106</v>
      </c>
      <c r="D769" s="190">
        <v>3</v>
      </c>
      <c r="E769" s="77">
        <v>4</v>
      </c>
      <c r="F769" s="1"/>
      <c r="G769" s="76">
        <v>0.59722222222222221</v>
      </c>
      <c r="H769" s="76">
        <v>0.70833333333333337</v>
      </c>
      <c r="I769" s="173" t="s">
        <v>1325</v>
      </c>
      <c r="J769" s="23">
        <v>10</v>
      </c>
      <c r="K769" s="23"/>
      <c r="L769" s="68">
        <v>0.65277777777777779</v>
      </c>
      <c r="M769" s="68">
        <v>0.72916666666666663</v>
      </c>
      <c r="N769" s="173" t="s">
        <v>1377</v>
      </c>
      <c r="O769" s="23">
        <v>1740</v>
      </c>
      <c r="P769" s="70">
        <v>0.59722222222222221</v>
      </c>
      <c r="Q769" s="70">
        <v>0.72916666666666663</v>
      </c>
      <c r="R769" s="229" t="s">
        <v>1256</v>
      </c>
    </row>
    <row r="770" spans="1:18" x14ac:dyDescent="0.4">
      <c r="A770" s="240">
        <v>45791</v>
      </c>
      <c r="B770" s="151" t="s">
        <v>63</v>
      </c>
      <c r="C770" s="30" t="s">
        <v>267</v>
      </c>
      <c r="D770" s="190">
        <v>20</v>
      </c>
      <c r="E770" s="77">
        <v>4</v>
      </c>
      <c r="F770" s="1"/>
      <c r="G770" s="76">
        <v>0.44930555555555557</v>
      </c>
      <c r="H770" s="76">
        <v>0.70833333333333337</v>
      </c>
      <c r="I770" s="173" t="s">
        <v>1541</v>
      </c>
      <c r="J770" s="23">
        <v>3</v>
      </c>
      <c r="K770" s="68">
        <v>1.0416666666666666E-2</v>
      </c>
      <c r="L770" s="68">
        <v>0.47916666666666669</v>
      </c>
      <c r="M770" s="68">
        <v>0.70833333333333337</v>
      </c>
      <c r="N770" s="173" t="s">
        <v>1335</v>
      </c>
      <c r="O770" s="23">
        <v>2107</v>
      </c>
      <c r="P770" s="70">
        <v>0.44930555555555557</v>
      </c>
      <c r="Q770" s="70">
        <v>0.70833333333333337</v>
      </c>
      <c r="R770" s="229" t="s">
        <v>1541</v>
      </c>
    </row>
    <row r="771" spans="1:18" x14ac:dyDescent="0.4">
      <c r="A771" s="240">
        <v>45791</v>
      </c>
      <c r="B771" s="151" t="s">
        <v>51</v>
      </c>
      <c r="C771" s="30" t="s">
        <v>253</v>
      </c>
      <c r="D771" s="190">
        <v>18</v>
      </c>
      <c r="E771" s="77">
        <v>4</v>
      </c>
      <c r="F771" s="1"/>
      <c r="G771" s="76">
        <v>0.29166666666666669</v>
      </c>
      <c r="H771" s="76">
        <v>0.44930555555555557</v>
      </c>
      <c r="I771" s="173" t="s">
        <v>1580</v>
      </c>
      <c r="J771" s="23">
        <v>3</v>
      </c>
      <c r="K771" s="68">
        <v>1.0416666666666666E-2</v>
      </c>
      <c r="L771" s="68">
        <v>0.33333333333333331</v>
      </c>
      <c r="M771" s="68">
        <v>0.47916666666666669</v>
      </c>
      <c r="N771" s="173" t="s">
        <v>1380</v>
      </c>
      <c r="O771" s="23">
        <v>1583</v>
      </c>
      <c r="P771" s="70">
        <v>0.29166666666666669</v>
      </c>
      <c r="Q771" s="70">
        <v>0.47916666666666669</v>
      </c>
      <c r="R771" s="229" t="s">
        <v>1243</v>
      </c>
    </row>
    <row r="772" spans="1:18" x14ac:dyDescent="0.4">
      <c r="A772" s="240">
        <v>45791</v>
      </c>
      <c r="B772" s="151" t="s">
        <v>65</v>
      </c>
      <c r="C772" s="30" t="s">
        <v>189</v>
      </c>
      <c r="D772" s="190">
        <v>60</v>
      </c>
      <c r="E772" s="77">
        <v>3</v>
      </c>
      <c r="F772" s="76">
        <v>4.1666666666666664E-2</v>
      </c>
      <c r="G772" s="76">
        <v>0.29166666666666669</v>
      </c>
      <c r="H772" s="76">
        <v>0.69791666666666663</v>
      </c>
      <c r="I772" s="173" t="s">
        <v>1428</v>
      </c>
      <c r="J772" s="23">
        <v>4</v>
      </c>
      <c r="K772" s="23"/>
      <c r="L772" s="68">
        <v>0.29166666666666669</v>
      </c>
      <c r="M772" s="68">
        <v>0.72569444444444453</v>
      </c>
      <c r="N772" s="173" t="s">
        <v>1576</v>
      </c>
      <c r="O772" s="23">
        <v>4015</v>
      </c>
      <c r="P772" s="70">
        <v>0.29166666666666669</v>
      </c>
      <c r="Q772" s="70">
        <v>0.72569444444444453</v>
      </c>
      <c r="R772" s="229" t="s">
        <v>1576</v>
      </c>
    </row>
    <row r="773" spans="1:18" s="146" customFormat="1" x14ac:dyDescent="0.4">
      <c r="A773" s="244">
        <v>45791</v>
      </c>
      <c r="B773" s="213">
        <v>111010</v>
      </c>
      <c r="C773" s="136" t="s">
        <v>480</v>
      </c>
      <c r="D773" s="214">
        <v>1</v>
      </c>
      <c r="E773" s="103"/>
      <c r="F773" s="104"/>
      <c r="G773" s="184"/>
      <c r="H773" s="184"/>
      <c r="I773" s="225" t="s">
        <v>1002</v>
      </c>
      <c r="J773" s="105"/>
      <c r="K773" s="105"/>
      <c r="L773" s="106"/>
      <c r="M773" s="106"/>
      <c r="N773" s="225" t="s">
        <v>1002</v>
      </c>
      <c r="O773" s="105">
        <v>0</v>
      </c>
      <c r="P773" s="247">
        <v>0</v>
      </c>
      <c r="Q773" s="247">
        <v>0</v>
      </c>
      <c r="R773" s="232" t="s">
        <v>1002</v>
      </c>
    </row>
    <row r="774" spans="1:18" x14ac:dyDescent="0.4">
      <c r="A774" s="240">
        <v>45792</v>
      </c>
      <c r="B774" s="151" t="s">
        <v>71</v>
      </c>
      <c r="C774" s="30" t="s">
        <v>176</v>
      </c>
      <c r="D774" s="190">
        <v>36</v>
      </c>
      <c r="E774" s="77">
        <v>6</v>
      </c>
      <c r="F774" s="1"/>
      <c r="G774" s="76">
        <v>0.54166666666666663</v>
      </c>
      <c r="H774" s="76">
        <v>0.70833333333333337</v>
      </c>
      <c r="I774" s="173" t="s">
        <v>1244</v>
      </c>
      <c r="J774" s="23">
        <v>5</v>
      </c>
      <c r="K774" s="23"/>
      <c r="L774" s="68">
        <v>0.54166666666666663</v>
      </c>
      <c r="M774" s="68">
        <v>0.72916666666666663</v>
      </c>
      <c r="N774" s="173" t="s">
        <v>1243</v>
      </c>
      <c r="O774" s="23">
        <v>2790</v>
      </c>
      <c r="P774" s="70">
        <v>0.54166666666666663</v>
      </c>
      <c r="Q774" s="70">
        <v>0.72916666666666663</v>
      </c>
      <c r="R774" s="229" t="s">
        <v>1243</v>
      </c>
    </row>
    <row r="775" spans="1:18" x14ac:dyDescent="0.4">
      <c r="A775" s="240">
        <v>45792</v>
      </c>
      <c r="B775" s="151" t="s">
        <v>80</v>
      </c>
      <c r="C775" s="30" t="s">
        <v>203</v>
      </c>
      <c r="D775" s="190">
        <v>36</v>
      </c>
      <c r="E775" s="77">
        <v>6</v>
      </c>
      <c r="F775" s="1"/>
      <c r="G775" s="76">
        <v>0.29166666666666669</v>
      </c>
      <c r="H775" s="76">
        <v>0.5</v>
      </c>
      <c r="I775" s="173" t="s">
        <v>1327</v>
      </c>
      <c r="J775" s="23">
        <v>5</v>
      </c>
      <c r="K775" s="23"/>
      <c r="L775" s="68">
        <v>0.3125</v>
      </c>
      <c r="M775" s="68">
        <v>0.5</v>
      </c>
      <c r="N775" s="173" t="s">
        <v>1243</v>
      </c>
      <c r="O775" s="23">
        <v>3150</v>
      </c>
      <c r="P775" s="70">
        <v>0.29166666666666669</v>
      </c>
      <c r="Q775" s="70">
        <v>0.5</v>
      </c>
      <c r="R775" s="229" t="s">
        <v>1327</v>
      </c>
    </row>
    <row r="776" spans="1:18" x14ac:dyDescent="0.4">
      <c r="A776" s="240">
        <v>45792</v>
      </c>
      <c r="B776" s="151" t="s">
        <v>55</v>
      </c>
      <c r="C776" s="30" t="s">
        <v>208</v>
      </c>
      <c r="D776" s="190">
        <v>20</v>
      </c>
      <c r="E776" s="77">
        <v>4</v>
      </c>
      <c r="F776" s="1"/>
      <c r="G776" s="76">
        <v>0.3430555555555555</v>
      </c>
      <c r="H776" s="76">
        <v>0.58819444444444446</v>
      </c>
      <c r="I776" s="173" t="s">
        <v>1468</v>
      </c>
      <c r="J776" s="23">
        <v>4</v>
      </c>
      <c r="K776" s="68">
        <v>6.9444444444444441E-3</v>
      </c>
      <c r="L776" s="68">
        <v>0.38194444444444442</v>
      </c>
      <c r="M776" s="68">
        <v>0.625</v>
      </c>
      <c r="N776" s="173" t="s">
        <v>1327</v>
      </c>
      <c r="O776" s="23">
        <v>2372</v>
      </c>
      <c r="P776" s="70">
        <v>0.3430555555555555</v>
      </c>
      <c r="Q776" s="70">
        <v>0.625</v>
      </c>
      <c r="R776" s="229" t="s">
        <v>1348</v>
      </c>
    </row>
    <row r="777" spans="1:18" x14ac:dyDescent="0.4">
      <c r="A777" s="240">
        <v>45792</v>
      </c>
      <c r="B777" s="151" t="s">
        <v>56</v>
      </c>
      <c r="C777" s="30" t="s">
        <v>220</v>
      </c>
      <c r="D777" s="190">
        <v>12</v>
      </c>
      <c r="E777" s="77">
        <v>4</v>
      </c>
      <c r="F777" s="1"/>
      <c r="G777" s="76">
        <v>0.58819444444444446</v>
      </c>
      <c r="H777" s="76">
        <v>0.72916666666666663</v>
      </c>
      <c r="I777" s="173" t="s">
        <v>1581</v>
      </c>
      <c r="J777" s="23">
        <v>4</v>
      </c>
      <c r="K777" s="68">
        <v>6.9444444444444441E-3</v>
      </c>
      <c r="L777" s="68">
        <v>0.625</v>
      </c>
      <c r="M777" s="68">
        <v>0.75</v>
      </c>
      <c r="N777" s="173" t="s">
        <v>1256</v>
      </c>
      <c r="O777" s="23">
        <v>1572</v>
      </c>
      <c r="P777" s="70">
        <v>0.58819444444444446</v>
      </c>
      <c r="Q777" s="70">
        <v>0.75</v>
      </c>
      <c r="R777" s="229" t="s">
        <v>1522</v>
      </c>
    </row>
    <row r="778" spans="1:18" x14ac:dyDescent="0.4">
      <c r="A778" s="240">
        <v>45792</v>
      </c>
      <c r="B778" s="151" t="s">
        <v>118</v>
      </c>
      <c r="C778" s="30" t="s">
        <v>318</v>
      </c>
      <c r="D778" s="190">
        <v>4</v>
      </c>
      <c r="E778" s="77">
        <v>5</v>
      </c>
      <c r="F778" s="1"/>
      <c r="G778" s="76">
        <v>0.29166666666666669</v>
      </c>
      <c r="H778" s="76">
        <v>0.3430555555555555</v>
      </c>
      <c r="I778" s="173" t="s">
        <v>1540</v>
      </c>
      <c r="J778" s="23">
        <v>4</v>
      </c>
      <c r="K778" s="68">
        <v>6.9444444444444441E-3</v>
      </c>
      <c r="L778" s="68">
        <v>0.34027777777777773</v>
      </c>
      <c r="M778" s="68">
        <v>0.38194444444444442</v>
      </c>
      <c r="N778" s="173" t="s">
        <v>1442</v>
      </c>
      <c r="O778" s="23">
        <v>650</v>
      </c>
      <c r="P778" s="70">
        <v>0.29166666666666669</v>
      </c>
      <c r="Q778" s="70">
        <v>0.38194444444444442</v>
      </c>
      <c r="R778" s="229" t="s">
        <v>1248</v>
      </c>
    </row>
    <row r="779" spans="1:18" x14ac:dyDescent="0.4">
      <c r="A779" s="240">
        <v>45792</v>
      </c>
      <c r="B779" s="151" t="s">
        <v>83</v>
      </c>
      <c r="C779" s="30" t="s">
        <v>169</v>
      </c>
      <c r="D779" s="190">
        <v>8</v>
      </c>
      <c r="E779" s="77">
        <v>3</v>
      </c>
      <c r="F779" s="76">
        <v>2.0833333333333332E-2</v>
      </c>
      <c r="G779" s="76">
        <v>0.29166666666666669</v>
      </c>
      <c r="H779" s="76">
        <v>0.39583333333333331</v>
      </c>
      <c r="I779" s="173" t="s">
        <v>1316</v>
      </c>
      <c r="J779" s="23">
        <v>7</v>
      </c>
      <c r="K779" s="68">
        <v>2.0833333333333332E-2</v>
      </c>
      <c r="L779" s="68">
        <v>0.33333333333333331</v>
      </c>
      <c r="M779" s="68">
        <v>0.41666666666666669</v>
      </c>
      <c r="N779" s="173" t="s">
        <v>1298</v>
      </c>
      <c r="O779" s="23">
        <v>1590</v>
      </c>
      <c r="P779" s="70">
        <v>0.29166666666666669</v>
      </c>
      <c r="Q779" s="70">
        <v>0.41666666666666669</v>
      </c>
      <c r="R779" s="229" t="s">
        <v>1316</v>
      </c>
    </row>
    <row r="780" spans="1:18" x14ac:dyDescent="0.4">
      <c r="A780" s="240">
        <v>45792</v>
      </c>
      <c r="B780" s="151" t="s">
        <v>104</v>
      </c>
      <c r="C780" s="30" t="s">
        <v>191</v>
      </c>
      <c r="D780" s="190">
        <v>40</v>
      </c>
      <c r="E780" s="77">
        <v>3</v>
      </c>
      <c r="F780" s="76">
        <v>2.0833333333333332E-2</v>
      </c>
      <c r="G780" s="76">
        <v>0.39583333333333331</v>
      </c>
      <c r="H780" s="76">
        <v>0.65277777777777779</v>
      </c>
      <c r="I780" s="173" t="s">
        <v>1339</v>
      </c>
      <c r="J780" s="23">
        <v>4</v>
      </c>
      <c r="K780" s="68">
        <v>2.0833333333333332E-2</v>
      </c>
      <c r="L780" s="68">
        <v>0.41666666666666669</v>
      </c>
      <c r="M780" s="68">
        <v>0.68055555555555547</v>
      </c>
      <c r="N780" s="173" t="s">
        <v>1415</v>
      </c>
      <c r="O780" s="23">
        <v>2420</v>
      </c>
      <c r="P780" s="70">
        <v>0.39583333333333331</v>
      </c>
      <c r="Q780" s="70">
        <v>0.68055555555555547</v>
      </c>
      <c r="R780" s="229" t="s">
        <v>1415</v>
      </c>
    </row>
    <row r="781" spans="1:18" x14ac:dyDescent="0.4">
      <c r="A781" s="240">
        <v>45793</v>
      </c>
      <c r="B781" s="151" t="s">
        <v>61</v>
      </c>
      <c r="C781" s="30" t="s">
        <v>156</v>
      </c>
      <c r="D781" s="190">
        <v>40</v>
      </c>
      <c r="E781" s="77">
        <v>5</v>
      </c>
      <c r="F781" s="1"/>
      <c r="G781" s="76">
        <v>0.29166666666666669</v>
      </c>
      <c r="H781" s="76">
        <v>0.66666666666666663</v>
      </c>
      <c r="I781" s="173" t="s">
        <v>1292</v>
      </c>
      <c r="J781" s="23">
        <v>10</v>
      </c>
      <c r="K781" s="23"/>
      <c r="L781" s="68">
        <v>0.3125</v>
      </c>
      <c r="M781" s="68">
        <v>0.70833333333333337</v>
      </c>
      <c r="N781" s="173" t="s">
        <v>990</v>
      </c>
      <c r="O781" s="23">
        <v>7500</v>
      </c>
      <c r="P781" s="70">
        <v>0.29166666666666669</v>
      </c>
      <c r="Q781" s="70">
        <v>0.70833333333333337</v>
      </c>
      <c r="R781" s="229" t="s">
        <v>1252</v>
      </c>
    </row>
    <row r="782" spans="1:18" x14ac:dyDescent="0.4">
      <c r="A782" s="240">
        <v>45793</v>
      </c>
      <c r="B782" s="151" t="s">
        <v>63</v>
      </c>
      <c r="C782" s="30" t="s">
        <v>267</v>
      </c>
      <c r="D782" s="190">
        <v>16</v>
      </c>
      <c r="E782" s="77">
        <v>4</v>
      </c>
      <c r="F782" s="1"/>
      <c r="G782" s="76">
        <v>0.54166666666666663</v>
      </c>
      <c r="H782" s="76">
        <v>0.6875</v>
      </c>
      <c r="I782" s="173" t="s">
        <v>1303</v>
      </c>
      <c r="J782" s="23">
        <v>3</v>
      </c>
      <c r="K782" s="68">
        <v>1.0416666666666666E-2</v>
      </c>
      <c r="L782" s="68">
        <v>0.57638888888888895</v>
      </c>
      <c r="M782" s="68">
        <v>0.6875</v>
      </c>
      <c r="N782" s="173" t="s">
        <v>1326</v>
      </c>
      <c r="O782" s="23">
        <v>1365</v>
      </c>
      <c r="P782" s="70">
        <v>0.54166666666666663</v>
      </c>
      <c r="Q782" s="70">
        <v>0.6875</v>
      </c>
      <c r="R782" s="229" t="s">
        <v>1303</v>
      </c>
    </row>
    <row r="783" spans="1:18" x14ac:dyDescent="0.4">
      <c r="A783" s="240">
        <v>45793</v>
      </c>
      <c r="B783" s="151" t="s">
        <v>54</v>
      </c>
      <c r="C783" s="30" t="s">
        <v>251</v>
      </c>
      <c r="D783" s="190">
        <v>24</v>
      </c>
      <c r="E783" s="77">
        <v>4</v>
      </c>
      <c r="F783" s="1"/>
      <c r="G783" s="76">
        <v>0.29166666666666669</v>
      </c>
      <c r="H783" s="76">
        <v>0.5</v>
      </c>
      <c r="I783" s="173" t="s">
        <v>1327</v>
      </c>
      <c r="J783" s="23">
        <v>3</v>
      </c>
      <c r="K783" s="68">
        <v>1.0416666666666666E-2</v>
      </c>
      <c r="L783" s="68">
        <v>0.33333333333333331</v>
      </c>
      <c r="M783" s="68">
        <v>0.57638888888888895</v>
      </c>
      <c r="N783" s="173" t="s">
        <v>1466</v>
      </c>
      <c r="O783" s="23">
        <v>2115</v>
      </c>
      <c r="P783" s="70">
        <v>0.29166666666666669</v>
      </c>
      <c r="Q783" s="70">
        <v>0.57638888888888895</v>
      </c>
      <c r="R783" s="229" t="s">
        <v>1415</v>
      </c>
    </row>
    <row r="784" spans="1:18" x14ac:dyDescent="0.4">
      <c r="A784" s="240">
        <v>45793</v>
      </c>
      <c r="B784" s="151" t="s">
        <v>640</v>
      </c>
      <c r="C784" s="30" t="s">
        <v>280</v>
      </c>
      <c r="D784" s="190">
        <v>8</v>
      </c>
      <c r="E784" s="77">
        <v>3</v>
      </c>
      <c r="F784" s="76">
        <v>2.0833333333333332E-2</v>
      </c>
      <c r="G784" s="76">
        <v>0.29166666666666669</v>
      </c>
      <c r="H784" s="76">
        <v>0.33333333333333331</v>
      </c>
      <c r="I784" s="173" t="s">
        <v>1375</v>
      </c>
      <c r="J784" s="23">
        <v>7</v>
      </c>
      <c r="K784" s="68">
        <v>2.0833333333333332E-2</v>
      </c>
      <c r="L784" s="68">
        <v>0.33333333333333331</v>
      </c>
      <c r="M784" s="68">
        <v>0.5</v>
      </c>
      <c r="N784" s="173" t="s">
        <v>1243</v>
      </c>
      <c r="O784" s="23">
        <v>2160</v>
      </c>
      <c r="P784" s="70">
        <v>0.29166666666666669</v>
      </c>
      <c r="Q784" s="70">
        <v>0.5</v>
      </c>
      <c r="R784" s="229" t="s">
        <v>1327</v>
      </c>
    </row>
    <row r="785" spans="1:18" x14ac:dyDescent="0.4">
      <c r="A785" s="240">
        <v>45793</v>
      </c>
      <c r="B785" s="151" t="s">
        <v>123</v>
      </c>
      <c r="C785" s="30" t="s">
        <v>277</v>
      </c>
      <c r="D785" s="190">
        <v>28</v>
      </c>
      <c r="E785" s="77">
        <v>3</v>
      </c>
      <c r="F785" s="76">
        <v>2.0833333333333332E-2</v>
      </c>
      <c r="G785" s="76">
        <v>0.33333333333333331</v>
      </c>
      <c r="H785" s="76">
        <v>0.66666666666666663</v>
      </c>
      <c r="I785" s="173" t="s">
        <v>1309</v>
      </c>
      <c r="J785" s="23">
        <v>4</v>
      </c>
      <c r="K785" s="68">
        <v>2.0833333333333332E-2</v>
      </c>
      <c r="L785" s="68">
        <v>0.54166666666666663</v>
      </c>
      <c r="M785" s="68">
        <v>0.73611111111111116</v>
      </c>
      <c r="N785" s="173" t="s">
        <v>1257</v>
      </c>
      <c r="O785" s="23">
        <v>2590</v>
      </c>
      <c r="P785" s="70">
        <v>0.33333333333333331</v>
      </c>
      <c r="Q785" s="70">
        <v>0.73611111111111116</v>
      </c>
      <c r="R785" s="229" t="s">
        <v>1351</v>
      </c>
    </row>
    <row r="786" spans="1:18" x14ac:dyDescent="0.4">
      <c r="A786" s="240">
        <v>45796</v>
      </c>
      <c r="B786" s="151" t="s">
        <v>68</v>
      </c>
      <c r="C786" s="30" t="s">
        <v>185</v>
      </c>
      <c r="D786" s="190">
        <v>40</v>
      </c>
      <c r="E786" s="77">
        <v>6</v>
      </c>
      <c r="F786" s="1"/>
      <c r="G786" s="76">
        <v>0.29166666666666669</v>
      </c>
      <c r="H786" s="76">
        <v>0.6875</v>
      </c>
      <c r="I786" s="173" t="s">
        <v>990</v>
      </c>
      <c r="J786" s="23">
        <v>5</v>
      </c>
      <c r="K786" s="23"/>
      <c r="L786" s="68">
        <v>0.3125</v>
      </c>
      <c r="M786" s="68">
        <v>0.70833333333333337</v>
      </c>
      <c r="N786" s="173" t="s">
        <v>990</v>
      </c>
      <c r="O786" s="23">
        <v>5610</v>
      </c>
      <c r="P786" s="70">
        <v>0.29166666666666669</v>
      </c>
      <c r="Q786" s="70">
        <v>0.70833333333333337</v>
      </c>
      <c r="R786" s="229" t="s">
        <v>1252</v>
      </c>
    </row>
    <row r="787" spans="1:18" x14ac:dyDescent="0.4">
      <c r="A787" s="240">
        <v>45796</v>
      </c>
      <c r="B787" s="151" t="s">
        <v>63</v>
      </c>
      <c r="C787" s="30" t="s">
        <v>267</v>
      </c>
      <c r="D787" s="190">
        <v>28</v>
      </c>
      <c r="E787" s="77">
        <v>5</v>
      </c>
      <c r="F787" s="1"/>
      <c r="G787" s="76">
        <v>0.375</v>
      </c>
      <c r="H787" s="76">
        <v>0.6875</v>
      </c>
      <c r="I787" s="173" t="s">
        <v>1329</v>
      </c>
      <c r="J787" s="23">
        <v>3</v>
      </c>
      <c r="K787" s="68">
        <v>1.0416666666666666E-2</v>
      </c>
      <c r="L787" s="68">
        <v>0.40277777777777773</v>
      </c>
      <c r="M787" s="68">
        <v>0.70833333333333337</v>
      </c>
      <c r="N787" s="173" t="s">
        <v>1402</v>
      </c>
      <c r="O787" s="23">
        <v>3135</v>
      </c>
      <c r="P787" s="70">
        <v>0.375</v>
      </c>
      <c r="Q787" s="70">
        <v>0.70833333333333337</v>
      </c>
      <c r="R787" s="229" t="s">
        <v>1341</v>
      </c>
    </row>
    <row r="788" spans="1:18" x14ac:dyDescent="0.4">
      <c r="A788" s="240">
        <v>45796</v>
      </c>
      <c r="B788" s="151" t="s">
        <v>357</v>
      </c>
      <c r="C788" s="30" t="s">
        <v>338</v>
      </c>
      <c r="D788" s="190">
        <v>6</v>
      </c>
      <c r="E788" s="77">
        <v>5</v>
      </c>
      <c r="F788" s="1"/>
      <c r="G788" s="76">
        <v>0.29166666666666669</v>
      </c>
      <c r="H788" s="76">
        <v>0.35902777777777778</v>
      </c>
      <c r="I788" s="173" t="s">
        <v>1535</v>
      </c>
      <c r="J788" s="23">
        <v>3</v>
      </c>
      <c r="K788" s="68">
        <v>1.0416666666666666E-2</v>
      </c>
      <c r="L788" s="68">
        <v>0.33333333333333331</v>
      </c>
      <c r="M788" s="68">
        <v>0.40277777777777773</v>
      </c>
      <c r="N788" s="173" t="s">
        <v>1457</v>
      </c>
      <c r="O788" s="23">
        <v>830</v>
      </c>
      <c r="P788" s="70">
        <v>0.29166666666666669</v>
      </c>
      <c r="Q788" s="70">
        <v>0.40277777777777773</v>
      </c>
      <c r="R788" s="229" t="s">
        <v>1325</v>
      </c>
    </row>
    <row r="789" spans="1:18" x14ac:dyDescent="0.4">
      <c r="A789" s="240">
        <v>45796</v>
      </c>
      <c r="B789" s="151" t="s">
        <v>82</v>
      </c>
      <c r="C789" s="30" t="s">
        <v>171</v>
      </c>
      <c r="D789" s="190">
        <v>32</v>
      </c>
      <c r="E789" s="77">
        <v>3</v>
      </c>
      <c r="F789" s="76">
        <v>2.0833333333333332E-2</v>
      </c>
      <c r="G789" s="76">
        <v>0.29166666666666669</v>
      </c>
      <c r="H789" s="76">
        <v>0.66666666666666663</v>
      </c>
      <c r="I789" s="173" t="s">
        <v>990</v>
      </c>
      <c r="J789" s="23">
        <v>6</v>
      </c>
      <c r="K789" s="23"/>
      <c r="L789" s="68">
        <v>0.29166666666666669</v>
      </c>
      <c r="M789" s="68">
        <v>0.70833333333333337</v>
      </c>
      <c r="N789" s="173" t="s">
        <v>1252</v>
      </c>
      <c r="O789" s="23">
        <v>4770</v>
      </c>
      <c r="P789" s="70">
        <v>0.29166666666666669</v>
      </c>
      <c r="Q789" s="70">
        <v>0.70833333333333337</v>
      </c>
      <c r="R789" s="229" t="s">
        <v>1252</v>
      </c>
    </row>
    <row r="790" spans="1:18" x14ac:dyDescent="0.4">
      <c r="A790" s="240">
        <v>45797</v>
      </c>
      <c r="B790" s="151" t="s">
        <v>54</v>
      </c>
      <c r="C790" s="30" t="s">
        <v>251</v>
      </c>
      <c r="D790" s="190">
        <v>20</v>
      </c>
      <c r="E790" s="77">
        <v>5</v>
      </c>
      <c r="F790" s="1"/>
      <c r="G790" s="76">
        <v>0.40972222222222227</v>
      </c>
      <c r="H790" s="76">
        <v>0.63888888888888895</v>
      </c>
      <c r="I790" s="173" t="s">
        <v>1243</v>
      </c>
      <c r="J790" s="23">
        <v>4</v>
      </c>
      <c r="K790" s="68">
        <v>6.9444444444444441E-3</v>
      </c>
      <c r="L790" s="68">
        <v>0.44444444444444442</v>
      </c>
      <c r="M790" s="68">
        <v>0.67361111111111116</v>
      </c>
      <c r="N790" s="173" t="s">
        <v>1255</v>
      </c>
      <c r="O790" s="23">
        <v>2470</v>
      </c>
      <c r="P790" s="70">
        <v>0.40972222222222227</v>
      </c>
      <c r="Q790" s="70">
        <v>0.67361111111111116</v>
      </c>
      <c r="R790" s="229" t="s">
        <v>1357</v>
      </c>
    </row>
    <row r="791" spans="1:18" x14ac:dyDescent="0.4">
      <c r="A791" s="240">
        <v>45797</v>
      </c>
      <c r="B791" s="151" t="s">
        <v>53</v>
      </c>
      <c r="C791" s="30" t="s">
        <v>261</v>
      </c>
      <c r="D791" s="190">
        <v>12</v>
      </c>
      <c r="E791" s="77">
        <v>5</v>
      </c>
      <c r="F791" s="1"/>
      <c r="G791" s="76">
        <v>0.29166666666666669</v>
      </c>
      <c r="H791" s="76">
        <v>0.40972222222222227</v>
      </c>
      <c r="I791" s="173" t="s">
        <v>1314</v>
      </c>
      <c r="J791" s="23">
        <v>4</v>
      </c>
      <c r="K791" s="68">
        <v>6.9444444444444441E-3</v>
      </c>
      <c r="L791" s="68">
        <v>0.33333333333333331</v>
      </c>
      <c r="M791" s="68">
        <v>0.44444444444444442</v>
      </c>
      <c r="N791" s="173" t="s">
        <v>1314</v>
      </c>
      <c r="O791" s="23">
        <v>1530</v>
      </c>
      <c r="P791" s="70">
        <v>0.29166666666666669</v>
      </c>
      <c r="Q791" s="70">
        <v>0.44444444444444442</v>
      </c>
      <c r="R791" s="229" t="s">
        <v>1254</v>
      </c>
    </row>
    <row r="792" spans="1:18" x14ac:dyDescent="0.4">
      <c r="A792" s="240">
        <v>45797</v>
      </c>
      <c r="B792" s="151" t="s">
        <v>99</v>
      </c>
      <c r="C792" s="30" t="s">
        <v>259</v>
      </c>
      <c r="D792" s="190">
        <v>6</v>
      </c>
      <c r="E792" s="77">
        <v>5</v>
      </c>
      <c r="F792" s="1"/>
      <c r="G792" s="76">
        <v>0.63888888888888895</v>
      </c>
      <c r="H792" s="76">
        <v>0.70833333333333337</v>
      </c>
      <c r="I792" s="173" t="s">
        <v>1386</v>
      </c>
      <c r="J792" s="23">
        <v>4</v>
      </c>
      <c r="K792" s="68">
        <v>6.9444444444444441E-3</v>
      </c>
      <c r="L792" s="68">
        <v>0.67361111111111116</v>
      </c>
      <c r="M792" s="68">
        <v>0.75</v>
      </c>
      <c r="N792" s="173" t="s">
        <v>1296</v>
      </c>
      <c r="O792" s="23">
        <v>980</v>
      </c>
      <c r="P792" s="70">
        <v>0.63888888888888895</v>
      </c>
      <c r="Q792" s="70">
        <v>0.75</v>
      </c>
      <c r="R792" s="229" t="s">
        <v>1325</v>
      </c>
    </row>
    <row r="793" spans="1:18" x14ac:dyDescent="0.4">
      <c r="A793" s="240">
        <v>45797</v>
      </c>
      <c r="B793" s="151" t="s">
        <v>547</v>
      </c>
      <c r="C793" s="30" t="s">
        <v>205</v>
      </c>
      <c r="D793" s="190">
        <v>8</v>
      </c>
      <c r="E793" s="77">
        <v>5</v>
      </c>
      <c r="F793" s="1"/>
      <c r="G793" s="76">
        <v>0.29166666666666669</v>
      </c>
      <c r="H793" s="76">
        <v>0.40763888888888888</v>
      </c>
      <c r="I793" s="173" t="s">
        <v>1518</v>
      </c>
      <c r="J793" s="23">
        <v>4</v>
      </c>
      <c r="K793" s="68">
        <v>6.9444444444444441E-3</v>
      </c>
      <c r="L793" s="68">
        <v>0.29166666666666669</v>
      </c>
      <c r="M793" s="68">
        <v>0.44444444444444442</v>
      </c>
      <c r="N793" s="173" t="s">
        <v>1332</v>
      </c>
      <c r="O793" s="23">
        <v>1755</v>
      </c>
      <c r="P793" s="70">
        <v>0.29166666666666669</v>
      </c>
      <c r="Q793" s="70">
        <v>0.44444444444444442</v>
      </c>
      <c r="R793" s="229" t="s">
        <v>1254</v>
      </c>
    </row>
    <row r="794" spans="1:18" x14ac:dyDescent="0.4">
      <c r="A794" s="240">
        <v>45797</v>
      </c>
      <c r="B794" s="151" t="s">
        <v>1007</v>
      </c>
      <c r="C794" s="30" t="s">
        <v>212</v>
      </c>
      <c r="D794" s="190">
        <v>8</v>
      </c>
      <c r="E794" s="77">
        <v>5</v>
      </c>
      <c r="F794" s="1"/>
      <c r="G794" s="76">
        <v>0.40763888888888888</v>
      </c>
      <c r="H794" s="76">
        <v>0.5</v>
      </c>
      <c r="I794" s="173" t="s">
        <v>1582</v>
      </c>
      <c r="J794" s="23">
        <v>4</v>
      </c>
      <c r="K794" s="68">
        <v>6.9444444444444441E-3</v>
      </c>
      <c r="L794" s="68">
        <v>0.44444444444444442</v>
      </c>
      <c r="M794" s="68">
        <v>0.57638888888888895</v>
      </c>
      <c r="N794" s="173" t="s">
        <v>1313</v>
      </c>
      <c r="O794" s="23">
        <v>1225</v>
      </c>
      <c r="P794" s="70">
        <v>0.40763888888888888</v>
      </c>
      <c r="Q794" s="70">
        <v>0.57638888888888895</v>
      </c>
      <c r="R794" s="229" t="s">
        <v>1475</v>
      </c>
    </row>
    <row r="795" spans="1:18" x14ac:dyDescent="0.4">
      <c r="A795" s="240">
        <v>45797</v>
      </c>
      <c r="B795" s="151" t="s">
        <v>64</v>
      </c>
      <c r="C795" s="30" t="s">
        <v>271</v>
      </c>
      <c r="D795" s="190">
        <v>20</v>
      </c>
      <c r="E795" s="77">
        <v>5</v>
      </c>
      <c r="F795" s="1"/>
      <c r="G795" s="76">
        <v>0.54166666666666663</v>
      </c>
      <c r="H795" s="76">
        <v>0.72916666666666663</v>
      </c>
      <c r="I795" s="173" t="s">
        <v>1243</v>
      </c>
      <c r="J795" s="23">
        <v>4</v>
      </c>
      <c r="K795" s="68">
        <v>6.9444444444444441E-3</v>
      </c>
      <c r="L795" s="68">
        <v>0.57638888888888895</v>
      </c>
      <c r="M795" s="68">
        <v>0.75</v>
      </c>
      <c r="N795" s="173" t="s">
        <v>1379</v>
      </c>
      <c r="O795" s="23">
        <v>2390</v>
      </c>
      <c r="P795" s="70">
        <v>0.54166666666666663</v>
      </c>
      <c r="Q795" s="70">
        <v>0.75</v>
      </c>
      <c r="R795" s="229" t="s">
        <v>1327</v>
      </c>
    </row>
    <row r="796" spans="1:18" x14ac:dyDescent="0.4">
      <c r="A796" s="240">
        <v>45797</v>
      </c>
      <c r="B796" s="151" t="s">
        <v>65</v>
      </c>
      <c r="C796" s="30" t="s">
        <v>189</v>
      </c>
      <c r="D796" s="190">
        <v>56</v>
      </c>
      <c r="E796" s="77">
        <v>3</v>
      </c>
      <c r="F796" s="76">
        <v>4.1666666666666664E-2</v>
      </c>
      <c r="G796" s="76">
        <v>0.29166666666666669</v>
      </c>
      <c r="H796" s="76">
        <v>0.67361111111111116</v>
      </c>
      <c r="I796" s="173" t="s">
        <v>1352</v>
      </c>
      <c r="J796" s="23">
        <v>4</v>
      </c>
      <c r="K796" s="68"/>
      <c r="L796" s="68">
        <v>0.29166666666666669</v>
      </c>
      <c r="M796" s="68">
        <v>0.72916666666666663</v>
      </c>
      <c r="N796" s="173" t="s">
        <v>1247</v>
      </c>
      <c r="O796" s="23">
        <v>3930</v>
      </c>
      <c r="P796" s="70">
        <v>0.29166666666666669</v>
      </c>
      <c r="Q796" s="70">
        <v>0.72916666666666663</v>
      </c>
      <c r="R796" s="229" t="s">
        <v>1247</v>
      </c>
    </row>
    <row r="797" spans="1:18" x14ac:dyDescent="0.4">
      <c r="A797" s="240">
        <v>45798</v>
      </c>
      <c r="B797" s="151" t="s">
        <v>72</v>
      </c>
      <c r="C797" s="30" t="s">
        <v>227</v>
      </c>
      <c r="D797" s="190">
        <v>24</v>
      </c>
      <c r="E797" s="77">
        <v>5</v>
      </c>
      <c r="F797" s="1"/>
      <c r="G797" s="76">
        <v>0.43402777777777773</v>
      </c>
      <c r="H797" s="76">
        <v>0.66666666666666663</v>
      </c>
      <c r="I797" s="173" t="s">
        <v>1304</v>
      </c>
      <c r="J797" s="23">
        <v>3</v>
      </c>
      <c r="K797" s="68">
        <v>6.9444444444444441E-3</v>
      </c>
      <c r="L797" s="68">
        <v>0.42708333333333331</v>
      </c>
      <c r="M797" s="68">
        <v>0.6875</v>
      </c>
      <c r="N797" s="173" t="s">
        <v>1306</v>
      </c>
      <c r="O797" s="23">
        <v>2350</v>
      </c>
      <c r="P797" s="70">
        <v>0.42708333333333331</v>
      </c>
      <c r="Q797" s="70">
        <v>0.6875</v>
      </c>
      <c r="R797" s="229" t="s">
        <v>1401</v>
      </c>
    </row>
    <row r="798" spans="1:18" x14ac:dyDescent="0.4">
      <c r="A798" s="240">
        <v>45798</v>
      </c>
      <c r="B798" s="151" t="s">
        <v>997</v>
      </c>
      <c r="C798" s="30" t="s">
        <v>239</v>
      </c>
      <c r="D798" s="190">
        <v>16</v>
      </c>
      <c r="E798" s="77">
        <v>5</v>
      </c>
      <c r="F798" s="1"/>
      <c r="G798" s="76">
        <v>0.29166666666666669</v>
      </c>
      <c r="H798" s="76">
        <v>0.43402777777777773</v>
      </c>
      <c r="I798" s="173" t="s">
        <v>1299</v>
      </c>
      <c r="J798" s="23">
        <v>3</v>
      </c>
      <c r="K798" s="68">
        <v>6.9444444444444441E-3</v>
      </c>
      <c r="L798" s="68">
        <v>0.3263888888888889</v>
      </c>
      <c r="M798" s="68">
        <v>0.4513888888888889</v>
      </c>
      <c r="N798" s="173" t="s">
        <v>1256</v>
      </c>
      <c r="O798" s="23">
        <v>1595</v>
      </c>
      <c r="P798" s="70">
        <v>0.29166666666666669</v>
      </c>
      <c r="Q798" s="70">
        <v>0.4513888888888889</v>
      </c>
      <c r="R798" s="229" t="s">
        <v>1332</v>
      </c>
    </row>
    <row r="799" spans="1:18" x14ac:dyDescent="0.4">
      <c r="A799" s="240">
        <v>45798</v>
      </c>
      <c r="B799" s="151" t="s">
        <v>110</v>
      </c>
      <c r="C799" s="30" t="s">
        <v>231</v>
      </c>
      <c r="D799" s="190">
        <v>21</v>
      </c>
      <c r="E799" s="77">
        <v>5</v>
      </c>
      <c r="F799" s="1"/>
      <c r="G799" s="76">
        <v>0.29166666666666669</v>
      </c>
      <c r="H799" s="76">
        <v>0.6875</v>
      </c>
      <c r="I799" s="173" t="s">
        <v>990</v>
      </c>
      <c r="J799" s="23">
        <v>9</v>
      </c>
      <c r="K799" s="23"/>
      <c r="L799" s="68">
        <v>0.33333333333333331</v>
      </c>
      <c r="M799" s="68">
        <v>0.71527777777777779</v>
      </c>
      <c r="N799" s="173" t="s">
        <v>1307</v>
      </c>
      <c r="O799" s="23">
        <v>6960</v>
      </c>
      <c r="P799" s="70">
        <v>0.29166666666666669</v>
      </c>
      <c r="Q799" s="70">
        <v>0.71527777777777779</v>
      </c>
      <c r="R799" s="229" t="s">
        <v>1352</v>
      </c>
    </row>
    <row r="800" spans="1:18" x14ac:dyDescent="0.4">
      <c r="A800" s="240">
        <v>45798</v>
      </c>
      <c r="B800" s="151" t="s">
        <v>597</v>
      </c>
      <c r="C800" s="30" t="s">
        <v>283</v>
      </c>
      <c r="D800" s="190">
        <v>8</v>
      </c>
      <c r="E800" s="77">
        <v>3</v>
      </c>
      <c r="F800" s="76">
        <v>1.0416666666666666E-2</v>
      </c>
      <c r="G800" s="76">
        <v>0.29166666666666669</v>
      </c>
      <c r="H800" s="76">
        <v>0.4375</v>
      </c>
      <c r="I800" s="173" t="s">
        <v>1380</v>
      </c>
      <c r="J800" s="23">
        <v>7</v>
      </c>
      <c r="K800" s="23"/>
      <c r="L800" s="68">
        <v>0.29166666666666669</v>
      </c>
      <c r="M800" s="68">
        <v>0.44791666666666669</v>
      </c>
      <c r="N800" s="173" t="s">
        <v>1380</v>
      </c>
      <c r="O800" s="23">
        <v>2250</v>
      </c>
      <c r="P800" s="70">
        <v>0.29166666666666669</v>
      </c>
      <c r="Q800" s="70">
        <v>0.44791666666666669</v>
      </c>
      <c r="R800" s="229" t="s">
        <v>1380</v>
      </c>
    </row>
    <row r="801" spans="1:18" x14ac:dyDescent="0.4">
      <c r="A801" s="240">
        <v>45798</v>
      </c>
      <c r="B801" s="151" t="s">
        <v>471</v>
      </c>
      <c r="C801" s="30" t="s">
        <v>280</v>
      </c>
      <c r="D801" s="190">
        <v>8</v>
      </c>
      <c r="E801" s="77">
        <v>3</v>
      </c>
      <c r="F801" s="76">
        <v>1.0416666666666666E-2</v>
      </c>
      <c r="G801" s="76">
        <v>0.4375</v>
      </c>
      <c r="H801" s="76">
        <v>0.61111111111111105</v>
      </c>
      <c r="I801" s="173" t="s">
        <v>1299</v>
      </c>
      <c r="J801" s="23">
        <v>8</v>
      </c>
      <c r="K801" s="23"/>
      <c r="L801" s="68">
        <v>0.44444444444444442</v>
      </c>
      <c r="M801" s="68">
        <v>0.63541666666666663</v>
      </c>
      <c r="N801" s="173" t="s">
        <v>1355</v>
      </c>
      <c r="O801" s="23">
        <v>2335</v>
      </c>
      <c r="P801" s="70">
        <v>0.4375</v>
      </c>
      <c r="Q801" s="70">
        <v>0.63541666666666663</v>
      </c>
      <c r="R801" s="229" t="s">
        <v>1380</v>
      </c>
    </row>
    <row r="802" spans="1:18" x14ac:dyDescent="0.4">
      <c r="A802" s="240">
        <v>45799</v>
      </c>
      <c r="B802" s="151" t="s">
        <v>71</v>
      </c>
      <c r="C802" s="30" t="s">
        <v>176</v>
      </c>
      <c r="D802" s="190">
        <v>72</v>
      </c>
      <c r="E802" s="77">
        <v>6</v>
      </c>
      <c r="F802" s="1"/>
      <c r="G802" s="76">
        <v>0.29166666666666669</v>
      </c>
      <c r="H802" s="76">
        <v>0.66666666666666663</v>
      </c>
      <c r="I802" s="173" t="s">
        <v>1292</v>
      </c>
      <c r="J802" s="23">
        <v>5</v>
      </c>
      <c r="K802" s="23"/>
      <c r="L802" s="68">
        <v>0.3125</v>
      </c>
      <c r="M802" s="68">
        <v>0.70833333333333337</v>
      </c>
      <c r="N802" s="173" t="s">
        <v>990</v>
      </c>
      <c r="O802" s="23">
        <v>5430</v>
      </c>
      <c r="P802" s="70">
        <v>0.29166666666666669</v>
      </c>
      <c r="Q802" s="70">
        <v>0.70833333333333337</v>
      </c>
      <c r="R802" s="229" t="s">
        <v>1252</v>
      </c>
    </row>
    <row r="803" spans="1:18" x14ac:dyDescent="0.4">
      <c r="A803" s="240">
        <v>45799</v>
      </c>
      <c r="B803" s="151" t="s">
        <v>63</v>
      </c>
      <c r="C803" s="30" t="s">
        <v>267</v>
      </c>
      <c r="D803" s="190">
        <v>20</v>
      </c>
      <c r="E803" s="77">
        <v>5</v>
      </c>
      <c r="F803" s="1"/>
      <c r="G803" s="76">
        <v>0.4201388888888889</v>
      </c>
      <c r="H803" s="76">
        <v>0.66666666666666663</v>
      </c>
      <c r="I803" s="173" t="s">
        <v>1305</v>
      </c>
      <c r="J803" s="23">
        <v>3</v>
      </c>
      <c r="K803" s="68">
        <v>1.0416666666666666E-2</v>
      </c>
      <c r="L803" s="68">
        <v>0.44444444444444442</v>
      </c>
      <c r="M803" s="68">
        <v>0.6875</v>
      </c>
      <c r="N803" s="173" t="s">
        <v>1466</v>
      </c>
      <c r="O803" s="23">
        <v>2390</v>
      </c>
      <c r="P803" s="70">
        <v>0.4201388888888889</v>
      </c>
      <c r="Q803" s="70">
        <v>0.6875</v>
      </c>
      <c r="R803" s="229" t="s">
        <v>1306</v>
      </c>
    </row>
    <row r="804" spans="1:18" x14ac:dyDescent="0.4">
      <c r="A804" s="240">
        <v>45799</v>
      </c>
      <c r="B804" s="151" t="s">
        <v>965</v>
      </c>
      <c r="C804" s="30" t="s">
        <v>966</v>
      </c>
      <c r="D804" s="190">
        <v>16</v>
      </c>
      <c r="E804" s="77">
        <v>5</v>
      </c>
      <c r="F804" s="1"/>
      <c r="G804" s="76">
        <v>0.29166666666666669</v>
      </c>
      <c r="H804" s="76">
        <v>0.4201388888888889</v>
      </c>
      <c r="I804" s="173" t="s">
        <v>1251</v>
      </c>
      <c r="J804" s="23">
        <v>3</v>
      </c>
      <c r="K804" s="68">
        <v>1.0416666666666666E-2</v>
      </c>
      <c r="L804" s="68">
        <v>0.33333333333333331</v>
      </c>
      <c r="M804" s="68">
        <v>0.44444444444444442</v>
      </c>
      <c r="N804" s="173" t="s">
        <v>1326</v>
      </c>
      <c r="O804" s="23">
        <v>1450</v>
      </c>
      <c r="P804" s="70">
        <v>0.29166666666666669</v>
      </c>
      <c r="Q804" s="70">
        <v>0.44444444444444442</v>
      </c>
      <c r="R804" s="229" t="s">
        <v>1254</v>
      </c>
    </row>
    <row r="805" spans="1:18" x14ac:dyDescent="0.4">
      <c r="A805" s="240">
        <v>45799</v>
      </c>
      <c r="B805" s="151" t="s">
        <v>602</v>
      </c>
      <c r="C805" s="30" t="s">
        <v>324</v>
      </c>
      <c r="D805" s="190">
        <v>8</v>
      </c>
      <c r="E805" s="77">
        <v>3</v>
      </c>
      <c r="F805" s="76">
        <v>2.0833333333333332E-2</v>
      </c>
      <c r="G805" s="76">
        <v>0.58333333333333337</v>
      </c>
      <c r="H805" s="76">
        <v>0.70833333333333337</v>
      </c>
      <c r="I805" s="173" t="s">
        <v>1303</v>
      </c>
      <c r="J805" s="23">
        <v>4</v>
      </c>
      <c r="K805" s="68">
        <v>2.0833333333333332E-2</v>
      </c>
      <c r="L805" s="68">
        <v>0.625</v>
      </c>
      <c r="M805" s="68">
        <v>0.72916666666666663</v>
      </c>
      <c r="N805" s="173" t="s">
        <v>1316</v>
      </c>
      <c r="O805" s="23">
        <v>1350</v>
      </c>
      <c r="P805" s="70">
        <v>0.58333333333333337</v>
      </c>
      <c r="Q805" s="70">
        <v>0.72916666666666663</v>
      </c>
      <c r="R805" s="229" t="s">
        <v>1303</v>
      </c>
    </row>
    <row r="806" spans="1:18" x14ac:dyDescent="0.4">
      <c r="A806" s="240">
        <v>45799</v>
      </c>
      <c r="B806" s="151" t="s">
        <v>65</v>
      </c>
      <c r="C806" s="30" t="s">
        <v>189</v>
      </c>
      <c r="D806" s="190">
        <v>44</v>
      </c>
      <c r="E806" s="77">
        <v>3</v>
      </c>
      <c r="F806" s="76">
        <v>2.0833333333333332E-2</v>
      </c>
      <c r="G806" s="76">
        <v>0.29166666666666669</v>
      </c>
      <c r="H806" s="76">
        <v>0.58333333333333337</v>
      </c>
      <c r="I806" s="173" t="s">
        <v>1329</v>
      </c>
      <c r="J806" s="23">
        <v>4</v>
      </c>
      <c r="K806" s="68">
        <v>2.0833333333333332E-2</v>
      </c>
      <c r="L806" s="68">
        <v>0.33333333333333331</v>
      </c>
      <c r="M806" s="68">
        <v>0.63194444444444442</v>
      </c>
      <c r="N806" s="173" t="s">
        <v>1328</v>
      </c>
      <c r="O806" s="23">
        <v>2770</v>
      </c>
      <c r="P806" s="70">
        <v>0.29166666666666669</v>
      </c>
      <c r="Q806" s="70">
        <v>0.63194444444444442</v>
      </c>
      <c r="R806" s="229" t="s">
        <v>1403</v>
      </c>
    </row>
    <row r="807" spans="1:18" x14ac:dyDescent="0.4">
      <c r="A807" s="240">
        <v>45800</v>
      </c>
      <c r="B807" s="151" t="s">
        <v>979</v>
      </c>
      <c r="C807" s="30" t="s">
        <v>199</v>
      </c>
      <c r="D807" s="190">
        <v>36</v>
      </c>
      <c r="E807" s="77">
        <v>6</v>
      </c>
      <c r="F807" s="1"/>
      <c r="G807" s="76">
        <v>0.29166666666666669</v>
      </c>
      <c r="H807" s="76">
        <v>0.5</v>
      </c>
      <c r="I807" s="173" t="s">
        <v>1327</v>
      </c>
      <c r="J807" s="23">
        <v>5</v>
      </c>
      <c r="K807" s="23"/>
      <c r="L807" s="68">
        <v>0.3125</v>
      </c>
      <c r="M807" s="68">
        <v>0.5</v>
      </c>
      <c r="N807" s="173" t="s">
        <v>1243</v>
      </c>
      <c r="O807" s="23">
        <v>3150</v>
      </c>
      <c r="P807" s="70">
        <v>0.29166666666666669</v>
      </c>
      <c r="Q807" s="70">
        <v>0.5</v>
      </c>
      <c r="R807" s="229" t="s">
        <v>1327</v>
      </c>
    </row>
    <row r="808" spans="1:18" x14ac:dyDescent="0.4">
      <c r="A808" s="240">
        <v>45800</v>
      </c>
      <c r="B808" s="151" t="s">
        <v>456</v>
      </c>
      <c r="C808" s="30" t="s">
        <v>287</v>
      </c>
      <c r="D808" s="190">
        <v>3</v>
      </c>
      <c r="E808" s="77">
        <v>4</v>
      </c>
      <c r="F808" s="1"/>
      <c r="G808" s="76">
        <v>0.54166666666666663</v>
      </c>
      <c r="H808" s="76">
        <v>0.66666666666666663</v>
      </c>
      <c r="I808" s="173" t="s">
        <v>1316</v>
      </c>
      <c r="J808" s="23">
        <v>12</v>
      </c>
      <c r="K808" s="23"/>
      <c r="L808" s="68">
        <v>0.54166666666666663</v>
      </c>
      <c r="M808" s="68">
        <v>0.70833333333333337</v>
      </c>
      <c r="N808" s="173" t="s">
        <v>1244</v>
      </c>
      <c r="O808" s="23">
        <v>3600</v>
      </c>
      <c r="P808" s="70">
        <v>0.54166666666666663</v>
      </c>
      <c r="Q808" s="70">
        <v>0.70833333333333337</v>
      </c>
      <c r="R808" s="229" t="s">
        <v>1244</v>
      </c>
    </row>
    <row r="809" spans="1:18" x14ac:dyDescent="0.4">
      <c r="A809" s="240">
        <v>45800</v>
      </c>
      <c r="B809" s="151" t="s">
        <v>109</v>
      </c>
      <c r="C809" s="30" t="s">
        <v>263</v>
      </c>
      <c r="D809" s="190">
        <v>12</v>
      </c>
      <c r="E809" s="77">
        <v>5</v>
      </c>
      <c r="F809" s="1"/>
      <c r="G809" s="76">
        <v>0.54166666666666663</v>
      </c>
      <c r="H809" s="76">
        <v>0.66666666666666663</v>
      </c>
      <c r="I809" s="173" t="s">
        <v>1316</v>
      </c>
      <c r="J809" s="23">
        <v>3</v>
      </c>
      <c r="K809" s="68">
        <v>1.0416666666666666E-2</v>
      </c>
      <c r="L809" s="68">
        <v>0.5625</v>
      </c>
      <c r="M809" s="68">
        <v>0.6875</v>
      </c>
      <c r="N809" s="173" t="s">
        <v>1391</v>
      </c>
      <c r="O809" s="23">
        <v>1485</v>
      </c>
      <c r="P809" s="70">
        <v>0.54166666666666663</v>
      </c>
      <c r="Q809" s="70">
        <v>0.6875</v>
      </c>
      <c r="R809" s="229" t="s">
        <v>1303</v>
      </c>
    </row>
    <row r="810" spans="1:18" x14ac:dyDescent="0.4">
      <c r="A810" s="240">
        <v>45800</v>
      </c>
      <c r="B810" s="151" t="s">
        <v>54</v>
      </c>
      <c r="C810" s="30" t="s">
        <v>251</v>
      </c>
      <c r="D810" s="190">
        <v>24</v>
      </c>
      <c r="E810" s="77">
        <v>5</v>
      </c>
      <c r="F810" s="1"/>
      <c r="G810" s="76">
        <v>0.29166666666666669</v>
      </c>
      <c r="H810" s="76">
        <v>0.5</v>
      </c>
      <c r="I810" s="173" t="s">
        <v>1327</v>
      </c>
      <c r="J810" s="23">
        <v>3</v>
      </c>
      <c r="K810" s="68">
        <v>1.0416666666666666E-2</v>
      </c>
      <c r="L810" s="68">
        <v>0.33333333333333331</v>
      </c>
      <c r="M810" s="68">
        <v>0.5625</v>
      </c>
      <c r="N810" s="173" t="s">
        <v>1335</v>
      </c>
      <c r="O810" s="23">
        <v>2355</v>
      </c>
      <c r="P810" s="70">
        <v>0.29166666666666669</v>
      </c>
      <c r="Q810" s="70">
        <v>0.5625</v>
      </c>
      <c r="R810" s="229" t="s">
        <v>1320</v>
      </c>
    </row>
    <row r="811" spans="1:18" x14ac:dyDescent="0.4">
      <c r="A811" s="240">
        <v>45800</v>
      </c>
      <c r="B811" s="151" t="s">
        <v>58</v>
      </c>
      <c r="C811" s="30" t="s">
        <v>165</v>
      </c>
      <c r="D811" s="190">
        <v>20</v>
      </c>
      <c r="E811" s="77">
        <v>3</v>
      </c>
      <c r="F811" s="76">
        <v>2.0833333333333332E-2</v>
      </c>
      <c r="G811" s="76">
        <v>0.29166666666666669</v>
      </c>
      <c r="H811" s="76">
        <v>0.5</v>
      </c>
      <c r="I811" s="173" t="s">
        <v>1320</v>
      </c>
      <c r="J811" s="23">
        <v>6</v>
      </c>
      <c r="K811" s="23"/>
      <c r="L811" s="68">
        <v>0.29166666666666669</v>
      </c>
      <c r="M811" s="68">
        <v>0.50694444444444442</v>
      </c>
      <c r="N811" s="173" t="s">
        <v>1257</v>
      </c>
      <c r="O811" s="23">
        <v>2850</v>
      </c>
      <c r="P811" s="70">
        <v>0.29166666666666669</v>
      </c>
      <c r="Q811" s="70">
        <v>0.50694444444444442</v>
      </c>
      <c r="R811" s="229" t="s">
        <v>1257</v>
      </c>
    </row>
    <row r="812" spans="1:18" x14ac:dyDescent="0.4">
      <c r="A812" s="240">
        <v>45803</v>
      </c>
      <c r="B812" s="151" t="s">
        <v>51</v>
      </c>
      <c r="C812" s="30" t="s">
        <v>253</v>
      </c>
      <c r="D812" s="190">
        <v>16</v>
      </c>
      <c r="E812" s="77">
        <v>5</v>
      </c>
      <c r="F812" s="1"/>
      <c r="G812" s="76">
        <v>0.54166666666666663</v>
      </c>
      <c r="H812" s="76">
        <v>0.66666666666666663</v>
      </c>
      <c r="I812" s="173" t="s">
        <v>1316</v>
      </c>
      <c r="J812" s="23">
        <v>4</v>
      </c>
      <c r="K812" s="68">
        <v>6.9444444444444441E-3</v>
      </c>
      <c r="L812" s="68">
        <v>0.57638888888888895</v>
      </c>
      <c r="M812" s="68">
        <v>0.70833333333333337</v>
      </c>
      <c r="N812" s="173" t="s">
        <v>1250</v>
      </c>
      <c r="O812" s="23">
        <v>1700</v>
      </c>
      <c r="P812" s="70">
        <v>0.54166666666666663</v>
      </c>
      <c r="Q812" s="70">
        <v>0.70833333333333337</v>
      </c>
      <c r="R812" s="229" t="s">
        <v>1244</v>
      </c>
    </row>
    <row r="813" spans="1:18" x14ac:dyDescent="0.4">
      <c r="A813" s="240">
        <v>45803</v>
      </c>
      <c r="B813" s="151" t="s">
        <v>451</v>
      </c>
      <c r="C813" s="30" t="s">
        <v>255</v>
      </c>
      <c r="D813" s="190">
        <v>6</v>
      </c>
      <c r="E813" s="77">
        <v>5</v>
      </c>
      <c r="F813" s="1"/>
      <c r="G813" s="76">
        <v>0.29166666666666669</v>
      </c>
      <c r="H813" s="76">
        <v>0.36805555555555558</v>
      </c>
      <c r="I813" s="173" t="s">
        <v>1377</v>
      </c>
      <c r="J813" s="23">
        <v>4</v>
      </c>
      <c r="K813" s="68">
        <v>6.9444444444444441E-3</v>
      </c>
      <c r="L813" s="68">
        <v>0.33333333333333331</v>
      </c>
      <c r="M813" s="68">
        <v>0.39583333333333331</v>
      </c>
      <c r="N813" s="173" t="s">
        <v>1386</v>
      </c>
      <c r="O813" s="23">
        <v>950</v>
      </c>
      <c r="P813" s="70">
        <v>0.29166666666666669</v>
      </c>
      <c r="Q813" s="70">
        <v>0.39583333333333331</v>
      </c>
      <c r="R813" s="229" t="s">
        <v>1298</v>
      </c>
    </row>
    <row r="814" spans="1:18" x14ac:dyDescent="0.4">
      <c r="A814" s="240">
        <v>45803</v>
      </c>
      <c r="B814" s="151" t="s">
        <v>54</v>
      </c>
      <c r="C814" s="30" t="s">
        <v>251</v>
      </c>
      <c r="D814" s="190">
        <v>18</v>
      </c>
      <c r="E814" s="77">
        <v>5</v>
      </c>
      <c r="F814" s="1"/>
      <c r="G814" s="76">
        <v>0.36805555555555558</v>
      </c>
      <c r="H814" s="76">
        <v>0.5</v>
      </c>
      <c r="I814" s="173" t="s">
        <v>1256</v>
      </c>
      <c r="J814" s="23">
        <v>4</v>
      </c>
      <c r="K814" s="68">
        <v>6.9444444444444441E-3</v>
      </c>
      <c r="L814" s="68">
        <v>0.39583333333333331</v>
      </c>
      <c r="M814" s="68">
        <v>0.57638888888888895</v>
      </c>
      <c r="N814" s="173" t="s">
        <v>1303</v>
      </c>
      <c r="O814" s="23">
        <v>1790</v>
      </c>
      <c r="P814" s="70">
        <v>0.36805555555555558</v>
      </c>
      <c r="Q814" s="70">
        <v>0.57638888888888895</v>
      </c>
      <c r="R814" s="229" t="s">
        <v>1244</v>
      </c>
    </row>
    <row r="815" spans="1:18" x14ac:dyDescent="0.4">
      <c r="A815" s="240">
        <v>45803</v>
      </c>
      <c r="B815" s="151" t="s">
        <v>646</v>
      </c>
      <c r="C815" s="30" t="s">
        <v>310</v>
      </c>
      <c r="D815" s="190">
        <v>3</v>
      </c>
      <c r="E815" s="77">
        <v>5</v>
      </c>
      <c r="F815" s="1"/>
      <c r="G815" s="76">
        <v>0.29166666666666669</v>
      </c>
      <c r="H815" s="76">
        <v>0.34722222222222227</v>
      </c>
      <c r="I815" s="173" t="s">
        <v>1420</v>
      </c>
      <c r="J815" s="23">
        <v>4</v>
      </c>
      <c r="K815" s="68">
        <v>6.9444444444444441E-3</v>
      </c>
      <c r="L815" s="68">
        <v>0.33333333333333331</v>
      </c>
      <c r="M815" s="68">
        <v>0.38194444444444442</v>
      </c>
      <c r="N815" s="173" t="s">
        <v>1420</v>
      </c>
      <c r="O815" s="23">
        <v>720</v>
      </c>
      <c r="P815" s="70">
        <v>0.29166666666666669</v>
      </c>
      <c r="Q815" s="70">
        <v>0.38194444444444442</v>
      </c>
      <c r="R815" s="229" t="s">
        <v>1248</v>
      </c>
    </row>
    <row r="816" spans="1:18" x14ac:dyDescent="0.4">
      <c r="A816" s="240">
        <v>45803</v>
      </c>
      <c r="B816" s="151" t="s">
        <v>55</v>
      </c>
      <c r="C816" s="30" t="s">
        <v>208</v>
      </c>
      <c r="D816" s="190">
        <v>24</v>
      </c>
      <c r="E816" s="77">
        <v>5</v>
      </c>
      <c r="F816" s="1"/>
      <c r="G816" s="76">
        <v>0.34722222222222227</v>
      </c>
      <c r="H816" s="76">
        <v>0.59861111111111109</v>
      </c>
      <c r="I816" s="173" t="s">
        <v>1583</v>
      </c>
      <c r="J816" s="23">
        <v>4</v>
      </c>
      <c r="K816" s="68">
        <v>6.9444444444444441E-3</v>
      </c>
      <c r="L816" s="68">
        <v>0.38194444444444442</v>
      </c>
      <c r="M816" s="68">
        <v>0.64583333333333337</v>
      </c>
      <c r="N816" s="173" t="s">
        <v>1320</v>
      </c>
      <c r="O816" s="23">
        <v>2830</v>
      </c>
      <c r="P816" s="70">
        <v>0.34722222222222227</v>
      </c>
      <c r="Q816" s="70">
        <v>0.64583333333333337</v>
      </c>
      <c r="R816" s="229" t="s">
        <v>1471</v>
      </c>
    </row>
    <row r="817" spans="1:18" x14ac:dyDescent="0.4">
      <c r="A817" s="240">
        <v>45803</v>
      </c>
      <c r="B817" s="151" t="s">
        <v>117</v>
      </c>
      <c r="C817" s="30" t="s">
        <v>304</v>
      </c>
      <c r="D817" s="190">
        <v>8</v>
      </c>
      <c r="E817" s="77">
        <v>5</v>
      </c>
      <c r="F817" s="1"/>
      <c r="G817" s="76">
        <v>0.59861111111111109</v>
      </c>
      <c r="H817" s="76">
        <v>0.75</v>
      </c>
      <c r="I817" s="173" t="s">
        <v>1429</v>
      </c>
      <c r="J817" s="23">
        <v>4</v>
      </c>
      <c r="K817" s="68">
        <v>6.9444444444444441E-3</v>
      </c>
      <c r="L817" s="68">
        <v>0.64583333333333337</v>
      </c>
      <c r="M817" s="68">
        <v>0.77083333333333337</v>
      </c>
      <c r="N817" s="173" t="s">
        <v>1256</v>
      </c>
      <c r="O817" s="23">
        <v>1850</v>
      </c>
      <c r="P817" s="70">
        <v>0.59861111111111109</v>
      </c>
      <c r="Q817" s="70">
        <v>0.77083333333333337</v>
      </c>
      <c r="R817" s="229" t="s">
        <v>1433</v>
      </c>
    </row>
    <row r="818" spans="1:18" x14ac:dyDescent="0.4">
      <c r="A818" s="240">
        <v>45803</v>
      </c>
      <c r="B818" s="151" t="s">
        <v>104</v>
      </c>
      <c r="C818" s="30" t="s">
        <v>191</v>
      </c>
      <c r="D818" s="190">
        <v>72</v>
      </c>
      <c r="E818" s="77">
        <v>3</v>
      </c>
      <c r="F818" s="76">
        <v>4.1666666666666664E-2</v>
      </c>
      <c r="G818" s="76">
        <v>0.29166666666666669</v>
      </c>
      <c r="H818" s="76">
        <v>0.73958333333333337</v>
      </c>
      <c r="I818" s="173" t="s">
        <v>1584</v>
      </c>
      <c r="J818" s="23">
        <v>4</v>
      </c>
      <c r="K818" s="23"/>
      <c r="L818" s="68">
        <v>0.29166666666666669</v>
      </c>
      <c r="M818" s="68">
        <v>0.76736111111111116</v>
      </c>
      <c r="N818" s="173" t="s">
        <v>1585</v>
      </c>
      <c r="O818" s="23">
        <v>4435</v>
      </c>
      <c r="P818" s="70">
        <v>0.29166666666666669</v>
      </c>
      <c r="Q818" s="70">
        <v>0.76736111111111116</v>
      </c>
      <c r="R818" s="229" t="s">
        <v>1585</v>
      </c>
    </row>
    <row r="819" spans="1:18" x14ac:dyDescent="0.4">
      <c r="A819" s="240">
        <v>45804</v>
      </c>
      <c r="B819" s="151" t="s">
        <v>71</v>
      </c>
      <c r="C819" s="30" t="s">
        <v>176</v>
      </c>
      <c r="D819" s="190">
        <v>72</v>
      </c>
      <c r="E819" s="77">
        <v>6</v>
      </c>
      <c r="F819" s="1"/>
      <c r="G819" s="76">
        <v>0.29166666666666669</v>
      </c>
      <c r="H819" s="76">
        <v>0.6875</v>
      </c>
      <c r="I819" s="173" t="s">
        <v>990</v>
      </c>
      <c r="J819" s="23">
        <v>5</v>
      </c>
      <c r="K819" s="23"/>
      <c r="L819" s="68">
        <v>0.3125</v>
      </c>
      <c r="M819" s="68">
        <v>0.70833333333333337</v>
      </c>
      <c r="N819" s="173" t="s">
        <v>990</v>
      </c>
      <c r="O819" s="23">
        <v>5610</v>
      </c>
      <c r="P819" s="70">
        <v>0.29166666666666669</v>
      </c>
      <c r="Q819" s="70">
        <v>0.70833333333333337</v>
      </c>
      <c r="R819" s="229" t="s">
        <v>1252</v>
      </c>
    </row>
    <row r="820" spans="1:18" x14ac:dyDescent="0.4">
      <c r="A820" s="240">
        <v>45804</v>
      </c>
      <c r="B820" s="151" t="s">
        <v>77</v>
      </c>
      <c r="C820" s="30" t="s">
        <v>293</v>
      </c>
      <c r="D820" s="190">
        <v>8</v>
      </c>
      <c r="E820" s="77">
        <v>5</v>
      </c>
      <c r="F820" s="1"/>
      <c r="G820" s="76">
        <v>0.29166666666666669</v>
      </c>
      <c r="H820" s="76">
        <v>0.36458333333333331</v>
      </c>
      <c r="I820" s="173" t="s">
        <v>1246</v>
      </c>
      <c r="J820" s="23">
        <v>4</v>
      </c>
      <c r="K820" s="68">
        <v>6.9444444444444441E-3</v>
      </c>
      <c r="L820" s="68">
        <v>0.33333333333333331</v>
      </c>
      <c r="M820" s="68">
        <v>0.39583333333333331</v>
      </c>
      <c r="N820" s="173" t="s">
        <v>1386</v>
      </c>
      <c r="O820" s="23">
        <v>925</v>
      </c>
      <c r="P820" s="70">
        <v>0.29166666666666669</v>
      </c>
      <c r="Q820" s="70">
        <v>0.39583333333333331</v>
      </c>
      <c r="R820" s="229" t="s">
        <v>1298</v>
      </c>
    </row>
    <row r="821" spans="1:18" x14ac:dyDescent="0.4">
      <c r="A821" s="240">
        <v>45804</v>
      </c>
      <c r="B821" s="151" t="s">
        <v>75</v>
      </c>
      <c r="C821" s="30" t="s">
        <v>229</v>
      </c>
      <c r="D821" s="190">
        <v>12</v>
      </c>
      <c r="E821" s="77">
        <v>5</v>
      </c>
      <c r="F821" s="1"/>
      <c r="G821" s="76">
        <v>0.36458333333333331</v>
      </c>
      <c r="H821" s="76">
        <v>0.5</v>
      </c>
      <c r="I821" s="173" t="s">
        <v>1391</v>
      </c>
      <c r="J821" s="23">
        <v>3</v>
      </c>
      <c r="K821" s="68">
        <v>6.9444444444444441E-3</v>
      </c>
      <c r="L821" s="68">
        <v>0.39583333333333331</v>
      </c>
      <c r="M821" s="68">
        <v>0.5625</v>
      </c>
      <c r="N821" s="173" t="s">
        <v>1256</v>
      </c>
      <c r="O821" s="23">
        <v>1545</v>
      </c>
      <c r="P821" s="70">
        <v>0.36458333333333331</v>
      </c>
      <c r="Q821" s="70">
        <v>0.5625</v>
      </c>
      <c r="R821" s="229" t="s">
        <v>1380</v>
      </c>
    </row>
    <row r="822" spans="1:18" x14ac:dyDescent="0.4">
      <c r="A822" s="240">
        <v>45804</v>
      </c>
      <c r="B822" s="151" t="s">
        <v>64</v>
      </c>
      <c r="C822" s="30" t="s">
        <v>271</v>
      </c>
      <c r="D822" s="190">
        <v>20</v>
      </c>
      <c r="E822" s="77">
        <v>5</v>
      </c>
      <c r="F822" s="1"/>
      <c r="G822" s="76">
        <v>0.54166666666666663</v>
      </c>
      <c r="H822" s="76">
        <v>0.72916666666666663</v>
      </c>
      <c r="I822" s="173" t="s">
        <v>1243</v>
      </c>
      <c r="J822" s="23">
        <v>3</v>
      </c>
      <c r="K822" s="68">
        <v>6.9444444444444441E-3</v>
      </c>
      <c r="L822" s="68">
        <v>0.5625</v>
      </c>
      <c r="M822" s="68">
        <v>0.72916666666666663</v>
      </c>
      <c r="N822" s="173" t="s">
        <v>1311</v>
      </c>
      <c r="O822" s="23">
        <v>2100</v>
      </c>
      <c r="P822" s="70">
        <v>0.54166666666666663</v>
      </c>
      <c r="Q822" s="70">
        <v>0.72916666666666663</v>
      </c>
      <c r="R822" s="229" t="s">
        <v>1243</v>
      </c>
    </row>
    <row r="823" spans="1:18" x14ac:dyDescent="0.4">
      <c r="A823" s="240">
        <v>45804</v>
      </c>
      <c r="B823" s="151" t="s">
        <v>73</v>
      </c>
      <c r="C823" s="30" t="s">
        <v>231</v>
      </c>
      <c r="D823" s="190">
        <v>21</v>
      </c>
      <c r="E823" s="77">
        <v>4</v>
      </c>
      <c r="F823" s="76">
        <v>2.0833333333333332E-2</v>
      </c>
      <c r="G823" s="76">
        <v>0.29166666666666669</v>
      </c>
      <c r="H823" s="76">
        <v>0.68055555555555547</v>
      </c>
      <c r="I823" s="173" t="s">
        <v>1395</v>
      </c>
      <c r="J823" s="23">
        <v>9</v>
      </c>
      <c r="K823" s="23"/>
      <c r="L823" s="68">
        <v>0.33333333333333331</v>
      </c>
      <c r="M823" s="68">
        <v>0.70833333333333337</v>
      </c>
      <c r="N823" s="173" t="s">
        <v>1292</v>
      </c>
      <c r="O823" s="23">
        <v>6440</v>
      </c>
      <c r="P823" s="70">
        <v>0.29166666666666669</v>
      </c>
      <c r="Q823" s="70">
        <v>0.70833333333333337</v>
      </c>
      <c r="R823" s="229" t="s">
        <v>1252</v>
      </c>
    </row>
    <row r="824" spans="1:18" x14ac:dyDescent="0.4">
      <c r="A824" s="240">
        <v>45805</v>
      </c>
      <c r="B824" s="151" t="s">
        <v>114</v>
      </c>
      <c r="C824" s="30" t="s">
        <v>161</v>
      </c>
      <c r="D824" s="190">
        <v>15</v>
      </c>
      <c r="E824" s="77">
        <v>5</v>
      </c>
      <c r="F824" s="1"/>
      <c r="G824" s="76">
        <v>0.29166666666666669</v>
      </c>
      <c r="H824" s="76">
        <v>0.5</v>
      </c>
      <c r="I824" s="173" t="s">
        <v>1327</v>
      </c>
      <c r="J824" s="23">
        <v>9</v>
      </c>
      <c r="K824" s="68">
        <v>1.0416666666666666E-2</v>
      </c>
      <c r="L824" s="68">
        <v>0.33333333333333331</v>
      </c>
      <c r="M824" s="68">
        <v>0.54166666666666663</v>
      </c>
      <c r="N824" s="173" t="s">
        <v>1259</v>
      </c>
      <c r="O824" s="23">
        <v>3795</v>
      </c>
      <c r="P824" s="70">
        <v>0.29166666666666669</v>
      </c>
      <c r="Q824" s="70">
        <v>0.54166666666666663</v>
      </c>
      <c r="R824" s="229" t="s">
        <v>1327</v>
      </c>
    </row>
    <row r="825" spans="1:18" x14ac:dyDescent="0.4">
      <c r="A825" s="240">
        <v>45805</v>
      </c>
      <c r="B825" s="151" t="s">
        <v>91</v>
      </c>
      <c r="C825" s="30" t="s">
        <v>163</v>
      </c>
      <c r="D825" s="190">
        <v>16</v>
      </c>
      <c r="E825" s="77">
        <v>3</v>
      </c>
      <c r="F825" s="1"/>
      <c r="G825" s="76">
        <v>0.5</v>
      </c>
      <c r="H825" s="76">
        <v>0.6875</v>
      </c>
      <c r="I825" s="173" t="s">
        <v>1303</v>
      </c>
      <c r="J825" s="23">
        <v>9</v>
      </c>
      <c r="K825" s="68">
        <v>1.0416666666666666E-2</v>
      </c>
      <c r="L825" s="68">
        <v>0.58333333333333337</v>
      </c>
      <c r="M825" s="68">
        <v>0.75</v>
      </c>
      <c r="N825" s="173" t="s">
        <v>1259</v>
      </c>
      <c r="O825" s="23">
        <v>2925</v>
      </c>
      <c r="P825" s="70">
        <v>0.5</v>
      </c>
      <c r="Q825" s="70">
        <v>0.75</v>
      </c>
      <c r="R825" s="229" t="s">
        <v>1327</v>
      </c>
    </row>
    <row r="826" spans="1:18" x14ac:dyDescent="0.4">
      <c r="A826" s="240">
        <v>45805</v>
      </c>
      <c r="B826" s="151" t="s">
        <v>72</v>
      </c>
      <c r="C826" s="30" t="s">
        <v>227</v>
      </c>
      <c r="D826" s="190">
        <v>16</v>
      </c>
      <c r="E826" s="77">
        <v>5</v>
      </c>
      <c r="F826" s="1"/>
      <c r="G826" s="76">
        <v>0.29166666666666669</v>
      </c>
      <c r="H826" s="76">
        <v>0.46249999999999997</v>
      </c>
      <c r="I826" s="173" t="s">
        <v>1366</v>
      </c>
      <c r="J826" s="23">
        <v>3</v>
      </c>
      <c r="K826" s="68">
        <v>1.0416666666666666E-2</v>
      </c>
      <c r="L826" s="68">
        <v>0.33333333333333331</v>
      </c>
      <c r="M826" s="68">
        <v>0.4861111111111111</v>
      </c>
      <c r="N826" s="173" t="s">
        <v>1359</v>
      </c>
      <c r="O826" s="23">
        <v>1935</v>
      </c>
      <c r="P826" s="70">
        <v>0.29166666666666669</v>
      </c>
      <c r="Q826" s="70">
        <v>0.4861111111111111</v>
      </c>
      <c r="R826" s="229" t="s">
        <v>1255</v>
      </c>
    </row>
    <row r="827" spans="1:18" x14ac:dyDescent="0.4">
      <c r="A827" s="240">
        <v>45805</v>
      </c>
      <c r="B827" s="151" t="s">
        <v>63</v>
      </c>
      <c r="C827" s="30" t="s">
        <v>267</v>
      </c>
      <c r="D827" s="190">
        <v>24</v>
      </c>
      <c r="E827" s="77">
        <v>5</v>
      </c>
      <c r="F827" s="1"/>
      <c r="G827" s="76">
        <v>0.46249999999999997</v>
      </c>
      <c r="H827" s="76">
        <v>0.75</v>
      </c>
      <c r="I827" s="173" t="s">
        <v>1371</v>
      </c>
      <c r="J827" s="23">
        <v>3</v>
      </c>
      <c r="K827" s="68">
        <v>1.0416666666666666E-2</v>
      </c>
      <c r="L827" s="68">
        <v>0.4861111111111111</v>
      </c>
      <c r="M827" s="68">
        <v>0.75</v>
      </c>
      <c r="N827" s="173" t="s">
        <v>1354</v>
      </c>
      <c r="O827" s="23">
        <v>2775</v>
      </c>
      <c r="P827" s="70">
        <v>0.46249999999999997</v>
      </c>
      <c r="Q827" s="70">
        <v>0.75</v>
      </c>
      <c r="R827" s="229" t="s">
        <v>1371</v>
      </c>
    </row>
    <row r="828" spans="1:18" x14ac:dyDescent="0.4">
      <c r="A828" s="240">
        <v>45805</v>
      </c>
      <c r="B828" s="151" t="s">
        <v>65</v>
      </c>
      <c r="C828" s="30" t="s">
        <v>189</v>
      </c>
      <c r="D828" s="190">
        <v>72</v>
      </c>
      <c r="E828" s="77">
        <v>3</v>
      </c>
      <c r="F828" s="76">
        <v>6.25E-2</v>
      </c>
      <c r="G828" s="76">
        <v>0.29166666666666669</v>
      </c>
      <c r="H828" s="76">
        <v>0.75</v>
      </c>
      <c r="I828" s="173" t="s">
        <v>1336</v>
      </c>
      <c r="J828" s="23">
        <v>4</v>
      </c>
      <c r="K828" s="23"/>
      <c r="L828" s="68">
        <v>0.29166666666666669</v>
      </c>
      <c r="M828" s="68">
        <v>0.8125</v>
      </c>
      <c r="N828" s="173" t="s">
        <v>1336</v>
      </c>
      <c r="O828" s="23">
        <v>4830</v>
      </c>
      <c r="P828" s="70">
        <v>0.29166666666666669</v>
      </c>
      <c r="Q828" s="70">
        <v>0.8125</v>
      </c>
      <c r="R828" s="229" t="s">
        <v>1336</v>
      </c>
    </row>
    <row r="829" spans="1:18" x14ac:dyDescent="0.4">
      <c r="A829" s="240">
        <v>45806</v>
      </c>
      <c r="B829" s="151" t="s">
        <v>71</v>
      </c>
      <c r="C829" s="30" t="s">
        <v>176</v>
      </c>
      <c r="D829" s="190">
        <v>72</v>
      </c>
      <c r="E829" s="77">
        <v>6</v>
      </c>
      <c r="F829" s="1"/>
      <c r="G829" s="76">
        <v>0.29166666666666669</v>
      </c>
      <c r="H829" s="76">
        <v>0.66666666666666663</v>
      </c>
      <c r="I829" s="173" t="s">
        <v>1292</v>
      </c>
      <c r="J829" s="23">
        <v>5</v>
      </c>
      <c r="K829" s="23"/>
      <c r="L829" s="68">
        <v>0.3125</v>
      </c>
      <c r="M829" s="68">
        <v>0.70833333333333337</v>
      </c>
      <c r="N829" s="173" t="s">
        <v>990</v>
      </c>
      <c r="O829" s="23">
        <v>5430</v>
      </c>
      <c r="P829" s="70">
        <v>0.29166666666666669</v>
      </c>
      <c r="Q829" s="70">
        <v>0.70833333333333337</v>
      </c>
      <c r="R829" s="229" t="s">
        <v>1252</v>
      </c>
    </row>
    <row r="830" spans="1:18" x14ac:dyDescent="0.4">
      <c r="A830" s="240">
        <v>45806</v>
      </c>
      <c r="B830" s="151" t="s">
        <v>63</v>
      </c>
      <c r="C830" s="30" t="s">
        <v>267</v>
      </c>
      <c r="D830" s="190">
        <v>20</v>
      </c>
      <c r="E830" s="77">
        <v>5</v>
      </c>
      <c r="F830" s="1"/>
      <c r="G830" s="76">
        <v>0.54166666666666663</v>
      </c>
      <c r="H830" s="76">
        <v>0.70833333333333337</v>
      </c>
      <c r="I830" s="173" t="s">
        <v>1244</v>
      </c>
      <c r="J830" s="23">
        <v>3</v>
      </c>
      <c r="K830" s="23"/>
      <c r="L830" s="68">
        <v>0.56944444444444442</v>
      </c>
      <c r="M830" s="68">
        <v>0.70833333333333337</v>
      </c>
      <c r="N830" s="173" t="s">
        <v>1250</v>
      </c>
      <c r="O830" s="23">
        <v>1800</v>
      </c>
      <c r="P830" s="70">
        <v>0.54166666666666663</v>
      </c>
      <c r="Q830" s="70">
        <v>0.70833333333333337</v>
      </c>
      <c r="R830" s="229" t="s">
        <v>1244</v>
      </c>
    </row>
    <row r="831" spans="1:18" x14ac:dyDescent="0.4">
      <c r="A831" s="240">
        <v>45806</v>
      </c>
      <c r="B831" s="151" t="s">
        <v>984</v>
      </c>
      <c r="C831" s="30" t="s">
        <v>245</v>
      </c>
      <c r="D831" s="190">
        <v>12</v>
      </c>
      <c r="E831" s="77">
        <v>5</v>
      </c>
      <c r="F831" s="1"/>
      <c r="G831" s="76">
        <v>0.29166666666666669</v>
      </c>
      <c r="H831" s="76">
        <v>0.41597222222222219</v>
      </c>
      <c r="I831" s="173" t="s">
        <v>1573</v>
      </c>
      <c r="J831" s="23">
        <v>3</v>
      </c>
      <c r="K831" s="23"/>
      <c r="L831" s="68">
        <v>0.33333333333333331</v>
      </c>
      <c r="M831" s="68">
        <v>0.44444444444444442</v>
      </c>
      <c r="N831" s="173" t="s">
        <v>1325</v>
      </c>
      <c r="O831" s="23">
        <v>1375</v>
      </c>
      <c r="P831" s="70">
        <v>0.29166666666666669</v>
      </c>
      <c r="Q831" s="70">
        <v>0.44444444444444442</v>
      </c>
      <c r="R831" s="229" t="s">
        <v>1254</v>
      </c>
    </row>
    <row r="832" spans="1:18" x14ac:dyDescent="0.4">
      <c r="A832" s="240">
        <v>45806</v>
      </c>
      <c r="B832" s="151" t="s">
        <v>107</v>
      </c>
      <c r="C832" s="30" t="s">
        <v>314</v>
      </c>
      <c r="D832" s="190">
        <v>8</v>
      </c>
      <c r="E832" s="77">
        <v>5</v>
      </c>
      <c r="F832" s="1"/>
      <c r="G832" s="76">
        <v>0.41597222222222219</v>
      </c>
      <c r="H832" s="76">
        <v>0.5</v>
      </c>
      <c r="I832" s="173" t="s">
        <v>1440</v>
      </c>
      <c r="J832" s="23">
        <v>3</v>
      </c>
      <c r="K832" s="23"/>
      <c r="L832" s="68">
        <v>0.44444444444444442</v>
      </c>
      <c r="M832" s="68">
        <v>0.56944444444444442</v>
      </c>
      <c r="N832" s="173" t="s">
        <v>1296</v>
      </c>
      <c r="O832" s="23">
        <v>965</v>
      </c>
      <c r="P832" s="70">
        <v>0.41597222222222219</v>
      </c>
      <c r="Q832" s="70">
        <v>0.56944444444444442</v>
      </c>
      <c r="R832" s="229" t="s">
        <v>1586</v>
      </c>
    </row>
    <row r="833" spans="1:18" x14ac:dyDescent="0.4">
      <c r="A833" s="240">
        <v>45806</v>
      </c>
      <c r="B833" s="151" t="s">
        <v>65</v>
      </c>
      <c r="C833" s="30" t="s">
        <v>189</v>
      </c>
      <c r="D833" s="190">
        <v>24</v>
      </c>
      <c r="E833" s="77">
        <v>3</v>
      </c>
      <c r="F833" s="76">
        <v>2.0833333333333332E-2</v>
      </c>
      <c r="G833" s="76">
        <v>0.29166666666666669</v>
      </c>
      <c r="H833" s="76">
        <v>0.4548611111111111</v>
      </c>
      <c r="I833" s="173" t="s">
        <v>1356</v>
      </c>
      <c r="J833" s="23">
        <v>4</v>
      </c>
      <c r="K833" s="23"/>
      <c r="L833" s="68">
        <v>0.29166666666666669</v>
      </c>
      <c r="M833" s="68">
        <v>0.49305555555555558</v>
      </c>
      <c r="N833" s="173" t="s">
        <v>1258</v>
      </c>
      <c r="O833" s="23">
        <v>1955</v>
      </c>
      <c r="P833" s="70">
        <v>0.29166666666666669</v>
      </c>
      <c r="Q833" s="70">
        <v>0.49305555555555558</v>
      </c>
      <c r="R833" s="229" t="s">
        <v>1258</v>
      </c>
    </row>
    <row r="834" spans="1:18" x14ac:dyDescent="0.4">
      <c r="A834" s="240">
        <v>45806</v>
      </c>
      <c r="B834" s="151" t="s">
        <v>536</v>
      </c>
      <c r="C834" s="30" t="s">
        <v>306</v>
      </c>
      <c r="D834" s="190">
        <v>6</v>
      </c>
      <c r="E834" s="77">
        <v>3</v>
      </c>
      <c r="F834" s="76">
        <v>2.0833333333333332E-2</v>
      </c>
      <c r="G834" s="76">
        <v>0.41666666666666669</v>
      </c>
      <c r="H834" s="76">
        <v>0.64583333333333337</v>
      </c>
      <c r="I834" s="173" t="s">
        <v>1327</v>
      </c>
      <c r="J834" s="23">
        <v>8</v>
      </c>
      <c r="K834" s="23"/>
      <c r="L834" s="68">
        <v>0.54166666666666663</v>
      </c>
      <c r="M834" s="68">
        <v>0.70833333333333337</v>
      </c>
      <c r="N834" s="173" t="s">
        <v>1244</v>
      </c>
      <c r="O834" s="23">
        <v>2820</v>
      </c>
      <c r="P834" s="70">
        <v>0.41666666666666669</v>
      </c>
      <c r="Q834" s="70">
        <v>0.70833333333333337</v>
      </c>
      <c r="R834" s="229" t="s">
        <v>1321</v>
      </c>
    </row>
    <row r="835" spans="1:18" x14ac:dyDescent="0.4">
      <c r="A835" s="240">
        <v>45810</v>
      </c>
      <c r="B835" s="151" t="s">
        <v>71</v>
      </c>
      <c r="C835" s="30" t="s">
        <v>176</v>
      </c>
      <c r="D835" s="190">
        <v>72</v>
      </c>
      <c r="E835" s="77">
        <v>6</v>
      </c>
      <c r="F835" s="1"/>
      <c r="G835" s="76">
        <v>0.29166666666666669</v>
      </c>
      <c r="H835" s="76">
        <v>0.66666666666666663</v>
      </c>
      <c r="I835" s="173" t="s">
        <v>1292</v>
      </c>
      <c r="J835" s="23">
        <v>5</v>
      </c>
      <c r="K835" s="23"/>
      <c r="L835" s="68">
        <v>0.3125</v>
      </c>
      <c r="M835" s="68">
        <v>0.70833333333333337</v>
      </c>
      <c r="N835" s="173" t="s">
        <v>990</v>
      </c>
      <c r="O835" s="23">
        <v>5430</v>
      </c>
      <c r="P835" s="70">
        <v>0.29166666666666669</v>
      </c>
      <c r="Q835" s="70">
        <v>0.70833333333333337</v>
      </c>
      <c r="R835" s="229" t="s">
        <v>1252</v>
      </c>
    </row>
    <row r="836" spans="1:18" x14ac:dyDescent="0.4">
      <c r="A836" s="240">
        <v>45810</v>
      </c>
      <c r="B836" s="151" t="s">
        <v>88</v>
      </c>
      <c r="C836" s="30" t="s">
        <v>328</v>
      </c>
      <c r="D836" s="190">
        <v>16</v>
      </c>
      <c r="E836" s="77">
        <v>5</v>
      </c>
      <c r="F836" s="1"/>
      <c r="G836" s="76">
        <v>0.29166666666666669</v>
      </c>
      <c r="H836" s="76">
        <v>0.42986111111111108</v>
      </c>
      <c r="I836" s="173" t="s">
        <v>1483</v>
      </c>
      <c r="J836" s="23">
        <v>3</v>
      </c>
      <c r="K836" s="68">
        <v>1.0416666666666666E-2</v>
      </c>
      <c r="L836" s="68">
        <v>0.33333333333333331</v>
      </c>
      <c r="M836" s="68">
        <v>0.4548611111111111</v>
      </c>
      <c r="N836" s="173" t="s">
        <v>1256</v>
      </c>
      <c r="O836" s="23">
        <v>1565</v>
      </c>
      <c r="P836" s="70">
        <v>0.29166666666666669</v>
      </c>
      <c r="Q836" s="70">
        <v>0.4548611111111111</v>
      </c>
      <c r="R836" s="229" t="s">
        <v>1359</v>
      </c>
    </row>
    <row r="837" spans="1:18" x14ac:dyDescent="0.4">
      <c r="A837" s="240">
        <v>45810</v>
      </c>
      <c r="B837" s="151" t="s">
        <v>63</v>
      </c>
      <c r="C837" s="30" t="s">
        <v>267</v>
      </c>
      <c r="D837" s="190">
        <v>24</v>
      </c>
      <c r="E837" s="77">
        <v>5</v>
      </c>
      <c r="F837" s="1"/>
      <c r="G837" s="76">
        <v>0.42986111111111108</v>
      </c>
      <c r="H837" s="76">
        <v>0.70833333333333337</v>
      </c>
      <c r="I837" s="173" t="s">
        <v>1587</v>
      </c>
      <c r="J837" s="23">
        <v>3</v>
      </c>
      <c r="K837" s="68">
        <v>1.0416666666666666E-2</v>
      </c>
      <c r="L837" s="68">
        <v>0.4548611111111111</v>
      </c>
      <c r="M837" s="68">
        <v>0.70833333333333337</v>
      </c>
      <c r="N837" s="173" t="s">
        <v>1357</v>
      </c>
      <c r="O837" s="23">
        <v>2665</v>
      </c>
      <c r="P837" s="70">
        <v>0.42986111111111108</v>
      </c>
      <c r="Q837" s="70">
        <v>0.70833333333333337</v>
      </c>
      <c r="R837" s="229" t="s">
        <v>1587</v>
      </c>
    </row>
    <row r="838" spans="1:18" x14ac:dyDescent="0.4">
      <c r="A838" s="240">
        <v>45810</v>
      </c>
      <c r="B838" s="151" t="s">
        <v>96</v>
      </c>
      <c r="C838" s="30" t="s">
        <v>167</v>
      </c>
      <c r="D838" s="190">
        <v>20</v>
      </c>
      <c r="E838" s="77">
        <v>3</v>
      </c>
      <c r="F838" s="76">
        <v>6.9444444444444441E-3</v>
      </c>
      <c r="G838" s="76">
        <v>0.29166666666666669</v>
      </c>
      <c r="H838" s="76">
        <v>0.42708333333333331</v>
      </c>
      <c r="I838" s="173" t="s">
        <v>1299</v>
      </c>
      <c r="J838" s="23">
        <v>6</v>
      </c>
      <c r="K838" s="68">
        <v>1.3888888888888888E-2</v>
      </c>
      <c r="L838" s="68">
        <v>0.33333333333333331</v>
      </c>
      <c r="M838" s="68">
        <v>0.50694444444444442</v>
      </c>
      <c r="N838" s="173" t="s">
        <v>1243</v>
      </c>
      <c r="O838" s="23">
        <v>2235</v>
      </c>
      <c r="P838" s="70">
        <v>0.29166666666666669</v>
      </c>
      <c r="Q838" s="70">
        <v>0.50694444444444442</v>
      </c>
      <c r="R838" s="229" t="s">
        <v>1257</v>
      </c>
    </row>
    <row r="839" spans="1:18" x14ac:dyDescent="0.4">
      <c r="A839" s="240">
        <v>45810</v>
      </c>
      <c r="B839" s="151" t="s">
        <v>82</v>
      </c>
      <c r="C839" s="30" t="s">
        <v>171</v>
      </c>
      <c r="D839" s="190">
        <v>8</v>
      </c>
      <c r="E839" s="77">
        <v>3</v>
      </c>
      <c r="F839" s="76">
        <v>6.9444444444444441E-3</v>
      </c>
      <c r="G839" s="76">
        <v>0.42708333333333331</v>
      </c>
      <c r="H839" s="76">
        <v>0.5</v>
      </c>
      <c r="I839" s="173" t="s">
        <v>1457</v>
      </c>
      <c r="J839" s="23">
        <v>7</v>
      </c>
      <c r="K839" s="68">
        <v>1.3888888888888888E-2</v>
      </c>
      <c r="L839" s="68">
        <v>0.54166666666666663</v>
      </c>
      <c r="M839" s="68">
        <v>0.61458333333333337</v>
      </c>
      <c r="N839" s="173" t="s">
        <v>1249</v>
      </c>
      <c r="O839" s="23">
        <v>1220</v>
      </c>
      <c r="P839" s="70">
        <v>0.42708333333333331</v>
      </c>
      <c r="Q839" s="70">
        <v>0.61458333333333337</v>
      </c>
      <c r="R839" s="229" t="s">
        <v>1303</v>
      </c>
    </row>
    <row r="840" spans="1:18" x14ac:dyDescent="0.4">
      <c r="A840" s="240">
        <v>45810</v>
      </c>
      <c r="B840" s="151" t="s">
        <v>83</v>
      </c>
      <c r="C840" s="30" t="s">
        <v>169</v>
      </c>
      <c r="D840" s="190">
        <v>8</v>
      </c>
      <c r="E840" s="77">
        <v>3</v>
      </c>
      <c r="F840" s="76">
        <v>6.9444444444444441E-3</v>
      </c>
      <c r="G840" s="76">
        <v>0.54166666666666663</v>
      </c>
      <c r="H840" s="76">
        <v>0.625</v>
      </c>
      <c r="I840" s="173" t="s">
        <v>1248</v>
      </c>
      <c r="J840" s="23">
        <v>7</v>
      </c>
      <c r="K840" s="68">
        <v>1.3888888888888888E-2</v>
      </c>
      <c r="L840" s="68">
        <v>0.61111111111111105</v>
      </c>
      <c r="M840" s="68">
        <v>0.70833333333333337</v>
      </c>
      <c r="N840" s="173" t="s">
        <v>1325</v>
      </c>
      <c r="O840" s="23">
        <v>1510</v>
      </c>
      <c r="P840" s="70">
        <v>0.54166666666666663</v>
      </c>
      <c r="Q840" s="70">
        <v>0.70833333333333337</v>
      </c>
      <c r="R840" s="229" t="s">
        <v>1244</v>
      </c>
    </row>
    <row r="841" spans="1:18" x14ac:dyDescent="0.4">
      <c r="A841" s="244">
        <v>45810</v>
      </c>
      <c r="B841" s="213" t="s">
        <v>431</v>
      </c>
      <c r="C841" s="136" t="s">
        <v>436</v>
      </c>
      <c r="D841" s="214">
        <v>2</v>
      </c>
      <c r="E841" s="103"/>
      <c r="F841" s="104"/>
      <c r="G841" s="184"/>
      <c r="H841" s="184"/>
      <c r="I841" s="225" t="s">
        <v>1002</v>
      </c>
      <c r="J841" s="105"/>
      <c r="K841" s="105"/>
      <c r="L841" s="106"/>
      <c r="M841" s="106"/>
      <c r="N841" s="225" t="s">
        <v>1002</v>
      </c>
      <c r="O841" s="105">
        <v>0</v>
      </c>
      <c r="P841" s="70">
        <v>0</v>
      </c>
      <c r="Q841" s="70">
        <v>0</v>
      </c>
      <c r="R841" s="232" t="s">
        <v>1002</v>
      </c>
    </row>
    <row r="842" spans="1:18" x14ac:dyDescent="0.4">
      <c r="A842" s="241">
        <v>45811</v>
      </c>
      <c r="B842" s="151" t="s">
        <v>106</v>
      </c>
      <c r="C842" s="140" t="s">
        <v>173</v>
      </c>
      <c r="D842" s="190">
        <v>16</v>
      </c>
      <c r="E842" s="77">
        <v>5</v>
      </c>
      <c r="F842" s="1"/>
      <c r="G842" s="76">
        <v>0.52083333333333337</v>
      </c>
      <c r="H842" s="76">
        <v>0.70833333333333337</v>
      </c>
      <c r="I842" s="173" t="s">
        <v>1243</v>
      </c>
      <c r="J842" s="23">
        <v>4</v>
      </c>
      <c r="K842" s="23"/>
      <c r="L842" s="68">
        <v>0.47916666666666669</v>
      </c>
      <c r="M842" s="68">
        <v>0.75</v>
      </c>
      <c r="N842" s="173" t="s">
        <v>1320</v>
      </c>
      <c r="O842" s="23">
        <v>2670</v>
      </c>
      <c r="P842" s="70">
        <v>0.47916666666666669</v>
      </c>
      <c r="Q842" s="70">
        <v>0.75</v>
      </c>
      <c r="R842" s="229" t="s">
        <v>1320</v>
      </c>
    </row>
    <row r="843" spans="1:18" x14ac:dyDescent="0.4">
      <c r="A843" s="241">
        <v>45811</v>
      </c>
      <c r="B843" s="151" t="s">
        <v>51</v>
      </c>
      <c r="C843" s="140" t="s">
        <v>253</v>
      </c>
      <c r="D843" s="190">
        <v>16</v>
      </c>
      <c r="E843" s="77">
        <v>5</v>
      </c>
      <c r="F843" s="1"/>
      <c r="G843" s="76">
        <v>0.29166666666666669</v>
      </c>
      <c r="H843" s="76">
        <v>0.47916666666666669</v>
      </c>
      <c r="I843" s="173" t="s">
        <v>1243</v>
      </c>
      <c r="J843" s="23">
        <v>4</v>
      </c>
      <c r="K843" s="23"/>
      <c r="L843" s="68">
        <v>0.3125</v>
      </c>
      <c r="M843" s="68">
        <v>0.47916666666666669</v>
      </c>
      <c r="N843" s="173" t="s">
        <v>1244</v>
      </c>
      <c r="O843" s="23">
        <v>2310</v>
      </c>
      <c r="P843" s="70">
        <v>0.29166666666666669</v>
      </c>
      <c r="Q843" s="70">
        <v>0.47916666666666669</v>
      </c>
      <c r="R843" s="229" t="s">
        <v>1243</v>
      </c>
    </row>
    <row r="844" spans="1:18" x14ac:dyDescent="0.4">
      <c r="A844" s="241">
        <v>45811</v>
      </c>
      <c r="B844" s="151" t="s">
        <v>661</v>
      </c>
      <c r="C844" s="140" t="s">
        <v>645</v>
      </c>
      <c r="D844" s="190">
        <v>7.6133333333333333</v>
      </c>
      <c r="E844" s="77">
        <v>5</v>
      </c>
      <c r="F844" s="1"/>
      <c r="G844" s="76">
        <v>0.3833333333333333</v>
      </c>
      <c r="H844" s="76">
        <v>0.61111111111111105</v>
      </c>
      <c r="I844" s="173" t="s">
        <v>1588</v>
      </c>
      <c r="J844" s="23">
        <v>4</v>
      </c>
      <c r="K844" s="68">
        <v>6.9444444444444441E-3</v>
      </c>
      <c r="L844" s="68">
        <v>0.42708333333333331</v>
      </c>
      <c r="M844" s="68">
        <v>0.65277777777777779</v>
      </c>
      <c r="N844" s="173" t="s">
        <v>1304</v>
      </c>
      <c r="O844" s="23">
        <v>2440</v>
      </c>
      <c r="P844" s="70">
        <v>0.3833333333333333</v>
      </c>
      <c r="Q844" s="70">
        <v>0.65277777777777779</v>
      </c>
      <c r="R844" s="229" t="s">
        <v>1589</v>
      </c>
    </row>
    <row r="845" spans="1:18" x14ac:dyDescent="0.4">
      <c r="A845" s="241">
        <v>45811</v>
      </c>
      <c r="B845" s="151" t="s">
        <v>548</v>
      </c>
      <c r="C845" s="140" t="s">
        <v>218</v>
      </c>
      <c r="D845" s="190">
        <v>8</v>
      </c>
      <c r="E845" s="77">
        <v>5</v>
      </c>
      <c r="F845" s="1"/>
      <c r="G845" s="76">
        <v>0.29166666666666669</v>
      </c>
      <c r="H845" s="76">
        <v>0.3833333333333333</v>
      </c>
      <c r="I845" s="173" t="s">
        <v>1542</v>
      </c>
      <c r="J845" s="23">
        <v>3</v>
      </c>
      <c r="K845" s="68">
        <v>6.9444444444444441E-3</v>
      </c>
      <c r="L845" s="68">
        <v>0.33333333333333331</v>
      </c>
      <c r="M845" s="68">
        <v>0.42708333333333331</v>
      </c>
      <c r="N845" s="173" t="s">
        <v>1331</v>
      </c>
      <c r="O845" s="23">
        <v>1095</v>
      </c>
      <c r="P845" s="70">
        <v>0.29166666666666669</v>
      </c>
      <c r="Q845" s="70">
        <v>0.42708333333333331</v>
      </c>
      <c r="R845" s="229" t="s">
        <v>1391</v>
      </c>
    </row>
    <row r="846" spans="1:18" x14ac:dyDescent="0.4">
      <c r="A846" s="241">
        <v>45811</v>
      </c>
      <c r="B846" s="151" t="s">
        <v>63</v>
      </c>
      <c r="C846" s="140" t="s">
        <v>267</v>
      </c>
      <c r="D846" s="190">
        <v>12</v>
      </c>
      <c r="E846" s="77">
        <v>5</v>
      </c>
      <c r="F846" s="1"/>
      <c r="G846" s="76">
        <v>0.61111111111111105</v>
      </c>
      <c r="H846" s="76">
        <v>0.75</v>
      </c>
      <c r="I846" s="173" t="s">
        <v>1250</v>
      </c>
      <c r="J846" s="23">
        <v>3</v>
      </c>
      <c r="K846" s="68">
        <v>6.9444444444444441E-3</v>
      </c>
      <c r="L846" s="68">
        <v>0.65277777777777779</v>
      </c>
      <c r="M846" s="68">
        <v>0.75</v>
      </c>
      <c r="N846" s="173" t="s">
        <v>1298</v>
      </c>
      <c r="O846" s="23">
        <v>1450</v>
      </c>
      <c r="P846" s="70">
        <v>0.61111111111111105</v>
      </c>
      <c r="Q846" s="70">
        <v>0.75</v>
      </c>
      <c r="R846" s="229" t="s">
        <v>1250</v>
      </c>
    </row>
    <row r="847" spans="1:18" x14ac:dyDescent="0.4">
      <c r="A847" s="241">
        <v>45811</v>
      </c>
      <c r="B847" s="151" t="s">
        <v>97</v>
      </c>
      <c r="C847" s="140" t="s">
        <v>274</v>
      </c>
      <c r="D847" s="190">
        <v>16</v>
      </c>
      <c r="E847" s="77">
        <v>3</v>
      </c>
      <c r="F847" s="76">
        <v>4.1666666666666664E-2</v>
      </c>
      <c r="G847" s="76">
        <v>0.29166666666666669</v>
      </c>
      <c r="H847" s="76">
        <v>0.37847222222222227</v>
      </c>
      <c r="I847" s="173" t="s">
        <v>1251</v>
      </c>
      <c r="J847" s="23">
        <v>4</v>
      </c>
      <c r="K847" s="68">
        <v>2.0833333333333332E-2</v>
      </c>
      <c r="L847" s="68">
        <v>0.33333333333333331</v>
      </c>
      <c r="M847" s="68">
        <v>0.42708333333333331</v>
      </c>
      <c r="N847" s="173" t="s">
        <v>1315</v>
      </c>
      <c r="O847" s="23">
        <v>1215</v>
      </c>
      <c r="P847" s="70">
        <v>0.29166666666666669</v>
      </c>
      <c r="Q847" s="70">
        <v>0.42708333333333331</v>
      </c>
      <c r="R847" s="229" t="s">
        <v>1391</v>
      </c>
    </row>
    <row r="848" spans="1:18" x14ac:dyDescent="0.4">
      <c r="A848" s="241">
        <v>45811</v>
      </c>
      <c r="B848" s="151" t="s">
        <v>65</v>
      </c>
      <c r="C848" s="140" t="s">
        <v>189</v>
      </c>
      <c r="D848" s="190">
        <v>48</v>
      </c>
      <c r="E848" s="77">
        <v>3</v>
      </c>
      <c r="F848" s="1"/>
      <c r="G848" s="76">
        <v>0.37847222222222227</v>
      </c>
      <c r="H848" s="76">
        <v>0.71527777777777779</v>
      </c>
      <c r="I848" s="173" t="s">
        <v>1456</v>
      </c>
      <c r="J848" s="23">
        <v>4</v>
      </c>
      <c r="K848" s="68">
        <v>2.0833333333333332E-2</v>
      </c>
      <c r="L848" s="68">
        <v>0.4201388888888889</v>
      </c>
      <c r="M848" s="68">
        <v>0.76041666666666663</v>
      </c>
      <c r="N848" s="173" t="s">
        <v>1494</v>
      </c>
      <c r="O848" s="23">
        <v>3115</v>
      </c>
      <c r="P848" s="70">
        <v>0.37847222222222227</v>
      </c>
      <c r="Q848" s="70">
        <v>0.76041666666666663</v>
      </c>
      <c r="R848" s="229" t="s">
        <v>1307</v>
      </c>
    </row>
    <row r="849" spans="1:18" x14ac:dyDescent="0.4">
      <c r="A849" s="241">
        <v>45812</v>
      </c>
      <c r="B849" s="151" t="s">
        <v>128</v>
      </c>
      <c r="C849" s="140" t="s">
        <v>312</v>
      </c>
      <c r="D849" s="190">
        <v>8</v>
      </c>
      <c r="E849" s="77">
        <v>6</v>
      </c>
      <c r="F849" s="1"/>
      <c r="G849" s="76">
        <v>0.29166666666666669</v>
      </c>
      <c r="H849" s="76">
        <v>0.3666666666666667</v>
      </c>
      <c r="I849" s="173" t="s">
        <v>1521</v>
      </c>
      <c r="J849" s="23">
        <v>3</v>
      </c>
      <c r="K849" s="68">
        <v>6.9444444444444441E-3</v>
      </c>
      <c r="L849" s="68">
        <v>0.33333333333333331</v>
      </c>
      <c r="M849" s="68">
        <v>0.375</v>
      </c>
      <c r="N849" s="173" t="s">
        <v>1442</v>
      </c>
      <c r="O849" s="23">
        <v>858</v>
      </c>
      <c r="P849" s="70">
        <v>0.29166666666666669</v>
      </c>
      <c r="Q849" s="70">
        <v>0.375</v>
      </c>
      <c r="R849" s="229" t="s">
        <v>1296</v>
      </c>
    </row>
    <row r="850" spans="1:18" x14ac:dyDescent="0.4">
      <c r="A850" s="241">
        <v>45812</v>
      </c>
      <c r="B850" s="151" t="s">
        <v>63</v>
      </c>
      <c r="C850" s="140" t="s">
        <v>267</v>
      </c>
      <c r="D850" s="190">
        <v>28</v>
      </c>
      <c r="E850" s="77">
        <v>6</v>
      </c>
      <c r="F850" s="1"/>
      <c r="G850" s="76">
        <v>0.41805555555555557</v>
      </c>
      <c r="H850" s="76">
        <v>0.66666666666666663</v>
      </c>
      <c r="I850" s="173" t="s">
        <v>1319</v>
      </c>
      <c r="J850" s="23">
        <v>3</v>
      </c>
      <c r="K850" s="68">
        <v>6.9444444444444441E-3</v>
      </c>
      <c r="L850" s="68">
        <v>0.3888888888888889</v>
      </c>
      <c r="M850" s="68">
        <v>0.44444444444444442</v>
      </c>
      <c r="N850" s="173" t="s">
        <v>1375</v>
      </c>
      <c r="O850" s="23">
        <v>2058</v>
      </c>
      <c r="P850" s="70">
        <v>0.3888888888888889</v>
      </c>
      <c r="Q850" s="70">
        <v>0.66666666666666663</v>
      </c>
      <c r="R850" s="229" t="s">
        <v>1339</v>
      </c>
    </row>
    <row r="851" spans="1:18" x14ac:dyDescent="0.4">
      <c r="A851" s="241">
        <v>45812</v>
      </c>
      <c r="B851" s="151" t="s">
        <v>357</v>
      </c>
      <c r="C851" s="140" t="s">
        <v>338</v>
      </c>
      <c r="D851" s="190">
        <v>8</v>
      </c>
      <c r="E851" s="77">
        <v>6</v>
      </c>
      <c r="F851" s="1"/>
      <c r="G851" s="76">
        <v>0.3666666666666667</v>
      </c>
      <c r="H851" s="76">
        <v>0.41805555555555557</v>
      </c>
      <c r="I851" s="173" t="s">
        <v>1540</v>
      </c>
      <c r="J851" s="23">
        <v>3</v>
      </c>
      <c r="K851" s="68">
        <v>6.9444444444444441E-3</v>
      </c>
      <c r="L851" s="68">
        <v>0.44444444444444442</v>
      </c>
      <c r="M851" s="68">
        <v>0.6875</v>
      </c>
      <c r="N851" s="173" t="s">
        <v>1327</v>
      </c>
      <c r="O851" s="23">
        <v>1344</v>
      </c>
      <c r="P851" s="70">
        <v>0.3666666666666667</v>
      </c>
      <c r="Q851" s="70">
        <v>0.6875</v>
      </c>
      <c r="R851" s="229" t="s">
        <v>1590</v>
      </c>
    </row>
    <row r="852" spans="1:18" x14ac:dyDescent="0.4">
      <c r="A852" s="241">
        <v>45812</v>
      </c>
      <c r="B852" s="151" t="s">
        <v>108</v>
      </c>
      <c r="C852" s="140" t="s">
        <v>231</v>
      </c>
      <c r="D852" s="190">
        <v>21</v>
      </c>
      <c r="E852" s="77">
        <v>5</v>
      </c>
      <c r="F852" s="1"/>
      <c r="G852" s="76">
        <v>0.29166666666666669</v>
      </c>
      <c r="H852" s="76">
        <v>0.71527777777777779</v>
      </c>
      <c r="I852" s="173" t="s">
        <v>1352</v>
      </c>
      <c r="J852" s="23">
        <v>9</v>
      </c>
      <c r="K852" s="23"/>
      <c r="L852" s="68">
        <v>0.33333333333333331</v>
      </c>
      <c r="M852" s="68">
        <v>0.54166666666666663</v>
      </c>
      <c r="N852" s="173" t="s">
        <v>1244</v>
      </c>
      <c r="O852" s="23">
        <v>4910</v>
      </c>
      <c r="P852" s="70">
        <v>0.29166666666666669</v>
      </c>
      <c r="Q852" s="70">
        <v>0.71527777777777779</v>
      </c>
      <c r="R852" s="229" t="s">
        <v>1352</v>
      </c>
    </row>
    <row r="853" spans="1:18" x14ac:dyDescent="0.4">
      <c r="A853" s="241">
        <v>45812</v>
      </c>
      <c r="B853" s="151" t="s">
        <v>65</v>
      </c>
      <c r="C853" s="140" t="s">
        <v>189</v>
      </c>
      <c r="D853" s="190">
        <v>72</v>
      </c>
      <c r="E853" s="77">
        <v>3</v>
      </c>
      <c r="F853" s="76">
        <v>2.0833333333333332E-2</v>
      </c>
      <c r="G853" s="76">
        <v>0.29166666666666669</v>
      </c>
      <c r="H853" s="76">
        <v>0.75</v>
      </c>
      <c r="I853" s="173" t="s">
        <v>1369</v>
      </c>
      <c r="J853" s="23">
        <v>4</v>
      </c>
      <c r="K853" s="23"/>
      <c r="L853" s="68">
        <v>0.29166666666666669</v>
      </c>
      <c r="M853" s="68">
        <v>0.79166666666666663</v>
      </c>
      <c r="N853" s="173" t="s">
        <v>1318</v>
      </c>
      <c r="O853" s="23">
        <v>4530</v>
      </c>
      <c r="P853" s="70">
        <v>0.29166666666666669</v>
      </c>
      <c r="Q853" s="70">
        <v>0.79166666666666663</v>
      </c>
      <c r="R853" s="229" t="s">
        <v>1318</v>
      </c>
    </row>
    <row r="854" spans="1:18" x14ac:dyDescent="0.4">
      <c r="A854" s="241">
        <v>45813</v>
      </c>
      <c r="B854" s="151" t="s">
        <v>61</v>
      </c>
      <c r="C854" s="140" t="s">
        <v>156</v>
      </c>
      <c r="D854" s="190">
        <v>40</v>
      </c>
      <c r="E854" s="77">
        <v>5</v>
      </c>
      <c r="F854" s="1"/>
      <c r="G854" s="76">
        <v>0.29166666666666669</v>
      </c>
      <c r="H854" s="76">
        <v>0.70833333333333337</v>
      </c>
      <c r="I854" s="173" t="s">
        <v>1252</v>
      </c>
      <c r="J854" s="23">
        <v>10</v>
      </c>
      <c r="K854" s="23"/>
      <c r="L854" s="68">
        <v>0.3125</v>
      </c>
      <c r="M854" s="68">
        <v>0.70833333333333337</v>
      </c>
      <c r="N854" s="173" t="s">
        <v>990</v>
      </c>
      <c r="O854" s="23">
        <v>7800</v>
      </c>
      <c r="P854" s="70">
        <v>0.29166666666666669</v>
      </c>
      <c r="Q854" s="70">
        <v>0.70833333333333337</v>
      </c>
      <c r="R854" s="229" t="s">
        <v>1252</v>
      </c>
    </row>
    <row r="855" spans="1:18" x14ac:dyDescent="0.4">
      <c r="A855" s="241">
        <v>45813</v>
      </c>
      <c r="B855" s="151" t="s">
        <v>81</v>
      </c>
      <c r="C855" s="140" t="s">
        <v>235</v>
      </c>
      <c r="D855" s="190">
        <v>20</v>
      </c>
      <c r="E855" s="77">
        <v>5</v>
      </c>
      <c r="F855" s="1"/>
      <c r="G855" s="76">
        <v>0.29166666666666669</v>
      </c>
      <c r="H855" s="76">
        <v>0.45</v>
      </c>
      <c r="I855" s="173" t="s">
        <v>1511</v>
      </c>
      <c r="J855" s="23">
        <v>3</v>
      </c>
      <c r="K855" s="68">
        <v>1.0416666666666666E-2</v>
      </c>
      <c r="L855" s="68">
        <v>0.33333333333333331</v>
      </c>
      <c r="M855" s="68">
        <v>0.47916666666666669</v>
      </c>
      <c r="N855" s="173" t="s">
        <v>1380</v>
      </c>
      <c r="O855" s="23">
        <v>1815</v>
      </c>
      <c r="P855" s="70">
        <v>0.29166666666666669</v>
      </c>
      <c r="Q855" s="70">
        <v>0.47916666666666669</v>
      </c>
      <c r="R855" s="229" t="s">
        <v>1243</v>
      </c>
    </row>
    <row r="856" spans="1:18" x14ac:dyDescent="0.4">
      <c r="A856" s="241">
        <v>45813</v>
      </c>
      <c r="B856" s="151" t="s">
        <v>64</v>
      </c>
      <c r="C856" s="140" t="s">
        <v>271</v>
      </c>
      <c r="D856" s="190">
        <v>20</v>
      </c>
      <c r="E856" s="77">
        <v>5</v>
      </c>
      <c r="F856" s="1"/>
      <c r="G856" s="76">
        <v>0.45</v>
      </c>
      <c r="H856" s="76">
        <v>0.70833333333333337</v>
      </c>
      <c r="I856" s="173" t="s">
        <v>1591</v>
      </c>
      <c r="J856" s="23">
        <v>3</v>
      </c>
      <c r="K856" s="68">
        <v>1.0416666666666666E-2</v>
      </c>
      <c r="L856" s="68">
        <v>0.47916666666666669</v>
      </c>
      <c r="M856" s="68">
        <v>0.70833333333333337</v>
      </c>
      <c r="N856" s="173" t="s">
        <v>1335</v>
      </c>
      <c r="O856" s="23">
        <v>2415</v>
      </c>
      <c r="P856" s="70">
        <v>0.45</v>
      </c>
      <c r="Q856" s="70">
        <v>0.70833333333333337</v>
      </c>
      <c r="R856" s="229" t="s">
        <v>1591</v>
      </c>
    </row>
    <row r="857" spans="1:18" x14ac:dyDescent="0.4">
      <c r="A857" s="241">
        <v>45813</v>
      </c>
      <c r="B857" s="151" t="s">
        <v>104</v>
      </c>
      <c r="C857" s="140" t="s">
        <v>191</v>
      </c>
      <c r="D857" s="190">
        <v>72</v>
      </c>
      <c r="E857" s="77">
        <v>3</v>
      </c>
      <c r="F857" s="76">
        <v>6.25E-2</v>
      </c>
      <c r="G857" s="76">
        <v>0.29166666666666669</v>
      </c>
      <c r="H857" s="76">
        <v>0.67361111111111116</v>
      </c>
      <c r="I857" s="173" t="s">
        <v>1350</v>
      </c>
      <c r="J857" s="23">
        <v>4</v>
      </c>
      <c r="K857" s="23"/>
      <c r="L857" s="68">
        <v>0.29166666666666669</v>
      </c>
      <c r="M857" s="68">
        <v>0.72916666666666663</v>
      </c>
      <c r="N857" s="173" t="s">
        <v>1247</v>
      </c>
      <c r="O857" s="23">
        <v>4020</v>
      </c>
      <c r="P857" s="70">
        <v>0.29166666666666669</v>
      </c>
      <c r="Q857" s="70">
        <v>0.72916666666666663</v>
      </c>
      <c r="R857" s="229" t="s">
        <v>1247</v>
      </c>
    </row>
    <row r="858" spans="1:18" x14ac:dyDescent="0.4">
      <c r="A858" s="241">
        <v>45814</v>
      </c>
      <c r="B858" s="151" t="s">
        <v>54</v>
      </c>
      <c r="C858" s="140" t="s">
        <v>251</v>
      </c>
      <c r="D858" s="190">
        <v>24</v>
      </c>
      <c r="E858" s="77">
        <v>6</v>
      </c>
      <c r="F858" s="1"/>
      <c r="G858" s="76">
        <v>0.29166666666666669</v>
      </c>
      <c r="H858" s="76">
        <v>0.5</v>
      </c>
      <c r="I858" s="173" t="s">
        <v>1327</v>
      </c>
      <c r="J858" s="23">
        <v>3</v>
      </c>
      <c r="K858" s="68">
        <v>6.9444444444444441E-3</v>
      </c>
      <c r="L858" s="68">
        <v>0.33333333333333331</v>
      </c>
      <c r="M858" s="68">
        <v>0.4861111111111111</v>
      </c>
      <c r="N858" s="173" t="s">
        <v>1332</v>
      </c>
      <c r="O858" s="23">
        <v>2490</v>
      </c>
      <c r="P858" s="70">
        <v>0.29166666666666669</v>
      </c>
      <c r="Q858" s="70">
        <v>0.5</v>
      </c>
      <c r="R858" s="229" t="s">
        <v>1327</v>
      </c>
    </row>
    <row r="859" spans="1:18" x14ac:dyDescent="0.4">
      <c r="A859" s="241">
        <v>45814</v>
      </c>
      <c r="B859" s="151" t="s">
        <v>1045</v>
      </c>
      <c r="C859" s="140" t="s">
        <v>1056</v>
      </c>
      <c r="D859" s="190">
        <v>8</v>
      </c>
      <c r="E859" s="77">
        <v>6</v>
      </c>
      <c r="F859" s="1"/>
      <c r="G859" s="76">
        <v>0.51736111111111105</v>
      </c>
      <c r="H859" s="76">
        <v>0.57638888888888895</v>
      </c>
      <c r="I859" s="173" t="s">
        <v>1534</v>
      </c>
      <c r="J859" s="23">
        <v>3</v>
      </c>
      <c r="K859" s="68">
        <v>6.9444444444444441E-3</v>
      </c>
      <c r="L859" s="68">
        <v>0.4861111111111111</v>
      </c>
      <c r="M859" s="68">
        <v>0.60416666666666663</v>
      </c>
      <c r="N859" s="173" t="s">
        <v>1296</v>
      </c>
      <c r="O859" s="23">
        <v>870</v>
      </c>
      <c r="P859" s="70">
        <v>0.4861111111111111</v>
      </c>
      <c r="Q859" s="70">
        <v>0.60416666666666663</v>
      </c>
      <c r="R859" s="229" t="s">
        <v>1377</v>
      </c>
    </row>
    <row r="860" spans="1:18" x14ac:dyDescent="0.4">
      <c r="A860" s="241">
        <v>45814</v>
      </c>
      <c r="B860" s="151" t="s">
        <v>1046</v>
      </c>
      <c r="C860" s="140" t="s">
        <v>1057</v>
      </c>
      <c r="D860" s="190">
        <v>8</v>
      </c>
      <c r="E860" s="77">
        <v>6</v>
      </c>
      <c r="F860" s="1"/>
      <c r="G860" s="76">
        <v>0.57638888888888895</v>
      </c>
      <c r="H860" s="76">
        <v>0.66666666666666663</v>
      </c>
      <c r="I860" s="173" t="s">
        <v>1248</v>
      </c>
      <c r="J860" s="23">
        <v>3</v>
      </c>
      <c r="K860" s="68">
        <v>6.9444444444444441E-3</v>
      </c>
      <c r="L860" s="68">
        <v>0.60416666666666663</v>
      </c>
      <c r="M860" s="68">
        <v>0.6875</v>
      </c>
      <c r="N860" s="173" t="s">
        <v>1248</v>
      </c>
      <c r="O860" s="23">
        <v>1170</v>
      </c>
      <c r="P860" s="70">
        <v>0.57638888888888895</v>
      </c>
      <c r="Q860" s="70">
        <v>0.6875</v>
      </c>
      <c r="R860" s="229" t="s">
        <v>1325</v>
      </c>
    </row>
    <row r="861" spans="1:18" x14ac:dyDescent="0.4">
      <c r="A861" s="241">
        <v>45814</v>
      </c>
      <c r="B861" s="151" t="s">
        <v>110</v>
      </c>
      <c r="C861" s="140" t="s">
        <v>231</v>
      </c>
      <c r="D861" s="190">
        <v>21</v>
      </c>
      <c r="E861" s="77">
        <v>5</v>
      </c>
      <c r="F861" s="1"/>
      <c r="G861" s="76">
        <v>0.29166666666666669</v>
      </c>
      <c r="H861" s="76">
        <v>0.6875</v>
      </c>
      <c r="I861" s="173" t="s">
        <v>990</v>
      </c>
      <c r="J861" s="23">
        <v>10</v>
      </c>
      <c r="K861" s="23"/>
      <c r="L861" s="68">
        <v>0.33333333333333331</v>
      </c>
      <c r="M861" s="68">
        <v>0.70833333333333337</v>
      </c>
      <c r="N861" s="173" t="s">
        <v>1292</v>
      </c>
      <c r="O861" s="23">
        <v>7350</v>
      </c>
      <c r="P861" s="70">
        <v>0.29166666666666669</v>
      </c>
      <c r="Q861" s="70">
        <v>0.70833333333333337</v>
      </c>
      <c r="R861" s="229" t="s">
        <v>1252</v>
      </c>
    </row>
    <row r="862" spans="1:18" x14ac:dyDescent="0.4">
      <c r="A862" s="241">
        <v>45814</v>
      </c>
      <c r="B862" s="151" t="s">
        <v>65</v>
      </c>
      <c r="C862" s="140" t="s">
        <v>189</v>
      </c>
      <c r="D862" s="190">
        <v>32</v>
      </c>
      <c r="E862" s="77">
        <v>3</v>
      </c>
      <c r="F862" s="76">
        <v>1.0416666666666666E-2</v>
      </c>
      <c r="G862" s="76">
        <v>0.29166666666666669</v>
      </c>
      <c r="H862" s="76">
        <v>0.4513888888888889</v>
      </c>
      <c r="I862" s="173" t="s">
        <v>1365</v>
      </c>
      <c r="J862" s="23">
        <v>4</v>
      </c>
      <c r="K862" s="68">
        <v>2.0833333333333332E-2</v>
      </c>
      <c r="L862" s="68">
        <v>0.33333333333333331</v>
      </c>
      <c r="M862" s="68">
        <v>0.56944444444444442</v>
      </c>
      <c r="N862" s="173" t="s">
        <v>1257</v>
      </c>
      <c r="O862" s="23">
        <v>1975</v>
      </c>
      <c r="P862" s="70">
        <v>0.29166666666666669</v>
      </c>
      <c r="Q862" s="70">
        <v>0.56944444444444442</v>
      </c>
      <c r="R862" s="229" t="s">
        <v>1339</v>
      </c>
    </row>
    <row r="863" spans="1:18" x14ac:dyDescent="0.4">
      <c r="A863" s="241">
        <v>45814</v>
      </c>
      <c r="B863" s="151" t="s">
        <v>66</v>
      </c>
      <c r="C863" s="140" t="s">
        <v>195</v>
      </c>
      <c r="D863" s="190">
        <v>20</v>
      </c>
      <c r="E863" s="77">
        <v>3</v>
      </c>
      <c r="F863" s="76">
        <v>1.0416666666666666E-2</v>
      </c>
      <c r="G863" s="76">
        <v>0.4513888888888889</v>
      </c>
      <c r="H863" s="76">
        <v>0.66666666666666663</v>
      </c>
      <c r="I863" s="173" t="s">
        <v>1356</v>
      </c>
      <c r="J863" s="23">
        <v>4</v>
      </c>
      <c r="K863" s="68">
        <v>2.0833333333333332E-2</v>
      </c>
      <c r="L863" s="68">
        <v>0.56944444444444442</v>
      </c>
      <c r="M863" s="68">
        <v>0.71180555555555547</v>
      </c>
      <c r="N863" s="173" t="s">
        <v>1359</v>
      </c>
      <c r="O863" s="23">
        <v>1735</v>
      </c>
      <c r="P863" s="70">
        <v>0.4513888888888889</v>
      </c>
      <c r="Q863" s="70">
        <v>0.71180555555555547</v>
      </c>
      <c r="R863" s="229" t="s">
        <v>1401</v>
      </c>
    </row>
    <row r="864" spans="1:18" x14ac:dyDescent="0.4">
      <c r="A864" s="240">
        <v>45817</v>
      </c>
      <c r="B864" s="151" t="s">
        <v>80</v>
      </c>
      <c r="C864" s="30" t="s">
        <v>203</v>
      </c>
      <c r="D864" s="190">
        <v>72</v>
      </c>
      <c r="E864" s="77">
        <v>6</v>
      </c>
      <c r="F864" s="1"/>
      <c r="G864" s="76">
        <v>0.29166666666666669</v>
      </c>
      <c r="H864" s="76">
        <v>0.6875</v>
      </c>
      <c r="I864" s="173" t="s">
        <v>990</v>
      </c>
      <c r="J864" s="23">
        <v>5</v>
      </c>
      <c r="K864" s="23"/>
      <c r="L864" s="68">
        <v>0.3125</v>
      </c>
      <c r="M864" s="68">
        <v>0.70833333333333337</v>
      </c>
      <c r="N864" s="173" t="s">
        <v>990</v>
      </c>
      <c r="O864" s="23">
        <v>5610</v>
      </c>
      <c r="P864" s="70">
        <v>0.29166666666666669</v>
      </c>
      <c r="Q864" s="70">
        <v>0.70833333333333337</v>
      </c>
      <c r="R864" s="229" t="s">
        <v>1252</v>
      </c>
    </row>
    <row r="865" spans="1:18" x14ac:dyDescent="0.4">
      <c r="A865" s="240">
        <v>45817</v>
      </c>
      <c r="B865" s="151" t="s">
        <v>63</v>
      </c>
      <c r="C865" s="30" t="s">
        <v>267</v>
      </c>
      <c r="D865" s="190">
        <v>20</v>
      </c>
      <c r="E865" s="77">
        <v>5</v>
      </c>
      <c r="F865" s="1"/>
      <c r="G865" s="76">
        <v>0.46249999999999997</v>
      </c>
      <c r="H865" s="76">
        <v>0.6875</v>
      </c>
      <c r="I865" s="173" t="s">
        <v>1367</v>
      </c>
      <c r="J865" s="23">
        <v>3</v>
      </c>
      <c r="K865" s="68">
        <v>1.0416666666666666E-2</v>
      </c>
      <c r="L865" s="68">
        <v>0.33333333333333331</v>
      </c>
      <c r="M865" s="68">
        <v>0.49305555555555558</v>
      </c>
      <c r="N865" s="173" t="s">
        <v>1365</v>
      </c>
      <c r="O865" s="23">
        <v>2055</v>
      </c>
      <c r="P865" s="70">
        <v>0.33333333333333331</v>
      </c>
      <c r="Q865" s="70">
        <v>0.6875</v>
      </c>
      <c r="R865" s="229" t="s">
        <v>1309</v>
      </c>
    </row>
    <row r="866" spans="1:18" x14ac:dyDescent="0.4">
      <c r="A866" s="240">
        <v>45817</v>
      </c>
      <c r="B866" s="151" t="s">
        <v>72</v>
      </c>
      <c r="C866" s="30" t="s">
        <v>227</v>
      </c>
      <c r="D866" s="190">
        <v>20</v>
      </c>
      <c r="E866" s="77">
        <v>5</v>
      </c>
      <c r="F866" s="1"/>
      <c r="G866" s="76">
        <v>0.29166666666666669</v>
      </c>
      <c r="H866" s="76">
        <v>0.46249999999999997</v>
      </c>
      <c r="I866" s="173" t="s">
        <v>1366</v>
      </c>
      <c r="J866" s="23">
        <v>3</v>
      </c>
      <c r="K866" s="68">
        <v>1.0416666666666666E-2</v>
      </c>
      <c r="L866" s="68">
        <v>0.49305555555555558</v>
      </c>
      <c r="M866" s="68">
        <v>0.70833333333333337</v>
      </c>
      <c r="N866" s="173" t="s">
        <v>1356</v>
      </c>
      <c r="O866" s="23">
        <v>2025</v>
      </c>
      <c r="P866" s="70">
        <v>0.29166666666666669</v>
      </c>
      <c r="Q866" s="70">
        <v>0.70833333333333337</v>
      </c>
      <c r="R866" s="229" t="s">
        <v>1252</v>
      </c>
    </row>
    <row r="867" spans="1:18" x14ac:dyDescent="0.4">
      <c r="A867" s="240">
        <v>45817</v>
      </c>
      <c r="B867" s="151" t="s">
        <v>131</v>
      </c>
      <c r="C867" s="30" t="s">
        <v>274</v>
      </c>
      <c r="D867" s="190">
        <v>24</v>
      </c>
      <c r="E867" s="77">
        <v>3</v>
      </c>
      <c r="F867" s="76">
        <v>2.0833333333333332E-2</v>
      </c>
      <c r="G867" s="76">
        <v>0.43055555555555558</v>
      </c>
      <c r="H867" s="76">
        <v>0.625</v>
      </c>
      <c r="I867" s="173" t="s">
        <v>1311</v>
      </c>
      <c r="J867" s="23">
        <v>4</v>
      </c>
      <c r="K867" s="23"/>
      <c r="L867" s="68">
        <v>0.47569444444444442</v>
      </c>
      <c r="M867" s="68">
        <v>0.66666666666666663</v>
      </c>
      <c r="N867" s="173" t="s">
        <v>1355</v>
      </c>
      <c r="O867" s="23">
        <v>1610</v>
      </c>
      <c r="P867" s="70">
        <v>0.43055555555555558</v>
      </c>
      <c r="Q867" s="70">
        <v>0.66666666666666663</v>
      </c>
      <c r="R867" s="229" t="s">
        <v>1255</v>
      </c>
    </row>
    <row r="868" spans="1:18" x14ac:dyDescent="0.4">
      <c r="A868" s="240">
        <v>45817</v>
      </c>
      <c r="B868" s="151" t="s">
        <v>123</v>
      </c>
      <c r="C868" s="30" t="s">
        <v>277</v>
      </c>
      <c r="D868" s="190">
        <v>24</v>
      </c>
      <c r="E868" s="77">
        <v>3</v>
      </c>
      <c r="F868" s="76">
        <v>2.0833333333333332E-2</v>
      </c>
      <c r="G868" s="76">
        <v>0.29166666666666669</v>
      </c>
      <c r="H868" s="76">
        <v>0.43055555555555558</v>
      </c>
      <c r="I868" s="173" t="s">
        <v>1332</v>
      </c>
      <c r="J868" s="23">
        <v>4</v>
      </c>
      <c r="K868" s="23"/>
      <c r="L868" s="68">
        <v>0.29166666666666669</v>
      </c>
      <c r="M868" s="68">
        <v>0.47569444444444442</v>
      </c>
      <c r="N868" s="173" t="s">
        <v>1356</v>
      </c>
      <c r="O868" s="23">
        <v>1750</v>
      </c>
      <c r="P868" s="70">
        <v>0.29166666666666669</v>
      </c>
      <c r="Q868" s="70">
        <v>0.47569444444444442</v>
      </c>
      <c r="R868" s="229" t="s">
        <v>1356</v>
      </c>
    </row>
    <row r="869" spans="1:18" x14ac:dyDescent="0.4">
      <c r="A869" s="244">
        <v>45817</v>
      </c>
      <c r="B869" s="213" t="s">
        <v>431</v>
      </c>
      <c r="C869" s="136" t="s">
        <v>436</v>
      </c>
      <c r="D869" s="214">
        <v>2</v>
      </c>
      <c r="E869" s="103"/>
      <c r="F869" s="104"/>
      <c r="G869" s="184"/>
      <c r="H869" s="184"/>
      <c r="I869" s="225" t="s">
        <v>1002</v>
      </c>
      <c r="J869" s="105"/>
      <c r="K869" s="105"/>
      <c r="L869" s="106"/>
      <c r="M869" s="106"/>
      <c r="N869" s="225" t="s">
        <v>1002</v>
      </c>
      <c r="O869" s="105">
        <v>0</v>
      </c>
      <c r="P869" s="70">
        <v>0</v>
      </c>
      <c r="Q869" s="70">
        <v>0</v>
      </c>
      <c r="R869" s="232" t="s">
        <v>1002</v>
      </c>
    </row>
    <row r="870" spans="1:18" x14ac:dyDescent="0.4">
      <c r="A870" s="240">
        <v>45818</v>
      </c>
      <c r="B870" s="151" t="s">
        <v>63</v>
      </c>
      <c r="C870" s="30" t="s">
        <v>267</v>
      </c>
      <c r="D870" s="190">
        <v>16</v>
      </c>
      <c r="E870" s="77">
        <v>5</v>
      </c>
      <c r="F870" s="1"/>
      <c r="G870" s="76">
        <v>0.54166666666666663</v>
      </c>
      <c r="H870" s="76">
        <v>0.66666666666666663</v>
      </c>
      <c r="I870" s="173" t="s">
        <v>1316</v>
      </c>
      <c r="J870" s="23">
        <v>4</v>
      </c>
      <c r="K870" s="68">
        <v>1.0416666666666666E-2</v>
      </c>
      <c r="L870" s="68">
        <v>0.5625</v>
      </c>
      <c r="M870" s="68">
        <v>0.6875</v>
      </c>
      <c r="N870" s="173" t="s">
        <v>1391</v>
      </c>
      <c r="O870" s="23">
        <v>1680</v>
      </c>
      <c r="P870" s="70">
        <v>0.54166666666666663</v>
      </c>
      <c r="Q870" s="70">
        <v>0.6875</v>
      </c>
      <c r="R870" s="229" t="s">
        <v>1303</v>
      </c>
    </row>
    <row r="871" spans="1:18" x14ac:dyDescent="0.4">
      <c r="A871" s="240">
        <v>45818</v>
      </c>
      <c r="B871" s="151" t="s">
        <v>64</v>
      </c>
      <c r="C871" s="30" t="s">
        <v>271</v>
      </c>
      <c r="D871" s="190">
        <v>20</v>
      </c>
      <c r="E871" s="77">
        <v>5</v>
      </c>
      <c r="F871" s="1"/>
      <c r="G871" s="76">
        <v>0.29166666666666669</v>
      </c>
      <c r="H871" s="76">
        <v>0.5</v>
      </c>
      <c r="I871" s="173" t="s">
        <v>1327</v>
      </c>
      <c r="J871" s="23">
        <v>4</v>
      </c>
      <c r="K871" s="68">
        <v>1.0416666666666666E-2</v>
      </c>
      <c r="L871" s="68">
        <v>0.33333333333333331</v>
      </c>
      <c r="M871" s="68">
        <v>0.5625</v>
      </c>
      <c r="N871" s="173" t="s">
        <v>1335</v>
      </c>
      <c r="O871" s="23">
        <v>2640</v>
      </c>
      <c r="P871" s="70">
        <v>0.29166666666666669</v>
      </c>
      <c r="Q871" s="70">
        <v>0.5625</v>
      </c>
      <c r="R871" s="229" t="s">
        <v>1320</v>
      </c>
    </row>
    <row r="872" spans="1:18" x14ac:dyDescent="0.4">
      <c r="A872" s="240">
        <v>45818</v>
      </c>
      <c r="B872" s="151" t="s">
        <v>73</v>
      </c>
      <c r="C872" s="30" t="s">
        <v>231</v>
      </c>
      <c r="D872" s="190">
        <v>21</v>
      </c>
      <c r="E872" s="77">
        <v>5</v>
      </c>
      <c r="F872" s="1"/>
      <c r="G872" s="76">
        <v>0.29166666666666669</v>
      </c>
      <c r="H872" s="76">
        <v>0.68055555555555547</v>
      </c>
      <c r="I872" s="173" t="s">
        <v>1465</v>
      </c>
      <c r="J872" s="23">
        <v>7</v>
      </c>
      <c r="K872" s="68"/>
      <c r="L872" s="68">
        <v>0.33333333333333331</v>
      </c>
      <c r="M872" s="68">
        <v>0.70833333333333337</v>
      </c>
      <c r="N872" s="173" t="s">
        <v>1292</v>
      </c>
      <c r="O872" s="23">
        <v>5860</v>
      </c>
      <c r="P872" s="70">
        <v>0.29166666666666669</v>
      </c>
      <c r="Q872" s="70">
        <v>0.70833333333333337</v>
      </c>
      <c r="R872" s="229" t="s">
        <v>1252</v>
      </c>
    </row>
    <row r="873" spans="1:18" x14ac:dyDescent="0.4">
      <c r="A873" s="240">
        <v>45818</v>
      </c>
      <c r="B873" s="151" t="s">
        <v>65</v>
      </c>
      <c r="C873" s="30" t="s">
        <v>189</v>
      </c>
      <c r="D873" s="190">
        <v>72</v>
      </c>
      <c r="E873" s="77">
        <v>3</v>
      </c>
      <c r="F873" s="76">
        <v>6.25E-2</v>
      </c>
      <c r="G873" s="76">
        <v>0.29166666666666669</v>
      </c>
      <c r="H873" s="76">
        <v>0.72222222222222221</v>
      </c>
      <c r="I873" s="173" t="s">
        <v>1592</v>
      </c>
      <c r="J873" s="23">
        <v>5</v>
      </c>
      <c r="K873" s="23"/>
      <c r="L873" s="68">
        <v>0.29166666666666669</v>
      </c>
      <c r="M873" s="68">
        <v>0.77083333333333337</v>
      </c>
      <c r="N873" s="173" t="s">
        <v>1369</v>
      </c>
      <c r="O873" s="23">
        <v>5100</v>
      </c>
      <c r="P873" s="70">
        <v>0.29166666666666669</v>
      </c>
      <c r="Q873" s="70">
        <v>0.77083333333333337</v>
      </c>
      <c r="R873" s="229" t="s">
        <v>1369</v>
      </c>
    </row>
    <row r="874" spans="1:18" x14ac:dyDescent="0.4">
      <c r="A874" s="240">
        <v>45819</v>
      </c>
      <c r="B874" s="151" t="s">
        <v>68</v>
      </c>
      <c r="C874" s="30" t="s">
        <v>185</v>
      </c>
      <c r="D874" s="190">
        <v>20</v>
      </c>
      <c r="E874" s="77">
        <v>6</v>
      </c>
      <c r="F874" s="1"/>
      <c r="G874" s="76">
        <v>0.29166666666666669</v>
      </c>
      <c r="H874" s="76">
        <v>0.41597222222222219</v>
      </c>
      <c r="I874" s="173" t="s">
        <v>1573</v>
      </c>
      <c r="J874" s="23">
        <v>6</v>
      </c>
      <c r="K874" s="23"/>
      <c r="L874" s="68">
        <v>0.3125</v>
      </c>
      <c r="M874" s="68">
        <v>0.47916666666666669</v>
      </c>
      <c r="N874" s="173" t="s">
        <v>1244</v>
      </c>
      <c r="O874" s="23">
        <v>2514</v>
      </c>
      <c r="P874" s="70">
        <v>0.29166666666666669</v>
      </c>
      <c r="Q874" s="70">
        <v>0.47916666666666669</v>
      </c>
      <c r="R874" s="229" t="s">
        <v>1243</v>
      </c>
    </row>
    <row r="875" spans="1:18" x14ac:dyDescent="0.4">
      <c r="A875" s="240">
        <v>45819</v>
      </c>
      <c r="B875" s="151" t="s">
        <v>71</v>
      </c>
      <c r="C875" s="30" t="s">
        <v>176</v>
      </c>
      <c r="D875" s="190">
        <v>32</v>
      </c>
      <c r="E875" s="77">
        <v>6</v>
      </c>
      <c r="F875" s="1"/>
      <c r="G875" s="76">
        <v>0.54166666666666663</v>
      </c>
      <c r="H875" s="76">
        <v>0.66666666666666663</v>
      </c>
      <c r="I875" s="173" t="s">
        <v>1316</v>
      </c>
      <c r="J875" s="23">
        <v>6</v>
      </c>
      <c r="K875" s="23"/>
      <c r="L875" s="68">
        <v>0.47916666666666669</v>
      </c>
      <c r="M875" s="68">
        <v>0.70833333333333337</v>
      </c>
      <c r="N875" s="173" t="s">
        <v>1243</v>
      </c>
      <c r="O875" s="23">
        <v>2700</v>
      </c>
      <c r="P875" s="70">
        <v>0.47916666666666669</v>
      </c>
      <c r="Q875" s="70">
        <v>0.70833333333333337</v>
      </c>
      <c r="R875" s="229" t="s">
        <v>1243</v>
      </c>
    </row>
    <row r="876" spans="1:18" x14ac:dyDescent="0.4">
      <c r="A876" s="240">
        <v>45819</v>
      </c>
      <c r="B876" s="151" t="s">
        <v>63</v>
      </c>
      <c r="C876" s="30" t="s">
        <v>267</v>
      </c>
      <c r="D876" s="190">
        <v>20</v>
      </c>
      <c r="E876" s="77">
        <v>5</v>
      </c>
      <c r="F876" s="1"/>
      <c r="G876" s="76">
        <v>0.45347222222222222</v>
      </c>
      <c r="H876" s="76">
        <v>0.6875</v>
      </c>
      <c r="I876" s="173" t="s">
        <v>1434</v>
      </c>
      <c r="J876" s="23">
        <v>3</v>
      </c>
      <c r="K876" s="23"/>
      <c r="L876" s="68">
        <v>0.48958333333333331</v>
      </c>
      <c r="M876" s="68">
        <v>0.70833333333333337</v>
      </c>
      <c r="N876" s="173" t="s">
        <v>1259</v>
      </c>
      <c r="O876" s="23">
        <v>2150</v>
      </c>
      <c r="P876" s="70">
        <v>0.45347222222222222</v>
      </c>
      <c r="Q876" s="70">
        <v>0.70833333333333337</v>
      </c>
      <c r="R876" s="229" t="s">
        <v>1557</v>
      </c>
    </row>
    <row r="877" spans="1:18" x14ac:dyDescent="0.4">
      <c r="A877" s="240">
        <v>45819</v>
      </c>
      <c r="B877" s="151" t="s">
        <v>997</v>
      </c>
      <c r="C877" s="30" t="s">
        <v>239</v>
      </c>
      <c r="D877" s="190">
        <v>6</v>
      </c>
      <c r="E877" s="77">
        <v>5</v>
      </c>
      <c r="F877" s="1"/>
      <c r="G877" s="76">
        <v>0.29166666666666669</v>
      </c>
      <c r="H877" s="76">
        <v>0.38472222222222219</v>
      </c>
      <c r="I877" s="173" t="s">
        <v>1418</v>
      </c>
      <c r="J877" s="23">
        <v>4</v>
      </c>
      <c r="K877" s="23"/>
      <c r="L877" s="68">
        <v>0.33333333333333331</v>
      </c>
      <c r="M877" s="68">
        <v>0.40972222222222227</v>
      </c>
      <c r="N877" s="173" t="s">
        <v>1377</v>
      </c>
      <c r="O877" s="23">
        <v>1110</v>
      </c>
      <c r="P877" s="70">
        <v>0.29166666666666669</v>
      </c>
      <c r="Q877" s="70">
        <v>0.40972222222222227</v>
      </c>
      <c r="R877" s="229" t="s">
        <v>1314</v>
      </c>
    </row>
    <row r="878" spans="1:18" x14ac:dyDescent="0.4">
      <c r="A878" s="240">
        <v>45819</v>
      </c>
      <c r="B878" s="151" t="s">
        <v>107</v>
      </c>
      <c r="C878" s="30" t="s">
        <v>314</v>
      </c>
      <c r="D878" s="190">
        <v>8</v>
      </c>
      <c r="E878" s="77">
        <v>5</v>
      </c>
      <c r="F878" s="1"/>
      <c r="G878" s="76">
        <v>0.38472222222222219</v>
      </c>
      <c r="H878" s="76">
        <v>0.45347222222222222</v>
      </c>
      <c r="I878" s="173" t="s">
        <v>1593</v>
      </c>
      <c r="J878" s="23">
        <v>3</v>
      </c>
      <c r="K878" s="23"/>
      <c r="L878" s="68">
        <v>0.40972222222222227</v>
      </c>
      <c r="M878" s="68">
        <v>0.48958333333333331</v>
      </c>
      <c r="N878" s="173" t="s">
        <v>1457</v>
      </c>
      <c r="O878" s="23">
        <v>840</v>
      </c>
      <c r="P878" s="70">
        <v>0.38472222222222219</v>
      </c>
      <c r="Q878" s="70">
        <v>0.48958333333333331</v>
      </c>
      <c r="R878" s="229" t="s">
        <v>1516</v>
      </c>
    </row>
    <row r="879" spans="1:18" x14ac:dyDescent="0.4">
      <c r="A879" s="240">
        <v>45819</v>
      </c>
      <c r="B879" s="151" t="s">
        <v>65</v>
      </c>
      <c r="C879" s="30" t="s">
        <v>189</v>
      </c>
      <c r="D879" s="190">
        <v>72</v>
      </c>
      <c r="E879" s="77">
        <v>3</v>
      </c>
      <c r="F879" s="76">
        <v>6.25E-2</v>
      </c>
      <c r="G879" s="76">
        <v>0.29166666666666669</v>
      </c>
      <c r="H879" s="76">
        <v>0.71527777777777779</v>
      </c>
      <c r="I879" s="173" t="s">
        <v>1594</v>
      </c>
      <c r="J879" s="23">
        <v>5</v>
      </c>
      <c r="K879" s="23"/>
      <c r="L879" s="68">
        <v>0.29166666666666669</v>
      </c>
      <c r="M879" s="68">
        <v>0.77083333333333337</v>
      </c>
      <c r="N879" s="173" t="s">
        <v>1369</v>
      </c>
      <c r="O879" s="23">
        <v>5070</v>
      </c>
      <c r="P879" s="70">
        <v>0.29166666666666669</v>
      </c>
      <c r="Q879" s="70">
        <v>0.77083333333333337</v>
      </c>
      <c r="R879" s="229" t="s">
        <v>1369</v>
      </c>
    </row>
    <row r="880" spans="1:18" x14ac:dyDescent="0.4">
      <c r="A880" s="240">
        <v>45820</v>
      </c>
      <c r="B880" s="151" t="s">
        <v>109</v>
      </c>
      <c r="C880" s="30" t="s">
        <v>263</v>
      </c>
      <c r="D880" s="190">
        <v>12</v>
      </c>
      <c r="E880" s="77">
        <v>4</v>
      </c>
      <c r="F880" s="1"/>
      <c r="G880" s="76">
        <v>0.63750000000000007</v>
      </c>
      <c r="H880" s="76">
        <v>0.72916666666666663</v>
      </c>
      <c r="I880" s="173" t="s">
        <v>1542</v>
      </c>
      <c r="J880" s="23">
        <v>4</v>
      </c>
      <c r="K880" s="23"/>
      <c r="L880" s="68">
        <v>0.65972222222222221</v>
      </c>
      <c r="M880" s="68">
        <v>0.77083333333333337</v>
      </c>
      <c r="N880" s="173" t="s">
        <v>1325</v>
      </c>
      <c r="O880" s="23">
        <v>1168</v>
      </c>
      <c r="P880" s="70">
        <v>0.63750000000000007</v>
      </c>
      <c r="Q880" s="70">
        <v>0.77083333333333337</v>
      </c>
      <c r="R880" s="229" t="s">
        <v>1382</v>
      </c>
    </row>
    <row r="881" spans="1:18" x14ac:dyDescent="0.4">
      <c r="A881" s="240">
        <v>45820</v>
      </c>
      <c r="B881" s="151" t="s">
        <v>99</v>
      </c>
      <c r="C881" s="30" t="s">
        <v>259</v>
      </c>
      <c r="D881" s="190">
        <v>6</v>
      </c>
      <c r="E881" s="77">
        <v>4</v>
      </c>
      <c r="F881" s="1"/>
      <c r="G881" s="76">
        <v>0.37152777777777773</v>
      </c>
      <c r="H881" s="76">
        <v>0.5</v>
      </c>
      <c r="I881" s="173" t="s">
        <v>1251</v>
      </c>
      <c r="J881" s="23">
        <v>4</v>
      </c>
      <c r="K881" s="23"/>
      <c r="L881" s="68">
        <v>0.43055555555555558</v>
      </c>
      <c r="M881" s="68">
        <v>0.58333333333333337</v>
      </c>
      <c r="N881" s="173" t="s">
        <v>1325</v>
      </c>
      <c r="O881" s="23">
        <v>1380</v>
      </c>
      <c r="P881" s="70">
        <v>0.37152777777777773</v>
      </c>
      <c r="Q881" s="70">
        <v>0.58333333333333337</v>
      </c>
      <c r="R881" s="229" t="s">
        <v>1365</v>
      </c>
    </row>
    <row r="882" spans="1:18" x14ac:dyDescent="0.4">
      <c r="A882" s="240">
        <v>45820</v>
      </c>
      <c r="B882" s="151" t="s">
        <v>1046</v>
      </c>
      <c r="C882" s="30" t="s">
        <v>1057</v>
      </c>
      <c r="D882" s="190">
        <v>8</v>
      </c>
      <c r="E882" s="77">
        <v>4</v>
      </c>
      <c r="F882" s="1"/>
      <c r="G882" s="76">
        <v>0.54166666666666663</v>
      </c>
      <c r="H882" s="76">
        <v>0.63750000000000007</v>
      </c>
      <c r="I882" s="173" t="s">
        <v>1345</v>
      </c>
      <c r="J882" s="23">
        <v>4</v>
      </c>
      <c r="K882" s="23"/>
      <c r="L882" s="68">
        <v>0.58333333333333337</v>
      </c>
      <c r="M882" s="68">
        <v>0.65972222222222221</v>
      </c>
      <c r="N882" s="173" t="s">
        <v>1377</v>
      </c>
      <c r="O882" s="23">
        <v>992</v>
      </c>
      <c r="P882" s="70">
        <v>0.54166666666666663</v>
      </c>
      <c r="Q882" s="70">
        <v>0.65972222222222221</v>
      </c>
      <c r="R882" s="229" t="s">
        <v>1314</v>
      </c>
    </row>
    <row r="883" spans="1:18" x14ac:dyDescent="0.4">
      <c r="A883" s="240">
        <v>45820</v>
      </c>
      <c r="B883" s="151" t="s">
        <v>472</v>
      </c>
      <c r="C883" s="30" t="s">
        <v>285</v>
      </c>
      <c r="D883" s="190">
        <v>4</v>
      </c>
      <c r="E883" s="77">
        <v>4</v>
      </c>
      <c r="F883" s="1"/>
      <c r="G883" s="76">
        <v>0.29166666666666669</v>
      </c>
      <c r="H883" s="76">
        <v>0.37152777777777773</v>
      </c>
      <c r="I883" s="173" t="s">
        <v>1457</v>
      </c>
      <c r="J883" s="23">
        <v>10</v>
      </c>
      <c r="K883" s="23"/>
      <c r="L883" s="68">
        <v>0.3125</v>
      </c>
      <c r="M883" s="68">
        <v>0.43055555555555558</v>
      </c>
      <c r="N883" s="173" t="s">
        <v>1314</v>
      </c>
      <c r="O883" s="23">
        <v>2160</v>
      </c>
      <c r="P883" s="70">
        <v>0.29166666666666669</v>
      </c>
      <c r="Q883" s="70">
        <v>0.43055555555555558</v>
      </c>
      <c r="R883" s="229" t="s">
        <v>1250</v>
      </c>
    </row>
    <row r="884" spans="1:18" x14ac:dyDescent="0.4">
      <c r="A884" s="240">
        <v>45820</v>
      </c>
      <c r="B884" s="151" t="s">
        <v>102</v>
      </c>
      <c r="C884" s="30" t="s">
        <v>308</v>
      </c>
      <c r="D884" s="190">
        <v>12</v>
      </c>
      <c r="E884" s="77">
        <v>5</v>
      </c>
      <c r="F884" s="1"/>
      <c r="G884" s="76">
        <v>0.39861111111111108</v>
      </c>
      <c r="H884" s="76">
        <v>0.59166666666666667</v>
      </c>
      <c r="I884" s="173" t="s">
        <v>1429</v>
      </c>
      <c r="J884" s="23">
        <v>4</v>
      </c>
      <c r="K884" s="68">
        <v>6.9444444444444441E-3</v>
      </c>
      <c r="L884" s="68">
        <v>0.4375</v>
      </c>
      <c r="M884" s="68">
        <v>0.64583333333333337</v>
      </c>
      <c r="N884" s="173" t="s">
        <v>1311</v>
      </c>
      <c r="O884" s="23">
        <v>2090</v>
      </c>
      <c r="P884" s="70">
        <v>0.39861111111111108</v>
      </c>
      <c r="Q884" s="70">
        <v>0.64583333333333337</v>
      </c>
      <c r="R884" s="229" t="s">
        <v>1595</v>
      </c>
    </row>
    <row r="885" spans="1:18" x14ac:dyDescent="0.4">
      <c r="A885" s="240">
        <v>45820</v>
      </c>
      <c r="B885" s="151" t="s">
        <v>547</v>
      </c>
      <c r="C885" s="30" t="s">
        <v>205</v>
      </c>
      <c r="D885" s="190">
        <v>12</v>
      </c>
      <c r="E885" s="77">
        <v>5</v>
      </c>
      <c r="F885" s="1"/>
      <c r="G885" s="76">
        <v>0.29166666666666669</v>
      </c>
      <c r="H885" s="76">
        <v>0.39861111111111108</v>
      </c>
      <c r="I885" s="173" t="s">
        <v>1510</v>
      </c>
      <c r="J885" s="23">
        <v>4</v>
      </c>
      <c r="K885" s="68">
        <v>6.9444444444444441E-3</v>
      </c>
      <c r="L885" s="68">
        <v>0.4375</v>
      </c>
      <c r="M885" s="68">
        <v>0.64583333333333337</v>
      </c>
      <c r="N885" s="173" t="s">
        <v>1311</v>
      </c>
      <c r="O885" s="23">
        <v>1770</v>
      </c>
      <c r="P885" s="70">
        <v>0.29166666666666669</v>
      </c>
      <c r="Q885" s="70">
        <v>0.64583333333333337</v>
      </c>
      <c r="R885" s="229" t="s">
        <v>1309</v>
      </c>
    </row>
    <row r="886" spans="1:18" x14ac:dyDescent="0.4">
      <c r="A886" s="240">
        <v>45820</v>
      </c>
      <c r="B886" s="151" t="s">
        <v>75</v>
      </c>
      <c r="C886" s="30" t="s">
        <v>229</v>
      </c>
      <c r="D886" s="190">
        <v>12</v>
      </c>
      <c r="E886" s="77">
        <v>5</v>
      </c>
      <c r="F886" s="1"/>
      <c r="G886" s="76">
        <v>0.59166666666666667</v>
      </c>
      <c r="H886" s="76">
        <v>0.75</v>
      </c>
      <c r="I886" s="173" t="s">
        <v>1511</v>
      </c>
      <c r="J886" s="23">
        <v>4</v>
      </c>
      <c r="K886" s="68">
        <v>6.9444444444444441E-3</v>
      </c>
      <c r="L886" s="68">
        <v>0.64583333333333337</v>
      </c>
      <c r="M886" s="68">
        <v>0.75</v>
      </c>
      <c r="N886" s="173" t="s">
        <v>1325</v>
      </c>
      <c r="O886" s="23">
        <v>1780</v>
      </c>
      <c r="P886" s="70">
        <v>0.59166666666666667</v>
      </c>
      <c r="Q886" s="70">
        <v>0.75</v>
      </c>
      <c r="R886" s="229" t="s">
        <v>1511</v>
      </c>
    </row>
    <row r="887" spans="1:18" ht="17.25" customHeight="1" x14ac:dyDescent="0.4">
      <c r="A887" s="240">
        <v>45820</v>
      </c>
      <c r="B887" s="151" t="s">
        <v>104</v>
      </c>
      <c r="C887" s="30" t="s">
        <v>191</v>
      </c>
      <c r="D887" s="190">
        <v>72</v>
      </c>
      <c r="E887" s="77">
        <v>3</v>
      </c>
      <c r="F887" s="76">
        <v>6.25E-2</v>
      </c>
      <c r="G887" s="76">
        <v>0.29166666666666669</v>
      </c>
      <c r="H887" s="76">
        <v>0.67708333333333337</v>
      </c>
      <c r="I887" s="173" t="s">
        <v>1428</v>
      </c>
      <c r="J887" s="23">
        <v>4</v>
      </c>
      <c r="K887" s="23"/>
      <c r="L887" s="68">
        <v>0.29166666666666669</v>
      </c>
      <c r="M887" s="68">
        <v>0.2986111111111111</v>
      </c>
      <c r="N887" s="173" t="s">
        <v>1596</v>
      </c>
      <c r="O887" s="23">
        <v>1795</v>
      </c>
      <c r="P887" s="70">
        <v>0.29166666666666669</v>
      </c>
      <c r="Q887" s="70">
        <v>0.67708333333333337</v>
      </c>
      <c r="R887" s="229" t="s">
        <v>1340</v>
      </c>
    </row>
    <row r="888" spans="1:18" s="146" customFormat="1" x14ac:dyDescent="0.4">
      <c r="A888" s="244">
        <v>45820</v>
      </c>
      <c r="B888" s="213" t="s">
        <v>500</v>
      </c>
      <c r="C888" s="136" t="s">
        <v>506</v>
      </c>
      <c r="D888" s="214">
        <v>50</v>
      </c>
      <c r="E888" s="103"/>
      <c r="F888" s="104"/>
      <c r="G888" s="184"/>
      <c r="H888" s="184"/>
      <c r="I888" s="225" t="s">
        <v>1002</v>
      </c>
      <c r="J888" s="105"/>
      <c r="K888" s="105"/>
      <c r="L888" s="106"/>
      <c r="M888" s="106"/>
      <c r="N888" s="225" t="s">
        <v>1002</v>
      </c>
      <c r="O888" s="105">
        <v>0</v>
      </c>
      <c r="P888" s="247">
        <v>0</v>
      </c>
      <c r="Q888" s="247">
        <v>0</v>
      </c>
      <c r="R888" s="232" t="s">
        <v>1002</v>
      </c>
    </row>
    <row r="889" spans="1:18" x14ac:dyDescent="0.4">
      <c r="A889" s="240">
        <v>45821</v>
      </c>
      <c r="B889" s="151" t="s">
        <v>71</v>
      </c>
      <c r="C889" s="30" t="s">
        <v>176</v>
      </c>
      <c r="D889" s="190">
        <v>72</v>
      </c>
      <c r="E889" s="77">
        <v>6</v>
      </c>
      <c r="F889" s="1"/>
      <c r="G889" s="76">
        <v>0.29166666666666669</v>
      </c>
      <c r="H889" s="76">
        <v>0.66666666666666663</v>
      </c>
      <c r="I889" s="173" t="s">
        <v>1292</v>
      </c>
      <c r="J889" s="23">
        <v>5</v>
      </c>
      <c r="K889" s="23"/>
      <c r="L889" s="68">
        <v>0.3125</v>
      </c>
      <c r="M889" s="68">
        <v>0.70833333333333337</v>
      </c>
      <c r="N889" s="173" t="s">
        <v>990</v>
      </c>
      <c r="O889" s="23">
        <v>5430</v>
      </c>
      <c r="P889" s="70">
        <v>0.29166666666666669</v>
      </c>
      <c r="Q889" s="70">
        <v>0.70833333333333337</v>
      </c>
      <c r="R889" s="229" t="s">
        <v>1252</v>
      </c>
    </row>
    <row r="890" spans="1:18" x14ac:dyDescent="0.4">
      <c r="A890" s="240">
        <v>45821</v>
      </c>
      <c r="B890" s="151" t="s">
        <v>63</v>
      </c>
      <c r="C890" s="30" t="s">
        <v>267</v>
      </c>
      <c r="D890" s="190">
        <v>20</v>
      </c>
      <c r="E890" s="77">
        <v>5</v>
      </c>
      <c r="F890" s="1"/>
      <c r="G890" s="76">
        <v>0.42222222222222222</v>
      </c>
      <c r="H890" s="76">
        <v>0.66666666666666663</v>
      </c>
      <c r="I890" s="173" t="s">
        <v>1502</v>
      </c>
      <c r="J890" s="23">
        <v>3</v>
      </c>
      <c r="K890" s="68">
        <v>6.9444444444444441E-3</v>
      </c>
      <c r="L890" s="68">
        <v>0.45833333333333331</v>
      </c>
      <c r="M890" s="68">
        <v>0.6875</v>
      </c>
      <c r="N890" s="173" t="s">
        <v>1255</v>
      </c>
      <c r="O890" s="23">
        <v>2300</v>
      </c>
      <c r="P890" s="70">
        <v>0.42222222222222222</v>
      </c>
      <c r="Q890" s="70">
        <v>0.6875</v>
      </c>
      <c r="R890" s="229" t="s">
        <v>1396</v>
      </c>
    </row>
    <row r="891" spans="1:18" x14ac:dyDescent="0.4">
      <c r="A891" s="240">
        <v>45821</v>
      </c>
      <c r="B891" s="151" t="s">
        <v>76</v>
      </c>
      <c r="C891" s="30" t="s">
        <v>224</v>
      </c>
      <c r="D891" s="190">
        <v>12</v>
      </c>
      <c r="E891" s="77">
        <v>5</v>
      </c>
      <c r="F891" s="1"/>
      <c r="G891" s="76">
        <v>0.3347222222222222</v>
      </c>
      <c r="H891" s="76">
        <v>0.42222222222222222</v>
      </c>
      <c r="I891" s="173" t="s">
        <v>1528</v>
      </c>
      <c r="J891" s="23">
        <v>3</v>
      </c>
      <c r="K891" s="68">
        <v>6.9444444444444441E-3</v>
      </c>
      <c r="L891" s="68">
        <v>0.3611111111111111</v>
      </c>
      <c r="M891" s="68">
        <v>0.45833333333333331</v>
      </c>
      <c r="N891" s="173" t="s">
        <v>1298</v>
      </c>
      <c r="O891" s="23">
        <v>1080</v>
      </c>
      <c r="P891" s="70">
        <v>0.3347222222222222</v>
      </c>
      <c r="Q891" s="70">
        <v>0.45833333333333331</v>
      </c>
      <c r="R891" s="229" t="s">
        <v>1376</v>
      </c>
    </row>
    <row r="892" spans="1:18" x14ac:dyDescent="0.4">
      <c r="A892" s="240">
        <v>45821</v>
      </c>
      <c r="B892" s="151" t="s">
        <v>357</v>
      </c>
      <c r="C892" s="30" t="s">
        <v>338</v>
      </c>
      <c r="D892" s="190">
        <v>4</v>
      </c>
      <c r="E892" s="77">
        <v>5</v>
      </c>
      <c r="F892" s="1"/>
      <c r="G892" s="76">
        <v>0.29166666666666669</v>
      </c>
      <c r="H892" s="76">
        <v>0.3347222222222222</v>
      </c>
      <c r="I892" s="173" t="s">
        <v>1597</v>
      </c>
      <c r="J892" s="23">
        <v>3</v>
      </c>
      <c r="K892" s="68">
        <v>6.9444444444444441E-3</v>
      </c>
      <c r="L892" s="68">
        <v>0.45833333333333331</v>
      </c>
      <c r="M892" s="68">
        <v>0.6875</v>
      </c>
      <c r="N892" s="173" t="s">
        <v>1255</v>
      </c>
      <c r="O892" s="23">
        <v>1150</v>
      </c>
      <c r="P892" s="70">
        <v>0.29166666666666669</v>
      </c>
      <c r="Q892" s="70">
        <v>0.6875</v>
      </c>
      <c r="R892" s="229" t="s">
        <v>990</v>
      </c>
    </row>
    <row r="893" spans="1:18" x14ac:dyDescent="0.4">
      <c r="A893" s="240">
        <v>45821</v>
      </c>
      <c r="B893" s="151" t="s">
        <v>58</v>
      </c>
      <c r="C893" s="30" t="s">
        <v>165</v>
      </c>
      <c r="D893" s="190">
        <v>36</v>
      </c>
      <c r="E893" s="77">
        <v>3</v>
      </c>
      <c r="F893" s="76">
        <v>4.1666666666666664E-2</v>
      </c>
      <c r="G893" s="76">
        <v>0.29166666666666669</v>
      </c>
      <c r="H893" s="76">
        <v>0.625</v>
      </c>
      <c r="I893" s="173" t="s">
        <v>1292</v>
      </c>
      <c r="J893" s="23">
        <v>6</v>
      </c>
      <c r="K893" s="23"/>
      <c r="L893" s="68">
        <v>0.29166666666666669</v>
      </c>
      <c r="M893" s="68">
        <v>0.68402777777777779</v>
      </c>
      <c r="N893" s="173" t="s">
        <v>1598</v>
      </c>
      <c r="O893" s="23">
        <v>4470</v>
      </c>
      <c r="P893" s="70">
        <v>0.29166666666666669</v>
      </c>
      <c r="Q893" s="70">
        <v>0.68402777777777779</v>
      </c>
      <c r="R893" s="229" t="s">
        <v>1598</v>
      </c>
    </row>
    <row r="894" spans="1:18" x14ac:dyDescent="0.4">
      <c r="A894" s="240">
        <v>45824</v>
      </c>
      <c r="B894" s="151" t="s">
        <v>91</v>
      </c>
      <c r="C894" s="30" t="s">
        <v>163</v>
      </c>
      <c r="D894" s="190">
        <v>8</v>
      </c>
      <c r="E894" s="77">
        <v>5</v>
      </c>
      <c r="F894" s="1"/>
      <c r="G894" s="76">
        <v>0.39583333333333331</v>
      </c>
      <c r="H894" s="76">
        <v>0.5</v>
      </c>
      <c r="I894" s="173" t="s">
        <v>1298</v>
      </c>
      <c r="J894" s="23">
        <v>9</v>
      </c>
      <c r="K894" s="68">
        <v>6.9444444444444441E-3</v>
      </c>
      <c r="L894" s="68">
        <v>0.4375</v>
      </c>
      <c r="M894" s="68">
        <v>0.54166666666666663</v>
      </c>
      <c r="N894" s="173" t="s">
        <v>1386</v>
      </c>
      <c r="O894" s="23">
        <v>1650</v>
      </c>
      <c r="P894" s="70">
        <v>0.39583333333333331</v>
      </c>
      <c r="Q894" s="70">
        <v>0.54166666666666663</v>
      </c>
      <c r="R894" s="229" t="s">
        <v>1298</v>
      </c>
    </row>
    <row r="895" spans="1:18" x14ac:dyDescent="0.4">
      <c r="A895" s="240">
        <v>45824</v>
      </c>
      <c r="B895" s="151" t="s">
        <v>158</v>
      </c>
      <c r="C895" s="30" t="s">
        <v>159</v>
      </c>
      <c r="D895" s="190">
        <v>4</v>
      </c>
      <c r="E895" s="77">
        <v>5</v>
      </c>
      <c r="F895" s="1"/>
      <c r="G895" s="76">
        <v>0.29166666666666669</v>
      </c>
      <c r="H895" s="76">
        <v>0.39583333333333331</v>
      </c>
      <c r="I895" s="173" t="s">
        <v>1298</v>
      </c>
      <c r="J895" s="23">
        <v>9</v>
      </c>
      <c r="K895" s="68">
        <v>6.9444444444444441E-3</v>
      </c>
      <c r="L895" s="68">
        <v>0.33333333333333331</v>
      </c>
      <c r="M895" s="68">
        <v>0.4375</v>
      </c>
      <c r="N895" s="173" t="s">
        <v>1325</v>
      </c>
      <c r="O895" s="23">
        <v>2190</v>
      </c>
      <c r="P895" s="70">
        <v>0.29166666666666669</v>
      </c>
      <c r="Q895" s="70">
        <v>0.4375</v>
      </c>
      <c r="R895" s="229" t="s">
        <v>1303</v>
      </c>
    </row>
    <row r="896" spans="1:18" x14ac:dyDescent="0.4">
      <c r="A896" s="240">
        <v>45824</v>
      </c>
      <c r="B896" s="151" t="s">
        <v>106</v>
      </c>
      <c r="C896" s="30" t="s">
        <v>173</v>
      </c>
      <c r="D896" s="190">
        <v>16</v>
      </c>
      <c r="E896" s="77">
        <v>5</v>
      </c>
      <c r="F896" s="1"/>
      <c r="G896" s="76">
        <v>0.54166666666666663</v>
      </c>
      <c r="H896" s="76">
        <v>0.70833333333333337</v>
      </c>
      <c r="I896" s="173" t="s">
        <v>1244</v>
      </c>
      <c r="J896" s="23">
        <v>9</v>
      </c>
      <c r="K896" s="68">
        <v>6.9444444444444441E-3</v>
      </c>
      <c r="L896" s="68">
        <v>0.5625</v>
      </c>
      <c r="M896" s="68">
        <v>0.72916666666666663</v>
      </c>
      <c r="N896" s="173" t="s">
        <v>1311</v>
      </c>
      <c r="O896" s="23">
        <v>3450</v>
      </c>
      <c r="P896" s="70">
        <v>0.54166666666666663</v>
      </c>
      <c r="Q896" s="70">
        <v>0.72916666666666663</v>
      </c>
      <c r="R896" s="229" t="s">
        <v>1243</v>
      </c>
    </row>
    <row r="897" spans="1:18" x14ac:dyDescent="0.4">
      <c r="A897" s="240">
        <v>45824</v>
      </c>
      <c r="B897" s="151" t="s">
        <v>63</v>
      </c>
      <c r="C897" s="30" t="s">
        <v>267</v>
      </c>
      <c r="D897" s="190">
        <v>20</v>
      </c>
      <c r="E897" s="77">
        <v>5</v>
      </c>
      <c r="F897" s="1"/>
      <c r="G897" s="76">
        <v>0.4291666666666667</v>
      </c>
      <c r="H897" s="76">
        <v>0.65555555555555556</v>
      </c>
      <c r="I897" s="173" t="s">
        <v>1544</v>
      </c>
      <c r="J897" s="23">
        <v>3</v>
      </c>
      <c r="K897" s="68">
        <v>6.9444444444444441E-3</v>
      </c>
      <c r="L897" s="68">
        <v>0.45833333333333331</v>
      </c>
      <c r="M897" s="68">
        <v>0.69097222222222221</v>
      </c>
      <c r="N897" s="173" t="s">
        <v>1335</v>
      </c>
      <c r="O897" s="23">
        <v>2185</v>
      </c>
      <c r="P897" s="70">
        <v>0.4291666666666667</v>
      </c>
      <c r="Q897" s="70">
        <v>0.69097222222222221</v>
      </c>
      <c r="R897" s="229" t="s">
        <v>1599</v>
      </c>
    </row>
    <row r="898" spans="1:18" x14ac:dyDescent="0.4">
      <c r="A898" s="240">
        <v>45824</v>
      </c>
      <c r="B898" s="151" t="s">
        <v>965</v>
      </c>
      <c r="C898" s="30" t="s">
        <v>966</v>
      </c>
      <c r="D898" s="190">
        <v>16</v>
      </c>
      <c r="E898" s="77">
        <v>5</v>
      </c>
      <c r="F898" s="1"/>
      <c r="G898" s="76">
        <v>0.29166666666666669</v>
      </c>
      <c r="H898" s="76">
        <v>0.4291666666666667</v>
      </c>
      <c r="I898" s="173" t="s">
        <v>1600</v>
      </c>
      <c r="J898" s="23">
        <v>3</v>
      </c>
      <c r="K898" s="68">
        <v>6.9444444444444441E-3</v>
      </c>
      <c r="L898" s="68">
        <v>0.33333333333333331</v>
      </c>
      <c r="M898" s="68">
        <v>0.45833333333333331</v>
      </c>
      <c r="N898" s="173" t="s">
        <v>1256</v>
      </c>
      <c r="O898" s="23">
        <v>1560</v>
      </c>
      <c r="P898" s="70">
        <v>0.29166666666666669</v>
      </c>
      <c r="Q898" s="70">
        <v>0.45833333333333331</v>
      </c>
      <c r="R898" s="229" t="s">
        <v>1244</v>
      </c>
    </row>
    <row r="899" spans="1:18" x14ac:dyDescent="0.4">
      <c r="A899" s="240">
        <v>45824</v>
      </c>
      <c r="B899" s="151" t="s">
        <v>1060</v>
      </c>
      <c r="C899" s="30" t="s">
        <v>886</v>
      </c>
      <c r="D899" s="190">
        <v>4</v>
      </c>
      <c r="E899" s="77">
        <v>5</v>
      </c>
      <c r="F899" s="1"/>
      <c r="G899" s="76">
        <v>0.65555555555555556</v>
      </c>
      <c r="H899" s="76">
        <v>0.72916666666666663</v>
      </c>
      <c r="I899" s="173" t="s">
        <v>1413</v>
      </c>
      <c r="J899" s="23">
        <v>3</v>
      </c>
      <c r="K899" s="68">
        <v>6.9444444444444441E-3</v>
      </c>
      <c r="L899" s="68">
        <v>0.69097222222222221</v>
      </c>
      <c r="M899" s="68">
        <v>0.72916666666666663</v>
      </c>
      <c r="N899" s="173" t="s">
        <v>1473</v>
      </c>
      <c r="O899" s="23">
        <v>725</v>
      </c>
      <c r="P899" s="70">
        <v>0.65555555555555556</v>
      </c>
      <c r="Q899" s="70">
        <v>0.72916666666666663</v>
      </c>
      <c r="R899" s="229" t="s">
        <v>1413</v>
      </c>
    </row>
    <row r="900" spans="1:18" x14ac:dyDescent="0.4">
      <c r="A900" s="240">
        <v>45824</v>
      </c>
      <c r="B900" s="151" t="s">
        <v>65</v>
      </c>
      <c r="C900" s="30" t="s">
        <v>189</v>
      </c>
      <c r="D900" s="190">
        <v>72</v>
      </c>
      <c r="E900" s="77">
        <v>3</v>
      </c>
      <c r="F900" s="76">
        <v>8.3333333333333329E-2</v>
      </c>
      <c r="G900" s="76">
        <v>0.29166666666666669</v>
      </c>
      <c r="H900" s="76">
        <v>0.73611111111111116</v>
      </c>
      <c r="I900" s="173" t="s">
        <v>1302</v>
      </c>
      <c r="J900" s="23">
        <v>4</v>
      </c>
      <c r="K900" s="23"/>
      <c r="L900" s="68">
        <v>0.29166666666666669</v>
      </c>
      <c r="M900" s="68">
        <v>0.78472222222222221</v>
      </c>
      <c r="N900" s="173" t="s">
        <v>1592</v>
      </c>
      <c r="O900" s="23">
        <v>4700</v>
      </c>
      <c r="P900" s="70">
        <v>0.29166666666666669</v>
      </c>
      <c r="Q900" s="70">
        <v>0.78472222222222221</v>
      </c>
      <c r="R900" s="229" t="s">
        <v>1592</v>
      </c>
    </row>
    <row r="901" spans="1:18" x14ac:dyDescent="0.4">
      <c r="A901" s="244">
        <v>45824</v>
      </c>
      <c r="B901" s="213">
        <v>153010</v>
      </c>
      <c r="C901" s="136" t="s">
        <v>484</v>
      </c>
      <c r="D901" s="214">
        <v>1</v>
      </c>
      <c r="E901" s="103"/>
      <c r="F901" s="104"/>
      <c r="G901" s="184"/>
      <c r="H901" s="184"/>
      <c r="I901" s="225" t="s">
        <v>1002</v>
      </c>
      <c r="J901" s="105"/>
      <c r="K901" s="105"/>
      <c r="L901" s="106"/>
      <c r="M901" s="106"/>
      <c r="N901" s="225" t="s">
        <v>1002</v>
      </c>
      <c r="O901" s="105">
        <v>0</v>
      </c>
      <c r="P901" s="70">
        <v>0</v>
      </c>
      <c r="Q901" s="70">
        <v>0</v>
      </c>
      <c r="R901" s="232" t="s">
        <v>1002</v>
      </c>
    </row>
    <row r="902" spans="1:18" x14ac:dyDescent="0.4">
      <c r="A902" s="244">
        <v>45824</v>
      </c>
      <c r="B902" s="213" t="s">
        <v>488</v>
      </c>
      <c r="C902" s="136" t="s">
        <v>475</v>
      </c>
      <c r="D902" s="214">
        <v>1</v>
      </c>
      <c r="E902" s="103"/>
      <c r="F902" s="104"/>
      <c r="G902" s="184"/>
      <c r="H902" s="184"/>
      <c r="I902" s="225" t="s">
        <v>1002</v>
      </c>
      <c r="J902" s="105"/>
      <c r="K902" s="105"/>
      <c r="L902" s="106"/>
      <c r="M902" s="106"/>
      <c r="N902" s="225" t="s">
        <v>1002</v>
      </c>
      <c r="O902" s="105">
        <v>0</v>
      </c>
      <c r="P902" s="70">
        <v>0</v>
      </c>
      <c r="Q902" s="70">
        <v>0</v>
      </c>
      <c r="R902" s="232" t="s">
        <v>1002</v>
      </c>
    </row>
    <row r="903" spans="1:18" x14ac:dyDescent="0.4">
      <c r="A903" s="240">
        <v>45825</v>
      </c>
      <c r="B903" s="151" t="s">
        <v>71</v>
      </c>
      <c r="C903" s="30" t="s">
        <v>176</v>
      </c>
      <c r="D903" s="190">
        <v>68</v>
      </c>
      <c r="E903" s="77">
        <v>6</v>
      </c>
      <c r="F903" s="1"/>
      <c r="G903" s="76">
        <v>0.3298611111111111</v>
      </c>
      <c r="H903" s="76">
        <v>0.66666666666666663</v>
      </c>
      <c r="I903" s="173" t="s">
        <v>1456</v>
      </c>
      <c r="J903" s="23">
        <v>5</v>
      </c>
      <c r="K903" s="23"/>
      <c r="L903" s="68">
        <v>0.375</v>
      </c>
      <c r="M903" s="68">
        <v>0.70833333333333337</v>
      </c>
      <c r="N903" s="173">
        <v>0</v>
      </c>
      <c r="O903" s="23">
        <v>2550</v>
      </c>
      <c r="P903" s="70">
        <v>0.3298611111111111</v>
      </c>
      <c r="Q903" s="70">
        <v>0.70833333333333337</v>
      </c>
      <c r="R903" s="229" t="s">
        <v>1498</v>
      </c>
    </row>
    <row r="904" spans="1:18" x14ac:dyDescent="0.4">
      <c r="A904" s="240">
        <v>45825</v>
      </c>
      <c r="B904" s="151" t="s">
        <v>1061</v>
      </c>
      <c r="C904" s="30" t="s">
        <v>176</v>
      </c>
      <c r="D904" s="190">
        <v>4</v>
      </c>
      <c r="E904" s="77">
        <v>6</v>
      </c>
      <c r="F904" s="1"/>
      <c r="G904" s="76">
        <v>0.29166666666666669</v>
      </c>
      <c r="H904" s="76">
        <v>0.3298611111111111</v>
      </c>
      <c r="I904" s="173" t="s">
        <v>1447</v>
      </c>
      <c r="J904" s="23">
        <v>5</v>
      </c>
      <c r="K904" s="23"/>
      <c r="L904" s="68">
        <v>0.3125</v>
      </c>
      <c r="M904" s="68">
        <v>0.375</v>
      </c>
      <c r="N904" s="173" t="s">
        <v>1375</v>
      </c>
      <c r="O904" s="23">
        <v>780</v>
      </c>
      <c r="P904" s="70">
        <v>0.29166666666666669</v>
      </c>
      <c r="Q904" s="70">
        <v>0.375</v>
      </c>
      <c r="R904" s="229" t="s">
        <v>1296</v>
      </c>
    </row>
    <row r="905" spans="1:18" x14ac:dyDescent="0.4">
      <c r="A905" s="240">
        <v>45825</v>
      </c>
      <c r="B905" s="151" t="s">
        <v>64</v>
      </c>
      <c r="C905" s="30" t="s">
        <v>271</v>
      </c>
      <c r="D905" s="190">
        <v>24</v>
      </c>
      <c r="E905" s="77">
        <v>5</v>
      </c>
      <c r="F905" s="1"/>
      <c r="G905" s="76">
        <v>0.42499999999999999</v>
      </c>
      <c r="H905" s="76">
        <v>0.70833333333333337</v>
      </c>
      <c r="I905" s="173" t="s">
        <v>1363</v>
      </c>
      <c r="J905" s="23">
        <v>3</v>
      </c>
      <c r="K905" s="68">
        <v>1.0416666666666666E-2</v>
      </c>
      <c r="L905" s="68">
        <v>0.4548611111111111</v>
      </c>
      <c r="M905" s="68">
        <v>0.70833333333333337</v>
      </c>
      <c r="N905" s="173" t="s">
        <v>1357</v>
      </c>
      <c r="O905" s="23">
        <v>2700</v>
      </c>
      <c r="P905" s="70">
        <v>0.42499999999999999</v>
      </c>
      <c r="Q905" s="70">
        <v>0.70833333333333337</v>
      </c>
      <c r="R905" s="229" t="s">
        <v>1363</v>
      </c>
    </row>
    <row r="906" spans="1:18" x14ac:dyDescent="0.4">
      <c r="A906" s="240">
        <v>45825</v>
      </c>
      <c r="B906" s="151" t="s">
        <v>81</v>
      </c>
      <c r="C906" s="30" t="s">
        <v>235</v>
      </c>
      <c r="D906" s="190">
        <v>16</v>
      </c>
      <c r="E906" s="77">
        <v>5</v>
      </c>
      <c r="F906" s="1"/>
      <c r="G906" s="76">
        <v>0.29166666666666669</v>
      </c>
      <c r="H906" s="76">
        <v>0.42499999999999999</v>
      </c>
      <c r="I906" s="173" t="s">
        <v>1382</v>
      </c>
      <c r="J906" s="23">
        <v>3</v>
      </c>
      <c r="K906" s="68">
        <v>1.0416666666666666E-2</v>
      </c>
      <c r="L906" s="68">
        <v>0.33333333333333331</v>
      </c>
      <c r="M906" s="68">
        <v>0.4548611111111111</v>
      </c>
      <c r="N906" s="173" t="s">
        <v>1256</v>
      </c>
      <c r="O906" s="23">
        <v>1530</v>
      </c>
      <c r="P906" s="70">
        <v>0.29166666666666669</v>
      </c>
      <c r="Q906" s="70">
        <v>0.4548611111111111</v>
      </c>
      <c r="R906" s="229" t="s">
        <v>1359</v>
      </c>
    </row>
    <row r="907" spans="1:18" x14ac:dyDescent="0.4">
      <c r="A907" s="240">
        <v>45825</v>
      </c>
      <c r="B907" s="151" t="s">
        <v>83</v>
      </c>
      <c r="C907" s="30" t="s">
        <v>169</v>
      </c>
      <c r="D907" s="190">
        <v>16</v>
      </c>
      <c r="E907" s="77">
        <v>3</v>
      </c>
      <c r="F907" s="76">
        <v>5.5555555555555558E-3</v>
      </c>
      <c r="G907" s="76">
        <v>0.36805555555555558</v>
      </c>
      <c r="H907" s="76">
        <v>0.58333333333333337</v>
      </c>
      <c r="I907" s="173" t="s">
        <v>1449</v>
      </c>
      <c r="J907" s="23">
        <v>7</v>
      </c>
      <c r="K907" s="68">
        <v>2.0833333333333332E-2</v>
      </c>
      <c r="L907" s="68">
        <v>0.46875</v>
      </c>
      <c r="M907" s="68">
        <v>0.6875</v>
      </c>
      <c r="N907" s="173" t="s">
        <v>1335</v>
      </c>
      <c r="O907" s="23">
        <v>2769</v>
      </c>
      <c r="P907" s="70">
        <v>0.36805555555555558</v>
      </c>
      <c r="Q907" s="70">
        <v>0.6875</v>
      </c>
      <c r="R907" s="229" t="s">
        <v>1328</v>
      </c>
    </row>
    <row r="908" spans="1:18" x14ac:dyDescent="0.4">
      <c r="A908" s="240">
        <v>45825</v>
      </c>
      <c r="B908" s="151" t="s">
        <v>471</v>
      </c>
      <c r="C908" s="30" t="s">
        <v>280</v>
      </c>
      <c r="D908" s="190">
        <v>8</v>
      </c>
      <c r="E908" s="77">
        <v>3</v>
      </c>
      <c r="F908" s="76">
        <v>5.5555555555555558E-3</v>
      </c>
      <c r="G908" s="76">
        <v>0.30208333333333331</v>
      </c>
      <c r="H908" s="76">
        <v>0.375</v>
      </c>
      <c r="I908" s="173" t="s">
        <v>1558</v>
      </c>
      <c r="J908" s="23">
        <v>8</v>
      </c>
      <c r="K908" s="68">
        <v>2.0833333333333332E-2</v>
      </c>
      <c r="L908" s="68">
        <v>0.33680555555555558</v>
      </c>
      <c r="M908" s="68">
        <v>0.46875</v>
      </c>
      <c r="N908" s="173" t="s">
        <v>1254</v>
      </c>
      <c r="O908" s="23">
        <v>2099</v>
      </c>
      <c r="P908" s="70">
        <v>0.30208333333333331</v>
      </c>
      <c r="Q908" s="70">
        <v>0.46875</v>
      </c>
      <c r="R908" s="229" t="s">
        <v>1244</v>
      </c>
    </row>
    <row r="909" spans="1:18" x14ac:dyDescent="0.4">
      <c r="A909" s="240">
        <v>45826</v>
      </c>
      <c r="B909" s="151" t="s">
        <v>54</v>
      </c>
      <c r="C909" s="30" t="s">
        <v>251</v>
      </c>
      <c r="D909" s="190">
        <v>30</v>
      </c>
      <c r="E909" s="77">
        <v>5</v>
      </c>
      <c r="F909" s="1"/>
      <c r="G909" s="76">
        <v>0.35555555555555557</v>
      </c>
      <c r="H909" s="76">
        <v>0.66666666666666663</v>
      </c>
      <c r="I909" s="173" t="s">
        <v>1601</v>
      </c>
      <c r="J909" s="23">
        <v>4</v>
      </c>
      <c r="K909" s="68">
        <v>1.0416666666666666E-2</v>
      </c>
      <c r="L909" s="68">
        <v>0.40277777777777773</v>
      </c>
      <c r="M909" s="68">
        <v>0.70833333333333337</v>
      </c>
      <c r="N909" s="173" t="s">
        <v>1402</v>
      </c>
      <c r="O909" s="23">
        <v>3520</v>
      </c>
      <c r="P909" s="70">
        <v>0.35555555555555557</v>
      </c>
      <c r="Q909" s="70">
        <v>0.70833333333333337</v>
      </c>
      <c r="R909" s="229" t="s">
        <v>1602</v>
      </c>
    </row>
    <row r="910" spans="1:18" x14ac:dyDescent="0.4">
      <c r="A910" s="240">
        <v>45826</v>
      </c>
      <c r="B910" s="151" t="s">
        <v>53</v>
      </c>
      <c r="C910" s="30" t="s">
        <v>261</v>
      </c>
      <c r="D910" s="190">
        <v>6</v>
      </c>
      <c r="E910" s="77">
        <v>5</v>
      </c>
      <c r="F910" s="1"/>
      <c r="G910" s="76">
        <v>0.29166666666666669</v>
      </c>
      <c r="H910" s="76">
        <v>0.35555555555555557</v>
      </c>
      <c r="I910" s="173" t="s">
        <v>1477</v>
      </c>
      <c r="J910" s="23">
        <v>4</v>
      </c>
      <c r="K910" s="68">
        <v>1.0416666666666666E-2</v>
      </c>
      <c r="L910" s="68">
        <v>0.33333333333333331</v>
      </c>
      <c r="M910" s="68">
        <v>0.40277777777777773</v>
      </c>
      <c r="N910" s="173" t="s">
        <v>1457</v>
      </c>
      <c r="O910" s="23">
        <v>920</v>
      </c>
      <c r="P910" s="70">
        <v>0.29166666666666669</v>
      </c>
      <c r="Q910" s="70">
        <v>0.40277777777777773</v>
      </c>
      <c r="R910" s="229" t="s">
        <v>1325</v>
      </c>
    </row>
    <row r="911" spans="1:18" x14ac:dyDescent="0.4">
      <c r="A911" s="240">
        <v>45826</v>
      </c>
      <c r="B911" s="151" t="s">
        <v>1062</v>
      </c>
      <c r="C911" s="30" t="s">
        <v>1064</v>
      </c>
      <c r="D911" s="190">
        <v>32</v>
      </c>
      <c r="E911" s="77">
        <v>5</v>
      </c>
      <c r="F911" s="1"/>
      <c r="G911" s="76">
        <v>0.29166666666666669</v>
      </c>
      <c r="H911" s="76">
        <v>0.61527777777777781</v>
      </c>
      <c r="I911" s="173" t="s">
        <v>1603</v>
      </c>
      <c r="J911" s="23">
        <v>4</v>
      </c>
      <c r="K911" s="68">
        <v>1.3888888888888888E-2</v>
      </c>
      <c r="L911" s="68">
        <v>0.34027777777777773</v>
      </c>
      <c r="M911" s="68">
        <v>0.64583333333333337</v>
      </c>
      <c r="N911" s="173" t="s">
        <v>1328</v>
      </c>
      <c r="O911" s="23">
        <v>3630</v>
      </c>
      <c r="P911" s="70">
        <v>0.29166666666666669</v>
      </c>
      <c r="Q911" s="70">
        <v>0.64583333333333337</v>
      </c>
      <c r="R911" s="229" t="s">
        <v>1309</v>
      </c>
    </row>
    <row r="912" spans="1:18" x14ac:dyDescent="0.4">
      <c r="A912" s="240">
        <v>45826</v>
      </c>
      <c r="B912" s="151" t="s">
        <v>130</v>
      </c>
      <c r="C912" s="30" t="s">
        <v>216</v>
      </c>
      <c r="D912" s="190">
        <v>8</v>
      </c>
      <c r="E912" s="77">
        <v>5</v>
      </c>
      <c r="F912" s="1"/>
      <c r="G912" s="76">
        <v>0.61527777777777781</v>
      </c>
      <c r="H912" s="76">
        <v>0.70833333333333337</v>
      </c>
      <c r="I912" s="173" t="s">
        <v>1418</v>
      </c>
      <c r="J912" s="23">
        <v>4</v>
      </c>
      <c r="K912" s="68">
        <v>1.3888888888888888E-2</v>
      </c>
      <c r="L912" s="68">
        <v>0.64583333333333337</v>
      </c>
      <c r="M912" s="68">
        <v>0.72916666666666663</v>
      </c>
      <c r="N912" s="173" t="s">
        <v>1313</v>
      </c>
      <c r="O912" s="23">
        <v>1230</v>
      </c>
      <c r="P912" s="70">
        <v>0.61527777777777781</v>
      </c>
      <c r="Q912" s="70">
        <v>0.72916666666666663</v>
      </c>
      <c r="R912" s="229" t="s">
        <v>1441</v>
      </c>
    </row>
    <row r="913" spans="1:18" x14ac:dyDescent="0.4">
      <c r="A913" s="240">
        <v>45826</v>
      </c>
      <c r="B913" s="151" t="s">
        <v>65</v>
      </c>
      <c r="C913" s="30" t="s">
        <v>189</v>
      </c>
      <c r="D913" s="190">
        <v>80</v>
      </c>
      <c r="E913" s="77">
        <v>3</v>
      </c>
      <c r="F913" s="76">
        <v>0.10416666666666667</v>
      </c>
      <c r="G913" s="76">
        <v>0.29166666666666669</v>
      </c>
      <c r="H913" s="76">
        <v>0.70833333333333337</v>
      </c>
      <c r="I913" s="173" t="s">
        <v>1336</v>
      </c>
      <c r="J913" s="23">
        <v>5</v>
      </c>
      <c r="K913" s="68"/>
      <c r="L913" s="68">
        <v>0.29166666666666669</v>
      </c>
      <c r="M913" s="68">
        <v>0.8125</v>
      </c>
      <c r="N913" s="173" t="s">
        <v>1336</v>
      </c>
      <c r="O913" s="23">
        <v>5520</v>
      </c>
      <c r="P913" s="70">
        <v>0.29166666666666669</v>
      </c>
      <c r="Q913" s="70">
        <v>0.8125</v>
      </c>
      <c r="R913" s="229" t="s">
        <v>1336</v>
      </c>
    </row>
    <row r="914" spans="1:18" x14ac:dyDescent="0.4">
      <c r="A914" s="240">
        <v>45827</v>
      </c>
      <c r="B914" s="151" t="s">
        <v>984</v>
      </c>
      <c r="C914" s="30" t="s">
        <v>245</v>
      </c>
      <c r="D914" s="190">
        <v>6</v>
      </c>
      <c r="E914" s="77">
        <v>5</v>
      </c>
      <c r="F914" s="1"/>
      <c r="G914" s="76">
        <v>0.61458333333333337</v>
      </c>
      <c r="H914" s="76">
        <v>0.6875</v>
      </c>
      <c r="I914" s="173" t="s">
        <v>1246</v>
      </c>
      <c r="J914" s="23">
        <v>3</v>
      </c>
      <c r="K914" s="68">
        <v>6.9444444444444441E-3</v>
      </c>
      <c r="L914" s="68">
        <v>0.63888888888888895</v>
      </c>
      <c r="M914" s="68">
        <v>0.70833333333333337</v>
      </c>
      <c r="N914" s="173" t="s">
        <v>1377</v>
      </c>
      <c r="O914" s="23">
        <v>855</v>
      </c>
      <c r="P914" s="70">
        <v>0.61458333333333337</v>
      </c>
      <c r="Q914" s="70">
        <v>0.70833333333333337</v>
      </c>
      <c r="R914" s="229" t="s">
        <v>1324</v>
      </c>
    </row>
    <row r="915" spans="1:18" x14ac:dyDescent="0.4">
      <c r="A915" s="240">
        <v>45827</v>
      </c>
      <c r="B915" s="151" t="s">
        <v>75</v>
      </c>
      <c r="C915" s="30" t="s">
        <v>229</v>
      </c>
      <c r="D915" s="190">
        <v>8</v>
      </c>
      <c r="E915" s="77">
        <v>5</v>
      </c>
      <c r="F915" s="1"/>
      <c r="G915" s="76">
        <v>0.54166666666666663</v>
      </c>
      <c r="H915" s="76">
        <v>0.61458333333333337</v>
      </c>
      <c r="I915" s="173" t="s">
        <v>1246</v>
      </c>
      <c r="J915" s="23">
        <v>3</v>
      </c>
      <c r="K915" s="68">
        <v>6.9444444444444441E-3</v>
      </c>
      <c r="L915" s="68">
        <v>0.56597222222222221</v>
      </c>
      <c r="M915" s="68">
        <v>0.63888888888888895</v>
      </c>
      <c r="N915" s="173" t="s">
        <v>1457</v>
      </c>
      <c r="O915" s="23">
        <v>870</v>
      </c>
      <c r="P915" s="70">
        <v>0.54166666666666663</v>
      </c>
      <c r="Q915" s="70">
        <v>0.63888888888888895</v>
      </c>
      <c r="R915" s="229" t="s">
        <v>1313</v>
      </c>
    </row>
    <row r="916" spans="1:18" x14ac:dyDescent="0.4">
      <c r="A916" s="240">
        <v>45827</v>
      </c>
      <c r="B916" s="151" t="s">
        <v>63</v>
      </c>
      <c r="C916" s="30" t="s">
        <v>267</v>
      </c>
      <c r="D916" s="190">
        <v>24</v>
      </c>
      <c r="E916" s="77">
        <v>5</v>
      </c>
      <c r="F916" s="1"/>
      <c r="G916" s="76">
        <v>0.29166666666666669</v>
      </c>
      <c r="H916" s="76">
        <v>0.5</v>
      </c>
      <c r="I916" s="173" t="s">
        <v>1327</v>
      </c>
      <c r="J916" s="23">
        <v>3</v>
      </c>
      <c r="K916" s="68">
        <v>6.9444444444444441E-3</v>
      </c>
      <c r="L916" s="68">
        <v>0.33333333333333331</v>
      </c>
      <c r="M916" s="68">
        <v>0.56597222222222221</v>
      </c>
      <c r="N916" s="173" t="s">
        <v>1335</v>
      </c>
      <c r="O916" s="23">
        <v>2355</v>
      </c>
      <c r="P916" s="70">
        <v>0.29166666666666669</v>
      </c>
      <c r="Q916" s="70">
        <v>0.56597222222222221</v>
      </c>
      <c r="R916" s="229" t="s">
        <v>1354</v>
      </c>
    </row>
    <row r="917" spans="1:18" x14ac:dyDescent="0.4">
      <c r="A917" s="240">
        <v>45827</v>
      </c>
      <c r="B917" s="151" t="s">
        <v>73</v>
      </c>
      <c r="C917" s="30" t="s">
        <v>231</v>
      </c>
      <c r="D917" s="190">
        <v>21</v>
      </c>
      <c r="E917" s="77">
        <v>5</v>
      </c>
      <c r="F917" s="1"/>
      <c r="G917" s="76">
        <v>0.29166666666666669</v>
      </c>
      <c r="H917" s="76">
        <v>0.67361111111111116</v>
      </c>
      <c r="I917" s="173" t="s">
        <v>1307</v>
      </c>
      <c r="J917" s="23">
        <v>9</v>
      </c>
      <c r="K917" s="23"/>
      <c r="L917" s="68">
        <v>0.33333333333333331</v>
      </c>
      <c r="M917" s="68">
        <v>0.70833333333333337</v>
      </c>
      <c r="N917" s="173" t="s">
        <v>1292</v>
      </c>
      <c r="O917" s="23">
        <v>6770</v>
      </c>
      <c r="P917" s="70">
        <v>0.29166666666666669</v>
      </c>
      <c r="Q917" s="70">
        <v>0.70833333333333337</v>
      </c>
      <c r="R917" s="229" t="s">
        <v>1252</v>
      </c>
    </row>
    <row r="918" spans="1:18" x14ac:dyDescent="0.4">
      <c r="A918" s="240">
        <v>45827</v>
      </c>
      <c r="B918" s="151" t="s">
        <v>104</v>
      </c>
      <c r="C918" s="30" t="s">
        <v>191</v>
      </c>
      <c r="D918" s="190">
        <v>40</v>
      </c>
      <c r="E918" s="77">
        <v>3</v>
      </c>
      <c r="F918" s="76">
        <v>4.1666666666666664E-2</v>
      </c>
      <c r="G918" s="76">
        <v>0.33333333333333331</v>
      </c>
      <c r="H918" s="76">
        <v>0.64930555555555558</v>
      </c>
      <c r="I918" s="173" t="s">
        <v>1455</v>
      </c>
      <c r="J918" s="23">
        <v>4</v>
      </c>
      <c r="K918" s="23"/>
      <c r="L918" s="68">
        <v>0.33333333333333331</v>
      </c>
      <c r="M918" s="68">
        <v>0.69097222222222221</v>
      </c>
      <c r="N918" s="173" t="s">
        <v>1455</v>
      </c>
      <c r="O918" s="23">
        <v>3185</v>
      </c>
      <c r="P918" s="70">
        <v>0.33333333333333331</v>
      </c>
      <c r="Q918" s="70">
        <v>0.69097222222222221</v>
      </c>
      <c r="R918" s="229" t="s">
        <v>1455</v>
      </c>
    </row>
    <row r="919" spans="1:18" x14ac:dyDescent="0.4">
      <c r="A919" s="240">
        <v>45828</v>
      </c>
      <c r="B919" s="151" t="s">
        <v>61</v>
      </c>
      <c r="C919" s="30" t="s">
        <v>156</v>
      </c>
      <c r="D919" s="190">
        <v>40</v>
      </c>
      <c r="E919" s="77">
        <v>4</v>
      </c>
      <c r="F919" s="1"/>
      <c r="G919" s="76">
        <v>0.29166666666666669</v>
      </c>
      <c r="H919" s="76">
        <v>0.6875</v>
      </c>
      <c r="I919" s="173" t="s">
        <v>990</v>
      </c>
      <c r="J919" s="23">
        <v>10</v>
      </c>
      <c r="K919" s="23"/>
      <c r="L919" s="68">
        <v>0.3125</v>
      </c>
      <c r="M919" s="68">
        <v>0.70833333333333337</v>
      </c>
      <c r="N919" s="173" t="s">
        <v>990</v>
      </c>
      <c r="O919" s="23">
        <v>7140</v>
      </c>
      <c r="P919" s="70">
        <v>0.29166666666666669</v>
      </c>
      <c r="Q919" s="70">
        <v>0.70833333333333337</v>
      </c>
      <c r="R919" s="229" t="s">
        <v>1252</v>
      </c>
    </row>
    <row r="920" spans="1:18" x14ac:dyDescent="0.4">
      <c r="A920" s="240">
        <v>45828</v>
      </c>
      <c r="B920" s="151" t="s">
        <v>63</v>
      </c>
      <c r="C920" s="30" t="s">
        <v>267</v>
      </c>
      <c r="D920" s="190">
        <v>24</v>
      </c>
      <c r="E920" s="77">
        <v>5</v>
      </c>
      <c r="F920" s="1"/>
      <c r="G920" s="76">
        <v>0.45694444444444443</v>
      </c>
      <c r="H920" s="76">
        <v>0.70833333333333337</v>
      </c>
      <c r="I920" s="173" t="s">
        <v>1583</v>
      </c>
      <c r="J920" s="23">
        <v>3</v>
      </c>
      <c r="K920" s="68">
        <v>6.9444444444444441E-3</v>
      </c>
      <c r="L920" s="68">
        <v>0.4861111111111111</v>
      </c>
      <c r="M920" s="68">
        <v>0.70833333333333337</v>
      </c>
      <c r="N920" s="173" t="s">
        <v>1243</v>
      </c>
      <c r="O920" s="23">
        <v>2320</v>
      </c>
      <c r="P920" s="70">
        <v>0.45694444444444443</v>
      </c>
      <c r="Q920" s="70">
        <v>0.70833333333333337</v>
      </c>
      <c r="R920" s="229" t="s">
        <v>1583</v>
      </c>
    </row>
    <row r="921" spans="1:18" x14ac:dyDescent="0.4">
      <c r="A921" s="240">
        <v>45828</v>
      </c>
      <c r="B921" s="151" t="s">
        <v>538</v>
      </c>
      <c r="C921" s="30" t="s">
        <v>265</v>
      </c>
      <c r="D921" s="190">
        <v>6</v>
      </c>
      <c r="E921" s="77">
        <v>5</v>
      </c>
      <c r="F921" s="1"/>
      <c r="G921" s="76">
        <v>0.29166666666666669</v>
      </c>
      <c r="H921" s="76">
        <v>0.37083333333333335</v>
      </c>
      <c r="I921" s="173" t="s">
        <v>1412</v>
      </c>
      <c r="J921" s="23">
        <v>3</v>
      </c>
      <c r="K921" s="68">
        <v>6.9444444444444441E-3</v>
      </c>
      <c r="L921" s="68">
        <v>0.3298611111111111</v>
      </c>
      <c r="M921" s="68">
        <v>0.40277777777777773</v>
      </c>
      <c r="N921" s="173" t="s">
        <v>1457</v>
      </c>
      <c r="O921" s="23">
        <v>915</v>
      </c>
      <c r="P921" s="70">
        <v>0.29166666666666669</v>
      </c>
      <c r="Q921" s="70">
        <v>0.40277777777777773</v>
      </c>
      <c r="R921" s="229" t="s">
        <v>1325</v>
      </c>
    </row>
    <row r="922" spans="1:18" x14ac:dyDescent="0.4">
      <c r="A922" s="240">
        <v>45828</v>
      </c>
      <c r="B922" s="151" t="s">
        <v>1045</v>
      </c>
      <c r="C922" s="30" t="s">
        <v>1056</v>
      </c>
      <c r="D922" s="190">
        <v>8</v>
      </c>
      <c r="E922" s="77">
        <v>5</v>
      </c>
      <c r="F922" s="1"/>
      <c r="G922" s="76">
        <v>0.37083333333333335</v>
      </c>
      <c r="H922" s="76">
        <v>0.45694444444444443</v>
      </c>
      <c r="I922" s="173" t="s">
        <v>1604</v>
      </c>
      <c r="J922" s="23">
        <v>3</v>
      </c>
      <c r="K922" s="68">
        <v>6.9444444444444441E-3</v>
      </c>
      <c r="L922" s="68">
        <v>0.40277777777777773</v>
      </c>
      <c r="M922" s="68">
        <v>0.4861111111111111</v>
      </c>
      <c r="N922" s="173" t="s">
        <v>1248</v>
      </c>
      <c r="O922" s="23">
        <v>1010</v>
      </c>
      <c r="P922" s="70">
        <v>0.37083333333333335</v>
      </c>
      <c r="Q922" s="70">
        <v>0.4861111111111111</v>
      </c>
      <c r="R922" s="229" t="s">
        <v>1574</v>
      </c>
    </row>
    <row r="923" spans="1:18" x14ac:dyDescent="0.4">
      <c r="A923" s="240">
        <v>45828</v>
      </c>
      <c r="B923" s="151" t="s">
        <v>104</v>
      </c>
      <c r="C923" s="30" t="s">
        <v>191</v>
      </c>
      <c r="D923" s="190">
        <v>52</v>
      </c>
      <c r="E923" s="77">
        <v>3</v>
      </c>
      <c r="F923" s="76">
        <v>2.0833333333333332E-2</v>
      </c>
      <c r="G923" s="76">
        <v>0.29166666666666669</v>
      </c>
      <c r="H923" s="76">
        <v>0.58333333333333337</v>
      </c>
      <c r="I923" s="173" t="s">
        <v>1329</v>
      </c>
      <c r="J923" s="23">
        <v>4</v>
      </c>
      <c r="K923" s="23"/>
      <c r="L923" s="68">
        <v>0.29166666666666669</v>
      </c>
      <c r="M923" s="68">
        <v>0.61111111111111105</v>
      </c>
      <c r="N923" s="173" t="s">
        <v>1328</v>
      </c>
      <c r="O923" s="23">
        <v>2770</v>
      </c>
      <c r="P923" s="70">
        <v>0.29166666666666669</v>
      </c>
      <c r="Q923" s="70">
        <v>0.61111111111111105</v>
      </c>
      <c r="R923" s="229" t="s">
        <v>1328</v>
      </c>
    </row>
    <row r="924" spans="1:18" x14ac:dyDescent="0.4">
      <c r="A924" s="240">
        <v>45828</v>
      </c>
      <c r="B924" s="151" t="s">
        <v>642</v>
      </c>
      <c r="C924" s="30" t="s">
        <v>643</v>
      </c>
      <c r="D924" s="190">
        <v>8</v>
      </c>
      <c r="E924" s="77">
        <v>3</v>
      </c>
      <c r="F924" s="76">
        <v>2.0833333333333332E-2</v>
      </c>
      <c r="G924" s="76">
        <v>0.57638888888888895</v>
      </c>
      <c r="H924" s="76">
        <v>0.625</v>
      </c>
      <c r="I924" s="173" t="s">
        <v>1386</v>
      </c>
      <c r="J924" s="23">
        <v>4</v>
      </c>
      <c r="K924" s="23"/>
      <c r="L924" s="68">
        <v>0.61111111111111105</v>
      </c>
      <c r="M924" s="68">
        <v>0.70833333333333337</v>
      </c>
      <c r="N924" s="173" t="s">
        <v>1313</v>
      </c>
      <c r="O924" s="23">
        <v>860</v>
      </c>
      <c r="P924" s="70">
        <v>0.57638888888888895</v>
      </c>
      <c r="Q924" s="70">
        <v>0.70833333333333337</v>
      </c>
      <c r="R924" s="229" t="s">
        <v>1256</v>
      </c>
    </row>
    <row r="925" spans="1:18" x14ac:dyDescent="0.4">
      <c r="A925" s="240">
        <v>45831</v>
      </c>
      <c r="B925" s="151" t="s">
        <v>71</v>
      </c>
      <c r="C925" s="30" t="s">
        <v>176</v>
      </c>
      <c r="D925" s="190">
        <v>72</v>
      </c>
      <c r="E925" s="77">
        <v>6</v>
      </c>
      <c r="F925" s="1"/>
      <c r="G925" s="76">
        <v>0.29166666666666669</v>
      </c>
      <c r="H925" s="76">
        <v>0.66666666666666663</v>
      </c>
      <c r="I925" s="173" t="s">
        <v>1292</v>
      </c>
      <c r="J925" s="23">
        <v>5</v>
      </c>
      <c r="K925" s="23"/>
      <c r="L925" s="68">
        <v>0.3125</v>
      </c>
      <c r="M925" s="68">
        <v>0.70833333333333337</v>
      </c>
      <c r="N925" s="173" t="s">
        <v>990</v>
      </c>
      <c r="O925" s="23">
        <v>5430</v>
      </c>
      <c r="P925" s="70">
        <v>0.29166666666666669</v>
      </c>
      <c r="Q925" s="70">
        <v>0.70833333333333337</v>
      </c>
      <c r="R925" s="229" t="s">
        <v>1252</v>
      </c>
    </row>
    <row r="926" spans="1:18" x14ac:dyDescent="0.4">
      <c r="A926" s="240">
        <v>45831</v>
      </c>
      <c r="B926" s="151" t="s">
        <v>63</v>
      </c>
      <c r="C926" s="30" t="s">
        <v>267</v>
      </c>
      <c r="D926" s="190">
        <v>20</v>
      </c>
      <c r="E926" s="77">
        <v>5</v>
      </c>
      <c r="F926" s="1"/>
      <c r="G926" s="76">
        <v>0.46319444444444446</v>
      </c>
      <c r="H926" s="76">
        <v>0.6875</v>
      </c>
      <c r="I926" s="173" t="s">
        <v>1294</v>
      </c>
      <c r="J926" s="23">
        <v>3</v>
      </c>
      <c r="K926" s="68">
        <v>1.0416666666666666E-2</v>
      </c>
      <c r="L926" s="68">
        <v>0.48958333333333331</v>
      </c>
      <c r="M926" s="68">
        <v>0.6875</v>
      </c>
      <c r="N926" s="173" t="s">
        <v>1244</v>
      </c>
      <c r="O926" s="23">
        <v>2035</v>
      </c>
      <c r="P926" s="70">
        <v>0.46319444444444446</v>
      </c>
      <c r="Q926" s="70">
        <v>0.6875</v>
      </c>
      <c r="R926" s="229" t="s">
        <v>1294</v>
      </c>
    </row>
    <row r="927" spans="1:18" x14ac:dyDescent="0.4">
      <c r="A927" s="240">
        <v>45831</v>
      </c>
      <c r="B927" s="151" t="s">
        <v>72</v>
      </c>
      <c r="C927" s="30" t="s">
        <v>227</v>
      </c>
      <c r="D927" s="190">
        <v>20</v>
      </c>
      <c r="E927" s="77">
        <v>5</v>
      </c>
      <c r="F927" s="1"/>
      <c r="G927" s="76">
        <v>0.29166666666666669</v>
      </c>
      <c r="H927" s="76">
        <v>0.46319444444444446</v>
      </c>
      <c r="I927" s="173" t="s">
        <v>1605</v>
      </c>
      <c r="J927" s="23">
        <v>3</v>
      </c>
      <c r="K927" s="68">
        <v>1.0416666666666666E-2</v>
      </c>
      <c r="L927" s="68">
        <v>0.33333333333333331</v>
      </c>
      <c r="M927" s="68">
        <v>0.48958333333333331</v>
      </c>
      <c r="N927" s="173" t="s">
        <v>1244</v>
      </c>
      <c r="O927" s="23">
        <v>1955</v>
      </c>
      <c r="P927" s="70">
        <v>0.29166666666666669</v>
      </c>
      <c r="Q927" s="70">
        <v>0.48958333333333331</v>
      </c>
      <c r="R927" s="229" t="s">
        <v>1335</v>
      </c>
    </row>
    <row r="928" spans="1:18" x14ac:dyDescent="0.4">
      <c r="A928" s="240">
        <v>45831</v>
      </c>
      <c r="B928" s="151" t="s">
        <v>82</v>
      </c>
      <c r="C928" s="30" t="s">
        <v>171</v>
      </c>
      <c r="D928" s="190">
        <v>36</v>
      </c>
      <c r="E928" s="77">
        <v>3</v>
      </c>
      <c r="F928" s="76">
        <v>4.1666666666666664E-2</v>
      </c>
      <c r="G928" s="76">
        <v>0.29166666666666669</v>
      </c>
      <c r="H928" s="76">
        <v>0.61111111111111105</v>
      </c>
      <c r="I928" s="173" t="s">
        <v>1494</v>
      </c>
      <c r="J928" s="23">
        <v>7</v>
      </c>
      <c r="K928" s="23"/>
      <c r="L928" s="68">
        <v>0.29166666666666669</v>
      </c>
      <c r="M928" s="68">
        <v>0.73263888888888884</v>
      </c>
      <c r="N928" s="173" t="s">
        <v>1606</v>
      </c>
      <c r="O928" s="23">
        <v>5405</v>
      </c>
      <c r="P928" s="70">
        <v>0.29166666666666669</v>
      </c>
      <c r="Q928" s="70">
        <v>0.73263888888888884</v>
      </c>
      <c r="R928" s="229" t="s">
        <v>1606</v>
      </c>
    </row>
    <row r="929" spans="1:18" x14ac:dyDescent="0.4">
      <c r="A929" s="240">
        <v>45832</v>
      </c>
      <c r="B929" s="151" t="s">
        <v>76</v>
      </c>
      <c r="C929" s="30" t="s">
        <v>224</v>
      </c>
      <c r="D929" s="190">
        <v>16</v>
      </c>
      <c r="E929" s="77">
        <v>5</v>
      </c>
      <c r="F929" s="1"/>
      <c r="G929" s="76">
        <v>0.29166666666666669</v>
      </c>
      <c r="H929" s="76">
        <v>0.39652777777777781</v>
      </c>
      <c r="I929" s="173" t="s">
        <v>1516</v>
      </c>
      <c r="J929" s="23">
        <v>3</v>
      </c>
      <c r="K929" s="68">
        <v>1.0416666666666666E-2</v>
      </c>
      <c r="L929" s="68">
        <v>0.3263888888888889</v>
      </c>
      <c r="M929" s="68">
        <v>0.42708333333333331</v>
      </c>
      <c r="N929" s="173" t="s">
        <v>1325</v>
      </c>
      <c r="O929" s="23">
        <v>1235</v>
      </c>
      <c r="P929" s="70">
        <v>0.29166666666666669</v>
      </c>
      <c r="Q929" s="70">
        <v>0.42708333333333331</v>
      </c>
      <c r="R929" s="229" t="s">
        <v>1391</v>
      </c>
    </row>
    <row r="930" spans="1:18" x14ac:dyDescent="0.4">
      <c r="A930" s="240">
        <v>45832</v>
      </c>
      <c r="B930" s="151" t="s">
        <v>63</v>
      </c>
      <c r="C930" s="30" t="s">
        <v>267</v>
      </c>
      <c r="D930" s="190">
        <v>24</v>
      </c>
      <c r="E930" s="77">
        <v>5</v>
      </c>
      <c r="F930" s="1"/>
      <c r="G930" s="76">
        <v>0.39652777777777781</v>
      </c>
      <c r="H930" s="76">
        <v>0.66666666666666663</v>
      </c>
      <c r="I930" s="173" t="s">
        <v>1607</v>
      </c>
      <c r="J930" s="23">
        <v>3</v>
      </c>
      <c r="K930" s="68">
        <v>1.0416666666666666E-2</v>
      </c>
      <c r="L930" s="68">
        <v>0.42708333333333331</v>
      </c>
      <c r="M930" s="68">
        <v>0.6875</v>
      </c>
      <c r="N930" s="173" t="s">
        <v>1320</v>
      </c>
      <c r="O930" s="23">
        <v>2635</v>
      </c>
      <c r="P930" s="70">
        <v>0.39652777777777781</v>
      </c>
      <c r="Q930" s="70">
        <v>0.6875</v>
      </c>
      <c r="R930" s="229" t="s">
        <v>1608</v>
      </c>
    </row>
    <row r="931" spans="1:18" x14ac:dyDescent="0.4">
      <c r="A931" s="240">
        <v>45832</v>
      </c>
      <c r="B931" s="151" t="s">
        <v>108</v>
      </c>
      <c r="C931" s="30" t="s">
        <v>231</v>
      </c>
      <c r="D931" s="190">
        <v>21</v>
      </c>
      <c r="E931" s="77">
        <v>5</v>
      </c>
      <c r="F931" s="1"/>
      <c r="G931" s="76">
        <v>0.29166666666666669</v>
      </c>
      <c r="H931" s="76">
        <v>0.73611111111111116</v>
      </c>
      <c r="I931" s="173" t="s">
        <v>1350</v>
      </c>
      <c r="J931" s="23">
        <v>8</v>
      </c>
      <c r="K931" s="23"/>
      <c r="L931" s="68">
        <v>0.33333333333333331</v>
      </c>
      <c r="M931" s="68">
        <v>0.77083333333333337</v>
      </c>
      <c r="N931" s="173" t="s">
        <v>1247</v>
      </c>
      <c r="O931" s="23">
        <v>7460</v>
      </c>
      <c r="P931" s="70">
        <v>0.29166666666666669</v>
      </c>
      <c r="Q931" s="70">
        <v>0.77083333333333337</v>
      </c>
      <c r="R931" s="229" t="s">
        <v>1369</v>
      </c>
    </row>
    <row r="932" spans="1:18" x14ac:dyDescent="0.4">
      <c r="A932" s="240">
        <v>45832</v>
      </c>
      <c r="B932" s="151" t="s">
        <v>65</v>
      </c>
      <c r="C932" s="30" t="s">
        <v>189</v>
      </c>
      <c r="D932" s="190">
        <v>72</v>
      </c>
      <c r="E932" s="77">
        <v>3</v>
      </c>
      <c r="F932" s="76">
        <v>4.1666666666666664E-2</v>
      </c>
      <c r="G932" s="76">
        <v>0.29166666666666669</v>
      </c>
      <c r="H932" s="76">
        <v>0.73611111111111116</v>
      </c>
      <c r="I932" s="173" t="s">
        <v>1594</v>
      </c>
      <c r="J932" s="23">
        <v>8</v>
      </c>
      <c r="K932" s="23"/>
      <c r="L932" s="68">
        <v>0.29166666666666669</v>
      </c>
      <c r="M932" s="68">
        <v>0.78819444444444453</v>
      </c>
      <c r="N932" s="173" t="s">
        <v>1609</v>
      </c>
      <c r="O932" s="23">
        <v>7160</v>
      </c>
      <c r="P932" s="70">
        <v>0.29166666666666669</v>
      </c>
      <c r="Q932" s="70">
        <v>0.78819444444444453</v>
      </c>
      <c r="R932" s="229" t="s">
        <v>1609</v>
      </c>
    </row>
    <row r="933" spans="1:18" x14ac:dyDescent="0.4">
      <c r="A933" s="244">
        <v>45832</v>
      </c>
      <c r="B933" s="213">
        <v>152010</v>
      </c>
      <c r="C933" s="136" t="s">
        <v>483</v>
      </c>
      <c r="D933" s="214">
        <v>1</v>
      </c>
      <c r="E933" s="103"/>
      <c r="F933" s="104"/>
      <c r="G933" s="184"/>
      <c r="H933" s="184"/>
      <c r="I933" s="225" t="s">
        <v>1002</v>
      </c>
      <c r="J933" s="105"/>
      <c r="K933" s="105"/>
      <c r="L933" s="106"/>
      <c r="M933" s="106"/>
      <c r="N933" s="225" t="s">
        <v>1002</v>
      </c>
      <c r="O933" s="105">
        <v>0</v>
      </c>
      <c r="P933" s="70">
        <v>0</v>
      </c>
      <c r="Q933" s="70">
        <v>0</v>
      </c>
      <c r="R933" s="232" t="s">
        <v>1002</v>
      </c>
    </row>
    <row r="934" spans="1:18" x14ac:dyDescent="0.4">
      <c r="A934" s="244">
        <v>45832</v>
      </c>
      <c r="B934" s="213" t="s">
        <v>434</v>
      </c>
      <c r="C934" s="136" t="s">
        <v>545</v>
      </c>
      <c r="D934" s="214">
        <v>50</v>
      </c>
      <c r="E934" s="103"/>
      <c r="F934" s="104"/>
      <c r="G934" s="184"/>
      <c r="H934" s="184"/>
      <c r="I934" s="225" t="s">
        <v>1002</v>
      </c>
      <c r="J934" s="105"/>
      <c r="K934" s="105"/>
      <c r="L934" s="106"/>
      <c r="M934" s="106"/>
      <c r="N934" s="225" t="s">
        <v>1002</v>
      </c>
      <c r="O934" s="105">
        <v>0</v>
      </c>
      <c r="P934" s="70">
        <v>0</v>
      </c>
      <c r="Q934" s="70">
        <v>0</v>
      </c>
      <c r="R934" s="232" t="s">
        <v>1002</v>
      </c>
    </row>
    <row r="935" spans="1:18" x14ac:dyDescent="0.4">
      <c r="A935" s="241">
        <v>45833</v>
      </c>
      <c r="B935" s="151" t="s">
        <v>456</v>
      </c>
      <c r="C935" s="140" t="s">
        <v>287</v>
      </c>
      <c r="D935" s="190">
        <v>3</v>
      </c>
      <c r="E935" s="77">
        <v>5</v>
      </c>
      <c r="F935" s="1"/>
      <c r="G935" s="76">
        <v>0.29166666666666669</v>
      </c>
      <c r="H935" s="76">
        <v>0.39583333333333331</v>
      </c>
      <c r="I935" s="173" t="s">
        <v>1298</v>
      </c>
      <c r="J935" s="23">
        <v>12</v>
      </c>
      <c r="K935" s="68">
        <v>6.9444444444444441E-3</v>
      </c>
      <c r="L935" s="68">
        <v>0.33333333333333331</v>
      </c>
      <c r="M935" s="68">
        <v>0.4375</v>
      </c>
      <c r="N935" s="173" t="s">
        <v>1325</v>
      </c>
      <c r="O935" s="23">
        <v>2670</v>
      </c>
      <c r="P935" s="70">
        <v>0.29166666666666669</v>
      </c>
      <c r="Q935" s="70">
        <v>0.4375</v>
      </c>
      <c r="R935" s="229" t="s">
        <v>1303</v>
      </c>
    </row>
    <row r="936" spans="1:18" x14ac:dyDescent="0.4">
      <c r="A936" s="241">
        <v>45833</v>
      </c>
      <c r="B936" s="151" t="s">
        <v>1070</v>
      </c>
      <c r="C936" s="140" t="s">
        <v>298</v>
      </c>
      <c r="D936" s="190">
        <v>3</v>
      </c>
      <c r="E936" s="77">
        <v>5</v>
      </c>
      <c r="F936" s="1"/>
      <c r="G936" s="76">
        <v>0.35416666666666669</v>
      </c>
      <c r="H936" s="76">
        <v>0.5</v>
      </c>
      <c r="I936" s="173" t="s">
        <v>1303</v>
      </c>
      <c r="J936" s="23">
        <v>14</v>
      </c>
      <c r="K936" s="68">
        <v>6.9444444444444441E-3</v>
      </c>
      <c r="L936" s="68">
        <v>0.4375</v>
      </c>
      <c r="M936" s="68">
        <v>0.54166666666666663</v>
      </c>
      <c r="N936" s="173" t="s">
        <v>1386</v>
      </c>
      <c r="O936" s="23">
        <v>2450</v>
      </c>
      <c r="P936" s="70">
        <v>0.35416666666666669</v>
      </c>
      <c r="Q936" s="70">
        <v>0.54166666666666663</v>
      </c>
      <c r="R936" s="229" t="s">
        <v>1303</v>
      </c>
    </row>
    <row r="937" spans="1:18" x14ac:dyDescent="0.4">
      <c r="A937" s="241">
        <v>45833</v>
      </c>
      <c r="B937" s="151" t="s">
        <v>51</v>
      </c>
      <c r="C937" s="140" t="s">
        <v>253</v>
      </c>
      <c r="D937" s="190">
        <v>20</v>
      </c>
      <c r="E937" s="77">
        <v>5</v>
      </c>
      <c r="F937" s="1"/>
      <c r="G937" s="76">
        <v>0.54166666666666663</v>
      </c>
      <c r="H937" s="76">
        <v>0.70833333333333337</v>
      </c>
      <c r="I937" s="173" t="s">
        <v>1244</v>
      </c>
      <c r="J937" s="23">
        <v>5</v>
      </c>
      <c r="K937" s="68">
        <v>6.9444444444444441E-3</v>
      </c>
      <c r="L937" s="68">
        <v>0.59027777777777779</v>
      </c>
      <c r="M937" s="68">
        <v>0.75</v>
      </c>
      <c r="N937" s="173" t="s">
        <v>1244</v>
      </c>
      <c r="O937" s="23">
        <v>2400</v>
      </c>
      <c r="P937" s="70">
        <v>0.54166666666666663</v>
      </c>
      <c r="Q937" s="70">
        <v>0.75</v>
      </c>
      <c r="R937" s="229" t="s">
        <v>1327</v>
      </c>
    </row>
    <row r="938" spans="1:18" x14ac:dyDescent="0.4">
      <c r="A938" s="241">
        <v>45833</v>
      </c>
      <c r="B938" s="151" t="s">
        <v>115</v>
      </c>
      <c r="C938" s="140" t="s">
        <v>214</v>
      </c>
      <c r="D938" s="190">
        <v>8</v>
      </c>
      <c r="E938" s="77">
        <v>5</v>
      </c>
      <c r="F938" s="1"/>
      <c r="G938" s="76">
        <v>0.41250000000000003</v>
      </c>
      <c r="H938" s="76">
        <v>0.59166666666666667</v>
      </c>
      <c r="I938" s="173" t="s">
        <v>1600</v>
      </c>
      <c r="J938" s="23">
        <v>4</v>
      </c>
      <c r="K938" s="68">
        <v>6.9444444444444441E-3</v>
      </c>
      <c r="L938" s="68">
        <v>0.45833333333333331</v>
      </c>
      <c r="M938" s="68">
        <v>0.63888888888888895</v>
      </c>
      <c r="N938" s="173" t="s">
        <v>1303</v>
      </c>
      <c r="O938" s="23">
        <v>1830</v>
      </c>
      <c r="P938" s="70">
        <v>0.41250000000000003</v>
      </c>
      <c r="Q938" s="70">
        <v>0.63888888888888895</v>
      </c>
      <c r="R938" s="229" t="s">
        <v>1544</v>
      </c>
    </row>
    <row r="939" spans="1:18" x14ac:dyDescent="0.4">
      <c r="A939" s="241">
        <v>45833</v>
      </c>
      <c r="B939" s="151" t="s">
        <v>55</v>
      </c>
      <c r="C939" s="140" t="s">
        <v>208</v>
      </c>
      <c r="D939" s="190">
        <v>12</v>
      </c>
      <c r="E939" s="77">
        <v>5</v>
      </c>
      <c r="F939" s="1"/>
      <c r="G939" s="76">
        <v>0.29166666666666669</v>
      </c>
      <c r="H939" s="76">
        <v>0.41250000000000003</v>
      </c>
      <c r="I939" s="173" t="s">
        <v>1437</v>
      </c>
      <c r="J939" s="23">
        <v>4</v>
      </c>
      <c r="K939" s="68">
        <v>6.9444444444444441E-3</v>
      </c>
      <c r="L939" s="68">
        <v>0.33333333333333331</v>
      </c>
      <c r="M939" s="68">
        <v>0.45833333333333331</v>
      </c>
      <c r="N939" s="173" t="s">
        <v>1256</v>
      </c>
      <c r="O939" s="23">
        <v>1630</v>
      </c>
      <c r="P939" s="70">
        <v>0.29166666666666669</v>
      </c>
      <c r="Q939" s="70">
        <v>0.45833333333333331</v>
      </c>
      <c r="R939" s="229" t="s">
        <v>1244</v>
      </c>
    </row>
    <row r="940" spans="1:18" x14ac:dyDescent="0.4">
      <c r="A940" s="241">
        <v>45833</v>
      </c>
      <c r="B940" s="151" t="s">
        <v>63</v>
      </c>
      <c r="C940" s="140" t="s">
        <v>267</v>
      </c>
      <c r="D940" s="190">
        <v>16</v>
      </c>
      <c r="E940" s="77">
        <v>5</v>
      </c>
      <c r="F940" s="1"/>
      <c r="G940" s="76">
        <v>0.59166666666666667</v>
      </c>
      <c r="H940" s="76">
        <v>0.75</v>
      </c>
      <c r="I940" s="173" t="s">
        <v>1511</v>
      </c>
      <c r="J940" s="23">
        <v>3</v>
      </c>
      <c r="K940" s="68">
        <v>6.9444444444444441E-3</v>
      </c>
      <c r="L940" s="68">
        <v>0.63888888888888895</v>
      </c>
      <c r="M940" s="68">
        <v>0.77083333333333337</v>
      </c>
      <c r="N940" s="173" t="s">
        <v>1250</v>
      </c>
      <c r="O940" s="23">
        <v>1740</v>
      </c>
      <c r="P940" s="70">
        <v>0.59166666666666667</v>
      </c>
      <c r="Q940" s="70">
        <v>0.77083333333333337</v>
      </c>
      <c r="R940" s="229" t="s">
        <v>1449</v>
      </c>
    </row>
    <row r="941" spans="1:18" x14ac:dyDescent="0.4">
      <c r="A941" s="241">
        <v>45833</v>
      </c>
      <c r="B941" s="151" t="s">
        <v>65</v>
      </c>
      <c r="C941" s="140" t="s">
        <v>189</v>
      </c>
      <c r="D941" s="190">
        <v>72</v>
      </c>
      <c r="E941" s="77">
        <v>3</v>
      </c>
      <c r="F941" s="76">
        <v>6.25E-2</v>
      </c>
      <c r="G941" s="76">
        <v>0.29166666666666669</v>
      </c>
      <c r="H941" s="76">
        <v>0.73263888888888884</v>
      </c>
      <c r="I941" s="173" t="s">
        <v>1610</v>
      </c>
      <c r="J941" s="23">
        <v>4</v>
      </c>
      <c r="K941" s="23"/>
      <c r="L941" s="68">
        <v>0.29166666666666669</v>
      </c>
      <c r="M941" s="68">
        <v>0.79166666666666663</v>
      </c>
      <c r="N941" s="173" t="s">
        <v>1318</v>
      </c>
      <c r="O941" s="23">
        <v>4635</v>
      </c>
      <c r="P941" s="70">
        <v>0.29166666666666669</v>
      </c>
      <c r="Q941" s="70">
        <v>0.79166666666666663</v>
      </c>
      <c r="R941" s="229" t="s">
        <v>1318</v>
      </c>
    </row>
    <row r="942" spans="1:18" x14ac:dyDescent="0.4">
      <c r="A942" s="400">
        <v>45834</v>
      </c>
      <c r="B942" s="398" t="s">
        <v>68</v>
      </c>
      <c r="C942" s="375" t="s">
        <v>185</v>
      </c>
      <c r="D942" s="399">
        <v>40</v>
      </c>
      <c r="E942" s="77">
        <v>6</v>
      </c>
      <c r="F942" s="1"/>
      <c r="G942" s="76">
        <v>0.29166666666666669</v>
      </c>
      <c r="H942" s="76">
        <v>0.6875</v>
      </c>
      <c r="I942" s="173" t="s">
        <v>990</v>
      </c>
      <c r="J942" s="23">
        <v>5</v>
      </c>
      <c r="K942" s="23"/>
      <c r="L942" s="68">
        <v>0.3125</v>
      </c>
      <c r="M942" s="68">
        <v>0.70833333333333337</v>
      </c>
      <c r="N942" s="173" t="s">
        <v>990</v>
      </c>
      <c r="O942" s="23">
        <v>5610</v>
      </c>
      <c r="P942" s="70">
        <v>0.29166666666666669</v>
      </c>
      <c r="Q942" s="70">
        <v>0.70833333333333337</v>
      </c>
      <c r="R942" s="229" t="s">
        <v>1252</v>
      </c>
    </row>
    <row r="943" spans="1:18" x14ac:dyDescent="0.4">
      <c r="A943" s="241">
        <v>45834</v>
      </c>
      <c r="B943" s="151" t="s">
        <v>110</v>
      </c>
      <c r="C943" s="140" t="s">
        <v>231</v>
      </c>
      <c r="D943" s="190">
        <v>21</v>
      </c>
      <c r="E943" s="77">
        <v>5</v>
      </c>
      <c r="F943" s="1"/>
      <c r="G943" s="76">
        <v>0.29166666666666669</v>
      </c>
      <c r="H943" s="76">
        <v>0.6875</v>
      </c>
      <c r="I943" s="173" t="s">
        <v>990</v>
      </c>
      <c r="J943" s="23">
        <v>9</v>
      </c>
      <c r="K943" s="23"/>
      <c r="L943" s="68">
        <v>0.33333333333333331</v>
      </c>
      <c r="M943" s="68">
        <v>0.70833333333333337</v>
      </c>
      <c r="N943" s="173" t="s">
        <v>1292</v>
      </c>
      <c r="O943" s="23">
        <v>6870</v>
      </c>
      <c r="P943" s="70">
        <v>0.29166666666666669</v>
      </c>
      <c r="Q943" s="70">
        <v>0.70833333333333337</v>
      </c>
      <c r="R943" s="229" t="s">
        <v>1252</v>
      </c>
    </row>
    <row r="944" spans="1:18" x14ac:dyDescent="0.4">
      <c r="A944" s="241">
        <v>45834</v>
      </c>
      <c r="B944" s="151" t="s">
        <v>65</v>
      </c>
      <c r="C944" s="140" t="s">
        <v>189</v>
      </c>
      <c r="D944" s="190">
        <v>72</v>
      </c>
      <c r="E944" s="77">
        <v>3</v>
      </c>
      <c r="F944" s="76">
        <v>6.25E-2</v>
      </c>
      <c r="G944" s="76">
        <v>0.29166666666666669</v>
      </c>
      <c r="H944" s="76">
        <v>0.72569444444444453</v>
      </c>
      <c r="I944" s="173" t="s">
        <v>1609</v>
      </c>
      <c r="J944" s="23">
        <v>4</v>
      </c>
      <c r="K944" s="23"/>
      <c r="L944" s="68">
        <v>0.29166666666666669</v>
      </c>
      <c r="M944" s="68">
        <v>0.77777777777777779</v>
      </c>
      <c r="N944" s="173" t="s">
        <v>1594</v>
      </c>
      <c r="O944" s="23">
        <v>4525</v>
      </c>
      <c r="P944" s="70">
        <v>0.29166666666666669</v>
      </c>
      <c r="Q944" s="70">
        <v>0.77777777777777779</v>
      </c>
      <c r="R944" s="229" t="s">
        <v>1594</v>
      </c>
    </row>
    <row r="945" spans="1:18" x14ac:dyDescent="0.4">
      <c r="A945" s="241">
        <v>45835</v>
      </c>
      <c r="B945" s="151" t="s">
        <v>114</v>
      </c>
      <c r="C945" s="140" t="s">
        <v>161</v>
      </c>
      <c r="D945" s="190">
        <v>15</v>
      </c>
      <c r="E945" s="77">
        <v>4</v>
      </c>
      <c r="F945" s="1"/>
      <c r="G945" s="76">
        <v>0.29166666666666669</v>
      </c>
      <c r="H945" s="76">
        <v>0.5</v>
      </c>
      <c r="I945" s="173" t="s">
        <v>1327</v>
      </c>
      <c r="J945" s="23">
        <v>13</v>
      </c>
      <c r="K945" s="23"/>
      <c r="L945" s="68">
        <v>0.3125</v>
      </c>
      <c r="M945" s="68">
        <v>0.58333333333333337</v>
      </c>
      <c r="N945" s="173" t="s">
        <v>1320</v>
      </c>
      <c r="O945" s="23">
        <v>5490</v>
      </c>
      <c r="P945" s="70">
        <v>0.29166666666666669</v>
      </c>
      <c r="Q945" s="70">
        <v>0.58333333333333337</v>
      </c>
      <c r="R945" s="229" t="s">
        <v>1321</v>
      </c>
    </row>
    <row r="946" spans="1:18" x14ac:dyDescent="0.4">
      <c r="A946" s="241">
        <v>45835</v>
      </c>
      <c r="B946" s="151" t="s">
        <v>473</v>
      </c>
      <c r="C946" s="140" t="s">
        <v>289</v>
      </c>
      <c r="D946" s="190">
        <v>6</v>
      </c>
      <c r="E946" s="77">
        <v>4</v>
      </c>
      <c r="F946" s="1"/>
      <c r="G946" s="76">
        <v>0.54166666666666663</v>
      </c>
      <c r="H946" s="76">
        <v>0.66666666666666663</v>
      </c>
      <c r="I946" s="173" t="s">
        <v>1316</v>
      </c>
      <c r="J946" s="23">
        <v>13</v>
      </c>
      <c r="K946" s="23"/>
      <c r="L946" s="68">
        <v>0.58333333333333337</v>
      </c>
      <c r="M946" s="68">
        <v>0.70833333333333337</v>
      </c>
      <c r="N946" s="173" t="s">
        <v>1316</v>
      </c>
      <c r="O946" s="23">
        <v>3060</v>
      </c>
      <c r="P946" s="70">
        <v>0.54166666666666663</v>
      </c>
      <c r="Q946" s="70">
        <v>0.70833333333333337</v>
      </c>
      <c r="R946" s="229" t="s">
        <v>1244</v>
      </c>
    </row>
    <row r="947" spans="1:18" x14ac:dyDescent="0.4">
      <c r="A947" s="241">
        <v>45835</v>
      </c>
      <c r="B947" s="151" t="s">
        <v>77</v>
      </c>
      <c r="C947" s="140" t="s">
        <v>293</v>
      </c>
      <c r="D947" s="190">
        <v>8</v>
      </c>
      <c r="E947" s="77">
        <v>5</v>
      </c>
      <c r="F947" s="1"/>
      <c r="G947" s="76">
        <v>0.36736111111111108</v>
      </c>
      <c r="H947" s="76">
        <v>0.42222222222222222</v>
      </c>
      <c r="I947" s="173" t="s">
        <v>1611</v>
      </c>
      <c r="J947" s="23">
        <v>3</v>
      </c>
      <c r="K947" s="68">
        <v>6.9444444444444441E-3</v>
      </c>
      <c r="L947" s="68">
        <v>0.375</v>
      </c>
      <c r="M947" s="68">
        <v>0.4513888888888889</v>
      </c>
      <c r="N947" s="173" t="s">
        <v>1296</v>
      </c>
      <c r="O947" s="23">
        <v>755</v>
      </c>
      <c r="P947" s="70">
        <v>0.36736111111111108</v>
      </c>
      <c r="Q947" s="70">
        <v>0.4513888888888889</v>
      </c>
      <c r="R947" s="229" t="s">
        <v>1440</v>
      </c>
    </row>
    <row r="948" spans="1:18" x14ac:dyDescent="0.4">
      <c r="A948" s="241">
        <v>45835</v>
      </c>
      <c r="B948" s="151" t="s">
        <v>133</v>
      </c>
      <c r="C948" s="140" t="s">
        <v>271</v>
      </c>
      <c r="D948" s="190">
        <v>6</v>
      </c>
      <c r="E948" s="77">
        <v>5</v>
      </c>
      <c r="F948" s="1"/>
      <c r="G948" s="76">
        <v>0.29166666666666669</v>
      </c>
      <c r="H948" s="76">
        <v>0.36736111111111108</v>
      </c>
      <c r="I948" s="173" t="s">
        <v>1532</v>
      </c>
      <c r="J948" s="23">
        <v>3</v>
      </c>
      <c r="K948" s="68">
        <v>6.9444444444444441E-3</v>
      </c>
      <c r="L948" s="68">
        <v>0.33333333333333331</v>
      </c>
      <c r="M948" s="68">
        <v>0.39583333333333331</v>
      </c>
      <c r="N948" s="173" t="s">
        <v>1386</v>
      </c>
      <c r="O948" s="23">
        <v>845</v>
      </c>
      <c r="P948" s="70">
        <v>0.29166666666666669</v>
      </c>
      <c r="Q948" s="70">
        <v>0.39583333333333331</v>
      </c>
      <c r="R948" s="229" t="s">
        <v>1298</v>
      </c>
    </row>
    <row r="949" spans="1:18" x14ac:dyDescent="0.4">
      <c r="A949" s="241">
        <v>45835</v>
      </c>
      <c r="B949" s="151" t="s">
        <v>63</v>
      </c>
      <c r="C949" s="140" t="s">
        <v>267</v>
      </c>
      <c r="D949" s="190">
        <v>24</v>
      </c>
      <c r="E949" s="77">
        <v>5</v>
      </c>
      <c r="F949" s="1"/>
      <c r="G949" s="76">
        <v>0.42222222222222222</v>
      </c>
      <c r="H949" s="76">
        <v>0.66666666666666663</v>
      </c>
      <c r="I949" s="173" t="s">
        <v>1502</v>
      </c>
      <c r="J949" s="23">
        <v>3</v>
      </c>
      <c r="K949" s="68">
        <v>6.9444444444444441E-3</v>
      </c>
      <c r="L949" s="68">
        <v>0.4513888888888889</v>
      </c>
      <c r="M949" s="68">
        <v>0.6875</v>
      </c>
      <c r="N949" s="173" t="s">
        <v>1258</v>
      </c>
      <c r="O949" s="23">
        <v>2330</v>
      </c>
      <c r="P949" s="70">
        <v>0.42222222222222222</v>
      </c>
      <c r="Q949" s="70">
        <v>0.6875</v>
      </c>
      <c r="R949" s="229" t="s">
        <v>1396</v>
      </c>
    </row>
    <row r="950" spans="1:18" x14ac:dyDescent="0.4">
      <c r="A950" s="241">
        <v>45835</v>
      </c>
      <c r="B950" s="151" t="s">
        <v>104</v>
      </c>
      <c r="C950" s="140" t="s">
        <v>191</v>
      </c>
      <c r="D950" s="190">
        <v>72</v>
      </c>
      <c r="E950" s="77">
        <v>3</v>
      </c>
      <c r="F950" s="76">
        <v>6.25E-2</v>
      </c>
      <c r="G950" s="76">
        <v>0.29166666666666669</v>
      </c>
      <c r="H950" s="76">
        <v>0.67361111111111116</v>
      </c>
      <c r="I950" s="173" t="s">
        <v>1350</v>
      </c>
      <c r="J950" s="23">
        <v>4</v>
      </c>
      <c r="K950" s="23"/>
      <c r="L950" s="68">
        <v>0.29166666666666669</v>
      </c>
      <c r="M950" s="68">
        <v>0.72916666666666663</v>
      </c>
      <c r="N950" s="173" t="s">
        <v>1247</v>
      </c>
      <c r="O950" s="23">
        <v>4020</v>
      </c>
      <c r="P950" s="70">
        <v>0.29166666666666669</v>
      </c>
      <c r="Q950" s="70">
        <v>0.72916666666666663</v>
      </c>
      <c r="R950" s="229" t="s">
        <v>1247</v>
      </c>
    </row>
    <row r="951" spans="1:18" x14ac:dyDescent="0.4">
      <c r="A951" s="241">
        <v>45836</v>
      </c>
      <c r="B951" s="151" t="s">
        <v>65</v>
      </c>
      <c r="C951" s="140" t="s">
        <v>189</v>
      </c>
      <c r="D951" s="190">
        <v>60</v>
      </c>
      <c r="E951" s="77">
        <v>3</v>
      </c>
      <c r="F951" s="76">
        <v>4.1666666666666664E-2</v>
      </c>
      <c r="G951" s="76">
        <v>0.29166666666666669</v>
      </c>
      <c r="H951" s="76">
        <v>0.69097222222222221</v>
      </c>
      <c r="I951" s="173" t="s">
        <v>1606</v>
      </c>
      <c r="J951" s="23">
        <v>4</v>
      </c>
      <c r="K951" s="23"/>
      <c r="L951" s="68">
        <v>0.29166666666666669</v>
      </c>
      <c r="M951" s="68">
        <v>0.74305555555555547</v>
      </c>
      <c r="N951" s="173" t="s">
        <v>1612</v>
      </c>
      <c r="O951" s="23">
        <v>4085</v>
      </c>
      <c r="P951" s="70">
        <v>0.29166666666666669</v>
      </c>
      <c r="Q951" s="70">
        <v>0.74305555555555547</v>
      </c>
      <c r="R951" s="229" t="s">
        <v>1612</v>
      </c>
    </row>
    <row r="952" spans="1:18" x14ac:dyDescent="0.4">
      <c r="A952" s="240">
        <v>45838</v>
      </c>
      <c r="B952" s="151" t="s">
        <v>64</v>
      </c>
      <c r="C952" s="30" t="s">
        <v>271</v>
      </c>
      <c r="D952" s="190">
        <v>24</v>
      </c>
      <c r="E952" s="77">
        <v>5</v>
      </c>
      <c r="F952" s="1"/>
      <c r="G952" s="76">
        <v>0.29166666666666669</v>
      </c>
      <c r="H952" s="76">
        <v>0.5</v>
      </c>
      <c r="I952" s="173" t="s">
        <v>1327</v>
      </c>
      <c r="J952" s="23">
        <v>3</v>
      </c>
      <c r="K952" s="68">
        <v>1.0416666666666666E-2</v>
      </c>
      <c r="L952" s="68">
        <v>0.33333333333333331</v>
      </c>
      <c r="M952" s="68">
        <v>0.5625</v>
      </c>
      <c r="N952" s="173" t="s">
        <v>1335</v>
      </c>
      <c r="O952" s="23">
        <v>2355</v>
      </c>
      <c r="P952" s="70">
        <v>0.29166666666666669</v>
      </c>
      <c r="Q952" s="70">
        <v>0.5625</v>
      </c>
      <c r="R952" s="229" t="s">
        <v>1320</v>
      </c>
    </row>
    <row r="953" spans="1:18" x14ac:dyDescent="0.4">
      <c r="A953" s="240">
        <v>45838</v>
      </c>
      <c r="B953" s="151" t="s">
        <v>63</v>
      </c>
      <c r="C953" s="30" t="s">
        <v>267</v>
      </c>
      <c r="D953" s="190">
        <v>16</v>
      </c>
      <c r="E953" s="77">
        <v>5</v>
      </c>
      <c r="F953" s="1"/>
      <c r="G953" s="76">
        <v>0.54166666666666663</v>
      </c>
      <c r="H953" s="76">
        <v>0.66666666666666663</v>
      </c>
      <c r="I953" s="173" t="s">
        <v>1316</v>
      </c>
      <c r="J953" s="23">
        <v>3</v>
      </c>
      <c r="K953" s="68">
        <v>1.0416666666666666E-2</v>
      </c>
      <c r="L953" s="68">
        <v>0.54166666666666663</v>
      </c>
      <c r="M953" s="68">
        <v>0.6875</v>
      </c>
      <c r="N953" s="173" t="s">
        <v>1380</v>
      </c>
      <c r="O953" s="23">
        <v>1575</v>
      </c>
      <c r="P953" s="70">
        <v>0.54166666666666663</v>
      </c>
      <c r="Q953" s="70">
        <v>0.6875</v>
      </c>
      <c r="R953" s="229" t="s">
        <v>1303</v>
      </c>
    </row>
    <row r="954" spans="1:18" x14ac:dyDescent="0.4">
      <c r="A954" s="240">
        <v>45838</v>
      </c>
      <c r="B954" s="151" t="s">
        <v>73</v>
      </c>
      <c r="C954" s="30" t="s">
        <v>231</v>
      </c>
      <c r="D954" s="190">
        <v>21</v>
      </c>
      <c r="E954" s="77">
        <v>5</v>
      </c>
      <c r="F954" s="1"/>
      <c r="G954" s="76">
        <v>0.29166666666666669</v>
      </c>
      <c r="H954" s="76">
        <v>0.68055555555555547</v>
      </c>
      <c r="I954" s="173" t="s">
        <v>1465</v>
      </c>
      <c r="J954" s="23">
        <v>9</v>
      </c>
      <c r="K954" s="23"/>
      <c r="L954" s="68">
        <v>0.33333333333333331</v>
      </c>
      <c r="M954" s="68">
        <v>0.70833333333333337</v>
      </c>
      <c r="N954" s="173" t="s">
        <v>1292</v>
      </c>
      <c r="O954" s="23">
        <v>6820</v>
      </c>
      <c r="P954" s="70">
        <v>0.29166666666666669</v>
      </c>
      <c r="Q954" s="70">
        <v>0.70833333333333337</v>
      </c>
      <c r="R954" s="229" t="s">
        <v>1252</v>
      </c>
    </row>
    <row r="955" spans="1:18" x14ac:dyDescent="0.4">
      <c r="A955" s="240">
        <v>45838</v>
      </c>
      <c r="B955" s="151" t="s">
        <v>97</v>
      </c>
      <c r="C955" s="30" t="s">
        <v>274</v>
      </c>
      <c r="D955" s="190">
        <v>16</v>
      </c>
      <c r="E955" s="77">
        <v>3</v>
      </c>
      <c r="F955" s="76">
        <v>2.0833333333333332E-2</v>
      </c>
      <c r="G955" s="76">
        <v>0.29166666666666669</v>
      </c>
      <c r="H955" s="76">
        <v>0.37847222222222227</v>
      </c>
      <c r="I955" s="173" t="s">
        <v>1301</v>
      </c>
      <c r="J955" s="23">
        <v>4</v>
      </c>
      <c r="K955" s="68">
        <v>2.0833333333333332E-2</v>
      </c>
      <c r="L955" s="68">
        <v>0.33333333333333331</v>
      </c>
      <c r="M955" s="68">
        <v>0.42708333333333331</v>
      </c>
      <c r="N955" s="173" t="s">
        <v>1315</v>
      </c>
      <c r="O955" s="23">
        <v>1125</v>
      </c>
      <c r="P955" s="70">
        <v>0.29166666666666669</v>
      </c>
      <c r="Q955" s="70">
        <v>0.42708333333333331</v>
      </c>
      <c r="R955" s="229" t="s">
        <v>1391</v>
      </c>
    </row>
    <row r="956" spans="1:18" x14ac:dyDescent="0.4">
      <c r="A956" s="240">
        <v>45838</v>
      </c>
      <c r="B956" s="151" t="s">
        <v>65</v>
      </c>
      <c r="C956" s="30" t="s">
        <v>189</v>
      </c>
      <c r="D956" s="190">
        <v>56</v>
      </c>
      <c r="E956" s="77">
        <v>3</v>
      </c>
      <c r="F956" s="76">
        <v>2.0833333333333332E-2</v>
      </c>
      <c r="G956" s="76">
        <v>0.37847222222222227</v>
      </c>
      <c r="H956" s="76">
        <v>0.73611111111111116</v>
      </c>
      <c r="I956" s="173" t="s">
        <v>1498</v>
      </c>
      <c r="J956" s="23">
        <v>4</v>
      </c>
      <c r="K956" s="68">
        <v>2.0833333333333332E-2</v>
      </c>
      <c r="L956" s="68">
        <v>0.4201388888888889</v>
      </c>
      <c r="M956" s="68">
        <v>0.79513888888888884</v>
      </c>
      <c r="N956" s="173" t="s">
        <v>990</v>
      </c>
      <c r="O956" s="23">
        <v>3495</v>
      </c>
      <c r="P956" s="70">
        <v>0.37847222222222227</v>
      </c>
      <c r="Q956" s="70">
        <v>0.79513888888888884</v>
      </c>
      <c r="R956" s="229" t="s">
        <v>1252</v>
      </c>
    </row>
    <row r="957" spans="1:18" x14ac:dyDescent="0.4">
      <c r="A957" s="240">
        <v>45839</v>
      </c>
      <c r="B957" s="151" t="s">
        <v>71</v>
      </c>
      <c r="C957" s="30" t="s">
        <v>176</v>
      </c>
      <c r="D957" s="190">
        <v>72</v>
      </c>
      <c r="E957" s="77">
        <v>6</v>
      </c>
      <c r="F957" s="1"/>
      <c r="G957" s="76">
        <v>0.29166666666666669</v>
      </c>
      <c r="H957" s="76">
        <v>0.6875</v>
      </c>
      <c r="I957" s="173" t="s">
        <v>990</v>
      </c>
      <c r="J957" s="23">
        <v>5</v>
      </c>
      <c r="K957" s="68">
        <v>2.0833333333333332E-2</v>
      </c>
      <c r="L957" s="68">
        <v>0.33333333333333331</v>
      </c>
      <c r="M957" s="68">
        <v>0.70833333333333337</v>
      </c>
      <c r="N957" s="173" t="s">
        <v>990</v>
      </c>
      <c r="O957" s="23">
        <v>5610</v>
      </c>
      <c r="P957" s="70">
        <v>0.29166666666666669</v>
      </c>
      <c r="Q957" s="70">
        <v>0.70833333333333337</v>
      </c>
      <c r="R957" s="229" t="s">
        <v>1252</v>
      </c>
    </row>
    <row r="958" spans="1:18" x14ac:dyDescent="0.4">
      <c r="A958" s="244">
        <v>45839</v>
      </c>
      <c r="B958" s="213">
        <v>111010</v>
      </c>
      <c r="C958" s="136" t="s">
        <v>480</v>
      </c>
      <c r="D958" s="214">
        <v>1</v>
      </c>
      <c r="E958" s="103"/>
      <c r="F958" s="104"/>
      <c r="G958" s="184"/>
      <c r="H958" s="184"/>
      <c r="I958" s="225" t="s">
        <v>1002</v>
      </c>
      <c r="J958" s="105"/>
      <c r="K958" s="105"/>
      <c r="L958" s="106"/>
      <c r="M958" s="106"/>
      <c r="N958" s="225" t="s">
        <v>1002</v>
      </c>
      <c r="O958" s="105">
        <v>0</v>
      </c>
      <c r="P958" s="70">
        <v>0</v>
      </c>
      <c r="Q958" s="70">
        <v>0</v>
      </c>
      <c r="R958" s="232" t="s">
        <v>1002</v>
      </c>
    </row>
    <row r="959" spans="1:18" x14ac:dyDescent="0.4">
      <c r="A959" s="240">
        <v>45839</v>
      </c>
      <c r="B959" s="151" t="s">
        <v>107</v>
      </c>
      <c r="C959" s="30" t="s">
        <v>314</v>
      </c>
      <c r="D959" s="190">
        <v>8</v>
      </c>
      <c r="E959" s="77">
        <v>5</v>
      </c>
      <c r="F959" s="1"/>
      <c r="G959" s="76">
        <v>0.375</v>
      </c>
      <c r="H959" s="76">
        <v>0.5</v>
      </c>
      <c r="I959" s="173" t="s">
        <v>1316</v>
      </c>
      <c r="J959" s="23">
        <v>3</v>
      </c>
      <c r="K959" s="68">
        <v>5.5555555555555558E-3</v>
      </c>
      <c r="L959" s="68">
        <v>0.4201388888888889</v>
      </c>
      <c r="M959" s="68">
        <v>0.55555555555555558</v>
      </c>
      <c r="N959" s="173" t="s">
        <v>1389</v>
      </c>
      <c r="O959" s="23">
        <v>1329</v>
      </c>
      <c r="P959" s="70">
        <v>0.375</v>
      </c>
      <c r="Q959" s="70">
        <v>0.55555555555555558</v>
      </c>
      <c r="R959" s="229" t="s">
        <v>1250</v>
      </c>
    </row>
    <row r="960" spans="1:18" x14ac:dyDescent="0.4">
      <c r="A960" s="240">
        <v>45839</v>
      </c>
      <c r="B960" s="151" t="s">
        <v>75</v>
      </c>
      <c r="C960" s="30" t="s">
        <v>229</v>
      </c>
      <c r="D960" s="190">
        <v>8</v>
      </c>
      <c r="E960" s="77">
        <v>5</v>
      </c>
      <c r="F960" s="1"/>
      <c r="G960" s="76">
        <v>0.29166666666666669</v>
      </c>
      <c r="H960" s="76">
        <v>0.375</v>
      </c>
      <c r="I960" s="173" t="s">
        <v>1296</v>
      </c>
      <c r="J960" s="23">
        <v>3</v>
      </c>
      <c r="K960" s="68">
        <v>5.5555555555555558E-3</v>
      </c>
      <c r="L960" s="68">
        <v>0.33333333333333331</v>
      </c>
      <c r="M960" s="68">
        <v>0.4201388888888889</v>
      </c>
      <c r="N960" s="173" t="s">
        <v>1582</v>
      </c>
      <c r="O960" s="23">
        <v>999</v>
      </c>
      <c r="P960" s="70">
        <v>0.29166666666666669</v>
      </c>
      <c r="Q960" s="70">
        <v>0.4201388888888889</v>
      </c>
      <c r="R960" s="229" t="s">
        <v>1251</v>
      </c>
    </row>
    <row r="961" spans="1:18" x14ac:dyDescent="0.4">
      <c r="A961" s="240">
        <v>45839</v>
      </c>
      <c r="B961" s="151" t="s">
        <v>99</v>
      </c>
      <c r="C961" s="30" t="s">
        <v>259</v>
      </c>
      <c r="D961" s="190">
        <v>6</v>
      </c>
      <c r="E961" s="77">
        <v>5</v>
      </c>
      <c r="F961" s="1"/>
      <c r="G961" s="76">
        <v>0.54166666666666663</v>
      </c>
      <c r="H961" s="76">
        <v>0.59305555555555556</v>
      </c>
      <c r="I961" s="173" t="s">
        <v>1540</v>
      </c>
      <c r="J961" s="23">
        <v>3</v>
      </c>
      <c r="K961" s="68">
        <v>5.5555555555555558E-3</v>
      </c>
      <c r="L961" s="68">
        <v>0.55555555555555558</v>
      </c>
      <c r="M961" s="68">
        <v>0.63194444444444442</v>
      </c>
      <c r="N961" s="173" t="s">
        <v>1411</v>
      </c>
      <c r="O961" s="23">
        <v>724</v>
      </c>
      <c r="P961" s="70">
        <v>0.54166666666666663</v>
      </c>
      <c r="Q961" s="70">
        <v>0.63194444444444442</v>
      </c>
      <c r="R961" s="229" t="s">
        <v>1248</v>
      </c>
    </row>
    <row r="962" spans="1:18" x14ac:dyDescent="0.4">
      <c r="A962" s="240">
        <v>45839</v>
      </c>
      <c r="B962" s="151" t="s">
        <v>1046</v>
      </c>
      <c r="C962" s="30" t="s">
        <v>1057</v>
      </c>
      <c r="D962" s="190">
        <v>8</v>
      </c>
      <c r="E962" s="77">
        <v>5</v>
      </c>
      <c r="F962" s="1"/>
      <c r="G962" s="76">
        <v>0.59305555555555556</v>
      </c>
      <c r="H962" s="76">
        <v>0.6875</v>
      </c>
      <c r="I962" s="173" t="s">
        <v>1539</v>
      </c>
      <c r="J962" s="23">
        <v>3</v>
      </c>
      <c r="K962" s="68">
        <v>5.5555555555555558E-3</v>
      </c>
      <c r="L962" s="68">
        <v>0.63194444444444442</v>
      </c>
      <c r="M962" s="68">
        <v>0.70833333333333337</v>
      </c>
      <c r="N962" s="173" t="s">
        <v>1411</v>
      </c>
      <c r="O962" s="23">
        <v>1034</v>
      </c>
      <c r="P962" s="70">
        <v>0.59305555555555556</v>
      </c>
      <c r="Q962" s="70">
        <v>0.70833333333333337</v>
      </c>
      <c r="R962" s="229" t="s">
        <v>1574</v>
      </c>
    </row>
    <row r="963" spans="1:18" x14ac:dyDescent="0.4">
      <c r="A963" s="240">
        <v>45839</v>
      </c>
      <c r="B963" s="151" t="s">
        <v>58</v>
      </c>
      <c r="C963" s="30" t="s">
        <v>165</v>
      </c>
      <c r="D963" s="190">
        <v>40</v>
      </c>
      <c r="E963" s="77">
        <v>3</v>
      </c>
      <c r="F963" s="76">
        <v>4.1666666666666664E-2</v>
      </c>
      <c r="G963" s="76">
        <v>0.29166666666666669</v>
      </c>
      <c r="H963" s="76">
        <v>0.62847222222222221</v>
      </c>
      <c r="I963" s="173" t="s">
        <v>1498</v>
      </c>
      <c r="J963" s="23">
        <v>6</v>
      </c>
      <c r="K963" s="23"/>
      <c r="L963" s="68">
        <v>0.29166666666666669</v>
      </c>
      <c r="M963" s="68">
        <v>0.69097222222222221</v>
      </c>
      <c r="N963" s="173" t="s">
        <v>1613</v>
      </c>
      <c r="O963" s="23">
        <v>4545</v>
      </c>
      <c r="P963" s="70">
        <v>0.29166666666666669</v>
      </c>
      <c r="Q963" s="70">
        <v>0.69097222222222221</v>
      </c>
      <c r="R963" s="229" t="s">
        <v>1613</v>
      </c>
    </row>
    <row r="964" spans="1:18" x14ac:dyDescent="0.4">
      <c r="A964" s="240">
        <v>45840</v>
      </c>
      <c r="B964" s="151" t="s">
        <v>61</v>
      </c>
      <c r="C964" s="30" t="s">
        <v>156</v>
      </c>
      <c r="D964" s="190">
        <v>24</v>
      </c>
      <c r="E964" s="77">
        <v>5</v>
      </c>
      <c r="F964" s="1"/>
      <c r="G964" s="76">
        <v>0.29166666666666669</v>
      </c>
      <c r="H964" s="76">
        <v>0.5</v>
      </c>
      <c r="I964" s="173" t="s">
        <v>1327</v>
      </c>
      <c r="J964" s="23">
        <v>10</v>
      </c>
      <c r="K964" s="68">
        <v>1.0416666666666666E-2</v>
      </c>
      <c r="L964" s="68">
        <v>0.33333333333333331</v>
      </c>
      <c r="M964" s="68">
        <v>0.55555555555555558</v>
      </c>
      <c r="N964" s="173" t="s">
        <v>1304</v>
      </c>
      <c r="O964" s="23">
        <v>4250</v>
      </c>
      <c r="P964" s="70">
        <v>0.29166666666666669</v>
      </c>
      <c r="Q964" s="70">
        <v>0.55555555555555558</v>
      </c>
      <c r="R964" s="229" t="s">
        <v>1357</v>
      </c>
    </row>
    <row r="965" spans="1:18" x14ac:dyDescent="0.4">
      <c r="A965" s="240">
        <v>45840</v>
      </c>
      <c r="B965" s="151" t="s">
        <v>91</v>
      </c>
      <c r="C965" s="30" t="s">
        <v>163</v>
      </c>
      <c r="D965" s="190">
        <v>8</v>
      </c>
      <c r="E965" s="77">
        <v>5</v>
      </c>
      <c r="F965" s="1"/>
      <c r="G965" s="76">
        <v>0.52083333333333337</v>
      </c>
      <c r="H965" s="76">
        <v>0.66666666666666663</v>
      </c>
      <c r="I965" s="173" t="s">
        <v>1303</v>
      </c>
      <c r="J965" s="23">
        <v>9</v>
      </c>
      <c r="K965" s="68">
        <v>1.0416666666666666E-2</v>
      </c>
      <c r="L965" s="68">
        <v>0.55555555555555558</v>
      </c>
      <c r="M965" s="68">
        <v>0.70833333333333337</v>
      </c>
      <c r="N965" s="173" t="s">
        <v>1359</v>
      </c>
      <c r="O965" s="23">
        <v>3165</v>
      </c>
      <c r="P965" s="70">
        <v>0.52083333333333337</v>
      </c>
      <c r="Q965" s="70">
        <v>0.70833333333333337</v>
      </c>
      <c r="R965" s="229" t="s">
        <v>1243</v>
      </c>
    </row>
    <row r="966" spans="1:18" x14ac:dyDescent="0.4">
      <c r="A966" s="240">
        <v>45840</v>
      </c>
      <c r="B966" s="151" t="s">
        <v>63</v>
      </c>
      <c r="C966" s="30" t="s">
        <v>267</v>
      </c>
      <c r="D966" s="190">
        <v>24</v>
      </c>
      <c r="E966" s="77">
        <v>5</v>
      </c>
      <c r="F966" s="1"/>
      <c r="G966" s="76">
        <v>0.44097222222222227</v>
      </c>
      <c r="H966" s="76">
        <v>0.6875</v>
      </c>
      <c r="I966" s="173" t="s">
        <v>1305</v>
      </c>
      <c r="J966" s="23">
        <v>3</v>
      </c>
      <c r="K966" s="23"/>
      <c r="L966" s="68">
        <v>0.46527777777777773</v>
      </c>
      <c r="M966" s="68">
        <v>0.70833333333333337</v>
      </c>
      <c r="N966" s="173" t="s">
        <v>1258</v>
      </c>
      <c r="O966" s="23">
        <v>2345</v>
      </c>
      <c r="P966" s="70">
        <v>0.44097222222222227</v>
      </c>
      <c r="Q966" s="70">
        <v>0.70833333333333337</v>
      </c>
      <c r="R966" s="229" t="s">
        <v>1306</v>
      </c>
    </row>
    <row r="967" spans="1:18" x14ac:dyDescent="0.4">
      <c r="A967" s="240">
        <v>45840</v>
      </c>
      <c r="B967" s="151" t="s">
        <v>54</v>
      </c>
      <c r="C967" s="30" t="s">
        <v>251</v>
      </c>
      <c r="D967" s="190">
        <v>20</v>
      </c>
      <c r="E967" s="77">
        <v>5</v>
      </c>
      <c r="F967" s="1"/>
      <c r="G967" s="76">
        <v>0.29166666666666669</v>
      </c>
      <c r="H967" s="76">
        <v>0.44097222222222227</v>
      </c>
      <c r="I967" s="173" t="s">
        <v>1355</v>
      </c>
      <c r="J967" s="23">
        <v>3</v>
      </c>
      <c r="K967" s="23"/>
      <c r="L967" s="68">
        <v>0.3263888888888889</v>
      </c>
      <c r="M967" s="68">
        <v>0.46527777777777773</v>
      </c>
      <c r="N967" s="173" t="s">
        <v>1250</v>
      </c>
      <c r="O967" s="23">
        <v>1675</v>
      </c>
      <c r="P967" s="70">
        <v>0.29166666666666669</v>
      </c>
      <c r="Q967" s="70">
        <v>0.46527777777777773</v>
      </c>
      <c r="R967" s="229" t="s">
        <v>1311</v>
      </c>
    </row>
    <row r="968" spans="1:18" x14ac:dyDescent="0.4">
      <c r="A968" s="240">
        <v>45840</v>
      </c>
      <c r="B968" s="151" t="s">
        <v>65</v>
      </c>
      <c r="C968" s="30" t="s">
        <v>189</v>
      </c>
      <c r="D968" s="190">
        <v>72</v>
      </c>
      <c r="E968" s="77">
        <v>3</v>
      </c>
      <c r="F968" s="76">
        <v>4.1666666666666664E-2</v>
      </c>
      <c r="G968" s="76">
        <v>0.29166666666666669</v>
      </c>
      <c r="H968" s="76">
        <v>0.72222222222222221</v>
      </c>
      <c r="I968" s="173" t="s">
        <v>1614</v>
      </c>
      <c r="J968" s="23">
        <v>4</v>
      </c>
      <c r="K968" s="23"/>
      <c r="L968" s="68">
        <v>0.29166666666666669</v>
      </c>
      <c r="M968" s="68">
        <v>0.78819444444444453</v>
      </c>
      <c r="N968" s="173" t="s">
        <v>1609</v>
      </c>
      <c r="O968" s="23">
        <v>4480</v>
      </c>
      <c r="P968" s="70">
        <v>0.29166666666666669</v>
      </c>
      <c r="Q968" s="70">
        <v>0.78819444444444453</v>
      </c>
      <c r="R968" s="229" t="s">
        <v>1609</v>
      </c>
    </row>
    <row r="969" spans="1:18" x14ac:dyDescent="0.4">
      <c r="A969" s="240">
        <v>45841</v>
      </c>
      <c r="B969" s="151" t="s">
        <v>71</v>
      </c>
      <c r="C969" s="30" t="s">
        <v>176</v>
      </c>
      <c r="D969" s="190">
        <v>36</v>
      </c>
      <c r="E969" s="77">
        <v>5</v>
      </c>
      <c r="F969" s="1"/>
      <c r="G969" s="76">
        <v>0.29166666666666669</v>
      </c>
      <c r="H969" s="76">
        <v>0.5</v>
      </c>
      <c r="I969" s="173" t="s">
        <v>1327</v>
      </c>
      <c r="J969" s="23">
        <v>6</v>
      </c>
      <c r="K969" s="23"/>
      <c r="L969" s="68">
        <v>0.3125</v>
      </c>
      <c r="M969" s="68">
        <v>0.5</v>
      </c>
      <c r="N969" s="173" t="s">
        <v>1243</v>
      </c>
      <c r="O969" s="23">
        <v>3120</v>
      </c>
      <c r="P969" s="70">
        <v>0.29166666666666669</v>
      </c>
      <c r="Q969" s="70">
        <v>0.5</v>
      </c>
      <c r="R969" s="229" t="s">
        <v>1327</v>
      </c>
    </row>
    <row r="970" spans="1:18" x14ac:dyDescent="0.4">
      <c r="A970" s="240">
        <v>45841</v>
      </c>
      <c r="B970" s="151" t="s">
        <v>87</v>
      </c>
      <c r="C970" s="30" t="s">
        <v>199</v>
      </c>
      <c r="D970" s="190">
        <v>36</v>
      </c>
      <c r="E970" s="77">
        <v>5</v>
      </c>
      <c r="F970" s="1"/>
      <c r="G970" s="76">
        <v>0.54166666666666663</v>
      </c>
      <c r="H970" s="76">
        <v>0.70833333333333337</v>
      </c>
      <c r="I970" s="173" t="s">
        <v>1244</v>
      </c>
      <c r="J970" s="23">
        <v>6</v>
      </c>
      <c r="K970" s="23"/>
      <c r="L970" s="68">
        <v>0.54166666666666663</v>
      </c>
      <c r="M970" s="68">
        <v>0.70833333333333337</v>
      </c>
      <c r="N970" s="173" t="s">
        <v>1244</v>
      </c>
      <c r="O970" s="23">
        <v>2640</v>
      </c>
      <c r="P970" s="70">
        <v>0.54166666666666663</v>
      </c>
      <c r="Q970" s="70">
        <v>0.70833333333333337</v>
      </c>
      <c r="R970" s="229" t="s">
        <v>1244</v>
      </c>
    </row>
    <row r="971" spans="1:18" x14ac:dyDescent="0.4">
      <c r="A971" s="240">
        <v>45841</v>
      </c>
      <c r="B971" s="151" t="s">
        <v>54</v>
      </c>
      <c r="C971" s="30" t="s">
        <v>251</v>
      </c>
      <c r="D971" s="190">
        <v>24</v>
      </c>
      <c r="E971" s="77">
        <v>5</v>
      </c>
      <c r="F971" s="1"/>
      <c r="G971" s="76">
        <v>0.29166666666666669</v>
      </c>
      <c r="H971" s="76">
        <v>0.5</v>
      </c>
      <c r="I971" s="173" t="s">
        <v>1327</v>
      </c>
      <c r="J971" s="23">
        <v>3</v>
      </c>
      <c r="K971" s="68">
        <v>1.0416666666666666E-2</v>
      </c>
      <c r="L971" s="68">
        <v>0.3263888888888889</v>
      </c>
      <c r="M971" s="68">
        <v>0.56944444444444442</v>
      </c>
      <c r="N971" s="173" t="s">
        <v>1466</v>
      </c>
      <c r="O971" s="23">
        <v>2415</v>
      </c>
      <c r="P971" s="70">
        <v>0.29166666666666669</v>
      </c>
      <c r="Q971" s="70">
        <v>0.56944444444444442</v>
      </c>
      <c r="R971" s="229" t="s">
        <v>1339</v>
      </c>
    </row>
    <row r="972" spans="1:18" x14ac:dyDescent="0.4">
      <c r="A972" s="240">
        <v>45841</v>
      </c>
      <c r="B972" s="151" t="s">
        <v>109</v>
      </c>
      <c r="C972" s="30" t="s">
        <v>263</v>
      </c>
      <c r="D972" s="190">
        <v>12</v>
      </c>
      <c r="E972" s="77">
        <v>5</v>
      </c>
      <c r="F972" s="1"/>
      <c r="G972" s="76">
        <v>0.54166666666666663</v>
      </c>
      <c r="H972" s="76">
        <v>0.66666666666666663</v>
      </c>
      <c r="I972" s="173" t="s">
        <v>1316</v>
      </c>
      <c r="J972" s="23">
        <v>3</v>
      </c>
      <c r="K972" s="68">
        <v>1.0416666666666666E-2</v>
      </c>
      <c r="L972" s="68">
        <v>0.56944444444444442</v>
      </c>
      <c r="M972" s="68">
        <v>0.6875</v>
      </c>
      <c r="N972" s="173" t="s">
        <v>1251</v>
      </c>
      <c r="O972" s="23">
        <v>1455</v>
      </c>
      <c r="P972" s="70">
        <v>0.54166666666666663</v>
      </c>
      <c r="Q972" s="70">
        <v>0.6875</v>
      </c>
      <c r="R972" s="229" t="s">
        <v>1303</v>
      </c>
    </row>
    <row r="973" spans="1:18" x14ac:dyDescent="0.4">
      <c r="A973" s="240">
        <v>45841</v>
      </c>
      <c r="B973" s="151" t="s">
        <v>96</v>
      </c>
      <c r="C973" s="30" t="s">
        <v>167</v>
      </c>
      <c r="D973" s="190">
        <v>20</v>
      </c>
      <c r="E973" s="77">
        <v>3</v>
      </c>
      <c r="F973" s="76">
        <v>2.0833333333333332E-2</v>
      </c>
      <c r="G973" s="76">
        <v>0.37847222222222227</v>
      </c>
      <c r="H973" s="76">
        <v>0.61805555555555558</v>
      </c>
      <c r="I973" s="173" t="s">
        <v>1401</v>
      </c>
      <c r="J973" s="23">
        <v>6</v>
      </c>
      <c r="K973" s="68">
        <v>2.0833333333333332E-2</v>
      </c>
      <c r="L973" s="68">
        <v>0.44444444444444442</v>
      </c>
      <c r="M973" s="68">
        <v>0.70486111111111116</v>
      </c>
      <c r="N973" s="173" t="s">
        <v>1330</v>
      </c>
      <c r="O973" s="23">
        <v>3015</v>
      </c>
      <c r="P973" s="70">
        <v>0.37847222222222227</v>
      </c>
      <c r="Q973" s="70">
        <v>0.70486111111111116</v>
      </c>
      <c r="R973" s="229" t="s">
        <v>1337</v>
      </c>
    </row>
    <row r="974" spans="1:18" x14ac:dyDescent="0.4">
      <c r="A974" s="240">
        <v>45841</v>
      </c>
      <c r="B974" s="151" t="s">
        <v>597</v>
      </c>
      <c r="C974" s="30" t="s">
        <v>283</v>
      </c>
      <c r="D974" s="190">
        <v>8</v>
      </c>
      <c r="E974" s="77">
        <v>3</v>
      </c>
      <c r="F974" s="76">
        <v>2.0833333333333332E-2</v>
      </c>
      <c r="G974" s="76">
        <v>0.29166666666666669</v>
      </c>
      <c r="H974" s="76">
        <v>0.37847222222222227</v>
      </c>
      <c r="I974" s="173" t="s">
        <v>1301</v>
      </c>
      <c r="J974" s="23">
        <v>10</v>
      </c>
      <c r="K974" s="68">
        <v>2.0833333333333332E-2</v>
      </c>
      <c r="L974" s="68">
        <v>0.33680555555555558</v>
      </c>
      <c r="M974" s="68">
        <v>0.4513888888888889</v>
      </c>
      <c r="N974" s="173" t="s">
        <v>1391</v>
      </c>
      <c r="O974" s="23">
        <v>2415</v>
      </c>
      <c r="P974" s="70">
        <v>0.29166666666666669</v>
      </c>
      <c r="Q974" s="70">
        <v>0.4513888888888889</v>
      </c>
      <c r="R974" s="229" t="s">
        <v>1332</v>
      </c>
    </row>
    <row r="975" spans="1:18" x14ac:dyDescent="0.4">
      <c r="A975" s="240">
        <v>45842</v>
      </c>
      <c r="B975" s="151" t="s">
        <v>61</v>
      </c>
      <c r="C975" s="30" t="s">
        <v>156</v>
      </c>
      <c r="D975" s="190">
        <v>20</v>
      </c>
      <c r="E975" s="77">
        <v>5</v>
      </c>
      <c r="F975" s="1"/>
      <c r="G975" s="76">
        <v>0.29166666666666669</v>
      </c>
      <c r="H975" s="76">
        <v>0.5</v>
      </c>
      <c r="I975" s="173" t="s">
        <v>1327</v>
      </c>
      <c r="J975" s="23">
        <v>10</v>
      </c>
      <c r="K975" s="23"/>
      <c r="L975" s="68">
        <v>0.3125</v>
      </c>
      <c r="M975" s="68">
        <v>0.5</v>
      </c>
      <c r="N975" s="173" t="s">
        <v>1243</v>
      </c>
      <c r="O975" s="23">
        <v>4200</v>
      </c>
      <c r="P975" s="70">
        <v>0.29166666666666669</v>
      </c>
      <c r="Q975" s="70">
        <v>0.5</v>
      </c>
      <c r="R975" s="229" t="s">
        <v>1327</v>
      </c>
    </row>
    <row r="976" spans="1:18" x14ac:dyDescent="0.4">
      <c r="A976" s="240">
        <v>45842</v>
      </c>
      <c r="B976" s="151" t="s">
        <v>63</v>
      </c>
      <c r="C976" s="30" t="s">
        <v>267</v>
      </c>
      <c r="D976" s="190">
        <v>20</v>
      </c>
      <c r="E976" s="77">
        <v>5</v>
      </c>
      <c r="F976" s="1"/>
      <c r="G976" s="76">
        <v>0.38541666666666669</v>
      </c>
      <c r="H976" s="76">
        <v>0.60069444444444442</v>
      </c>
      <c r="I976" s="173" t="s">
        <v>1311</v>
      </c>
      <c r="J976" s="23">
        <v>3</v>
      </c>
      <c r="K976" s="68">
        <v>6.9444444444444441E-3</v>
      </c>
      <c r="L976" s="68">
        <v>0.41319444444444442</v>
      </c>
      <c r="M976" s="68">
        <v>0.63194444444444442</v>
      </c>
      <c r="N976" s="173" t="s">
        <v>1356</v>
      </c>
      <c r="O976" s="23">
        <v>2045</v>
      </c>
      <c r="P976" s="70">
        <v>0.38541666666666669</v>
      </c>
      <c r="Q976" s="70">
        <v>0.63194444444444442</v>
      </c>
      <c r="R976" s="229" t="s">
        <v>1305</v>
      </c>
    </row>
    <row r="977" spans="1:18" x14ac:dyDescent="0.4">
      <c r="A977" s="240">
        <v>45842</v>
      </c>
      <c r="B977" s="151" t="s">
        <v>1060</v>
      </c>
      <c r="C977" s="30" t="s">
        <v>886</v>
      </c>
      <c r="D977" s="190">
        <v>8</v>
      </c>
      <c r="E977" s="77">
        <v>5</v>
      </c>
      <c r="F977" s="1"/>
      <c r="G977" s="76">
        <v>0.60069444444444442</v>
      </c>
      <c r="H977" s="76">
        <v>0.6875</v>
      </c>
      <c r="I977" s="173" t="s">
        <v>1249</v>
      </c>
      <c r="J977" s="23">
        <v>3</v>
      </c>
      <c r="K977" s="68">
        <v>6.9444444444444441E-3</v>
      </c>
      <c r="L977" s="68">
        <v>0.63194444444444442</v>
      </c>
      <c r="M977" s="68">
        <v>0.70833333333333337</v>
      </c>
      <c r="N977" s="173" t="s">
        <v>1296</v>
      </c>
      <c r="O977" s="23">
        <v>985</v>
      </c>
      <c r="P977" s="70">
        <v>0.60069444444444442</v>
      </c>
      <c r="Q977" s="70">
        <v>0.70833333333333337</v>
      </c>
      <c r="R977" s="229" t="s">
        <v>1301</v>
      </c>
    </row>
    <row r="978" spans="1:18" x14ac:dyDescent="0.4">
      <c r="A978" s="240">
        <v>45842</v>
      </c>
      <c r="B978" s="151" t="s">
        <v>76</v>
      </c>
      <c r="C978" s="30" t="s">
        <v>224</v>
      </c>
      <c r="D978" s="190">
        <v>12</v>
      </c>
      <c r="E978" s="77">
        <v>5</v>
      </c>
      <c r="F978" s="1"/>
      <c r="G978" s="76">
        <v>0.29166666666666669</v>
      </c>
      <c r="H978" s="76">
        <v>0.38541666666666669</v>
      </c>
      <c r="I978" s="173" t="s">
        <v>1324</v>
      </c>
      <c r="J978" s="23">
        <v>3</v>
      </c>
      <c r="K978" s="68">
        <v>6.9444444444444441E-3</v>
      </c>
      <c r="L978" s="68">
        <v>0.3263888888888889</v>
      </c>
      <c r="M978" s="68">
        <v>0.41319444444444442</v>
      </c>
      <c r="N978" s="173" t="s">
        <v>1324</v>
      </c>
      <c r="O978" s="23">
        <v>1080</v>
      </c>
      <c r="P978" s="70">
        <v>0.29166666666666669</v>
      </c>
      <c r="Q978" s="70">
        <v>0.41319444444444442</v>
      </c>
      <c r="R978" s="229" t="s">
        <v>1326</v>
      </c>
    </row>
    <row r="979" spans="1:18" x14ac:dyDescent="0.4">
      <c r="A979" s="240">
        <v>45842</v>
      </c>
      <c r="B979" s="151" t="s">
        <v>65</v>
      </c>
      <c r="C979" s="30" t="s">
        <v>189</v>
      </c>
      <c r="D979" s="190">
        <v>72</v>
      </c>
      <c r="E979" s="77">
        <v>3</v>
      </c>
      <c r="F979" s="76">
        <v>4.1666666666666664E-2</v>
      </c>
      <c r="G979" s="76">
        <v>0.29166666666666669</v>
      </c>
      <c r="H979" s="76">
        <v>0.71527777777777779</v>
      </c>
      <c r="I979" s="173" t="s">
        <v>1562</v>
      </c>
      <c r="J979" s="23">
        <v>4</v>
      </c>
      <c r="K979" s="23"/>
      <c r="L979" s="68">
        <v>0.29166666666666669</v>
      </c>
      <c r="M979" s="68">
        <v>0.76736111111111116</v>
      </c>
      <c r="N979" s="173" t="s">
        <v>1585</v>
      </c>
      <c r="O979" s="23">
        <v>4330</v>
      </c>
      <c r="P979" s="70">
        <v>0.29166666666666669</v>
      </c>
      <c r="Q979" s="70">
        <v>0.76736111111111116</v>
      </c>
      <c r="R979" s="229" t="s">
        <v>1585</v>
      </c>
    </row>
    <row r="980" spans="1:18" x14ac:dyDescent="0.4">
      <c r="A980" s="240">
        <v>45845</v>
      </c>
      <c r="B980" s="151" t="s">
        <v>71</v>
      </c>
      <c r="C980" s="30" t="s">
        <v>176</v>
      </c>
      <c r="D980" s="190">
        <v>72</v>
      </c>
      <c r="E980" s="77">
        <v>6</v>
      </c>
      <c r="F980" s="1"/>
      <c r="G980" s="76">
        <v>0.29166666666666669</v>
      </c>
      <c r="H980" s="76">
        <v>0.66666666666666663</v>
      </c>
      <c r="I980" s="173" t="s">
        <v>1292</v>
      </c>
      <c r="J980" s="23">
        <v>5</v>
      </c>
      <c r="K980" s="23"/>
      <c r="L980" s="68">
        <v>0.3125</v>
      </c>
      <c r="M980" s="68">
        <v>0.70833333333333337</v>
      </c>
      <c r="N980" s="173" t="s">
        <v>990</v>
      </c>
      <c r="O980" s="23">
        <v>5430</v>
      </c>
      <c r="P980" s="70">
        <v>0.29166666666666669</v>
      </c>
      <c r="Q980" s="70">
        <v>0.70833333333333337</v>
      </c>
      <c r="R980" s="229" t="s">
        <v>1252</v>
      </c>
    </row>
    <row r="981" spans="1:18" x14ac:dyDescent="0.4">
      <c r="A981" s="240">
        <v>45845</v>
      </c>
      <c r="B981" s="151" t="s">
        <v>63</v>
      </c>
      <c r="C981" s="30" t="s">
        <v>267</v>
      </c>
      <c r="D981" s="190">
        <v>20</v>
      </c>
      <c r="E981" s="77">
        <v>5</v>
      </c>
      <c r="F981" s="1"/>
      <c r="G981" s="76">
        <v>0.54166666666666663</v>
      </c>
      <c r="H981" s="76">
        <v>0.70833333333333337</v>
      </c>
      <c r="I981" s="173" t="s">
        <v>1244</v>
      </c>
      <c r="J981" s="23">
        <v>3</v>
      </c>
      <c r="K981" s="68">
        <v>6.9444444444444441E-3</v>
      </c>
      <c r="L981" s="68">
        <v>0.56944444444444442</v>
      </c>
      <c r="M981" s="68">
        <v>0.72916666666666663</v>
      </c>
      <c r="N981" s="173" t="s">
        <v>1244</v>
      </c>
      <c r="O981" s="23">
        <v>1920</v>
      </c>
      <c r="P981" s="70">
        <v>0.54166666666666663</v>
      </c>
      <c r="Q981" s="70">
        <v>0.72916666666666663</v>
      </c>
      <c r="R981" s="229" t="s">
        <v>1243</v>
      </c>
    </row>
    <row r="982" spans="1:18" x14ac:dyDescent="0.4">
      <c r="A982" s="240">
        <v>45845</v>
      </c>
      <c r="B982" s="151" t="s">
        <v>997</v>
      </c>
      <c r="C982" s="30" t="s">
        <v>239</v>
      </c>
      <c r="D982" s="190">
        <v>8</v>
      </c>
      <c r="E982" s="77">
        <v>5</v>
      </c>
      <c r="F982" s="1"/>
      <c r="G982" s="76">
        <v>0.29166666666666669</v>
      </c>
      <c r="H982" s="76">
        <v>0.38194444444444442</v>
      </c>
      <c r="I982" s="173" t="s">
        <v>1248</v>
      </c>
      <c r="J982" s="23">
        <v>3</v>
      </c>
      <c r="K982" s="68">
        <v>6.9444444444444441E-3</v>
      </c>
      <c r="L982" s="68">
        <v>0.33333333333333331</v>
      </c>
      <c r="M982" s="68">
        <v>0.40277777777777773</v>
      </c>
      <c r="N982" s="173" t="s">
        <v>1377</v>
      </c>
      <c r="O982" s="23">
        <v>980</v>
      </c>
      <c r="P982" s="70">
        <v>0.29166666666666669</v>
      </c>
      <c r="Q982" s="70">
        <v>0.40277777777777773</v>
      </c>
      <c r="R982" s="229" t="s">
        <v>1325</v>
      </c>
    </row>
    <row r="983" spans="1:18" x14ac:dyDescent="0.4">
      <c r="A983" s="240">
        <v>45845</v>
      </c>
      <c r="B983" s="151" t="s">
        <v>53</v>
      </c>
      <c r="C983" s="30" t="s">
        <v>261</v>
      </c>
      <c r="D983" s="190">
        <v>12</v>
      </c>
      <c r="E983" s="77">
        <v>5</v>
      </c>
      <c r="F983" s="1"/>
      <c r="G983" s="76">
        <v>0.38194444444444442</v>
      </c>
      <c r="H983" s="76">
        <v>0.5</v>
      </c>
      <c r="I983" s="173" t="s">
        <v>1314</v>
      </c>
      <c r="J983" s="23">
        <v>3</v>
      </c>
      <c r="K983" s="68">
        <v>6.9444444444444441E-3</v>
      </c>
      <c r="L983" s="68">
        <v>0.40277777777777773</v>
      </c>
      <c r="M983" s="68">
        <v>0.56944444444444442</v>
      </c>
      <c r="N983" s="173" t="s">
        <v>1256</v>
      </c>
      <c r="O983" s="23">
        <v>1420</v>
      </c>
      <c r="P983" s="70">
        <v>0.38194444444444442</v>
      </c>
      <c r="Q983" s="70">
        <v>0.56944444444444442</v>
      </c>
      <c r="R983" s="229" t="s">
        <v>1303</v>
      </c>
    </row>
    <row r="984" spans="1:18" x14ac:dyDescent="0.4">
      <c r="A984" s="240">
        <v>45845</v>
      </c>
      <c r="B984" s="151" t="s">
        <v>66</v>
      </c>
      <c r="C984" s="30" t="s">
        <v>195</v>
      </c>
      <c r="D984" s="190">
        <v>20</v>
      </c>
      <c r="E984" s="77">
        <v>3</v>
      </c>
      <c r="F984" s="76">
        <v>1.0416666666666666E-2</v>
      </c>
      <c r="G984" s="76">
        <v>0.44791666666666669</v>
      </c>
      <c r="H984" s="76">
        <v>0.63194444444444442</v>
      </c>
      <c r="I984" s="173" t="s">
        <v>1254</v>
      </c>
      <c r="J984" s="23">
        <v>4</v>
      </c>
      <c r="K984" s="68">
        <v>2.0833333333333332E-2</v>
      </c>
      <c r="L984" s="68">
        <v>0.49652777777777773</v>
      </c>
      <c r="M984" s="68">
        <v>0.70486111111111116</v>
      </c>
      <c r="N984" s="173" t="s">
        <v>1243</v>
      </c>
      <c r="O984" s="23">
        <v>1740</v>
      </c>
      <c r="P984" s="70">
        <v>0.44791666666666669</v>
      </c>
      <c r="Q984" s="70">
        <v>0.70486111111111116</v>
      </c>
      <c r="R984" s="229" t="s">
        <v>1257</v>
      </c>
    </row>
    <row r="985" spans="1:18" x14ac:dyDescent="0.4">
      <c r="A985" s="240">
        <v>45845</v>
      </c>
      <c r="B985" s="151" t="s">
        <v>123</v>
      </c>
      <c r="C985" s="30" t="s">
        <v>277</v>
      </c>
      <c r="D985" s="190">
        <v>28</v>
      </c>
      <c r="E985" s="77">
        <v>3</v>
      </c>
      <c r="F985" s="76">
        <v>1.0416666666666666E-2</v>
      </c>
      <c r="G985" s="76">
        <v>0.29166666666666669</v>
      </c>
      <c r="H985" s="76">
        <v>0.44791666666666669</v>
      </c>
      <c r="I985" s="173" t="s">
        <v>1244</v>
      </c>
      <c r="J985" s="23">
        <v>4</v>
      </c>
      <c r="K985" s="68">
        <v>2.0833333333333332E-2</v>
      </c>
      <c r="L985" s="68">
        <v>0.33333333333333331</v>
      </c>
      <c r="M985" s="68">
        <v>0.49652777777777773</v>
      </c>
      <c r="N985" s="173" t="s">
        <v>1356</v>
      </c>
      <c r="O985" s="23">
        <v>1780</v>
      </c>
      <c r="P985" s="70">
        <v>0.29166666666666669</v>
      </c>
      <c r="Q985" s="70">
        <v>0.49652777777777773</v>
      </c>
      <c r="R985" s="229" t="s">
        <v>1305</v>
      </c>
    </row>
    <row r="986" spans="1:18" x14ac:dyDescent="0.4">
      <c r="A986" s="244">
        <v>45845</v>
      </c>
      <c r="B986" s="213">
        <v>153010</v>
      </c>
      <c r="C986" s="136" t="s">
        <v>484</v>
      </c>
      <c r="D986" s="214">
        <v>1</v>
      </c>
      <c r="E986" s="103"/>
      <c r="F986" s="104"/>
      <c r="G986" s="184"/>
      <c r="H986" s="184"/>
      <c r="I986" s="225" t="s">
        <v>1002</v>
      </c>
      <c r="J986" s="105"/>
      <c r="K986" s="105"/>
      <c r="L986" s="106"/>
      <c r="M986" s="106"/>
      <c r="N986" s="225" t="s">
        <v>1002</v>
      </c>
      <c r="O986" s="105">
        <v>0</v>
      </c>
      <c r="P986" s="70">
        <v>0</v>
      </c>
      <c r="Q986" s="70">
        <v>0</v>
      </c>
      <c r="R986" s="232" t="s">
        <v>1002</v>
      </c>
    </row>
    <row r="987" spans="1:18" x14ac:dyDescent="0.4">
      <c r="A987" s="240">
        <v>45846</v>
      </c>
      <c r="B987" s="151" t="s">
        <v>1062</v>
      </c>
      <c r="C987" s="30" t="s">
        <v>1064</v>
      </c>
      <c r="D987" s="190">
        <v>12</v>
      </c>
      <c r="E987" s="77">
        <v>5</v>
      </c>
      <c r="F987" s="1"/>
      <c r="G987" s="76">
        <v>0.29166666666666669</v>
      </c>
      <c r="H987" s="76">
        <v>0.40625</v>
      </c>
      <c r="I987" s="173" t="s">
        <v>1315</v>
      </c>
      <c r="J987" s="23">
        <v>4</v>
      </c>
      <c r="K987" s="23"/>
      <c r="L987" s="68">
        <v>0.3125</v>
      </c>
      <c r="M987" s="68">
        <v>0.4375</v>
      </c>
      <c r="N987" s="173" t="s">
        <v>1316</v>
      </c>
      <c r="O987" s="23">
        <v>1545</v>
      </c>
      <c r="P987" s="70">
        <v>0.29166666666666669</v>
      </c>
      <c r="Q987" s="70">
        <v>0.4375</v>
      </c>
      <c r="R987" s="229" t="s">
        <v>1303</v>
      </c>
    </row>
    <row r="988" spans="1:18" x14ac:dyDescent="0.4">
      <c r="A988" s="240">
        <v>45846</v>
      </c>
      <c r="B988" s="151" t="s">
        <v>548</v>
      </c>
      <c r="C988" s="30" t="s">
        <v>218</v>
      </c>
      <c r="D988" s="190">
        <v>8</v>
      </c>
      <c r="E988" s="77">
        <v>5</v>
      </c>
      <c r="F988" s="1"/>
      <c r="G988" s="76">
        <v>0.40625</v>
      </c>
      <c r="H988" s="76">
        <v>0.5</v>
      </c>
      <c r="I988" s="173" t="s">
        <v>1324</v>
      </c>
      <c r="J988" s="23">
        <v>4</v>
      </c>
      <c r="K988" s="23"/>
      <c r="L988" s="68">
        <v>0.4375</v>
      </c>
      <c r="M988" s="68">
        <v>0.58333333333333337</v>
      </c>
      <c r="N988" s="173" t="s">
        <v>1298</v>
      </c>
      <c r="O988" s="23">
        <v>1275</v>
      </c>
      <c r="P988" s="70">
        <v>0.40625</v>
      </c>
      <c r="Q988" s="70">
        <v>0.58333333333333337</v>
      </c>
      <c r="R988" s="229" t="s">
        <v>1391</v>
      </c>
    </row>
    <row r="989" spans="1:18" x14ac:dyDescent="0.4">
      <c r="A989" s="240">
        <v>45846</v>
      </c>
      <c r="B989" s="151" t="s">
        <v>63</v>
      </c>
      <c r="C989" s="30" t="s">
        <v>267</v>
      </c>
      <c r="D989" s="190">
        <v>16</v>
      </c>
      <c r="E989" s="77">
        <v>5</v>
      </c>
      <c r="F989" s="1"/>
      <c r="G989" s="76">
        <v>0.54166666666666663</v>
      </c>
      <c r="H989" s="76">
        <v>0.6875</v>
      </c>
      <c r="I989" s="173" t="s">
        <v>1303</v>
      </c>
      <c r="J989" s="23">
        <v>4</v>
      </c>
      <c r="K989" s="23"/>
      <c r="L989" s="68">
        <v>0.58333333333333337</v>
      </c>
      <c r="M989" s="68">
        <v>0.72916666666666663</v>
      </c>
      <c r="N989" s="173" t="s">
        <v>1303</v>
      </c>
      <c r="O989" s="23">
        <v>1890</v>
      </c>
      <c r="P989" s="70">
        <v>0.54166666666666663</v>
      </c>
      <c r="Q989" s="70">
        <v>0.72916666666666663</v>
      </c>
      <c r="R989" s="229" t="s">
        <v>1243</v>
      </c>
    </row>
    <row r="990" spans="1:18" x14ac:dyDescent="0.4">
      <c r="A990" s="240">
        <v>45846</v>
      </c>
      <c r="B990" s="151" t="s">
        <v>108</v>
      </c>
      <c r="C990" s="30" t="s">
        <v>231</v>
      </c>
      <c r="D990" s="190">
        <v>21</v>
      </c>
      <c r="E990" s="77">
        <v>5</v>
      </c>
      <c r="F990" s="1"/>
      <c r="G990" s="76">
        <v>0.29166666666666669</v>
      </c>
      <c r="H990" s="76">
        <v>0.68055555555555547</v>
      </c>
      <c r="I990" s="173" t="s">
        <v>1465</v>
      </c>
      <c r="J990" s="23">
        <v>9</v>
      </c>
      <c r="K990" s="23"/>
      <c r="L990" s="68">
        <v>0.33333333333333331</v>
      </c>
      <c r="M990" s="68">
        <v>0.70833333333333337</v>
      </c>
      <c r="N990" s="173" t="s">
        <v>1292</v>
      </c>
      <c r="O990" s="23">
        <v>6820</v>
      </c>
      <c r="P990" s="70">
        <v>0.29166666666666669</v>
      </c>
      <c r="Q990" s="70">
        <v>0.70833333333333337</v>
      </c>
      <c r="R990" s="229" t="s">
        <v>1252</v>
      </c>
    </row>
    <row r="991" spans="1:18" x14ac:dyDescent="0.4">
      <c r="A991" s="240">
        <v>45846</v>
      </c>
      <c r="B991" s="151" t="s">
        <v>65</v>
      </c>
      <c r="C991" s="30" t="s">
        <v>189</v>
      </c>
      <c r="D991" s="190">
        <v>72</v>
      </c>
      <c r="E991" s="77">
        <v>3</v>
      </c>
      <c r="F991" s="76">
        <v>4.1666666666666664E-2</v>
      </c>
      <c r="G991" s="76">
        <v>0.29166666666666669</v>
      </c>
      <c r="H991" s="76">
        <v>0.71875</v>
      </c>
      <c r="I991" s="173" t="s">
        <v>1615</v>
      </c>
      <c r="J991" s="23">
        <v>4</v>
      </c>
      <c r="K991" s="23"/>
      <c r="L991" s="68">
        <v>0.29166666666666669</v>
      </c>
      <c r="M991" s="68">
        <v>0.67708333333333337</v>
      </c>
      <c r="N991" s="173" t="s">
        <v>1340</v>
      </c>
      <c r="O991" s="23">
        <v>3825</v>
      </c>
      <c r="P991" s="70">
        <v>0.29166666666666669</v>
      </c>
      <c r="Q991" s="70">
        <v>0.71875</v>
      </c>
      <c r="R991" s="229" t="s">
        <v>1419</v>
      </c>
    </row>
    <row r="992" spans="1:18" x14ac:dyDescent="0.4">
      <c r="A992" s="241">
        <v>45847</v>
      </c>
      <c r="B992" s="151" t="s">
        <v>68</v>
      </c>
      <c r="C992" s="140" t="s">
        <v>185</v>
      </c>
      <c r="D992" s="190">
        <v>20</v>
      </c>
      <c r="E992" s="77">
        <v>6</v>
      </c>
      <c r="F992" s="1"/>
      <c r="G992" s="76">
        <v>0.29166666666666669</v>
      </c>
      <c r="H992" s="76">
        <v>0.5</v>
      </c>
      <c r="I992" s="173" t="s">
        <v>1327</v>
      </c>
      <c r="J992" s="23">
        <v>5</v>
      </c>
      <c r="K992" s="23"/>
      <c r="L992" s="68">
        <v>0.3125</v>
      </c>
      <c r="M992" s="68">
        <v>0.5625</v>
      </c>
      <c r="N992" s="173" t="s">
        <v>1327</v>
      </c>
      <c r="O992" s="23">
        <v>3300</v>
      </c>
      <c r="P992" s="70">
        <v>0.29166666666666669</v>
      </c>
      <c r="Q992" s="70">
        <v>0.5625</v>
      </c>
      <c r="R992" s="229" t="s">
        <v>1320</v>
      </c>
    </row>
    <row r="993" spans="1:18" x14ac:dyDescent="0.4">
      <c r="A993" s="241">
        <v>45847</v>
      </c>
      <c r="B993" s="151" t="s">
        <v>106</v>
      </c>
      <c r="C993" s="140" t="s">
        <v>173</v>
      </c>
      <c r="D993" s="190">
        <v>16</v>
      </c>
      <c r="E993" s="77">
        <v>5</v>
      </c>
      <c r="F993" s="1"/>
      <c r="G993" s="76">
        <v>0.54166666666666663</v>
      </c>
      <c r="H993" s="76">
        <v>0.70833333333333337</v>
      </c>
      <c r="I993" s="173" t="s">
        <v>1244</v>
      </c>
      <c r="J993" s="23">
        <v>10</v>
      </c>
      <c r="K993" s="68">
        <v>1.6666666666666666E-2</v>
      </c>
      <c r="L993" s="68">
        <v>0.5625</v>
      </c>
      <c r="M993" s="68">
        <v>0.70833333333333337</v>
      </c>
      <c r="N993" s="173" t="s">
        <v>1523</v>
      </c>
      <c r="O993" s="23">
        <v>3540</v>
      </c>
      <c r="P993" s="70">
        <v>0.54166666666666663</v>
      </c>
      <c r="Q993" s="70">
        <v>0.70833333333333337</v>
      </c>
      <c r="R993" s="229" t="s">
        <v>1244</v>
      </c>
    </row>
    <row r="994" spans="1:18" x14ac:dyDescent="0.4">
      <c r="A994" s="241">
        <v>45847</v>
      </c>
      <c r="B994" s="151" t="s">
        <v>1088</v>
      </c>
      <c r="C994" s="140" t="s">
        <v>1097</v>
      </c>
      <c r="D994" s="190">
        <v>4</v>
      </c>
      <c r="E994" s="77">
        <v>3</v>
      </c>
      <c r="F994" s="1"/>
      <c r="G994" s="76">
        <v>0.41666666666666669</v>
      </c>
      <c r="H994" s="76">
        <v>0.70833333333333337</v>
      </c>
      <c r="I994" s="173" t="s">
        <v>1321</v>
      </c>
      <c r="J994" s="23"/>
      <c r="K994" s="23"/>
      <c r="L994" s="68"/>
      <c r="M994" s="68"/>
      <c r="N994" s="173" t="s">
        <v>1002</v>
      </c>
      <c r="O994" s="23">
        <v>1080</v>
      </c>
      <c r="P994" s="70">
        <v>0.41666666666666669</v>
      </c>
      <c r="Q994" s="70">
        <v>0.70833333333333337</v>
      </c>
      <c r="R994" s="229" t="s">
        <v>1321</v>
      </c>
    </row>
    <row r="995" spans="1:18" x14ac:dyDescent="0.4">
      <c r="A995" s="241">
        <v>45847</v>
      </c>
      <c r="B995" s="151" t="s">
        <v>65</v>
      </c>
      <c r="C995" s="140" t="s">
        <v>189</v>
      </c>
      <c r="D995" s="190">
        <v>72</v>
      </c>
      <c r="E995" s="77">
        <v>3</v>
      </c>
      <c r="F995" s="76">
        <v>2.0833333333333332E-2</v>
      </c>
      <c r="G995" s="76">
        <v>0.29166666666666669</v>
      </c>
      <c r="H995" s="76">
        <v>0.71527777777777779</v>
      </c>
      <c r="I995" s="173" t="s">
        <v>1350</v>
      </c>
      <c r="J995" s="23">
        <v>4</v>
      </c>
      <c r="K995" s="23"/>
      <c r="L995" s="68">
        <v>0.29166666666666669</v>
      </c>
      <c r="M995" s="68">
        <v>0.76736111111111116</v>
      </c>
      <c r="N995" s="173" t="s">
        <v>1585</v>
      </c>
      <c r="O995" s="23">
        <v>4240</v>
      </c>
      <c r="P995" s="70">
        <v>0.29166666666666669</v>
      </c>
      <c r="Q995" s="70">
        <v>0.76736111111111116</v>
      </c>
      <c r="R995" s="229" t="s">
        <v>1585</v>
      </c>
    </row>
    <row r="996" spans="1:18" x14ac:dyDescent="0.4">
      <c r="A996" s="244">
        <v>45847</v>
      </c>
      <c r="B996" s="213" t="s">
        <v>500</v>
      </c>
      <c r="C996" s="136" t="s">
        <v>506</v>
      </c>
      <c r="D996" s="214">
        <v>50</v>
      </c>
      <c r="E996" s="103"/>
      <c r="F996" s="104"/>
      <c r="G996" s="184"/>
      <c r="H996" s="184"/>
      <c r="I996" s="225" t="s">
        <v>1002</v>
      </c>
      <c r="J996" s="105"/>
      <c r="K996" s="105"/>
      <c r="L996" s="106"/>
      <c r="M996" s="106"/>
      <c r="N996" s="225" t="s">
        <v>1002</v>
      </c>
      <c r="O996" s="105">
        <v>0</v>
      </c>
      <c r="P996" s="70">
        <v>0</v>
      </c>
      <c r="Q996" s="70">
        <v>0</v>
      </c>
      <c r="R996" s="232" t="s">
        <v>1002</v>
      </c>
    </row>
    <row r="997" spans="1:18" x14ac:dyDescent="0.4">
      <c r="A997" s="241">
        <v>45848</v>
      </c>
      <c r="B997" s="151" t="s">
        <v>71</v>
      </c>
      <c r="C997" s="140" t="s">
        <v>176</v>
      </c>
      <c r="D997" s="190">
        <v>72</v>
      </c>
      <c r="E997" s="77">
        <v>6</v>
      </c>
      <c r="F997" s="1"/>
      <c r="G997" s="76">
        <v>0.29166666666666669</v>
      </c>
      <c r="H997" s="76">
        <v>0.66666666666666663</v>
      </c>
      <c r="I997" s="173" t="s">
        <v>1292</v>
      </c>
      <c r="J997" s="23">
        <v>6</v>
      </c>
      <c r="K997" s="23"/>
      <c r="L997" s="68">
        <v>0.3125</v>
      </c>
      <c r="M997" s="68">
        <v>0.70833333333333337</v>
      </c>
      <c r="N997" s="173" t="s">
        <v>990</v>
      </c>
      <c r="O997" s="23">
        <v>5940</v>
      </c>
      <c r="P997" s="70">
        <v>0.29166666666666669</v>
      </c>
      <c r="Q997" s="70">
        <v>0.70833333333333337</v>
      </c>
      <c r="R997" s="229" t="s">
        <v>1252</v>
      </c>
    </row>
    <row r="998" spans="1:18" x14ac:dyDescent="0.4">
      <c r="A998" s="241">
        <v>45848</v>
      </c>
      <c r="B998" s="151" t="s">
        <v>81</v>
      </c>
      <c r="C998" s="140" t="s">
        <v>235</v>
      </c>
      <c r="D998" s="190">
        <v>20</v>
      </c>
      <c r="E998" s="77">
        <v>5</v>
      </c>
      <c r="F998" s="1"/>
      <c r="G998" s="76">
        <v>0.29166666666666669</v>
      </c>
      <c r="H998" s="76">
        <v>0.45277777777777778</v>
      </c>
      <c r="I998" s="173" t="s">
        <v>1388</v>
      </c>
      <c r="J998" s="23">
        <v>3</v>
      </c>
      <c r="K998" s="23"/>
      <c r="L998" s="68">
        <v>0.3125</v>
      </c>
      <c r="M998" s="68">
        <v>0.47916666666666669</v>
      </c>
      <c r="N998" s="173" t="s">
        <v>1244</v>
      </c>
      <c r="O998" s="23">
        <v>1880</v>
      </c>
      <c r="P998" s="70">
        <v>0.29166666666666669</v>
      </c>
      <c r="Q998" s="70">
        <v>0.47916666666666669</v>
      </c>
      <c r="R998" s="229" t="s">
        <v>1243</v>
      </c>
    </row>
    <row r="999" spans="1:18" x14ac:dyDescent="0.4">
      <c r="A999" s="241">
        <v>45848</v>
      </c>
      <c r="B999" s="151" t="s">
        <v>64</v>
      </c>
      <c r="C999" s="140" t="s">
        <v>271</v>
      </c>
      <c r="D999" s="190">
        <v>20</v>
      </c>
      <c r="E999" s="77">
        <v>5</v>
      </c>
      <c r="F999" s="1"/>
      <c r="G999" s="76">
        <v>0.45277777777777778</v>
      </c>
      <c r="H999" s="76">
        <v>0.70833333333333337</v>
      </c>
      <c r="I999" s="173" t="s">
        <v>1426</v>
      </c>
      <c r="J999" s="23">
        <v>3</v>
      </c>
      <c r="K999" s="23"/>
      <c r="L999" s="68">
        <v>0.47916666666666669</v>
      </c>
      <c r="M999" s="68">
        <v>0.70833333333333337</v>
      </c>
      <c r="N999" s="173" t="s">
        <v>1243</v>
      </c>
      <c r="O999" s="23">
        <v>2350</v>
      </c>
      <c r="P999" s="70">
        <v>0.45277777777777778</v>
      </c>
      <c r="Q999" s="70">
        <v>0.70833333333333337</v>
      </c>
      <c r="R999" s="229" t="s">
        <v>1426</v>
      </c>
    </row>
    <row r="1000" spans="1:18" x14ac:dyDescent="0.4">
      <c r="A1000" s="241">
        <v>45848</v>
      </c>
      <c r="B1000" s="151" t="s">
        <v>104</v>
      </c>
      <c r="C1000" s="140" t="s">
        <v>191</v>
      </c>
      <c r="D1000" s="190">
        <v>36</v>
      </c>
      <c r="E1000" s="77">
        <v>3</v>
      </c>
      <c r="F1000" s="76">
        <v>2.0833333333333332E-2</v>
      </c>
      <c r="G1000" s="76">
        <v>0.29166666666666669</v>
      </c>
      <c r="H1000" s="76">
        <v>0.47569444444444442</v>
      </c>
      <c r="I1000" s="173" t="s">
        <v>1305</v>
      </c>
      <c r="J1000" s="23">
        <v>4</v>
      </c>
      <c r="K1000" s="23"/>
      <c r="L1000" s="68">
        <v>0.29166666666666669</v>
      </c>
      <c r="M1000" s="68">
        <v>0.51041666666666663</v>
      </c>
      <c r="N1000" s="173" t="s">
        <v>1401</v>
      </c>
      <c r="O1000" s="23">
        <v>2145</v>
      </c>
      <c r="P1000" s="70">
        <v>0.29166666666666669</v>
      </c>
      <c r="Q1000" s="70">
        <v>0.51041666666666663</v>
      </c>
      <c r="R1000" s="229" t="s">
        <v>1401</v>
      </c>
    </row>
    <row r="1001" spans="1:18" x14ac:dyDescent="0.4">
      <c r="A1001" s="241">
        <v>45848</v>
      </c>
      <c r="B1001" s="151" t="s">
        <v>1089</v>
      </c>
      <c r="C1001" s="140" t="s">
        <v>231</v>
      </c>
      <c r="D1001" s="190">
        <v>6.6</v>
      </c>
      <c r="E1001" s="77">
        <v>3</v>
      </c>
      <c r="F1001" s="1"/>
      <c r="G1001" s="76">
        <v>0.54166666666666663</v>
      </c>
      <c r="H1001" s="76">
        <v>0.64930555555555558</v>
      </c>
      <c r="I1001" s="173" t="s">
        <v>1301</v>
      </c>
      <c r="J1001" s="23">
        <v>5</v>
      </c>
      <c r="K1001" s="23"/>
      <c r="L1001" s="68">
        <v>0.61805555555555558</v>
      </c>
      <c r="M1001" s="68">
        <v>0.72222222222222221</v>
      </c>
      <c r="N1001" s="173" t="s">
        <v>1298</v>
      </c>
      <c r="O1001" s="23">
        <v>1215</v>
      </c>
      <c r="P1001" s="70">
        <v>0.54166666666666663</v>
      </c>
      <c r="Q1001" s="70">
        <v>0.72222222222222221</v>
      </c>
      <c r="R1001" s="229" t="s">
        <v>1379</v>
      </c>
    </row>
    <row r="1002" spans="1:18" x14ac:dyDescent="0.4">
      <c r="A1002" s="241">
        <v>45849</v>
      </c>
      <c r="B1002" s="151" t="s">
        <v>63</v>
      </c>
      <c r="C1002" s="140" t="s">
        <v>267</v>
      </c>
      <c r="D1002" s="190">
        <v>16</v>
      </c>
      <c r="E1002" s="77">
        <v>5</v>
      </c>
      <c r="F1002" s="1"/>
      <c r="G1002" s="76">
        <v>0.29166666666666669</v>
      </c>
      <c r="H1002" s="76">
        <v>0.42708333333333331</v>
      </c>
      <c r="I1002" s="173" t="s">
        <v>1391</v>
      </c>
      <c r="J1002" s="23">
        <v>4</v>
      </c>
      <c r="K1002" s="68">
        <v>1.0416666666666666E-2</v>
      </c>
      <c r="L1002" s="68">
        <v>0.33333333333333331</v>
      </c>
      <c r="M1002" s="68">
        <v>0.4513888888888889</v>
      </c>
      <c r="N1002" s="173" t="s">
        <v>1251</v>
      </c>
      <c r="O1002" s="23">
        <v>1715</v>
      </c>
      <c r="P1002" s="70">
        <v>0.29166666666666669</v>
      </c>
      <c r="Q1002" s="70">
        <v>0.4513888888888889</v>
      </c>
      <c r="R1002" s="229" t="s">
        <v>1332</v>
      </c>
    </row>
    <row r="1003" spans="1:18" x14ac:dyDescent="0.4">
      <c r="A1003" s="241">
        <v>45849</v>
      </c>
      <c r="B1003" s="151" t="s">
        <v>72</v>
      </c>
      <c r="C1003" s="140" t="s">
        <v>227</v>
      </c>
      <c r="D1003" s="190">
        <v>20</v>
      </c>
      <c r="E1003" s="77">
        <v>5</v>
      </c>
      <c r="F1003" s="1"/>
      <c r="G1003" s="76">
        <v>0.42708333333333331</v>
      </c>
      <c r="H1003" s="76">
        <v>0.66666666666666663</v>
      </c>
      <c r="I1003" s="173" t="s">
        <v>1335</v>
      </c>
      <c r="J1003" s="23">
        <v>4</v>
      </c>
      <c r="K1003" s="68">
        <v>1.0416666666666666E-2</v>
      </c>
      <c r="L1003" s="68">
        <v>0.4513888888888889</v>
      </c>
      <c r="M1003" s="68">
        <v>0.70833333333333337</v>
      </c>
      <c r="N1003" s="173" t="s">
        <v>1306</v>
      </c>
      <c r="O1003" s="23">
        <v>2725</v>
      </c>
      <c r="P1003" s="70">
        <v>0.42708333333333331</v>
      </c>
      <c r="Q1003" s="70">
        <v>0.70833333333333337</v>
      </c>
      <c r="R1003" s="229" t="s">
        <v>1330</v>
      </c>
    </row>
    <row r="1004" spans="1:18" x14ac:dyDescent="0.4">
      <c r="A1004" s="241">
        <v>45849</v>
      </c>
      <c r="B1004" s="151" t="s">
        <v>73</v>
      </c>
      <c r="C1004" s="140" t="s">
        <v>231</v>
      </c>
      <c r="D1004" s="190">
        <v>21</v>
      </c>
      <c r="E1004" s="77">
        <v>4</v>
      </c>
      <c r="F1004" s="1"/>
      <c r="G1004" s="76">
        <v>0.29166666666666669</v>
      </c>
      <c r="H1004" s="76">
        <v>0.68055555555555547</v>
      </c>
      <c r="I1004" s="173" t="s">
        <v>1465</v>
      </c>
      <c r="J1004" s="23">
        <v>9</v>
      </c>
      <c r="K1004" s="23"/>
      <c r="L1004" s="68">
        <v>0.33333333333333331</v>
      </c>
      <c r="M1004" s="68">
        <v>0.70833333333333337</v>
      </c>
      <c r="N1004" s="173" t="s">
        <v>1292</v>
      </c>
      <c r="O1004" s="23">
        <v>6320</v>
      </c>
      <c r="P1004" s="70">
        <v>0.29166666666666669</v>
      </c>
      <c r="Q1004" s="70">
        <v>0.70833333333333337</v>
      </c>
      <c r="R1004" s="229" t="s">
        <v>1252</v>
      </c>
    </row>
    <row r="1005" spans="1:18" x14ac:dyDescent="0.4">
      <c r="A1005" s="241">
        <v>45849</v>
      </c>
      <c r="B1005" s="151" t="s">
        <v>65</v>
      </c>
      <c r="C1005" s="140" t="s">
        <v>189</v>
      </c>
      <c r="D1005" s="190">
        <v>72</v>
      </c>
      <c r="E1005" s="77">
        <v>3</v>
      </c>
      <c r="F1005" s="76">
        <v>4.1666666666666664E-2</v>
      </c>
      <c r="G1005" s="76">
        <v>0.29166666666666669</v>
      </c>
      <c r="H1005" s="76">
        <v>0.73958333333333337</v>
      </c>
      <c r="I1005" s="173" t="s">
        <v>1584</v>
      </c>
      <c r="J1005" s="23">
        <v>4</v>
      </c>
      <c r="K1005" s="23"/>
      <c r="L1005" s="68">
        <v>0.29166666666666669</v>
      </c>
      <c r="M1005" s="68">
        <v>0.78819444444444453</v>
      </c>
      <c r="N1005" s="173" t="s">
        <v>1609</v>
      </c>
      <c r="O1005" s="23">
        <v>4555</v>
      </c>
      <c r="P1005" s="70">
        <v>0.29166666666666669</v>
      </c>
      <c r="Q1005" s="70">
        <v>0.78819444444444453</v>
      </c>
      <c r="R1005" s="229" t="s">
        <v>1609</v>
      </c>
    </row>
    <row r="1006" spans="1:18" x14ac:dyDescent="0.4">
      <c r="A1006" s="241">
        <v>45852</v>
      </c>
      <c r="B1006" s="151" t="s">
        <v>71</v>
      </c>
      <c r="C1006" s="140" t="s">
        <v>176</v>
      </c>
      <c r="D1006" s="190">
        <v>72</v>
      </c>
      <c r="E1006" s="77">
        <v>6</v>
      </c>
      <c r="F1006" s="1"/>
      <c r="G1006" s="76">
        <v>0.29166666666666669</v>
      </c>
      <c r="H1006" s="76">
        <v>0.66666666666666663</v>
      </c>
      <c r="I1006" s="173" t="s">
        <v>1292</v>
      </c>
      <c r="J1006" s="23">
        <v>6</v>
      </c>
      <c r="K1006" s="23"/>
      <c r="L1006" s="68">
        <v>0.3125</v>
      </c>
      <c r="M1006" s="68">
        <v>0.70833333333333337</v>
      </c>
      <c r="N1006" s="173" t="s">
        <v>990</v>
      </c>
      <c r="O1006" s="23">
        <v>5940</v>
      </c>
      <c r="P1006" s="70">
        <v>0.29166666666666669</v>
      </c>
      <c r="Q1006" s="70">
        <v>0.70833333333333337</v>
      </c>
      <c r="R1006" s="229" t="s">
        <v>1252</v>
      </c>
    </row>
    <row r="1007" spans="1:18" x14ac:dyDescent="0.4">
      <c r="A1007" s="241">
        <v>45852</v>
      </c>
      <c r="B1007" s="151" t="s">
        <v>72</v>
      </c>
      <c r="C1007" s="140" t="s">
        <v>227</v>
      </c>
      <c r="D1007" s="190">
        <v>20</v>
      </c>
      <c r="E1007" s="77">
        <v>5</v>
      </c>
      <c r="F1007" s="1"/>
      <c r="G1007" s="76">
        <v>0.29166666666666669</v>
      </c>
      <c r="H1007" s="76">
        <v>0.46319444444444446</v>
      </c>
      <c r="I1007" s="173" t="s">
        <v>1605</v>
      </c>
      <c r="J1007" s="23">
        <v>3</v>
      </c>
      <c r="K1007" s="68">
        <v>1.0416666666666666E-2</v>
      </c>
      <c r="L1007" s="68">
        <v>0.33333333333333331</v>
      </c>
      <c r="M1007" s="68">
        <v>0.4826388888888889</v>
      </c>
      <c r="N1007" s="173" t="s">
        <v>1332</v>
      </c>
      <c r="O1007" s="23">
        <v>1925</v>
      </c>
      <c r="P1007" s="70">
        <v>0.29166666666666669</v>
      </c>
      <c r="Q1007" s="70">
        <v>0.4826388888888889</v>
      </c>
      <c r="R1007" s="229" t="s">
        <v>1304</v>
      </c>
    </row>
    <row r="1008" spans="1:18" x14ac:dyDescent="0.4">
      <c r="A1008" s="241">
        <v>45852</v>
      </c>
      <c r="B1008" s="151" t="s">
        <v>63</v>
      </c>
      <c r="C1008" s="140" t="s">
        <v>267</v>
      </c>
      <c r="D1008" s="190">
        <v>20</v>
      </c>
      <c r="E1008" s="23">
        <v>5</v>
      </c>
      <c r="F1008" s="23"/>
      <c r="G1008" s="68">
        <v>0.46319444444444446</v>
      </c>
      <c r="H1008" s="68">
        <v>0.6875</v>
      </c>
      <c r="I1008" s="173" t="s">
        <v>1294</v>
      </c>
      <c r="J1008" s="23">
        <v>3</v>
      </c>
      <c r="K1008" s="68">
        <v>1.0416666666666666E-2</v>
      </c>
      <c r="L1008" s="68">
        <v>0.4826388888888889</v>
      </c>
      <c r="M1008" s="68">
        <v>0.70833333333333337</v>
      </c>
      <c r="N1008" s="173" t="s">
        <v>1255</v>
      </c>
      <c r="O1008" s="23">
        <v>2155</v>
      </c>
      <c r="P1008" s="70">
        <v>0.46319444444444446</v>
      </c>
      <c r="Q1008" s="70">
        <v>0.70833333333333337</v>
      </c>
      <c r="R1008" s="229" t="s">
        <v>1468</v>
      </c>
    </row>
    <row r="1009" spans="1:18" x14ac:dyDescent="0.4">
      <c r="A1009" s="241">
        <v>45852</v>
      </c>
      <c r="B1009" s="151" t="s">
        <v>96</v>
      </c>
      <c r="C1009" s="140" t="s">
        <v>167</v>
      </c>
      <c r="D1009" s="190">
        <v>20</v>
      </c>
      <c r="E1009" s="77">
        <v>3</v>
      </c>
      <c r="F1009" s="76">
        <v>6.9444444444444441E-3</v>
      </c>
      <c r="G1009" s="76">
        <v>0.29166666666666669</v>
      </c>
      <c r="H1009" s="76">
        <v>0.42708333333333331</v>
      </c>
      <c r="I1009" s="173" t="s">
        <v>1299</v>
      </c>
      <c r="J1009" s="23">
        <v>6</v>
      </c>
      <c r="K1009" s="68">
        <v>1.3888888888888888E-2</v>
      </c>
      <c r="L1009" s="68">
        <v>0.33333333333333331</v>
      </c>
      <c r="M1009" s="68">
        <v>0.51388888888888895</v>
      </c>
      <c r="N1009" s="173" t="s">
        <v>1255</v>
      </c>
      <c r="O1009" s="23">
        <v>2295</v>
      </c>
      <c r="P1009" s="70">
        <v>0.29166666666666669</v>
      </c>
      <c r="Q1009" s="70">
        <v>0.51388888888888895</v>
      </c>
      <c r="R1009" s="229" t="s">
        <v>1357</v>
      </c>
    </row>
    <row r="1010" spans="1:18" x14ac:dyDescent="0.4">
      <c r="A1010" s="241">
        <v>45852</v>
      </c>
      <c r="B1010" s="151" t="s">
        <v>83</v>
      </c>
      <c r="C1010" s="140" t="s">
        <v>169</v>
      </c>
      <c r="D1010" s="190">
        <v>12</v>
      </c>
      <c r="E1010" s="77">
        <v>3</v>
      </c>
      <c r="F1010" s="76">
        <v>6.9444444444444441E-3</v>
      </c>
      <c r="G1010" s="76">
        <v>0.42708333333333331</v>
      </c>
      <c r="H1010" s="76">
        <v>0.56944444444444442</v>
      </c>
      <c r="I1010" s="173" t="s">
        <v>1301</v>
      </c>
      <c r="J1010" s="23">
        <v>7</v>
      </c>
      <c r="K1010" s="68">
        <v>1.3888888888888888E-2</v>
      </c>
      <c r="L1010" s="68">
        <v>0.54166666666666663</v>
      </c>
      <c r="M1010" s="68">
        <v>0.66319444444444442</v>
      </c>
      <c r="N1010" s="173" t="s">
        <v>1391</v>
      </c>
      <c r="O1010" s="23">
        <v>1830</v>
      </c>
      <c r="P1010" s="70">
        <v>0.42708333333333331</v>
      </c>
      <c r="Q1010" s="70">
        <v>0.66319444444444442</v>
      </c>
      <c r="R1010" s="229" t="s">
        <v>1255</v>
      </c>
    </row>
    <row r="1011" spans="1:18" x14ac:dyDescent="0.4">
      <c r="A1011" s="241">
        <v>45852</v>
      </c>
      <c r="B1011" s="151" t="s">
        <v>82</v>
      </c>
      <c r="C1011" s="140" t="s">
        <v>171</v>
      </c>
      <c r="D1011" s="190">
        <v>8</v>
      </c>
      <c r="E1011" s="77">
        <v>3</v>
      </c>
      <c r="F1011" s="76">
        <v>6.9444444444444441E-3</v>
      </c>
      <c r="G1011" s="76">
        <v>0.56944444444444442</v>
      </c>
      <c r="H1011" s="76">
        <v>0.65277777777777779</v>
      </c>
      <c r="I1011" s="173" t="s">
        <v>1248</v>
      </c>
      <c r="J1011" s="23">
        <v>7</v>
      </c>
      <c r="K1011" s="68">
        <v>1.3888888888888888E-2</v>
      </c>
      <c r="L1011" s="68">
        <v>0.65625</v>
      </c>
      <c r="M1011" s="68">
        <v>0.75</v>
      </c>
      <c r="N1011" s="173" t="s">
        <v>1301</v>
      </c>
      <c r="O1011" s="23">
        <v>1475</v>
      </c>
      <c r="P1011" s="70">
        <v>0.56944444444444442</v>
      </c>
      <c r="Q1011" s="70">
        <v>0.75</v>
      </c>
      <c r="R1011" s="229" t="s">
        <v>1379</v>
      </c>
    </row>
    <row r="1012" spans="1:18" x14ac:dyDescent="0.4">
      <c r="A1012" s="244">
        <v>45852</v>
      </c>
      <c r="B1012" s="213" t="s">
        <v>943</v>
      </c>
      <c r="C1012" s="136" t="s">
        <v>1095</v>
      </c>
      <c r="D1012" s="214">
        <v>1</v>
      </c>
      <c r="E1012" s="103"/>
      <c r="F1012" s="104"/>
      <c r="G1012" s="184"/>
      <c r="H1012" s="184"/>
      <c r="I1012" s="225" t="s">
        <v>1002</v>
      </c>
      <c r="J1012" s="105"/>
      <c r="K1012" s="105"/>
      <c r="L1012" s="106"/>
      <c r="M1012" s="106"/>
      <c r="N1012" s="225" t="s">
        <v>1002</v>
      </c>
      <c r="O1012" s="105">
        <v>0</v>
      </c>
      <c r="P1012" s="70">
        <v>0</v>
      </c>
      <c r="Q1012" s="70">
        <v>0</v>
      </c>
      <c r="R1012" s="232" t="s">
        <v>1002</v>
      </c>
    </row>
    <row r="1013" spans="1:18" x14ac:dyDescent="0.4">
      <c r="A1013" s="241">
        <v>45853</v>
      </c>
      <c r="B1013" s="151" t="s">
        <v>61</v>
      </c>
      <c r="C1013" s="140" t="s">
        <v>156</v>
      </c>
      <c r="D1013" s="190">
        <v>40</v>
      </c>
      <c r="E1013" s="77">
        <v>4</v>
      </c>
      <c r="F1013" s="1"/>
      <c r="G1013" s="76">
        <v>0.29166666666666669</v>
      </c>
      <c r="H1013" s="76">
        <v>0.66666666666666663</v>
      </c>
      <c r="I1013" s="173" t="s">
        <v>1292</v>
      </c>
      <c r="J1013" s="23">
        <v>10</v>
      </c>
      <c r="K1013" s="23"/>
      <c r="L1013" s="68">
        <v>0.3125</v>
      </c>
      <c r="M1013" s="68">
        <v>0.70833333333333337</v>
      </c>
      <c r="N1013" s="173" t="s">
        <v>990</v>
      </c>
      <c r="O1013" s="23">
        <v>7020</v>
      </c>
      <c r="P1013" s="70">
        <v>0.29166666666666669</v>
      </c>
      <c r="Q1013" s="70">
        <v>0.70833333333333337</v>
      </c>
      <c r="R1013" s="229" t="s">
        <v>1252</v>
      </c>
    </row>
    <row r="1014" spans="1:18" x14ac:dyDescent="0.4">
      <c r="A1014" s="241">
        <v>45853</v>
      </c>
      <c r="B1014" s="151" t="s">
        <v>63</v>
      </c>
      <c r="C1014" s="140" t="s">
        <v>267</v>
      </c>
      <c r="D1014" s="190">
        <v>20</v>
      </c>
      <c r="E1014" s="77">
        <v>5</v>
      </c>
      <c r="F1014" s="1"/>
      <c r="G1014" s="76">
        <v>0.45624999999999999</v>
      </c>
      <c r="H1014" s="76">
        <v>0.6875</v>
      </c>
      <c r="I1014" s="173" t="s">
        <v>1572</v>
      </c>
      <c r="J1014" s="23">
        <v>3</v>
      </c>
      <c r="K1014" s="68">
        <v>6.9444444444444441E-3</v>
      </c>
      <c r="L1014" s="68">
        <v>0.4826388888888889</v>
      </c>
      <c r="M1014" s="68">
        <v>0.6875</v>
      </c>
      <c r="N1014" s="173" t="s">
        <v>1365</v>
      </c>
      <c r="O1014" s="23">
        <v>2100</v>
      </c>
      <c r="P1014" s="70">
        <v>0.45624999999999999</v>
      </c>
      <c r="Q1014" s="70">
        <v>0.6875</v>
      </c>
      <c r="R1014" s="229" t="s">
        <v>1572</v>
      </c>
    </row>
    <row r="1015" spans="1:18" x14ac:dyDescent="0.4">
      <c r="A1015" s="241">
        <v>45853</v>
      </c>
      <c r="B1015" s="151" t="s">
        <v>75</v>
      </c>
      <c r="C1015" s="140" t="s">
        <v>229</v>
      </c>
      <c r="D1015" s="190">
        <v>20</v>
      </c>
      <c r="E1015" s="77">
        <v>5</v>
      </c>
      <c r="F1015" s="1"/>
      <c r="G1015" s="76">
        <v>0.29166666666666669</v>
      </c>
      <c r="H1015" s="76">
        <v>0.45624999999999999</v>
      </c>
      <c r="I1015" s="173" t="s">
        <v>1293</v>
      </c>
      <c r="J1015" s="23">
        <v>3</v>
      </c>
      <c r="K1015" s="68">
        <v>6.9444444444444441E-3</v>
      </c>
      <c r="L1015" s="68">
        <v>0.3263888888888889</v>
      </c>
      <c r="M1015" s="68">
        <v>0.4826388888888889</v>
      </c>
      <c r="N1015" s="173" t="s">
        <v>1359</v>
      </c>
      <c r="O1015" s="23">
        <v>1890</v>
      </c>
      <c r="P1015" s="70">
        <v>0.29166666666666669</v>
      </c>
      <c r="Q1015" s="70">
        <v>0.4826388888888889</v>
      </c>
      <c r="R1015" s="229" t="s">
        <v>1304</v>
      </c>
    </row>
    <row r="1016" spans="1:18" x14ac:dyDescent="0.4">
      <c r="A1016" s="241">
        <v>45853</v>
      </c>
      <c r="B1016" s="151" t="s">
        <v>65</v>
      </c>
      <c r="C1016" s="140" t="s">
        <v>189</v>
      </c>
      <c r="D1016" s="190">
        <v>72</v>
      </c>
      <c r="E1016" s="77">
        <v>3</v>
      </c>
      <c r="F1016" s="76">
        <v>4.1666666666666664E-2</v>
      </c>
      <c r="G1016" s="76">
        <v>0.29166666666666669</v>
      </c>
      <c r="H1016" s="76">
        <v>0.70833333333333337</v>
      </c>
      <c r="I1016" s="173" t="s">
        <v>1308</v>
      </c>
      <c r="J1016" s="23">
        <v>4</v>
      </c>
      <c r="K1016" s="23"/>
      <c r="L1016" s="68">
        <v>0.29166666666666669</v>
      </c>
      <c r="M1016" s="68">
        <v>0.78472222222222221</v>
      </c>
      <c r="N1016" s="173" t="s">
        <v>1592</v>
      </c>
      <c r="O1016" s="23">
        <v>4400</v>
      </c>
      <c r="P1016" s="70">
        <v>0.29166666666666669</v>
      </c>
      <c r="Q1016" s="70">
        <v>0.78472222222222221</v>
      </c>
      <c r="R1016" s="229" t="s">
        <v>1592</v>
      </c>
    </row>
    <row r="1017" spans="1:18" x14ac:dyDescent="0.4">
      <c r="A1017" s="241">
        <v>45854</v>
      </c>
      <c r="B1017" s="151" t="s">
        <v>54</v>
      </c>
      <c r="C1017" s="140" t="s">
        <v>251</v>
      </c>
      <c r="D1017" s="190">
        <v>32</v>
      </c>
      <c r="E1017" s="77">
        <v>5</v>
      </c>
      <c r="F1017" s="1"/>
      <c r="G1017" s="76">
        <v>0.33680555555555558</v>
      </c>
      <c r="H1017" s="76">
        <v>0.66666666666666663</v>
      </c>
      <c r="I1017" s="173" t="s">
        <v>1334</v>
      </c>
      <c r="J1017" s="23">
        <v>4</v>
      </c>
      <c r="K1017" s="23"/>
      <c r="L1017" s="68">
        <v>0.40277777777777773</v>
      </c>
      <c r="M1017" s="68">
        <v>0.70833333333333337</v>
      </c>
      <c r="N1017" s="173" t="s">
        <v>1353</v>
      </c>
      <c r="O1017" s="23">
        <v>3595</v>
      </c>
      <c r="P1017" s="70">
        <v>0.33680555555555558</v>
      </c>
      <c r="Q1017" s="70">
        <v>0.70833333333333337</v>
      </c>
      <c r="R1017" s="229" t="s">
        <v>1616</v>
      </c>
    </row>
    <row r="1018" spans="1:18" x14ac:dyDescent="0.4">
      <c r="A1018" s="241">
        <v>45854</v>
      </c>
      <c r="B1018" s="151" t="s">
        <v>1045</v>
      </c>
      <c r="C1018" s="140" t="s">
        <v>1056</v>
      </c>
      <c r="D1018" s="190">
        <v>6</v>
      </c>
      <c r="E1018" s="77">
        <v>5</v>
      </c>
      <c r="F1018" s="1"/>
      <c r="G1018" s="76">
        <v>0.29166666666666669</v>
      </c>
      <c r="H1018" s="76">
        <v>0.3576388888888889</v>
      </c>
      <c r="I1018" s="173" t="s">
        <v>1405</v>
      </c>
      <c r="J1018" s="23">
        <v>3</v>
      </c>
      <c r="K1018" s="23"/>
      <c r="L1018" s="68">
        <v>0.3125</v>
      </c>
      <c r="M1018" s="68">
        <v>0.40277777777777773</v>
      </c>
      <c r="N1018" s="173" t="s">
        <v>1248</v>
      </c>
      <c r="O1018" s="23">
        <v>865</v>
      </c>
      <c r="P1018" s="70">
        <v>0.29166666666666669</v>
      </c>
      <c r="Q1018" s="70">
        <v>0.40277777777777773</v>
      </c>
      <c r="R1018" s="229" t="s">
        <v>1325</v>
      </c>
    </row>
    <row r="1019" spans="1:18" x14ac:dyDescent="0.4">
      <c r="A1019" s="241">
        <v>45854</v>
      </c>
      <c r="B1019" s="151" t="s">
        <v>65</v>
      </c>
      <c r="C1019" s="140" t="s">
        <v>189</v>
      </c>
      <c r="D1019" s="190">
        <v>24</v>
      </c>
      <c r="E1019" s="77">
        <v>3</v>
      </c>
      <c r="F1019" s="76">
        <v>4.1666666666666664E-2</v>
      </c>
      <c r="G1019" s="76">
        <v>0.29166666666666669</v>
      </c>
      <c r="H1019" s="76">
        <v>0.4375</v>
      </c>
      <c r="I1019" s="173" t="s">
        <v>1243</v>
      </c>
      <c r="J1019" s="23">
        <v>4</v>
      </c>
      <c r="K1019" s="23"/>
      <c r="L1019" s="68">
        <v>0.29166666666666669</v>
      </c>
      <c r="M1019" s="68">
        <v>0.49305555555555558</v>
      </c>
      <c r="N1019" s="173" t="s">
        <v>1258</v>
      </c>
      <c r="O1019" s="23">
        <v>1970</v>
      </c>
      <c r="P1019" s="70">
        <v>0.29166666666666669</v>
      </c>
      <c r="Q1019" s="70">
        <v>0.49305555555555558</v>
      </c>
      <c r="R1019" s="229" t="s">
        <v>1258</v>
      </c>
    </row>
    <row r="1020" spans="1:18" x14ac:dyDescent="0.4">
      <c r="A1020" s="241">
        <v>45855</v>
      </c>
      <c r="B1020" s="151" t="s">
        <v>51</v>
      </c>
      <c r="C1020" s="140" t="s">
        <v>253</v>
      </c>
      <c r="D1020" s="190">
        <v>24</v>
      </c>
      <c r="E1020" s="77">
        <v>5</v>
      </c>
      <c r="F1020" s="1"/>
      <c r="G1020" s="76">
        <v>0.35555555555555557</v>
      </c>
      <c r="H1020" s="76">
        <v>0.57986111111111105</v>
      </c>
      <c r="I1020" s="173" t="s">
        <v>1294</v>
      </c>
      <c r="J1020" s="23">
        <v>4</v>
      </c>
      <c r="K1020" s="68">
        <v>6.9444444444444441E-3</v>
      </c>
      <c r="L1020" s="68">
        <v>0.40277777777777773</v>
      </c>
      <c r="M1020" s="68">
        <v>0.59722222222222221</v>
      </c>
      <c r="N1020" s="173" t="s">
        <v>1332</v>
      </c>
      <c r="O1020" s="23">
        <v>2235</v>
      </c>
      <c r="P1020" s="70">
        <v>0.35555555555555557</v>
      </c>
      <c r="Q1020" s="70">
        <v>0.59722222222222221</v>
      </c>
      <c r="R1020" s="229" t="s">
        <v>1617</v>
      </c>
    </row>
    <row r="1021" spans="1:18" x14ac:dyDescent="0.4">
      <c r="A1021" s="241">
        <v>45855</v>
      </c>
      <c r="B1021" s="151" t="s">
        <v>451</v>
      </c>
      <c r="C1021" s="140" t="s">
        <v>255</v>
      </c>
      <c r="D1021" s="190">
        <v>6</v>
      </c>
      <c r="E1021" s="77">
        <v>5</v>
      </c>
      <c r="F1021" s="1"/>
      <c r="G1021" s="76">
        <v>0.29166666666666669</v>
      </c>
      <c r="H1021" s="76">
        <v>0.35555555555555557</v>
      </c>
      <c r="I1021" s="173" t="s">
        <v>1477</v>
      </c>
      <c r="J1021" s="23">
        <v>4</v>
      </c>
      <c r="K1021" s="68">
        <v>6.9444444444444441E-3</v>
      </c>
      <c r="L1021" s="68">
        <v>0.33333333333333331</v>
      </c>
      <c r="M1021" s="68">
        <v>0.40277777777777773</v>
      </c>
      <c r="N1021" s="173" t="s">
        <v>1377</v>
      </c>
      <c r="O1021" s="23">
        <v>900</v>
      </c>
      <c r="P1021" s="70">
        <v>0.29166666666666669</v>
      </c>
      <c r="Q1021" s="70">
        <v>0.40277777777777773</v>
      </c>
      <c r="R1021" s="229" t="s">
        <v>1325</v>
      </c>
    </row>
    <row r="1022" spans="1:18" x14ac:dyDescent="0.4">
      <c r="A1022" s="241">
        <v>45855</v>
      </c>
      <c r="B1022" s="151" t="s">
        <v>1046</v>
      </c>
      <c r="C1022" s="140" t="s">
        <v>1057</v>
      </c>
      <c r="D1022" s="190">
        <v>8</v>
      </c>
      <c r="E1022" s="77">
        <v>5</v>
      </c>
      <c r="F1022" s="1"/>
      <c r="G1022" s="76">
        <v>0.57986111111111105</v>
      </c>
      <c r="H1022" s="76">
        <v>0.66666666666666663</v>
      </c>
      <c r="I1022" s="173" t="s">
        <v>1249</v>
      </c>
      <c r="J1022" s="23">
        <v>4</v>
      </c>
      <c r="K1022" s="68">
        <v>6.9444444444444441E-3</v>
      </c>
      <c r="L1022" s="68">
        <v>0.59722222222222221</v>
      </c>
      <c r="M1022" s="68">
        <v>0.70833333333333337</v>
      </c>
      <c r="N1022" s="173" t="s">
        <v>1314</v>
      </c>
      <c r="O1022" s="23">
        <v>1305</v>
      </c>
      <c r="P1022" s="70">
        <v>0.57986111111111105</v>
      </c>
      <c r="Q1022" s="70">
        <v>0.70833333333333337</v>
      </c>
      <c r="R1022" s="229" t="s">
        <v>1251</v>
      </c>
    </row>
    <row r="1023" spans="1:18" x14ac:dyDescent="0.4">
      <c r="A1023" s="241">
        <v>45855</v>
      </c>
      <c r="B1023" s="151" t="s">
        <v>117</v>
      </c>
      <c r="C1023" s="140" t="s">
        <v>304</v>
      </c>
      <c r="D1023" s="190">
        <v>8</v>
      </c>
      <c r="E1023" s="77">
        <v>5</v>
      </c>
      <c r="F1023" s="1"/>
      <c r="G1023" s="76">
        <v>0.4236111111111111</v>
      </c>
      <c r="H1023" s="76">
        <v>0.59305555555555556</v>
      </c>
      <c r="I1023" s="173" t="s">
        <v>1481</v>
      </c>
      <c r="J1023" s="23">
        <v>4</v>
      </c>
      <c r="K1023" s="68">
        <v>6.9444444444444441E-3</v>
      </c>
      <c r="L1023" s="68">
        <v>0.47916666666666669</v>
      </c>
      <c r="M1023" s="68">
        <v>0.64583333333333337</v>
      </c>
      <c r="N1023" s="173" t="s">
        <v>1256</v>
      </c>
      <c r="O1023" s="23">
        <v>1680</v>
      </c>
      <c r="P1023" s="70">
        <v>0.4236111111111111</v>
      </c>
      <c r="Q1023" s="70">
        <v>0.64583333333333337</v>
      </c>
      <c r="R1023" s="229" t="s">
        <v>1379</v>
      </c>
    </row>
    <row r="1024" spans="1:18" x14ac:dyDescent="0.4">
      <c r="A1024" s="241">
        <v>45855</v>
      </c>
      <c r="B1024" s="151" t="s">
        <v>1007</v>
      </c>
      <c r="C1024" s="140" t="s">
        <v>212</v>
      </c>
      <c r="D1024" s="190">
        <v>12</v>
      </c>
      <c r="E1024" s="77">
        <v>5</v>
      </c>
      <c r="F1024" s="1"/>
      <c r="G1024" s="76">
        <v>0.59305555555555556</v>
      </c>
      <c r="H1024" s="76">
        <v>0.72916666666666663</v>
      </c>
      <c r="I1024" s="173" t="s">
        <v>1467</v>
      </c>
      <c r="J1024" s="23">
        <v>4</v>
      </c>
      <c r="K1024" s="68">
        <v>6.9444444444444441E-3</v>
      </c>
      <c r="L1024" s="68">
        <v>0.64583333333333337</v>
      </c>
      <c r="M1024" s="68">
        <v>0.77083333333333337</v>
      </c>
      <c r="N1024" s="173" t="s">
        <v>1256</v>
      </c>
      <c r="O1024" s="23">
        <v>1740</v>
      </c>
      <c r="P1024" s="70">
        <v>0.59305555555555556</v>
      </c>
      <c r="Q1024" s="70">
        <v>0.77083333333333337</v>
      </c>
      <c r="R1024" s="229" t="s">
        <v>1577</v>
      </c>
    </row>
    <row r="1025" spans="1:18" x14ac:dyDescent="0.4">
      <c r="A1025" s="241">
        <v>45855</v>
      </c>
      <c r="B1025" s="151" t="s">
        <v>965</v>
      </c>
      <c r="C1025" s="140" t="s">
        <v>966</v>
      </c>
      <c r="D1025" s="190">
        <v>16</v>
      </c>
      <c r="E1025" s="77">
        <v>5</v>
      </c>
      <c r="F1025" s="1"/>
      <c r="G1025" s="76">
        <v>0.29166666666666669</v>
      </c>
      <c r="H1025" s="76">
        <v>0.4236111111111111</v>
      </c>
      <c r="I1025" s="173" t="s">
        <v>1256</v>
      </c>
      <c r="J1025" s="23">
        <v>4</v>
      </c>
      <c r="K1025" s="68">
        <v>6.9444444444444441E-3</v>
      </c>
      <c r="L1025" s="68">
        <v>0.33333333333333331</v>
      </c>
      <c r="M1025" s="68">
        <v>0.47916666666666669</v>
      </c>
      <c r="N1025" s="173" t="s">
        <v>1254</v>
      </c>
      <c r="O1025" s="23">
        <v>1830</v>
      </c>
      <c r="P1025" s="70">
        <v>0.29166666666666669</v>
      </c>
      <c r="Q1025" s="70">
        <v>0.47916666666666669</v>
      </c>
      <c r="R1025" s="229" t="s">
        <v>1243</v>
      </c>
    </row>
    <row r="1026" spans="1:18" x14ac:dyDescent="0.4">
      <c r="A1026" s="241">
        <v>45855</v>
      </c>
      <c r="B1026" s="151" t="s">
        <v>58</v>
      </c>
      <c r="C1026" s="140" t="s">
        <v>165</v>
      </c>
      <c r="D1026" s="190">
        <v>48</v>
      </c>
      <c r="E1026" s="77">
        <v>3</v>
      </c>
      <c r="F1026" s="1"/>
      <c r="G1026" s="76">
        <v>0.29166666666666669</v>
      </c>
      <c r="H1026" s="76">
        <v>0.67013888888888884</v>
      </c>
      <c r="I1026" s="173" t="s">
        <v>1498</v>
      </c>
      <c r="J1026" s="23">
        <v>6</v>
      </c>
      <c r="K1026" s="23"/>
      <c r="L1026" s="68">
        <v>0.29166666666666669</v>
      </c>
      <c r="M1026" s="68">
        <v>0.73263888888888884</v>
      </c>
      <c r="N1026" s="173" t="s">
        <v>1606</v>
      </c>
      <c r="O1026" s="23">
        <v>4905</v>
      </c>
      <c r="P1026" s="70">
        <v>0.29166666666666669</v>
      </c>
      <c r="Q1026" s="70">
        <v>0.73263888888888884</v>
      </c>
      <c r="R1026" s="229" t="s">
        <v>1606</v>
      </c>
    </row>
    <row r="1027" spans="1:18" x14ac:dyDescent="0.4">
      <c r="A1027" s="241">
        <v>45856</v>
      </c>
      <c r="B1027" s="151" t="s">
        <v>158</v>
      </c>
      <c r="C1027" s="140" t="s">
        <v>159</v>
      </c>
      <c r="D1027" s="190">
        <v>4</v>
      </c>
      <c r="E1027" s="77">
        <v>4</v>
      </c>
      <c r="F1027" s="1"/>
      <c r="G1027" s="76">
        <v>0.52083333333333337</v>
      </c>
      <c r="H1027" s="76">
        <v>0.63888888888888895</v>
      </c>
      <c r="I1027" s="173" t="s">
        <v>1314</v>
      </c>
      <c r="J1027" s="23">
        <v>9</v>
      </c>
      <c r="K1027" s="68">
        <v>6.9444444444444441E-3</v>
      </c>
      <c r="L1027" s="68">
        <v>0.58333333333333337</v>
      </c>
      <c r="M1027" s="68">
        <v>0.65277777777777779</v>
      </c>
      <c r="N1027" s="173" t="s">
        <v>1377</v>
      </c>
      <c r="O1027" s="23">
        <v>1670</v>
      </c>
      <c r="P1027" s="70">
        <v>0.52083333333333337</v>
      </c>
      <c r="Q1027" s="70">
        <v>0.65277777777777779</v>
      </c>
      <c r="R1027" s="229" t="s">
        <v>1256</v>
      </c>
    </row>
    <row r="1028" spans="1:18" x14ac:dyDescent="0.4">
      <c r="A1028" s="241">
        <v>45856</v>
      </c>
      <c r="B1028" s="151" t="s">
        <v>887</v>
      </c>
      <c r="C1028" s="140" t="s">
        <v>888</v>
      </c>
      <c r="D1028" s="190">
        <v>4</v>
      </c>
      <c r="E1028" s="77">
        <v>4</v>
      </c>
      <c r="F1028" s="1"/>
      <c r="G1028" s="76">
        <v>0.63888888888888895</v>
      </c>
      <c r="H1028" s="76">
        <v>0.70833333333333337</v>
      </c>
      <c r="I1028" s="173" t="s">
        <v>1386</v>
      </c>
      <c r="J1028" s="23">
        <v>9</v>
      </c>
      <c r="K1028" s="68">
        <v>6.9444444444444441E-3</v>
      </c>
      <c r="L1028" s="68">
        <v>0.65277777777777779</v>
      </c>
      <c r="M1028" s="68">
        <v>0.72916666666666663</v>
      </c>
      <c r="N1028" s="173" t="s">
        <v>1296</v>
      </c>
      <c r="O1028" s="23">
        <v>1480</v>
      </c>
      <c r="P1028" s="70">
        <v>0.63888888888888895</v>
      </c>
      <c r="Q1028" s="70">
        <v>0.72916666666666663</v>
      </c>
      <c r="R1028" s="229" t="s">
        <v>1248</v>
      </c>
    </row>
    <row r="1029" spans="1:18" x14ac:dyDescent="0.4">
      <c r="A1029" s="241">
        <v>45856</v>
      </c>
      <c r="B1029" s="151" t="s">
        <v>80</v>
      </c>
      <c r="C1029" s="140" t="s">
        <v>203</v>
      </c>
      <c r="D1029" s="190">
        <v>40</v>
      </c>
      <c r="E1029" s="77">
        <v>6</v>
      </c>
      <c r="F1029" s="1"/>
      <c r="G1029" s="76">
        <v>0.29166666666666669</v>
      </c>
      <c r="H1029" s="76">
        <v>0.5</v>
      </c>
      <c r="I1029" s="173" t="s">
        <v>1327</v>
      </c>
      <c r="J1029" s="23">
        <v>5</v>
      </c>
      <c r="K1029" s="68">
        <v>6.9444444444444441E-3</v>
      </c>
      <c r="L1029" s="68">
        <v>0.33333333333333331</v>
      </c>
      <c r="M1029" s="68">
        <v>0.58333333333333337</v>
      </c>
      <c r="N1029" s="173" t="s">
        <v>1257</v>
      </c>
      <c r="O1029" s="23">
        <v>3350</v>
      </c>
      <c r="P1029" s="70">
        <v>0.29166666666666669</v>
      </c>
      <c r="Q1029" s="70">
        <v>0.58333333333333337</v>
      </c>
      <c r="R1029" s="229" t="s">
        <v>1321</v>
      </c>
    </row>
    <row r="1030" spans="1:18" x14ac:dyDescent="0.4">
      <c r="A1030" s="241">
        <v>45856</v>
      </c>
      <c r="B1030" s="151" t="s">
        <v>110</v>
      </c>
      <c r="C1030" s="140" t="s">
        <v>231</v>
      </c>
      <c r="D1030" s="190">
        <v>20</v>
      </c>
      <c r="E1030" s="77">
        <v>5</v>
      </c>
      <c r="F1030" s="1"/>
      <c r="G1030" s="76">
        <v>0.29166666666666669</v>
      </c>
      <c r="H1030" s="76">
        <v>0.68055555555555547</v>
      </c>
      <c r="I1030" s="173" t="s">
        <v>1465</v>
      </c>
      <c r="J1030" s="23">
        <v>9</v>
      </c>
      <c r="K1030" s="23"/>
      <c r="L1030" s="68">
        <v>0.33333333333333331</v>
      </c>
      <c r="M1030" s="68">
        <v>0.70833333333333337</v>
      </c>
      <c r="N1030" s="173" t="s">
        <v>1292</v>
      </c>
      <c r="O1030" s="23">
        <v>6820</v>
      </c>
      <c r="P1030" s="70">
        <v>0.29166666666666669</v>
      </c>
      <c r="Q1030" s="70">
        <v>0.70833333333333337</v>
      </c>
      <c r="R1030" s="229" t="s">
        <v>1252</v>
      </c>
    </row>
    <row r="1031" spans="1:18" x14ac:dyDescent="0.4">
      <c r="A1031" s="241">
        <v>45856</v>
      </c>
      <c r="B1031" s="151" t="s">
        <v>104</v>
      </c>
      <c r="C1031" s="140" t="s">
        <v>191</v>
      </c>
      <c r="D1031" s="190">
        <v>40</v>
      </c>
      <c r="E1031" s="77">
        <v>3</v>
      </c>
      <c r="F1031" s="1"/>
      <c r="G1031" s="76">
        <v>0.46527777777777773</v>
      </c>
      <c r="H1031" s="76">
        <v>0.71875</v>
      </c>
      <c r="I1031" s="173" t="s">
        <v>1466</v>
      </c>
      <c r="J1031" s="23">
        <v>4</v>
      </c>
      <c r="K1031" s="23"/>
      <c r="L1031" s="68">
        <v>0.56597222222222221</v>
      </c>
      <c r="M1031" s="68">
        <v>0.76388888888888884</v>
      </c>
      <c r="N1031" s="173" t="s">
        <v>1335</v>
      </c>
      <c r="O1031" s="23">
        <v>2055</v>
      </c>
      <c r="P1031" s="70">
        <v>0.46527777777777773</v>
      </c>
      <c r="Q1031" s="70">
        <v>0.76388888888888884</v>
      </c>
      <c r="R1031" s="229" t="s">
        <v>1471</v>
      </c>
    </row>
    <row r="1032" spans="1:18" x14ac:dyDescent="0.4">
      <c r="A1032" s="241">
        <v>45856</v>
      </c>
      <c r="B1032" s="151" t="s">
        <v>131</v>
      </c>
      <c r="C1032" s="140" t="s">
        <v>274</v>
      </c>
      <c r="D1032" s="190">
        <v>32</v>
      </c>
      <c r="E1032" s="77">
        <v>3</v>
      </c>
      <c r="F1032" s="1"/>
      <c r="G1032" s="76">
        <v>0.29166666666666669</v>
      </c>
      <c r="H1032" s="76">
        <v>0.47569444444444442</v>
      </c>
      <c r="I1032" s="173" t="s">
        <v>1356</v>
      </c>
      <c r="J1032" s="23">
        <v>4</v>
      </c>
      <c r="K1032" s="23"/>
      <c r="L1032" s="68">
        <v>0.29166666666666669</v>
      </c>
      <c r="M1032" s="68">
        <v>0.58680555555555558</v>
      </c>
      <c r="N1032" s="173" t="s">
        <v>1360</v>
      </c>
      <c r="O1032" s="23">
        <v>2255</v>
      </c>
      <c r="P1032" s="70">
        <v>0.29166666666666669</v>
      </c>
      <c r="Q1032" s="70">
        <v>0.58680555555555558</v>
      </c>
      <c r="R1032" s="229" t="s">
        <v>1360</v>
      </c>
    </row>
    <row r="1033" spans="1:18" x14ac:dyDescent="0.4">
      <c r="A1033" s="242">
        <v>45859</v>
      </c>
      <c r="B1033" s="149" t="s">
        <v>71</v>
      </c>
      <c r="C1033" s="140" t="s">
        <v>176</v>
      </c>
      <c r="D1033" s="189">
        <v>40</v>
      </c>
      <c r="E1033" s="77">
        <v>6</v>
      </c>
      <c r="F1033" s="1"/>
      <c r="G1033" s="76">
        <v>0.29166666666666669</v>
      </c>
      <c r="H1033" s="76">
        <v>0.5</v>
      </c>
      <c r="I1033" s="173" t="s">
        <v>1327</v>
      </c>
      <c r="J1033" s="23">
        <v>5</v>
      </c>
      <c r="K1033" s="68">
        <v>1.0416666666666666E-2</v>
      </c>
      <c r="L1033" s="68">
        <v>0.33333333333333331</v>
      </c>
      <c r="M1033" s="68">
        <v>0.56944444444444442</v>
      </c>
      <c r="N1033" s="173" t="s">
        <v>1305</v>
      </c>
      <c r="O1033" s="23">
        <v>3275</v>
      </c>
      <c r="P1033" s="70">
        <v>0.29166666666666669</v>
      </c>
      <c r="Q1033" s="70">
        <v>0.56944444444444442</v>
      </c>
      <c r="R1033" s="229" t="s">
        <v>1339</v>
      </c>
    </row>
    <row r="1034" spans="1:18" x14ac:dyDescent="0.4">
      <c r="A1034" s="242">
        <v>45859</v>
      </c>
      <c r="B1034" s="149" t="s">
        <v>91</v>
      </c>
      <c r="C1034" s="140" t="s">
        <v>163</v>
      </c>
      <c r="D1034" s="189">
        <v>12</v>
      </c>
      <c r="E1034" s="77">
        <v>4</v>
      </c>
      <c r="F1034" s="1"/>
      <c r="G1034" s="76">
        <v>0.54166666666666663</v>
      </c>
      <c r="H1034" s="76">
        <v>0.66666666666666663</v>
      </c>
      <c r="I1034" s="173" t="s">
        <v>1316</v>
      </c>
      <c r="J1034" s="23">
        <v>9</v>
      </c>
      <c r="K1034" s="68">
        <v>1.0416666666666666E-2</v>
      </c>
      <c r="L1034" s="68">
        <v>0.56944444444444442</v>
      </c>
      <c r="M1034" s="68">
        <v>0.6875</v>
      </c>
      <c r="N1034" s="173" t="s">
        <v>1251</v>
      </c>
      <c r="O1034" s="23">
        <v>2385</v>
      </c>
      <c r="P1034" s="70">
        <v>0.54166666666666663</v>
      </c>
      <c r="Q1034" s="70">
        <v>0.6875</v>
      </c>
      <c r="R1034" s="229" t="s">
        <v>1303</v>
      </c>
    </row>
    <row r="1035" spans="1:18" x14ac:dyDescent="0.4">
      <c r="A1035" s="242">
        <v>45859</v>
      </c>
      <c r="B1035" s="149" t="s">
        <v>1099</v>
      </c>
      <c r="C1035" s="140" t="s">
        <v>1102</v>
      </c>
      <c r="D1035" s="189">
        <v>4</v>
      </c>
      <c r="E1035" s="77">
        <v>5</v>
      </c>
      <c r="F1035" s="1"/>
      <c r="G1035" s="76">
        <v>0.66736111111111107</v>
      </c>
      <c r="H1035" s="76">
        <v>0.72916666666666663</v>
      </c>
      <c r="I1035" s="173" t="s">
        <v>1618</v>
      </c>
      <c r="J1035" s="23">
        <v>3</v>
      </c>
      <c r="K1035" s="68">
        <v>6.9444444444444441E-3</v>
      </c>
      <c r="L1035" s="68">
        <v>0.69444444444444453</v>
      </c>
      <c r="M1035" s="68">
        <v>0.72916666666666663</v>
      </c>
      <c r="N1035" s="173" t="s">
        <v>1322</v>
      </c>
      <c r="O1035" s="23">
        <v>625</v>
      </c>
      <c r="P1035" s="70">
        <v>0.66736111111111107</v>
      </c>
      <c r="Q1035" s="70">
        <v>0.72916666666666663</v>
      </c>
      <c r="R1035" s="229" t="s">
        <v>1618</v>
      </c>
    </row>
    <row r="1036" spans="1:18" x14ac:dyDescent="0.4">
      <c r="A1036" s="242">
        <v>45859</v>
      </c>
      <c r="B1036" s="149" t="s">
        <v>997</v>
      </c>
      <c r="C1036" s="140" t="s">
        <v>239</v>
      </c>
      <c r="D1036" s="189">
        <v>6</v>
      </c>
      <c r="E1036" s="77">
        <v>5</v>
      </c>
      <c r="F1036" s="1"/>
      <c r="G1036" s="76">
        <v>0.29166666666666669</v>
      </c>
      <c r="H1036" s="76">
        <v>0.38194444444444442</v>
      </c>
      <c r="I1036" s="173" t="s">
        <v>1248</v>
      </c>
      <c r="J1036" s="23">
        <v>3</v>
      </c>
      <c r="K1036" s="68">
        <v>6.9444444444444441E-3</v>
      </c>
      <c r="L1036" s="68">
        <v>0.33333333333333331</v>
      </c>
      <c r="M1036" s="68">
        <v>0.41319444444444442</v>
      </c>
      <c r="N1036" s="173" t="s">
        <v>1249</v>
      </c>
      <c r="O1036" s="23">
        <v>1025</v>
      </c>
      <c r="P1036" s="70">
        <v>0.29166666666666669</v>
      </c>
      <c r="Q1036" s="70">
        <v>0.41319444444444442</v>
      </c>
      <c r="R1036" s="229" t="s">
        <v>1326</v>
      </c>
    </row>
    <row r="1037" spans="1:18" x14ac:dyDescent="0.4">
      <c r="A1037" s="242">
        <v>45859</v>
      </c>
      <c r="B1037" s="149" t="s">
        <v>81</v>
      </c>
      <c r="C1037" s="140" t="s">
        <v>235</v>
      </c>
      <c r="D1037" s="189">
        <v>28</v>
      </c>
      <c r="E1037" s="77">
        <v>5</v>
      </c>
      <c r="F1037" s="1"/>
      <c r="G1037" s="76">
        <v>0.38194444444444442</v>
      </c>
      <c r="H1037" s="76">
        <v>0.66736111111111107</v>
      </c>
      <c r="I1037" s="173" t="s">
        <v>1400</v>
      </c>
      <c r="J1037" s="23">
        <v>3</v>
      </c>
      <c r="K1037" s="68">
        <v>6.9444444444444441E-3</v>
      </c>
      <c r="L1037" s="68">
        <v>0.41319444444444442</v>
      </c>
      <c r="M1037" s="68">
        <v>0.69444444444444453</v>
      </c>
      <c r="N1037" s="173" t="s">
        <v>1358</v>
      </c>
      <c r="O1037" s="23">
        <v>2820</v>
      </c>
      <c r="P1037" s="70">
        <v>0.38194444444444442</v>
      </c>
      <c r="Q1037" s="70">
        <v>0.69444444444444453</v>
      </c>
      <c r="R1037" s="229" t="s">
        <v>1329</v>
      </c>
    </row>
    <row r="1038" spans="1:18" x14ac:dyDescent="0.4">
      <c r="A1038" s="242">
        <v>45859</v>
      </c>
      <c r="B1038" s="149" t="s">
        <v>97</v>
      </c>
      <c r="C1038" s="140" t="s">
        <v>274</v>
      </c>
      <c r="D1038" s="189">
        <v>8</v>
      </c>
      <c r="E1038" s="77">
        <v>3</v>
      </c>
      <c r="F1038" s="76">
        <v>2.0833333333333332E-2</v>
      </c>
      <c r="G1038" s="76">
        <v>0.29166666666666669</v>
      </c>
      <c r="H1038" s="76">
        <v>0.33333333333333331</v>
      </c>
      <c r="I1038" s="173" t="s">
        <v>1375</v>
      </c>
      <c r="J1038" s="23">
        <v>4</v>
      </c>
      <c r="K1038" s="23"/>
      <c r="L1038" s="68">
        <v>0.29166666666666669</v>
      </c>
      <c r="M1038" s="68">
        <v>0.38541666666666669</v>
      </c>
      <c r="N1038" s="173" t="s">
        <v>1324</v>
      </c>
      <c r="O1038" s="23">
        <v>810</v>
      </c>
      <c r="P1038" s="70">
        <v>0.29166666666666669</v>
      </c>
      <c r="Q1038" s="70">
        <v>0.38541666666666669</v>
      </c>
      <c r="R1038" s="229" t="s">
        <v>1324</v>
      </c>
    </row>
    <row r="1039" spans="1:18" x14ac:dyDescent="0.4">
      <c r="A1039" s="242">
        <v>45859</v>
      </c>
      <c r="B1039" s="149" t="s">
        <v>123</v>
      </c>
      <c r="C1039" s="140" t="s">
        <v>277</v>
      </c>
      <c r="D1039" s="189">
        <v>40</v>
      </c>
      <c r="E1039" s="77">
        <v>3</v>
      </c>
      <c r="F1039" s="76">
        <v>2.0833333333333332E-2</v>
      </c>
      <c r="G1039" s="76">
        <v>0.33680555555555558</v>
      </c>
      <c r="H1039" s="76">
        <v>0.61458333333333337</v>
      </c>
      <c r="I1039" s="173" t="s">
        <v>1471</v>
      </c>
      <c r="J1039" s="23">
        <v>4</v>
      </c>
      <c r="K1039" s="23"/>
      <c r="L1039" s="68">
        <v>0.38194444444444442</v>
      </c>
      <c r="M1039" s="68">
        <v>0.67361111111111116</v>
      </c>
      <c r="N1039" s="173" t="s">
        <v>1321</v>
      </c>
      <c r="O1039" s="23">
        <v>2550</v>
      </c>
      <c r="P1039" s="70">
        <v>0.33680555555555558</v>
      </c>
      <c r="Q1039" s="70">
        <v>0.67361111111111116</v>
      </c>
      <c r="R1039" s="229" t="s">
        <v>1456</v>
      </c>
    </row>
    <row r="1040" spans="1:18" x14ac:dyDescent="0.4">
      <c r="A1040" s="245">
        <v>45859</v>
      </c>
      <c r="B1040" s="237" t="s">
        <v>594</v>
      </c>
      <c r="C1040" s="136" t="s">
        <v>595</v>
      </c>
      <c r="D1040" s="238">
        <v>1</v>
      </c>
      <c r="E1040" s="103"/>
      <c r="F1040" s="104"/>
      <c r="G1040" s="184"/>
      <c r="H1040" s="184"/>
      <c r="I1040" s="225" t="s">
        <v>1002</v>
      </c>
      <c r="J1040" s="105"/>
      <c r="K1040" s="105"/>
      <c r="L1040" s="106"/>
      <c r="M1040" s="106"/>
      <c r="N1040" s="225" t="s">
        <v>1002</v>
      </c>
      <c r="O1040" s="105">
        <v>0</v>
      </c>
      <c r="P1040" s="70">
        <v>0</v>
      </c>
      <c r="Q1040" s="70">
        <v>0</v>
      </c>
      <c r="R1040" s="232" t="s">
        <v>1002</v>
      </c>
    </row>
    <row r="1041" spans="1:18" x14ac:dyDescent="0.4">
      <c r="A1041" s="242">
        <v>45860</v>
      </c>
      <c r="B1041" s="149" t="s">
        <v>75</v>
      </c>
      <c r="C1041" s="140" t="s">
        <v>229</v>
      </c>
      <c r="D1041" s="189">
        <v>16</v>
      </c>
      <c r="E1041" s="77">
        <v>5</v>
      </c>
      <c r="F1041" s="1"/>
      <c r="G1041" s="76">
        <v>0.29166666666666669</v>
      </c>
      <c r="H1041" s="76">
        <v>0.4375</v>
      </c>
      <c r="I1041" s="173" t="s">
        <v>1303</v>
      </c>
      <c r="J1041" s="23">
        <v>4</v>
      </c>
      <c r="K1041" s="68">
        <v>1.0416666666666666E-2</v>
      </c>
      <c r="L1041" s="68">
        <v>0.33333333333333331</v>
      </c>
      <c r="M1041" s="68">
        <v>0.46527777777777773</v>
      </c>
      <c r="N1041" s="173" t="s">
        <v>1299</v>
      </c>
      <c r="O1041" s="23">
        <v>1870</v>
      </c>
      <c r="P1041" s="70">
        <v>0.29166666666666669</v>
      </c>
      <c r="Q1041" s="70">
        <v>0.46527777777777773</v>
      </c>
      <c r="R1041" s="229" t="s">
        <v>1311</v>
      </c>
    </row>
    <row r="1042" spans="1:18" x14ac:dyDescent="0.4">
      <c r="A1042" s="242">
        <v>45860</v>
      </c>
      <c r="B1042" s="149" t="s">
        <v>63</v>
      </c>
      <c r="C1042" s="140" t="s">
        <v>267</v>
      </c>
      <c r="D1042" s="189">
        <v>24</v>
      </c>
      <c r="E1042" s="77">
        <v>5</v>
      </c>
      <c r="F1042" s="1"/>
      <c r="G1042" s="76">
        <v>0.4375</v>
      </c>
      <c r="H1042" s="76">
        <v>0.66666666666666663</v>
      </c>
      <c r="I1042" s="173" t="s">
        <v>1243</v>
      </c>
      <c r="J1042" s="23">
        <v>4</v>
      </c>
      <c r="K1042" s="68">
        <v>1.0416666666666666E-2</v>
      </c>
      <c r="L1042" s="68">
        <v>0.46527777777777773</v>
      </c>
      <c r="M1042" s="68">
        <v>0.70833333333333337</v>
      </c>
      <c r="N1042" s="173" t="s">
        <v>1466</v>
      </c>
      <c r="O1042" s="23">
        <v>2570</v>
      </c>
      <c r="P1042" s="70">
        <v>0.4375</v>
      </c>
      <c r="Q1042" s="70">
        <v>0.70833333333333337</v>
      </c>
      <c r="R1042" s="229" t="s">
        <v>1320</v>
      </c>
    </row>
    <row r="1043" spans="1:18" x14ac:dyDescent="0.4">
      <c r="A1043" s="242">
        <v>45860</v>
      </c>
      <c r="B1043" s="149" t="s">
        <v>108</v>
      </c>
      <c r="C1043" s="140" t="s">
        <v>231</v>
      </c>
      <c r="D1043" s="189">
        <v>21</v>
      </c>
      <c r="E1043" s="77">
        <v>5</v>
      </c>
      <c r="F1043" s="1"/>
      <c r="G1043" s="76">
        <v>0.29166666666666669</v>
      </c>
      <c r="H1043" s="76">
        <v>0.66666666666666663</v>
      </c>
      <c r="I1043" s="173" t="s">
        <v>1292</v>
      </c>
      <c r="J1043" s="23">
        <v>9</v>
      </c>
      <c r="K1043" s="23"/>
      <c r="L1043" s="68">
        <v>0.33333333333333331</v>
      </c>
      <c r="M1043" s="68">
        <v>0.70833333333333337</v>
      </c>
      <c r="N1043" s="173" t="s">
        <v>1292</v>
      </c>
      <c r="O1043" s="23">
        <v>6720</v>
      </c>
      <c r="P1043" s="70">
        <v>0.29166666666666669</v>
      </c>
      <c r="Q1043" s="70">
        <v>0.70833333333333337</v>
      </c>
      <c r="R1043" s="229" t="s">
        <v>1252</v>
      </c>
    </row>
    <row r="1044" spans="1:18" x14ac:dyDescent="0.4">
      <c r="A1044" s="242">
        <v>45860</v>
      </c>
      <c r="B1044" s="149" t="s">
        <v>65</v>
      </c>
      <c r="C1044" s="140" t="s">
        <v>189</v>
      </c>
      <c r="D1044" s="189">
        <v>72</v>
      </c>
      <c r="E1044" s="77">
        <v>3</v>
      </c>
      <c r="F1044" s="76">
        <v>4.1666666666666664E-2</v>
      </c>
      <c r="G1044" s="76">
        <v>0.29166666666666669</v>
      </c>
      <c r="H1044" s="76">
        <v>0.71180555555555547</v>
      </c>
      <c r="I1044" s="173" t="s">
        <v>1619</v>
      </c>
      <c r="J1044" s="23">
        <v>4</v>
      </c>
      <c r="K1044" s="23"/>
      <c r="L1044" s="68">
        <v>0.29166666666666669</v>
      </c>
      <c r="M1044" s="68">
        <v>0.76041666666666663</v>
      </c>
      <c r="N1044" s="173" t="s">
        <v>1615</v>
      </c>
      <c r="O1044" s="23">
        <v>4275</v>
      </c>
      <c r="P1044" s="70">
        <v>0.29166666666666669</v>
      </c>
      <c r="Q1044" s="70">
        <v>0.76041666666666663</v>
      </c>
      <c r="R1044" s="229" t="s">
        <v>1615</v>
      </c>
    </row>
    <row r="1045" spans="1:18" x14ac:dyDescent="0.4">
      <c r="A1045" s="242">
        <v>45861</v>
      </c>
      <c r="B1045" s="149" t="s">
        <v>63</v>
      </c>
      <c r="C1045" s="140" t="s">
        <v>267</v>
      </c>
      <c r="D1045" s="189">
        <v>24</v>
      </c>
      <c r="E1045" s="77">
        <v>5</v>
      </c>
      <c r="F1045" s="1"/>
      <c r="G1045" s="76">
        <v>0.43055555555555558</v>
      </c>
      <c r="H1045" s="76">
        <v>0.66666666666666663</v>
      </c>
      <c r="I1045" s="173" t="s">
        <v>1255</v>
      </c>
      <c r="J1045" s="23">
        <v>4</v>
      </c>
      <c r="K1045" s="68">
        <v>1.0416666666666666E-2</v>
      </c>
      <c r="L1045" s="68">
        <v>0.46527777777777773</v>
      </c>
      <c r="M1045" s="68">
        <v>0.6875</v>
      </c>
      <c r="N1045" s="173" t="s">
        <v>1304</v>
      </c>
      <c r="O1045" s="23">
        <v>2500</v>
      </c>
      <c r="P1045" s="70">
        <v>0.43055555555555558</v>
      </c>
      <c r="Q1045" s="70">
        <v>0.6875</v>
      </c>
      <c r="R1045" s="229" t="s">
        <v>1257</v>
      </c>
    </row>
    <row r="1046" spans="1:18" x14ac:dyDescent="0.4">
      <c r="A1046" s="242">
        <v>45861</v>
      </c>
      <c r="B1046" s="149" t="s">
        <v>1099</v>
      </c>
      <c r="C1046" s="140" t="s">
        <v>1102</v>
      </c>
      <c r="D1046" s="189">
        <v>16</v>
      </c>
      <c r="E1046" s="77">
        <v>5</v>
      </c>
      <c r="F1046" s="1"/>
      <c r="G1046" s="76">
        <v>0.29166666666666669</v>
      </c>
      <c r="H1046" s="76">
        <v>0.43055555555555558</v>
      </c>
      <c r="I1046" s="173" t="s">
        <v>1250</v>
      </c>
      <c r="J1046" s="23">
        <v>4</v>
      </c>
      <c r="K1046" s="68">
        <v>1.0416666666666666E-2</v>
      </c>
      <c r="L1046" s="68">
        <v>0.33333333333333331</v>
      </c>
      <c r="M1046" s="68">
        <v>0.46527777777777773</v>
      </c>
      <c r="N1046" s="173" t="s">
        <v>1299</v>
      </c>
      <c r="O1046" s="23">
        <v>1820</v>
      </c>
      <c r="P1046" s="70">
        <v>0.29166666666666669</v>
      </c>
      <c r="Q1046" s="70">
        <v>0.46527777777777773</v>
      </c>
      <c r="R1046" s="229" t="s">
        <v>1311</v>
      </c>
    </row>
    <row r="1047" spans="1:18" x14ac:dyDescent="0.4">
      <c r="A1047" s="242">
        <v>45861</v>
      </c>
      <c r="B1047" s="149" t="s">
        <v>73</v>
      </c>
      <c r="C1047" s="140" t="s">
        <v>231</v>
      </c>
      <c r="D1047" s="189">
        <v>21</v>
      </c>
      <c r="E1047" s="77">
        <v>5</v>
      </c>
      <c r="F1047" s="1"/>
      <c r="G1047" s="76">
        <v>0.29166666666666669</v>
      </c>
      <c r="H1047" s="76">
        <v>0.68055555555555547</v>
      </c>
      <c r="I1047" s="173" t="s">
        <v>1465</v>
      </c>
      <c r="J1047" s="23">
        <v>9</v>
      </c>
      <c r="K1047" s="23"/>
      <c r="L1047" s="68">
        <v>0.33333333333333331</v>
      </c>
      <c r="M1047" s="68">
        <v>0.70833333333333337</v>
      </c>
      <c r="N1047" s="173" t="s">
        <v>1292</v>
      </c>
      <c r="O1047" s="23">
        <v>6820</v>
      </c>
      <c r="P1047" s="70">
        <v>0.29166666666666669</v>
      </c>
      <c r="Q1047" s="70">
        <v>0.70833333333333337</v>
      </c>
      <c r="R1047" s="229" t="s">
        <v>1252</v>
      </c>
    </row>
    <row r="1048" spans="1:18" x14ac:dyDescent="0.4">
      <c r="A1048" s="242">
        <v>45861</v>
      </c>
      <c r="B1048" s="149" t="s">
        <v>65</v>
      </c>
      <c r="C1048" s="140" t="s">
        <v>189</v>
      </c>
      <c r="D1048" s="189">
        <v>72</v>
      </c>
      <c r="E1048" s="77">
        <v>3</v>
      </c>
      <c r="F1048" s="76">
        <v>4.1666666666666664E-2</v>
      </c>
      <c r="G1048" s="76">
        <v>0.29166666666666669</v>
      </c>
      <c r="H1048" s="76">
        <v>0.67708333333333337</v>
      </c>
      <c r="I1048" s="173" t="s">
        <v>1419</v>
      </c>
      <c r="J1048" s="23">
        <v>4</v>
      </c>
      <c r="K1048" s="23"/>
      <c r="L1048" s="68">
        <v>0.29166666666666669</v>
      </c>
      <c r="M1048" s="68">
        <v>0.74652777777777779</v>
      </c>
      <c r="N1048" s="173" t="s">
        <v>1620</v>
      </c>
      <c r="O1048" s="23">
        <v>4045</v>
      </c>
      <c r="P1048" s="70">
        <v>0.29166666666666669</v>
      </c>
      <c r="Q1048" s="70">
        <v>0.74652777777777779</v>
      </c>
      <c r="R1048" s="229" t="s">
        <v>1620</v>
      </c>
    </row>
    <row r="1049" spans="1:18" x14ac:dyDescent="0.4">
      <c r="A1049" s="245">
        <v>45861</v>
      </c>
      <c r="B1049" s="237" t="s">
        <v>434</v>
      </c>
      <c r="C1049" s="136" t="s">
        <v>545</v>
      </c>
      <c r="D1049" s="238">
        <v>50</v>
      </c>
      <c r="E1049" s="103"/>
      <c r="F1049" s="104"/>
      <c r="G1049" s="184"/>
      <c r="H1049" s="184"/>
      <c r="I1049" s="225" t="s">
        <v>1002</v>
      </c>
      <c r="J1049" s="105"/>
      <c r="K1049" s="105"/>
      <c r="L1049" s="106"/>
      <c r="M1049" s="106"/>
      <c r="N1049" s="225" t="s">
        <v>1002</v>
      </c>
      <c r="O1049" s="105">
        <v>0</v>
      </c>
      <c r="P1049" s="70">
        <v>0</v>
      </c>
      <c r="Q1049" s="70">
        <v>0</v>
      </c>
      <c r="R1049" s="232" t="s">
        <v>1002</v>
      </c>
    </row>
    <row r="1050" spans="1:18" x14ac:dyDescent="0.4">
      <c r="A1050" s="242">
        <v>45862</v>
      </c>
      <c r="B1050" s="149" t="s">
        <v>87</v>
      </c>
      <c r="C1050" s="140" t="s">
        <v>199</v>
      </c>
      <c r="D1050" s="189">
        <v>72</v>
      </c>
      <c r="E1050" s="77">
        <v>6</v>
      </c>
      <c r="F1050" s="1"/>
      <c r="G1050" s="76">
        <v>0.29166666666666669</v>
      </c>
      <c r="H1050" s="76">
        <v>0.6875</v>
      </c>
      <c r="I1050" s="173" t="s">
        <v>990</v>
      </c>
      <c r="J1050" s="23">
        <v>5</v>
      </c>
      <c r="K1050" s="23"/>
      <c r="L1050" s="68">
        <v>0.3125</v>
      </c>
      <c r="M1050" s="68">
        <v>0.70833333333333337</v>
      </c>
      <c r="N1050" s="173" t="s">
        <v>990</v>
      </c>
      <c r="O1050" s="23">
        <v>5610</v>
      </c>
      <c r="P1050" s="70">
        <v>0.29166666666666669</v>
      </c>
      <c r="Q1050" s="70">
        <v>0.70833333333333337</v>
      </c>
      <c r="R1050" s="229" t="s">
        <v>1252</v>
      </c>
    </row>
    <row r="1051" spans="1:18" x14ac:dyDescent="0.4">
      <c r="A1051" s="242">
        <v>45862</v>
      </c>
      <c r="B1051" s="149" t="s">
        <v>64</v>
      </c>
      <c r="C1051" s="140" t="s">
        <v>271</v>
      </c>
      <c r="D1051" s="189">
        <v>20</v>
      </c>
      <c r="E1051" s="77">
        <v>5</v>
      </c>
      <c r="F1051" s="1"/>
      <c r="G1051" s="76">
        <v>0.29166666666666669</v>
      </c>
      <c r="H1051" s="76">
        <v>0.5</v>
      </c>
      <c r="I1051" s="173" t="s">
        <v>1327</v>
      </c>
      <c r="J1051" s="23">
        <v>3</v>
      </c>
      <c r="K1051" s="68">
        <v>1.0416666666666666E-2</v>
      </c>
      <c r="L1051" s="68">
        <v>0.33333333333333331</v>
      </c>
      <c r="M1051" s="68">
        <v>0.5625</v>
      </c>
      <c r="N1051" s="173" t="s">
        <v>1335</v>
      </c>
      <c r="O1051" s="23">
        <v>2355</v>
      </c>
      <c r="P1051" s="70">
        <v>0.29166666666666669</v>
      </c>
      <c r="Q1051" s="70">
        <v>0.5625</v>
      </c>
      <c r="R1051" s="229" t="s">
        <v>1320</v>
      </c>
    </row>
    <row r="1052" spans="1:18" x14ac:dyDescent="0.4">
      <c r="A1052" s="242">
        <v>45862</v>
      </c>
      <c r="B1052" s="149" t="s">
        <v>63</v>
      </c>
      <c r="C1052" s="140" t="s">
        <v>267</v>
      </c>
      <c r="D1052" s="189">
        <v>20</v>
      </c>
      <c r="E1052" s="23">
        <v>5</v>
      </c>
      <c r="F1052" s="23"/>
      <c r="G1052" s="68">
        <v>0.54166666666666663</v>
      </c>
      <c r="H1052" s="68">
        <v>0.70833333333333337</v>
      </c>
      <c r="I1052" s="173" t="s">
        <v>1244</v>
      </c>
      <c r="J1052" s="23">
        <v>3</v>
      </c>
      <c r="K1052" s="68">
        <v>1.0416666666666666E-2</v>
      </c>
      <c r="L1052" s="68">
        <v>0.5625</v>
      </c>
      <c r="M1052" s="68">
        <v>0.72916666666666663</v>
      </c>
      <c r="N1052" s="173" t="s">
        <v>1259</v>
      </c>
      <c r="O1052" s="23">
        <v>1965</v>
      </c>
      <c r="P1052" s="70">
        <v>0.54166666666666663</v>
      </c>
      <c r="Q1052" s="70">
        <v>0.72916666666666663</v>
      </c>
      <c r="R1052" s="229" t="s">
        <v>1243</v>
      </c>
    </row>
    <row r="1053" spans="1:18" x14ac:dyDescent="0.4">
      <c r="A1053" s="242">
        <v>45862</v>
      </c>
      <c r="B1053" s="149" t="s">
        <v>597</v>
      </c>
      <c r="C1053" s="140" t="s">
        <v>283</v>
      </c>
      <c r="D1053" s="189">
        <v>8</v>
      </c>
      <c r="E1053" s="77">
        <v>3</v>
      </c>
      <c r="F1053" s="76">
        <v>4.1666666666666664E-2</v>
      </c>
      <c r="G1053" s="76">
        <v>0.29166666666666669</v>
      </c>
      <c r="H1053" s="76">
        <v>0.35069444444444442</v>
      </c>
      <c r="I1053" s="173" t="s">
        <v>1331</v>
      </c>
      <c r="J1053" s="23">
        <v>7</v>
      </c>
      <c r="K1053" s="68">
        <v>2.0833333333333332E-2</v>
      </c>
      <c r="L1053" s="68">
        <v>0.33680555555555558</v>
      </c>
      <c r="M1053" s="68">
        <v>0.46875</v>
      </c>
      <c r="N1053" s="173" t="s">
        <v>1254</v>
      </c>
      <c r="O1053" s="23">
        <v>1975</v>
      </c>
      <c r="P1053" s="70">
        <v>0.29166666666666669</v>
      </c>
      <c r="Q1053" s="70">
        <v>0.46875</v>
      </c>
      <c r="R1053" s="229" t="s">
        <v>1259</v>
      </c>
    </row>
    <row r="1054" spans="1:18" x14ac:dyDescent="0.4">
      <c r="A1054" s="242">
        <v>45862</v>
      </c>
      <c r="B1054" s="149" t="s">
        <v>104</v>
      </c>
      <c r="C1054" s="140" t="s">
        <v>191</v>
      </c>
      <c r="D1054" s="189">
        <v>36</v>
      </c>
      <c r="E1054" s="77">
        <v>3</v>
      </c>
      <c r="F1054" s="1"/>
      <c r="G1054" s="76">
        <v>0.34027777777777773</v>
      </c>
      <c r="H1054" s="76">
        <v>0.63194444444444442</v>
      </c>
      <c r="I1054" s="173" t="s">
        <v>1321</v>
      </c>
      <c r="J1054" s="23">
        <v>4</v>
      </c>
      <c r="K1054" s="68">
        <v>2.0833333333333332E-2</v>
      </c>
      <c r="L1054" s="68">
        <v>0.47222222222222227</v>
      </c>
      <c r="M1054" s="68">
        <v>0.68402777777777779</v>
      </c>
      <c r="N1054" s="173" t="s">
        <v>1304</v>
      </c>
      <c r="O1054" s="23">
        <v>2180</v>
      </c>
      <c r="P1054" s="70">
        <v>0.34027777777777773</v>
      </c>
      <c r="Q1054" s="70">
        <v>0.68402777777777779</v>
      </c>
      <c r="R1054" s="229" t="s">
        <v>1245</v>
      </c>
    </row>
    <row r="1055" spans="1:18" s="146" customFormat="1" x14ac:dyDescent="0.4">
      <c r="A1055" s="242">
        <v>45863</v>
      </c>
      <c r="B1055" s="149" t="s">
        <v>106</v>
      </c>
      <c r="C1055" s="140" t="s">
        <v>173</v>
      </c>
      <c r="D1055" s="189">
        <v>16</v>
      </c>
      <c r="E1055" s="168">
        <v>4</v>
      </c>
      <c r="F1055" s="158"/>
      <c r="G1055" s="169">
        <v>0.54166666666666663</v>
      </c>
      <c r="H1055" s="169">
        <v>0.70833333333333337</v>
      </c>
      <c r="I1055" s="153" t="s">
        <v>1244</v>
      </c>
      <c r="J1055" s="144">
        <v>9</v>
      </c>
      <c r="K1055" s="170">
        <v>1.0416666666666666E-2</v>
      </c>
      <c r="L1055" s="170">
        <v>0.56944444444444442</v>
      </c>
      <c r="M1055" s="170">
        <v>0.70833333333333337</v>
      </c>
      <c r="N1055" s="153" t="s">
        <v>1355</v>
      </c>
      <c r="O1055" s="144">
        <v>2895</v>
      </c>
      <c r="P1055" s="70">
        <v>0.54166666666666663</v>
      </c>
      <c r="Q1055" s="70">
        <v>0.70833333333333337</v>
      </c>
      <c r="R1055" s="233" t="s">
        <v>1244</v>
      </c>
    </row>
    <row r="1056" spans="1:18" s="146" customFormat="1" x14ac:dyDescent="0.4">
      <c r="A1056" s="242">
        <v>45863</v>
      </c>
      <c r="B1056" s="149" t="s">
        <v>61</v>
      </c>
      <c r="C1056" s="140" t="s">
        <v>156</v>
      </c>
      <c r="D1056" s="189">
        <v>24</v>
      </c>
      <c r="E1056" s="168">
        <v>5</v>
      </c>
      <c r="F1056" s="158"/>
      <c r="G1056" s="169">
        <v>0.29166666666666669</v>
      </c>
      <c r="H1056" s="169">
        <v>0.5</v>
      </c>
      <c r="I1056" s="153" t="s">
        <v>1327</v>
      </c>
      <c r="J1056" s="144">
        <v>10</v>
      </c>
      <c r="K1056" s="170">
        <v>1.0416666666666666E-2</v>
      </c>
      <c r="L1056" s="170">
        <v>0.33333333333333331</v>
      </c>
      <c r="M1056" s="170">
        <v>0.56944444444444442</v>
      </c>
      <c r="N1056" s="153" t="s">
        <v>1305</v>
      </c>
      <c r="O1056" s="144">
        <v>4450</v>
      </c>
      <c r="P1056" s="70">
        <v>0.29166666666666669</v>
      </c>
      <c r="Q1056" s="70">
        <v>0.56944444444444442</v>
      </c>
      <c r="R1056" s="233" t="s">
        <v>1339</v>
      </c>
    </row>
    <row r="1057" spans="1:18" x14ac:dyDescent="0.4">
      <c r="A1057" s="242">
        <v>45863</v>
      </c>
      <c r="B1057" s="149" t="s">
        <v>56</v>
      </c>
      <c r="C1057" s="140" t="s">
        <v>220</v>
      </c>
      <c r="D1057" s="189">
        <v>12</v>
      </c>
      <c r="E1057" s="77">
        <v>5</v>
      </c>
      <c r="F1057" s="1"/>
      <c r="G1057" s="76">
        <v>0.41319444444444442</v>
      </c>
      <c r="H1057" s="76">
        <v>0.62013888888888891</v>
      </c>
      <c r="I1057" s="173" t="s">
        <v>1310</v>
      </c>
      <c r="J1057" s="23">
        <v>5</v>
      </c>
      <c r="K1057" s="68">
        <v>6.9444444444444441E-3</v>
      </c>
      <c r="L1057" s="68">
        <v>0.44444444444444442</v>
      </c>
      <c r="M1057" s="68">
        <v>0.65277777777777779</v>
      </c>
      <c r="N1057" s="173" t="s">
        <v>1311</v>
      </c>
      <c r="O1057" s="23">
        <v>2440</v>
      </c>
      <c r="P1057" s="70">
        <v>0.41319444444444442</v>
      </c>
      <c r="Q1057" s="70">
        <v>0.65277777777777779</v>
      </c>
      <c r="R1057" s="229" t="s">
        <v>1335</v>
      </c>
    </row>
    <row r="1058" spans="1:18" x14ac:dyDescent="0.4">
      <c r="A1058" s="242">
        <v>45863</v>
      </c>
      <c r="B1058" s="149" t="s">
        <v>130</v>
      </c>
      <c r="C1058" s="140" t="s">
        <v>216</v>
      </c>
      <c r="D1058" s="189">
        <v>12</v>
      </c>
      <c r="E1058" s="77">
        <v>5</v>
      </c>
      <c r="F1058" s="1"/>
      <c r="G1058" s="76">
        <v>0.62013888888888891</v>
      </c>
      <c r="H1058" s="76">
        <v>0.72916666666666663</v>
      </c>
      <c r="I1058" s="173" t="s">
        <v>1546</v>
      </c>
      <c r="J1058" s="23">
        <v>5</v>
      </c>
      <c r="K1058" s="68">
        <v>6.9444444444444441E-3</v>
      </c>
      <c r="L1058" s="68">
        <v>0.65277777777777779</v>
      </c>
      <c r="M1058" s="68">
        <v>0.77083333333333337</v>
      </c>
      <c r="N1058" s="173" t="s">
        <v>1316</v>
      </c>
      <c r="O1058" s="23">
        <v>1685</v>
      </c>
      <c r="P1058" s="70">
        <v>0.62013888888888891</v>
      </c>
      <c r="Q1058" s="70">
        <v>0.77083333333333337</v>
      </c>
      <c r="R1058" s="229" t="s">
        <v>1563</v>
      </c>
    </row>
    <row r="1059" spans="1:18" x14ac:dyDescent="0.4">
      <c r="A1059" s="242">
        <v>45863</v>
      </c>
      <c r="B1059" s="149" t="s">
        <v>72</v>
      </c>
      <c r="C1059" s="140" t="s">
        <v>227</v>
      </c>
      <c r="D1059" s="189">
        <v>12</v>
      </c>
      <c r="E1059" s="77">
        <v>5</v>
      </c>
      <c r="F1059" s="1"/>
      <c r="G1059" s="76">
        <v>0.29166666666666669</v>
      </c>
      <c r="H1059" s="76">
        <v>0.41319444444444442</v>
      </c>
      <c r="I1059" s="173" t="s">
        <v>1326</v>
      </c>
      <c r="J1059" s="23">
        <v>4</v>
      </c>
      <c r="K1059" s="68">
        <v>6.9444444444444441E-3</v>
      </c>
      <c r="L1059" s="68">
        <v>0.33333333333333331</v>
      </c>
      <c r="M1059" s="68">
        <v>0.44444444444444442</v>
      </c>
      <c r="N1059" s="173" t="s">
        <v>1314</v>
      </c>
      <c r="O1059" s="23">
        <v>1555</v>
      </c>
      <c r="P1059" s="70">
        <v>0.29166666666666669</v>
      </c>
      <c r="Q1059" s="70">
        <v>0.44444444444444442</v>
      </c>
      <c r="R1059" s="229" t="s">
        <v>1254</v>
      </c>
    </row>
    <row r="1060" spans="1:18" x14ac:dyDescent="0.4">
      <c r="A1060" s="242">
        <v>45863</v>
      </c>
      <c r="B1060" s="149" t="s">
        <v>65</v>
      </c>
      <c r="C1060" s="140" t="s">
        <v>189</v>
      </c>
      <c r="D1060" s="189">
        <v>72</v>
      </c>
      <c r="E1060" s="77">
        <v>3</v>
      </c>
      <c r="F1060" s="76">
        <v>4.1666666666666664E-2</v>
      </c>
      <c r="G1060" s="76">
        <v>0.29166666666666669</v>
      </c>
      <c r="H1060" s="76">
        <v>0.70486111111111116</v>
      </c>
      <c r="I1060" s="173" t="s">
        <v>1620</v>
      </c>
      <c r="J1060" s="23">
        <v>4</v>
      </c>
      <c r="K1060" s="23"/>
      <c r="L1060" s="68">
        <v>0.29166666666666669</v>
      </c>
      <c r="M1060" s="68">
        <v>0.75</v>
      </c>
      <c r="N1060" s="173" t="s">
        <v>1308</v>
      </c>
      <c r="O1060" s="23">
        <v>4185</v>
      </c>
      <c r="P1060" s="70">
        <v>0.29166666666666669</v>
      </c>
      <c r="Q1060" s="70">
        <v>0.75</v>
      </c>
      <c r="R1060" s="229" t="s">
        <v>1308</v>
      </c>
    </row>
    <row r="1061" spans="1:18" x14ac:dyDescent="0.4">
      <c r="A1061" s="240">
        <v>45866</v>
      </c>
      <c r="B1061" s="151" t="s">
        <v>107</v>
      </c>
      <c r="C1061" s="30" t="s">
        <v>314</v>
      </c>
      <c r="D1061" s="190">
        <v>8</v>
      </c>
      <c r="E1061" s="77">
        <v>5</v>
      </c>
      <c r="F1061" s="1"/>
      <c r="G1061" s="76">
        <v>0.60416666666666663</v>
      </c>
      <c r="H1061" s="76">
        <v>0.6875</v>
      </c>
      <c r="I1061" s="173" t="s">
        <v>1296</v>
      </c>
      <c r="J1061" s="23">
        <v>4</v>
      </c>
      <c r="K1061" s="68">
        <v>6.9444444444444441E-3</v>
      </c>
      <c r="L1061" s="68">
        <v>0.625</v>
      </c>
      <c r="M1061" s="68">
        <v>0.6875</v>
      </c>
      <c r="N1061" s="173" t="s">
        <v>1386</v>
      </c>
      <c r="O1061" s="23">
        <v>1000</v>
      </c>
      <c r="P1061" s="70">
        <v>0.60416666666666663</v>
      </c>
      <c r="Q1061" s="70">
        <v>0.6875</v>
      </c>
      <c r="R1061" s="229" t="s">
        <v>1296</v>
      </c>
    </row>
    <row r="1062" spans="1:18" x14ac:dyDescent="0.4">
      <c r="A1062" s="240">
        <v>45866</v>
      </c>
      <c r="B1062" s="151" t="s">
        <v>51</v>
      </c>
      <c r="C1062" s="30" t="s">
        <v>253</v>
      </c>
      <c r="D1062" s="190">
        <v>12</v>
      </c>
      <c r="E1062" s="77">
        <v>5</v>
      </c>
      <c r="F1062" s="1"/>
      <c r="G1062" s="76">
        <v>0.54166666666666663</v>
      </c>
      <c r="H1062" s="76">
        <v>0.60069444444444442</v>
      </c>
      <c r="I1062" s="173" t="s">
        <v>1534</v>
      </c>
      <c r="J1062" s="23">
        <v>4</v>
      </c>
      <c r="K1062" s="68">
        <v>6.9444444444444441E-3</v>
      </c>
      <c r="L1062" s="68">
        <v>0.54861111111111105</v>
      </c>
      <c r="M1062" s="68">
        <v>0.625</v>
      </c>
      <c r="N1062" s="173" t="s">
        <v>1296</v>
      </c>
      <c r="O1062" s="23">
        <v>905</v>
      </c>
      <c r="P1062" s="70">
        <v>0.54166666666666663</v>
      </c>
      <c r="Q1062" s="70">
        <v>0.625</v>
      </c>
      <c r="R1062" s="229" t="s">
        <v>1296</v>
      </c>
    </row>
    <row r="1063" spans="1:18" x14ac:dyDescent="0.4">
      <c r="A1063" s="240">
        <v>45866</v>
      </c>
      <c r="B1063" s="151" t="s">
        <v>547</v>
      </c>
      <c r="C1063" s="30" t="s">
        <v>205</v>
      </c>
      <c r="D1063" s="190">
        <v>20</v>
      </c>
      <c r="E1063" s="77">
        <v>5</v>
      </c>
      <c r="F1063" s="1"/>
      <c r="G1063" s="76">
        <v>0.29166666666666669</v>
      </c>
      <c r="H1063" s="76">
        <v>0.5</v>
      </c>
      <c r="I1063" s="173" t="s">
        <v>1327</v>
      </c>
      <c r="J1063" s="23">
        <v>4</v>
      </c>
      <c r="K1063" s="68">
        <v>6.9444444444444441E-3</v>
      </c>
      <c r="L1063" s="68">
        <v>0.33333333333333331</v>
      </c>
      <c r="M1063" s="68">
        <v>0.54861111111111105</v>
      </c>
      <c r="N1063" s="173" t="s">
        <v>1379</v>
      </c>
      <c r="O1063" s="23">
        <v>2540</v>
      </c>
      <c r="P1063" s="70">
        <v>0.29166666666666669</v>
      </c>
      <c r="Q1063" s="70">
        <v>0.54861111111111105</v>
      </c>
      <c r="R1063" s="229" t="s">
        <v>1257</v>
      </c>
    </row>
    <row r="1064" spans="1:18" x14ac:dyDescent="0.4">
      <c r="A1064" s="240">
        <v>45866</v>
      </c>
      <c r="B1064" s="151" t="s">
        <v>1103</v>
      </c>
      <c r="C1064" s="30" t="e">
        <v>#N/A</v>
      </c>
      <c r="D1064" s="190">
        <v>8</v>
      </c>
      <c r="E1064" s="77">
        <v>9</v>
      </c>
      <c r="F1064" s="1"/>
      <c r="G1064" s="76">
        <v>0.29166666666666669</v>
      </c>
      <c r="H1064" s="76">
        <v>0.36805555555555558</v>
      </c>
      <c r="I1064" s="173" t="s">
        <v>1377</v>
      </c>
      <c r="J1064" s="23">
        <v>9</v>
      </c>
      <c r="K1064" s="23"/>
      <c r="L1064" s="68">
        <v>0.36805555555555558</v>
      </c>
      <c r="M1064" s="68">
        <v>0.70833333333333337</v>
      </c>
      <c r="N1064" s="173" t="s">
        <v>1403</v>
      </c>
      <c r="O1064" s="23">
        <v>4860</v>
      </c>
      <c r="P1064" s="70">
        <v>0.29166666666666669</v>
      </c>
      <c r="Q1064" s="70">
        <v>0.70833333333333337</v>
      </c>
      <c r="R1064" s="229" t="s">
        <v>1252</v>
      </c>
    </row>
    <row r="1065" spans="1:18" x14ac:dyDescent="0.4">
      <c r="A1065" s="240">
        <v>45866</v>
      </c>
      <c r="B1065" s="151" t="s">
        <v>65</v>
      </c>
      <c r="C1065" s="30" t="s">
        <v>189</v>
      </c>
      <c r="D1065" s="190">
        <v>72</v>
      </c>
      <c r="E1065" s="77">
        <v>3</v>
      </c>
      <c r="F1065" s="76">
        <v>2.0833333333333332E-2</v>
      </c>
      <c r="G1065" s="76">
        <v>0.29166666666666669</v>
      </c>
      <c r="H1065" s="76">
        <v>0.69444444444444453</v>
      </c>
      <c r="I1065" s="173" t="s">
        <v>1352</v>
      </c>
      <c r="J1065" s="23">
        <v>4</v>
      </c>
      <c r="K1065" s="23"/>
      <c r="L1065" s="68">
        <v>0.29166666666666669</v>
      </c>
      <c r="M1065" s="68">
        <v>0.74305555555555547</v>
      </c>
      <c r="N1065" s="173" t="s">
        <v>1612</v>
      </c>
      <c r="O1065" s="23">
        <v>4010</v>
      </c>
      <c r="P1065" s="70">
        <v>0.29166666666666669</v>
      </c>
      <c r="Q1065" s="70">
        <v>0.74305555555555547</v>
      </c>
      <c r="R1065" s="229" t="s">
        <v>1612</v>
      </c>
    </row>
    <row r="1066" spans="1:18" x14ac:dyDescent="0.4">
      <c r="A1066" s="244">
        <v>45866</v>
      </c>
      <c r="B1066" s="213" t="s">
        <v>431</v>
      </c>
      <c r="C1066" s="136" t="s">
        <v>436</v>
      </c>
      <c r="D1066" s="214">
        <v>2</v>
      </c>
      <c r="E1066" s="103"/>
      <c r="F1066" s="104"/>
      <c r="G1066" s="184"/>
      <c r="H1066" s="184"/>
      <c r="I1066" s="225" t="s">
        <v>1002</v>
      </c>
      <c r="J1066" s="105"/>
      <c r="K1066" s="105"/>
      <c r="L1066" s="106"/>
      <c r="M1066" s="106"/>
      <c r="N1066" s="225" t="s">
        <v>1002</v>
      </c>
      <c r="O1066" s="105">
        <v>0</v>
      </c>
      <c r="P1066" s="70">
        <v>0</v>
      </c>
      <c r="Q1066" s="70">
        <v>0</v>
      </c>
      <c r="R1066" s="232" t="s">
        <v>1002</v>
      </c>
    </row>
    <row r="1067" spans="1:18" x14ac:dyDescent="0.4">
      <c r="A1067" s="240">
        <v>45867</v>
      </c>
      <c r="B1067" s="151" t="s">
        <v>63</v>
      </c>
      <c r="C1067" s="30" t="s">
        <v>267</v>
      </c>
      <c r="D1067" s="190">
        <v>24</v>
      </c>
      <c r="E1067" s="77">
        <v>5</v>
      </c>
      <c r="F1067" s="1"/>
      <c r="G1067" s="76">
        <v>0.40138888888888885</v>
      </c>
      <c r="H1067" s="76">
        <v>0.6875</v>
      </c>
      <c r="I1067" s="173" t="s">
        <v>1432</v>
      </c>
      <c r="J1067" s="23">
        <v>3</v>
      </c>
      <c r="K1067" s="68">
        <v>2.0833333333333332E-2</v>
      </c>
      <c r="L1067" s="68">
        <v>0.4375</v>
      </c>
      <c r="M1067" s="68">
        <v>0.6875</v>
      </c>
      <c r="N1067" s="173" t="s">
        <v>1320</v>
      </c>
      <c r="O1067" s="23">
        <v>2750</v>
      </c>
      <c r="P1067" s="70">
        <v>0.40138888888888885</v>
      </c>
      <c r="Q1067" s="70">
        <v>0.6875</v>
      </c>
      <c r="R1067" s="229" t="s">
        <v>1432</v>
      </c>
    </row>
    <row r="1068" spans="1:18" x14ac:dyDescent="0.4">
      <c r="A1068" s="240">
        <v>45867</v>
      </c>
      <c r="B1068" s="151" t="s">
        <v>76</v>
      </c>
      <c r="C1068" s="30" t="s">
        <v>224</v>
      </c>
      <c r="D1068" s="190">
        <v>16</v>
      </c>
      <c r="E1068" s="77">
        <v>5</v>
      </c>
      <c r="F1068" s="1"/>
      <c r="G1068" s="76">
        <v>0.29166666666666669</v>
      </c>
      <c r="H1068" s="76">
        <v>0.40138888888888885</v>
      </c>
      <c r="I1068" s="173" t="s">
        <v>1450</v>
      </c>
      <c r="J1068" s="23">
        <v>3</v>
      </c>
      <c r="K1068" s="68">
        <v>2.0833333333333332E-2</v>
      </c>
      <c r="L1068" s="68">
        <v>0.33333333333333331</v>
      </c>
      <c r="M1068" s="68">
        <v>0.4375</v>
      </c>
      <c r="N1068" s="173" t="s">
        <v>1316</v>
      </c>
      <c r="O1068" s="23">
        <v>1330</v>
      </c>
      <c r="P1068" s="70">
        <v>0.29166666666666669</v>
      </c>
      <c r="Q1068" s="70">
        <v>0.4375</v>
      </c>
      <c r="R1068" s="229" t="s">
        <v>1303</v>
      </c>
    </row>
    <row r="1069" spans="1:18" x14ac:dyDescent="0.4">
      <c r="A1069" s="240">
        <v>45867</v>
      </c>
      <c r="B1069" s="151" t="s">
        <v>1103</v>
      </c>
      <c r="C1069" s="30" t="e">
        <v>#N/A</v>
      </c>
      <c r="D1069" s="190">
        <v>6</v>
      </c>
      <c r="E1069" s="77">
        <v>9</v>
      </c>
      <c r="F1069" s="1"/>
      <c r="G1069" s="76">
        <v>0.29166666666666669</v>
      </c>
      <c r="H1069" s="76">
        <v>0.35416666666666669</v>
      </c>
      <c r="I1069" s="173" t="s">
        <v>1375</v>
      </c>
      <c r="J1069" s="23">
        <v>9</v>
      </c>
      <c r="K1069" s="23"/>
      <c r="L1069" s="68">
        <v>0.35416666666666669</v>
      </c>
      <c r="M1069" s="68">
        <v>0.70833333333333337</v>
      </c>
      <c r="N1069" s="173" t="s">
        <v>1309</v>
      </c>
      <c r="O1069" s="23">
        <v>4860</v>
      </c>
      <c r="P1069" s="70">
        <v>0.29166666666666669</v>
      </c>
      <c r="Q1069" s="70">
        <v>0.70833333333333337</v>
      </c>
      <c r="R1069" s="229" t="s">
        <v>1252</v>
      </c>
    </row>
    <row r="1070" spans="1:18" x14ac:dyDescent="0.4">
      <c r="A1070" s="240">
        <v>45867</v>
      </c>
      <c r="B1070" s="151" t="s">
        <v>82</v>
      </c>
      <c r="C1070" s="30" t="s">
        <v>171</v>
      </c>
      <c r="D1070" s="190">
        <v>32</v>
      </c>
      <c r="E1070" s="77">
        <v>3</v>
      </c>
      <c r="F1070" s="76">
        <v>2.0833333333333332E-2</v>
      </c>
      <c r="G1070" s="76">
        <v>0.29166666666666669</v>
      </c>
      <c r="H1070" s="76">
        <v>0.57638888888888895</v>
      </c>
      <c r="I1070" s="173" t="s">
        <v>1353</v>
      </c>
      <c r="J1070" s="23">
        <v>7</v>
      </c>
      <c r="K1070" s="68">
        <v>2.2916666666666669E-2</v>
      </c>
      <c r="L1070" s="68">
        <v>0.33680555555555558</v>
      </c>
      <c r="M1070" s="68">
        <v>0.63194444444444442</v>
      </c>
      <c r="N1070" s="173" t="s">
        <v>1621</v>
      </c>
      <c r="O1070" s="23">
        <v>3926</v>
      </c>
      <c r="P1070" s="70">
        <v>0.29166666666666669</v>
      </c>
      <c r="Q1070" s="70">
        <v>0.63194444444444442</v>
      </c>
      <c r="R1070" s="229" t="s">
        <v>1403</v>
      </c>
    </row>
    <row r="1071" spans="1:18" x14ac:dyDescent="0.4">
      <c r="A1071" s="240">
        <v>45867</v>
      </c>
      <c r="B1071" s="151" t="s">
        <v>83</v>
      </c>
      <c r="C1071" s="30" t="s">
        <v>169</v>
      </c>
      <c r="D1071" s="190">
        <v>12</v>
      </c>
      <c r="E1071" s="77">
        <v>3</v>
      </c>
      <c r="F1071" s="76">
        <v>2.0833333333333332E-2</v>
      </c>
      <c r="G1071" s="76">
        <v>0.57638888888888895</v>
      </c>
      <c r="H1071" s="76">
        <v>0.68055555555555547</v>
      </c>
      <c r="I1071" s="173" t="s">
        <v>1316</v>
      </c>
      <c r="J1071" s="23">
        <v>7</v>
      </c>
      <c r="K1071" s="68">
        <v>2.2916666666666669E-2</v>
      </c>
      <c r="L1071" s="68">
        <v>0.65625</v>
      </c>
      <c r="M1071" s="68">
        <v>0.75694444444444453</v>
      </c>
      <c r="N1071" s="173" t="s">
        <v>1376</v>
      </c>
      <c r="O1071" s="23">
        <v>1786</v>
      </c>
      <c r="P1071" s="70">
        <v>0.57638888888888895</v>
      </c>
      <c r="Q1071" s="70">
        <v>0.75694444444444453</v>
      </c>
      <c r="R1071" s="229" t="s">
        <v>1379</v>
      </c>
    </row>
    <row r="1072" spans="1:18" x14ac:dyDescent="0.4">
      <c r="A1072" s="240">
        <v>45868</v>
      </c>
      <c r="B1072" s="151" t="s">
        <v>995</v>
      </c>
      <c r="C1072" s="30" t="s">
        <v>201</v>
      </c>
      <c r="D1072" s="190">
        <v>20</v>
      </c>
      <c r="E1072" s="77">
        <v>6</v>
      </c>
      <c r="F1072" s="1"/>
      <c r="G1072" s="76">
        <v>0.29166666666666669</v>
      </c>
      <c r="H1072" s="76">
        <v>0.5</v>
      </c>
      <c r="I1072" s="173" t="s">
        <v>1327</v>
      </c>
      <c r="J1072" s="23">
        <v>5</v>
      </c>
      <c r="K1072" s="68">
        <v>1.0416666666666666E-2</v>
      </c>
      <c r="L1072" s="68">
        <v>0.33333333333333331</v>
      </c>
      <c r="M1072" s="68">
        <v>0.5</v>
      </c>
      <c r="N1072" s="173" t="s">
        <v>1259</v>
      </c>
      <c r="O1072" s="23">
        <v>3075</v>
      </c>
      <c r="P1072" s="70">
        <v>0.29166666666666669</v>
      </c>
      <c r="Q1072" s="70">
        <v>0.5</v>
      </c>
      <c r="R1072" s="229" t="s">
        <v>1327</v>
      </c>
    </row>
    <row r="1073" spans="1:18" x14ac:dyDescent="0.4">
      <c r="A1073" s="240">
        <v>45868</v>
      </c>
      <c r="B1073" s="151" t="s">
        <v>979</v>
      </c>
      <c r="C1073" s="30" t="s">
        <v>199</v>
      </c>
      <c r="D1073" s="190">
        <v>36</v>
      </c>
      <c r="E1073" s="77">
        <v>6</v>
      </c>
      <c r="F1073" s="1"/>
      <c r="G1073" s="76">
        <v>0.54166666666666663</v>
      </c>
      <c r="H1073" s="76">
        <v>0.70833333333333337</v>
      </c>
      <c r="I1073" s="173" t="s">
        <v>1244</v>
      </c>
      <c r="J1073" s="23">
        <v>5</v>
      </c>
      <c r="K1073" s="68">
        <v>1.0416666666666666E-2</v>
      </c>
      <c r="L1073" s="68">
        <v>0.54166666666666663</v>
      </c>
      <c r="M1073" s="68">
        <v>0.70833333333333337</v>
      </c>
      <c r="N1073" s="173" t="s">
        <v>1259</v>
      </c>
      <c r="O1073" s="23">
        <v>2715</v>
      </c>
      <c r="P1073" s="70">
        <v>0.54166666666666663</v>
      </c>
      <c r="Q1073" s="70">
        <v>0.70833333333333337</v>
      </c>
      <c r="R1073" s="229" t="s">
        <v>1244</v>
      </c>
    </row>
    <row r="1074" spans="1:18" x14ac:dyDescent="0.4">
      <c r="A1074" s="240">
        <v>45868</v>
      </c>
      <c r="B1074" s="151" t="s">
        <v>64</v>
      </c>
      <c r="C1074" s="30" t="s">
        <v>271</v>
      </c>
      <c r="D1074" s="190">
        <v>20</v>
      </c>
      <c r="E1074" s="77">
        <v>5</v>
      </c>
      <c r="F1074" s="1"/>
      <c r="G1074" s="76">
        <v>0.54166666666666663</v>
      </c>
      <c r="H1074" s="76">
        <v>0.72916666666666663</v>
      </c>
      <c r="I1074" s="173" t="s">
        <v>1243</v>
      </c>
      <c r="J1074" s="23">
        <v>3</v>
      </c>
      <c r="K1074" s="68">
        <v>6.2499999999999995E-3</v>
      </c>
      <c r="L1074" s="68">
        <v>0.56944444444444442</v>
      </c>
      <c r="M1074" s="68">
        <v>0.72916666666666663</v>
      </c>
      <c r="N1074" s="173" t="s">
        <v>1622</v>
      </c>
      <c r="O1074" s="23">
        <v>2067</v>
      </c>
      <c r="P1074" s="70">
        <v>0.54166666666666663</v>
      </c>
      <c r="Q1074" s="70">
        <v>0.72916666666666663</v>
      </c>
      <c r="R1074" s="229" t="s">
        <v>1243</v>
      </c>
    </row>
    <row r="1075" spans="1:18" x14ac:dyDescent="0.4">
      <c r="A1075" s="240">
        <v>45868</v>
      </c>
      <c r="B1075" s="151" t="s">
        <v>53</v>
      </c>
      <c r="C1075" s="30" t="s">
        <v>261</v>
      </c>
      <c r="D1075" s="190">
        <v>6</v>
      </c>
      <c r="E1075" s="77">
        <v>5</v>
      </c>
      <c r="F1075" s="1"/>
      <c r="G1075" s="76">
        <v>0.3666666666666667</v>
      </c>
      <c r="H1075" s="76">
        <v>0.4291666666666667</v>
      </c>
      <c r="I1075" s="173" t="s">
        <v>1375</v>
      </c>
      <c r="J1075" s="23">
        <v>3</v>
      </c>
      <c r="K1075" s="68">
        <v>6.2499999999999995E-3</v>
      </c>
      <c r="L1075" s="68">
        <v>0.3923611111111111</v>
      </c>
      <c r="M1075" s="68">
        <v>0.46527777777777773</v>
      </c>
      <c r="N1075" s="173" t="s">
        <v>1412</v>
      </c>
      <c r="O1075" s="23">
        <v>792</v>
      </c>
      <c r="P1075" s="70">
        <v>0.3666666666666667</v>
      </c>
      <c r="Q1075" s="70">
        <v>0.46527777777777773</v>
      </c>
      <c r="R1075" s="229" t="s">
        <v>1342</v>
      </c>
    </row>
    <row r="1076" spans="1:18" x14ac:dyDescent="0.4">
      <c r="A1076" s="240">
        <v>45868</v>
      </c>
      <c r="B1076" s="151" t="s">
        <v>1046</v>
      </c>
      <c r="C1076" s="30" t="s">
        <v>1057</v>
      </c>
      <c r="D1076" s="190">
        <v>6</v>
      </c>
      <c r="E1076" s="77">
        <v>5</v>
      </c>
      <c r="F1076" s="1"/>
      <c r="G1076" s="76">
        <v>0.4291666666666667</v>
      </c>
      <c r="H1076" s="76">
        <v>0.5</v>
      </c>
      <c r="I1076" s="173" t="s">
        <v>1438</v>
      </c>
      <c r="J1076" s="23">
        <v>3</v>
      </c>
      <c r="K1076" s="68">
        <v>6.2499999999999995E-3</v>
      </c>
      <c r="L1076" s="68">
        <v>0.46527777777777773</v>
      </c>
      <c r="M1076" s="68">
        <v>0.56944444444444442</v>
      </c>
      <c r="N1076" s="173" t="s">
        <v>1593</v>
      </c>
      <c r="O1076" s="23">
        <v>807</v>
      </c>
      <c r="P1076" s="70">
        <v>0.4291666666666667</v>
      </c>
      <c r="Q1076" s="70">
        <v>0.56944444444444442</v>
      </c>
      <c r="R1076" s="229" t="s">
        <v>1342</v>
      </c>
    </row>
    <row r="1077" spans="1:18" x14ac:dyDescent="0.4">
      <c r="A1077" s="240">
        <v>45868</v>
      </c>
      <c r="B1077" s="151" t="s">
        <v>1045</v>
      </c>
      <c r="C1077" s="30" t="s">
        <v>1056</v>
      </c>
      <c r="D1077" s="190">
        <v>6</v>
      </c>
      <c r="E1077" s="77">
        <v>5</v>
      </c>
      <c r="F1077" s="1"/>
      <c r="G1077" s="76">
        <v>0.29166666666666669</v>
      </c>
      <c r="H1077" s="76">
        <v>0.3666666666666667</v>
      </c>
      <c r="I1077" s="173" t="s">
        <v>1521</v>
      </c>
      <c r="J1077" s="23">
        <v>3</v>
      </c>
      <c r="K1077" s="68">
        <v>6.2499999999999995E-3</v>
      </c>
      <c r="L1077" s="68">
        <v>0.33333333333333331</v>
      </c>
      <c r="M1077" s="68">
        <v>0.3923611111111111</v>
      </c>
      <c r="N1077" s="173" t="s">
        <v>1514</v>
      </c>
      <c r="O1077" s="23">
        <v>822</v>
      </c>
      <c r="P1077" s="70">
        <v>0.29166666666666669</v>
      </c>
      <c r="Q1077" s="70">
        <v>0.3923611111111111</v>
      </c>
      <c r="R1077" s="229" t="s">
        <v>1331</v>
      </c>
    </row>
    <row r="1078" spans="1:18" x14ac:dyDescent="0.4">
      <c r="A1078" s="240">
        <v>45868</v>
      </c>
      <c r="B1078" s="151" t="s">
        <v>65</v>
      </c>
      <c r="C1078" s="30" t="s">
        <v>189</v>
      </c>
      <c r="D1078" s="190">
        <v>72</v>
      </c>
      <c r="E1078" s="77">
        <v>3</v>
      </c>
      <c r="F1078" s="76">
        <v>4.1666666666666664E-2</v>
      </c>
      <c r="G1078" s="76">
        <v>0.29166666666666669</v>
      </c>
      <c r="H1078" s="76">
        <v>0.69097222222222221</v>
      </c>
      <c r="I1078" s="173" t="s">
        <v>1606</v>
      </c>
      <c r="J1078" s="23">
        <v>4</v>
      </c>
      <c r="K1078" s="23"/>
      <c r="L1078" s="68">
        <v>0.29166666666666669</v>
      </c>
      <c r="M1078" s="68">
        <v>0.74305555555555547</v>
      </c>
      <c r="N1078" s="173" t="s">
        <v>1612</v>
      </c>
      <c r="O1078" s="23">
        <v>4085</v>
      </c>
      <c r="P1078" s="70">
        <v>0.29166666666666669</v>
      </c>
      <c r="Q1078" s="70">
        <v>0.74305555555555547</v>
      </c>
      <c r="R1078" s="229" t="s">
        <v>1612</v>
      </c>
    </row>
    <row r="1079" spans="1:18" x14ac:dyDescent="0.4">
      <c r="A1079" s="240">
        <v>45869</v>
      </c>
      <c r="B1079" s="151" t="s">
        <v>114</v>
      </c>
      <c r="C1079" s="30" t="s">
        <v>161</v>
      </c>
      <c r="D1079" s="190">
        <v>15</v>
      </c>
      <c r="E1079" s="77">
        <v>4</v>
      </c>
      <c r="F1079" s="1"/>
      <c r="G1079" s="169">
        <v>0.29166666666666669</v>
      </c>
      <c r="H1079" s="169">
        <v>0.5</v>
      </c>
      <c r="I1079" s="173" t="s">
        <v>1327</v>
      </c>
      <c r="J1079" s="23">
        <v>13</v>
      </c>
      <c r="K1079" s="68">
        <v>2.0833333333333332E-2</v>
      </c>
      <c r="L1079" s="68">
        <v>0.33333333333333331</v>
      </c>
      <c r="M1079" s="68">
        <v>0.54166666666666663</v>
      </c>
      <c r="N1079" s="173" t="s">
        <v>1243</v>
      </c>
      <c r="O1079" s="23">
        <v>4710</v>
      </c>
      <c r="P1079" s="70">
        <v>0.29166666666666669</v>
      </c>
      <c r="Q1079" s="70">
        <v>0.54166666666666663</v>
      </c>
      <c r="R1079" s="229" t="s">
        <v>1327</v>
      </c>
    </row>
    <row r="1080" spans="1:18" x14ac:dyDescent="0.4">
      <c r="A1080" s="240">
        <v>45869</v>
      </c>
      <c r="B1080" s="151" t="s">
        <v>472</v>
      </c>
      <c r="C1080" s="30" t="s">
        <v>285</v>
      </c>
      <c r="D1080" s="190">
        <v>4</v>
      </c>
      <c r="E1080" s="77">
        <v>4</v>
      </c>
      <c r="F1080" s="1"/>
      <c r="G1080" s="169">
        <v>0.54166666666666663</v>
      </c>
      <c r="H1080" s="169">
        <v>0.66666666666666663</v>
      </c>
      <c r="I1080" s="173" t="s">
        <v>1316</v>
      </c>
      <c r="J1080" s="23">
        <v>9</v>
      </c>
      <c r="K1080" s="68">
        <v>4.1666666666666664E-2</v>
      </c>
      <c r="L1080" s="68">
        <v>0.58333333333333337</v>
      </c>
      <c r="M1080" s="68">
        <v>0.70833333333333337</v>
      </c>
      <c r="N1080" s="173" t="s">
        <v>1244</v>
      </c>
      <c r="O1080" s="23">
        <v>2880</v>
      </c>
      <c r="P1080" s="70">
        <v>0.54166666666666663</v>
      </c>
      <c r="Q1080" s="70">
        <v>0.70833333333333337</v>
      </c>
      <c r="R1080" s="229" t="s">
        <v>1244</v>
      </c>
    </row>
    <row r="1081" spans="1:18" x14ac:dyDescent="0.4">
      <c r="A1081" s="240">
        <v>45869</v>
      </c>
      <c r="B1081" s="151" t="s">
        <v>101</v>
      </c>
      <c r="C1081" s="30" t="s">
        <v>222</v>
      </c>
      <c r="D1081" s="190">
        <v>3</v>
      </c>
      <c r="E1081" s="77">
        <v>5</v>
      </c>
      <c r="F1081" s="1"/>
      <c r="G1081" s="76">
        <v>0.41180555555555554</v>
      </c>
      <c r="H1081" s="76">
        <v>0.5</v>
      </c>
      <c r="I1081" s="173" t="s">
        <v>1312</v>
      </c>
      <c r="J1081" s="23">
        <v>4</v>
      </c>
      <c r="K1081" s="68">
        <v>6.9444444444444441E-3</v>
      </c>
      <c r="L1081" s="68">
        <v>0.45833333333333331</v>
      </c>
      <c r="M1081" s="68">
        <v>0.5625</v>
      </c>
      <c r="N1081" s="173" t="s">
        <v>1386</v>
      </c>
      <c r="O1081" s="23">
        <v>1035</v>
      </c>
      <c r="P1081" s="70">
        <v>0.41180555555555554</v>
      </c>
      <c r="Q1081" s="70">
        <v>0.5625</v>
      </c>
      <c r="R1081" s="229" t="s">
        <v>1546</v>
      </c>
    </row>
    <row r="1082" spans="1:18" x14ac:dyDescent="0.4">
      <c r="A1082" s="240">
        <v>45869</v>
      </c>
      <c r="B1082" s="151" t="s">
        <v>1007</v>
      </c>
      <c r="C1082" s="30" t="s">
        <v>212</v>
      </c>
      <c r="D1082" s="190">
        <v>20</v>
      </c>
      <c r="E1082" s="77">
        <v>5</v>
      </c>
      <c r="F1082" s="1"/>
      <c r="G1082" s="76">
        <v>0.54166666666666663</v>
      </c>
      <c r="H1082" s="76">
        <v>0.70833333333333337</v>
      </c>
      <c r="I1082" s="173" t="s">
        <v>1244</v>
      </c>
      <c r="J1082" s="23">
        <v>4</v>
      </c>
      <c r="K1082" s="68">
        <v>6.9444444444444441E-3</v>
      </c>
      <c r="L1082" s="68">
        <v>0.5625</v>
      </c>
      <c r="M1082" s="68">
        <v>0.72916666666666663</v>
      </c>
      <c r="N1082" s="173" t="s">
        <v>1311</v>
      </c>
      <c r="O1082" s="23">
        <v>2200</v>
      </c>
      <c r="P1082" s="70">
        <v>0.54166666666666663</v>
      </c>
      <c r="Q1082" s="70">
        <v>0.72916666666666663</v>
      </c>
      <c r="R1082" s="229" t="s">
        <v>1243</v>
      </c>
    </row>
    <row r="1083" spans="1:18" x14ac:dyDescent="0.4">
      <c r="A1083" s="240">
        <v>45869</v>
      </c>
      <c r="B1083" s="151" t="s">
        <v>548</v>
      </c>
      <c r="C1083" s="30" t="s">
        <v>218</v>
      </c>
      <c r="D1083" s="190">
        <v>12</v>
      </c>
      <c r="E1083" s="77">
        <v>5</v>
      </c>
      <c r="F1083" s="1"/>
      <c r="G1083" s="76">
        <v>0.29166666666666669</v>
      </c>
      <c r="H1083" s="76">
        <v>0.41180555555555554</v>
      </c>
      <c r="I1083" s="173" t="s">
        <v>1300</v>
      </c>
      <c r="J1083" s="23">
        <v>4</v>
      </c>
      <c r="K1083" s="68">
        <v>6.9444444444444441E-3</v>
      </c>
      <c r="L1083" s="68">
        <v>0.33333333333333331</v>
      </c>
      <c r="M1083" s="68">
        <v>0.45833333333333331</v>
      </c>
      <c r="N1083" s="173" t="s">
        <v>1256</v>
      </c>
      <c r="O1083" s="23">
        <v>1625</v>
      </c>
      <c r="P1083" s="70">
        <v>0.29166666666666669</v>
      </c>
      <c r="Q1083" s="70">
        <v>0.45833333333333331</v>
      </c>
      <c r="R1083" s="229" t="s">
        <v>1244</v>
      </c>
    </row>
    <row r="1084" spans="1:18" x14ac:dyDescent="0.4">
      <c r="A1084" s="240">
        <v>45869</v>
      </c>
      <c r="B1084" s="151" t="s">
        <v>65</v>
      </c>
      <c r="C1084" s="30" t="s">
        <v>189</v>
      </c>
      <c r="D1084" s="190">
        <v>44</v>
      </c>
      <c r="E1084" s="77">
        <v>3</v>
      </c>
      <c r="F1084" s="76">
        <v>2.0833333333333332E-2</v>
      </c>
      <c r="G1084" s="76">
        <v>0.29166666666666669</v>
      </c>
      <c r="H1084" s="76">
        <v>0.49652777777777773</v>
      </c>
      <c r="I1084" s="173" t="s">
        <v>1306</v>
      </c>
      <c r="J1084" s="23">
        <v>4</v>
      </c>
      <c r="K1084" s="23"/>
      <c r="L1084" s="68">
        <v>0.29166666666666669</v>
      </c>
      <c r="M1084" s="68">
        <v>0.58680555555555558</v>
      </c>
      <c r="N1084" s="173" t="s">
        <v>1360</v>
      </c>
      <c r="O1084" s="23">
        <v>2435</v>
      </c>
      <c r="P1084" s="70">
        <v>0.29166666666666669</v>
      </c>
      <c r="Q1084" s="70">
        <v>0.58680555555555558</v>
      </c>
      <c r="R1084" s="229" t="s">
        <v>1360</v>
      </c>
    </row>
    <row r="1085" spans="1:18" x14ac:dyDescent="0.4">
      <c r="A1085" s="240">
        <v>45869</v>
      </c>
      <c r="B1085" s="151" t="s">
        <v>66</v>
      </c>
      <c r="C1085" s="30" t="s">
        <v>195</v>
      </c>
      <c r="D1085" s="190">
        <v>20</v>
      </c>
      <c r="E1085" s="77">
        <v>3</v>
      </c>
      <c r="F1085" s="76">
        <v>2.0833333333333332E-2</v>
      </c>
      <c r="G1085" s="76">
        <v>0.54513888888888895</v>
      </c>
      <c r="H1085" s="76">
        <v>0.67708333333333337</v>
      </c>
      <c r="I1085" s="173" t="s">
        <v>1254</v>
      </c>
      <c r="J1085" s="23">
        <v>4</v>
      </c>
      <c r="K1085" s="23"/>
      <c r="L1085" s="68">
        <v>0.59027777777777779</v>
      </c>
      <c r="M1085" s="68">
        <v>0.74305555555555547</v>
      </c>
      <c r="N1085" s="173" t="s">
        <v>1254</v>
      </c>
      <c r="O1085" s="23">
        <v>1540</v>
      </c>
      <c r="P1085" s="70">
        <v>0.54513888888888895</v>
      </c>
      <c r="Q1085" s="70">
        <v>0.74305555555555547</v>
      </c>
      <c r="R1085" s="229" t="s">
        <v>1335</v>
      </c>
    </row>
    <row r="1086" spans="1:18" x14ac:dyDescent="0.4">
      <c r="A1086" s="240">
        <v>45870</v>
      </c>
      <c r="B1086" s="151" t="s">
        <v>63</v>
      </c>
      <c r="C1086" s="30" t="s">
        <v>267</v>
      </c>
      <c r="D1086" s="190">
        <v>16</v>
      </c>
      <c r="E1086" s="77">
        <v>5</v>
      </c>
      <c r="F1086" s="1"/>
      <c r="G1086" s="169">
        <v>0.54166666666666663</v>
      </c>
      <c r="H1086" s="169">
        <v>0.6875</v>
      </c>
      <c r="I1086" s="173" t="s">
        <v>1303</v>
      </c>
      <c r="J1086" s="23">
        <v>3</v>
      </c>
      <c r="K1086" s="68">
        <v>1.0416666666666666E-2</v>
      </c>
      <c r="L1086" s="68">
        <v>0.5625</v>
      </c>
      <c r="M1086" s="68">
        <v>0.6875</v>
      </c>
      <c r="N1086" s="173" t="s">
        <v>1391</v>
      </c>
      <c r="O1086" s="23">
        <v>1635</v>
      </c>
      <c r="P1086" s="70">
        <v>0.54166666666666663</v>
      </c>
      <c r="Q1086" s="70">
        <v>0.6875</v>
      </c>
      <c r="R1086" s="229" t="s">
        <v>1303</v>
      </c>
    </row>
    <row r="1087" spans="1:18" x14ac:dyDescent="0.4">
      <c r="A1087" s="240">
        <v>45870</v>
      </c>
      <c r="B1087" s="151" t="s">
        <v>54</v>
      </c>
      <c r="C1087" s="30" t="s">
        <v>251</v>
      </c>
      <c r="D1087" s="190">
        <v>24</v>
      </c>
      <c r="E1087" s="77">
        <v>5</v>
      </c>
      <c r="F1087" s="1"/>
      <c r="G1087" s="169">
        <v>0.29166666666666669</v>
      </c>
      <c r="H1087" s="169">
        <v>0.5</v>
      </c>
      <c r="I1087" s="173" t="s">
        <v>1327</v>
      </c>
      <c r="J1087" s="23">
        <v>3</v>
      </c>
      <c r="K1087" s="68">
        <v>1.0416666666666666E-2</v>
      </c>
      <c r="L1087" s="68">
        <v>0.33333333333333331</v>
      </c>
      <c r="M1087" s="68">
        <v>0.5625</v>
      </c>
      <c r="N1087" s="173" t="s">
        <v>1335</v>
      </c>
      <c r="O1087" s="23">
        <v>2355</v>
      </c>
      <c r="P1087" s="70">
        <v>0.29166666666666669</v>
      </c>
      <c r="Q1087" s="70">
        <v>0.5625</v>
      </c>
      <c r="R1087" s="229" t="s">
        <v>1320</v>
      </c>
    </row>
    <row r="1088" spans="1:18" x14ac:dyDescent="0.4">
      <c r="A1088" s="240">
        <v>45870</v>
      </c>
      <c r="B1088" s="151" t="s">
        <v>73</v>
      </c>
      <c r="C1088" s="30" t="s">
        <v>231</v>
      </c>
      <c r="D1088" s="190">
        <v>21</v>
      </c>
      <c r="E1088" s="77">
        <v>5</v>
      </c>
      <c r="F1088" s="1"/>
      <c r="G1088" s="76">
        <v>0.29166666666666669</v>
      </c>
      <c r="H1088" s="76">
        <v>0.68055555555555547</v>
      </c>
      <c r="I1088" s="173" t="s">
        <v>1465</v>
      </c>
      <c r="J1088" s="23">
        <v>7</v>
      </c>
      <c r="K1088" s="23"/>
      <c r="L1088" s="68">
        <v>0.33333333333333331</v>
      </c>
      <c r="M1088" s="68">
        <v>0.70833333333333337</v>
      </c>
      <c r="N1088" s="173" t="s">
        <v>1292</v>
      </c>
      <c r="O1088" s="23">
        <v>5860</v>
      </c>
      <c r="P1088" s="70">
        <v>0.29166666666666669</v>
      </c>
      <c r="Q1088" s="70">
        <v>0.70833333333333337</v>
      </c>
      <c r="R1088" s="229" t="s">
        <v>1252</v>
      </c>
    </row>
    <row r="1089" spans="1:18" x14ac:dyDescent="0.4">
      <c r="A1089" s="240">
        <v>45870</v>
      </c>
      <c r="B1089" s="151" t="s">
        <v>471</v>
      </c>
      <c r="C1089" s="30" t="s">
        <v>280</v>
      </c>
      <c r="D1089" s="190">
        <v>8</v>
      </c>
      <c r="E1089" s="77">
        <v>3</v>
      </c>
      <c r="F1089" s="76">
        <v>4.1666666666666664E-2</v>
      </c>
      <c r="G1089" s="76">
        <v>0.29166666666666669</v>
      </c>
      <c r="H1089" s="76">
        <v>0.34375</v>
      </c>
      <c r="I1089" s="173" t="s">
        <v>1324</v>
      </c>
      <c r="J1089" s="23">
        <v>8</v>
      </c>
      <c r="K1089" s="23"/>
      <c r="L1089" s="68">
        <v>0.29166666666666669</v>
      </c>
      <c r="M1089" s="68">
        <v>0.46180555555555558</v>
      </c>
      <c r="N1089" s="173" t="s">
        <v>1365</v>
      </c>
      <c r="O1089" s="23">
        <v>2365</v>
      </c>
      <c r="P1089" s="70">
        <v>0.29166666666666669</v>
      </c>
      <c r="Q1089" s="70">
        <v>0.46180555555555558</v>
      </c>
      <c r="R1089" s="229" t="s">
        <v>1365</v>
      </c>
    </row>
    <row r="1090" spans="1:18" x14ac:dyDescent="0.4">
      <c r="A1090" s="240">
        <v>45870</v>
      </c>
      <c r="B1090" s="151" t="s">
        <v>104</v>
      </c>
      <c r="C1090" s="30" t="s">
        <v>191</v>
      </c>
      <c r="D1090" s="190">
        <v>44</v>
      </c>
      <c r="E1090" s="77">
        <v>3</v>
      </c>
      <c r="F1090" s="1"/>
      <c r="G1090" s="76">
        <v>0.34027777777777773</v>
      </c>
      <c r="H1090" s="76">
        <v>0.67013888888888884</v>
      </c>
      <c r="I1090" s="173" t="s">
        <v>1334</v>
      </c>
      <c r="J1090" s="23">
        <v>4</v>
      </c>
      <c r="K1090" s="23"/>
      <c r="L1090" s="68">
        <v>0.45833333333333331</v>
      </c>
      <c r="M1090" s="68">
        <v>0.71527777777777779</v>
      </c>
      <c r="N1090" s="173" t="s">
        <v>1257</v>
      </c>
      <c r="O1090" s="23">
        <v>2485</v>
      </c>
      <c r="P1090" s="70">
        <v>0.34027777777777773</v>
      </c>
      <c r="Q1090" s="70">
        <v>0.71527777777777779</v>
      </c>
      <c r="R1090" s="229" t="s">
        <v>1292</v>
      </c>
    </row>
    <row r="1091" spans="1:18" s="146" customFormat="1" x14ac:dyDescent="0.4">
      <c r="A1091" s="212">
        <v>45873</v>
      </c>
      <c r="B1091" s="151" t="s">
        <v>1099</v>
      </c>
      <c r="C1091" s="140" t="s">
        <v>1102</v>
      </c>
      <c r="D1091" s="190">
        <v>8</v>
      </c>
      <c r="E1091" s="168">
        <v>3</v>
      </c>
      <c r="F1091" s="158"/>
      <c r="G1091" s="169">
        <v>0.58333333333333337</v>
      </c>
      <c r="H1091" s="169">
        <v>0.66666666666666663</v>
      </c>
      <c r="I1091" s="153" t="s">
        <v>1296</v>
      </c>
      <c r="J1091" s="144">
        <v>4</v>
      </c>
      <c r="K1091" s="170">
        <v>1.0416666666666666E-2</v>
      </c>
      <c r="L1091" s="170">
        <v>0.59722222222222221</v>
      </c>
      <c r="M1091" s="170">
        <v>0.625</v>
      </c>
      <c r="N1091" s="153" t="s">
        <v>1447</v>
      </c>
      <c r="O1091" s="144">
        <v>580</v>
      </c>
      <c r="P1091" s="70">
        <v>0.58333333333333337</v>
      </c>
      <c r="Q1091" s="70">
        <v>0.66666666666666663</v>
      </c>
      <c r="R1091" s="233" t="s">
        <v>1296</v>
      </c>
    </row>
    <row r="1092" spans="1:18" s="146" customFormat="1" x14ac:dyDescent="0.4">
      <c r="A1092" s="212">
        <v>45873</v>
      </c>
      <c r="B1092" s="151" t="s">
        <v>54</v>
      </c>
      <c r="C1092" s="140" t="s">
        <v>251</v>
      </c>
      <c r="D1092" s="190">
        <v>32</v>
      </c>
      <c r="E1092" s="168">
        <v>3</v>
      </c>
      <c r="F1092" s="158"/>
      <c r="G1092" s="169">
        <v>0.29166666666666669</v>
      </c>
      <c r="H1092" s="169">
        <v>0.58333333333333337</v>
      </c>
      <c r="I1092" s="153" t="s">
        <v>1321</v>
      </c>
      <c r="J1092" s="144">
        <v>4</v>
      </c>
      <c r="K1092" s="170">
        <v>1.0416666666666666E-2</v>
      </c>
      <c r="L1092" s="170">
        <v>0.33333333333333331</v>
      </c>
      <c r="M1092" s="170">
        <v>0.59722222222222221</v>
      </c>
      <c r="N1092" s="153" t="s">
        <v>1354</v>
      </c>
      <c r="O1092" s="144">
        <v>2420</v>
      </c>
      <c r="P1092" s="70">
        <v>0.29166666666666669</v>
      </c>
      <c r="Q1092" s="70">
        <v>0.59722222222222221</v>
      </c>
      <c r="R1092" s="233" t="s">
        <v>1353</v>
      </c>
    </row>
    <row r="1093" spans="1:18" x14ac:dyDescent="0.4">
      <c r="A1093" s="212">
        <v>45873</v>
      </c>
      <c r="B1093" s="151" t="s">
        <v>110</v>
      </c>
      <c r="C1093" s="140" t="s">
        <v>231</v>
      </c>
      <c r="D1093" s="190">
        <v>21</v>
      </c>
      <c r="E1093" s="77">
        <v>7</v>
      </c>
      <c r="F1093" s="1"/>
      <c r="G1093" s="76">
        <v>0.29166666666666669</v>
      </c>
      <c r="H1093" s="76">
        <v>0.6875</v>
      </c>
      <c r="I1093" s="173" t="s">
        <v>990</v>
      </c>
      <c r="J1093" s="23">
        <v>7</v>
      </c>
      <c r="K1093" s="23"/>
      <c r="L1093" s="68">
        <v>0.33333333333333331</v>
      </c>
      <c r="M1093" s="68">
        <v>0.70833333333333337</v>
      </c>
      <c r="N1093" s="173" t="s">
        <v>1292</v>
      </c>
      <c r="O1093" s="23">
        <v>6930</v>
      </c>
      <c r="P1093" s="70">
        <v>0.29166666666666669</v>
      </c>
      <c r="Q1093" s="70">
        <v>0.70833333333333337</v>
      </c>
      <c r="R1093" s="229" t="s">
        <v>1252</v>
      </c>
    </row>
    <row r="1094" spans="1:18" x14ac:dyDescent="0.4">
      <c r="A1094" s="212">
        <v>45873</v>
      </c>
      <c r="B1094" s="151" t="s">
        <v>131</v>
      </c>
      <c r="C1094" s="140" t="s">
        <v>274</v>
      </c>
      <c r="D1094" s="190">
        <v>40</v>
      </c>
      <c r="E1094" s="77">
        <v>3</v>
      </c>
      <c r="F1094" s="76">
        <v>4.1666666666666664E-2</v>
      </c>
      <c r="G1094" s="76">
        <v>0.29166666666666669</v>
      </c>
      <c r="H1094" s="76">
        <v>0.55902777777777779</v>
      </c>
      <c r="I1094" s="173" t="s">
        <v>1374</v>
      </c>
      <c r="J1094" s="23">
        <v>4</v>
      </c>
      <c r="K1094" s="23"/>
      <c r="L1094" s="68">
        <v>0.29166666666666669</v>
      </c>
      <c r="M1094" s="68">
        <v>0.60416666666666663</v>
      </c>
      <c r="N1094" s="173" t="s">
        <v>1329</v>
      </c>
      <c r="O1094" s="23">
        <v>2715</v>
      </c>
      <c r="P1094" s="70">
        <v>0.29166666666666669</v>
      </c>
      <c r="Q1094" s="70">
        <v>0.60416666666666663</v>
      </c>
      <c r="R1094" s="229" t="s">
        <v>1329</v>
      </c>
    </row>
    <row r="1095" spans="1:18" x14ac:dyDescent="0.4">
      <c r="A1095" s="246">
        <v>45873</v>
      </c>
      <c r="B1095" s="213" t="s">
        <v>431</v>
      </c>
      <c r="C1095" s="136" t="s">
        <v>436</v>
      </c>
      <c r="D1095" s="214">
        <v>2</v>
      </c>
      <c r="E1095" s="103"/>
      <c r="F1095" s="104"/>
      <c r="G1095" s="184"/>
      <c r="H1095" s="184"/>
      <c r="I1095" s="225" t="s">
        <v>1002</v>
      </c>
      <c r="J1095" s="105"/>
      <c r="K1095" s="105"/>
      <c r="L1095" s="106"/>
      <c r="M1095" s="106"/>
      <c r="N1095" s="225" t="s">
        <v>1002</v>
      </c>
      <c r="O1095" s="105">
        <v>0</v>
      </c>
      <c r="P1095" s="70">
        <v>0</v>
      </c>
      <c r="Q1095" s="70">
        <v>0</v>
      </c>
      <c r="R1095" s="232" t="s">
        <v>1002</v>
      </c>
    </row>
    <row r="1096" spans="1:18" s="146" customFormat="1" x14ac:dyDescent="0.4">
      <c r="A1096" s="212">
        <v>45874</v>
      </c>
      <c r="B1096" s="151" t="s">
        <v>109</v>
      </c>
      <c r="C1096" s="140" t="s">
        <v>263</v>
      </c>
      <c r="D1096" s="190">
        <v>12</v>
      </c>
      <c r="E1096" s="168">
        <v>5</v>
      </c>
      <c r="F1096" s="158"/>
      <c r="G1096" s="169">
        <v>0.29166666666666669</v>
      </c>
      <c r="H1096" s="169">
        <v>0.41666666666666669</v>
      </c>
      <c r="I1096" s="153" t="s">
        <v>1316</v>
      </c>
      <c r="J1096" s="144">
        <v>4</v>
      </c>
      <c r="K1096" s="170">
        <v>1.0416666666666666E-2</v>
      </c>
      <c r="L1096" s="170">
        <v>0.33333333333333331</v>
      </c>
      <c r="M1096" s="170">
        <v>0.4236111111111111</v>
      </c>
      <c r="N1096" s="153" t="s">
        <v>1331</v>
      </c>
      <c r="O1096" s="144">
        <v>1480</v>
      </c>
      <c r="P1096" s="70">
        <v>0.29166666666666669</v>
      </c>
      <c r="Q1096" s="70">
        <v>0.4236111111111111</v>
      </c>
      <c r="R1096" s="233" t="s">
        <v>1256</v>
      </c>
    </row>
    <row r="1097" spans="1:18" s="146" customFormat="1" x14ac:dyDescent="0.4">
      <c r="A1097" s="212">
        <v>45874</v>
      </c>
      <c r="B1097" s="151" t="s">
        <v>63</v>
      </c>
      <c r="C1097" s="140" t="s">
        <v>267</v>
      </c>
      <c r="D1097" s="190">
        <v>24</v>
      </c>
      <c r="E1097" s="168">
        <v>5</v>
      </c>
      <c r="F1097" s="158"/>
      <c r="G1097" s="169">
        <v>0.41666666666666669</v>
      </c>
      <c r="H1097" s="169">
        <v>0.625</v>
      </c>
      <c r="I1097" s="153" t="s">
        <v>1244</v>
      </c>
      <c r="J1097" s="144"/>
      <c r="K1097" s="170">
        <v>1.0416666666666666E-2</v>
      </c>
      <c r="L1097" s="170">
        <v>0.4236111111111111</v>
      </c>
      <c r="M1097" s="170">
        <v>0.70833333333333337</v>
      </c>
      <c r="N1097" s="153" t="s">
        <v>1360</v>
      </c>
      <c r="O1097" s="144">
        <v>1200</v>
      </c>
      <c r="P1097" s="70">
        <v>0.41666666666666669</v>
      </c>
      <c r="Q1097" s="70">
        <v>0.70833333333333337</v>
      </c>
      <c r="R1097" s="233" t="s">
        <v>1321</v>
      </c>
    </row>
    <row r="1098" spans="1:18" x14ac:dyDescent="0.4">
      <c r="A1098" s="212">
        <v>45874</v>
      </c>
      <c r="B1098" s="151" t="s">
        <v>73</v>
      </c>
      <c r="C1098" s="140" t="s">
        <v>231</v>
      </c>
      <c r="D1098" s="190">
        <v>21</v>
      </c>
      <c r="E1098" s="77">
        <v>6</v>
      </c>
      <c r="F1098" s="1"/>
      <c r="G1098" s="76">
        <v>0.29166666666666669</v>
      </c>
      <c r="H1098" s="76">
        <v>0.68055555555555547</v>
      </c>
      <c r="I1098" s="173" t="s">
        <v>1465</v>
      </c>
      <c r="J1098" s="23">
        <v>7</v>
      </c>
      <c r="K1098" s="23"/>
      <c r="L1098" s="68">
        <v>0.33333333333333331</v>
      </c>
      <c r="M1098" s="68">
        <v>0.70833333333333337</v>
      </c>
      <c r="N1098" s="173" t="s">
        <v>1292</v>
      </c>
      <c r="O1098" s="23">
        <v>6360</v>
      </c>
      <c r="P1098" s="70">
        <v>0.29166666666666669</v>
      </c>
      <c r="Q1098" s="70">
        <v>0.70833333333333337</v>
      </c>
      <c r="R1098" s="229" t="s">
        <v>1252</v>
      </c>
    </row>
    <row r="1099" spans="1:18" x14ac:dyDescent="0.4">
      <c r="A1099" s="212">
        <v>45874</v>
      </c>
      <c r="B1099" s="151" t="s">
        <v>642</v>
      </c>
      <c r="C1099" s="140" t="s">
        <v>643</v>
      </c>
      <c r="D1099" s="190">
        <v>20</v>
      </c>
      <c r="E1099" s="77">
        <v>3</v>
      </c>
      <c r="F1099" s="76">
        <v>2.0833333333333332E-2</v>
      </c>
      <c r="G1099" s="76">
        <v>0.56944444444444442</v>
      </c>
      <c r="H1099" s="76">
        <v>0.68055555555555547</v>
      </c>
      <c r="I1099" s="173" t="s">
        <v>1256</v>
      </c>
      <c r="J1099" s="23">
        <v>4</v>
      </c>
      <c r="K1099" s="23"/>
      <c r="L1099" s="68">
        <v>0.59027777777777779</v>
      </c>
      <c r="M1099" s="68">
        <v>0.76388888888888884</v>
      </c>
      <c r="N1099" s="173" t="s">
        <v>1311</v>
      </c>
      <c r="O1099" s="23">
        <v>1570</v>
      </c>
      <c r="P1099" s="70">
        <v>0.56944444444444442</v>
      </c>
      <c r="Q1099" s="70">
        <v>0.76388888888888884</v>
      </c>
      <c r="R1099" s="229" t="s">
        <v>1255</v>
      </c>
    </row>
    <row r="1100" spans="1:18" x14ac:dyDescent="0.4">
      <c r="A1100" s="212">
        <v>45874</v>
      </c>
      <c r="B1100" s="151" t="s">
        <v>104</v>
      </c>
      <c r="C1100" s="140" t="s">
        <v>191</v>
      </c>
      <c r="D1100" s="190">
        <v>44</v>
      </c>
      <c r="E1100" s="77">
        <v>3</v>
      </c>
      <c r="F1100" s="76">
        <v>2.0833333333333332E-2</v>
      </c>
      <c r="G1100" s="76">
        <v>0.29166666666666669</v>
      </c>
      <c r="H1100" s="76">
        <v>0.56944444444444442</v>
      </c>
      <c r="I1100" s="173" t="s">
        <v>1471</v>
      </c>
      <c r="J1100" s="23">
        <v>4</v>
      </c>
      <c r="K1100" s="23"/>
      <c r="L1100" s="68">
        <v>0.29166666666666669</v>
      </c>
      <c r="M1100" s="68">
        <v>0.59722222222222221</v>
      </c>
      <c r="N1100" s="173" t="s">
        <v>1353</v>
      </c>
      <c r="O1100" s="23">
        <v>2630</v>
      </c>
      <c r="P1100" s="70">
        <v>0.29166666666666669</v>
      </c>
      <c r="Q1100" s="70">
        <v>0.59722222222222221</v>
      </c>
      <c r="R1100" s="229" t="s">
        <v>1353</v>
      </c>
    </row>
    <row r="1101" spans="1:18" s="146" customFormat="1" x14ac:dyDescent="0.4">
      <c r="A1101" s="212">
        <v>45875</v>
      </c>
      <c r="B1101" s="151" t="s">
        <v>68</v>
      </c>
      <c r="C1101" s="140" t="s">
        <v>185</v>
      </c>
      <c r="D1101" s="190">
        <v>20</v>
      </c>
      <c r="E1101" s="168">
        <v>5</v>
      </c>
      <c r="F1101" s="158"/>
      <c r="G1101" s="169">
        <v>0.33333333333333331</v>
      </c>
      <c r="H1101" s="169">
        <v>0.5</v>
      </c>
      <c r="I1101" s="153" t="s">
        <v>1244</v>
      </c>
      <c r="J1101" s="144">
        <v>5</v>
      </c>
      <c r="K1101" s="144"/>
      <c r="L1101" s="170">
        <v>0.3125</v>
      </c>
      <c r="M1101" s="170">
        <v>0.5</v>
      </c>
      <c r="N1101" s="153" t="s">
        <v>1243</v>
      </c>
      <c r="O1101" s="144">
        <v>2550</v>
      </c>
      <c r="P1101" s="70">
        <v>0.3125</v>
      </c>
      <c r="Q1101" s="70">
        <v>0.5</v>
      </c>
      <c r="R1101" s="233" t="s">
        <v>1243</v>
      </c>
    </row>
    <row r="1102" spans="1:18" s="146" customFormat="1" x14ac:dyDescent="0.4">
      <c r="A1102" s="212">
        <v>45875</v>
      </c>
      <c r="B1102" s="151" t="s">
        <v>995</v>
      </c>
      <c r="C1102" s="140" t="s">
        <v>201</v>
      </c>
      <c r="D1102" s="190">
        <v>20</v>
      </c>
      <c r="E1102" s="168">
        <v>5</v>
      </c>
      <c r="F1102" s="158"/>
      <c r="G1102" s="169">
        <v>0.54166666666666663</v>
      </c>
      <c r="H1102" s="169">
        <v>0.64583333333333337</v>
      </c>
      <c r="I1102" s="153" t="s">
        <v>1298</v>
      </c>
      <c r="J1102" s="144">
        <v>5</v>
      </c>
      <c r="K1102" s="144"/>
      <c r="L1102" s="170">
        <v>0.54166666666666663</v>
      </c>
      <c r="M1102" s="170">
        <v>0.72916666666666663</v>
      </c>
      <c r="N1102" s="153" t="s">
        <v>1243</v>
      </c>
      <c r="O1102" s="144">
        <v>2100</v>
      </c>
      <c r="P1102" s="70">
        <v>0.54166666666666663</v>
      </c>
      <c r="Q1102" s="70">
        <v>0.72916666666666663</v>
      </c>
      <c r="R1102" s="233" t="s">
        <v>1243</v>
      </c>
    </row>
    <row r="1103" spans="1:18" x14ac:dyDescent="0.4">
      <c r="A1103" s="212">
        <v>45875</v>
      </c>
      <c r="B1103" s="151" t="s">
        <v>72</v>
      </c>
      <c r="C1103" s="140" t="s">
        <v>227</v>
      </c>
      <c r="D1103" s="190">
        <v>16</v>
      </c>
      <c r="E1103" s="77">
        <v>5</v>
      </c>
      <c r="F1103" s="1"/>
      <c r="G1103" s="76">
        <v>0.29166666666666669</v>
      </c>
      <c r="H1103" s="76">
        <v>0.43958333333333338</v>
      </c>
      <c r="I1103" s="173" t="s">
        <v>1623</v>
      </c>
      <c r="J1103" s="23">
        <v>4</v>
      </c>
      <c r="K1103" s="68">
        <v>1.0416666666666666E-2</v>
      </c>
      <c r="L1103" s="68">
        <v>0.33333333333333331</v>
      </c>
      <c r="M1103" s="68">
        <v>0.47222222222222227</v>
      </c>
      <c r="N1103" s="173" t="s">
        <v>1355</v>
      </c>
      <c r="O1103" s="23">
        <v>1925</v>
      </c>
      <c r="P1103" s="70">
        <v>0.29166666666666669</v>
      </c>
      <c r="Q1103" s="70">
        <v>0.47222222222222227</v>
      </c>
      <c r="R1103" s="229" t="s">
        <v>1379</v>
      </c>
    </row>
    <row r="1104" spans="1:18" x14ac:dyDescent="0.4">
      <c r="A1104" s="212">
        <v>45875</v>
      </c>
      <c r="B1104" s="151" t="s">
        <v>81</v>
      </c>
      <c r="C1104" s="140" t="s">
        <v>235</v>
      </c>
      <c r="D1104" s="190">
        <v>16</v>
      </c>
      <c r="E1104" s="77">
        <v>5</v>
      </c>
      <c r="F1104" s="1"/>
      <c r="G1104" s="76">
        <v>0.43958333333333338</v>
      </c>
      <c r="H1104" s="76">
        <v>0.66666666666666663</v>
      </c>
      <c r="I1104" s="173" t="s">
        <v>1484</v>
      </c>
      <c r="J1104" s="23">
        <v>4</v>
      </c>
      <c r="K1104" s="68">
        <v>1.0416666666666666E-2</v>
      </c>
      <c r="L1104" s="68">
        <v>0.47222222222222227</v>
      </c>
      <c r="M1104" s="68">
        <v>0.6875</v>
      </c>
      <c r="N1104" s="173" t="s">
        <v>1356</v>
      </c>
      <c r="O1104" s="23">
        <v>2395</v>
      </c>
      <c r="P1104" s="70">
        <v>0.43958333333333338</v>
      </c>
      <c r="Q1104" s="70">
        <v>0.6875</v>
      </c>
      <c r="R1104" s="229" t="s">
        <v>1624</v>
      </c>
    </row>
    <row r="1105" spans="1:18" x14ac:dyDescent="0.4">
      <c r="A1105" s="212">
        <v>45875</v>
      </c>
      <c r="B1105" s="151" t="s">
        <v>65</v>
      </c>
      <c r="C1105" s="140" t="s">
        <v>189</v>
      </c>
      <c r="D1105" s="190">
        <v>72</v>
      </c>
      <c r="E1105" s="77">
        <v>3</v>
      </c>
      <c r="F1105" s="76">
        <v>4.1666666666666664E-2</v>
      </c>
      <c r="G1105" s="76">
        <v>0.29166666666666669</v>
      </c>
      <c r="H1105" s="76">
        <v>0.6875</v>
      </c>
      <c r="I1105" s="173" t="s">
        <v>1247</v>
      </c>
      <c r="J1105" s="23">
        <v>4</v>
      </c>
      <c r="K1105" s="23"/>
      <c r="L1105" s="68">
        <v>0.29166666666666669</v>
      </c>
      <c r="M1105" s="68">
        <v>0.73263888888888884</v>
      </c>
      <c r="N1105" s="173" t="s">
        <v>1606</v>
      </c>
      <c r="O1105" s="23">
        <v>4010</v>
      </c>
      <c r="P1105" s="70">
        <v>0.29166666666666669</v>
      </c>
      <c r="Q1105" s="70">
        <v>0.73263888888888884</v>
      </c>
      <c r="R1105" s="229" t="s">
        <v>1606</v>
      </c>
    </row>
    <row r="1106" spans="1:18" s="146" customFormat="1" x14ac:dyDescent="0.4">
      <c r="A1106" s="212">
        <v>45876</v>
      </c>
      <c r="B1106" s="151" t="s">
        <v>61</v>
      </c>
      <c r="C1106" s="140" t="s">
        <v>156</v>
      </c>
      <c r="D1106" s="190">
        <v>40</v>
      </c>
      <c r="E1106" s="168">
        <v>5</v>
      </c>
      <c r="F1106" s="158"/>
      <c r="G1106" s="169">
        <v>0.29166666666666669</v>
      </c>
      <c r="H1106" s="169">
        <v>0.70833333333333337</v>
      </c>
      <c r="I1106" s="153" t="s">
        <v>1252</v>
      </c>
      <c r="J1106" s="144">
        <v>10</v>
      </c>
      <c r="K1106" s="144"/>
      <c r="L1106" s="170">
        <v>0.3125</v>
      </c>
      <c r="M1106" s="170">
        <v>0.72916666666666663</v>
      </c>
      <c r="N1106" s="153" t="s">
        <v>1252</v>
      </c>
      <c r="O1106" s="144">
        <v>8100</v>
      </c>
      <c r="P1106" s="70">
        <v>0.29166666666666669</v>
      </c>
      <c r="Q1106" s="70">
        <v>0.72916666666666663</v>
      </c>
      <c r="R1106" s="233" t="s">
        <v>1247</v>
      </c>
    </row>
    <row r="1107" spans="1:18" x14ac:dyDescent="0.4">
      <c r="A1107" s="212">
        <v>45876</v>
      </c>
      <c r="B1107" s="151" t="s">
        <v>115</v>
      </c>
      <c r="C1107" s="140" t="s">
        <v>214</v>
      </c>
      <c r="D1107" s="190">
        <v>12</v>
      </c>
      <c r="E1107" s="77">
        <v>5</v>
      </c>
      <c r="F1107" s="1"/>
      <c r="G1107" s="76">
        <v>0.54166666666666663</v>
      </c>
      <c r="H1107" s="76">
        <v>0.6875</v>
      </c>
      <c r="I1107" s="173" t="s">
        <v>1303</v>
      </c>
      <c r="J1107" s="23">
        <v>4</v>
      </c>
      <c r="K1107" s="23"/>
      <c r="L1107" s="68">
        <v>0.57291666666666663</v>
      </c>
      <c r="M1107" s="68">
        <v>0.70833333333333337</v>
      </c>
      <c r="N1107" s="173" t="s">
        <v>1391</v>
      </c>
      <c r="O1107" s="23">
        <v>1830</v>
      </c>
      <c r="P1107" s="70">
        <v>0.54166666666666663</v>
      </c>
      <c r="Q1107" s="70">
        <v>0.70833333333333337</v>
      </c>
      <c r="R1107" s="229" t="s">
        <v>1244</v>
      </c>
    </row>
    <row r="1108" spans="1:18" x14ac:dyDescent="0.4">
      <c r="A1108" s="212">
        <v>45876</v>
      </c>
      <c r="B1108" s="151" t="s">
        <v>55</v>
      </c>
      <c r="C1108" s="140" t="s">
        <v>208</v>
      </c>
      <c r="D1108" s="190">
        <v>24</v>
      </c>
      <c r="E1108" s="77">
        <v>5</v>
      </c>
      <c r="F1108" s="1"/>
      <c r="G1108" s="76">
        <v>0.29166666666666669</v>
      </c>
      <c r="H1108" s="76">
        <v>0.5</v>
      </c>
      <c r="I1108" s="173" t="s">
        <v>1327</v>
      </c>
      <c r="J1108" s="23">
        <v>4</v>
      </c>
      <c r="K1108" s="23"/>
      <c r="L1108" s="68">
        <v>0.33333333333333331</v>
      </c>
      <c r="M1108" s="68">
        <v>0.57291666666666663</v>
      </c>
      <c r="N1108" s="173" t="s">
        <v>1335</v>
      </c>
      <c r="O1108" s="23">
        <v>2640</v>
      </c>
      <c r="P1108" s="70">
        <v>0.29166666666666669</v>
      </c>
      <c r="Q1108" s="70">
        <v>0.57291666666666663</v>
      </c>
      <c r="R1108" s="229" t="s">
        <v>1330</v>
      </c>
    </row>
    <row r="1109" spans="1:18" x14ac:dyDescent="0.4">
      <c r="A1109" s="212">
        <v>45876</v>
      </c>
      <c r="B1109" s="151" t="s">
        <v>65</v>
      </c>
      <c r="C1109" s="140" t="s">
        <v>189</v>
      </c>
      <c r="D1109" s="190">
        <v>72</v>
      </c>
      <c r="E1109" s="77">
        <v>3</v>
      </c>
      <c r="F1109" s="76">
        <v>4.1666666666666664E-2</v>
      </c>
      <c r="G1109" s="76">
        <v>0.29166666666666669</v>
      </c>
      <c r="H1109" s="76">
        <v>0.67708333333333337</v>
      </c>
      <c r="I1109" s="173" t="s">
        <v>1419</v>
      </c>
      <c r="J1109" s="23">
        <v>4</v>
      </c>
      <c r="K1109" s="23"/>
      <c r="L1109" s="68">
        <v>0.29166666666666669</v>
      </c>
      <c r="M1109" s="68">
        <v>0.72569444444444453</v>
      </c>
      <c r="N1109" s="173" t="s">
        <v>1576</v>
      </c>
      <c r="O1109" s="23">
        <v>3925</v>
      </c>
      <c r="P1109" s="70">
        <v>0.29166666666666669</v>
      </c>
      <c r="Q1109" s="70">
        <v>0.72569444444444453</v>
      </c>
      <c r="R1109" s="229" t="s">
        <v>1576</v>
      </c>
    </row>
    <row r="1110" spans="1:18" s="146" customFormat="1" x14ac:dyDescent="0.4">
      <c r="A1110" s="212">
        <v>45877</v>
      </c>
      <c r="B1110" s="151" t="s">
        <v>71</v>
      </c>
      <c r="C1110" s="140" t="s">
        <v>176</v>
      </c>
      <c r="D1110" s="190">
        <v>72</v>
      </c>
      <c r="E1110" s="168">
        <v>6</v>
      </c>
      <c r="F1110" s="158"/>
      <c r="G1110" s="169">
        <v>0.29166666666666669</v>
      </c>
      <c r="H1110" s="169">
        <v>0.66666666666666663</v>
      </c>
      <c r="I1110" s="153" t="s">
        <v>1292</v>
      </c>
      <c r="J1110" s="144">
        <v>5</v>
      </c>
      <c r="K1110" s="144"/>
      <c r="L1110" s="170">
        <v>0.33333333333333331</v>
      </c>
      <c r="M1110" s="170">
        <v>0.70833333333333337</v>
      </c>
      <c r="N1110" s="153" t="s">
        <v>1292</v>
      </c>
      <c r="O1110" s="144">
        <v>5280</v>
      </c>
      <c r="P1110" s="70">
        <v>0.29166666666666669</v>
      </c>
      <c r="Q1110" s="70">
        <v>0.70833333333333337</v>
      </c>
      <c r="R1110" s="233" t="s">
        <v>1252</v>
      </c>
    </row>
    <row r="1111" spans="1:18" x14ac:dyDescent="0.4">
      <c r="A1111" s="212">
        <v>45877</v>
      </c>
      <c r="B1111" s="151" t="s">
        <v>536</v>
      </c>
      <c r="C1111" s="140" t="s">
        <v>306</v>
      </c>
      <c r="D1111" s="190">
        <v>6</v>
      </c>
      <c r="E1111" s="77">
        <v>4</v>
      </c>
      <c r="F1111" s="76">
        <v>4.1666666666666664E-2</v>
      </c>
      <c r="G1111" s="76">
        <v>0.33333333333333331</v>
      </c>
      <c r="H1111" s="76">
        <v>0.44444444444444442</v>
      </c>
      <c r="I1111" s="173" t="s">
        <v>1254</v>
      </c>
      <c r="J1111" s="23">
        <v>8</v>
      </c>
      <c r="K1111" s="23"/>
      <c r="L1111" s="68">
        <v>0.33333333333333331</v>
      </c>
      <c r="M1111" s="68">
        <v>0.58333333333333337</v>
      </c>
      <c r="N1111" s="173" t="s">
        <v>1327</v>
      </c>
      <c r="O1111" s="23">
        <v>3280</v>
      </c>
      <c r="P1111" s="70">
        <v>0.33333333333333331</v>
      </c>
      <c r="Q1111" s="70">
        <v>0.58333333333333337</v>
      </c>
      <c r="R1111" s="229" t="s">
        <v>1327</v>
      </c>
    </row>
    <row r="1112" spans="1:18" x14ac:dyDescent="0.4">
      <c r="A1112" s="212">
        <v>45877</v>
      </c>
      <c r="B1112" s="151" t="s">
        <v>63</v>
      </c>
      <c r="C1112" s="140" t="s">
        <v>267</v>
      </c>
      <c r="D1112" s="190">
        <v>20</v>
      </c>
      <c r="E1112" s="77">
        <v>5</v>
      </c>
      <c r="F1112" s="1"/>
      <c r="G1112" s="76">
        <v>0.55208333333333337</v>
      </c>
      <c r="H1112" s="76">
        <v>0.72916666666666663</v>
      </c>
      <c r="I1112" s="173" t="s">
        <v>1259</v>
      </c>
      <c r="J1112" s="23">
        <v>3</v>
      </c>
      <c r="K1112" s="23"/>
      <c r="L1112" s="68">
        <v>0.57638888888888895</v>
      </c>
      <c r="M1112" s="68">
        <v>0.72916666666666663</v>
      </c>
      <c r="N1112" s="173" t="s">
        <v>1254</v>
      </c>
      <c r="O1112" s="23">
        <v>1935</v>
      </c>
      <c r="P1112" s="70">
        <v>0.55208333333333337</v>
      </c>
      <c r="Q1112" s="70">
        <v>0.72916666666666663</v>
      </c>
      <c r="R1112" s="229" t="s">
        <v>1259</v>
      </c>
    </row>
    <row r="1113" spans="1:18" x14ac:dyDescent="0.4">
      <c r="A1113" s="212">
        <v>45877</v>
      </c>
      <c r="B1113" s="151" t="s">
        <v>96</v>
      </c>
      <c r="C1113" s="140" t="s">
        <v>167</v>
      </c>
      <c r="D1113" s="190">
        <v>20</v>
      </c>
      <c r="E1113" s="77">
        <v>3</v>
      </c>
      <c r="F1113" s="76">
        <v>2.0833333333333332E-2</v>
      </c>
      <c r="G1113" s="76">
        <v>0.29166666666666669</v>
      </c>
      <c r="H1113" s="76">
        <v>0.4236111111111111</v>
      </c>
      <c r="I1113" s="173" t="s">
        <v>1254</v>
      </c>
      <c r="J1113" s="23">
        <v>6</v>
      </c>
      <c r="K1113" s="23"/>
      <c r="L1113" s="68">
        <v>0.29166666666666669</v>
      </c>
      <c r="M1113" s="68">
        <v>0.5</v>
      </c>
      <c r="N1113" s="173" t="s">
        <v>1327</v>
      </c>
      <c r="O1113" s="23">
        <v>2460</v>
      </c>
      <c r="P1113" s="70">
        <v>0.29166666666666669</v>
      </c>
      <c r="Q1113" s="70">
        <v>0.5</v>
      </c>
      <c r="R1113" s="229" t="s">
        <v>1327</v>
      </c>
    </row>
    <row r="1114" spans="1:18" x14ac:dyDescent="0.4">
      <c r="A1114" s="241">
        <v>45877</v>
      </c>
      <c r="B1114" s="151" t="s">
        <v>65</v>
      </c>
      <c r="C1114" s="140" t="s">
        <v>189</v>
      </c>
      <c r="D1114" s="190">
        <v>36</v>
      </c>
      <c r="E1114" s="77">
        <v>3</v>
      </c>
      <c r="F1114" s="76">
        <v>2.0833333333333332E-2</v>
      </c>
      <c r="G1114" s="76">
        <v>0.4236111111111111</v>
      </c>
      <c r="H1114" s="76">
        <v>0.66666666666666663</v>
      </c>
      <c r="I1114" s="173" t="s">
        <v>1357</v>
      </c>
      <c r="J1114" s="23">
        <v>4</v>
      </c>
      <c r="K1114" s="23"/>
      <c r="L1114" s="68">
        <v>0.54166666666666663</v>
      </c>
      <c r="M1114" s="68">
        <v>0.72222222222222221</v>
      </c>
      <c r="N1114" s="173" t="s">
        <v>1379</v>
      </c>
      <c r="O1114" s="23">
        <v>2000</v>
      </c>
      <c r="P1114" s="70">
        <v>0.4236111111111111</v>
      </c>
      <c r="Q1114" s="70">
        <v>0.72222222222222221</v>
      </c>
      <c r="R1114" s="229" t="s">
        <v>1471</v>
      </c>
    </row>
    <row r="1115" spans="1:18" s="146" customFormat="1" x14ac:dyDescent="0.4">
      <c r="A1115" s="212">
        <v>45880</v>
      </c>
      <c r="B1115" s="151" t="s">
        <v>72</v>
      </c>
      <c r="C1115" s="140" t="s">
        <v>227</v>
      </c>
      <c r="D1115" s="190">
        <v>20</v>
      </c>
      <c r="E1115" s="168">
        <v>5</v>
      </c>
      <c r="F1115" s="158"/>
      <c r="G1115" s="169">
        <v>0.29166666666666669</v>
      </c>
      <c r="H1115" s="169">
        <v>0.45833333333333331</v>
      </c>
      <c r="I1115" s="153" t="s">
        <v>1244</v>
      </c>
      <c r="J1115" s="144">
        <v>4</v>
      </c>
      <c r="K1115" s="144"/>
      <c r="L1115" s="170">
        <v>0.3125</v>
      </c>
      <c r="M1115" s="170">
        <v>0.5</v>
      </c>
      <c r="N1115" s="153" t="s">
        <v>1243</v>
      </c>
      <c r="O1115" s="144">
        <v>2280</v>
      </c>
      <c r="P1115" s="70">
        <v>0.29166666666666669</v>
      </c>
      <c r="Q1115" s="70">
        <v>0.5</v>
      </c>
      <c r="R1115" s="233" t="s">
        <v>1327</v>
      </c>
    </row>
    <row r="1116" spans="1:18" s="146" customFormat="1" x14ac:dyDescent="0.4">
      <c r="A1116" s="212">
        <v>45880</v>
      </c>
      <c r="B1116" s="151" t="s">
        <v>51</v>
      </c>
      <c r="C1116" s="140" t="s">
        <v>253</v>
      </c>
      <c r="D1116" s="190">
        <v>12</v>
      </c>
      <c r="E1116" s="168">
        <v>5</v>
      </c>
      <c r="F1116" s="158"/>
      <c r="G1116" s="169">
        <v>0.54166666666666663</v>
      </c>
      <c r="H1116" s="169">
        <v>0.64583333333333337</v>
      </c>
      <c r="I1116" s="153" t="s">
        <v>1298</v>
      </c>
      <c r="J1116" s="144">
        <v>4</v>
      </c>
      <c r="K1116" s="144"/>
      <c r="L1116" s="170">
        <v>0.54166666666666663</v>
      </c>
      <c r="M1116" s="170">
        <v>0.64583333333333337</v>
      </c>
      <c r="N1116" s="153" t="s">
        <v>1298</v>
      </c>
      <c r="O1116" s="144">
        <v>1350</v>
      </c>
      <c r="P1116" s="70">
        <v>0.54166666666666663</v>
      </c>
      <c r="Q1116" s="70">
        <v>0.64583333333333337</v>
      </c>
      <c r="R1116" s="233" t="s">
        <v>1298</v>
      </c>
    </row>
    <row r="1117" spans="1:18" s="146" customFormat="1" x14ac:dyDescent="0.4">
      <c r="A1117" s="212">
        <v>45880</v>
      </c>
      <c r="B1117" s="151" t="s">
        <v>99</v>
      </c>
      <c r="C1117" s="140" t="s">
        <v>259</v>
      </c>
      <c r="D1117" s="190">
        <v>6</v>
      </c>
      <c r="E1117" s="168">
        <v>5</v>
      </c>
      <c r="F1117" s="158"/>
      <c r="G1117" s="169">
        <v>0.64583333333333337</v>
      </c>
      <c r="H1117" s="169">
        <v>0.70833333333333337</v>
      </c>
      <c r="I1117" s="153" t="s">
        <v>1375</v>
      </c>
      <c r="J1117" s="144">
        <v>4</v>
      </c>
      <c r="K1117" s="144"/>
      <c r="L1117" s="170">
        <v>0.65972222222222221</v>
      </c>
      <c r="M1117" s="170">
        <v>0.72916666666666663</v>
      </c>
      <c r="N1117" s="153" t="s">
        <v>1386</v>
      </c>
      <c r="O1117" s="144">
        <v>850</v>
      </c>
      <c r="P1117" s="70">
        <v>0.64583333333333337</v>
      </c>
      <c r="Q1117" s="70">
        <v>0.72916666666666663</v>
      </c>
      <c r="R1117" s="233" t="s">
        <v>1296</v>
      </c>
    </row>
    <row r="1118" spans="1:18" x14ac:dyDescent="0.4">
      <c r="A1118" s="210">
        <v>45880</v>
      </c>
      <c r="B1118" s="151" t="s">
        <v>108</v>
      </c>
      <c r="C1118" s="30" t="s">
        <v>231</v>
      </c>
      <c r="D1118" s="190">
        <v>21</v>
      </c>
      <c r="E1118" s="77">
        <v>7</v>
      </c>
      <c r="F1118" s="1"/>
      <c r="G1118" s="76">
        <v>0.29166666666666669</v>
      </c>
      <c r="H1118" s="76">
        <v>0.68055555555555547</v>
      </c>
      <c r="I1118" s="173" t="s">
        <v>1465</v>
      </c>
      <c r="J1118" s="23">
        <v>7</v>
      </c>
      <c r="K1118" s="23"/>
      <c r="L1118" s="68">
        <v>0.33333333333333331</v>
      </c>
      <c r="M1118" s="68">
        <v>0.70833333333333337</v>
      </c>
      <c r="N1118" s="173" t="s">
        <v>1292</v>
      </c>
      <c r="O1118" s="23">
        <v>6860</v>
      </c>
      <c r="P1118" s="70">
        <v>0.29166666666666669</v>
      </c>
      <c r="Q1118" s="70">
        <v>0.70833333333333337</v>
      </c>
      <c r="R1118" s="229" t="s">
        <v>1252</v>
      </c>
    </row>
    <row r="1119" spans="1:18" x14ac:dyDescent="0.4">
      <c r="A1119" s="210">
        <v>45880</v>
      </c>
      <c r="B1119" s="151" t="s">
        <v>97</v>
      </c>
      <c r="C1119" s="30" t="s">
        <v>274</v>
      </c>
      <c r="D1119" s="190">
        <v>8</v>
      </c>
      <c r="E1119" s="77">
        <v>3</v>
      </c>
      <c r="F1119" s="76">
        <v>4.1666666666666664E-2</v>
      </c>
      <c r="G1119" s="76">
        <v>0.29166666666666669</v>
      </c>
      <c r="H1119" s="76">
        <v>0.34375</v>
      </c>
      <c r="I1119" s="173" t="s">
        <v>1324</v>
      </c>
      <c r="J1119" s="23">
        <v>4</v>
      </c>
      <c r="K1119" s="23"/>
      <c r="L1119" s="68">
        <v>0.29166666666666669</v>
      </c>
      <c r="M1119" s="68">
        <v>0.37152777777777773</v>
      </c>
      <c r="N1119" s="173" t="s">
        <v>1457</v>
      </c>
      <c r="O1119" s="23">
        <v>865</v>
      </c>
      <c r="P1119" s="70">
        <v>0.29166666666666669</v>
      </c>
      <c r="Q1119" s="70">
        <v>0.37152777777777773</v>
      </c>
      <c r="R1119" s="229" t="s">
        <v>1457</v>
      </c>
    </row>
    <row r="1120" spans="1:18" x14ac:dyDescent="0.4">
      <c r="A1120" s="210">
        <v>45880</v>
      </c>
      <c r="B1120" s="151" t="s">
        <v>65</v>
      </c>
      <c r="C1120" s="30" t="s">
        <v>189</v>
      </c>
      <c r="D1120" s="190">
        <v>64</v>
      </c>
      <c r="E1120" s="77">
        <v>3</v>
      </c>
      <c r="F1120" s="1"/>
      <c r="G1120" s="76">
        <v>0.34375</v>
      </c>
      <c r="H1120" s="76">
        <v>0.67708333333333337</v>
      </c>
      <c r="I1120" s="173" t="s">
        <v>1341</v>
      </c>
      <c r="J1120" s="23">
        <v>4</v>
      </c>
      <c r="K1120" s="23"/>
      <c r="L1120" s="68">
        <v>0.37152777777777773</v>
      </c>
      <c r="M1120" s="68">
        <v>0.71527777777777779</v>
      </c>
      <c r="N1120" s="173" t="s">
        <v>1245</v>
      </c>
      <c r="O1120" s="23">
        <v>3000</v>
      </c>
      <c r="P1120" s="70">
        <v>0.34375</v>
      </c>
      <c r="Q1120" s="70">
        <v>0.71527777777777779</v>
      </c>
      <c r="R1120" s="229" t="s">
        <v>1616</v>
      </c>
    </row>
    <row r="1121" spans="1:18" x14ac:dyDescent="0.4">
      <c r="A1121" s="246">
        <v>45880</v>
      </c>
      <c r="B1121" s="213" t="s">
        <v>488</v>
      </c>
      <c r="C1121" s="136" t="s">
        <v>475</v>
      </c>
      <c r="D1121" s="214">
        <v>1</v>
      </c>
      <c r="E1121" s="103"/>
      <c r="F1121" s="104"/>
      <c r="G1121" s="184"/>
      <c r="H1121" s="184"/>
      <c r="I1121" s="225" t="s">
        <v>1002</v>
      </c>
      <c r="J1121" s="105"/>
      <c r="K1121" s="105"/>
      <c r="L1121" s="106"/>
      <c r="M1121" s="106"/>
      <c r="N1121" s="225" t="s">
        <v>1002</v>
      </c>
      <c r="O1121" s="105">
        <v>0</v>
      </c>
      <c r="P1121" s="70">
        <v>0</v>
      </c>
      <c r="Q1121" s="70">
        <v>0</v>
      </c>
      <c r="R1121" s="232" t="s">
        <v>1002</v>
      </c>
    </row>
    <row r="1122" spans="1:18" x14ac:dyDescent="0.4">
      <c r="A1122" s="210">
        <v>45881</v>
      </c>
      <c r="B1122" s="151" t="s">
        <v>71</v>
      </c>
      <c r="C1122" s="30" t="s">
        <v>176</v>
      </c>
      <c r="D1122" s="190">
        <v>32</v>
      </c>
      <c r="E1122" s="77">
        <v>6</v>
      </c>
      <c r="F1122" s="1"/>
      <c r="G1122" s="76">
        <v>0.29166666666666669</v>
      </c>
      <c r="H1122" s="76">
        <v>0.5</v>
      </c>
      <c r="I1122" s="173" t="s">
        <v>1327</v>
      </c>
      <c r="J1122" s="23">
        <v>6</v>
      </c>
      <c r="K1122" s="68">
        <v>1.0416666666666666E-2</v>
      </c>
      <c r="L1122" s="68">
        <v>0.33333333333333331</v>
      </c>
      <c r="M1122" s="68">
        <v>0.5</v>
      </c>
      <c r="N1122" s="173" t="s">
        <v>1259</v>
      </c>
      <c r="O1122" s="23">
        <v>3330</v>
      </c>
      <c r="P1122" s="70">
        <v>0.29166666666666669</v>
      </c>
      <c r="Q1122" s="70">
        <v>0.5</v>
      </c>
      <c r="R1122" s="229" t="s">
        <v>1327</v>
      </c>
    </row>
    <row r="1123" spans="1:18" x14ac:dyDescent="0.4">
      <c r="A1123" s="210">
        <v>45881</v>
      </c>
      <c r="B1123" s="151" t="s">
        <v>979</v>
      </c>
      <c r="C1123" s="30" t="s">
        <v>199</v>
      </c>
      <c r="D1123" s="190">
        <v>36</v>
      </c>
      <c r="E1123" s="77">
        <v>6</v>
      </c>
      <c r="F1123" s="1"/>
      <c r="G1123" s="76">
        <v>0.54166666666666663</v>
      </c>
      <c r="H1123" s="76">
        <v>0.75</v>
      </c>
      <c r="I1123" s="173" t="s">
        <v>1327</v>
      </c>
      <c r="J1123" s="23">
        <v>5</v>
      </c>
      <c r="K1123" s="68">
        <v>1.0416666666666666E-2</v>
      </c>
      <c r="L1123" s="68">
        <v>0.54166666666666663</v>
      </c>
      <c r="M1123" s="68">
        <v>0.77083333333333337</v>
      </c>
      <c r="N1123" s="173" t="s">
        <v>1330</v>
      </c>
      <c r="O1123" s="23">
        <v>3525</v>
      </c>
      <c r="P1123" s="70">
        <v>0.54166666666666663</v>
      </c>
      <c r="Q1123" s="70">
        <v>0.77083333333333337</v>
      </c>
      <c r="R1123" s="229" t="s">
        <v>1320</v>
      </c>
    </row>
    <row r="1124" spans="1:18" x14ac:dyDescent="0.4">
      <c r="A1124" s="210">
        <v>45881</v>
      </c>
      <c r="B1124" s="151" t="s">
        <v>1046</v>
      </c>
      <c r="C1124" s="30" t="s">
        <v>1057</v>
      </c>
      <c r="D1124" s="190">
        <v>18</v>
      </c>
      <c r="E1124" s="77">
        <v>5</v>
      </c>
      <c r="F1124" s="1"/>
      <c r="G1124" s="76">
        <v>0.29166666666666669</v>
      </c>
      <c r="H1124" s="76">
        <v>0.5</v>
      </c>
      <c r="I1124" s="173" t="s">
        <v>1327</v>
      </c>
      <c r="J1124" s="23">
        <v>3</v>
      </c>
      <c r="K1124" s="68">
        <v>1.0416666666666666E-2</v>
      </c>
      <c r="L1124" s="68">
        <v>0.33333333333333331</v>
      </c>
      <c r="M1124" s="68">
        <v>0.56944444444444442</v>
      </c>
      <c r="N1124" s="173" t="s">
        <v>1305</v>
      </c>
      <c r="O1124" s="23">
        <v>2385</v>
      </c>
      <c r="P1124" s="70">
        <v>0.29166666666666669</v>
      </c>
      <c r="Q1124" s="70">
        <v>0.56944444444444442</v>
      </c>
      <c r="R1124" s="229" t="s">
        <v>1339</v>
      </c>
    </row>
    <row r="1125" spans="1:18" x14ac:dyDescent="0.4">
      <c r="A1125" s="210">
        <v>45881</v>
      </c>
      <c r="B1125" s="151" t="s">
        <v>63</v>
      </c>
      <c r="C1125" s="30" t="s">
        <v>267</v>
      </c>
      <c r="D1125" s="190">
        <v>16</v>
      </c>
      <c r="E1125" s="77">
        <v>5</v>
      </c>
      <c r="F1125" s="1"/>
      <c r="G1125" s="76">
        <v>0.54166666666666663</v>
      </c>
      <c r="H1125" s="76">
        <v>0.6875</v>
      </c>
      <c r="I1125" s="173" t="s">
        <v>1303</v>
      </c>
      <c r="J1125" s="23">
        <v>3</v>
      </c>
      <c r="K1125" s="68">
        <v>1.0416666666666666E-2</v>
      </c>
      <c r="L1125" s="68">
        <v>0.56944444444444442</v>
      </c>
      <c r="M1125" s="68">
        <v>0.6875</v>
      </c>
      <c r="N1125" s="173" t="s">
        <v>1251</v>
      </c>
      <c r="O1125" s="23">
        <v>1605</v>
      </c>
      <c r="P1125" s="70">
        <v>0.54166666666666663</v>
      </c>
      <c r="Q1125" s="70">
        <v>0.6875</v>
      </c>
      <c r="R1125" s="229" t="s">
        <v>1303</v>
      </c>
    </row>
    <row r="1126" spans="1:18" x14ac:dyDescent="0.4">
      <c r="A1126" s="210">
        <v>45881</v>
      </c>
      <c r="B1126" s="151" t="s">
        <v>104</v>
      </c>
      <c r="C1126" s="30" t="s">
        <v>191</v>
      </c>
      <c r="D1126" s="190">
        <v>72</v>
      </c>
      <c r="E1126" s="77">
        <v>3</v>
      </c>
      <c r="F1126" s="76">
        <v>4.1666666666666664E-2</v>
      </c>
      <c r="G1126" s="76">
        <v>0.29166666666666669</v>
      </c>
      <c r="H1126" s="76">
        <v>0.65972222222222221</v>
      </c>
      <c r="I1126" s="173" t="s">
        <v>1395</v>
      </c>
      <c r="J1126" s="23">
        <v>4</v>
      </c>
      <c r="K1126" s="23"/>
      <c r="L1126" s="68">
        <v>0.29166666666666669</v>
      </c>
      <c r="M1126" s="68">
        <v>0.72916666666666663</v>
      </c>
      <c r="N1126" s="173" t="s">
        <v>1247</v>
      </c>
      <c r="O1126" s="23">
        <v>3870</v>
      </c>
      <c r="P1126" s="70">
        <v>0.29166666666666669</v>
      </c>
      <c r="Q1126" s="70">
        <v>0.72916666666666663</v>
      </c>
      <c r="R1126" s="229" t="s">
        <v>1247</v>
      </c>
    </row>
    <row r="1127" spans="1:18" s="146" customFormat="1" x14ac:dyDescent="0.4">
      <c r="A1127" s="212">
        <v>45882</v>
      </c>
      <c r="B1127" s="151" t="s">
        <v>106</v>
      </c>
      <c r="C1127" s="140" t="s">
        <v>173</v>
      </c>
      <c r="D1127" s="190">
        <v>20</v>
      </c>
      <c r="E1127" s="168">
        <v>4</v>
      </c>
      <c r="F1127" s="158"/>
      <c r="G1127" s="169">
        <v>0.29166666666666669</v>
      </c>
      <c r="H1127" s="169">
        <v>0.5</v>
      </c>
      <c r="I1127" s="153" t="s">
        <v>1327</v>
      </c>
      <c r="J1127" s="144">
        <v>9</v>
      </c>
      <c r="K1127" s="144"/>
      <c r="L1127" s="170">
        <v>0.3125</v>
      </c>
      <c r="M1127" s="170">
        <v>0.5</v>
      </c>
      <c r="N1127" s="153" t="s">
        <v>1243</v>
      </c>
      <c r="O1127" s="144">
        <v>3630</v>
      </c>
      <c r="P1127" s="70">
        <v>0.29166666666666669</v>
      </c>
      <c r="Q1127" s="70">
        <v>0.5</v>
      </c>
      <c r="R1127" s="233" t="s">
        <v>1327</v>
      </c>
    </row>
    <row r="1128" spans="1:18" s="146" customFormat="1" x14ac:dyDescent="0.4">
      <c r="A1128" s="212">
        <v>45882</v>
      </c>
      <c r="B1128" s="151" t="s">
        <v>91</v>
      </c>
      <c r="C1128" s="140" t="s">
        <v>163</v>
      </c>
      <c r="D1128" s="190">
        <v>8</v>
      </c>
      <c r="E1128" s="168">
        <v>4</v>
      </c>
      <c r="F1128" s="158"/>
      <c r="G1128" s="169">
        <v>0.54166666666666663</v>
      </c>
      <c r="H1128" s="169">
        <v>0.66666666666666663</v>
      </c>
      <c r="I1128" s="153" t="s">
        <v>1316</v>
      </c>
      <c r="J1128" s="144">
        <v>9</v>
      </c>
      <c r="K1128" s="144"/>
      <c r="L1128" s="170">
        <v>0.54166666666666663</v>
      </c>
      <c r="M1128" s="170">
        <v>0.70833333333333337</v>
      </c>
      <c r="N1128" s="153" t="s">
        <v>1244</v>
      </c>
      <c r="O1128" s="144">
        <v>2880</v>
      </c>
      <c r="P1128" s="70">
        <v>0.54166666666666663</v>
      </c>
      <c r="Q1128" s="70">
        <v>0.70833333333333337</v>
      </c>
      <c r="R1128" s="233" t="s">
        <v>1244</v>
      </c>
    </row>
    <row r="1129" spans="1:18" s="146" customFormat="1" x14ac:dyDescent="0.4">
      <c r="A1129" s="212">
        <v>45882</v>
      </c>
      <c r="B1129" s="151" t="s">
        <v>965</v>
      </c>
      <c r="C1129" s="140" t="s">
        <v>966</v>
      </c>
      <c r="D1129" s="190">
        <v>16</v>
      </c>
      <c r="E1129" s="168">
        <v>5</v>
      </c>
      <c r="F1129" s="158"/>
      <c r="G1129" s="169">
        <v>0.29166666666666669</v>
      </c>
      <c r="H1129" s="169">
        <v>0.4145833333333333</v>
      </c>
      <c r="I1129" s="153" t="s">
        <v>1625</v>
      </c>
      <c r="J1129" s="144">
        <v>3</v>
      </c>
      <c r="K1129" s="170">
        <v>1.0416666666666666E-2</v>
      </c>
      <c r="L1129" s="170">
        <v>0.33333333333333331</v>
      </c>
      <c r="M1129" s="170">
        <v>0.44444444444444442</v>
      </c>
      <c r="N1129" s="153" t="s">
        <v>1326</v>
      </c>
      <c r="O1129" s="144">
        <v>1410</v>
      </c>
      <c r="P1129" s="70">
        <v>0.29166666666666669</v>
      </c>
      <c r="Q1129" s="70">
        <v>0.44444444444444442</v>
      </c>
      <c r="R1129" s="233" t="s">
        <v>1254</v>
      </c>
    </row>
    <row r="1130" spans="1:18" s="146" customFormat="1" x14ac:dyDescent="0.4">
      <c r="A1130" s="212">
        <v>45882</v>
      </c>
      <c r="B1130" s="151" t="s">
        <v>63</v>
      </c>
      <c r="C1130" s="140" t="s">
        <v>267</v>
      </c>
      <c r="D1130" s="190">
        <v>20</v>
      </c>
      <c r="E1130" s="168">
        <v>5</v>
      </c>
      <c r="F1130" s="158"/>
      <c r="G1130" s="169">
        <v>0.4145833333333333</v>
      </c>
      <c r="H1130" s="169">
        <v>0.66666666666666663</v>
      </c>
      <c r="I1130" s="153" t="s">
        <v>1626</v>
      </c>
      <c r="J1130" s="144">
        <v>3</v>
      </c>
      <c r="K1130" s="170">
        <v>1.0416666666666666E-2</v>
      </c>
      <c r="L1130" s="170">
        <v>0.44444444444444442</v>
      </c>
      <c r="M1130" s="170">
        <v>0.6875</v>
      </c>
      <c r="N1130" s="153" t="s">
        <v>1466</v>
      </c>
      <c r="O1130" s="144">
        <v>2430</v>
      </c>
      <c r="P1130" s="70">
        <v>0.4145833333333333</v>
      </c>
      <c r="Q1130" s="70">
        <v>0.6875</v>
      </c>
      <c r="R1130" s="233" t="s">
        <v>1627</v>
      </c>
    </row>
    <row r="1131" spans="1:18" s="146" customFormat="1" x14ac:dyDescent="0.4">
      <c r="A1131" s="212">
        <v>45882</v>
      </c>
      <c r="B1131" s="151" t="s">
        <v>65</v>
      </c>
      <c r="C1131" s="140" t="s">
        <v>189</v>
      </c>
      <c r="D1131" s="190">
        <v>72</v>
      </c>
      <c r="E1131" s="168">
        <v>3</v>
      </c>
      <c r="F1131" s="169">
        <v>4.1666666666666664E-2</v>
      </c>
      <c r="G1131" s="169">
        <v>0.29166666666666669</v>
      </c>
      <c r="H1131" s="169">
        <v>0.67013888888888884</v>
      </c>
      <c r="I1131" s="153" t="s">
        <v>1253</v>
      </c>
      <c r="J1131" s="144">
        <v>4</v>
      </c>
      <c r="K1131" s="144"/>
      <c r="L1131" s="170">
        <v>0.29166666666666669</v>
      </c>
      <c r="M1131" s="170">
        <v>0.71527777777777779</v>
      </c>
      <c r="N1131" s="153" t="s">
        <v>1352</v>
      </c>
      <c r="O1131" s="144">
        <v>3835</v>
      </c>
      <c r="P1131" s="70">
        <v>0.29166666666666669</v>
      </c>
      <c r="Q1131" s="70">
        <v>0.71527777777777779</v>
      </c>
      <c r="R1131" s="233" t="s">
        <v>1352</v>
      </c>
    </row>
    <row r="1132" spans="1:18" s="146" customFormat="1" x14ac:dyDescent="0.4">
      <c r="A1132" s="212">
        <v>45883</v>
      </c>
      <c r="B1132" s="151" t="s">
        <v>71</v>
      </c>
      <c r="C1132" s="140" t="s">
        <v>176</v>
      </c>
      <c r="D1132" s="190">
        <v>72</v>
      </c>
      <c r="E1132" s="168">
        <v>6</v>
      </c>
      <c r="F1132" s="158"/>
      <c r="G1132" s="169">
        <v>0.29166666666666669</v>
      </c>
      <c r="H1132" s="169">
        <v>0.66666666666666663</v>
      </c>
      <c r="I1132" s="153" t="s">
        <v>1292</v>
      </c>
      <c r="J1132" s="144">
        <v>6</v>
      </c>
      <c r="K1132" s="144"/>
      <c r="L1132" s="170">
        <v>0.3125</v>
      </c>
      <c r="M1132" s="170">
        <v>0.70833333333333337</v>
      </c>
      <c r="N1132" s="153" t="s">
        <v>990</v>
      </c>
      <c r="O1132" s="144">
        <v>5940</v>
      </c>
      <c r="P1132" s="70">
        <v>0.29166666666666669</v>
      </c>
      <c r="Q1132" s="70">
        <v>0.70833333333333337</v>
      </c>
      <c r="R1132" s="233" t="s">
        <v>1252</v>
      </c>
    </row>
    <row r="1133" spans="1:18" s="146" customFormat="1" x14ac:dyDescent="0.4">
      <c r="A1133" s="212">
        <v>45883</v>
      </c>
      <c r="B1133" s="151" t="s">
        <v>63</v>
      </c>
      <c r="C1133" s="140" t="s">
        <v>267</v>
      </c>
      <c r="D1133" s="190">
        <v>12</v>
      </c>
      <c r="E1133" s="168">
        <v>5</v>
      </c>
      <c r="F1133" s="158"/>
      <c r="G1133" s="169">
        <v>0.54166666666666663</v>
      </c>
      <c r="H1133" s="169">
        <v>0.66666666666666663</v>
      </c>
      <c r="I1133" s="153" t="s">
        <v>1316</v>
      </c>
      <c r="J1133" s="144">
        <v>3</v>
      </c>
      <c r="K1133" s="170">
        <v>1.0416666666666666E-2</v>
      </c>
      <c r="L1133" s="170">
        <v>0.56944444444444442</v>
      </c>
      <c r="M1133" s="170">
        <v>0.6875</v>
      </c>
      <c r="N1133" s="153" t="s">
        <v>1251</v>
      </c>
      <c r="O1133" s="144">
        <v>1455</v>
      </c>
      <c r="P1133" s="70">
        <v>0.54166666666666663</v>
      </c>
      <c r="Q1133" s="70">
        <v>0.6875</v>
      </c>
      <c r="R1133" s="233" t="s">
        <v>1303</v>
      </c>
    </row>
    <row r="1134" spans="1:18" s="146" customFormat="1" x14ac:dyDescent="0.4">
      <c r="A1134" s="212">
        <v>45883</v>
      </c>
      <c r="B1134" s="151" t="s">
        <v>64</v>
      </c>
      <c r="C1134" s="140" t="s">
        <v>271</v>
      </c>
      <c r="D1134" s="190">
        <v>24</v>
      </c>
      <c r="E1134" s="168">
        <v>5</v>
      </c>
      <c r="F1134" s="158"/>
      <c r="G1134" s="169">
        <v>0.29166666666666669</v>
      </c>
      <c r="H1134" s="169">
        <v>0.5</v>
      </c>
      <c r="I1134" s="153" t="s">
        <v>1327</v>
      </c>
      <c r="J1134" s="144">
        <v>3</v>
      </c>
      <c r="K1134" s="170">
        <v>1.0416666666666666E-2</v>
      </c>
      <c r="L1134" s="170">
        <v>0.33333333333333331</v>
      </c>
      <c r="M1134" s="170">
        <v>0.56944444444444442</v>
      </c>
      <c r="N1134" s="153" t="s">
        <v>1305</v>
      </c>
      <c r="O1134" s="144">
        <v>2385</v>
      </c>
      <c r="P1134" s="70">
        <v>0.29166666666666669</v>
      </c>
      <c r="Q1134" s="70">
        <v>0.56944444444444442</v>
      </c>
      <c r="R1134" s="233" t="s">
        <v>1339</v>
      </c>
    </row>
    <row r="1135" spans="1:18" s="146" customFormat="1" x14ac:dyDescent="0.4">
      <c r="A1135" s="212">
        <v>45883</v>
      </c>
      <c r="B1135" s="151" t="s">
        <v>82</v>
      </c>
      <c r="C1135" s="140" t="s">
        <v>171</v>
      </c>
      <c r="D1135" s="190">
        <v>36</v>
      </c>
      <c r="E1135" s="168">
        <v>3</v>
      </c>
      <c r="F1135" s="169">
        <v>3.125E-2</v>
      </c>
      <c r="G1135" s="169">
        <v>0.29166666666666669</v>
      </c>
      <c r="H1135" s="169">
        <v>0.60416666666666663</v>
      </c>
      <c r="I1135" s="153" t="s">
        <v>1245</v>
      </c>
      <c r="J1135" s="144">
        <v>7</v>
      </c>
      <c r="K1135" s="144"/>
      <c r="L1135" s="170">
        <v>0.29166666666666669</v>
      </c>
      <c r="M1135" s="170">
        <v>0.67708333333333337</v>
      </c>
      <c r="N1135" s="153" t="s">
        <v>1340</v>
      </c>
      <c r="O1135" s="144">
        <v>4770</v>
      </c>
      <c r="P1135" s="70">
        <v>0.29166666666666669</v>
      </c>
      <c r="Q1135" s="70">
        <v>0.67708333333333337</v>
      </c>
      <c r="R1135" s="233" t="s">
        <v>1340</v>
      </c>
    </row>
    <row r="1136" spans="1:18" s="146" customFormat="1" x14ac:dyDescent="0.4">
      <c r="A1136" s="212">
        <v>45883</v>
      </c>
      <c r="B1136" s="151" t="s">
        <v>83</v>
      </c>
      <c r="C1136" s="140" t="s">
        <v>169</v>
      </c>
      <c r="D1136" s="190">
        <v>8</v>
      </c>
      <c r="E1136" s="168">
        <v>3</v>
      </c>
      <c r="F1136" s="169">
        <v>3.125E-2</v>
      </c>
      <c r="G1136" s="169">
        <v>0.60416666666666663</v>
      </c>
      <c r="H1136" s="169">
        <v>0.67013888888888884</v>
      </c>
      <c r="I1136" s="153" t="s">
        <v>1313</v>
      </c>
      <c r="J1136" s="144">
        <v>7</v>
      </c>
      <c r="K1136" s="144"/>
      <c r="L1136" s="170">
        <v>0.68055555555555547</v>
      </c>
      <c r="M1136" s="170">
        <v>0.76388888888888884</v>
      </c>
      <c r="N1136" s="153" t="s">
        <v>1296</v>
      </c>
      <c r="O1136" s="144">
        <v>1260</v>
      </c>
      <c r="P1136" s="70">
        <v>0.60416666666666663</v>
      </c>
      <c r="Q1136" s="70">
        <v>0.76388888888888884</v>
      </c>
      <c r="R1136" s="233" t="s">
        <v>1332</v>
      </c>
    </row>
    <row r="1137" spans="1:18" s="146" customFormat="1" x14ac:dyDescent="0.4">
      <c r="A1137" s="212">
        <v>45884</v>
      </c>
      <c r="B1137" s="151" t="s">
        <v>63</v>
      </c>
      <c r="C1137" s="140" t="s">
        <v>267</v>
      </c>
      <c r="D1137" s="190">
        <v>16</v>
      </c>
      <c r="E1137" s="168">
        <v>5</v>
      </c>
      <c r="F1137" s="158"/>
      <c r="G1137" s="169">
        <v>0.54166666666666663</v>
      </c>
      <c r="H1137" s="169">
        <v>0.66666666666666663</v>
      </c>
      <c r="I1137" s="153" t="s">
        <v>1316</v>
      </c>
      <c r="J1137" s="144">
        <v>3</v>
      </c>
      <c r="K1137" s="170">
        <v>6.9444444444444441E-3</v>
      </c>
      <c r="L1137" s="170">
        <v>0.57638888888888895</v>
      </c>
      <c r="M1137" s="170">
        <v>0.70833333333333337</v>
      </c>
      <c r="N1137" s="153" t="s">
        <v>1250</v>
      </c>
      <c r="O1137" s="144">
        <v>1500</v>
      </c>
      <c r="P1137" s="70">
        <v>0.54166666666666663</v>
      </c>
      <c r="Q1137" s="70">
        <v>0.70833333333333337</v>
      </c>
      <c r="R1137" s="233" t="s">
        <v>1244</v>
      </c>
    </row>
    <row r="1138" spans="1:18" s="146" customFormat="1" x14ac:dyDescent="0.4">
      <c r="A1138" s="212">
        <v>45884</v>
      </c>
      <c r="B1138" s="139" t="s">
        <v>1060</v>
      </c>
      <c r="C1138" s="140" t="s">
        <v>886</v>
      </c>
      <c r="D1138" s="191">
        <v>4</v>
      </c>
      <c r="E1138" s="168">
        <v>5</v>
      </c>
      <c r="F1138" s="158"/>
      <c r="G1138" s="169">
        <v>0.45555555555555555</v>
      </c>
      <c r="H1138" s="169">
        <v>0.5</v>
      </c>
      <c r="I1138" s="153" t="s">
        <v>1628</v>
      </c>
      <c r="J1138" s="144">
        <v>3</v>
      </c>
      <c r="K1138" s="170">
        <v>6.9444444444444441E-3</v>
      </c>
      <c r="L1138" s="170">
        <v>0.4826388888888889</v>
      </c>
      <c r="M1138" s="170">
        <v>0.57638888888888895</v>
      </c>
      <c r="N1138" s="153" t="s">
        <v>1534</v>
      </c>
      <c r="O1138" s="144">
        <v>575</v>
      </c>
      <c r="P1138" s="70">
        <v>0.45555555555555555</v>
      </c>
      <c r="Q1138" s="70">
        <v>0.57638888888888895</v>
      </c>
      <c r="R1138" s="233" t="s">
        <v>1412</v>
      </c>
    </row>
    <row r="1139" spans="1:18" s="146" customFormat="1" x14ac:dyDescent="0.4">
      <c r="A1139" s="212">
        <v>45884</v>
      </c>
      <c r="B1139" s="139" t="s">
        <v>1045</v>
      </c>
      <c r="C1139" s="140" t="s">
        <v>1056</v>
      </c>
      <c r="D1139" s="191">
        <v>18</v>
      </c>
      <c r="E1139" s="168">
        <v>5</v>
      </c>
      <c r="F1139" s="158"/>
      <c r="G1139" s="169">
        <v>0.29166666666666669</v>
      </c>
      <c r="H1139" s="169">
        <v>0.45555555555555555</v>
      </c>
      <c r="I1139" s="153" t="s">
        <v>1504</v>
      </c>
      <c r="J1139" s="144">
        <v>3</v>
      </c>
      <c r="K1139" s="170">
        <v>6.9444444444444441E-3</v>
      </c>
      <c r="L1139" s="170">
        <v>0.33333333333333331</v>
      </c>
      <c r="M1139" s="170">
        <v>0.4826388888888889</v>
      </c>
      <c r="N1139" s="153" t="s">
        <v>1380</v>
      </c>
      <c r="O1139" s="144">
        <v>1855</v>
      </c>
      <c r="P1139" s="70">
        <v>0.29166666666666669</v>
      </c>
      <c r="Q1139" s="70">
        <v>0.4826388888888889</v>
      </c>
      <c r="R1139" s="233" t="s">
        <v>1304</v>
      </c>
    </row>
    <row r="1140" spans="1:18" s="146" customFormat="1" x14ac:dyDescent="0.4">
      <c r="A1140" s="212">
        <v>45884</v>
      </c>
      <c r="B1140" s="139" t="s">
        <v>110</v>
      </c>
      <c r="C1140" s="140" t="s">
        <v>231</v>
      </c>
      <c r="D1140" s="191">
        <v>21</v>
      </c>
      <c r="E1140" s="168">
        <v>7</v>
      </c>
      <c r="F1140" s="158"/>
      <c r="G1140" s="169">
        <v>0.29166666666666669</v>
      </c>
      <c r="H1140" s="169">
        <v>0.68055555555555547</v>
      </c>
      <c r="I1140" s="153" t="s">
        <v>1465</v>
      </c>
      <c r="J1140" s="144">
        <v>7</v>
      </c>
      <c r="K1140" s="144"/>
      <c r="L1140" s="170">
        <v>0.33333333333333331</v>
      </c>
      <c r="M1140" s="170">
        <v>0.72916666666666663</v>
      </c>
      <c r="N1140" s="153" t="s">
        <v>990</v>
      </c>
      <c r="O1140" s="144">
        <v>7070</v>
      </c>
      <c r="P1140" s="70">
        <v>0.29166666666666669</v>
      </c>
      <c r="Q1140" s="70">
        <v>0.72916666666666663</v>
      </c>
      <c r="R1140" s="233" t="s">
        <v>1247</v>
      </c>
    </row>
    <row r="1141" spans="1:18" s="146" customFormat="1" x14ac:dyDescent="0.4">
      <c r="A1141" s="212">
        <v>45884</v>
      </c>
      <c r="B1141" s="139" t="s">
        <v>104</v>
      </c>
      <c r="C1141" s="140" t="s">
        <v>191</v>
      </c>
      <c r="D1141" s="191">
        <v>72</v>
      </c>
      <c r="E1141" s="168">
        <v>3</v>
      </c>
      <c r="F1141" s="169">
        <v>4.1666666666666664E-2</v>
      </c>
      <c r="G1141" s="169">
        <v>0.29166666666666669</v>
      </c>
      <c r="H1141" s="169">
        <v>0.66319444444444442</v>
      </c>
      <c r="I1141" s="153" t="s">
        <v>1629</v>
      </c>
      <c r="J1141" s="144">
        <v>4</v>
      </c>
      <c r="K1141" s="144"/>
      <c r="L1141" s="170">
        <v>0.29166666666666669</v>
      </c>
      <c r="M1141" s="170">
        <v>0.71527777777777779</v>
      </c>
      <c r="N1141" s="153" t="s">
        <v>1352</v>
      </c>
      <c r="O1141" s="144">
        <v>3805</v>
      </c>
      <c r="P1141" s="70">
        <v>0.29166666666666669</v>
      </c>
      <c r="Q1141" s="70">
        <v>0.71527777777777779</v>
      </c>
      <c r="R1141" s="233" t="s">
        <v>1352</v>
      </c>
    </row>
    <row r="1142" spans="1:18" x14ac:dyDescent="0.4">
      <c r="A1142" s="212">
        <v>45887</v>
      </c>
      <c r="B1142" s="139" t="s">
        <v>68</v>
      </c>
      <c r="C1142" s="140" t="s">
        <v>185</v>
      </c>
      <c r="D1142" s="191">
        <v>40</v>
      </c>
      <c r="E1142" s="77">
        <v>5</v>
      </c>
      <c r="F1142" s="1"/>
      <c r="G1142" s="76">
        <v>0.29722222222222222</v>
      </c>
      <c r="H1142" s="76">
        <v>0.66666666666666663</v>
      </c>
      <c r="I1142" s="173" t="s">
        <v>1630</v>
      </c>
      <c r="J1142" s="23">
        <v>5</v>
      </c>
      <c r="K1142" s="23"/>
      <c r="L1142" s="68">
        <v>0.3125</v>
      </c>
      <c r="M1142" s="68">
        <v>0.70833333333333337</v>
      </c>
      <c r="N1142" s="173" t="s">
        <v>990</v>
      </c>
      <c r="O1142" s="23">
        <v>4910</v>
      </c>
      <c r="P1142" s="70">
        <v>0.29722222222222222</v>
      </c>
      <c r="Q1142" s="70">
        <v>0.70833333333333337</v>
      </c>
      <c r="R1142" s="229" t="s">
        <v>1631</v>
      </c>
    </row>
    <row r="1143" spans="1:18" x14ac:dyDescent="0.4">
      <c r="A1143" s="212">
        <v>45887</v>
      </c>
      <c r="B1143" s="139" t="s">
        <v>63</v>
      </c>
      <c r="C1143" s="140" t="s">
        <v>267</v>
      </c>
      <c r="D1143" s="191">
        <v>24</v>
      </c>
      <c r="E1143" s="77">
        <v>5</v>
      </c>
      <c r="F1143" s="1"/>
      <c r="G1143" s="76">
        <v>0.40347222222222223</v>
      </c>
      <c r="H1143" s="76">
        <v>0.66666666666666663</v>
      </c>
      <c r="I1143" s="173" t="s">
        <v>1632</v>
      </c>
      <c r="J1143" s="23">
        <v>3</v>
      </c>
      <c r="K1143" s="68">
        <v>1.0416666666666666E-2</v>
      </c>
      <c r="L1143" s="68">
        <v>0.43055555555555558</v>
      </c>
      <c r="M1143" s="68">
        <v>0.6875</v>
      </c>
      <c r="N1143" s="173" t="s">
        <v>1306</v>
      </c>
      <c r="O1143" s="23">
        <v>2570</v>
      </c>
      <c r="P1143" s="70">
        <v>0.40347222222222223</v>
      </c>
      <c r="Q1143" s="70">
        <v>0.6875</v>
      </c>
      <c r="R1143" s="229" t="s">
        <v>1422</v>
      </c>
    </row>
    <row r="1144" spans="1:18" x14ac:dyDescent="0.4">
      <c r="A1144" s="212">
        <v>45887</v>
      </c>
      <c r="B1144" s="139" t="s">
        <v>1045</v>
      </c>
      <c r="C1144" s="140" t="s">
        <v>1056</v>
      </c>
      <c r="D1144" s="191">
        <v>12</v>
      </c>
      <c r="E1144" s="77">
        <v>5</v>
      </c>
      <c r="F1144" s="1"/>
      <c r="G1144" s="76">
        <v>0.29166666666666669</v>
      </c>
      <c r="H1144" s="76">
        <v>0.40347222222222223</v>
      </c>
      <c r="I1144" s="173" t="s">
        <v>1586</v>
      </c>
      <c r="J1144" s="23">
        <v>3</v>
      </c>
      <c r="K1144" s="68">
        <v>1.0416666666666666E-2</v>
      </c>
      <c r="L1144" s="68">
        <v>0.33333333333333331</v>
      </c>
      <c r="M1144" s="68">
        <v>0.43055555555555558</v>
      </c>
      <c r="N1144" s="173" t="s">
        <v>1301</v>
      </c>
      <c r="O1144" s="23">
        <v>1270</v>
      </c>
      <c r="P1144" s="70">
        <v>0.29166666666666669</v>
      </c>
      <c r="Q1144" s="70">
        <v>0.43055555555555558</v>
      </c>
      <c r="R1144" s="229" t="s">
        <v>1250</v>
      </c>
    </row>
    <row r="1145" spans="1:18" x14ac:dyDescent="0.4">
      <c r="A1145" s="212">
        <v>45887</v>
      </c>
      <c r="B1145" s="139" t="s">
        <v>96</v>
      </c>
      <c r="C1145" s="140" t="s">
        <v>167</v>
      </c>
      <c r="D1145" s="191">
        <v>20</v>
      </c>
      <c r="E1145" s="77">
        <v>3</v>
      </c>
      <c r="F1145" s="76">
        <v>1.0416666666666666E-2</v>
      </c>
      <c r="G1145" s="76">
        <v>0.40625</v>
      </c>
      <c r="H1145" s="76">
        <v>0.65277777777777779</v>
      </c>
      <c r="I1145" s="173" t="s">
        <v>1257</v>
      </c>
      <c r="J1145" s="23">
        <v>6</v>
      </c>
      <c r="K1145" s="68">
        <v>2.0833333333333332E-2</v>
      </c>
      <c r="L1145" s="68">
        <v>0.54166666666666663</v>
      </c>
      <c r="M1145" s="68">
        <v>0.72222222222222221</v>
      </c>
      <c r="N1145" s="173" t="s">
        <v>1258</v>
      </c>
      <c r="O1145" s="23">
        <v>2670</v>
      </c>
      <c r="P1145" s="70">
        <v>0.40625</v>
      </c>
      <c r="Q1145" s="70">
        <v>0.72222222222222221</v>
      </c>
      <c r="R1145" s="229" t="s">
        <v>1402</v>
      </c>
    </row>
    <row r="1146" spans="1:18" x14ac:dyDescent="0.4">
      <c r="A1146" s="212">
        <v>45887</v>
      </c>
      <c r="B1146" s="139" t="s">
        <v>83</v>
      </c>
      <c r="C1146" s="140" t="s">
        <v>169</v>
      </c>
      <c r="D1146" s="191">
        <v>16</v>
      </c>
      <c r="E1146" s="77">
        <v>3</v>
      </c>
      <c r="F1146" s="76">
        <v>1.0416666666666666E-2</v>
      </c>
      <c r="G1146" s="76">
        <v>0.29166666666666669</v>
      </c>
      <c r="H1146" s="76">
        <v>0.40625</v>
      </c>
      <c r="I1146" s="173" t="s">
        <v>1316</v>
      </c>
      <c r="J1146" s="23">
        <v>7</v>
      </c>
      <c r="K1146" s="68">
        <v>2.0833333333333332E-2</v>
      </c>
      <c r="L1146" s="68">
        <v>0.33333333333333331</v>
      </c>
      <c r="M1146" s="68">
        <v>0.48958333333333331</v>
      </c>
      <c r="N1146" s="173" t="s">
        <v>1259</v>
      </c>
      <c r="O1146" s="23">
        <v>2325</v>
      </c>
      <c r="P1146" s="70">
        <v>0.29166666666666669</v>
      </c>
      <c r="Q1146" s="70">
        <v>0.48958333333333331</v>
      </c>
      <c r="R1146" s="229" t="s">
        <v>1335</v>
      </c>
    </row>
    <row r="1147" spans="1:18" x14ac:dyDescent="0.4">
      <c r="A1147" s="212">
        <v>45888</v>
      </c>
      <c r="B1147" s="139" t="s">
        <v>460</v>
      </c>
      <c r="C1147" s="140" t="s">
        <v>183</v>
      </c>
      <c r="D1147" s="191">
        <v>4</v>
      </c>
      <c r="E1147" s="77">
        <v>6</v>
      </c>
      <c r="F1147" s="1"/>
      <c r="G1147" s="76">
        <v>0.61527777777777781</v>
      </c>
      <c r="H1147" s="76">
        <v>0.70833333333333337</v>
      </c>
      <c r="I1147" s="173" t="s">
        <v>1418</v>
      </c>
      <c r="J1147" s="23">
        <v>5</v>
      </c>
      <c r="K1147" s="68">
        <v>1.0416666666666666E-2</v>
      </c>
      <c r="L1147" s="68">
        <v>0.65277777777777779</v>
      </c>
      <c r="M1147" s="68">
        <v>0.72916666666666663</v>
      </c>
      <c r="N1147" s="173" t="s">
        <v>1249</v>
      </c>
      <c r="O1147" s="23">
        <v>1429</v>
      </c>
      <c r="P1147" s="70">
        <v>0.61527777777777781</v>
      </c>
      <c r="Q1147" s="70">
        <v>0.72916666666666663</v>
      </c>
      <c r="R1147" s="229" t="s">
        <v>1441</v>
      </c>
    </row>
    <row r="1148" spans="1:18" x14ac:dyDescent="0.4">
      <c r="A1148" s="212">
        <v>45888</v>
      </c>
      <c r="B1148" s="139" t="s">
        <v>71</v>
      </c>
      <c r="C1148" s="140" t="s">
        <v>176</v>
      </c>
      <c r="D1148" s="191">
        <v>68</v>
      </c>
      <c r="E1148" s="77">
        <v>6</v>
      </c>
      <c r="F1148" s="1"/>
      <c r="G1148" s="76">
        <v>0.29166666666666669</v>
      </c>
      <c r="H1148" s="76">
        <v>0.61527777777777781</v>
      </c>
      <c r="I1148" s="173" t="s">
        <v>1603</v>
      </c>
      <c r="J1148" s="23">
        <v>5</v>
      </c>
      <c r="K1148" s="68">
        <v>1.0416666666666666E-2</v>
      </c>
      <c r="L1148" s="68">
        <v>0.33333333333333331</v>
      </c>
      <c r="M1148" s="68">
        <v>0.65277777777777779</v>
      </c>
      <c r="N1148" s="173" t="s">
        <v>1334</v>
      </c>
      <c r="O1148" s="23">
        <v>4511</v>
      </c>
      <c r="P1148" s="70">
        <v>0.29166666666666669</v>
      </c>
      <c r="Q1148" s="70">
        <v>0.65277777777777779</v>
      </c>
      <c r="R1148" s="229" t="s">
        <v>1494</v>
      </c>
    </row>
    <row r="1149" spans="1:18" x14ac:dyDescent="0.4">
      <c r="A1149" s="212">
        <v>45888</v>
      </c>
      <c r="B1149" s="139" t="s">
        <v>54</v>
      </c>
      <c r="C1149" s="140" t="s">
        <v>251</v>
      </c>
      <c r="D1149" s="191">
        <v>36</v>
      </c>
      <c r="E1149" s="77">
        <v>5</v>
      </c>
      <c r="F1149" s="1"/>
      <c r="G1149" s="76">
        <v>0.29166666666666669</v>
      </c>
      <c r="H1149" s="76">
        <v>0.62847222222222221</v>
      </c>
      <c r="I1149" s="173" t="s">
        <v>1456</v>
      </c>
      <c r="J1149" s="23">
        <v>3</v>
      </c>
      <c r="K1149" s="68">
        <v>6.9444444444444441E-3</v>
      </c>
      <c r="L1149" s="68">
        <v>0.3263888888888889</v>
      </c>
      <c r="M1149" s="68">
        <v>0.65277777777777779</v>
      </c>
      <c r="N1149" s="173" t="s">
        <v>1341</v>
      </c>
      <c r="O1149" s="23">
        <v>3385</v>
      </c>
      <c r="P1149" s="70">
        <v>0.29166666666666669</v>
      </c>
      <c r="Q1149" s="70">
        <v>0.65277777777777779</v>
      </c>
      <c r="R1149" s="229" t="s">
        <v>1494</v>
      </c>
    </row>
    <row r="1150" spans="1:18" x14ac:dyDescent="0.4">
      <c r="A1150" s="212">
        <v>45888</v>
      </c>
      <c r="B1150" s="139" t="s">
        <v>997</v>
      </c>
      <c r="C1150" s="140" t="s">
        <v>239</v>
      </c>
      <c r="D1150" s="191">
        <v>0.6</v>
      </c>
      <c r="E1150" s="77">
        <v>5</v>
      </c>
      <c r="F1150" s="1"/>
      <c r="G1150" s="76">
        <v>0.62986111111111109</v>
      </c>
      <c r="H1150" s="76">
        <v>0.66666666666666663</v>
      </c>
      <c r="I1150" s="173" t="s">
        <v>1633</v>
      </c>
      <c r="J1150" s="23">
        <v>3</v>
      </c>
      <c r="K1150" s="68">
        <v>6.9444444444444441E-3</v>
      </c>
      <c r="L1150" s="68">
        <v>0.65277777777777779</v>
      </c>
      <c r="M1150" s="68">
        <v>0.6875</v>
      </c>
      <c r="N1150" s="173" t="s">
        <v>1322</v>
      </c>
      <c r="O1150" s="23">
        <v>445</v>
      </c>
      <c r="P1150" s="70">
        <v>0.62986111111111109</v>
      </c>
      <c r="Q1150" s="70">
        <v>0.6875</v>
      </c>
      <c r="R1150" s="229" t="s">
        <v>1404</v>
      </c>
    </row>
    <row r="1151" spans="1:18" x14ac:dyDescent="0.4">
      <c r="A1151" s="212">
        <v>45888</v>
      </c>
      <c r="B1151" s="139" t="s">
        <v>66</v>
      </c>
      <c r="C1151" s="140" t="s">
        <v>195</v>
      </c>
      <c r="D1151" s="191">
        <v>40</v>
      </c>
      <c r="E1151" s="77">
        <v>3</v>
      </c>
      <c r="F1151" s="76">
        <v>2.0833333333333332E-2</v>
      </c>
      <c r="G1151" s="76">
        <v>0.29166666666666669</v>
      </c>
      <c r="H1151" s="76">
        <v>0.59375</v>
      </c>
      <c r="I1151" s="173" t="s">
        <v>1527</v>
      </c>
      <c r="J1151" s="23">
        <v>4</v>
      </c>
      <c r="K1151" s="23"/>
      <c r="L1151" s="68">
        <v>0.29166666666666669</v>
      </c>
      <c r="M1151" s="68">
        <v>0.66319444444444442</v>
      </c>
      <c r="N1151" s="173" t="s">
        <v>1616</v>
      </c>
      <c r="O1151" s="23">
        <v>3115</v>
      </c>
      <c r="P1151" s="70">
        <v>0.29166666666666669</v>
      </c>
      <c r="Q1151" s="70">
        <v>0.66319444444444442</v>
      </c>
      <c r="R1151" s="229" t="s">
        <v>1616</v>
      </c>
    </row>
    <row r="1152" spans="1:18" x14ac:dyDescent="0.4">
      <c r="A1152" s="212">
        <v>45889</v>
      </c>
      <c r="B1152" s="139" t="s">
        <v>61</v>
      </c>
      <c r="C1152" s="140" t="s">
        <v>156</v>
      </c>
      <c r="D1152" s="191">
        <v>40</v>
      </c>
      <c r="E1152" s="77">
        <v>4</v>
      </c>
      <c r="F1152" s="1"/>
      <c r="G1152" s="76">
        <v>0.29166666666666669</v>
      </c>
      <c r="H1152" s="76">
        <v>0.66666666666666663</v>
      </c>
      <c r="I1152" s="173" t="s">
        <v>1292</v>
      </c>
      <c r="J1152" s="23">
        <v>10</v>
      </c>
      <c r="K1152" s="23"/>
      <c r="L1152" s="68">
        <v>0.3125</v>
      </c>
      <c r="M1152" s="68">
        <v>0.625</v>
      </c>
      <c r="N1152" s="173" t="s">
        <v>1329</v>
      </c>
      <c r="O1152" s="23">
        <v>5820</v>
      </c>
      <c r="P1152" s="70">
        <v>0.29166666666666669</v>
      </c>
      <c r="Q1152" s="70">
        <v>0.66666666666666663</v>
      </c>
      <c r="R1152" s="229" t="s">
        <v>1292</v>
      </c>
    </row>
    <row r="1153" spans="1:18" x14ac:dyDescent="0.4">
      <c r="A1153" s="212">
        <v>45889</v>
      </c>
      <c r="B1153" s="139" t="s">
        <v>81</v>
      </c>
      <c r="C1153" s="140" t="s">
        <v>235</v>
      </c>
      <c r="D1153" s="191">
        <v>12</v>
      </c>
      <c r="E1153" s="77">
        <v>5</v>
      </c>
      <c r="F1153" s="1"/>
      <c r="G1153" s="76">
        <v>0.29166666666666669</v>
      </c>
      <c r="H1153" s="76">
        <v>0.3888888888888889</v>
      </c>
      <c r="I1153" s="173" t="s">
        <v>1313</v>
      </c>
      <c r="J1153" s="23">
        <v>3</v>
      </c>
      <c r="K1153" s="23"/>
      <c r="L1153" s="68">
        <v>0.3125</v>
      </c>
      <c r="M1153" s="68">
        <v>0.41666666666666669</v>
      </c>
      <c r="N1153" s="173" t="s">
        <v>1298</v>
      </c>
      <c r="O1153" s="23">
        <v>1150</v>
      </c>
      <c r="P1153" s="70">
        <v>0.29166666666666669</v>
      </c>
      <c r="Q1153" s="70">
        <v>0.41666666666666669</v>
      </c>
      <c r="R1153" s="229" t="s">
        <v>1316</v>
      </c>
    </row>
    <row r="1154" spans="1:18" x14ac:dyDescent="0.4">
      <c r="A1154" s="212">
        <v>45889</v>
      </c>
      <c r="B1154" s="139" t="s">
        <v>64</v>
      </c>
      <c r="C1154" s="140" t="s">
        <v>271</v>
      </c>
      <c r="D1154" s="191">
        <v>24</v>
      </c>
      <c r="E1154" s="77">
        <v>5</v>
      </c>
      <c r="F1154" s="1"/>
      <c r="G1154" s="76">
        <v>0.3888888888888889</v>
      </c>
      <c r="H1154" s="76">
        <v>0.66666666666666663</v>
      </c>
      <c r="I1154" s="173" t="s">
        <v>1339</v>
      </c>
      <c r="J1154" s="23">
        <v>3</v>
      </c>
      <c r="K1154" s="23"/>
      <c r="L1154" s="68">
        <v>0.41666666666666669</v>
      </c>
      <c r="M1154" s="68">
        <v>0.6875</v>
      </c>
      <c r="N1154" s="173" t="s">
        <v>1320</v>
      </c>
      <c r="O1154" s="23">
        <v>2690</v>
      </c>
      <c r="P1154" s="70">
        <v>0.3888888888888889</v>
      </c>
      <c r="Q1154" s="70">
        <v>0.6875</v>
      </c>
      <c r="R1154" s="229" t="s">
        <v>1471</v>
      </c>
    </row>
    <row r="1155" spans="1:18" x14ac:dyDescent="0.4">
      <c r="A1155" s="212">
        <v>45889</v>
      </c>
      <c r="B1155" s="139" t="s">
        <v>65</v>
      </c>
      <c r="C1155" s="140" t="s">
        <v>189</v>
      </c>
      <c r="D1155" s="191">
        <v>72</v>
      </c>
      <c r="E1155" s="77">
        <v>3</v>
      </c>
      <c r="F1155" s="76">
        <v>4.1666666666666664E-2</v>
      </c>
      <c r="G1155" s="76">
        <v>0.29166666666666669</v>
      </c>
      <c r="H1155" s="76">
        <v>0.67708333333333337</v>
      </c>
      <c r="I1155" s="173" t="s">
        <v>1419</v>
      </c>
      <c r="J1155" s="23">
        <v>4</v>
      </c>
      <c r="K1155" s="23"/>
      <c r="L1155" s="68">
        <v>0.29166666666666669</v>
      </c>
      <c r="M1155" s="68">
        <v>0.72569444444444453</v>
      </c>
      <c r="N1155" s="173" t="s">
        <v>1576</v>
      </c>
      <c r="O1155" s="23">
        <v>3925</v>
      </c>
      <c r="P1155" s="70">
        <v>0.29166666666666669</v>
      </c>
      <c r="Q1155" s="70">
        <v>0.72569444444444453</v>
      </c>
      <c r="R1155" s="229" t="s">
        <v>1576</v>
      </c>
    </row>
    <row r="1156" spans="1:18" x14ac:dyDescent="0.4">
      <c r="A1156" s="246">
        <v>45889</v>
      </c>
      <c r="B1156" s="102">
        <v>151010</v>
      </c>
      <c r="C1156" s="136" t="s">
        <v>482</v>
      </c>
      <c r="D1156" s="193">
        <v>1</v>
      </c>
      <c r="E1156" s="103"/>
      <c r="F1156" s="104"/>
      <c r="G1156" s="184"/>
      <c r="H1156" s="184"/>
      <c r="I1156" s="225" t="s">
        <v>1002</v>
      </c>
      <c r="J1156" s="105"/>
      <c r="K1156" s="105"/>
      <c r="L1156" s="106"/>
      <c r="M1156" s="106"/>
      <c r="N1156" s="225" t="s">
        <v>1002</v>
      </c>
      <c r="O1156" s="105">
        <v>0</v>
      </c>
      <c r="P1156" s="247">
        <v>0</v>
      </c>
      <c r="Q1156" s="247">
        <v>0</v>
      </c>
      <c r="R1156" s="232" t="s">
        <v>1002</v>
      </c>
    </row>
    <row r="1157" spans="1:18" x14ac:dyDescent="0.4">
      <c r="A1157" s="212">
        <v>45890</v>
      </c>
      <c r="B1157" s="139" t="s">
        <v>51</v>
      </c>
      <c r="C1157" s="140" t="s">
        <v>253</v>
      </c>
      <c r="D1157" s="191">
        <v>12</v>
      </c>
      <c r="E1157" s="77">
        <v>4</v>
      </c>
      <c r="F1157" s="1"/>
      <c r="G1157" s="76">
        <v>0.3611111111111111</v>
      </c>
      <c r="H1157" s="76">
        <v>0.4375</v>
      </c>
      <c r="I1157" s="173" t="s">
        <v>1377</v>
      </c>
      <c r="J1157" s="23">
        <v>3</v>
      </c>
      <c r="K1157" s="23"/>
      <c r="L1157" s="68">
        <v>0.39583333333333331</v>
      </c>
      <c r="M1157" s="68">
        <v>0.47222222222222227</v>
      </c>
      <c r="N1157" s="173" t="s">
        <v>1377</v>
      </c>
      <c r="O1157" s="23">
        <v>770</v>
      </c>
      <c r="P1157" s="70">
        <v>0.3611111111111111</v>
      </c>
      <c r="Q1157" s="70">
        <v>0.47222222222222227</v>
      </c>
      <c r="R1157" s="229" t="s">
        <v>1325</v>
      </c>
    </row>
    <row r="1158" spans="1:18" x14ac:dyDescent="0.4">
      <c r="A1158" s="212">
        <v>45890</v>
      </c>
      <c r="B1158" s="139" t="s">
        <v>1046</v>
      </c>
      <c r="C1158" s="140" t="s">
        <v>1057</v>
      </c>
      <c r="D1158" s="191">
        <v>18</v>
      </c>
      <c r="E1158" s="77">
        <v>4</v>
      </c>
      <c r="F1158" s="1"/>
      <c r="G1158" s="76">
        <v>0.4375</v>
      </c>
      <c r="H1158" s="76">
        <v>0.6875</v>
      </c>
      <c r="I1158" s="173" t="s">
        <v>1327</v>
      </c>
      <c r="J1158" s="23">
        <v>3</v>
      </c>
      <c r="K1158" s="23"/>
      <c r="L1158" s="68">
        <v>0.47222222222222227</v>
      </c>
      <c r="M1158" s="68">
        <v>0.70833333333333337</v>
      </c>
      <c r="N1158" s="173" t="s">
        <v>1255</v>
      </c>
      <c r="O1158" s="23">
        <v>2040</v>
      </c>
      <c r="P1158" s="70">
        <v>0.4375</v>
      </c>
      <c r="Q1158" s="70">
        <v>0.70833333333333337</v>
      </c>
      <c r="R1158" s="229" t="s">
        <v>1320</v>
      </c>
    </row>
    <row r="1159" spans="1:18" x14ac:dyDescent="0.4">
      <c r="A1159" s="212">
        <v>45890</v>
      </c>
      <c r="B1159" s="139" t="s">
        <v>53</v>
      </c>
      <c r="C1159" s="140" t="s">
        <v>261</v>
      </c>
      <c r="D1159" s="191">
        <v>6</v>
      </c>
      <c r="E1159" s="77">
        <v>4</v>
      </c>
      <c r="F1159" s="1"/>
      <c r="G1159" s="76">
        <v>0.29166666666666669</v>
      </c>
      <c r="H1159" s="76">
        <v>0.3611111111111111</v>
      </c>
      <c r="I1159" s="173" t="s">
        <v>1386</v>
      </c>
      <c r="J1159" s="23">
        <v>3</v>
      </c>
      <c r="K1159" s="23"/>
      <c r="L1159" s="68">
        <v>0.3125</v>
      </c>
      <c r="M1159" s="68">
        <v>0.39583333333333331</v>
      </c>
      <c r="N1159" s="173" t="s">
        <v>1296</v>
      </c>
      <c r="O1159" s="23">
        <v>760</v>
      </c>
      <c r="P1159" s="70">
        <v>0.29166666666666669</v>
      </c>
      <c r="Q1159" s="70">
        <v>0.39583333333333331</v>
      </c>
      <c r="R1159" s="229" t="s">
        <v>1298</v>
      </c>
    </row>
    <row r="1160" spans="1:18" x14ac:dyDescent="0.4">
      <c r="A1160" s="212">
        <v>45890</v>
      </c>
      <c r="B1160" s="139" t="s">
        <v>55</v>
      </c>
      <c r="C1160" s="140" t="s">
        <v>208</v>
      </c>
      <c r="D1160" s="191">
        <v>20</v>
      </c>
      <c r="E1160" s="77">
        <v>5</v>
      </c>
      <c r="F1160" s="1"/>
      <c r="G1160" s="76">
        <v>0.44166666666666665</v>
      </c>
      <c r="H1160" s="76">
        <v>0.70833333333333337</v>
      </c>
      <c r="I1160" s="173" t="s">
        <v>1408</v>
      </c>
      <c r="J1160" s="23">
        <v>4</v>
      </c>
      <c r="K1160" s="23"/>
      <c r="L1160" s="68">
        <v>0.47916666666666669</v>
      </c>
      <c r="M1160" s="68">
        <v>0.72916666666666663</v>
      </c>
      <c r="N1160" s="173" t="s">
        <v>1327</v>
      </c>
      <c r="O1160" s="23">
        <v>2820</v>
      </c>
      <c r="P1160" s="70">
        <v>0.44166666666666665</v>
      </c>
      <c r="Q1160" s="70">
        <v>0.72916666666666663</v>
      </c>
      <c r="R1160" s="229" t="s">
        <v>1371</v>
      </c>
    </row>
    <row r="1161" spans="1:18" x14ac:dyDescent="0.4">
      <c r="A1161" s="212">
        <v>45890</v>
      </c>
      <c r="B1161" s="139" t="s">
        <v>102</v>
      </c>
      <c r="C1161" s="140" t="s">
        <v>308</v>
      </c>
      <c r="D1161" s="191">
        <v>12</v>
      </c>
      <c r="E1161" s="77">
        <v>5</v>
      </c>
      <c r="F1161" s="1"/>
      <c r="G1161" s="76">
        <v>0.34375</v>
      </c>
      <c r="H1161" s="76">
        <v>0.44166666666666665</v>
      </c>
      <c r="I1161" s="173" t="s">
        <v>1469</v>
      </c>
      <c r="J1161" s="23">
        <v>4</v>
      </c>
      <c r="K1161" s="23"/>
      <c r="L1161" s="68">
        <v>0.38194444444444442</v>
      </c>
      <c r="M1161" s="68">
        <v>0.47916666666666669</v>
      </c>
      <c r="N1161" s="173" t="s">
        <v>1313</v>
      </c>
      <c r="O1161" s="23">
        <v>1265</v>
      </c>
      <c r="P1161" s="70">
        <v>0.34375</v>
      </c>
      <c r="Q1161" s="70">
        <v>0.47916666666666669</v>
      </c>
      <c r="R1161" s="229" t="s">
        <v>1391</v>
      </c>
    </row>
    <row r="1162" spans="1:18" x14ac:dyDescent="0.4">
      <c r="A1162" s="212">
        <v>45890</v>
      </c>
      <c r="B1162" s="139" t="s">
        <v>646</v>
      </c>
      <c r="C1162" s="140" t="s">
        <v>310</v>
      </c>
      <c r="D1162" s="191">
        <v>3</v>
      </c>
      <c r="E1162" s="77">
        <v>5</v>
      </c>
      <c r="F1162" s="1"/>
      <c r="G1162" s="76">
        <v>0.29166666666666669</v>
      </c>
      <c r="H1162" s="76">
        <v>0.34375</v>
      </c>
      <c r="I1162" s="173" t="s">
        <v>1323</v>
      </c>
      <c r="J1162" s="23">
        <v>4</v>
      </c>
      <c r="K1162" s="23"/>
      <c r="L1162" s="68">
        <v>0.3125</v>
      </c>
      <c r="M1162" s="68">
        <v>0.38194444444444442</v>
      </c>
      <c r="N1162" s="173" t="s">
        <v>1386</v>
      </c>
      <c r="O1162" s="23">
        <v>775</v>
      </c>
      <c r="P1162" s="70">
        <v>0.29166666666666669</v>
      </c>
      <c r="Q1162" s="70">
        <v>0.38194444444444442</v>
      </c>
      <c r="R1162" s="229" t="s">
        <v>1248</v>
      </c>
    </row>
    <row r="1163" spans="1:18" x14ac:dyDescent="0.4">
      <c r="A1163" s="212">
        <v>45890</v>
      </c>
      <c r="B1163" s="139" t="s">
        <v>65</v>
      </c>
      <c r="C1163" s="140" t="s">
        <v>189</v>
      </c>
      <c r="D1163" s="191">
        <v>72</v>
      </c>
      <c r="E1163" s="77">
        <v>3</v>
      </c>
      <c r="F1163" s="76">
        <v>4.1666666666666664E-2</v>
      </c>
      <c r="G1163" s="76">
        <v>0.29166666666666669</v>
      </c>
      <c r="H1163" s="76">
        <v>0.66666666666666663</v>
      </c>
      <c r="I1163" s="173" t="s">
        <v>1252</v>
      </c>
      <c r="J1163" s="23">
        <v>4</v>
      </c>
      <c r="K1163" s="23"/>
      <c r="L1163" s="68">
        <v>0.29166666666666669</v>
      </c>
      <c r="M1163" s="68">
        <v>0.71180555555555547</v>
      </c>
      <c r="N1163" s="173" t="s">
        <v>1253</v>
      </c>
      <c r="O1163" s="23">
        <v>3800</v>
      </c>
      <c r="P1163" s="70">
        <v>0.29166666666666669</v>
      </c>
      <c r="Q1163" s="70">
        <v>0.71180555555555547</v>
      </c>
      <c r="R1163" s="229" t="s">
        <v>1253</v>
      </c>
    </row>
    <row r="1164" spans="1:18" x14ac:dyDescent="0.4">
      <c r="A1164" s="246">
        <v>45890</v>
      </c>
      <c r="B1164" s="102" t="s">
        <v>434</v>
      </c>
      <c r="C1164" s="136" t="s">
        <v>545</v>
      </c>
      <c r="D1164" s="193">
        <v>50</v>
      </c>
      <c r="E1164" s="103"/>
      <c r="F1164" s="104"/>
      <c r="G1164" s="184"/>
      <c r="H1164" s="184"/>
      <c r="I1164" s="225" t="s">
        <v>1002</v>
      </c>
      <c r="J1164" s="105"/>
      <c r="K1164" s="105"/>
      <c r="L1164" s="106"/>
      <c r="M1164" s="106"/>
      <c r="N1164" s="225" t="s">
        <v>1002</v>
      </c>
      <c r="O1164" s="105">
        <v>0</v>
      </c>
      <c r="P1164" s="247">
        <v>0</v>
      </c>
      <c r="Q1164" s="247">
        <v>0</v>
      </c>
      <c r="R1164" s="232" t="s">
        <v>1002</v>
      </c>
    </row>
    <row r="1165" spans="1:18" x14ac:dyDescent="0.4">
      <c r="A1165" s="212">
        <v>45891</v>
      </c>
      <c r="B1165" s="139" t="s">
        <v>71</v>
      </c>
      <c r="C1165" s="140" t="s">
        <v>176</v>
      </c>
      <c r="D1165" s="191">
        <v>72</v>
      </c>
      <c r="E1165" s="168">
        <v>6</v>
      </c>
      <c r="F1165" s="158"/>
      <c r="G1165" s="169">
        <v>0.29166666666666669</v>
      </c>
      <c r="H1165" s="169">
        <v>0.70833333333333337</v>
      </c>
      <c r="I1165" s="173" t="s">
        <v>1252</v>
      </c>
      <c r="J1165" s="77">
        <v>5</v>
      </c>
      <c r="K1165" s="1"/>
      <c r="L1165" s="76">
        <v>0.3125</v>
      </c>
      <c r="M1165" s="76">
        <v>0.625</v>
      </c>
      <c r="N1165" s="173" t="s">
        <v>1329</v>
      </c>
      <c r="O1165" s="23">
        <v>5190</v>
      </c>
      <c r="P1165" s="70">
        <v>0.29166666666666669</v>
      </c>
      <c r="Q1165" s="70">
        <v>0.70833333333333337</v>
      </c>
      <c r="R1165" s="229" t="s">
        <v>1252</v>
      </c>
    </row>
    <row r="1166" spans="1:18" x14ac:dyDescent="0.4">
      <c r="A1166" s="212">
        <v>45891</v>
      </c>
      <c r="B1166" s="139" t="s">
        <v>72</v>
      </c>
      <c r="C1166" s="140" t="s">
        <v>227</v>
      </c>
      <c r="D1166" s="191">
        <v>16</v>
      </c>
      <c r="E1166" s="77">
        <v>5</v>
      </c>
      <c r="F1166" s="1"/>
      <c r="G1166" s="76">
        <v>0.29166666666666669</v>
      </c>
      <c r="H1166" s="76">
        <v>0.4201388888888889</v>
      </c>
      <c r="I1166" s="173" t="s">
        <v>1251</v>
      </c>
      <c r="J1166" s="23">
        <v>3</v>
      </c>
      <c r="K1166" s="68">
        <v>6.9444444444444441E-3</v>
      </c>
      <c r="L1166" s="68">
        <v>0.33333333333333331</v>
      </c>
      <c r="M1166" s="68">
        <v>0.44444444444444442</v>
      </c>
      <c r="N1166" s="173" t="s">
        <v>1314</v>
      </c>
      <c r="O1166" s="23">
        <v>1435</v>
      </c>
      <c r="P1166" s="70">
        <v>0.29166666666666669</v>
      </c>
      <c r="Q1166" s="70">
        <v>0.44444444444444442</v>
      </c>
      <c r="R1166" s="229" t="s">
        <v>1254</v>
      </c>
    </row>
    <row r="1167" spans="1:18" x14ac:dyDescent="0.4">
      <c r="A1167" s="212">
        <v>45891</v>
      </c>
      <c r="B1167" s="139" t="s">
        <v>109</v>
      </c>
      <c r="C1167" s="140" t="s">
        <v>263</v>
      </c>
      <c r="D1167" s="191">
        <v>8</v>
      </c>
      <c r="E1167" s="77">
        <v>5</v>
      </c>
      <c r="F1167" s="1"/>
      <c r="G1167" s="76">
        <v>0.5805555555555556</v>
      </c>
      <c r="H1167" s="76">
        <v>0.66666666666666663</v>
      </c>
      <c r="I1167" s="173" t="s">
        <v>1604</v>
      </c>
      <c r="J1167" s="23">
        <v>3</v>
      </c>
      <c r="K1167" s="68">
        <v>6.9444444444444441E-3</v>
      </c>
      <c r="L1167" s="68">
        <v>0.60763888888888895</v>
      </c>
      <c r="M1167" s="68">
        <v>0.6875</v>
      </c>
      <c r="N1167" s="173" t="s">
        <v>1249</v>
      </c>
      <c r="O1167" s="23">
        <v>995</v>
      </c>
      <c r="P1167" s="70">
        <v>0.5805555555555556</v>
      </c>
      <c r="Q1167" s="70">
        <v>0.6875</v>
      </c>
      <c r="R1167" s="229" t="s">
        <v>1510</v>
      </c>
    </row>
    <row r="1168" spans="1:18" x14ac:dyDescent="0.4">
      <c r="A1168" s="212">
        <v>45891</v>
      </c>
      <c r="B1168" s="139" t="s">
        <v>76</v>
      </c>
      <c r="C1168" s="140" t="s">
        <v>224</v>
      </c>
      <c r="D1168" s="191">
        <v>12</v>
      </c>
      <c r="E1168" s="77">
        <v>5</v>
      </c>
      <c r="F1168" s="1"/>
      <c r="G1168" s="76">
        <v>0.4201388888888889</v>
      </c>
      <c r="H1168" s="76">
        <v>0.5805555555555556</v>
      </c>
      <c r="I1168" s="173" t="s">
        <v>1634</v>
      </c>
      <c r="J1168" s="23">
        <v>3</v>
      </c>
      <c r="K1168" s="68">
        <v>6.9444444444444441E-3</v>
      </c>
      <c r="L1168" s="68">
        <v>0.44444444444444442</v>
      </c>
      <c r="M1168" s="68">
        <v>0.60763888888888895</v>
      </c>
      <c r="N1168" s="173" t="s">
        <v>1251</v>
      </c>
      <c r="O1168" s="23">
        <v>1410</v>
      </c>
      <c r="P1168" s="70">
        <v>0.4201388888888889</v>
      </c>
      <c r="Q1168" s="70">
        <v>0.60763888888888895</v>
      </c>
      <c r="R1168" s="229" t="s">
        <v>1303</v>
      </c>
    </row>
    <row r="1169" spans="1:18" x14ac:dyDescent="0.4">
      <c r="A1169" s="212">
        <v>45891</v>
      </c>
      <c r="B1169" s="139" t="s">
        <v>65</v>
      </c>
      <c r="C1169" s="140" t="s">
        <v>189</v>
      </c>
      <c r="D1169" s="191">
        <v>72</v>
      </c>
      <c r="E1169" s="77">
        <v>3</v>
      </c>
      <c r="F1169" s="76">
        <v>4.1666666666666664E-2</v>
      </c>
      <c r="G1169" s="76">
        <v>0.29166666666666669</v>
      </c>
      <c r="H1169" s="76">
        <v>0.66666666666666663</v>
      </c>
      <c r="I1169" s="173" t="s">
        <v>1252</v>
      </c>
      <c r="J1169" s="23">
        <v>4</v>
      </c>
      <c r="K1169" s="23"/>
      <c r="L1169" s="68">
        <v>0.29166666666666669</v>
      </c>
      <c r="M1169" s="68">
        <v>0.70833333333333337</v>
      </c>
      <c r="N1169" s="173" t="s">
        <v>1252</v>
      </c>
      <c r="O1169" s="23">
        <v>3780</v>
      </c>
      <c r="P1169" s="70">
        <v>0.29166666666666669</v>
      </c>
      <c r="Q1169" s="70">
        <v>0.70833333333333337</v>
      </c>
      <c r="R1169" s="229" t="s">
        <v>1252</v>
      </c>
    </row>
    <row r="1170" spans="1:18" x14ac:dyDescent="0.4">
      <c r="A1170" s="212">
        <v>45894</v>
      </c>
      <c r="B1170" s="139" t="s">
        <v>86</v>
      </c>
      <c r="C1170" s="140" t="s">
        <v>201</v>
      </c>
      <c r="D1170" s="191">
        <v>20</v>
      </c>
      <c r="E1170" s="77">
        <v>6</v>
      </c>
      <c r="F1170" s="1"/>
      <c r="G1170" s="76">
        <v>0.54166666666666663</v>
      </c>
      <c r="H1170" s="76">
        <v>0.70833333333333337</v>
      </c>
      <c r="I1170" s="173" t="s">
        <v>1244</v>
      </c>
      <c r="J1170" s="23">
        <v>6</v>
      </c>
      <c r="K1170" s="68">
        <v>1.0416666666666666E-2</v>
      </c>
      <c r="L1170" s="68">
        <v>0.54166666666666663</v>
      </c>
      <c r="M1170" s="68">
        <v>0.72916666666666663</v>
      </c>
      <c r="N1170" s="173" t="s">
        <v>1335</v>
      </c>
      <c r="O1170" s="23">
        <v>3150</v>
      </c>
      <c r="P1170" s="70">
        <v>0.54166666666666663</v>
      </c>
      <c r="Q1170" s="70">
        <v>0.72916666666666663</v>
      </c>
      <c r="R1170" s="229" t="s">
        <v>1243</v>
      </c>
    </row>
    <row r="1171" spans="1:18" x14ac:dyDescent="0.4">
      <c r="A1171" s="212">
        <v>45894</v>
      </c>
      <c r="B1171" s="139" t="s">
        <v>80</v>
      </c>
      <c r="C1171" s="140" t="s">
        <v>203</v>
      </c>
      <c r="D1171" s="191">
        <v>36</v>
      </c>
      <c r="E1171" s="77">
        <v>6</v>
      </c>
      <c r="F1171" s="1"/>
      <c r="G1171" s="76">
        <v>0.29166666666666669</v>
      </c>
      <c r="H1171" s="76">
        <v>0.5</v>
      </c>
      <c r="I1171" s="173" t="s">
        <v>1327</v>
      </c>
      <c r="J1171" s="23">
        <v>6</v>
      </c>
      <c r="K1171" s="68">
        <v>1.0416666666666666E-2</v>
      </c>
      <c r="L1171" s="68">
        <v>0.33333333333333331</v>
      </c>
      <c r="M1171" s="68">
        <v>0.5</v>
      </c>
      <c r="N1171" s="173" t="s">
        <v>1259</v>
      </c>
      <c r="O1171" s="23">
        <v>3330</v>
      </c>
      <c r="P1171" s="70">
        <v>0.29166666666666669</v>
      </c>
      <c r="Q1171" s="70">
        <v>0.5</v>
      </c>
      <c r="R1171" s="229" t="s">
        <v>1327</v>
      </c>
    </row>
    <row r="1172" spans="1:18" x14ac:dyDescent="0.4">
      <c r="A1172" s="212">
        <v>45894</v>
      </c>
      <c r="B1172" s="139" t="s">
        <v>88</v>
      </c>
      <c r="C1172" s="140" t="s">
        <v>328</v>
      </c>
      <c r="D1172" s="191">
        <v>16</v>
      </c>
      <c r="E1172" s="77">
        <v>5</v>
      </c>
      <c r="F1172" s="1"/>
      <c r="G1172" s="76">
        <v>0.38958333333333334</v>
      </c>
      <c r="H1172" s="76">
        <v>0.57500000000000007</v>
      </c>
      <c r="I1172" s="173" t="s">
        <v>1482</v>
      </c>
      <c r="J1172" s="23">
        <v>3</v>
      </c>
      <c r="K1172" s="68">
        <v>4.8611111111111112E-3</v>
      </c>
      <c r="L1172" s="68">
        <v>0.41666666666666669</v>
      </c>
      <c r="M1172" s="68">
        <v>0.59722222222222221</v>
      </c>
      <c r="N1172" s="173" t="s">
        <v>1482</v>
      </c>
      <c r="O1172" s="23">
        <v>1656</v>
      </c>
      <c r="P1172" s="70">
        <v>0.38958333333333334</v>
      </c>
      <c r="Q1172" s="70">
        <v>0.59722222222222221</v>
      </c>
      <c r="R1172" s="229" t="s">
        <v>1622</v>
      </c>
    </row>
    <row r="1173" spans="1:18" x14ac:dyDescent="0.4">
      <c r="A1173" s="212">
        <v>45894</v>
      </c>
      <c r="B1173" s="139" t="s">
        <v>75</v>
      </c>
      <c r="C1173" s="140" t="s">
        <v>229</v>
      </c>
      <c r="D1173" s="191">
        <v>12</v>
      </c>
      <c r="E1173" s="77">
        <v>5</v>
      </c>
      <c r="F1173" s="1"/>
      <c r="G1173" s="76">
        <v>0.57500000000000007</v>
      </c>
      <c r="H1173" s="76">
        <v>0.6875</v>
      </c>
      <c r="I1173" s="173" t="s">
        <v>1543</v>
      </c>
      <c r="J1173" s="23">
        <v>3</v>
      </c>
      <c r="K1173" s="68">
        <v>4.8611111111111112E-3</v>
      </c>
      <c r="L1173" s="68">
        <v>0.59722222222222221</v>
      </c>
      <c r="M1173" s="68">
        <v>0.6875</v>
      </c>
      <c r="N1173" s="173" t="s">
        <v>1548</v>
      </c>
      <c r="O1173" s="23">
        <v>1221</v>
      </c>
      <c r="P1173" s="70">
        <v>0.57500000000000007</v>
      </c>
      <c r="Q1173" s="70">
        <v>0.6875</v>
      </c>
      <c r="R1173" s="229" t="s">
        <v>1543</v>
      </c>
    </row>
    <row r="1174" spans="1:18" x14ac:dyDescent="0.4">
      <c r="A1174" s="212">
        <v>45894</v>
      </c>
      <c r="B1174" s="139" t="s">
        <v>1045</v>
      </c>
      <c r="C1174" s="140" t="s">
        <v>1056</v>
      </c>
      <c r="D1174" s="191">
        <v>12</v>
      </c>
      <c r="E1174" s="77">
        <v>5</v>
      </c>
      <c r="F1174" s="1"/>
      <c r="G1174" s="76">
        <v>0.29166666666666669</v>
      </c>
      <c r="H1174" s="76">
        <v>0.38958333333333334</v>
      </c>
      <c r="I1174" s="173" t="s">
        <v>1469</v>
      </c>
      <c r="J1174" s="23">
        <v>3</v>
      </c>
      <c r="K1174" s="68">
        <v>4.8611111111111112E-3</v>
      </c>
      <c r="L1174" s="68">
        <v>0.3263888888888889</v>
      </c>
      <c r="M1174" s="68">
        <v>0.41666666666666669</v>
      </c>
      <c r="N1174" s="173" t="s">
        <v>1548</v>
      </c>
      <c r="O1174" s="23">
        <v>1116</v>
      </c>
      <c r="P1174" s="70">
        <v>0.29166666666666669</v>
      </c>
      <c r="Q1174" s="70">
        <v>0.41666666666666669</v>
      </c>
      <c r="R1174" s="229" t="s">
        <v>1316</v>
      </c>
    </row>
    <row r="1175" spans="1:18" x14ac:dyDescent="0.4">
      <c r="A1175" s="212">
        <v>45894</v>
      </c>
      <c r="B1175" s="139" t="s">
        <v>65</v>
      </c>
      <c r="C1175" s="140" t="s">
        <v>189</v>
      </c>
      <c r="D1175" s="191">
        <v>72</v>
      </c>
      <c r="E1175" s="77">
        <v>3</v>
      </c>
      <c r="F1175" s="76">
        <v>4.1666666666666664E-2</v>
      </c>
      <c r="G1175" s="76">
        <v>0.29166666666666669</v>
      </c>
      <c r="H1175" s="76">
        <v>0.67361111111111116</v>
      </c>
      <c r="I1175" s="173" t="s">
        <v>1352</v>
      </c>
      <c r="J1175" s="23">
        <v>4</v>
      </c>
      <c r="K1175" s="23"/>
      <c r="L1175" s="68">
        <v>0.29166666666666669</v>
      </c>
      <c r="M1175" s="68">
        <v>0.71875</v>
      </c>
      <c r="N1175" s="173" t="s">
        <v>1419</v>
      </c>
      <c r="O1175" s="23">
        <v>3870</v>
      </c>
      <c r="P1175" s="70">
        <v>0.29166666666666669</v>
      </c>
      <c r="Q1175" s="70">
        <v>0.71875</v>
      </c>
      <c r="R1175" s="229" t="s">
        <v>1419</v>
      </c>
    </row>
    <row r="1176" spans="1:18" x14ac:dyDescent="0.4">
      <c r="A1176" s="212">
        <v>45895</v>
      </c>
      <c r="B1176" s="139" t="s">
        <v>106</v>
      </c>
      <c r="C1176" s="140" t="s">
        <v>173</v>
      </c>
      <c r="D1176" s="191">
        <v>20</v>
      </c>
      <c r="E1176" s="77">
        <v>5</v>
      </c>
      <c r="F1176" s="1"/>
      <c r="G1176" s="76">
        <v>0.29166666666666669</v>
      </c>
      <c r="H1176" s="76">
        <v>0.5</v>
      </c>
      <c r="I1176" s="173" t="s">
        <v>1327</v>
      </c>
      <c r="J1176" s="23">
        <v>10</v>
      </c>
      <c r="K1176" s="23"/>
      <c r="L1176" s="68">
        <v>0.3125</v>
      </c>
      <c r="M1176" s="68">
        <v>0.59027777777777779</v>
      </c>
      <c r="N1176" s="173" t="s">
        <v>1339</v>
      </c>
      <c r="O1176" s="23">
        <v>4900</v>
      </c>
      <c r="P1176" s="70">
        <v>0.29166666666666669</v>
      </c>
      <c r="Q1176" s="70">
        <v>0.59027777777777779</v>
      </c>
      <c r="R1176" s="229" t="s">
        <v>1471</v>
      </c>
    </row>
    <row r="1177" spans="1:18" x14ac:dyDescent="0.4">
      <c r="A1177" s="212">
        <v>45895</v>
      </c>
      <c r="B1177" s="139" t="s">
        <v>158</v>
      </c>
      <c r="C1177" s="140" t="s">
        <v>159</v>
      </c>
      <c r="D1177" s="191">
        <v>4</v>
      </c>
      <c r="E1177" s="77">
        <v>5</v>
      </c>
      <c r="F1177" s="1"/>
      <c r="G1177" s="76">
        <v>0.54166666666666663</v>
      </c>
      <c r="H1177" s="76">
        <v>0.66666666666666663</v>
      </c>
      <c r="I1177" s="173" t="s">
        <v>1316</v>
      </c>
      <c r="J1177" s="23">
        <v>9</v>
      </c>
      <c r="K1177" s="23"/>
      <c r="L1177" s="68">
        <v>0.59027777777777779</v>
      </c>
      <c r="M1177" s="68">
        <v>0.6875</v>
      </c>
      <c r="N1177" s="173" t="s">
        <v>1313</v>
      </c>
      <c r="O1177" s="23">
        <v>2160</v>
      </c>
      <c r="P1177" s="70">
        <v>0.54166666666666663</v>
      </c>
      <c r="Q1177" s="70">
        <v>0.6875</v>
      </c>
      <c r="R1177" s="229" t="s">
        <v>1303</v>
      </c>
    </row>
    <row r="1178" spans="1:18" x14ac:dyDescent="0.4">
      <c r="A1178" s="212">
        <v>45895</v>
      </c>
      <c r="B1178" s="139" t="s">
        <v>72</v>
      </c>
      <c r="C1178" s="140" t="s">
        <v>227</v>
      </c>
      <c r="D1178" s="191">
        <v>20</v>
      </c>
      <c r="E1178" s="77">
        <v>5</v>
      </c>
      <c r="F1178" s="1"/>
      <c r="G1178" s="76">
        <v>0.37222222222222223</v>
      </c>
      <c r="H1178" s="76">
        <v>0.59930555555555554</v>
      </c>
      <c r="I1178" s="173" t="s">
        <v>1484</v>
      </c>
      <c r="J1178" s="23">
        <v>3</v>
      </c>
      <c r="K1178" s="68">
        <v>6.9444444444444441E-3</v>
      </c>
      <c r="L1178" s="68">
        <v>0.40625</v>
      </c>
      <c r="M1178" s="68">
        <v>0.625</v>
      </c>
      <c r="N1178" s="173" t="s">
        <v>1356</v>
      </c>
      <c r="O1178" s="23">
        <v>2130</v>
      </c>
      <c r="P1178" s="70">
        <v>0.37222222222222223</v>
      </c>
      <c r="Q1178" s="70">
        <v>0.625</v>
      </c>
      <c r="R1178" s="229" t="s">
        <v>1635</v>
      </c>
    </row>
    <row r="1179" spans="1:18" x14ac:dyDescent="0.4">
      <c r="A1179" s="212">
        <v>45895</v>
      </c>
      <c r="B1179" s="139" t="s">
        <v>128</v>
      </c>
      <c r="C1179" s="140" t="s">
        <v>312</v>
      </c>
      <c r="D1179" s="191">
        <v>8</v>
      </c>
      <c r="E1179" s="77">
        <v>5</v>
      </c>
      <c r="F1179" s="1"/>
      <c r="G1179" s="76">
        <v>0.59930555555555554</v>
      </c>
      <c r="H1179" s="76">
        <v>0.66666666666666663</v>
      </c>
      <c r="I1179" s="173" t="s">
        <v>1535</v>
      </c>
      <c r="J1179" s="23">
        <v>3</v>
      </c>
      <c r="K1179" s="68">
        <v>6.9444444444444441E-3</v>
      </c>
      <c r="L1179" s="68">
        <v>0.625</v>
      </c>
      <c r="M1179" s="68">
        <v>0.6875</v>
      </c>
      <c r="N1179" s="173" t="s">
        <v>1386</v>
      </c>
      <c r="O1179" s="23">
        <v>785</v>
      </c>
      <c r="P1179" s="70">
        <v>0.59930555555555554</v>
      </c>
      <c r="Q1179" s="70">
        <v>0.6875</v>
      </c>
      <c r="R1179" s="229" t="s">
        <v>1312</v>
      </c>
    </row>
    <row r="1180" spans="1:18" x14ac:dyDescent="0.4">
      <c r="A1180" s="212">
        <v>45895</v>
      </c>
      <c r="B1180" s="139" t="s">
        <v>532</v>
      </c>
      <c r="C1180" s="140" t="s">
        <v>336</v>
      </c>
      <c r="D1180" s="191">
        <v>6</v>
      </c>
      <c r="E1180" s="77">
        <v>5</v>
      </c>
      <c r="F1180" s="1"/>
      <c r="G1180" s="76">
        <v>0.29166666666666669</v>
      </c>
      <c r="H1180" s="76">
        <v>0.37222222222222223</v>
      </c>
      <c r="I1180" s="173" t="s">
        <v>1416</v>
      </c>
      <c r="J1180" s="23">
        <v>4</v>
      </c>
      <c r="K1180" s="68">
        <v>6.9444444444444441E-3</v>
      </c>
      <c r="L1180" s="68">
        <v>0.33333333333333331</v>
      </c>
      <c r="M1180" s="68">
        <v>0.40625</v>
      </c>
      <c r="N1180" s="173" t="s">
        <v>1457</v>
      </c>
      <c r="O1180" s="23">
        <v>1040</v>
      </c>
      <c r="P1180" s="70">
        <v>0.29166666666666669</v>
      </c>
      <c r="Q1180" s="70">
        <v>0.40625</v>
      </c>
      <c r="R1180" s="229" t="s">
        <v>1315</v>
      </c>
    </row>
    <row r="1181" spans="1:18" x14ac:dyDescent="0.4">
      <c r="A1181" s="212">
        <v>45895</v>
      </c>
      <c r="B1181" s="139" t="s">
        <v>123</v>
      </c>
      <c r="C1181" s="140" t="s">
        <v>277</v>
      </c>
      <c r="D1181" s="191">
        <v>40</v>
      </c>
      <c r="E1181" s="77">
        <v>3</v>
      </c>
      <c r="F1181" s="76">
        <v>2.0833333333333332E-2</v>
      </c>
      <c r="G1181" s="76">
        <v>0.33680555555555558</v>
      </c>
      <c r="H1181" s="76">
        <v>0.61458333333333337</v>
      </c>
      <c r="I1181" s="173" t="s">
        <v>1471</v>
      </c>
      <c r="J1181" s="23">
        <v>4</v>
      </c>
      <c r="K1181" s="23"/>
      <c r="L1181" s="68">
        <v>0.38194444444444442</v>
      </c>
      <c r="M1181" s="68">
        <v>0.67361111111111116</v>
      </c>
      <c r="N1181" s="173" t="s">
        <v>1321</v>
      </c>
      <c r="O1181" s="23">
        <v>2550</v>
      </c>
      <c r="P1181" s="70">
        <v>0.33680555555555558</v>
      </c>
      <c r="Q1181" s="70">
        <v>0.67361111111111116</v>
      </c>
      <c r="R1181" s="229" t="s">
        <v>1456</v>
      </c>
    </row>
    <row r="1182" spans="1:18" x14ac:dyDescent="0.4">
      <c r="A1182" s="212">
        <v>45896</v>
      </c>
      <c r="B1182" s="139" t="s">
        <v>87</v>
      </c>
      <c r="C1182" s="140" t="s">
        <v>199</v>
      </c>
      <c r="D1182" s="191">
        <v>72</v>
      </c>
      <c r="E1182" s="77">
        <v>6</v>
      </c>
      <c r="F1182" s="1"/>
      <c r="G1182" s="76">
        <v>0.29166666666666669</v>
      </c>
      <c r="H1182" s="76">
        <v>0.6875</v>
      </c>
      <c r="I1182" s="173" t="s">
        <v>990</v>
      </c>
      <c r="J1182" s="23">
        <v>5</v>
      </c>
      <c r="K1182" s="23"/>
      <c r="L1182" s="68">
        <v>0.3125</v>
      </c>
      <c r="M1182" s="68">
        <v>0.72916666666666663</v>
      </c>
      <c r="N1182" s="173" t="s">
        <v>1252</v>
      </c>
      <c r="O1182" s="23">
        <v>5760</v>
      </c>
      <c r="P1182" s="70">
        <v>0.29166666666666669</v>
      </c>
      <c r="Q1182" s="70">
        <v>0.72916666666666663</v>
      </c>
      <c r="R1182" s="229" t="s">
        <v>1247</v>
      </c>
    </row>
    <row r="1183" spans="1:18" x14ac:dyDescent="0.4">
      <c r="A1183" s="212">
        <v>45896</v>
      </c>
      <c r="B1183" s="139" t="s">
        <v>107</v>
      </c>
      <c r="C1183" s="140" t="s">
        <v>314</v>
      </c>
      <c r="D1183" s="191">
        <v>8</v>
      </c>
      <c r="E1183" s="77">
        <v>5</v>
      </c>
      <c r="F1183" s="1"/>
      <c r="G1183" s="76">
        <v>0.40138888888888885</v>
      </c>
      <c r="H1183" s="76">
        <v>0.5</v>
      </c>
      <c r="I1183" s="173" t="s">
        <v>1342</v>
      </c>
      <c r="J1183" s="23">
        <v>3</v>
      </c>
      <c r="K1183" s="68">
        <v>4.8611111111111112E-3</v>
      </c>
      <c r="L1183" s="68">
        <v>0.43055555555555558</v>
      </c>
      <c r="M1183" s="68">
        <v>0.5625</v>
      </c>
      <c r="N1183" s="173" t="s">
        <v>1548</v>
      </c>
      <c r="O1183" s="23">
        <v>1121</v>
      </c>
      <c r="P1183" s="70">
        <v>0.40138888888888885</v>
      </c>
      <c r="Q1183" s="70">
        <v>0.5625</v>
      </c>
      <c r="R1183" s="229" t="s">
        <v>1344</v>
      </c>
    </row>
    <row r="1184" spans="1:18" x14ac:dyDescent="0.4">
      <c r="A1184" s="212">
        <v>45896</v>
      </c>
      <c r="B1184" s="139" t="s">
        <v>109</v>
      </c>
      <c r="C1184" s="140" t="s">
        <v>263</v>
      </c>
      <c r="D1184" s="191">
        <v>16</v>
      </c>
      <c r="E1184" s="77">
        <v>5</v>
      </c>
      <c r="F1184" s="1"/>
      <c r="G1184" s="76">
        <v>0.54166666666666663</v>
      </c>
      <c r="H1184" s="76">
        <v>0.66666666666666663</v>
      </c>
      <c r="I1184" s="173" t="s">
        <v>1316</v>
      </c>
      <c r="J1184" s="23">
        <v>3</v>
      </c>
      <c r="K1184" s="68">
        <v>4.8611111111111112E-3</v>
      </c>
      <c r="L1184" s="68">
        <v>0.5625</v>
      </c>
      <c r="M1184" s="68">
        <v>0.6875</v>
      </c>
      <c r="N1184" s="173" t="s">
        <v>1485</v>
      </c>
      <c r="O1184" s="23">
        <v>1461</v>
      </c>
      <c r="P1184" s="70">
        <v>0.54166666666666663</v>
      </c>
      <c r="Q1184" s="70">
        <v>0.6875</v>
      </c>
      <c r="R1184" s="229" t="s">
        <v>1303</v>
      </c>
    </row>
    <row r="1185" spans="1:18" x14ac:dyDescent="0.4">
      <c r="A1185" s="212">
        <v>45896</v>
      </c>
      <c r="B1185" s="139" t="s">
        <v>81</v>
      </c>
      <c r="C1185" s="140" t="s">
        <v>235</v>
      </c>
      <c r="D1185" s="191">
        <v>16</v>
      </c>
      <c r="E1185" s="77">
        <v>5</v>
      </c>
      <c r="F1185" s="1"/>
      <c r="G1185" s="76">
        <v>0.29166666666666669</v>
      </c>
      <c r="H1185" s="76">
        <v>0.40138888888888885</v>
      </c>
      <c r="I1185" s="173" t="s">
        <v>1450</v>
      </c>
      <c r="J1185" s="23">
        <v>3</v>
      </c>
      <c r="K1185" s="68">
        <v>4.8611111111111112E-3</v>
      </c>
      <c r="L1185" s="68">
        <v>0.3263888888888889</v>
      </c>
      <c r="M1185" s="68">
        <v>0.43055555555555558</v>
      </c>
      <c r="N1185" s="173" t="s">
        <v>1546</v>
      </c>
      <c r="O1185" s="23">
        <v>1261</v>
      </c>
      <c r="P1185" s="70">
        <v>0.29166666666666669</v>
      </c>
      <c r="Q1185" s="70">
        <v>0.43055555555555558</v>
      </c>
      <c r="R1185" s="229" t="s">
        <v>1250</v>
      </c>
    </row>
    <row r="1186" spans="1:18" x14ac:dyDescent="0.4">
      <c r="A1186" s="212">
        <v>45896</v>
      </c>
      <c r="B1186" s="139" t="s">
        <v>73</v>
      </c>
      <c r="C1186" s="140" t="s">
        <v>231</v>
      </c>
      <c r="D1186" s="191">
        <v>21</v>
      </c>
      <c r="E1186" s="77">
        <v>4</v>
      </c>
      <c r="F1186" s="76">
        <v>2.0833333333333332E-2</v>
      </c>
      <c r="G1186" s="76">
        <v>0.29166666666666669</v>
      </c>
      <c r="H1186" s="76">
        <v>0.68055555555555547</v>
      </c>
      <c r="I1186" s="173" t="s">
        <v>1395</v>
      </c>
      <c r="J1186" s="23">
        <v>7</v>
      </c>
      <c r="K1186" s="23"/>
      <c r="L1186" s="68">
        <v>0.33333333333333331</v>
      </c>
      <c r="M1186" s="68">
        <v>0.70833333333333337</v>
      </c>
      <c r="N1186" s="173" t="s">
        <v>1292</v>
      </c>
      <c r="O1186" s="23">
        <v>5480</v>
      </c>
      <c r="P1186" s="70">
        <v>0.29166666666666669</v>
      </c>
      <c r="Q1186" s="70">
        <v>0.70833333333333337</v>
      </c>
      <c r="R1186" s="229" t="s">
        <v>1252</v>
      </c>
    </row>
    <row r="1187" spans="1:18" x14ac:dyDescent="0.4">
      <c r="A1187" s="246">
        <v>45896</v>
      </c>
      <c r="B1187" s="102" t="s">
        <v>1091</v>
      </c>
      <c r="C1187" s="136" t="s">
        <v>506</v>
      </c>
      <c r="D1187" s="248">
        <v>50</v>
      </c>
      <c r="E1187" s="103"/>
      <c r="F1187" s="104"/>
      <c r="G1187" s="184"/>
      <c r="H1187" s="184"/>
      <c r="I1187" s="225" t="s">
        <v>1002</v>
      </c>
      <c r="J1187" s="105"/>
      <c r="K1187" s="105"/>
      <c r="L1187" s="106"/>
      <c r="M1187" s="106"/>
      <c r="N1187" s="225" t="s">
        <v>1002</v>
      </c>
      <c r="O1187" s="105">
        <v>0</v>
      </c>
      <c r="P1187" s="247">
        <v>0</v>
      </c>
      <c r="Q1187" s="247">
        <v>0</v>
      </c>
      <c r="R1187" s="232" t="s">
        <v>1002</v>
      </c>
    </row>
    <row r="1188" spans="1:18" x14ac:dyDescent="0.4">
      <c r="A1188" s="212">
        <v>45901</v>
      </c>
      <c r="B1188" s="139" t="s">
        <v>86</v>
      </c>
      <c r="C1188" s="30" t="s">
        <v>201</v>
      </c>
      <c r="D1188" s="191">
        <v>40</v>
      </c>
      <c r="E1188" s="77">
        <v>5</v>
      </c>
      <c r="F1188" s="1"/>
      <c r="G1188" s="76">
        <v>0.29166666666666669</v>
      </c>
      <c r="H1188" s="76">
        <v>0.70833333333333337</v>
      </c>
      <c r="I1188" s="173" t="s">
        <v>1252</v>
      </c>
      <c r="J1188" s="23">
        <v>5</v>
      </c>
      <c r="K1188" s="23"/>
      <c r="L1188" s="68">
        <v>0.3125</v>
      </c>
      <c r="M1188" s="68">
        <v>0.72916666666666663</v>
      </c>
      <c r="N1188" s="173" t="s">
        <v>1252</v>
      </c>
      <c r="O1188" s="23">
        <v>5400</v>
      </c>
      <c r="P1188" s="70">
        <v>0.29166666666666669</v>
      </c>
      <c r="Q1188" s="70">
        <v>0.72916666666666663</v>
      </c>
      <c r="R1188" s="229" t="s">
        <v>1247</v>
      </c>
    </row>
    <row r="1189" spans="1:18" x14ac:dyDescent="0.4">
      <c r="A1189" s="246">
        <v>45901</v>
      </c>
      <c r="B1189" s="102" t="s">
        <v>594</v>
      </c>
      <c r="C1189" s="136" t="s">
        <v>595</v>
      </c>
      <c r="D1189" s="193">
        <v>1</v>
      </c>
      <c r="E1189" s="103"/>
      <c r="F1189" s="104"/>
      <c r="G1189" s="184"/>
      <c r="H1189" s="184"/>
      <c r="I1189" s="225" t="s">
        <v>1002</v>
      </c>
      <c r="J1189" s="105"/>
      <c r="K1189" s="105"/>
      <c r="L1189" s="106"/>
      <c r="M1189" s="106"/>
      <c r="N1189" s="225" t="s">
        <v>1002</v>
      </c>
      <c r="O1189" s="105">
        <v>0</v>
      </c>
      <c r="P1189" s="247">
        <v>0</v>
      </c>
      <c r="Q1189" s="247">
        <v>0</v>
      </c>
      <c r="R1189" s="232" t="s">
        <v>1002</v>
      </c>
    </row>
    <row r="1190" spans="1:18" x14ac:dyDescent="0.4">
      <c r="A1190" s="246">
        <v>45901</v>
      </c>
      <c r="B1190" s="102">
        <v>153010</v>
      </c>
      <c r="C1190" s="136" t="s">
        <v>484</v>
      </c>
      <c r="D1190" s="193">
        <v>1</v>
      </c>
      <c r="E1190" s="103"/>
      <c r="F1190" s="104"/>
      <c r="G1190" s="184"/>
      <c r="H1190" s="184"/>
      <c r="I1190" s="225" t="s">
        <v>1002</v>
      </c>
      <c r="J1190" s="105"/>
      <c r="K1190" s="105"/>
      <c r="L1190" s="106"/>
      <c r="M1190" s="106"/>
      <c r="N1190" s="225" t="s">
        <v>1002</v>
      </c>
      <c r="O1190" s="105">
        <v>0</v>
      </c>
      <c r="P1190" s="247">
        <v>0</v>
      </c>
      <c r="Q1190" s="247">
        <v>0</v>
      </c>
      <c r="R1190" s="232" t="s">
        <v>1002</v>
      </c>
    </row>
    <row r="1191" spans="1:18" x14ac:dyDescent="0.4">
      <c r="A1191" s="212">
        <v>45902</v>
      </c>
      <c r="B1191" s="139" t="s">
        <v>116</v>
      </c>
      <c r="C1191" s="30" t="s">
        <v>212</v>
      </c>
      <c r="D1191" s="191">
        <v>20</v>
      </c>
      <c r="E1191" s="77">
        <v>5</v>
      </c>
      <c r="F1191" s="1"/>
      <c r="G1191" s="76">
        <v>0.29166666666666669</v>
      </c>
      <c r="H1191" s="76">
        <v>0.5</v>
      </c>
      <c r="I1191" s="173" t="s">
        <v>1327</v>
      </c>
      <c r="J1191" s="23">
        <v>4</v>
      </c>
      <c r="K1191" s="68">
        <v>1.0416666666666666E-2</v>
      </c>
      <c r="L1191" s="68">
        <v>0.33333333333333331</v>
      </c>
      <c r="M1191" s="68">
        <v>0.55208333333333337</v>
      </c>
      <c r="N1191" s="173" t="s">
        <v>1243</v>
      </c>
      <c r="O1191" s="23">
        <v>2580</v>
      </c>
      <c r="P1191" s="70">
        <v>0.29166666666666669</v>
      </c>
      <c r="Q1191" s="70">
        <v>0.55208333333333337</v>
      </c>
      <c r="R1191" s="229" t="s">
        <v>1401</v>
      </c>
    </row>
    <row r="1192" spans="1:18" x14ac:dyDescent="0.4">
      <c r="A1192" s="212">
        <v>45902</v>
      </c>
      <c r="B1192" s="139" t="s">
        <v>64</v>
      </c>
      <c r="C1192" s="30" t="s">
        <v>271</v>
      </c>
      <c r="D1192" s="191">
        <v>20</v>
      </c>
      <c r="E1192" s="77">
        <v>5</v>
      </c>
      <c r="F1192" s="1"/>
      <c r="G1192" s="76">
        <v>0.54166666666666663</v>
      </c>
      <c r="H1192" s="76">
        <v>0.6875</v>
      </c>
      <c r="I1192" s="173" t="s">
        <v>1303</v>
      </c>
      <c r="J1192" s="23">
        <v>3</v>
      </c>
      <c r="K1192" s="68">
        <v>1.0416666666666666E-2</v>
      </c>
      <c r="L1192" s="68">
        <v>0.55208333333333337</v>
      </c>
      <c r="M1192" s="68">
        <v>0.6875</v>
      </c>
      <c r="N1192" s="173" t="s">
        <v>1303</v>
      </c>
      <c r="O1192" s="23">
        <v>1680</v>
      </c>
      <c r="P1192" s="70">
        <v>0.54166666666666663</v>
      </c>
      <c r="Q1192" s="70">
        <v>0.6875</v>
      </c>
      <c r="R1192" s="229" t="s">
        <v>1303</v>
      </c>
    </row>
    <row r="1193" spans="1:18" x14ac:dyDescent="0.4">
      <c r="A1193" s="241">
        <v>45902</v>
      </c>
      <c r="B1193" s="139" t="s">
        <v>65</v>
      </c>
      <c r="C1193" s="30" t="s">
        <v>189</v>
      </c>
      <c r="D1193" s="191">
        <v>32</v>
      </c>
      <c r="E1193" s="77">
        <v>3</v>
      </c>
      <c r="F1193" s="76">
        <v>4.1666666666666664E-2</v>
      </c>
      <c r="G1193" s="76">
        <v>0.375</v>
      </c>
      <c r="H1193" s="76">
        <v>0.64583333333333337</v>
      </c>
      <c r="I1193" s="173" t="s">
        <v>1329</v>
      </c>
      <c r="J1193" s="23">
        <v>4</v>
      </c>
      <c r="K1193" s="23"/>
      <c r="L1193" s="68">
        <v>0.41666666666666669</v>
      </c>
      <c r="M1193" s="68">
        <v>0.6875</v>
      </c>
      <c r="N1193" s="173" t="s">
        <v>1320</v>
      </c>
      <c r="O1193" s="23">
        <v>2490</v>
      </c>
      <c r="P1193" s="70">
        <v>0.375</v>
      </c>
      <c r="Q1193" s="70">
        <v>0.6875</v>
      </c>
      <c r="R1193" s="229" t="s">
        <v>1329</v>
      </c>
    </row>
    <row r="1194" spans="1:18" x14ac:dyDescent="0.4">
      <c r="A1194" s="212">
        <v>45903</v>
      </c>
      <c r="B1194" s="139" t="s">
        <v>71</v>
      </c>
      <c r="C1194" s="30" t="s">
        <v>176</v>
      </c>
      <c r="D1194" s="191">
        <v>36</v>
      </c>
      <c r="E1194" s="77">
        <v>6</v>
      </c>
      <c r="F1194" s="1"/>
      <c r="G1194" s="76">
        <v>0.29166666666666669</v>
      </c>
      <c r="H1194" s="76">
        <v>0.5</v>
      </c>
      <c r="I1194" s="173" t="s">
        <v>1327</v>
      </c>
      <c r="J1194" s="23">
        <v>5</v>
      </c>
      <c r="K1194" s="23"/>
      <c r="L1194" s="68">
        <v>0.3125</v>
      </c>
      <c r="M1194" s="68">
        <v>0.5</v>
      </c>
      <c r="N1194" s="173" t="s">
        <v>1243</v>
      </c>
      <c r="O1194" s="23">
        <v>3150</v>
      </c>
      <c r="P1194" s="70">
        <v>0.29166666666666669</v>
      </c>
      <c r="Q1194" s="70">
        <v>0.5</v>
      </c>
      <c r="R1194" s="229" t="s">
        <v>1327</v>
      </c>
    </row>
    <row r="1195" spans="1:18" x14ac:dyDescent="0.4">
      <c r="A1195" s="212">
        <v>45903</v>
      </c>
      <c r="B1195" s="139" t="s">
        <v>87</v>
      </c>
      <c r="C1195" s="30" t="s">
        <v>199</v>
      </c>
      <c r="D1195" s="191">
        <v>36</v>
      </c>
      <c r="E1195" s="77">
        <v>6</v>
      </c>
      <c r="F1195" s="1"/>
      <c r="G1195" s="76">
        <v>0.54166666666666663</v>
      </c>
      <c r="H1195" s="76">
        <v>0.70833333333333337</v>
      </c>
      <c r="I1195" s="173" t="s">
        <v>1244</v>
      </c>
      <c r="J1195" s="23">
        <v>5</v>
      </c>
      <c r="K1195" s="23"/>
      <c r="L1195" s="68">
        <v>0.54166666666666663</v>
      </c>
      <c r="M1195" s="68">
        <v>0.70833333333333337</v>
      </c>
      <c r="N1195" s="173" t="s">
        <v>1244</v>
      </c>
      <c r="O1195" s="23">
        <v>2640</v>
      </c>
      <c r="P1195" s="70">
        <v>0.54166666666666663</v>
      </c>
      <c r="Q1195" s="70">
        <v>0.70833333333333337</v>
      </c>
      <c r="R1195" s="229" t="s">
        <v>1244</v>
      </c>
    </row>
    <row r="1196" spans="1:18" x14ac:dyDescent="0.4">
      <c r="A1196" s="212">
        <v>45903</v>
      </c>
      <c r="B1196" s="139" t="s">
        <v>63</v>
      </c>
      <c r="C1196" s="30" t="s">
        <v>267</v>
      </c>
      <c r="D1196" s="191">
        <v>20</v>
      </c>
      <c r="E1196" s="77">
        <v>5</v>
      </c>
      <c r="F1196" s="1"/>
      <c r="G1196" s="76">
        <v>0.41597222222222219</v>
      </c>
      <c r="H1196" s="76">
        <v>0.66666666666666663</v>
      </c>
      <c r="I1196" s="173" t="s">
        <v>1636</v>
      </c>
      <c r="J1196" s="23">
        <v>3</v>
      </c>
      <c r="K1196" s="68">
        <v>4.8611111111111112E-3</v>
      </c>
      <c r="L1196" s="68">
        <v>0.4375</v>
      </c>
      <c r="M1196" s="68">
        <v>0.6875</v>
      </c>
      <c r="N1196" s="173" t="s">
        <v>1557</v>
      </c>
      <c r="O1196" s="23">
        <v>2426</v>
      </c>
      <c r="P1196" s="70">
        <v>0.41597222222222219</v>
      </c>
      <c r="Q1196" s="70">
        <v>0.6875</v>
      </c>
      <c r="R1196" s="229" t="s">
        <v>1553</v>
      </c>
    </row>
    <row r="1197" spans="1:18" x14ac:dyDescent="0.4">
      <c r="A1197" s="212">
        <v>45903</v>
      </c>
      <c r="B1197" s="139" t="s">
        <v>77</v>
      </c>
      <c r="C1197" s="30" t="s">
        <v>293</v>
      </c>
      <c r="D1197" s="191">
        <v>8</v>
      </c>
      <c r="E1197" s="77">
        <v>5</v>
      </c>
      <c r="F1197" s="1"/>
      <c r="G1197" s="76">
        <v>0.35486111111111113</v>
      </c>
      <c r="H1197" s="76">
        <v>0.41597222222222219</v>
      </c>
      <c r="I1197" s="173" t="s">
        <v>1410</v>
      </c>
      <c r="J1197" s="23">
        <v>3</v>
      </c>
      <c r="K1197" s="68">
        <v>4.8611111111111112E-3</v>
      </c>
      <c r="L1197" s="68">
        <v>0.38194444444444442</v>
      </c>
      <c r="M1197" s="68">
        <v>0.4375</v>
      </c>
      <c r="N1197" s="173" t="s">
        <v>1551</v>
      </c>
      <c r="O1197" s="23">
        <v>701</v>
      </c>
      <c r="P1197" s="70">
        <v>0.35486111111111113</v>
      </c>
      <c r="Q1197" s="70">
        <v>0.4375</v>
      </c>
      <c r="R1197" s="229" t="s">
        <v>1398</v>
      </c>
    </row>
    <row r="1198" spans="1:18" x14ac:dyDescent="0.4">
      <c r="A1198" s="212">
        <v>45903</v>
      </c>
      <c r="B1198" s="139" t="s">
        <v>99</v>
      </c>
      <c r="C1198" s="30" t="s">
        <v>259</v>
      </c>
      <c r="D1198" s="191">
        <v>6</v>
      </c>
      <c r="E1198" s="77">
        <v>5</v>
      </c>
      <c r="F1198" s="1"/>
      <c r="G1198" s="76">
        <v>0.29166666666666669</v>
      </c>
      <c r="H1198" s="76">
        <v>0.35486111111111113</v>
      </c>
      <c r="I1198" s="173" t="s">
        <v>1637</v>
      </c>
      <c r="J1198" s="23">
        <v>3</v>
      </c>
      <c r="K1198" s="68">
        <v>4.8611111111111112E-3</v>
      </c>
      <c r="L1198" s="68">
        <v>0.3263888888888889</v>
      </c>
      <c r="M1198" s="68">
        <v>0.38194444444444442</v>
      </c>
      <c r="N1198" s="173" t="s">
        <v>1551</v>
      </c>
      <c r="O1198" s="23">
        <v>716</v>
      </c>
      <c r="P1198" s="70">
        <v>0.29166666666666669</v>
      </c>
      <c r="Q1198" s="70">
        <v>0.38194444444444442</v>
      </c>
      <c r="R1198" s="229" t="s">
        <v>1248</v>
      </c>
    </row>
    <row r="1199" spans="1:18" x14ac:dyDescent="0.4">
      <c r="A1199" s="212">
        <v>45903</v>
      </c>
      <c r="B1199" s="139" t="s">
        <v>58</v>
      </c>
      <c r="C1199" s="30" t="s">
        <v>165</v>
      </c>
      <c r="D1199" s="191">
        <v>32</v>
      </c>
      <c r="E1199" s="77">
        <v>3</v>
      </c>
      <c r="F1199" s="76">
        <v>2.0833333333333332E-2</v>
      </c>
      <c r="G1199" s="76">
        <v>0.35069444444444442</v>
      </c>
      <c r="H1199" s="76">
        <v>0.64930555555555558</v>
      </c>
      <c r="I1199" s="173" t="s">
        <v>1328</v>
      </c>
      <c r="J1199" s="23">
        <v>6</v>
      </c>
      <c r="K1199" s="68">
        <v>2.0833333333333332E-2</v>
      </c>
      <c r="L1199" s="68">
        <v>0.4201388888888889</v>
      </c>
      <c r="M1199" s="68">
        <v>0.72222222222222221</v>
      </c>
      <c r="N1199" s="173" t="s">
        <v>1527</v>
      </c>
      <c r="O1199" s="23">
        <v>3630</v>
      </c>
      <c r="P1199" s="70">
        <v>0.35069444444444442</v>
      </c>
      <c r="Q1199" s="70">
        <v>0.72222222222222221</v>
      </c>
      <c r="R1199" s="229" t="s">
        <v>1616</v>
      </c>
    </row>
    <row r="1200" spans="1:18" x14ac:dyDescent="0.4">
      <c r="A1200" s="212">
        <v>45903</v>
      </c>
      <c r="B1200" s="139" t="s">
        <v>96</v>
      </c>
      <c r="C1200" s="30" t="s">
        <v>167</v>
      </c>
      <c r="D1200" s="191">
        <v>12</v>
      </c>
      <c r="E1200" s="77">
        <v>3</v>
      </c>
      <c r="F1200" s="76">
        <v>2.0833333333333332E-2</v>
      </c>
      <c r="G1200" s="76">
        <v>0.29166666666666669</v>
      </c>
      <c r="H1200" s="76">
        <v>0.35416666666666669</v>
      </c>
      <c r="I1200" s="173" t="s">
        <v>1296</v>
      </c>
      <c r="J1200" s="23">
        <v>6</v>
      </c>
      <c r="K1200" s="68">
        <v>2.0833333333333332E-2</v>
      </c>
      <c r="L1200" s="68">
        <v>0.33333333333333331</v>
      </c>
      <c r="M1200" s="68">
        <v>0.4236111111111111</v>
      </c>
      <c r="N1200" s="173" t="s">
        <v>1325</v>
      </c>
      <c r="O1200" s="23">
        <v>1320</v>
      </c>
      <c r="P1200" s="70">
        <v>0.29166666666666669</v>
      </c>
      <c r="Q1200" s="70">
        <v>0.4236111111111111</v>
      </c>
      <c r="R1200" s="229" t="s">
        <v>1256</v>
      </c>
    </row>
    <row r="1201" spans="1:18" x14ac:dyDescent="0.4">
      <c r="A1201" s="212">
        <v>45904</v>
      </c>
      <c r="B1201" s="139" t="s">
        <v>451</v>
      </c>
      <c r="C1201" s="30" t="s">
        <v>255</v>
      </c>
      <c r="D1201" s="191">
        <v>6</v>
      </c>
      <c r="E1201" s="77">
        <v>5</v>
      </c>
      <c r="F1201" s="1"/>
      <c r="G1201" s="76">
        <v>0.29166666666666669</v>
      </c>
      <c r="H1201" s="76">
        <v>0.3659722222222222</v>
      </c>
      <c r="I1201" s="173" t="s">
        <v>1446</v>
      </c>
      <c r="J1201" s="23">
        <v>4</v>
      </c>
      <c r="K1201" s="68">
        <v>2.0833333333333332E-2</v>
      </c>
      <c r="L1201" s="68">
        <v>0.33333333333333331</v>
      </c>
      <c r="M1201" s="68">
        <v>0.39583333333333331</v>
      </c>
      <c r="N1201" s="173" t="s">
        <v>1296</v>
      </c>
      <c r="O1201" s="23">
        <v>1015</v>
      </c>
      <c r="P1201" s="70">
        <v>0.29166666666666669</v>
      </c>
      <c r="Q1201" s="70">
        <v>0.39583333333333331</v>
      </c>
      <c r="R1201" s="229" t="s">
        <v>1298</v>
      </c>
    </row>
    <row r="1202" spans="1:18" x14ac:dyDescent="0.4">
      <c r="A1202" s="212">
        <v>45904</v>
      </c>
      <c r="B1202" s="139" t="s">
        <v>54</v>
      </c>
      <c r="C1202" s="30" t="s">
        <v>251</v>
      </c>
      <c r="D1202" s="191">
        <v>30</v>
      </c>
      <c r="E1202" s="77">
        <v>5</v>
      </c>
      <c r="F1202" s="1"/>
      <c r="G1202" s="76">
        <v>0.3659722222222222</v>
      </c>
      <c r="H1202" s="76">
        <v>0.66666666666666663</v>
      </c>
      <c r="I1202" s="173" t="s">
        <v>1638</v>
      </c>
      <c r="J1202" s="23">
        <v>4</v>
      </c>
      <c r="K1202" s="68">
        <v>2.0833333333333332E-2</v>
      </c>
      <c r="L1202" s="68">
        <v>0.39583333333333331</v>
      </c>
      <c r="M1202" s="68">
        <v>0.70833333333333337</v>
      </c>
      <c r="N1202" s="173" t="s">
        <v>1341</v>
      </c>
      <c r="O1202" s="23">
        <v>3545</v>
      </c>
      <c r="P1202" s="70">
        <v>0.3659722222222222</v>
      </c>
      <c r="Q1202" s="70">
        <v>0.70833333333333337</v>
      </c>
      <c r="R1202" s="229" t="s">
        <v>1639</v>
      </c>
    </row>
    <row r="1203" spans="1:18" x14ac:dyDescent="0.4">
      <c r="A1203" s="212">
        <v>45904</v>
      </c>
      <c r="B1203" s="139" t="s">
        <v>951</v>
      </c>
      <c r="C1203" s="30" t="s">
        <v>332</v>
      </c>
      <c r="D1203" s="191">
        <v>18</v>
      </c>
      <c r="E1203" s="77">
        <v>5</v>
      </c>
      <c r="F1203" s="1"/>
      <c r="G1203" s="76">
        <v>0.44444444444444442</v>
      </c>
      <c r="H1203" s="76">
        <v>0.66666666666666663</v>
      </c>
      <c r="I1203" s="173" t="s">
        <v>1379</v>
      </c>
      <c r="J1203" s="23">
        <v>4</v>
      </c>
      <c r="K1203" s="68">
        <v>1.0416666666666666E-2</v>
      </c>
      <c r="L1203" s="68">
        <v>0.47222222222222227</v>
      </c>
      <c r="M1203" s="68">
        <v>0.6875</v>
      </c>
      <c r="N1203" s="173" t="s">
        <v>1356</v>
      </c>
      <c r="O1203" s="23">
        <v>2360</v>
      </c>
      <c r="P1203" s="70">
        <v>0.44444444444444442</v>
      </c>
      <c r="Q1203" s="70">
        <v>0.6875</v>
      </c>
      <c r="R1203" s="229" t="s">
        <v>1258</v>
      </c>
    </row>
    <row r="1204" spans="1:18" x14ac:dyDescent="0.4">
      <c r="A1204" s="212">
        <v>45904</v>
      </c>
      <c r="B1204" s="139" t="s">
        <v>57</v>
      </c>
      <c r="C1204" s="30" t="s">
        <v>334</v>
      </c>
      <c r="D1204" s="191">
        <v>18</v>
      </c>
      <c r="E1204" s="77">
        <v>5</v>
      </c>
      <c r="F1204" s="1"/>
      <c r="G1204" s="76">
        <v>0.29166666666666669</v>
      </c>
      <c r="H1204" s="76">
        <v>0.44444444444444442</v>
      </c>
      <c r="I1204" s="173" t="s">
        <v>1254</v>
      </c>
      <c r="J1204" s="23">
        <v>4</v>
      </c>
      <c r="K1204" s="68">
        <v>1.0416666666666666E-2</v>
      </c>
      <c r="L1204" s="68">
        <v>0.33333333333333331</v>
      </c>
      <c r="M1204" s="68">
        <v>0.47222222222222227</v>
      </c>
      <c r="N1204" s="173" t="s">
        <v>1355</v>
      </c>
      <c r="O1204" s="23">
        <v>1960</v>
      </c>
      <c r="P1204" s="70">
        <v>0.29166666666666669</v>
      </c>
      <c r="Q1204" s="70">
        <v>0.47222222222222227</v>
      </c>
      <c r="R1204" s="229" t="s">
        <v>1379</v>
      </c>
    </row>
    <row r="1205" spans="1:18" x14ac:dyDescent="0.4">
      <c r="A1205" s="212">
        <v>45904</v>
      </c>
      <c r="B1205" s="139" t="s">
        <v>65</v>
      </c>
      <c r="C1205" s="30" t="s">
        <v>189</v>
      </c>
      <c r="D1205" s="191">
        <v>72</v>
      </c>
      <c r="E1205" s="77">
        <v>3</v>
      </c>
      <c r="F1205" s="76">
        <v>4.1666666666666664E-2</v>
      </c>
      <c r="G1205" s="76">
        <v>0.29166666666666669</v>
      </c>
      <c r="H1205" s="76">
        <v>0.67013888888888884</v>
      </c>
      <c r="I1205" s="173" t="s">
        <v>1253</v>
      </c>
      <c r="J1205" s="23">
        <v>4</v>
      </c>
      <c r="K1205" s="23"/>
      <c r="L1205" s="68">
        <v>0.29166666666666669</v>
      </c>
      <c r="M1205" s="68">
        <v>0.71875</v>
      </c>
      <c r="N1205" s="173" t="s">
        <v>1419</v>
      </c>
      <c r="O1205" s="23">
        <v>3855</v>
      </c>
      <c r="P1205" s="70">
        <v>0.29166666666666669</v>
      </c>
      <c r="Q1205" s="70">
        <v>0.71875</v>
      </c>
      <c r="R1205" s="229" t="s">
        <v>1419</v>
      </c>
    </row>
    <row r="1206" spans="1:18" x14ac:dyDescent="0.4">
      <c r="A1206" s="212">
        <v>45905</v>
      </c>
      <c r="B1206" s="139" t="s">
        <v>71</v>
      </c>
      <c r="C1206" s="30" t="s">
        <v>176</v>
      </c>
      <c r="D1206" s="191">
        <v>36</v>
      </c>
      <c r="E1206" s="77">
        <v>6</v>
      </c>
      <c r="F1206" s="1"/>
      <c r="G1206" s="76">
        <v>0.29166666666666669</v>
      </c>
      <c r="H1206" s="76">
        <v>0.5</v>
      </c>
      <c r="I1206" s="173" t="s">
        <v>1327</v>
      </c>
      <c r="J1206" s="23">
        <v>5</v>
      </c>
      <c r="K1206" s="23"/>
      <c r="L1206" s="68">
        <v>0.3125</v>
      </c>
      <c r="M1206" s="68">
        <v>0.5</v>
      </c>
      <c r="N1206" s="173" t="s">
        <v>1243</v>
      </c>
      <c r="O1206" s="23">
        <v>3150</v>
      </c>
      <c r="P1206" s="70">
        <v>0.29166666666666669</v>
      </c>
      <c r="Q1206" s="70">
        <v>0.5</v>
      </c>
      <c r="R1206" s="229" t="s">
        <v>1327</v>
      </c>
    </row>
    <row r="1207" spans="1:18" x14ac:dyDescent="0.4">
      <c r="A1207" s="212">
        <v>45905</v>
      </c>
      <c r="B1207" s="139" t="s">
        <v>86</v>
      </c>
      <c r="C1207" s="30" t="s">
        <v>201</v>
      </c>
      <c r="D1207" s="191">
        <v>20</v>
      </c>
      <c r="E1207" s="77">
        <v>5</v>
      </c>
      <c r="F1207" s="1"/>
      <c r="G1207" s="76">
        <v>0.54166666666666663</v>
      </c>
      <c r="H1207" s="76">
        <v>0.70833333333333337</v>
      </c>
      <c r="I1207" s="173" t="s">
        <v>1244</v>
      </c>
      <c r="J1207" s="23">
        <v>5</v>
      </c>
      <c r="K1207" s="23"/>
      <c r="L1207" s="68">
        <v>0.54166666666666663</v>
      </c>
      <c r="M1207" s="68">
        <v>0.72916666666666663</v>
      </c>
      <c r="N1207" s="173" t="s">
        <v>1243</v>
      </c>
      <c r="O1207" s="23">
        <v>2550</v>
      </c>
      <c r="P1207" s="70">
        <v>0.54166666666666663</v>
      </c>
      <c r="Q1207" s="70">
        <v>0.72916666666666663</v>
      </c>
      <c r="R1207" s="229" t="s">
        <v>1243</v>
      </c>
    </row>
    <row r="1208" spans="1:18" x14ac:dyDescent="0.4">
      <c r="A1208" s="212">
        <v>45905</v>
      </c>
      <c r="B1208" s="139" t="s">
        <v>63</v>
      </c>
      <c r="C1208" s="30" t="s">
        <v>267</v>
      </c>
      <c r="D1208" s="191">
        <v>20</v>
      </c>
      <c r="E1208" s="77">
        <v>5</v>
      </c>
      <c r="F1208" s="1"/>
      <c r="G1208" s="76">
        <v>0.44027777777777777</v>
      </c>
      <c r="H1208" s="76">
        <v>0.6875</v>
      </c>
      <c r="I1208" s="173" t="s">
        <v>1595</v>
      </c>
      <c r="J1208" s="23">
        <v>3</v>
      </c>
      <c r="K1208" s="68">
        <v>1.0416666666666666E-2</v>
      </c>
      <c r="L1208" s="68">
        <v>0.47222222222222227</v>
      </c>
      <c r="M1208" s="68">
        <v>0.70833333333333337</v>
      </c>
      <c r="N1208" s="173" t="s">
        <v>1305</v>
      </c>
      <c r="O1208" s="23">
        <v>2365</v>
      </c>
      <c r="P1208" s="70">
        <v>0.44027777777777777</v>
      </c>
      <c r="Q1208" s="70">
        <v>0.70833333333333337</v>
      </c>
      <c r="R1208" s="229" t="s">
        <v>1578</v>
      </c>
    </row>
    <row r="1209" spans="1:18" x14ac:dyDescent="0.4">
      <c r="A1209" s="212">
        <v>45905</v>
      </c>
      <c r="B1209" s="139" t="s">
        <v>51</v>
      </c>
      <c r="C1209" s="30" t="s">
        <v>253</v>
      </c>
      <c r="D1209" s="191">
        <v>18</v>
      </c>
      <c r="E1209" s="77">
        <v>5</v>
      </c>
      <c r="F1209" s="1"/>
      <c r="G1209" s="76">
        <v>0.29166666666666669</v>
      </c>
      <c r="H1209" s="76">
        <v>0.44027777777777777</v>
      </c>
      <c r="I1209" s="173" t="s">
        <v>1503</v>
      </c>
      <c r="J1209" s="23">
        <v>3</v>
      </c>
      <c r="K1209" s="68">
        <v>1.0416666666666666E-2</v>
      </c>
      <c r="L1209" s="68">
        <v>0.33333333333333331</v>
      </c>
      <c r="M1209" s="68">
        <v>0.47222222222222227</v>
      </c>
      <c r="N1209" s="173" t="s">
        <v>1355</v>
      </c>
      <c r="O1209" s="23">
        <v>1715</v>
      </c>
      <c r="P1209" s="70">
        <v>0.29166666666666669</v>
      </c>
      <c r="Q1209" s="70">
        <v>0.47222222222222227</v>
      </c>
      <c r="R1209" s="229" t="s">
        <v>1379</v>
      </c>
    </row>
    <row r="1210" spans="1:18" x14ac:dyDescent="0.4">
      <c r="A1210" s="212">
        <v>45905</v>
      </c>
      <c r="B1210" s="139" t="s">
        <v>65</v>
      </c>
      <c r="C1210" s="30" t="s">
        <v>189</v>
      </c>
      <c r="D1210" s="191">
        <v>72</v>
      </c>
      <c r="E1210" s="77">
        <v>3</v>
      </c>
      <c r="F1210" s="76">
        <v>4.1666666666666664E-2</v>
      </c>
      <c r="G1210" s="76">
        <v>0.29166666666666669</v>
      </c>
      <c r="H1210" s="76">
        <v>0.67361111111111116</v>
      </c>
      <c r="I1210" s="173" t="s">
        <v>1352</v>
      </c>
      <c r="J1210" s="23">
        <v>4</v>
      </c>
      <c r="K1210" s="23"/>
      <c r="L1210" s="68">
        <v>0.29166666666666669</v>
      </c>
      <c r="M1210" s="68">
        <v>0.71180555555555547</v>
      </c>
      <c r="N1210" s="173" t="s">
        <v>1253</v>
      </c>
      <c r="O1210" s="23">
        <v>3830</v>
      </c>
      <c r="P1210" s="70">
        <v>0.29166666666666669</v>
      </c>
      <c r="Q1210" s="70">
        <v>0.71180555555555547</v>
      </c>
      <c r="R1210" s="229" t="s">
        <v>1253</v>
      </c>
    </row>
    <row r="1211" spans="1:18" x14ac:dyDescent="0.4">
      <c r="A1211" s="212">
        <v>45908</v>
      </c>
      <c r="B1211" s="139" t="s">
        <v>91</v>
      </c>
      <c r="C1211" s="30" t="s">
        <v>163</v>
      </c>
      <c r="D1211" s="191">
        <v>16</v>
      </c>
      <c r="E1211" s="77">
        <v>4</v>
      </c>
      <c r="F1211" s="1"/>
      <c r="G1211" s="76">
        <v>0.5</v>
      </c>
      <c r="H1211" s="76">
        <v>0.70833333333333337</v>
      </c>
      <c r="I1211" s="173" t="s">
        <v>1244</v>
      </c>
      <c r="J1211" s="23">
        <v>9</v>
      </c>
      <c r="K1211" s="68">
        <v>1.0416666666666666E-2</v>
      </c>
      <c r="L1211" s="68">
        <v>0.57638888888888895</v>
      </c>
      <c r="M1211" s="68">
        <v>0.72916666666666663</v>
      </c>
      <c r="N1211" s="173" t="s">
        <v>1359</v>
      </c>
      <c r="O1211" s="23">
        <v>3075</v>
      </c>
      <c r="P1211" s="70">
        <v>0.5</v>
      </c>
      <c r="Q1211" s="70">
        <v>0.72916666666666663</v>
      </c>
      <c r="R1211" s="229" t="s">
        <v>1243</v>
      </c>
    </row>
    <row r="1212" spans="1:18" x14ac:dyDescent="0.4">
      <c r="A1212" s="212">
        <v>45908</v>
      </c>
      <c r="B1212" s="139" t="s">
        <v>61</v>
      </c>
      <c r="C1212" s="30" t="s">
        <v>156</v>
      </c>
      <c r="D1212" s="191">
        <v>20</v>
      </c>
      <c r="E1212" s="77">
        <v>4</v>
      </c>
      <c r="F1212" s="1"/>
      <c r="G1212" s="76">
        <v>0.29166666666666669</v>
      </c>
      <c r="H1212" s="76">
        <v>0.5</v>
      </c>
      <c r="I1212" s="173" t="s">
        <v>1327</v>
      </c>
      <c r="J1212" s="23">
        <v>10</v>
      </c>
      <c r="K1212" s="68">
        <v>1.0416666666666666E-2</v>
      </c>
      <c r="L1212" s="68">
        <v>0.33333333333333331</v>
      </c>
      <c r="M1212" s="68">
        <v>0.57638888888888895</v>
      </c>
      <c r="N1212" s="173" t="s">
        <v>1466</v>
      </c>
      <c r="O1212" s="23">
        <v>4250</v>
      </c>
      <c r="P1212" s="70">
        <v>0.29166666666666669</v>
      </c>
      <c r="Q1212" s="70">
        <v>0.57638888888888895</v>
      </c>
      <c r="R1212" s="229" t="s">
        <v>1415</v>
      </c>
    </row>
    <row r="1213" spans="1:18" x14ac:dyDescent="0.4">
      <c r="A1213" s="246">
        <v>45908</v>
      </c>
      <c r="B1213" s="102" t="s">
        <v>636</v>
      </c>
      <c r="C1213" s="136" t="s">
        <v>1135</v>
      </c>
      <c r="D1213" s="193">
        <v>30</v>
      </c>
      <c r="E1213" s="103"/>
      <c r="F1213" s="104"/>
      <c r="G1213" s="184"/>
      <c r="H1213" s="184"/>
      <c r="I1213" s="225" t="s">
        <v>1002</v>
      </c>
      <c r="J1213" s="105"/>
      <c r="K1213" s="105"/>
      <c r="L1213" s="106"/>
      <c r="M1213" s="106"/>
      <c r="N1213" s="225" t="s">
        <v>1002</v>
      </c>
      <c r="O1213" s="105">
        <v>0</v>
      </c>
      <c r="P1213" s="247">
        <v>0</v>
      </c>
      <c r="Q1213" s="247">
        <v>0</v>
      </c>
      <c r="R1213" s="232" t="s">
        <v>1002</v>
      </c>
    </row>
    <row r="1214" spans="1:18" x14ac:dyDescent="0.4">
      <c r="A1214" s="246">
        <v>45908</v>
      </c>
      <c r="B1214" s="102" t="s">
        <v>636</v>
      </c>
      <c r="C1214" s="136" t="s">
        <v>1135</v>
      </c>
      <c r="D1214" s="193">
        <v>30</v>
      </c>
      <c r="E1214" s="103"/>
      <c r="F1214" s="104"/>
      <c r="G1214" s="184"/>
      <c r="H1214" s="184"/>
      <c r="I1214" s="225" t="s">
        <v>1002</v>
      </c>
      <c r="J1214" s="105"/>
      <c r="K1214" s="105"/>
      <c r="L1214" s="106"/>
      <c r="M1214" s="106"/>
      <c r="N1214" s="225" t="s">
        <v>1002</v>
      </c>
      <c r="O1214" s="105">
        <v>0</v>
      </c>
      <c r="P1214" s="247">
        <v>0</v>
      </c>
      <c r="Q1214" s="247">
        <v>0</v>
      </c>
      <c r="R1214" s="232" t="s">
        <v>1002</v>
      </c>
    </row>
    <row r="1215" spans="1:18" x14ac:dyDescent="0.4">
      <c r="A1215" s="212">
        <v>45908</v>
      </c>
      <c r="B1215" s="139" t="s">
        <v>64</v>
      </c>
      <c r="C1215" s="30" t="s">
        <v>271</v>
      </c>
      <c r="D1215" s="191">
        <v>20</v>
      </c>
      <c r="E1215" s="77">
        <v>5</v>
      </c>
      <c r="F1215" s="1"/>
      <c r="G1215" s="76">
        <v>0.29166666666666669</v>
      </c>
      <c r="H1215" s="76">
        <v>0.5</v>
      </c>
      <c r="I1215" s="173" t="s">
        <v>1327</v>
      </c>
      <c r="J1215" s="23">
        <v>3</v>
      </c>
      <c r="K1215" s="68">
        <v>1.0416666666666666E-2</v>
      </c>
      <c r="L1215" s="68">
        <v>0.33333333333333331</v>
      </c>
      <c r="M1215" s="68">
        <v>0.5625</v>
      </c>
      <c r="N1215" s="173" t="s">
        <v>1335</v>
      </c>
      <c r="O1215" s="23">
        <v>2355</v>
      </c>
      <c r="P1215" s="70">
        <v>0.29166666666666669</v>
      </c>
      <c r="Q1215" s="70">
        <v>0.5625</v>
      </c>
      <c r="R1215" s="229" t="s">
        <v>1320</v>
      </c>
    </row>
    <row r="1216" spans="1:18" x14ac:dyDescent="0.4">
      <c r="A1216" s="212">
        <v>45908</v>
      </c>
      <c r="B1216" s="139" t="s">
        <v>63</v>
      </c>
      <c r="C1216" s="30" t="s">
        <v>267</v>
      </c>
      <c r="D1216" s="191">
        <v>20</v>
      </c>
      <c r="E1216" s="77">
        <v>5</v>
      </c>
      <c r="F1216" s="1"/>
      <c r="G1216" s="76">
        <v>0.54166666666666663</v>
      </c>
      <c r="H1216" s="76">
        <v>0.70833333333333337</v>
      </c>
      <c r="I1216" s="173" t="s">
        <v>1244</v>
      </c>
      <c r="J1216" s="23">
        <v>3</v>
      </c>
      <c r="K1216" s="68">
        <v>1.0416666666666666E-2</v>
      </c>
      <c r="L1216" s="68">
        <v>0.5625</v>
      </c>
      <c r="M1216" s="68">
        <v>0.70833333333333337</v>
      </c>
      <c r="N1216" s="173" t="s">
        <v>1380</v>
      </c>
      <c r="O1216" s="23">
        <v>1875</v>
      </c>
      <c r="P1216" s="70">
        <v>0.54166666666666663</v>
      </c>
      <c r="Q1216" s="70">
        <v>0.70833333333333337</v>
      </c>
      <c r="R1216" s="229" t="s">
        <v>1244</v>
      </c>
    </row>
    <row r="1217" spans="1:18" x14ac:dyDescent="0.4">
      <c r="A1217" s="212">
        <v>45908</v>
      </c>
      <c r="B1217" s="139" t="s">
        <v>65</v>
      </c>
      <c r="C1217" s="30" t="s">
        <v>189</v>
      </c>
      <c r="D1217" s="191">
        <v>72</v>
      </c>
      <c r="E1217" s="77">
        <v>3</v>
      </c>
      <c r="F1217" s="76">
        <v>4.1666666666666664E-2</v>
      </c>
      <c r="G1217" s="76">
        <v>0.29166666666666669</v>
      </c>
      <c r="H1217" s="76">
        <v>0.68055555555555547</v>
      </c>
      <c r="I1217" s="173" t="s">
        <v>1575</v>
      </c>
      <c r="J1217" s="23">
        <v>4</v>
      </c>
      <c r="K1217" s="23"/>
      <c r="L1217" s="68">
        <v>0.29166666666666669</v>
      </c>
      <c r="M1217" s="68">
        <v>0.72222222222222221</v>
      </c>
      <c r="N1217" s="173" t="s">
        <v>1575</v>
      </c>
      <c r="O1217" s="23">
        <v>3920</v>
      </c>
      <c r="P1217" s="70">
        <v>0.29166666666666669</v>
      </c>
      <c r="Q1217" s="70">
        <v>0.72222222222222221</v>
      </c>
      <c r="R1217" s="229" t="s">
        <v>1575</v>
      </c>
    </row>
    <row r="1218" spans="1:18" x14ac:dyDescent="0.4">
      <c r="A1218" s="246">
        <v>45908</v>
      </c>
      <c r="B1218" s="102">
        <v>153010</v>
      </c>
      <c r="C1218" s="136" t="s">
        <v>484</v>
      </c>
      <c r="D1218" s="193">
        <v>1</v>
      </c>
      <c r="E1218" s="103"/>
      <c r="F1218" s="104"/>
      <c r="G1218" s="184"/>
      <c r="H1218" s="184"/>
      <c r="I1218" s="225" t="s">
        <v>1002</v>
      </c>
      <c r="J1218" s="105"/>
      <c r="K1218" s="105"/>
      <c r="L1218" s="106"/>
      <c r="M1218" s="106"/>
      <c r="N1218" s="225" t="s">
        <v>1002</v>
      </c>
      <c r="O1218" s="105">
        <v>0</v>
      </c>
      <c r="P1218" s="247">
        <v>0</v>
      </c>
      <c r="Q1218" s="247">
        <v>0</v>
      </c>
      <c r="R1218" s="232" t="s">
        <v>1002</v>
      </c>
    </row>
    <row r="1219" spans="1:18" x14ac:dyDescent="0.4">
      <c r="A1219" s="212">
        <v>45909</v>
      </c>
      <c r="B1219" s="139" t="s">
        <v>87</v>
      </c>
      <c r="C1219" s="30" t="s">
        <v>199</v>
      </c>
      <c r="D1219" s="191">
        <v>36</v>
      </c>
      <c r="E1219" s="77">
        <v>6</v>
      </c>
      <c r="F1219" s="1"/>
      <c r="G1219" s="76">
        <v>0.54166666666666663</v>
      </c>
      <c r="H1219" s="76">
        <v>0.70833333333333337</v>
      </c>
      <c r="I1219" s="173" t="s">
        <v>1244</v>
      </c>
      <c r="J1219" s="23">
        <v>5</v>
      </c>
      <c r="K1219" s="23"/>
      <c r="L1219" s="68">
        <v>0.54166666666666663</v>
      </c>
      <c r="M1219" s="68">
        <v>0.72916666666666663</v>
      </c>
      <c r="N1219" s="173" t="s">
        <v>1243</v>
      </c>
      <c r="O1219" s="23">
        <v>2790</v>
      </c>
      <c r="P1219" s="70">
        <v>0.54166666666666663</v>
      </c>
      <c r="Q1219" s="70">
        <v>0.72916666666666663</v>
      </c>
      <c r="R1219" s="229" t="s">
        <v>1243</v>
      </c>
    </row>
    <row r="1220" spans="1:18" x14ac:dyDescent="0.4">
      <c r="A1220" s="212">
        <v>45909</v>
      </c>
      <c r="B1220" s="139" t="s">
        <v>71</v>
      </c>
      <c r="C1220" s="30" t="s">
        <v>176</v>
      </c>
      <c r="D1220" s="191">
        <v>36</v>
      </c>
      <c r="E1220" s="77">
        <v>6</v>
      </c>
      <c r="F1220" s="1"/>
      <c r="G1220" s="76">
        <v>0.29166666666666669</v>
      </c>
      <c r="H1220" s="76">
        <v>0.5</v>
      </c>
      <c r="I1220" s="173" t="s">
        <v>1327</v>
      </c>
      <c r="J1220" s="23">
        <v>5</v>
      </c>
      <c r="K1220" s="23"/>
      <c r="L1220" s="68">
        <v>0.3125</v>
      </c>
      <c r="M1220" s="68">
        <v>0.5</v>
      </c>
      <c r="N1220" s="173" t="s">
        <v>1243</v>
      </c>
      <c r="O1220" s="23">
        <v>3150</v>
      </c>
      <c r="P1220" s="70">
        <v>0.29166666666666669</v>
      </c>
      <c r="Q1220" s="70">
        <v>0.5</v>
      </c>
      <c r="R1220" s="229" t="s">
        <v>1327</v>
      </c>
    </row>
    <row r="1221" spans="1:18" x14ac:dyDescent="0.4">
      <c r="A1221" s="212">
        <v>45909</v>
      </c>
      <c r="B1221" s="139" t="s">
        <v>88</v>
      </c>
      <c r="C1221" s="30" t="s">
        <v>328</v>
      </c>
      <c r="D1221" s="191">
        <v>16</v>
      </c>
      <c r="E1221" s="77">
        <v>5</v>
      </c>
      <c r="F1221" s="1"/>
      <c r="G1221" s="76">
        <v>0.29166666666666669</v>
      </c>
      <c r="H1221" s="76">
        <v>0.43263888888888885</v>
      </c>
      <c r="I1221" s="173" t="s">
        <v>1581</v>
      </c>
      <c r="J1221" s="23">
        <v>3</v>
      </c>
      <c r="K1221" s="68">
        <v>6.9444444444444441E-3</v>
      </c>
      <c r="L1221" s="68">
        <v>0.33333333333333331</v>
      </c>
      <c r="M1221" s="68">
        <v>0.45833333333333331</v>
      </c>
      <c r="N1221" s="173" t="s">
        <v>1256</v>
      </c>
      <c r="O1221" s="23">
        <v>1585</v>
      </c>
      <c r="P1221" s="70">
        <v>0.29166666666666669</v>
      </c>
      <c r="Q1221" s="70">
        <v>0.45833333333333331</v>
      </c>
      <c r="R1221" s="229" t="s">
        <v>1244</v>
      </c>
    </row>
    <row r="1222" spans="1:18" x14ac:dyDescent="0.4">
      <c r="A1222" s="212">
        <v>45909</v>
      </c>
      <c r="B1222" s="139" t="s">
        <v>109</v>
      </c>
      <c r="C1222" s="30" t="s">
        <v>263</v>
      </c>
      <c r="D1222" s="191">
        <v>12</v>
      </c>
      <c r="E1222" s="77">
        <v>5</v>
      </c>
      <c r="F1222" s="1"/>
      <c r="G1222" s="76">
        <v>0.57777777777777783</v>
      </c>
      <c r="H1222" s="76">
        <v>0.6875</v>
      </c>
      <c r="I1222" s="173" t="s">
        <v>1450</v>
      </c>
      <c r="J1222" s="23">
        <v>3</v>
      </c>
      <c r="K1222" s="68">
        <v>6.9444444444444441E-3</v>
      </c>
      <c r="L1222" s="68">
        <v>0.59722222222222221</v>
      </c>
      <c r="M1222" s="68">
        <v>0.6875</v>
      </c>
      <c r="N1222" s="173" t="s">
        <v>1313</v>
      </c>
      <c r="O1222" s="23">
        <v>1210</v>
      </c>
      <c r="P1222" s="70">
        <v>0.57777777777777783</v>
      </c>
      <c r="Q1222" s="70">
        <v>0.6875</v>
      </c>
      <c r="R1222" s="229" t="s">
        <v>1450</v>
      </c>
    </row>
    <row r="1223" spans="1:18" x14ac:dyDescent="0.4">
      <c r="A1223" s="212">
        <v>45909</v>
      </c>
      <c r="B1223" s="139" t="s">
        <v>53</v>
      </c>
      <c r="C1223" s="30" t="s">
        <v>261</v>
      </c>
      <c r="D1223" s="191">
        <v>12</v>
      </c>
      <c r="E1223" s="77">
        <v>5</v>
      </c>
      <c r="F1223" s="1"/>
      <c r="G1223" s="76">
        <v>0.43263888888888885</v>
      </c>
      <c r="H1223" s="76">
        <v>0.57777777777777783</v>
      </c>
      <c r="I1223" s="173" t="s">
        <v>1515</v>
      </c>
      <c r="J1223" s="23">
        <v>3</v>
      </c>
      <c r="K1223" s="68">
        <v>6.9444444444444441E-3</v>
      </c>
      <c r="L1223" s="68">
        <v>0.45833333333333331</v>
      </c>
      <c r="M1223" s="68">
        <v>0.59722222222222221</v>
      </c>
      <c r="N1223" s="173" t="s">
        <v>1298</v>
      </c>
      <c r="O1223" s="23">
        <v>1195</v>
      </c>
      <c r="P1223" s="70">
        <v>0.43263888888888885</v>
      </c>
      <c r="Q1223" s="70">
        <v>0.59722222222222221</v>
      </c>
      <c r="R1223" s="229" t="s">
        <v>1625</v>
      </c>
    </row>
    <row r="1224" spans="1:18" x14ac:dyDescent="0.4">
      <c r="A1224" s="212">
        <v>45909</v>
      </c>
      <c r="B1224" s="139" t="s">
        <v>597</v>
      </c>
      <c r="C1224" s="30" t="s">
        <v>283</v>
      </c>
      <c r="D1224" s="191">
        <v>8</v>
      </c>
      <c r="E1224" s="77">
        <v>3</v>
      </c>
      <c r="F1224" s="76">
        <v>4.1666666666666664E-2</v>
      </c>
      <c r="G1224" s="76">
        <v>0.29166666666666669</v>
      </c>
      <c r="H1224" s="76">
        <v>0.3923611111111111</v>
      </c>
      <c r="I1224" s="173" t="s">
        <v>1299</v>
      </c>
      <c r="J1224" s="23">
        <v>10</v>
      </c>
      <c r="K1224" s="23"/>
      <c r="L1224" s="68">
        <v>0.29166666666666669</v>
      </c>
      <c r="M1224" s="68">
        <v>0.46875</v>
      </c>
      <c r="N1224" s="173" t="s">
        <v>1259</v>
      </c>
      <c r="O1224" s="23">
        <v>3165</v>
      </c>
      <c r="P1224" s="70">
        <v>0.29166666666666669</v>
      </c>
      <c r="Q1224" s="70">
        <v>0.46875</v>
      </c>
      <c r="R1224" s="229" t="s">
        <v>1259</v>
      </c>
    </row>
    <row r="1225" spans="1:18" x14ac:dyDescent="0.4">
      <c r="A1225" s="212">
        <v>45909</v>
      </c>
      <c r="B1225" s="139" t="s">
        <v>536</v>
      </c>
      <c r="C1225" s="30" t="s">
        <v>306</v>
      </c>
      <c r="D1225" s="191">
        <v>6</v>
      </c>
      <c r="E1225" s="77">
        <v>2</v>
      </c>
      <c r="F1225" s="76">
        <v>2.0833333333333332E-2</v>
      </c>
      <c r="G1225" s="76">
        <v>0.4375</v>
      </c>
      <c r="H1225" s="76">
        <v>0.65972222222222221</v>
      </c>
      <c r="I1225" s="173" t="s">
        <v>1258</v>
      </c>
      <c r="J1225" s="23">
        <v>8</v>
      </c>
      <c r="K1225" s="23"/>
      <c r="L1225" s="68">
        <v>0.54166666666666663</v>
      </c>
      <c r="M1225" s="68">
        <v>0.70833333333333337</v>
      </c>
      <c r="N1225" s="173" t="s">
        <v>1244</v>
      </c>
      <c r="O1225" s="23">
        <v>2500</v>
      </c>
      <c r="P1225" s="70">
        <v>0.4375</v>
      </c>
      <c r="Q1225" s="70">
        <v>0.70833333333333337</v>
      </c>
      <c r="R1225" s="229" t="s">
        <v>1320</v>
      </c>
    </row>
    <row r="1226" spans="1:18" x14ac:dyDescent="0.4">
      <c r="A1226" s="212">
        <v>45910</v>
      </c>
      <c r="B1226" s="139" t="s">
        <v>114</v>
      </c>
      <c r="C1226" s="30" t="s">
        <v>161</v>
      </c>
      <c r="D1226" s="191">
        <v>15</v>
      </c>
      <c r="E1226" s="77">
        <v>5</v>
      </c>
      <c r="F1226" s="1"/>
      <c r="G1226" s="76">
        <v>0.29166666666666669</v>
      </c>
      <c r="H1226" s="76">
        <v>0.5</v>
      </c>
      <c r="I1226" s="173" t="s">
        <v>1327</v>
      </c>
      <c r="J1226" s="23">
        <v>13</v>
      </c>
      <c r="K1226" s="23"/>
      <c r="L1226" s="68">
        <v>0.3125</v>
      </c>
      <c r="M1226" s="68">
        <v>0.5625</v>
      </c>
      <c r="N1226" s="173" t="s">
        <v>1327</v>
      </c>
      <c r="O1226" s="23">
        <v>5400</v>
      </c>
      <c r="P1226" s="70">
        <v>0.29166666666666669</v>
      </c>
      <c r="Q1226" s="70">
        <v>0.5625</v>
      </c>
      <c r="R1226" s="229" t="s">
        <v>1320</v>
      </c>
    </row>
    <row r="1227" spans="1:18" x14ac:dyDescent="0.4">
      <c r="A1227" s="212">
        <v>45910</v>
      </c>
      <c r="B1227" s="139" t="s">
        <v>68</v>
      </c>
      <c r="C1227" s="30" t="s">
        <v>185</v>
      </c>
      <c r="D1227" s="191">
        <v>20</v>
      </c>
      <c r="E1227" s="77">
        <v>5</v>
      </c>
      <c r="F1227" s="1"/>
      <c r="G1227" s="76">
        <v>0.54166666666666663</v>
      </c>
      <c r="H1227" s="76">
        <v>0.72916666666666663</v>
      </c>
      <c r="I1227" s="173" t="s">
        <v>1243</v>
      </c>
      <c r="J1227" s="23">
        <v>5</v>
      </c>
      <c r="K1227" s="23"/>
      <c r="L1227" s="68">
        <v>0.5625</v>
      </c>
      <c r="M1227" s="68">
        <v>0.75</v>
      </c>
      <c r="N1227" s="173" t="s">
        <v>1243</v>
      </c>
      <c r="O1227" s="23">
        <v>2700</v>
      </c>
      <c r="P1227" s="70">
        <v>0.54166666666666663</v>
      </c>
      <c r="Q1227" s="70">
        <v>0.75</v>
      </c>
      <c r="R1227" s="229" t="s">
        <v>1327</v>
      </c>
    </row>
    <row r="1228" spans="1:18" x14ac:dyDescent="0.4">
      <c r="A1228" s="212">
        <v>45910</v>
      </c>
      <c r="B1228" s="139" t="s">
        <v>72</v>
      </c>
      <c r="C1228" s="30" t="s">
        <v>227</v>
      </c>
      <c r="D1228" s="191">
        <v>20</v>
      </c>
      <c r="E1228" s="77">
        <v>5</v>
      </c>
      <c r="F1228" s="1"/>
      <c r="G1228" s="76">
        <v>0.29166666666666669</v>
      </c>
      <c r="H1228" s="76">
        <v>0.4513888888888889</v>
      </c>
      <c r="I1228" s="173" t="s">
        <v>1332</v>
      </c>
      <c r="J1228" s="23">
        <v>3</v>
      </c>
      <c r="K1228" s="68">
        <v>1.0416666666666666E-2</v>
      </c>
      <c r="L1228" s="68">
        <v>0.33333333333333331</v>
      </c>
      <c r="M1228" s="68">
        <v>0.47222222222222227</v>
      </c>
      <c r="N1228" s="173" t="s">
        <v>1355</v>
      </c>
      <c r="O1228" s="23">
        <v>1795</v>
      </c>
      <c r="P1228" s="70">
        <v>0.29166666666666669</v>
      </c>
      <c r="Q1228" s="70">
        <v>0.47222222222222227</v>
      </c>
      <c r="R1228" s="229" t="s">
        <v>1379</v>
      </c>
    </row>
    <row r="1229" spans="1:18" x14ac:dyDescent="0.4">
      <c r="A1229" s="212">
        <v>45910</v>
      </c>
      <c r="B1229" s="139" t="s">
        <v>63</v>
      </c>
      <c r="C1229" s="30" t="s">
        <v>267</v>
      </c>
      <c r="D1229" s="191">
        <v>20</v>
      </c>
      <c r="E1229" s="77">
        <v>5</v>
      </c>
      <c r="F1229" s="1"/>
      <c r="G1229" s="76">
        <v>0.4513888888888889</v>
      </c>
      <c r="H1229" s="76">
        <v>0.6875</v>
      </c>
      <c r="I1229" s="173" t="s">
        <v>1255</v>
      </c>
      <c r="J1229" s="23">
        <v>3</v>
      </c>
      <c r="K1229" s="68">
        <v>1.0416666666666666E-2</v>
      </c>
      <c r="L1229" s="68">
        <v>0.47222222222222227</v>
      </c>
      <c r="M1229" s="68">
        <v>0.6875</v>
      </c>
      <c r="N1229" s="173" t="s">
        <v>1356</v>
      </c>
      <c r="O1229" s="23">
        <v>2195</v>
      </c>
      <c r="P1229" s="70">
        <v>0.4513888888888889</v>
      </c>
      <c r="Q1229" s="70">
        <v>0.6875</v>
      </c>
      <c r="R1229" s="229" t="s">
        <v>1255</v>
      </c>
    </row>
    <row r="1230" spans="1:18" x14ac:dyDescent="0.4">
      <c r="A1230" s="212">
        <v>45910</v>
      </c>
      <c r="B1230" s="139" t="s">
        <v>65</v>
      </c>
      <c r="C1230" s="30" t="s">
        <v>189</v>
      </c>
      <c r="D1230" s="191">
        <v>72</v>
      </c>
      <c r="E1230" s="77">
        <v>3</v>
      </c>
      <c r="F1230" s="76">
        <v>4.1666666666666664E-2</v>
      </c>
      <c r="G1230" s="76">
        <v>0.29166666666666669</v>
      </c>
      <c r="H1230" s="76">
        <v>0.69444444444444453</v>
      </c>
      <c r="I1230" s="173" t="s">
        <v>1350</v>
      </c>
      <c r="J1230" s="23">
        <v>4</v>
      </c>
      <c r="K1230" s="23"/>
      <c r="L1230" s="68">
        <v>0.29166666666666669</v>
      </c>
      <c r="M1230" s="68">
        <v>0.73958333333333337</v>
      </c>
      <c r="N1230" s="173" t="s">
        <v>1428</v>
      </c>
      <c r="O1230" s="23">
        <v>4080</v>
      </c>
      <c r="P1230" s="70">
        <v>0.29166666666666669</v>
      </c>
      <c r="Q1230" s="70">
        <v>0.73958333333333337</v>
      </c>
      <c r="R1230" s="229" t="s">
        <v>1428</v>
      </c>
    </row>
    <row r="1231" spans="1:18" x14ac:dyDescent="0.4">
      <c r="A1231" s="212">
        <v>45911</v>
      </c>
      <c r="B1231" s="139" t="s">
        <v>460</v>
      </c>
      <c r="C1231" s="30" t="s">
        <v>183</v>
      </c>
      <c r="D1231" s="191">
        <v>4</v>
      </c>
      <c r="E1231" s="77">
        <v>6</v>
      </c>
      <c r="F1231" s="1"/>
      <c r="G1231" s="76">
        <v>0.61805555555555558</v>
      </c>
      <c r="H1231" s="76">
        <v>0.6875</v>
      </c>
      <c r="I1231" s="173" t="s">
        <v>1386</v>
      </c>
      <c r="J1231" s="23">
        <v>5</v>
      </c>
      <c r="K1231" s="68">
        <v>1.0416666666666666E-2</v>
      </c>
      <c r="L1231" s="68">
        <v>0.65277777777777779</v>
      </c>
      <c r="M1231" s="68">
        <v>0.72916666666666663</v>
      </c>
      <c r="N1231" s="173" t="s">
        <v>1249</v>
      </c>
      <c r="O1231" s="23">
        <v>1225</v>
      </c>
      <c r="P1231" s="70">
        <v>0.61805555555555558</v>
      </c>
      <c r="Q1231" s="70">
        <v>0.72916666666666663</v>
      </c>
      <c r="R1231" s="229" t="s">
        <v>1325</v>
      </c>
    </row>
    <row r="1232" spans="1:18" x14ac:dyDescent="0.4">
      <c r="A1232" s="212">
        <v>45911</v>
      </c>
      <c r="B1232" s="139" t="s">
        <v>71</v>
      </c>
      <c r="C1232" s="30" t="s">
        <v>176</v>
      </c>
      <c r="D1232" s="191">
        <v>68</v>
      </c>
      <c r="E1232" s="77">
        <v>6</v>
      </c>
      <c r="F1232" s="1"/>
      <c r="G1232" s="76">
        <v>0.29166666666666669</v>
      </c>
      <c r="H1232" s="76">
        <v>0.61805555555555558</v>
      </c>
      <c r="I1232" s="173" t="s">
        <v>1337</v>
      </c>
      <c r="J1232" s="23">
        <v>5</v>
      </c>
      <c r="K1232" s="68">
        <v>1.0416666666666666E-2</v>
      </c>
      <c r="L1232" s="68">
        <v>0.33333333333333331</v>
      </c>
      <c r="M1232" s="68">
        <v>0.65972222222222221</v>
      </c>
      <c r="N1232" s="173" t="s">
        <v>1456</v>
      </c>
      <c r="O1232" s="23">
        <v>4585</v>
      </c>
      <c r="P1232" s="70">
        <v>0.29166666666666669</v>
      </c>
      <c r="Q1232" s="70">
        <v>0.65972222222222221</v>
      </c>
      <c r="R1232" s="229" t="s">
        <v>1338</v>
      </c>
    </row>
    <row r="1233" spans="1:18" x14ac:dyDescent="0.4">
      <c r="A1233" s="212">
        <v>45911</v>
      </c>
      <c r="B1233" s="139" t="s">
        <v>115</v>
      </c>
      <c r="C1233" s="30" t="s">
        <v>214</v>
      </c>
      <c r="D1233" s="191">
        <v>12</v>
      </c>
      <c r="E1233" s="77">
        <v>5</v>
      </c>
      <c r="F1233" s="1"/>
      <c r="G1233" s="76">
        <v>0.5854166666666667</v>
      </c>
      <c r="H1233" s="76">
        <v>0.70833333333333337</v>
      </c>
      <c r="I1233" s="173" t="s">
        <v>1625</v>
      </c>
      <c r="J1233" s="23">
        <v>4</v>
      </c>
      <c r="K1233" s="68">
        <v>6.9444444444444441E-3</v>
      </c>
      <c r="L1233" s="68">
        <v>0.61458333333333337</v>
      </c>
      <c r="M1233" s="68">
        <v>0.75</v>
      </c>
      <c r="N1233" s="173" t="s">
        <v>1299</v>
      </c>
      <c r="O1233" s="23">
        <v>1705</v>
      </c>
      <c r="P1233" s="70">
        <v>0.5854166666666667</v>
      </c>
      <c r="Q1233" s="70">
        <v>0.75</v>
      </c>
      <c r="R1233" s="229" t="s">
        <v>1293</v>
      </c>
    </row>
    <row r="1234" spans="1:18" x14ac:dyDescent="0.4">
      <c r="A1234" s="212">
        <v>45911</v>
      </c>
      <c r="B1234" s="139" t="s">
        <v>117</v>
      </c>
      <c r="C1234" s="30" t="s">
        <v>304</v>
      </c>
      <c r="D1234" s="191">
        <v>8</v>
      </c>
      <c r="E1234" s="77">
        <v>5</v>
      </c>
      <c r="F1234" s="1"/>
      <c r="G1234" s="76">
        <v>0.29166666666666669</v>
      </c>
      <c r="H1234" s="76">
        <v>0.37361111111111112</v>
      </c>
      <c r="I1234" s="173" t="s">
        <v>1411</v>
      </c>
      <c r="J1234" s="23">
        <v>4</v>
      </c>
      <c r="K1234" s="68">
        <v>6.9444444444444441E-3</v>
      </c>
      <c r="L1234" s="68">
        <v>0.33333333333333331</v>
      </c>
      <c r="M1234" s="68">
        <v>0.4236111111111111</v>
      </c>
      <c r="N1234" s="173" t="s">
        <v>1313</v>
      </c>
      <c r="O1234" s="23">
        <v>1150</v>
      </c>
      <c r="P1234" s="70">
        <v>0.29166666666666669</v>
      </c>
      <c r="Q1234" s="70">
        <v>0.4236111111111111</v>
      </c>
      <c r="R1234" s="229" t="s">
        <v>1256</v>
      </c>
    </row>
    <row r="1235" spans="1:18" x14ac:dyDescent="0.4">
      <c r="A1235" s="212">
        <v>45911</v>
      </c>
      <c r="B1235" s="139" t="s">
        <v>55</v>
      </c>
      <c r="C1235" s="30" t="s">
        <v>208</v>
      </c>
      <c r="D1235" s="191">
        <v>16</v>
      </c>
      <c r="E1235" s="77">
        <v>5</v>
      </c>
      <c r="F1235" s="1"/>
      <c r="G1235" s="76">
        <v>0.37361111111111112</v>
      </c>
      <c r="H1235" s="76">
        <v>0.5854166666666667</v>
      </c>
      <c r="I1235" s="173" t="s">
        <v>1365</v>
      </c>
      <c r="J1235" s="23">
        <v>4</v>
      </c>
      <c r="K1235" s="68">
        <v>6.9444444444444441E-3</v>
      </c>
      <c r="L1235" s="68">
        <v>0.4236111111111111</v>
      </c>
      <c r="M1235" s="68">
        <v>0.61458333333333337</v>
      </c>
      <c r="N1235" s="173" t="s">
        <v>1380</v>
      </c>
      <c r="O1235" s="23">
        <v>2125</v>
      </c>
      <c r="P1235" s="70">
        <v>0.37361111111111112</v>
      </c>
      <c r="Q1235" s="70">
        <v>0.61458333333333337</v>
      </c>
      <c r="R1235" s="229" t="s">
        <v>1640</v>
      </c>
    </row>
    <row r="1236" spans="1:18" x14ac:dyDescent="0.4">
      <c r="A1236" s="212">
        <v>45911</v>
      </c>
      <c r="B1236" s="139" t="s">
        <v>108</v>
      </c>
      <c r="C1236" s="30" t="s">
        <v>231</v>
      </c>
      <c r="D1236" s="191">
        <v>21</v>
      </c>
      <c r="E1236" s="77">
        <v>6</v>
      </c>
      <c r="F1236" s="76">
        <v>2.0833333333333332E-2</v>
      </c>
      <c r="G1236" s="76">
        <v>0.29166666666666669</v>
      </c>
      <c r="H1236" s="76">
        <v>0.625</v>
      </c>
      <c r="I1236" s="173" t="s">
        <v>1309</v>
      </c>
      <c r="J1236" s="23">
        <v>7</v>
      </c>
      <c r="K1236" s="23"/>
      <c r="L1236" s="68">
        <v>0.33333333333333331</v>
      </c>
      <c r="M1236" s="68">
        <v>0.70833333333333337</v>
      </c>
      <c r="N1236" s="173" t="s">
        <v>1292</v>
      </c>
      <c r="O1236" s="23">
        <v>6060</v>
      </c>
      <c r="P1236" s="70">
        <v>0.29166666666666669</v>
      </c>
      <c r="Q1236" s="70">
        <v>0.70833333333333337</v>
      </c>
      <c r="R1236" s="229" t="s">
        <v>1252</v>
      </c>
    </row>
    <row r="1237" spans="1:18" x14ac:dyDescent="0.4">
      <c r="A1237" s="212">
        <v>45912</v>
      </c>
      <c r="B1237" s="139" t="s">
        <v>54</v>
      </c>
      <c r="C1237" s="30" t="s">
        <v>251</v>
      </c>
      <c r="D1237" s="191">
        <v>24</v>
      </c>
      <c r="E1237" s="77">
        <v>5</v>
      </c>
      <c r="F1237" s="1"/>
      <c r="G1237" s="76">
        <v>0.29166666666666669</v>
      </c>
      <c r="H1237" s="76">
        <v>0.5</v>
      </c>
      <c r="I1237" s="173" t="s">
        <v>1327</v>
      </c>
      <c r="J1237" s="23">
        <v>3</v>
      </c>
      <c r="K1237" s="68">
        <v>1.0416666666666666E-2</v>
      </c>
      <c r="L1237" s="68">
        <v>0.33333333333333331</v>
      </c>
      <c r="M1237" s="68">
        <v>0.57638888888888895</v>
      </c>
      <c r="N1237" s="173" t="s">
        <v>1466</v>
      </c>
      <c r="O1237" s="23">
        <v>2415</v>
      </c>
      <c r="P1237" s="70">
        <v>0.29166666666666669</v>
      </c>
      <c r="Q1237" s="70">
        <v>0.57638888888888895</v>
      </c>
      <c r="R1237" s="229" t="s">
        <v>1415</v>
      </c>
    </row>
    <row r="1238" spans="1:18" x14ac:dyDescent="0.4">
      <c r="A1238" s="212">
        <v>45912</v>
      </c>
      <c r="B1238" s="139" t="s">
        <v>75</v>
      </c>
      <c r="C1238" s="30" t="s">
        <v>229</v>
      </c>
      <c r="D1238" s="191">
        <v>16</v>
      </c>
      <c r="E1238" s="77">
        <v>5</v>
      </c>
      <c r="F1238" s="1"/>
      <c r="G1238" s="76">
        <v>0.54166666666666663</v>
      </c>
      <c r="H1238" s="76">
        <v>0.6875</v>
      </c>
      <c r="I1238" s="173" t="s">
        <v>1303</v>
      </c>
      <c r="J1238" s="23">
        <v>3</v>
      </c>
      <c r="K1238" s="68">
        <v>1.0416666666666666E-2</v>
      </c>
      <c r="L1238" s="68">
        <v>0.57638888888888895</v>
      </c>
      <c r="M1238" s="68">
        <v>0.70833333333333337</v>
      </c>
      <c r="N1238" s="173" t="s">
        <v>1299</v>
      </c>
      <c r="O1238" s="23">
        <v>1665</v>
      </c>
      <c r="P1238" s="70">
        <v>0.54166666666666663</v>
      </c>
      <c r="Q1238" s="70">
        <v>0.70833333333333337</v>
      </c>
      <c r="R1238" s="229" t="s">
        <v>1244</v>
      </c>
    </row>
    <row r="1239" spans="1:18" x14ac:dyDescent="0.4">
      <c r="A1239" s="212">
        <v>45912</v>
      </c>
      <c r="B1239" s="139" t="s">
        <v>110</v>
      </c>
      <c r="C1239" s="30" t="s">
        <v>231</v>
      </c>
      <c r="D1239" s="191">
        <v>21</v>
      </c>
      <c r="E1239" s="77">
        <v>6</v>
      </c>
      <c r="F1239" s="1"/>
      <c r="G1239" s="76">
        <v>0.29166666666666669</v>
      </c>
      <c r="H1239" s="76">
        <v>0.68055555555555547</v>
      </c>
      <c r="I1239" s="173" t="s">
        <v>1465</v>
      </c>
      <c r="J1239" s="23">
        <v>7</v>
      </c>
      <c r="K1239" s="23"/>
      <c r="L1239" s="68">
        <v>0.33333333333333331</v>
      </c>
      <c r="M1239" s="68">
        <v>0.70833333333333337</v>
      </c>
      <c r="N1239" s="173" t="s">
        <v>1292</v>
      </c>
      <c r="O1239" s="23">
        <v>6360</v>
      </c>
      <c r="P1239" s="70">
        <v>0.29166666666666669</v>
      </c>
      <c r="Q1239" s="70">
        <v>0.70833333333333337</v>
      </c>
      <c r="R1239" s="229" t="s">
        <v>1252</v>
      </c>
    </row>
    <row r="1240" spans="1:18" x14ac:dyDescent="0.4">
      <c r="A1240" s="212">
        <v>45912</v>
      </c>
      <c r="B1240" s="139" t="s">
        <v>602</v>
      </c>
      <c r="C1240" s="30" t="s">
        <v>324</v>
      </c>
      <c r="D1240" s="191">
        <v>8</v>
      </c>
      <c r="E1240" s="77">
        <v>3</v>
      </c>
      <c r="F1240" s="76">
        <v>2.0833333333333332E-2</v>
      </c>
      <c r="G1240" s="76">
        <v>0.61111111111111105</v>
      </c>
      <c r="H1240" s="76">
        <v>0.72569444444444453</v>
      </c>
      <c r="I1240" s="173" t="s">
        <v>1391</v>
      </c>
      <c r="J1240" s="23">
        <v>4</v>
      </c>
      <c r="K1240" s="68">
        <v>2.0833333333333332E-2</v>
      </c>
      <c r="L1240" s="68">
        <v>0.64583333333333337</v>
      </c>
      <c r="M1240" s="68">
        <v>0.74305555555555547</v>
      </c>
      <c r="N1240" s="173" t="s">
        <v>1314</v>
      </c>
      <c r="O1240" s="23">
        <v>1265</v>
      </c>
      <c r="P1240" s="70">
        <v>0.61111111111111105</v>
      </c>
      <c r="Q1240" s="70">
        <v>0.74305555555555547</v>
      </c>
      <c r="R1240" s="229" t="s">
        <v>1256</v>
      </c>
    </row>
    <row r="1241" spans="1:18" x14ac:dyDescent="0.4">
      <c r="A1241" s="212">
        <v>45912</v>
      </c>
      <c r="B1241" s="139" t="s">
        <v>104</v>
      </c>
      <c r="C1241" s="30" t="s">
        <v>191</v>
      </c>
      <c r="D1241" s="191">
        <v>52</v>
      </c>
      <c r="E1241" s="77">
        <v>3</v>
      </c>
      <c r="F1241" s="76">
        <v>2.0833333333333332E-2</v>
      </c>
      <c r="G1241" s="76">
        <v>0.29166666666666669</v>
      </c>
      <c r="H1241" s="76">
        <v>0.60069444444444442</v>
      </c>
      <c r="I1241" s="173" t="s">
        <v>1334</v>
      </c>
      <c r="J1241" s="23">
        <v>4</v>
      </c>
      <c r="K1241" s="68">
        <v>2.0833333333333332E-2</v>
      </c>
      <c r="L1241" s="68">
        <v>0.33680555555555558</v>
      </c>
      <c r="M1241" s="68">
        <v>0.63194444444444442</v>
      </c>
      <c r="N1241" s="173" t="s">
        <v>1402</v>
      </c>
      <c r="O1241" s="23">
        <v>2825</v>
      </c>
      <c r="P1241" s="70">
        <v>0.29166666666666669</v>
      </c>
      <c r="Q1241" s="70">
        <v>0.63194444444444442</v>
      </c>
      <c r="R1241" s="229" t="s">
        <v>1403</v>
      </c>
    </row>
    <row r="1242" spans="1:18" x14ac:dyDescent="0.4">
      <c r="A1242" s="246">
        <v>45912</v>
      </c>
      <c r="B1242" s="102">
        <v>111010</v>
      </c>
      <c r="C1242" s="136" t="s">
        <v>480</v>
      </c>
      <c r="D1242" s="193">
        <v>1</v>
      </c>
      <c r="E1242" s="103"/>
      <c r="F1242" s="104"/>
      <c r="G1242" s="184"/>
      <c r="H1242" s="184"/>
      <c r="I1242" s="225" t="s">
        <v>1002</v>
      </c>
      <c r="J1242" s="105"/>
      <c r="K1242" s="105"/>
      <c r="L1242" s="106"/>
      <c r="M1242" s="106"/>
      <c r="N1242" s="225" t="s">
        <v>1002</v>
      </c>
      <c r="O1242" s="105">
        <v>0</v>
      </c>
      <c r="P1242" s="247">
        <v>0</v>
      </c>
      <c r="Q1242" s="247">
        <v>0</v>
      </c>
      <c r="R1242" s="232" t="s">
        <v>1002</v>
      </c>
    </row>
    <row r="1243" spans="1:18" x14ac:dyDescent="0.4">
      <c r="A1243" s="212">
        <v>45915</v>
      </c>
      <c r="B1243" s="139" t="s">
        <v>61</v>
      </c>
      <c r="C1243" s="30" t="s">
        <v>156</v>
      </c>
      <c r="D1243" s="191">
        <v>40</v>
      </c>
      <c r="E1243" s="77">
        <v>5</v>
      </c>
      <c r="F1243" s="1"/>
      <c r="G1243" s="76">
        <v>0.29166666666666669</v>
      </c>
      <c r="H1243" s="76">
        <v>0.66666666666666663</v>
      </c>
      <c r="I1243" s="173" t="s">
        <v>1292</v>
      </c>
      <c r="J1243" s="23">
        <v>10</v>
      </c>
      <c r="K1243" s="23"/>
      <c r="L1243" s="68">
        <v>0.3125</v>
      </c>
      <c r="M1243" s="68">
        <v>0.70833333333333337</v>
      </c>
      <c r="N1243" s="173" t="s">
        <v>990</v>
      </c>
      <c r="O1243" s="23">
        <v>7500</v>
      </c>
      <c r="P1243" s="70">
        <v>0.29166666666666669</v>
      </c>
      <c r="Q1243" s="70">
        <v>0.70833333333333337</v>
      </c>
      <c r="R1243" s="229" t="s">
        <v>1252</v>
      </c>
    </row>
    <row r="1244" spans="1:18" x14ac:dyDescent="0.4">
      <c r="A1244" s="212">
        <v>45915</v>
      </c>
      <c r="B1244" s="139" t="s">
        <v>130</v>
      </c>
      <c r="C1244" s="30" t="s">
        <v>216</v>
      </c>
      <c r="D1244" s="191">
        <v>12</v>
      </c>
      <c r="E1244" s="77">
        <v>5</v>
      </c>
      <c r="F1244" s="1"/>
      <c r="G1244" s="76">
        <v>0.29166666666666669</v>
      </c>
      <c r="H1244" s="76">
        <v>0.41111111111111115</v>
      </c>
      <c r="I1244" s="173" t="s">
        <v>1344</v>
      </c>
      <c r="J1244" s="23">
        <v>4</v>
      </c>
      <c r="K1244" s="68">
        <v>6.9444444444444441E-3</v>
      </c>
      <c r="L1244" s="68">
        <v>0.33333333333333331</v>
      </c>
      <c r="M1244" s="68">
        <v>0.46527777777777773</v>
      </c>
      <c r="N1244" s="173" t="s">
        <v>1250</v>
      </c>
      <c r="O1244" s="23">
        <v>1660</v>
      </c>
      <c r="P1244" s="70">
        <v>0.29166666666666669</v>
      </c>
      <c r="Q1244" s="70">
        <v>0.46527777777777773</v>
      </c>
      <c r="R1244" s="229" t="s">
        <v>1311</v>
      </c>
    </row>
    <row r="1245" spans="1:18" x14ac:dyDescent="0.4">
      <c r="A1245" s="212">
        <v>45915</v>
      </c>
      <c r="B1245" s="139" t="s">
        <v>1060</v>
      </c>
      <c r="C1245" s="30" t="s">
        <v>886</v>
      </c>
      <c r="D1245" s="191">
        <v>3</v>
      </c>
      <c r="E1245" s="77">
        <v>5</v>
      </c>
      <c r="F1245" s="1"/>
      <c r="G1245" s="76">
        <v>0.41111111111111115</v>
      </c>
      <c r="H1245" s="76">
        <v>0.5</v>
      </c>
      <c r="I1245" s="173" t="s">
        <v>1343</v>
      </c>
      <c r="J1245" s="23">
        <v>3</v>
      </c>
      <c r="K1245" s="68">
        <v>6.9444444444444441E-3</v>
      </c>
      <c r="L1245" s="68">
        <v>0.46527777777777773</v>
      </c>
      <c r="M1245" s="68">
        <v>0.5625</v>
      </c>
      <c r="N1245" s="173" t="s">
        <v>1375</v>
      </c>
      <c r="O1245" s="23">
        <v>910</v>
      </c>
      <c r="P1245" s="70">
        <v>0.41111111111111115</v>
      </c>
      <c r="Q1245" s="70">
        <v>0.5625</v>
      </c>
      <c r="R1245" s="229" t="s">
        <v>1450</v>
      </c>
    </row>
    <row r="1246" spans="1:18" x14ac:dyDescent="0.4">
      <c r="A1246" s="212">
        <v>45915</v>
      </c>
      <c r="B1246" s="139" t="s">
        <v>51</v>
      </c>
      <c r="C1246" s="30" t="s">
        <v>253</v>
      </c>
      <c r="D1246" s="191">
        <v>18</v>
      </c>
      <c r="E1246" s="77">
        <v>5</v>
      </c>
      <c r="F1246" s="1"/>
      <c r="G1246" s="76">
        <v>0.54166666666666663</v>
      </c>
      <c r="H1246" s="76">
        <v>0.66666666666666663</v>
      </c>
      <c r="I1246" s="173" t="s">
        <v>1316</v>
      </c>
      <c r="J1246" s="23">
        <v>3</v>
      </c>
      <c r="K1246" s="68">
        <v>6.9444444444444441E-3</v>
      </c>
      <c r="L1246" s="68">
        <v>0.5625</v>
      </c>
      <c r="M1246" s="68">
        <v>0.6875</v>
      </c>
      <c r="N1246" s="173" t="s">
        <v>1256</v>
      </c>
      <c r="O1246" s="23">
        <v>1470</v>
      </c>
      <c r="P1246" s="70">
        <v>0.54166666666666663</v>
      </c>
      <c r="Q1246" s="70">
        <v>0.6875</v>
      </c>
      <c r="R1246" s="229" t="s">
        <v>1303</v>
      </c>
    </row>
    <row r="1247" spans="1:18" x14ac:dyDescent="0.4">
      <c r="A1247" s="212">
        <v>45915</v>
      </c>
      <c r="B1247" s="139" t="s">
        <v>73</v>
      </c>
      <c r="C1247" s="30" t="s">
        <v>231</v>
      </c>
      <c r="D1247" s="191">
        <v>21</v>
      </c>
      <c r="E1247" s="77">
        <v>4</v>
      </c>
      <c r="F1247" s="1"/>
      <c r="G1247" s="76">
        <v>0.29166666666666669</v>
      </c>
      <c r="H1247" s="76">
        <v>0.58333333333333337</v>
      </c>
      <c r="I1247" s="173" t="s">
        <v>1321</v>
      </c>
      <c r="J1247" s="23">
        <v>7</v>
      </c>
      <c r="K1247" s="23"/>
      <c r="L1247" s="68">
        <v>0.33333333333333331</v>
      </c>
      <c r="M1247" s="68">
        <v>0.70833333333333337</v>
      </c>
      <c r="N1247" s="173" t="s">
        <v>1292</v>
      </c>
      <c r="O1247" s="23">
        <v>4800</v>
      </c>
      <c r="P1247" s="70">
        <v>0.29166666666666669</v>
      </c>
      <c r="Q1247" s="70">
        <v>0.70833333333333337</v>
      </c>
      <c r="R1247" s="229" t="s">
        <v>1252</v>
      </c>
    </row>
    <row r="1248" spans="1:18" x14ac:dyDescent="0.4">
      <c r="A1248" s="246">
        <v>45915</v>
      </c>
      <c r="B1248" s="102">
        <v>153010</v>
      </c>
      <c r="C1248" s="136" t="s">
        <v>484</v>
      </c>
      <c r="D1248" s="193">
        <v>1</v>
      </c>
      <c r="E1248" s="103"/>
      <c r="F1248" s="104"/>
      <c r="G1248" s="184"/>
      <c r="H1248" s="184"/>
      <c r="I1248" s="225" t="s">
        <v>1002</v>
      </c>
      <c r="J1248" s="105"/>
      <c r="K1248" s="105"/>
      <c r="L1248" s="106"/>
      <c r="M1248" s="106"/>
      <c r="N1248" s="225" t="s">
        <v>1002</v>
      </c>
      <c r="O1248" s="105">
        <v>0</v>
      </c>
      <c r="P1248" s="247">
        <v>0</v>
      </c>
      <c r="Q1248" s="247">
        <v>0</v>
      </c>
      <c r="R1248" s="232" t="s">
        <v>1002</v>
      </c>
    </row>
    <row r="1249" spans="1:18" x14ac:dyDescent="0.4">
      <c r="A1249" s="246">
        <v>45915</v>
      </c>
      <c r="B1249" s="102" t="s">
        <v>434</v>
      </c>
      <c r="C1249" s="136" t="s">
        <v>545</v>
      </c>
      <c r="D1249" s="193">
        <v>70</v>
      </c>
      <c r="E1249" s="103"/>
      <c r="F1249" s="104"/>
      <c r="G1249" s="184"/>
      <c r="H1249" s="184"/>
      <c r="I1249" s="225" t="s">
        <v>1002</v>
      </c>
      <c r="J1249" s="105"/>
      <c r="K1249" s="105"/>
      <c r="L1249" s="106"/>
      <c r="M1249" s="106"/>
      <c r="N1249" s="225" t="s">
        <v>1002</v>
      </c>
      <c r="O1249" s="105">
        <v>0</v>
      </c>
      <c r="P1249" s="247">
        <v>0</v>
      </c>
      <c r="Q1249" s="247">
        <v>0</v>
      </c>
      <c r="R1249" s="232" t="s">
        <v>1002</v>
      </c>
    </row>
    <row r="1250" spans="1:18" x14ac:dyDescent="0.4">
      <c r="A1250" s="212">
        <v>45916</v>
      </c>
      <c r="B1250" s="139" t="s">
        <v>71</v>
      </c>
      <c r="C1250" s="30" t="s">
        <v>176</v>
      </c>
      <c r="D1250" s="191">
        <v>72</v>
      </c>
      <c r="E1250" s="77">
        <v>6</v>
      </c>
      <c r="F1250" s="1"/>
      <c r="G1250" s="76">
        <v>0.29166666666666669</v>
      </c>
      <c r="H1250" s="76">
        <v>0.66666666666666663</v>
      </c>
      <c r="I1250" s="173" t="s">
        <v>1292</v>
      </c>
      <c r="J1250" s="23">
        <v>6</v>
      </c>
      <c r="K1250" s="23"/>
      <c r="L1250" s="68">
        <v>0.3125</v>
      </c>
      <c r="M1250" s="68">
        <v>0.70833333333333337</v>
      </c>
      <c r="N1250" s="173" t="s">
        <v>990</v>
      </c>
      <c r="O1250" s="23">
        <v>5940</v>
      </c>
      <c r="P1250" s="70">
        <v>0.29166666666666669</v>
      </c>
      <c r="Q1250" s="70">
        <v>0.70833333333333337</v>
      </c>
      <c r="R1250" s="229" t="s">
        <v>1252</v>
      </c>
    </row>
    <row r="1251" spans="1:18" x14ac:dyDescent="0.4">
      <c r="A1251" s="212">
        <v>45916</v>
      </c>
      <c r="B1251" s="139" t="s">
        <v>965</v>
      </c>
      <c r="C1251" s="30" t="s">
        <v>966</v>
      </c>
      <c r="D1251" s="191">
        <v>16</v>
      </c>
      <c r="E1251" s="77">
        <v>5</v>
      </c>
      <c r="F1251" s="1"/>
      <c r="G1251" s="76">
        <v>0.29166666666666669</v>
      </c>
      <c r="H1251" s="76">
        <v>0.42569444444444443</v>
      </c>
      <c r="I1251" s="173" t="s">
        <v>1569</v>
      </c>
      <c r="J1251" s="23">
        <v>3</v>
      </c>
      <c r="K1251" s="68">
        <v>1.0416666666666666E-2</v>
      </c>
      <c r="L1251" s="68">
        <v>0.33333333333333331</v>
      </c>
      <c r="M1251" s="68">
        <v>0.4513888888888889</v>
      </c>
      <c r="N1251" s="173" t="s">
        <v>1251</v>
      </c>
      <c r="O1251" s="23">
        <v>1520</v>
      </c>
      <c r="P1251" s="70">
        <v>0.29166666666666669</v>
      </c>
      <c r="Q1251" s="70">
        <v>0.4513888888888889</v>
      </c>
      <c r="R1251" s="229" t="s">
        <v>1332</v>
      </c>
    </row>
    <row r="1252" spans="1:18" x14ac:dyDescent="0.4">
      <c r="A1252" s="212">
        <v>45916</v>
      </c>
      <c r="B1252" s="139" t="s">
        <v>63</v>
      </c>
      <c r="C1252" s="30" t="s">
        <v>267</v>
      </c>
      <c r="D1252" s="191">
        <v>24</v>
      </c>
      <c r="E1252" s="77">
        <v>5</v>
      </c>
      <c r="F1252" s="1"/>
      <c r="G1252" s="76">
        <v>0.42569444444444443</v>
      </c>
      <c r="H1252" s="76">
        <v>0.66666666666666663</v>
      </c>
      <c r="I1252" s="173" t="s">
        <v>1640</v>
      </c>
      <c r="J1252" s="23">
        <v>3</v>
      </c>
      <c r="K1252" s="68">
        <v>1.0416666666666666E-2</v>
      </c>
      <c r="L1252" s="68">
        <v>0.4513888888888889</v>
      </c>
      <c r="M1252" s="68">
        <v>0.6875</v>
      </c>
      <c r="N1252" s="173" t="s">
        <v>1305</v>
      </c>
      <c r="O1252" s="23">
        <v>2320</v>
      </c>
      <c r="P1252" s="70">
        <v>0.42569444444444443</v>
      </c>
      <c r="Q1252" s="70">
        <v>0.6875</v>
      </c>
      <c r="R1252" s="229" t="s">
        <v>1599</v>
      </c>
    </row>
    <row r="1253" spans="1:18" x14ac:dyDescent="0.4">
      <c r="A1253" s="212">
        <v>45916</v>
      </c>
      <c r="B1253" s="139" t="s">
        <v>65</v>
      </c>
      <c r="C1253" s="30" t="s">
        <v>189</v>
      </c>
      <c r="D1253" s="191">
        <v>72</v>
      </c>
      <c r="E1253" s="77">
        <v>3</v>
      </c>
      <c r="F1253" s="76">
        <v>2.0833333333333332E-2</v>
      </c>
      <c r="G1253" s="76">
        <v>0.29166666666666669</v>
      </c>
      <c r="H1253" s="76">
        <v>0.69444444444444453</v>
      </c>
      <c r="I1253" s="173" t="s">
        <v>1352</v>
      </c>
      <c r="J1253" s="23">
        <v>4</v>
      </c>
      <c r="K1253" s="23"/>
      <c r="L1253" s="68">
        <v>0.29166666666666669</v>
      </c>
      <c r="M1253" s="68">
        <v>0.73263888888888884</v>
      </c>
      <c r="N1253" s="173" t="s">
        <v>1606</v>
      </c>
      <c r="O1253" s="23">
        <v>3950</v>
      </c>
      <c r="P1253" s="70">
        <v>0.29166666666666669</v>
      </c>
      <c r="Q1253" s="70">
        <v>0.73263888888888884</v>
      </c>
      <c r="R1253" s="229" t="s">
        <v>1606</v>
      </c>
    </row>
    <row r="1254" spans="1:18" x14ac:dyDescent="0.4">
      <c r="A1254" s="212">
        <v>45917</v>
      </c>
      <c r="B1254" s="139" t="s">
        <v>63</v>
      </c>
      <c r="C1254" s="30" t="s">
        <v>267</v>
      </c>
      <c r="D1254" s="191">
        <v>24</v>
      </c>
      <c r="E1254" s="77">
        <v>5</v>
      </c>
      <c r="F1254" s="1"/>
      <c r="G1254" s="76">
        <v>0.41875000000000001</v>
      </c>
      <c r="H1254" s="76">
        <v>0.66666666666666663</v>
      </c>
      <c r="I1254" s="173" t="s">
        <v>1624</v>
      </c>
      <c r="J1254" s="23">
        <v>3</v>
      </c>
      <c r="K1254" s="68">
        <v>1.0416666666666666E-2</v>
      </c>
      <c r="L1254" s="68">
        <v>0.4513888888888889</v>
      </c>
      <c r="M1254" s="68">
        <v>0.6875</v>
      </c>
      <c r="N1254" s="173" t="s">
        <v>1305</v>
      </c>
      <c r="O1254" s="23">
        <v>2370</v>
      </c>
      <c r="P1254" s="70">
        <v>0.41875000000000001</v>
      </c>
      <c r="Q1254" s="70">
        <v>0.6875</v>
      </c>
      <c r="R1254" s="229" t="s">
        <v>1571</v>
      </c>
    </row>
    <row r="1255" spans="1:18" x14ac:dyDescent="0.4">
      <c r="A1255" s="212">
        <v>45917</v>
      </c>
      <c r="B1255" s="139" t="s">
        <v>88</v>
      </c>
      <c r="C1255" s="30" t="s">
        <v>328</v>
      </c>
      <c r="D1255" s="191">
        <v>16</v>
      </c>
      <c r="E1255" s="77">
        <v>5</v>
      </c>
      <c r="F1255" s="1"/>
      <c r="G1255" s="76">
        <v>0.29166666666666669</v>
      </c>
      <c r="H1255" s="76">
        <v>0.41875000000000001</v>
      </c>
      <c r="I1255" s="173" t="s">
        <v>1475</v>
      </c>
      <c r="J1255" s="23">
        <v>3</v>
      </c>
      <c r="K1255" s="68">
        <v>1.0416666666666666E-2</v>
      </c>
      <c r="L1255" s="68">
        <v>0.33333333333333331</v>
      </c>
      <c r="M1255" s="68">
        <v>0.4513888888888889</v>
      </c>
      <c r="N1255" s="173" t="s">
        <v>1251</v>
      </c>
      <c r="O1255" s="23">
        <v>1470</v>
      </c>
      <c r="P1255" s="70">
        <v>0.29166666666666669</v>
      </c>
      <c r="Q1255" s="70">
        <v>0.4513888888888889</v>
      </c>
      <c r="R1255" s="229" t="s">
        <v>1332</v>
      </c>
    </row>
    <row r="1256" spans="1:18" x14ac:dyDescent="0.4">
      <c r="A1256" s="212">
        <v>45917</v>
      </c>
      <c r="B1256" s="139" t="s">
        <v>108</v>
      </c>
      <c r="C1256" s="30" t="s">
        <v>231</v>
      </c>
      <c r="D1256" s="191">
        <v>21</v>
      </c>
      <c r="E1256" s="77">
        <v>8</v>
      </c>
      <c r="F1256" s="1"/>
      <c r="G1256" s="76">
        <v>0.29166666666666669</v>
      </c>
      <c r="H1256" s="76">
        <v>0.68055555555555547</v>
      </c>
      <c r="I1256" s="173" t="s">
        <v>1465</v>
      </c>
      <c r="J1256" s="23">
        <v>7</v>
      </c>
      <c r="K1256" s="23"/>
      <c r="L1256" s="68">
        <v>0.33333333333333331</v>
      </c>
      <c r="M1256" s="68">
        <v>0.70833333333333337</v>
      </c>
      <c r="N1256" s="173" t="s">
        <v>1292</v>
      </c>
      <c r="O1256" s="23">
        <v>7360</v>
      </c>
      <c r="P1256" s="70">
        <v>0.29166666666666669</v>
      </c>
      <c r="Q1256" s="70">
        <v>0.70833333333333337</v>
      </c>
      <c r="R1256" s="229" t="s">
        <v>1252</v>
      </c>
    </row>
    <row r="1257" spans="1:18" x14ac:dyDescent="0.4">
      <c r="A1257" s="212">
        <v>45917</v>
      </c>
      <c r="B1257" s="139" t="s">
        <v>65</v>
      </c>
      <c r="C1257" s="30" t="s">
        <v>189</v>
      </c>
      <c r="D1257" s="191">
        <v>72</v>
      </c>
      <c r="E1257" s="77">
        <v>3</v>
      </c>
      <c r="F1257" s="76">
        <v>2.0833333333333332E-2</v>
      </c>
      <c r="G1257" s="76">
        <v>0.29166666666666669</v>
      </c>
      <c r="H1257" s="76">
        <v>0.44444444444444442</v>
      </c>
      <c r="I1257" s="173" t="s">
        <v>1311</v>
      </c>
      <c r="J1257" s="23">
        <v>4</v>
      </c>
      <c r="K1257" s="23"/>
      <c r="L1257" s="68">
        <v>0.29166666666666669</v>
      </c>
      <c r="M1257" s="68">
        <v>0.73263888888888884</v>
      </c>
      <c r="N1257" s="173" t="s">
        <v>1606</v>
      </c>
      <c r="O1257" s="23">
        <v>3050</v>
      </c>
      <c r="P1257" s="70">
        <v>0.29166666666666669</v>
      </c>
      <c r="Q1257" s="70">
        <v>0.73263888888888884</v>
      </c>
      <c r="R1257" s="229" t="s">
        <v>1606</v>
      </c>
    </row>
    <row r="1258" spans="1:18" x14ac:dyDescent="0.4">
      <c r="A1258" s="246">
        <v>45917</v>
      </c>
      <c r="B1258" s="102">
        <v>151010</v>
      </c>
      <c r="C1258" s="136" t="s">
        <v>482</v>
      </c>
      <c r="D1258" s="193">
        <v>1</v>
      </c>
      <c r="E1258" s="103"/>
      <c r="F1258" s="104"/>
      <c r="G1258" s="184"/>
      <c r="H1258" s="184"/>
      <c r="I1258" s="225" t="s">
        <v>1002</v>
      </c>
      <c r="J1258" s="105"/>
      <c r="K1258" s="105"/>
      <c r="L1258" s="106"/>
      <c r="M1258" s="106"/>
      <c r="N1258" s="225" t="s">
        <v>1002</v>
      </c>
      <c r="O1258" s="105">
        <v>0</v>
      </c>
      <c r="P1258" s="247">
        <v>0</v>
      </c>
      <c r="Q1258" s="247">
        <v>0</v>
      </c>
      <c r="R1258" s="232" t="s">
        <v>1002</v>
      </c>
    </row>
    <row r="1259" spans="1:18" x14ac:dyDescent="0.4">
      <c r="A1259" s="212">
        <v>45918</v>
      </c>
      <c r="B1259" s="139" t="s">
        <v>106</v>
      </c>
      <c r="C1259" s="30" t="s">
        <v>173</v>
      </c>
      <c r="D1259" s="191">
        <v>16</v>
      </c>
      <c r="E1259" s="77">
        <v>4</v>
      </c>
      <c r="F1259" s="1"/>
      <c r="G1259" s="76">
        <v>0.54166666666666663</v>
      </c>
      <c r="H1259" s="76">
        <v>0.75</v>
      </c>
      <c r="I1259" s="173" t="s">
        <v>1327</v>
      </c>
      <c r="J1259" s="23">
        <v>9</v>
      </c>
      <c r="K1259" s="68">
        <v>1.0416666666666666E-2</v>
      </c>
      <c r="L1259" s="68">
        <v>0.5625</v>
      </c>
      <c r="M1259" s="68">
        <v>0.70833333333333337</v>
      </c>
      <c r="N1259" s="173" t="s">
        <v>1380</v>
      </c>
      <c r="O1259" s="23">
        <v>3225</v>
      </c>
      <c r="P1259" s="70">
        <v>0.54166666666666663</v>
      </c>
      <c r="Q1259" s="70">
        <v>0.75</v>
      </c>
      <c r="R1259" s="229" t="s">
        <v>1327</v>
      </c>
    </row>
    <row r="1260" spans="1:18" x14ac:dyDescent="0.4">
      <c r="A1260" s="212">
        <v>45918</v>
      </c>
      <c r="B1260" s="139" t="s">
        <v>61</v>
      </c>
      <c r="C1260" s="30" t="s">
        <v>156</v>
      </c>
      <c r="D1260" s="191">
        <v>20</v>
      </c>
      <c r="E1260" s="77">
        <v>4</v>
      </c>
      <c r="F1260" s="1"/>
      <c r="G1260" s="76">
        <v>0.29166666666666669</v>
      </c>
      <c r="H1260" s="76">
        <v>0.5</v>
      </c>
      <c r="I1260" s="173" t="s">
        <v>1327</v>
      </c>
      <c r="J1260" s="23">
        <v>10</v>
      </c>
      <c r="K1260" s="68">
        <v>1.0416666666666666E-2</v>
      </c>
      <c r="L1260" s="68">
        <v>0.33333333333333331</v>
      </c>
      <c r="M1260" s="68">
        <v>0.5625</v>
      </c>
      <c r="N1260" s="173" t="s">
        <v>1335</v>
      </c>
      <c r="O1260" s="23">
        <v>4050</v>
      </c>
      <c r="P1260" s="70">
        <v>0.29166666666666669</v>
      </c>
      <c r="Q1260" s="70">
        <v>0.5625</v>
      </c>
      <c r="R1260" s="229" t="s">
        <v>1320</v>
      </c>
    </row>
    <row r="1261" spans="1:18" x14ac:dyDescent="0.4">
      <c r="A1261" s="212">
        <v>45918</v>
      </c>
      <c r="B1261" s="139" t="s">
        <v>1046</v>
      </c>
      <c r="C1261" s="30" t="s">
        <v>1057</v>
      </c>
      <c r="D1261" s="191">
        <v>12</v>
      </c>
      <c r="E1261" s="77">
        <v>5</v>
      </c>
      <c r="F1261" s="1"/>
      <c r="G1261" s="76">
        <v>0.5854166666666667</v>
      </c>
      <c r="H1261" s="76">
        <v>0.66666666666666663</v>
      </c>
      <c r="I1261" s="173" t="s">
        <v>1423</v>
      </c>
      <c r="J1261" s="23">
        <v>3</v>
      </c>
      <c r="K1261" s="23"/>
      <c r="L1261" s="68">
        <v>0.61458333333333337</v>
      </c>
      <c r="M1261" s="68">
        <v>0.6875</v>
      </c>
      <c r="N1261" s="173" t="s">
        <v>1246</v>
      </c>
      <c r="O1261" s="23">
        <v>900</v>
      </c>
      <c r="P1261" s="70">
        <v>0.5854166666666667</v>
      </c>
      <c r="Q1261" s="70">
        <v>0.6875</v>
      </c>
      <c r="R1261" s="229" t="s">
        <v>1451</v>
      </c>
    </row>
    <row r="1262" spans="1:18" x14ac:dyDescent="0.4">
      <c r="A1262" s="212">
        <v>45918</v>
      </c>
      <c r="B1262" s="139" t="s">
        <v>76</v>
      </c>
      <c r="C1262" s="30" t="s">
        <v>224</v>
      </c>
      <c r="D1262" s="191">
        <v>16</v>
      </c>
      <c r="E1262" s="77">
        <v>5</v>
      </c>
      <c r="F1262" s="1"/>
      <c r="G1262" s="76">
        <v>0.29166666666666669</v>
      </c>
      <c r="H1262" s="76">
        <v>0.41041666666666665</v>
      </c>
      <c r="I1262" s="173" t="s">
        <v>1634</v>
      </c>
      <c r="J1262" s="23">
        <v>3</v>
      </c>
      <c r="K1262" s="23"/>
      <c r="L1262" s="68">
        <v>0.34027777777777773</v>
      </c>
      <c r="M1262" s="68">
        <v>0.43055555555555558</v>
      </c>
      <c r="N1262" s="173" t="s">
        <v>1248</v>
      </c>
      <c r="O1262" s="23">
        <v>1245</v>
      </c>
      <c r="P1262" s="70">
        <v>0.29166666666666669</v>
      </c>
      <c r="Q1262" s="70">
        <v>0.43055555555555558</v>
      </c>
      <c r="R1262" s="229" t="s">
        <v>1250</v>
      </c>
    </row>
    <row r="1263" spans="1:18" x14ac:dyDescent="0.4">
      <c r="A1263" s="212">
        <v>45918</v>
      </c>
      <c r="B1263" s="139" t="s">
        <v>63</v>
      </c>
      <c r="C1263" s="30" t="s">
        <v>267</v>
      </c>
      <c r="D1263" s="191">
        <v>12</v>
      </c>
      <c r="E1263" s="77">
        <v>5</v>
      </c>
      <c r="F1263" s="1"/>
      <c r="G1263" s="76">
        <v>0.41041666666666665</v>
      </c>
      <c r="H1263" s="76">
        <v>0.5854166666666667</v>
      </c>
      <c r="I1263" s="173" t="s">
        <v>1382</v>
      </c>
      <c r="J1263" s="23">
        <v>3</v>
      </c>
      <c r="K1263" s="23"/>
      <c r="L1263" s="68">
        <v>0.43055555555555558</v>
      </c>
      <c r="M1263" s="68">
        <v>0.61458333333333337</v>
      </c>
      <c r="N1263" s="173" t="s">
        <v>1299</v>
      </c>
      <c r="O1263" s="23">
        <v>1575</v>
      </c>
      <c r="P1263" s="70">
        <v>0.41041666666666665</v>
      </c>
      <c r="Q1263" s="70">
        <v>0.61458333333333337</v>
      </c>
      <c r="R1263" s="229" t="s">
        <v>1523</v>
      </c>
    </row>
    <row r="1264" spans="1:18" x14ac:dyDescent="0.4">
      <c r="A1264" s="241">
        <v>45918</v>
      </c>
      <c r="B1264" s="139" t="s">
        <v>65</v>
      </c>
      <c r="C1264" s="30" t="s">
        <v>189</v>
      </c>
      <c r="D1264" s="191">
        <v>36</v>
      </c>
      <c r="E1264" s="77">
        <v>3</v>
      </c>
      <c r="F1264" s="76">
        <v>1.0416666666666666E-2</v>
      </c>
      <c r="G1264" s="76">
        <v>0.29166666666666669</v>
      </c>
      <c r="H1264" s="76">
        <v>0.4548611111111111</v>
      </c>
      <c r="I1264" s="173" t="s">
        <v>1311</v>
      </c>
      <c r="J1264" s="23">
        <v>4</v>
      </c>
      <c r="K1264" s="23"/>
      <c r="L1264" s="68">
        <v>0.29166666666666669</v>
      </c>
      <c r="M1264" s="68">
        <v>0.56944444444444442</v>
      </c>
      <c r="N1264" s="173" t="s">
        <v>1339</v>
      </c>
      <c r="O1264" s="23">
        <v>2110</v>
      </c>
      <c r="P1264" s="70">
        <v>0.29166666666666669</v>
      </c>
      <c r="Q1264" s="70">
        <v>0.56944444444444442</v>
      </c>
      <c r="R1264" s="229" t="s">
        <v>1339</v>
      </c>
    </row>
    <row r="1265" spans="1:18" x14ac:dyDescent="0.4">
      <c r="A1265" s="212">
        <v>45918</v>
      </c>
      <c r="B1265" s="139" t="s">
        <v>66</v>
      </c>
      <c r="C1265" s="30" t="s">
        <v>195</v>
      </c>
      <c r="D1265" s="191">
        <v>20</v>
      </c>
      <c r="E1265" s="77">
        <v>3</v>
      </c>
      <c r="F1265" s="76">
        <v>1.0416666666666666E-2</v>
      </c>
      <c r="G1265" s="76">
        <v>0.47222222222222227</v>
      </c>
      <c r="H1265" s="76">
        <v>0.67013888888888884</v>
      </c>
      <c r="I1265" s="173" t="s">
        <v>1244</v>
      </c>
      <c r="J1265" s="23">
        <v>4</v>
      </c>
      <c r="K1265" s="23"/>
      <c r="L1265" s="68">
        <v>0.57638888888888895</v>
      </c>
      <c r="M1265" s="68">
        <v>0.72916666666666663</v>
      </c>
      <c r="N1265" s="173" t="s">
        <v>1254</v>
      </c>
      <c r="O1265" s="23">
        <v>1600</v>
      </c>
      <c r="P1265" s="70">
        <v>0.47222222222222227</v>
      </c>
      <c r="Q1265" s="70">
        <v>0.72916666666666663</v>
      </c>
      <c r="R1265" s="229" t="s">
        <v>1257</v>
      </c>
    </row>
    <row r="1266" spans="1:18" x14ac:dyDescent="0.4">
      <c r="A1266" s="212">
        <v>45919</v>
      </c>
      <c r="B1266" s="139" t="s">
        <v>71</v>
      </c>
      <c r="C1266" s="30" t="s">
        <v>176</v>
      </c>
      <c r="D1266" s="191">
        <v>72</v>
      </c>
      <c r="E1266" s="77">
        <v>6</v>
      </c>
      <c r="F1266" s="1"/>
      <c r="G1266" s="76">
        <v>0.29166666666666669</v>
      </c>
      <c r="H1266" s="76">
        <v>0.66666666666666663</v>
      </c>
      <c r="I1266" s="173" t="s">
        <v>1292</v>
      </c>
      <c r="J1266" s="23">
        <v>6</v>
      </c>
      <c r="K1266" s="23"/>
      <c r="L1266" s="68">
        <v>0.3125</v>
      </c>
      <c r="M1266" s="68">
        <v>0.70833333333333337</v>
      </c>
      <c r="N1266" s="173" t="s">
        <v>990</v>
      </c>
      <c r="O1266" s="23">
        <v>5940</v>
      </c>
      <c r="P1266" s="70">
        <v>0.29166666666666669</v>
      </c>
      <c r="Q1266" s="70">
        <v>0.70833333333333337</v>
      </c>
      <c r="R1266" s="229" t="s">
        <v>1252</v>
      </c>
    </row>
    <row r="1267" spans="1:18" x14ac:dyDescent="0.4">
      <c r="A1267" s="212">
        <v>45919</v>
      </c>
      <c r="B1267" s="139" t="s">
        <v>54</v>
      </c>
      <c r="C1267" s="30" t="s">
        <v>251</v>
      </c>
      <c r="D1267" s="191">
        <v>40</v>
      </c>
      <c r="E1267" s="77">
        <v>5</v>
      </c>
      <c r="F1267" s="1"/>
      <c r="G1267" s="76">
        <v>0.29166666666666669</v>
      </c>
      <c r="H1267" s="76">
        <v>0.66666666666666663</v>
      </c>
      <c r="I1267" s="173" t="s">
        <v>1292</v>
      </c>
      <c r="J1267" s="77">
        <v>3</v>
      </c>
      <c r="K1267" s="1"/>
      <c r="L1267" s="76">
        <v>0.3125</v>
      </c>
      <c r="M1267" s="76">
        <v>0.6875</v>
      </c>
      <c r="N1267" s="173" t="s">
        <v>1292</v>
      </c>
      <c r="O1267" s="23">
        <v>3840</v>
      </c>
      <c r="P1267" s="70">
        <v>0.29166666666666669</v>
      </c>
      <c r="Q1267" s="70">
        <v>0.6875</v>
      </c>
      <c r="R1267" s="229" t="s">
        <v>990</v>
      </c>
    </row>
    <row r="1268" spans="1:18" x14ac:dyDescent="0.4">
      <c r="A1268" s="212">
        <v>45919</v>
      </c>
      <c r="B1268" s="139" t="s">
        <v>73</v>
      </c>
      <c r="C1268" s="30" t="s">
        <v>231</v>
      </c>
      <c r="D1268" s="191">
        <v>21</v>
      </c>
      <c r="E1268" s="77">
        <v>5</v>
      </c>
      <c r="F1268" s="1"/>
      <c r="G1268" s="76">
        <v>0.3125</v>
      </c>
      <c r="H1268" s="76">
        <v>0.58333333333333337</v>
      </c>
      <c r="I1268" s="173" t="s">
        <v>1320</v>
      </c>
      <c r="J1268" s="23">
        <v>7</v>
      </c>
      <c r="K1268" s="23"/>
      <c r="L1268" s="68">
        <v>0.33333333333333331</v>
      </c>
      <c r="M1268" s="68">
        <v>0.67013888888888884</v>
      </c>
      <c r="N1268" s="173" t="s">
        <v>1456</v>
      </c>
      <c r="O1268" s="23">
        <v>4625</v>
      </c>
      <c r="P1268" s="70">
        <v>0.3125</v>
      </c>
      <c r="Q1268" s="70">
        <v>0.67013888888888884</v>
      </c>
      <c r="R1268" s="229" t="s">
        <v>1455</v>
      </c>
    </row>
    <row r="1269" spans="1:18" x14ac:dyDescent="0.4">
      <c r="A1269" s="212">
        <v>45922</v>
      </c>
      <c r="B1269" s="139" t="s">
        <v>68</v>
      </c>
      <c r="C1269" s="140" t="s">
        <v>185</v>
      </c>
      <c r="D1269" s="191">
        <v>40</v>
      </c>
      <c r="E1269" s="77">
        <v>5</v>
      </c>
      <c r="F1269" s="1"/>
      <c r="G1269" s="76">
        <v>0.29166666666666669</v>
      </c>
      <c r="H1269" s="76">
        <v>0.66666666666666663</v>
      </c>
      <c r="I1269" s="173" t="s">
        <v>1292</v>
      </c>
      <c r="J1269" s="23">
        <v>5</v>
      </c>
      <c r="K1269" s="23"/>
      <c r="L1269" s="68">
        <v>0.3125</v>
      </c>
      <c r="M1269" s="68">
        <v>0.70833333333333337</v>
      </c>
      <c r="N1269" s="173" t="s">
        <v>990</v>
      </c>
      <c r="O1269" s="23">
        <v>4950</v>
      </c>
      <c r="P1269" s="70">
        <v>0.29166666666666669</v>
      </c>
      <c r="Q1269" s="70">
        <v>0.70833333333333337</v>
      </c>
      <c r="R1269" s="229" t="s">
        <v>1252</v>
      </c>
    </row>
    <row r="1270" spans="1:18" x14ac:dyDescent="0.4">
      <c r="A1270" s="212">
        <v>45922</v>
      </c>
      <c r="B1270" s="139" t="s">
        <v>72</v>
      </c>
      <c r="C1270" s="140" t="s">
        <v>227</v>
      </c>
      <c r="D1270" s="191">
        <v>16</v>
      </c>
      <c r="E1270" s="77">
        <v>5</v>
      </c>
      <c r="F1270" s="1"/>
      <c r="G1270" s="76">
        <v>0.59027777777777779</v>
      </c>
      <c r="H1270" s="76">
        <v>0.72916666666666663</v>
      </c>
      <c r="I1270" s="173" t="s">
        <v>1250</v>
      </c>
      <c r="J1270" s="23">
        <v>3</v>
      </c>
      <c r="K1270" s="68">
        <v>2.0833333333333332E-2</v>
      </c>
      <c r="L1270" s="68">
        <v>0.61805555555555558</v>
      </c>
      <c r="M1270" s="68">
        <v>0.72916666666666663</v>
      </c>
      <c r="N1270" s="173" t="s">
        <v>1256</v>
      </c>
      <c r="O1270" s="23">
        <v>1570</v>
      </c>
      <c r="P1270" s="70">
        <v>0.59027777777777779</v>
      </c>
      <c r="Q1270" s="70">
        <v>0.72916666666666663</v>
      </c>
      <c r="R1270" s="229" t="s">
        <v>1250</v>
      </c>
    </row>
    <row r="1271" spans="1:18" x14ac:dyDescent="0.4">
      <c r="A1271" s="212">
        <v>45922</v>
      </c>
      <c r="B1271" s="139" t="s">
        <v>64</v>
      </c>
      <c r="C1271" s="140" t="s">
        <v>271</v>
      </c>
      <c r="D1271" s="191">
        <v>28</v>
      </c>
      <c r="E1271" s="77">
        <v>5</v>
      </c>
      <c r="F1271" s="1"/>
      <c r="G1271" s="76">
        <v>0.29166666666666669</v>
      </c>
      <c r="H1271" s="76">
        <v>0.59027777777777779</v>
      </c>
      <c r="I1271" s="173" t="s">
        <v>1471</v>
      </c>
      <c r="J1271" s="23">
        <v>3</v>
      </c>
      <c r="K1271" s="68">
        <v>2.0833333333333332E-2</v>
      </c>
      <c r="L1271" s="68">
        <v>0.33680555555555558</v>
      </c>
      <c r="M1271" s="68">
        <v>0.61805555555555558</v>
      </c>
      <c r="N1271" s="173" t="s">
        <v>1383</v>
      </c>
      <c r="O1271" s="23">
        <v>2975</v>
      </c>
      <c r="P1271" s="70">
        <v>0.29166666666666669</v>
      </c>
      <c r="Q1271" s="70">
        <v>0.61805555555555558</v>
      </c>
      <c r="R1271" s="229" t="s">
        <v>1337</v>
      </c>
    </row>
    <row r="1272" spans="1:18" x14ac:dyDescent="0.4">
      <c r="A1272" s="212">
        <v>45922</v>
      </c>
      <c r="B1272" s="139" t="s">
        <v>123</v>
      </c>
      <c r="C1272" s="140" t="s">
        <v>277</v>
      </c>
      <c r="D1272" s="191">
        <v>48</v>
      </c>
      <c r="E1272" s="77">
        <v>3</v>
      </c>
      <c r="F1272" s="76">
        <v>4.1666666666666664E-2</v>
      </c>
      <c r="G1272" s="76">
        <v>0.29166666666666669</v>
      </c>
      <c r="H1272" s="76">
        <v>0.56944444444444442</v>
      </c>
      <c r="I1272" s="173" t="s">
        <v>1328</v>
      </c>
      <c r="J1272" s="23">
        <v>4</v>
      </c>
      <c r="K1272" s="23"/>
      <c r="L1272" s="68">
        <v>0.29166666666666669</v>
      </c>
      <c r="M1272" s="68">
        <v>0.60069444444444442</v>
      </c>
      <c r="N1272" s="173" t="s">
        <v>1374</v>
      </c>
      <c r="O1272" s="23">
        <v>2740</v>
      </c>
      <c r="P1272" s="70">
        <v>0.29166666666666669</v>
      </c>
      <c r="Q1272" s="70">
        <v>0.60069444444444442</v>
      </c>
      <c r="R1272" s="229" t="s">
        <v>1374</v>
      </c>
    </row>
    <row r="1273" spans="1:18" x14ac:dyDescent="0.4">
      <c r="A1273" s="212">
        <v>45923</v>
      </c>
      <c r="B1273" s="139" t="s">
        <v>71</v>
      </c>
      <c r="C1273" s="140" t="s">
        <v>176</v>
      </c>
      <c r="D1273" s="191">
        <v>72</v>
      </c>
      <c r="E1273" s="77">
        <v>6</v>
      </c>
      <c r="F1273" s="1"/>
      <c r="G1273" s="76">
        <v>0.29166666666666669</v>
      </c>
      <c r="H1273" s="76">
        <v>0.66666666666666663</v>
      </c>
      <c r="I1273" s="173" t="s">
        <v>1292</v>
      </c>
      <c r="J1273" s="23">
        <v>5</v>
      </c>
      <c r="K1273" s="23"/>
      <c r="L1273" s="68">
        <v>0.3125</v>
      </c>
      <c r="M1273" s="68">
        <v>0.70833333333333337</v>
      </c>
      <c r="N1273" s="173" t="s">
        <v>990</v>
      </c>
      <c r="O1273" s="23">
        <v>5430</v>
      </c>
      <c r="P1273" s="70">
        <v>0.29166666666666669</v>
      </c>
      <c r="Q1273" s="70">
        <v>0.70833333333333337</v>
      </c>
      <c r="R1273" s="229" t="s">
        <v>1252</v>
      </c>
    </row>
    <row r="1274" spans="1:18" x14ac:dyDescent="0.4">
      <c r="A1274" s="212">
        <v>45923</v>
      </c>
      <c r="B1274" s="139" t="s">
        <v>81</v>
      </c>
      <c r="C1274" s="140" t="s">
        <v>235</v>
      </c>
      <c r="D1274" s="191">
        <v>16</v>
      </c>
      <c r="E1274" s="77">
        <v>5</v>
      </c>
      <c r="F1274" s="1"/>
      <c r="G1274" s="76">
        <v>0.29166666666666669</v>
      </c>
      <c r="H1274" s="76">
        <v>0.42708333333333331</v>
      </c>
      <c r="I1274" s="173" t="s">
        <v>1391</v>
      </c>
      <c r="J1274" s="23">
        <v>5</v>
      </c>
      <c r="K1274" s="23"/>
      <c r="L1274" s="68">
        <v>0.42708333333333331</v>
      </c>
      <c r="M1274" s="68">
        <v>0.72916666666666663</v>
      </c>
      <c r="N1274" s="173" t="s">
        <v>1383</v>
      </c>
      <c r="O1274" s="23">
        <v>2850</v>
      </c>
      <c r="P1274" s="70">
        <v>0.29166666666666669</v>
      </c>
      <c r="Q1274" s="70">
        <v>0.72916666666666663</v>
      </c>
      <c r="R1274" s="229" t="s">
        <v>1247</v>
      </c>
    </row>
    <row r="1275" spans="1:18" x14ac:dyDescent="0.4">
      <c r="A1275" s="212">
        <v>45923</v>
      </c>
      <c r="B1275" s="139" t="s">
        <v>63</v>
      </c>
      <c r="C1275" s="140" t="s">
        <v>267</v>
      </c>
      <c r="D1275" s="191">
        <v>28</v>
      </c>
      <c r="E1275" s="77">
        <v>3</v>
      </c>
      <c r="F1275" s="1"/>
      <c r="G1275" s="76">
        <v>0.3125</v>
      </c>
      <c r="H1275" s="76">
        <v>0.44444444444444442</v>
      </c>
      <c r="I1275" s="173" t="s">
        <v>1256</v>
      </c>
      <c r="J1275" s="23">
        <v>3</v>
      </c>
      <c r="K1275" s="23"/>
      <c r="L1275" s="68">
        <v>0.44444444444444442</v>
      </c>
      <c r="M1275" s="68">
        <v>0.70833333333333337</v>
      </c>
      <c r="N1275" s="173" t="s">
        <v>1357</v>
      </c>
      <c r="O1275" s="23">
        <v>1530</v>
      </c>
      <c r="P1275" s="70">
        <v>0.3125</v>
      </c>
      <c r="Q1275" s="70">
        <v>0.70833333333333337</v>
      </c>
      <c r="R1275" s="229" t="s">
        <v>990</v>
      </c>
    </row>
    <row r="1276" spans="1:18" x14ac:dyDescent="0.4">
      <c r="A1276" s="212">
        <v>45923</v>
      </c>
      <c r="B1276" s="139" t="s">
        <v>65</v>
      </c>
      <c r="C1276" s="140" t="s">
        <v>189</v>
      </c>
      <c r="D1276" s="191">
        <v>72</v>
      </c>
      <c r="E1276" s="77">
        <v>3</v>
      </c>
      <c r="F1276" s="76">
        <v>2.0833333333333332E-2</v>
      </c>
      <c r="G1276" s="76">
        <v>0.29166666666666669</v>
      </c>
      <c r="H1276" s="76">
        <v>0.64236111111111105</v>
      </c>
      <c r="I1276" s="173" t="s">
        <v>1616</v>
      </c>
      <c r="J1276" s="23">
        <v>4</v>
      </c>
      <c r="K1276" s="23"/>
      <c r="L1276" s="68">
        <v>0.29166666666666669</v>
      </c>
      <c r="M1276" s="68">
        <v>0.68055555555555547</v>
      </c>
      <c r="N1276" s="173" t="s">
        <v>1465</v>
      </c>
      <c r="O1276" s="23">
        <v>3425</v>
      </c>
      <c r="P1276" s="70">
        <v>0.29166666666666669</v>
      </c>
      <c r="Q1276" s="70">
        <v>0.68055555555555547</v>
      </c>
      <c r="R1276" s="229" t="s">
        <v>1465</v>
      </c>
    </row>
    <row r="1277" spans="1:18" x14ac:dyDescent="0.4">
      <c r="A1277" s="403">
        <v>45923</v>
      </c>
      <c r="B1277" s="383">
        <v>111010</v>
      </c>
      <c r="C1277" s="390" t="s">
        <v>480</v>
      </c>
      <c r="D1277" s="397">
        <v>1</v>
      </c>
      <c r="E1277" s="384"/>
      <c r="F1277" s="385"/>
      <c r="G1277" s="396"/>
      <c r="H1277" s="396"/>
      <c r="I1277" s="386" t="s">
        <v>1002</v>
      </c>
      <c r="J1277" s="387"/>
      <c r="K1277" s="387"/>
      <c r="L1277" s="388"/>
      <c r="M1277" s="388"/>
      <c r="N1277" s="386" t="s">
        <v>1002</v>
      </c>
      <c r="O1277" s="387">
        <v>0</v>
      </c>
      <c r="P1277" s="391">
        <v>0</v>
      </c>
      <c r="Q1277" s="391">
        <v>0</v>
      </c>
      <c r="R1277" s="389" t="s">
        <v>1002</v>
      </c>
    </row>
    <row r="1278" spans="1:18" x14ac:dyDescent="0.4">
      <c r="A1278" s="212">
        <v>45924</v>
      </c>
      <c r="B1278" s="139" t="s">
        <v>984</v>
      </c>
      <c r="C1278" s="140" t="s">
        <v>245</v>
      </c>
      <c r="D1278" s="191">
        <v>16</v>
      </c>
      <c r="E1278" s="77">
        <v>5</v>
      </c>
      <c r="F1278" s="1"/>
      <c r="G1278" s="76">
        <v>0.3611111111111111</v>
      </c>
      <c r="H1278" s="76">
        <v>0.5</v>
      </c>
      <c r="I1278" s="173" t="s">
        <v>1250</v>
      </c>
      <c r="J1278" s="23">
        <v>4</v>
      </c>
      <c r="K1278" s="68">
        <v>6.9444444444444441E-3</v>
      </c>
      <c r="L1278" s="68">
        <v>0.40277777777777773</v>
      </c>
      <c r="M1278" s="68">
        <v>0.5</v>
      </c>
      <c r="N1278" s="173" t="s">
        <v>1298</v>
      </c>
      <c r="O1278" s="23">
        <v>1600</v>
      </c>
      <c r="P1278" s="70">
        <v>0.3611111111111111</v>
      </c>
      <c r="Q1278" s="70">
        <v>0.5</v>
      </c>
      <c r="R1278" s="229" t="s">
        <v>1250</v>
      </c>
    </row>
    <row r="1279" spans="1:18" x14ac:dyDescent="0.4">
      <c r="A1279" s="212">
        <v>45924</v>
      </c>
      <c r="B1279" s="139" t="s">
        <v>451</v>
      </c>
      <c r="C1279" s="140" t="s">
        <v>255</v>
      </c>
      <c r="D1279" s="191">
        <v>6</v>
      </c>
      <c r="E1279" s="77">
        <v>5</v>
      </c>
      <c r="F1279" s="1"/>
      <c r="G1279" s="76">
        <v>0.29166666666666669</v>
      </c>
      <c r="H1279" s="76">
        <v>0.3611111111111111</v>
      </c>
      <c r="I1279" s="173" t="s">
        <v>1386</v>
      </c>
      <c r="J1279" s="23">
        <v>4</v>
      </c>
      <c r="K1279" s="68">
        <v>6.9444444444444441E-3</v>
      </c>
      <c r="L1279" s="68">
        <v>0.33333333333333331</v>
      </c>
      <c r="M1279" s="68">
        <v>0.40277777777777773</v>
      </c>
      <c r="N1279" s="173" t="s">
        <v>1377</v>
      </c>
      <c r="O1279" s="23">
        <v>940</v>
      </c>
      <c r="P1279" s="70">
        <v>0.29166666666666669</v>
      </c>
      <c r="Q1279" s="70">
        <v>0.40277777777777773</v>
      </c>
      <c r="R1279" s="229" t="s">
        <v>1325</v>
      </c>
    </row>
    <row r="1280" spans="1:18" x14ac:dyDescent="0.4">
      <c r="A1280" s="212">
        <v>45924</v>
      </c>
      <c r="B1280" s="139" t="s">
        <v>63</v>
      </c>
      <c r="C1280" s="140" t="s">
        <v>267</v>
      </c>
      <c r="D1280" s="191">
        <v>16</v>
      </c>
      <c r="E1280" s="77">
        <v>5</v>
      </c>
      <c r="F1280" s="1"/>
      <c r="G1280" s="76">
        <v>0.54166666666666663</v>
      </c>
      <c r="H1280" s="76">
        <v>0.66666666666666663</v>
      </c>
      <c r="I1280" s="173" t="s">
        <v>1316</v>
      </c>
      <c r="J1280" s="23">
        <v>3</v>
      </c>
      <c r="K1280" s="68">
        <v>6.9444444444444441E-3</v>
      </c>
      <c r="L1280" s="68">
        <v>0.54166666666666663</v>
      </c>
      <c r="M1280" s="68">
        <v>0.6875</v>
      </c>
      <c r="N1280" s="173" t="s">
        <v>1254</v>
      </c>
      <c r="O1280" s="23">
        <v>1560</v>
      </c>
      <c r="P1280" s="70">
        <v>0.54166666666666663</v>
      </c>
      <c r="Q1280" s="70">
        <v>0.6875</v>
      </c>
      <c r="R1280" s="229" t="s">
        <v>1303</v>
      </c>
    </row>
    <row r="1281" spans="1:18" x14ac:dyDescent="0.4">
      <c r="A1281" s="212">
        <v>45924</v>
      </c>
      <c r="B1281" s="139" t="s">
        <v>110</v>
      </c>
      <c r="C1281" s="140" t="s">
        <v>231</v>
      </c>
      <c r="D1281" s="191">
        <v>21</v>
      </c>
      <c r="E1281" s="77">
        <v>7</v>
      </c>
      <c r="F1281" s="1"/>
      <c r="G1281" s="76">
        <v>0.29166666666666669</v>
      </c>
      <c r="H1281" s="76">
        <v>0.67361111111111116</v>
      </c>
      <c r="I1281" s="173" t="s">
        <v>1307</v>
      </c>
      <c r="J1281" s="23">
        <v>7</v>
      </c>
      <c r="K1281" s="23"/>
      <c r="L1281" s="68">
        <v>0.33333333333333331</v>
      </c>
      <c r="M1281" s="68">
        <v>0.70833333333333337</v>
      </c>
      <c r="N1281" s="173" t="s">
        <v>1292</v>
      </c>
      <c r="O1281" s="23">
        <v>6790</v>
      </c>
      <c r="P1281" s="70">
        <v>0.29166666666666669</v>
      </c>
      <c r="Q1281" s="70">
        <v>0.70833333333333337</v>
      </c>
      <c r="R1281" s="229" t="s">
        <v>1252</v>
      </c>
    </row>
    <row r="1282" spans="1:18" x14ac:dyDescent="0.4">
      <c r="A1282" s="212">
        <v>45924</v>
      </c>
      <c r="B1282" s="139" t="s">
        <v>65</v>
      </c>
      <c r="C1282" s="140" t="s">
        <v>189</v>
      </c>
      <c r="D1282" s="191">
        <v>72</v>
      </c>
      <c r="E1282" s="77">
        <v>3</v>
      </c>
      <c r="F1282" s="76">
        <v>4.1666666666666664E-2</v>
      </c>
      <c r="G1282" s="76">
        <v>0.29166666666666669</v>
      </c>
      <c r="H1282" s="76">
        <v>0.65277777777777779</v>
      </c>
      <c r="I1282" s="173" t="s">
        <v>1351</v>
      </c>
      <c r="J1282" s="23">
        <v>4</v>
      </c>
      <c r="K1282" s="23"/>
      <c r="L1282" s="68">
        <v>0.29166666666666669</v>
      </c>
      <c r="M1282" s="68">
        <v>0.69097222222222221</v>
      </c>
      <c r="N1282" s="173" t="s">
        <v>1613</v>
      </c>
      <c r="O1282" s="23">
        <v>3620</v>
      </c>
      <c r="P1282" s="70">
        <v>0.29166666666666669</v>
      </c>
      <c r="Q1282" s="70">
        <v>0.69097222222222221</v>
      </c>
      <c r="R1282" s="229" t="s">
        <v>1613</v>
      </c>
    </row>
    <row r="1283" spans="1:18" x14ac:dyDescent="0.4">
      <c r="A1283" s="403">
        <v>45924</v>
      </c>
      <c r="B1283" s="383">
        <v>152010</v>
      </c>
      <c r="C1283" s="390" t="s">
        <v>483</v>
      </c>
      <c r="D1283" s="397">
        <v>1</v>
      </c>
      <c r="E1283" s="384"/>
      <c r="F1283" s="385"/>
      <c r="G1283" s="396"/>
      <c r="H1283" s="396"/>
      <c r="I1283" s="386" t="s">
        <v>1002</v>
      </c>
      <c r="J1283" s="387"/>
      <c r="K1283" s="387"/>
      <c r="L1283" s="388"/>
      <c r="M1283" s="388"/>
      <c r="N1283" s="386" t="s">
        <v>1002</v>
      </c>
      <c r="O1283" s="387">
        <v>0</v>
      </c>
      <c r="P1283" s="391">
        <v>0</v>
      </c>
      <c r="Q1283" s="391">
        <v>0</v>
      </c>
      <c r="R1283" s="389" t="s">
        <v>1002</v>
      </c>
    </row>
    <row r="1284" spans="1:18" x14ac:dyDescent="0.4">
      <c r="A1284" s="212">
        <v>45925</v>
      </c>
      <c r="B1284" s="139" t="s">
        <v>87</v>
      </c>
      <c r="C1284" s="140" t="s">
        <v>199</v>
      </c>
      <c r="D1284" s="191">
        <v>32</v>
      </c>
      <c r="E1284" s="77">
        <v>6</v>
      </c>
      <c r="F1284" s="1"/>
      <c r="G1284" s="76">
        <v>0.29166666666666669</v>
      </c>
      <c r="H1284" s="76">
        <v>0.5</v>
      </c>
      <c r="I1284" s="173" t="s">
        <v>1327</v>
      </c>
      <c r="J1284" s="23">
        <v>6</v>
      </c>
      <c r="K1284" s="68">
        <v>6.9444444444444441E-3</v>
      </c>
      <c r="L1284" s="68">
        <v>0.33333333333333331</v>
      </c>
      <c r="M1284" s="68">
        <v>0.56944444444444442</v>
      </c>
      <c r="N1284" s="173" t="s">
        <v>1258</v>
      </c>
      <c r="O1284" s="23">
        <v>3540</v>
      </c>
      <c r="P1284" s="70">
        <v>0.29166666666666669</v>
      </c>
      <c r="Q1284" s="70">
        <v>0.56944444444444442</v>
      </c>
      <c r="R1284" s="229" t="s">
        <v>1339</v>
      </c>
    </row>
    <row r="1285" spans="1:18" x14ac:dyDescent="0.4">
      <c r="A1285" s="212">
        <v>45925</v>
      </c>
      <c r="B1285" s="139" t="s">
        <v>472</v>
      </c>
      <c r="C1285" s="140" t="s">
        <v>285</v>
      </c>
      <c r="D1285" s="191">
        <v>4</v>
      </c>
      <c r="E1285" s="77">
        <v>4</v>
      </c>
      <c r="F1285" s="1"/>
      <c r="G1285" s="76">
        <v>0.54166666666666663</v>
      </c>
      <c r="H1285" s="76">
        <v>0.60416666666666663</v>
      </c>
      <c r="I1285" s="173" t="s">
        <v>1375</v>
      </c>
      <c r="J1285" s="23">
        <v>9</v>
      </c>
      <c r="K1285" s="68">
        <v>6.9444444444444441E-3</v>
      </c>
      <c r="L1285" s="68">
        <v>0.56944444444444442</v>
      </c>
      <c r="M1285" s="68">
        <v>0.64583333333333337</v>
      </c>
      <c r="N1285" s="173" t="s">
        <v>1296</v>
      </c>
      <c r="O1285" s="23">
        <v>1440</v>
      </c>
      <c r="P1285" s="70">
        <v>0.54166666666666663</v>
      </c>
      <c r="Q1285" s="70">
        <v>0.64583333333333337</v>
      </c>
      <c r="R1285" s="229" t="s">
        <v>1298</v>
      </c>
    </row>
    <row r="1286" spans="1:18" x14ac:dyDescent="0.4">
      <c r="A1286" s="212">
        <v>45925</v>
      </c>
      <c r="B1286" s="139" t="s">
        <v>456</v>
      </c>
      <c r="C1286" s="140" t="s">
        <v>287</v>
      </c>
      <c r="D1286" s="191">
        <v>3</v>
      </c>
      <c r="E1286" s="77">
        <v>4</v>
      </c>
      <c r="F1286" s="1"/>
      <c r="G1286" s="76">
        <v>0.60416666666666663</v>
      </c>
      <c r="H1286" s="76">
        <v>0.70833333333333337</v>
      </c>
      <c r="I1286" s="173" t="s">
        <v>1298</v>
      </c>
      <c r="J1286" s="23">
        <v>12</v>
      </c>
      <c r="K1286" s="68">
        <v>6.9444444444444441E-3</v>
      </c>
      <c r="L1286" s="68">
        <v>0.64583333333333337</v>
      </c>
      <c r="M1286" s="68">
        <v>0.72916666666666663</v>
      </c>
      <c r="N1286" s="173" t="s">
        <v>1248</v>
      </c>
      <c r="O1286" s="23">
        <v>2160</v>
      </c>
      <c r="P1286" s="70">
        <v>0.60416666666666663</v>
      </c>
      <c r="Q1286" s="70">
        <v>0.72916666666666663</v>
      </c>
      <c r="R1286" s="229" t="s">
        <v>1316</v>
      </c>
    </row>
    <row r="1287" spans="1:18" x14ac:dyDescent="0.4">
      <c r="A1287" s="212">
        <v>45925</v>
      </c>
      <c r="B1287" s="139" t="s">
        <v>107</v>
      </c>
      <c r="C1287" s="140" t="s">
        <v>314</v>
      </c>
      <c r="D1287" s="191">
        <v>16</v>
      </c>
      <c r="E1287" s="77">
        <v>5</v>
      </c>
      <c r="F1287" s="1"/>
      <c r="G1287" s="76">
        <v>0.29166666666666669</v>
      </c>
      <c r="H1287" s="76">
        <v>0.42569444444444443</v>
      </c>
      <c r="I1287" s="173" t="s">
        <v>1569</v>
      </c>
      <c r="J1287" s="23">
        <v>3</v>
      </c>
      <c r="K1287" s="68">
        <v>1.0416666666666666E-2</v>
      </c>
      <c r="L1287" s="68">
        <v>0.33333333333333331</v>
      </c>
      <c r="M1287" s="68">
        <v>0.4513888888888889</v>
      </c>
      <c r="N1287" s="173" t="s">
        <v>1251</v>
      </c>
      <c r="O1287" s="23">
        <v>1520</v>
      </c>
      <c r="P1287" s="70">
        <v>0.29166666666666669</v>
      </c>
      <c r="Q1287" s="70">
        <v>0.4513888888888889</v>
      </c>
      <c r="R1287" s="229" t="s">
        <v>1332</v>
      </c>
    </row>
    <row r="1288" spans="1:18" x14ac:dyDescent="0.4">
      <c r="A1288" s="212">
        <v>45925</v>
      </c>
      <c r="B1288" s="139" t="s">
        <v>63</v>
      </c>
      <c r="C1288" s="140" t="s">
        <v>267</v>
      </c>
      <c r="D1288" s="191">
        <v>28</v>
      </c>
      <c r="E1288" s="77">
        <v>5</v>
      </c>
      <c r="F1288" s="1"/>
      <c r="G1288" s="76">
        <v>0.42569444444444443</v>
      </c>
      <c r="H1288" s="76">
        <v>0.70833333333333337</v>
      </c>
      <c r="I1288" s="173" t="s">
        <v>1641</v>
      </c>
      <c r="J1288" s="23">
        <v>3</v>
      </c>
      <c r="K1288" s="68">
        <v>1.0416666666666666E-2</v>
      </c>
      <c r="L1288" s="68">
        <v>0.4513888888888889</v>
      </c>
      <c r="M1288" s="68">
        <v>0.72916666666666663</v>
      </c>
      <c r="N1288" s="173" t="s">
        <v>1358</v>
      </c>
      <c r="O1288" s="23">
        <v>2800</v>
      </c>
      <c r="P1288" s="70">
        <v>0.42569444444444443</v>
      </c>
      <c r="Q1288" s="70">
        <v>0.72916666666666663</v>
      </c>
      <c r="R1288" s="229" t="s">
        <v>1642</v>
      </c>
    </row>
    <row r="1289" spans="1:18" x14ac:dyDescent="0.4">
      <c r="A1289" s="212">
        <v>45925</v>
      </c>
      <c r="B1289" s="139" t="s">
        <v>131</v>
      </c>
      <c r="C1289" s="140" t="s">
        <v>274</v>
      </c>
      <c r="D1289" s="191">
        <v>40</v>
      </c>
      <c r="E1289" s="77">
        <v>3</v>
      </c>
      <c r="F1289" s="76">
        <v>0.10416666666666667</v>
      </c>
      <c r="G1289" s="76">
        <v>0.29166666666666669</v>
      </c>
      <c r="H1289" s="76">
        <v>0.4861111111111111</v>
      </c>
      <c r="I1289" s="173" t="s">
        <v>1403</v>
      </c>
      <c r="J1289" s="23">
        <v>4</v>
      </c>
      <c r="K1289" s="23"/>
      <c r="L1289" s="68">
        <v>0.29166666666666669</v>
      </c>
      <c r="M1289" s="68">
        <v>0.57291666666666663</v>
      </c>
      <c r="N1289" s="173" t="s">
        <v>1330</v>
      </c>
      <c r="O1289" s="23">
        <v>2670</v>
      </c>
      <c r="P1289" s="70">
        <v>0.29166666666666669</v>
      </c>
      <c r="Q1289" s="70">
        <v>0.57291666666666663</v>
      </c>
      <c r="R1289" s="229" t="s">
        <v>1330</v>
      </c>
    </row>
    <row r="1290" spans="1:18" x14ac:dyDescent="0.4">
      <c r="A1290" s="212">
        <v>45926</v>
      </c>
      <c r="B1290" s="139" t="s">
        <v>54</v>
      </c>
      <c r="C1290" s="140" t="s">
        <v>251</v>
      </c>
      <c r="D1290" s="191">
        <v>28</v>
      </c>
      <c r="E1290" s="77">
        <v>5</v>
      </c>
      <c r="F1290" s="1"/>
      <c r="G1290" s="76">
        <v>0.29166666666666669</v>
      </c>
      <c r="H1290" s="76">
        <v>0.57291666666666663</v>
      </c>
      <c r="I1290" s="173" t="s">
        <v>1330</v>
      </c>
      <c r="J1290" s="23">
        <v>3</v>
      </c>
      <c r="K1290" s="68">
        <v>1.3888888888888888E-2</v>
      </c>
      <c r="L1290" s="68">
        <v>0.34027777777777773</v>
      </c>
      <c r="M1290" s="68">
        <v>0.61805555555555558</v>
      </c>
      <c r="N1290" s="173" t="s">
        <v>1321</v>
      </c>
      <c r="O1290" s="23">
        <v>2805</v>
      </c>
      <c r="P1290" s="70">
        <v>0.29166666666666669</v>
      </c>
      <c r="Q1290" s="70">
        <v>0.61805555555555558</v>
      </c>
      <c r="R1290" s="229" t="s">
        <v>1337</v>
      </c>
    </row>
    <row r="1291" spans="1:18" x14ac:dyDescent="0.4">
      <c r="A1291" s="212">
        <v>45926</v>
      </c>
      <c r="B1291" s="139" t="s">
        <v>51</v>
      </c>
      <c r="C1291" s="140" t="s">
        <v>253</v>
      </c>
      <c r="D1291" s="191">
        <v>20</v>
      </c>
      <c r="E1291" s="77">
        <v>5</v>
      </c>
      <c r="F1291" s="1"/>
      <c r="G1291" s="76">
        <v>0.57291666666666663</v>
      </c>
      <c r="H1291" s="76">
        <v>0.75</v>
      </c>
      <c r="I1291" s="173" t="s">
        <v>1259</v>
      </c>
      <c r="J1291" s="23">
        <v>3</v>
      </c>
      <c r="K1291" s="68">
        <v>1.3888888888888888E-2</v>
      </c>
      <c r="L1291" s="68">
        <v>0.61805555555555558</v>
      </c>
      <c r="M1291" s="68">
        <v>0.77083333333333337</v>
      </c>
      <c r="N1291" s="173" t="s">
        <v>1244</v>
      </c>
      <c r="O1291" s="23">
        <v>1995</v>
      </c>
      <c r="P1291" s="70">
        <v>0.57291666666666663</v>
      </c>
      <c r="Q1291" s="70">
        <v>0.77083333333333337</v>
      </c>
      <c r="R1291" s="229" t="s">
        <v>1335</v>
      </c>
    </row>
    <row r="1292" spans="1:18" x14ac:dyDescent="0.4">
      <c r="A1292" s="212">
        <v>45926</v>
      </c>
      <c r="B1292" s="139" t="s">
        <v>118</v>
      </c>
      <c r="C1292" s="140" t="s">
        <v>318</v>
      </c>
      <c r="D1292" s="191">
        <v>4</v>
      </c>
      <c r="E1292" s="77">
        <v>5</v>
      </c>
      <c r="F1292" s="1"/>
      <c r="G1292" s="76">
        <v>0.29166666666666669</v>
      </c>
      <c r="H1292" s="76">
        <v>0.34652777777777777</v>
      </c>
      <c r="I1292" s="173" t="s">
        <v>1611</v>
      </c>
      <c r="J1292" s="23">
        <v>4</v>
      </c>
      <c r="K1292" s="68">
        <v>6.9444444444444441E-3</v>
      </c>
      <c r="L1292" s="68">
        <v>0.33333333333333331</v>
      </c>
      <c r="M1292" s="68">
        <v>0.39583333333333331</v>
      </c>
      <c r="N1292" s="173" t="s">
        <v>1386</v>
      </c>
      <c r="O1292" s="23">
        <v>795</v>
      </c>
      <c r="P1292" s="70">
        <v>0.29166666666666669</v>
      </c>
      <c r="Q1292" s="70">
        <v>0.39583333333333331</v>
      </c>
      <c r="R1292" s="229" t="s">
        <v>1298</v>
      </c>
    </row>
    <row r="1293" spans="1:18" x14ac:dyDescent="0.4">
      <c r="A1293" s="212">
        <v>45926</v>
      </c>
      <c r="B1293" s="139" t="s">
        <v>55</v>
      </c>
      <c r="C1293" s="140" t="s">
        <v>208</v>
      </c>
      <c r="D1293" s="191">
        <v>20</v>
      </c>
      <c r="E1293" s="77">
        <v>5</v>
      </c>
      <c r="F1293" s="1"/>
      <c r="G1293" s="76">
        <v>0.34652777777777777</v>
      </c>
      <c r="H1293" s="76">
        <v>0.57916666666666672</v>
      </c>
      <c r="I1293" s="173" t="s">
        <v>1304</v>
      </c>
      <c r="J1293" s="23">
        <v>4</v>
      </c>
      <c r="K1293" s="68">
        <v>6.9444444444444441E-3</v>
      </c>
      <c r="L1293" s="68">
        <v>0.39583333333333331</v>
      </c>
      <c r="M1293" s="68">
        <v>0.63194444444444442</v>
      </c>
      <c r="N1293" s="173" t="s">
        <v>1258</v>
      </c>
      <c r="O1293" s="23">
        <v>2535</v>
      </c>
      <c r="P1293" s="70">
        <v>0.34652777777777777</v>
      </c>
      <c r="Q1293" s="70">
        <v>0.63194444444444442</v>
      </c>
      <c r="R1293" s="229" t="s">
        <v>1400</v>
      </c>
    </row>
    <row r="1294" spans="1:18" x14ac:dyDescent="0.4">
      <c r="A1294" s="212">
        <v>45926</v>
      </c>
      <c r="B1294" s="139" t="s">
        <v>547</v>
      </c>
      <c r="C1294" s="140" t="s">
        <v>205</v>
      </c>
      <c r="D1294" s="191">
        <v>12</v>
      </c>
      <c r="E1294" s="77">
        <v>5</v>
      </c>
      <c r="F1294" s="1"/>
      <c r="G1294" s="76">
        <v>0.57916666666666672</v>
      </c>
      <c r="H1294" s="76">
        <v>0.70833333333333337</v>
      </c>
      <c r="I1294" s="173" t="s">
        <v>1407</v>
      </c>
      <c r="J1294" s="23">
        <v>4</v>
      </c>
      <c r="K1294" s="68">
        <v>6.9444444444444441E-3</v>
      </c>
      <c r="L1294" s="68">
        <v>0.63194444444444442</v>
      </c>
      <c r="M1294" s="68">
        <v>0.75</v>
      </c>
      <c r="N1294" s="173" t="s">
        <v>1316</v>
      </c>
      <c r="O1294" s="23">
        <v>1650</v>
      </c>
      <c r="P1294" s="70">
        <v>0.57916666666666672</v>
      </c>
      <c r="Q1294" s="70">
        <v>0.75</v>
      </c>
      <c r="R1294" s="229" t="s">
        <v>1366</v>
      </c>
    </row>
    <row r="1295" spans="1:18" x14ac:dyDescent="0.4">
      <c r="A1295" s="212">
        <v>45926</v>
      </c>
      <c r="B1295" s="139" t="s">
        <v>82</v>
      </c>
      <c r="C1295" s="140" t="s">
        <v>171</v>
      </c>
      <c r="D1295" s="191">
        <v>40</v>
      </c>
      <c r="E1295" s="77">
        <v>3</v>
      </c>
      <c r="F1295" s="76">
        <v>4.1666666666666664E-2</v>
      </c>
      <c r="G1295" s="76">
        <v>0.29166666666666669</v>
      </c>
      <c r="H1295" s="76">
        <v>0.66319444444444442</v>
      </c>
      <c r="I1295" s="173" t="s">
        <v>1629</v>
      </c>
      <c r="J1295" s="23">
        <v>7</v>
      </c>
      <c r="K1295" s="23"/>
      <c r="L1295" s="68">
        <v>0.29166666666666669</v>
      </c>
      <c r="M1295" s="68">
        <v>0.75</v>
      </c>
      <c r="N1295" s="173" t="s">
        <v>1308</v>
      </c>
      <c r="O1295" s="23">
        <v>5805</v>
      </c>
      <c r="P1295" s="70">
        <v>0.29166666666666669</v>
      </c>
      <c r="Q1295" s="70">
        <v>0.75</v>
      </c>
      <c r="R1295" s="229" t="s">
        <v>1308</v>
      </c>
    </row>
    <row r="1296" spans="1:18" x14ac:dyDescent="0.4">
      <c r="A1296" s="246">
        <v>45926</v>
      </c>
      <c r="B1296" s="102" t="s">
        <v>500</v>
      </c>
      <c r="C1296" s="136" t="s">
        <v>506</v>
      </c>
      <c r="D1296" s="193">
        <v>50</v>
      </c>
      <c r="E1296" s="103"/>
      <c r="F1296" s="104"/>
      <c r="G1296" s="184"/>
      <c r="H1296" s="184"/>
      <c r="I1296" s="225" t="s">
        <v>1002</v>
      </c>
      <c r="J1296" s="105"/>
      <c r="K1296" s="105"/>
      <c r="L1296" s="106"/>
      <c r="M1296" s="106"/>
      <c r="N1296" s="225" t="s">
        <v>1002</v>
      </c>
      <c r="O1296" s="105">
        <v>0</v>
      </c>
      <c r="P1296" s="247">
        <v>0</v>
      </c>
      <c r="Q1296" s="247">
        <v>0</v>
      </c>
      <c r="R1296" s="232" t="s">
        <v>1002</v>
      </c>
    </row>
    <row r="1297" spans="1:18" x14ac:dyDescent="0.4">
      <c r="A1297" s="212">
        <v>45930</v>
      </c>
      <c r="B1297" s="139" t="s">
        <v>71</v>
      </c>
      <c r="C1297" s="30" t="s">
        <v>176</v>
      </c>
      <c r="D1297" s="191">
        <v>72</v>
      </c>
      <c r="E1297" s="77">
        <v>6</v>
      </c>
      <c r="F1297" s="1"/>
      <c r="G1297" s="76">
        <v>0.29166666666666669</v>
      </c>
      <c r="H1297" s="76">
        <v>0.66666666666666663</v>
      </c>
      <c r="I1297" s="173" t="s">
        <v>1292</v>
      </c>
      <c r="J1297" s="23">
        <v>6</v>
      </c>
      <c r="K1297" s="23"/>
      <c r="L1297" s="68">
        <v>0.3125</v>
      </c>
      <c r="M1297" s="68">
        <v>0.70833333333333337</v>
      </c>
      <c r="N1297" s="173" t="s">
        <v>990</v>
      </c>
      <c r="O1297" s="23">
        <v>5940</v>
      </c>
      <c r="P1297" s="70">
        <v>0.29166666666666669</v>
      </c>
      <c r="Q1297" s="70">
        <v>0.70833333333333337</v>
      </c>
      <c r="R1297" s="229" t="s">
        <v>1252</v>
      </c>
    </row>
    <row r="1298" spans="1:18" x14ac:dyDescent="0.4">
      <c r="A1298" s="212">
        <v>45930</v>
      </c>
      <c r="B1298" s="139" t="s">
        <v>109</v>
      </c>
      <c r="C1298" s="30" t="s">
        <v>263</v>
      </c>
      <c r="D1298" s="191">
        <v>12</v>
      </c>
      <c r="E1298" s="77">
        <v>5</v>
      </c>
      <c r="F1298" s="1"/>
      <c r="G1298" s="76">
        <v>0.39583333333333331</v>
      </c>
      <c r="H1298" s="76">
        <v>0.5</v>
      </c>
      <c r="I1298" s="173" t="s">
        <v>1298</v>
      </c>
      <c r="J1298" s="23">
        <v>3</v>
      </c>
      <c r="K1298" s="68">
        <v>6.9444444444444441E-3</v>
      </c>
      <c r="L1298" s="68">
        <v>0.4236111111111111</v>
      </c>
      <c r="M1298" s="68">
        <v>0.56597222222222221</v>
      </c>
      <c r="N1298" s="173" t="s">
        <v>1301</v>
      </c>
      <c r="O1298" s="23">
        <v>1215</v>
      </c>
      <c r="P1298" s="70">
        <v>0.39583333333333331</v>
      </c>
      <c r="Q1298" s="70">
        <v>0.56597222222222221</v>
      </c>
      <c r="R1298" s="229" t="s">
        <v>1251</v>
      </c>
    </row>
    <row r="1299" spans="1:18" x14ac:dyDescent="0.4">
      <c r="A1299" s="212">
        <v>45930</v>
      </c>
      <c r="B1299" s="139" t="s">
        <v>1045</v>
      </c>
      <c r="C1299" s="30" t="s">
        <v>1056</v>
      </c>
      <c r="D1299" s="191">
        <v>12</v>
      </c>
      <c r="E1299" s="77">
        <v>5</v>
      </c>
      <c r="F1299" s="1"/>
      <c r="G1299" s="76">
        <v>0.29166666666666669</v>
      </c>
      <c r="H1299" s="76">
        <v>0.39583333333333331</v>
      </c>
      <c r="I1299" s="173" t="s">
        <v>1298</v>
      </c>
      <c r="J1299" s="23">
        <v>3</v>
      </c>
      <c r="K1299" s="68">
        <v>6.9444444444444441E-3</v>
      </c>
      <c r="L1299" s="68">
        <v>0.33333333333333331</v>
      </c>
      <c r="M1299" s="68">
        <v>0.4236111111111111</v>
      </c>
      <c r="N1299" s="173" t="s">
        <v>1313</v>
      </c>
      <c r="O1299" s="23">
        <v>1170</v>
      </c>
      <c r="P1299" s="70">
        <v>0.29166666666666669</v>
      </c>
      <c r="Q1299" s="70">
        <v>0.4236111111111111</v>
      </c>
      <c r="R1299" s="229" t="s">
        <v>1256</v>
      </c>
    </row>
    <row r="1300" spans="1:18" x14ac:dyDescent="0.4">
      <c r="A1300" s="212">
        <v>45930</v>
      </c>
      <c r="B1300" s="139" t="s">
        <v>63</v>
      </c>
      <c r="C1300" s="30" t="s">
        <v>267</v>
      </c>
      <c r="D1300" s="191">
        <v>20</v>
      </c>
      <c r="E1300" s="77">
        <v>5</v>
      </c>
      <c r="F1300" s="1"/>
      <c r="G1300" s="76">
        <v>0.54166666666666663</v>
      </c>
      <c r="H1300" s="76">
        <v>0.72916666666666663</v>
      </c>
      <c r="I1300" s="173" t="s">
        <v>1243</v>
      </c>
      <c r="J1300" s="23">
        <v>3</v>
      </c>
      <c r="K1300" s="68">
        <v>6.9444444444444441E-3</v>
      </c>
      <c r="L1300" s="68">
        <v>0.56597222222222221</v>
      </c>
      <c r="M1300" s="68">
        <v>0.70833333333333337</v>
      </c>
      <c r="N1300" s="173" t="s">
        <v>1355</v>
      </c>
      <c r="O1300" s="23">
        <v>1995</v>
      </c>
      <c r="P1300" s="70">
        <v>0.54166666666666663</v>
      </c>
      <c r="Q1300" s="70">
        <v>0.72916666666666663</v>
      </c>
      <c r="R1300" s="229" t="s">
        <v>1243</v>
      </c>
    </row>
    <row r="1301" spans="1:18" x14ac:dyDescent="0.4">
      <c r="A1301" s="212">
        <v>45930</v>
      </c>
      <c r="B1301" s="139" t="s">
        <v>58</v>
      </c>
      <c r="C1301" s="30" t="s">
        <v>165</v>
      </c>
      <c r="D1301" s="191">
        <v>44</v>
      </c>
      <c r="E1301" s="77">
        <v>3</v>
      </c>
      <c r="F1301" s="76">
        <v>2.0833333333333332E-2</v>
      </c>
      <c r="G1301" s="76">
        <v>0.29166666666666669</v>
      </c>
      <c r="H1301" s="76">
        <v>0.65972222222222221</v>
      </c>
      <c r="I1301" s="173" t="s">
        <v>1465</v>
      </c>
      <c r="J1301" s="23">
        <v>6</v>
      </c>
      <c r="K1301" s="23"/>
      <c r="L1301" s="68">
        <v>0.29166666666666669</v>
      </c>
      <c r="M1301" s="68">
        <v>0.72222222222222221</v>
      </c>
      <c r="N1301" s="173" t="s">
        <v>1575</v>
      </c>
      <c r="O1301" s="23">
        <v>4860</v>
      </c>
      <c r="P1301" s="70">
        <v>0.29166666666666669</v>
      </c>
      <c r="Q1301" s="70">
        <v>0.72222222222222221</v>
      </c>
      <c r="R1301" s="229" t="s">
        <v>1575</v>
      </c>
    </row>
    <row r="1302" spans="1:18" x14ac:dyDescent="0.4">
      <c r="A1302" s="212">
        <v>45931</v>
      </c>
      <c r="B1302" s="139" t="s">
        <v>61</v>
      </c>
      <c r="C1302" s="30" t="s">
        <v>156</v>
      </c>
      <c r="D1302" s="191">
        <v>40</v>
      </c>
      <c r="E1302" s="77">
        <v>5</v>
      </c>
      <c r="F1302" s="1"/>
      <c r="G1302" s="76">
        <v>0.29166666666666669</v>
      </c>
      <c r="H1302" s="76">
        <v>0.66666666666666663</v>
      </c>
      <c r="I1302" s="173" t="s">
        <v>1292</v>
      </c>
      <c r="J1302" s="23">
        <v>10</v>
      </c>
      <c r="K1302" s="23"/>
      <c r="L1302" s="68">
        <v>0.3125</v>
      </c>
      <c r="M1302" s="68">
        <v>0.70833333333333337</v>
      </c>
      <c r="N1302" s="173" t="s">
        <v>990</v>
      </c>
      <c r="O1302" s="23">
        <v>7500</v>
      </c>
      <c r="P1302" s="70">
        <v>0.29166666666666669</v>
      </c>
      <c r="Q1302" s="70">
        <v>0.70833333333333337</v>
      </c>
      <c r="R1302" s="229" t="s">
        <v>1252</v>
      </c>
    </row>
    <row r="1303" spans="1:18" x14ac:dyDescent="0.4">
      <c r="A1303" s="212">
        <v>45931</v>
      </c>
      <c r="B1303" s="139" t="s">
        <v>88</v>
      </c>
      <c r="C1303" s="30" t="s">
        <v>328</v>
      </c>
      <c r="D1303" s="191">
        <v>16</v>
      </c>
      <c r="E1303" s="77">
        <v>5</v>
      </c>
      <c r="F1303" s="1"/>
      <c r="G1303" s="76">
        <v>0.29166666666666669</v>
      </c>
      <c r="H1303" s="76">
        <v>0.4236111111111111</v>
      </c>
      <c r="I1303" s="173" t="s">
        <v>1256</v>
      </c>
      <c r="J1303" s="23">
        <v>3</v>
      </c>
      <c r="K1303" s="68">
        <v>1.0416666666666666E-2</v>
      </c>
      <c r="L1303" s="68">
        <v>0.33333333333333331</v>
      </c>
      <c r="M1303" s="68">
        <v>0.44444444444444442</v>
      </c>
      <c r="N1303" s="173" t="s">
        <v>1326</v>
      </c>
      <c r="O1303" s="23">
        <v>1475</v>
      </c>
      <c r="P1303" s="70">
        <v>0.29166666666666669</v>
      </c>
      <c r="Q1303" s="70">
        <v>0.44444444444444442</v>
      </c>
      <c r="R1303" s="229" t="s">
        <v>1254</v>
      </c>
    </row>
    <row r="1304" spans="1:18" x14ac:dyDescent="0.4">
      <c r="A1304" s="212">
        <v>45931</v>
      </c>
      <c r="B1304" s="139" t="s">
        <v>63</v>
      </c>
      <c r="C1304" s="30" t="s">
        <v>267</v>
      </c>
      <c r="D1304" s="191">
        <v>24</v>
      </c>
      <c r="E1304" s="77">
        <v>5</v>
      </c>
      <c r="F1304" s="1"/>
      <c r="G1304" s="76">
        <v>0.4236111111111111</v>
      </c>
      <c r="H1304" s="76">
        <v>0.6875</v>
      </c>
      <c r="I1304" s="173" t="s">
        <v>1357</v>
      </c>
      <c r="J1304" s="23">
        <v>3</v>
      </c>
      <c r="K1304" s="68">
        <v>1.0416666666666666E-2</v>
      </c>
      <c r="L1304" s="68">
        <v>0.44444444444444442</v>
      </c>
      <c r="M1304" s="68">
        <v>0.6875</v>
      </c>
      <c r="N1304" s="173" t="s">
        <v>1466</v>
      </c>
      <c r="O1304" s="23">
        <v>2515</v>
      </c>
      <c r="P1304" s="70">
        <v>0.4236111111111111</v>
      </c>
      <c r="Q1304" s="70">
        <v>0.6875</v>
      </c>
      <c r="R1304" s="229" t="s">
        <v>1357</v>
      </c>
    </row>
    <row r="1305" spans="1:18" x14ac:dyDescent="0.4">
      <c r="A1305" s="212">
        <v>45931</v>
      </c>
      <c r="B1305" s="139" t="s">
        <v>73</v>
      </c>
      <c r="C1305" s="30" t="s">
        <v>231</v>
      </c>
      <c r="D1305" s="191">
        <v>21</v>
      </c>
      <c r="E1305" s="77">
        <v>5</v>
      </c>
      <c r="F1305" s="1"/>
      <c r="G1305" s="76">
        <v>0.29166666666666669</v>
      </c>
      <c r="H1305" s="76">
        <v>0.58333333333333337</v>
      </c>
      <c r="I1305" s="173" t="s">
        <v>1321</v>
      </c>
      <c r="J1305" s="23">
        <v>7</v>
      </c>
      <c r="K1305" s="23"/>
      <c r="L1305" s="68">
        <v>0.33333333333333331</v>
      </c>
      <c r="M1305" s="68">
        <v>0.70833333333333337</v>
      </c>
      <c r="N1305" s="173" t="s">
        <v>1292</v>
      </c>
      <c r="O1305" s="23">
        <v>5160</v>
      </c>
      <c r="P1305" s="70">
        <v>0.29166666666666669</v>
      </c>
      <c r="Q1305" s="70">
        <v>0.70833333333333337</v>
      </c>
      <c r="R1305" s="229" t="s">
        <v>1252</v>
      </c>
    </row>
    <row r="1306" spans="1:18" x14ac:dyDescent="0.4">
      <c r="A1306" s="212">
        <v>45932</v>
      </c>
      <c r="B1306" s="139" t="s">
        <v>71</v>
      </c>
      <c r="C1306" s="30" t="s">
        <v>176</v>
      </c>
      <c r="D1306" s="191">
        <v>72</v>
      </c>
      <c r="E1306" s="77">
        <v>6</v>
      </c>
      <c r="F1306" s="1"/>
      <c r="G1306" s="76">
        <v>0.29166666666666669</v>
      </c>
      <c r="H1306" s="76">
        <v>0.66666666666666663</v>
      </c>
      <c r="I1306" s="173" t="s">
        <v>1292</v>
      </c>
      <c r="J1306" s="23">
        <v>5</v>
      </c>
      <c r="K1306" s="68">
        <v>2.0833333333333332E-2</v>
      </c>
      <c r="L1306" s="68">
        <v>0.33333333333333331</v>
      </c>
      <c r="M1306" s="68">
        <v>0.70833333333333337</v>
      </c>
      <c r="N1306" s="173" t="s">
        <v>990</v>
      </c>
      <c r="O1306" s="23">
        <v>5430</v>
      </c>
      <c r="P1306" s="70">
        <v>0.29166666666666669</v>
      </c>
      <c r="Q1306" s="70">
        <v>0.70833333333333337</v>
      </c>
      <c r="R1306" s="229" t="s">
        <v>1252</v>
      </c>
    </row>
    <row r="1307" spans="1:18" x14ac:dyDescent="0.4">
      <c r="A1307" s="212">
        <v>45932</v>
      </c>
      <c r="B1307" s="139" t="s">
        <v>64</v>
      </c>
      <c r="C1307" s="30" t="s">
        <v>271</v>
      </c>
      <c r="D1307" s="191">
        <v>20</v>
      </c>
      <c r="E1307" s="77">
        <v>5</v>
      </c>
      <c r="F1307" s="1"/>
      <c r="G1307" s="76">
        <v>0.29166666666666669</v>
      </c>
      <c r="H1307" s="76">
        <v>0.45694444444444443</v>
      </c>
      <c r="I1307" s="173" t="s">
        <v>1310</v>
      </c>
      <c r="J1307" s="23">
        <v>3</v>
      </c>
      <c r="K1307" s="68">
        <v>1.0416666666666666E-2</v>
      </c>
      <c r="L1307" s="68">
        <v>0.33333333333333331</v>
      </c>
      <c r="M1307" s="68">
        <v>0.4826388888888889</v>
      </c>
      <c r="N1307" s="173" t="s">
        <v>1332</v>
      </c>
      <c r="O1307" s="23">
        <v>1880</v>
      </c>
      <c r="P1307" s="70">
        <v>0.29166666666666669</v>
      </c>
      <c r="Q1307" s="70">
        <v>0.4826388888888889</v>
      </c>
      <c r="R1307" s="229" t="s">
        <v>1304</v>
      </c>
    </row>
    <row r="1308" spans="1:18" x14ac:dyDescent="0.4">
      <c r="A1308" s="212">
        <v>45932</v>
      </c>
      <c r="B1308" s="139" t="s">
        <v>63</v>
      </c>
      <c r="C1308" s="30" t="s">
        <v>267</v>
      </c>
      <c r="D1308" s="191">
        <v>24</v>
      </c>
      <c r="E1308" s="77">
        <v>5</v>
      </c>
      <c r="F1308" s="1"/>
      <c r="G1308" s="76">
        <v>0.45694444444444443</v>
      </c>
      <c r="H1308" s="76">
        <v>0.70833333333333337</v>
      </c>
      <c r="I1308" s="173" t="s">
        <v>1583</v>
      </c>
      <c r="J1308" s="23">
        <v>3</v>
      </c>
      <c r="K1308" s="68">
        <v>1.0416666666666666E-2</v>
      </c>
      <c r="L1308" s="68">
        <v>0.4826388888888889</v>
      </c>
      <c r="M1308" s="68">
        <v>0.72916666666666663</v>
      </c>
      <c r="N1308" s="173" t="s">
        <v>1257</v>
      </c>
      <c r="O1308" s="23">
        <v>2440</v>
      </c>
      <c r="P1308" s="70">
        <v>0.45694444444444443</v>
      </c>
      <c r="Q1308" s="70">
        <v>0.72916666666666663</v>
      </c>
      <c r="R1308" s="229" t="s">
        <v>1393</v>
      </c>
    </row>
    <row r="1309" spans="1:18" x14ac:dyDescent="0.4">
      <c r="A1309" s="212">
        <v>45932</v>
      </c>
      <c r="B1309" s="139" t="s">
        <v>108</v>
      </c>
      <c r="C1309" s="30" t="s">
        <v>231</v>
      </c>
      <c r="D1309" s="191">
        <v>21</v>
      </c>
      <c r="E1309" s="77">
        <v>5</v>
      </c>
      <c r="F1309" s="76">
        <v>2.0833333333333332E-2</v>
      </c>
      <c r="G1309" s="76">
        <v>0.29166666666666669</v>
      </c>
      <c r="H1309" s="76">
        <v>0.68055555555555547</v>
      </c>
      <c r="I1309" s="173" t="s">
        <v>1395</v>
      </c>
      <c r="J1309" s="23">
        <v>7</v>
      </c>
      <c r="K1309" s="68">
        <v>2.0833333333333332E-2</v>
      </c>
      <c r="L1309" s="68">
        <v>0.33333333333333331</v>
      </c>
      <c r="M1309" s="68">
        <v>0.70833333333333337</v>
      </c>
      <c r="N1309" s="173" t="s">
        <v>990</v>
      </c>
      <c r="O1309" s="23">
        <v>6220</v>
      </c>
      <c r="P1309" s="70">
        <v>0.29166666666666669</v>
      </c>
      <c r="Q1309" s="70">
        <v>0.70833333333333337</v>
      </c>
      <c r="R1309" s="229" t="s">
        <v>1252</v>
      </c>
    </row>
    <row r="1310" spans="1:18" x14ac:dyDescent="0.4">
      <c r="A1310" s="212">
        <v>45933</v>
      </c>
      <c r="B1310" s="139" t="s">
        <v>158</v>
      </c>
      <c r="C1310" s="30" t="s">
        <v>159</v>
      </c>
      <c r="D1310" s="191">
        <v>4</v>
      </c>
      <c r="E1310" s="77">
        <v>4</v>
      </c>
      <c r="F1310" s="1"/>
      <c r="G1310" s="76">
        <v>0.29166666666666669</v>
      </c>
      <c r="H1310" s="76">
        <v>0.37291666666666662</v>
      </c>
      <c r="I1310" s="173" t="s">
        <v>1423</v>
      </c>
      <c r="J1310" s="23">
        <v>9</v>
      </c>
      <c r="K1310" s="68">
        <v>6.9444444444444441E-3</v>
      </c>
      <c r="L1310" s="68">
        <v>0.33333333333333331</v>
      </c>
      <c r="M1310" s="68">
        <v>0.43055555555555558</v>
      </c>
      <c r="N1310" s="173" t="s">
        <v>1298</v>
      </c>
      <c r="O1310" s="23">
        <v>1818</v>
      </c>
      <c r="P1310" s="70">
        <v>0.29166666666666669</v>
      </c>
      <c r="Q1310" s="70">
        <v>0.43055555555555558</v>
      </c>
      <c r="R1310" s="229" t="s">
        <v>1250</v>
      </c>
    </row>
    <row r="1311" spans="1:18" x14ac:dyDescent="0.4">
      <c r="A1311" s="212">
        <v>45933</v>
      </c>
      <c r="B1311" s="139" t="s">
        <v>887</v>
      </c>
      <c r="C1311" s="30" t="s">
        <v>888</v>
      </c>
      <c r="D1311" s="191">
        <v>5</v>
      </c>
      <c r="E1311" s="77">
        <v>4</v>
      </c>
      <c r="F1311" s="1"/>
      <c r="G1311" s="76">
        <v>0.54166666666666663</v>
      </c>
      <c r="H1311" s="76">
        <v>0.66666666666666663</v>
      </c>
      <c r="I1311" s="173" t="s">
        <v>1316</v>
      </c>
      <c r="J1311" s="23">
        <v>9</v>
      </c>
      <c r="K1311" s="68">
        <v>6.9444444444444441E-3</v>
      </c>
      <c r="L1311" s="68">
        <v>0.58333333333333337</v>
      </c>
      <c r="M1311" s="68">
        <v>0.70833333333333337</v>
      </c>
      <c r="N1311" s="173" t="s">
        <v>1256</v>
      </c>
      <c r="O1311" s="23">
        <v>2430</v>
      </c>
      <c r="P1311" s="70">
        <v>0.54166666666666663</v>
      </c>
      <c r="Q1311" s="70">
        <v>0.70833333333333337</v>
      </c>
      <c r="R1311" s="229" t="s">
        <v>1244</v>
      </c>
    </row>
    <row r="1312" spans="1:18" x14ac:dyDescent="0.4">
      <c r="A1312" s="212">
        <v>45933</v>
      </c>
      <c r="B1312" s="139" t="s">
        <v>91</v>
      </c>
      <c r="C1312" s="30" t="s">
        <v>163</v>
      </c>
      <c r="D1312" s="191">
        <v>12</v>
      </c>
      <c r="E1312" s="77">
        <v>4</v>
      </c>
      <c r="F1312" s="1"/>
      <c r="G1312" s="76">
        <v>0.37291666666666662</v>
      </c>
      <c r="H1312" s="76">
        <v>0.5</v>
      </c>
      <c r="I1312" s="173" t="s">
        <v>1475</v>
      </c>
      <c r="J1312" s="23">
        <v>9</v>
      </c>
      <c r="K1312" s="68">
        <v>6.9444444444444441E-3</v>
      </c>
      <c r="L1312" s="68">
        <v>0.43055555555555558</v>
      </c>
      <c r="M1312" s="68">
        <v>0.54166666666666663</v>
      </c>
      <c r="N1312" s="173" t="s">
        <v>1377</v>
      </c>
      <c r="O1312" s="23">
        <v>1722</v>
      </c>
      <c r="P1312" s="70">
        <v>0.37291666666666662</v>
      </c>
      <c r="Q1312" s="70">
        <v>0.54166666666666663</v>
      </c>
      <c r="R1312" s="229" t="s">
        <v>1475</v>
      </c>
    </row>
    <row r="1313" spans="1:18" x14ac:dyDescent="0.4">
      <c r="A1313" s="212">
        <v>45933</v>
      </c>
      <c r="B1313" s="139" t="s">
        <v>54</v>
      </c>
      <c r="C1313" s="30" t="s">
        <v>251</v>
      </c>
      <c r="D1313" s="191">
        <v>36</v>
      </c>
      <c r="E1313" s="77">
        <v>5</v>
      </c>
      <c r="F1313" s="1"/>
      <c r="G1313" s="76">
        <v>0.29166666666666669</v>
      </c>
      <c r="H1313" s="76">
        <v>0.63055555555555554</v>
      </c>
      <c r="I1313" s="173" t="s">
        <v>1643</v>
      </c>
      <c r="J1313" s="23">
        <v>3</v>
      </c>
      <c r="K1313" s="68">
        <v>1.0416666666666666E-2</v>
      </c>
      <c r="L1313" s="68">
        <v>0.33333333333333331</v>
      </c>
      <c r="M1313" s="68">
        <v>0.64583333333333337</v>
      </c>
      <c r="N1313" s="173" t="s">
        <v>1527</v>
      </c>
      <c r="O1313" s="23">
        <v>3355</v>
      </c>
      <c r="P1313" s="70">
        <v>0.29166666666666669</v>
      </c>
      <c r="Q1313" s="70">
        <v>0.64583333333333337</v>
      </c>
      <c r="R1313" s="229" t="s">
        <v>1309</v>
      </c>
    </row>
    <row r="1314" spans="1:18" x14ac:dyDescent="0.4">
      <c r="A1314" s="212">
        <v>45933</v>
      </c>
      <c r="B1314" s="139" t="s">
        <v>53</v>
      </c>
      <c r="C1314" s="30" t="s">
        <v>261</v>
      </c>
      <c r="D1314" s="191">
        <v>6</v>
      </c>
      <c r="E1314" s="77">
        <v>5</v>
      </c>
      <c r="F1314" s="1"/>
      <c r="G1314" s="76">
        <v>0.63055555555555554</v>
      </c>
      <c r="H1314" s="76">
        <v>0.6875</v>
      </c>
      <c r="I1314" s="173" t="s">
        <v>1430</v>
      </c>
      <c r="J1314" s="23">
        <v>3</v>
      </c>
      <c r="K1314" s="68">
        <v>1.0416666666666666E-2</v>
      </c>
      <c r="L1314" s="68">
        <v>0.64583333333333337</v>
      </c>
      <c r="M1314" s="68">
        <v>0.70833333333333337</v>
      </c>
      <c r="N1314" s="173" t="s">
        <v>1246</v>
      </c>
      <c r="O1314" s="23">
        <v>725</v>
      </c>
      <c r="P1314" s="70">
        <v>0.63055555555555554</v>
      </c>
      <c r="Q1314" s="70">
        <v>0.70833333333333337</v>
      </c>
      <c r="R1314" s="229" t="s">
        <v>1530</v>
      </c>
    </row>
    <row r="1315" spans="1:18" x14ac:dyDescent="0.4">
      <c r="A1315" s="212">
        <v>45933</v>
      </c>
      <c r="B1315" s="139" t="s">
        <v>65</v>
      </c>
      <c r="C1315" s="30" t="s">
        <v>189</v>
      </c>
      <c r="D1315" s="191">
        <v>72</v>
      </c>
      <c r="E1315" s="77">
        <v>3</v>
      </c>
      <c r="F1315" s="76">
        <v>4.1666666666666664E-2</v>
      </c>
      <c r="G1315" s="76">
        <v>0.29166666666666669</v>
      </c>
      <c r="H1315" s="76">
        <v>0.66666666666666663</v>
      </c>
      <c r="I1315" s="173" t="s">
        <v>1252</v>
      </c>
      <c r="J1315" s="23">
        <v>4</v>
      </c>
      <c r="K1315" s="23"/>
      <c r="L1315" s="68">
        <v>0.29166666666666669</v>
      </c>
      <c r="M1315" s="68">
        <v>0.71180555555555547</v>
      </c>
      <c r="N1315" s="173" t="s">
        <v>1253</v>
      </c>
      <c r="O1315" s="23">
        <v>3800</v>
      </c>
      <c r="P1315" s="70">
        <v>0.29166666666666669</v>
      </c>
      <c r="Q1315" s="70">
        <v>0.71180555555555547</v>
      </c>
      <c r="R1315" s="229" t="s">
        <v>1253</v>
      </c>
    </row>
    <row r="1316" spans="1:18" x14ac:dyDescent="0.4">
      <c r="A1316" s="212">
        <v>45937</v>
      </c>
      <c r="B1316" s="139" t="s">
        <v>87</v>
      </c>
      <c r="C1316" s="30" t="s">
        <v>199</v>
      </c>
      <c r="D1316" s="191">
        <v>72</v>
      </c>
      <c r="E1316" s="77">
        <v>6</v>
      </c>
      <c r="F1316" s="1"/>
      <c r="G1316" s="76">
        <v>0.29166666666666669</v>
      </c>
      <c r="H1316" s="76">
        <v>0.6875</v>
      </c>
      <c r="I1316" s="173" t="s">
        <v>990</v>
      </c>
      <c r="J1316" s="23">
        <v>5</v>
      </c>
      <c r="K1316" s="23"/>
      <c r="L1316" s="68">
        <v>0.3125</v>
      </c>
      <c r="M1316" s="68">
        <v>0.70833333333333337</v>
      </c>
      <c r="N1316" s="173" t="s">
        <v>990</v>
      </c>
      <c r="O1316" s="23">
        <v>5610</v>
      </c>
      <c r="P1316" s="70">
        <v>0.29166666666666669</v>
      </c>
      <c r="Q1316" s="70">
        <v>0.70833333333333337</v>
      </c>
      <c r="R1316" s="229" t="s">
        <v>1252</v>
      </c>
    </row>
    <row r="1317" spans="1:18" x14ac:dyDescent="0.4">
      <c r="A1317" s="212">
        <v>45937</v>
      </c>
      <c r="B1317" s="139" t="s">
        <v>88</v>
      </c>
      <c r="C1317" s="30" t="s">
        <v>328</v>
      </c>
      <c r="D1317" s="191">
        <v>32</v>
      </c>
      <c r="E1317" s="77">
        <v>5</v>
      </c>
      <c r="F1317" s="1"/>
      <c r="G1317" s="76">
        <v>0.29166666666666669</v>
      </c>
      <c r="H1317" s="76">
        <v>0.58680555555555558</v>
      </c>
      <c r="I1317" s="173" t="s">
        <v>1360</v>
      </c>
      <c r="J1317" s="23">
        <v>3</v>
      </c>
      <c r="K1317" s="68">
        <v>1.0416666666666666E-2</v>
      </c>
      <c r="L1317" s="68">
        <v>0.33333333333333331</v>
      </c>
      <c r="M1317" s="68">
        <v>0.60416666666666663</v>
      </c>
      <c r="N1317" s="173" t="s">
        <v>1330</v>
      </c>
      <c r="O1317" s="23">
        <v>2860</v>
      </c>
      <c r="P1317" s="70">
        <v>0.29166666666666669</v>
      </c>
      <c r="Q1317" s="70">
        <v>0.60416666666666663</v>
      </c>
      <c r="R1317" s="229" t="s">
        <v>1329</v>
      </c>
    </row>
    <row r="1318" spans="1:18" x14ac:dyDescent="0.4">
      <c r="A1318" s="212">
        <v>45937</v>
      </c>
      <c r="B1318" s="139" t="s">
        <v>99</v>
      </c>
      <c r="C1318" s="30" t="s">
        <v>259</v>
      </c>
      <c r="D1318" s="191">
        <v>6</v>
      </c>
      <c r="E1318" s="77">
        <v>5</v>
      </c>
      <c r="F1318" s="1"/>
      <c r="G1318" s="76">
        <v>0.58680555555555558</v>
      </c>
      <c r="H1318" s="76">
        <v>0.66666666666666663</v>
      </c>
      <c r="I1318" s="173" t="s">
        <v>1457</v>
      </c>
      <c r="J1318" s="23">
        <v>3</v>
      </c>
      <c r="K1318" s="68">
        <v>1.0416666666666666E-2</v>
      </c>
      <c r="L1318" s="68">
        <v>0.60416666666666663</v>
      </c>
      <c r="M1318" s="68">
        <v>0.6875</v>
      </c>
      <c r="N1318" s="173" t="s">
        <v>1324</v>
      </c>
      <c r="O1318" s="23">
        <v>980</v>
      </c>
      <c r="P1318" s="70">
        <v>0.58680555555555558</v>
      </c>
      <c r="Q1318" s="70">
        <v>0.6875</v>
      </c>
      <c r="R1318" s="229" t="s">
        <v>1331</v>
      </c>
    </row>
    <row r="1319" spans="1:18" x14ac:dyDescent="0.4">
      <c r="A1319" s="241">
        <v>45937</v>
      </c>
      <c r="B1319" s="139" t="s">
        <v>65</v>
      </c>
      <c r="C1319" s="30" t="s">
        <v>189</v>
      </c>
      <c r="D1319" s="191">
        <v>36</v>
      </c>
      <c r="E1319" s="77">
        <v>3</v>
      </c>
      <c r="F1319" s="76">
        <v>1.0416666666666666E-2</v>
      </c>
      <c r="G1319" s="76">
        <v>0.29166666666666669</v>
      </c>
      <c r="H1319" s="76">
        <v>0.4513888888888889</v>
      </c>
      <c r="I1319" s="173" t="s">
        <v>1365</v>
      </c>
      <c r="J1319" s="23">
        <v>4</v>
      </c>
      <c r="K1319" s="23"/>
      <c r="L1319" s="68">
        <v>0.29166666666666669</v>
      </c>
      <c r="M1319" s="68">
        <v>0.49305555555555558</v>
      </c>
      <c r="N1319" s="173" t="s">
        <v>1258</v>
      </c>
      <c r="O1319" s="23">
        <v>1895</v>
      </c>
      <c r="P1319" s="70">
        <v>0.29166666666666669</v>
      </c>
      <c r="Q1319" s="70">
        <v>0.49305555555555558</v>
      </c>
      <c r="R1319" s="229" t="s">
        <v>1258</v>
      </c>
    </row>
    <row r="1320" spans="1:18" x14ac:dyDescent="0.4">
      <c r="A1320" s="212">
        <v>45937</v>
      </c>
      <c r="B1320" s="139" t="s">
        <v>96</v>
      </c>
      <c r="C1320" s="30" t="s">
        <v>167</v>
      </c>
      <c r="D1320" s="191">
        <v>20</v>
      </c>
      <c r="E1320" s="77">
        <v>3</v>
      </c>
      <c r="F1320" s="76">
        <v>1.0416666666666666E-2</v>
      </c>
      <c r="G1320" s="76">
        <v>0.44791666666666669</v>
      </c>
      <c r="H1320" s="76">
        <v>0.64236111111111105</v>
      </c>
      <c r="I1320" s="173" t="s">
        <v>1359</v>
      </c>
      <c r="J1320" s="23">
        <v>6</v>
      </c>
      <c r="K1320" s="23"/>
      <c r="L1320" s="68">
        <v>0.54166666666666663</v>
      </c>
      <c r="M1320" s="68">
        <v>0.71527777777777779</v>
      </c>
      <c r="N1320" s="173" t="s">
        <v>1311</v>
      </c>
      <c r="O1320" s="23">
        <v>2205</v>
      </c>
      <c r="P1320" s="70">
        <v>0.44791666666666669</v>
      </c>
      <c r="Q1320" s="70">
        <v>0.71527777777777779</v>
      </c>
      <c r="R1320" s="229" t="s">
        <v>1306</v>
      </c>
    </row>
    <row r="1321" spans="1:18" x14ac:dyDescent="0.4">
      <c r="A1321" s="212">
        <v>45938</v>
      </c>
      <c r="B1321" s="139" t="s">
        <v>539</v>
      </c>
      <c r="C1321" s="30" t="s">
        <v>291</v>
      </c>
      <c r="D1321" s="191">
        <v>6</v>
      </c>
      <c r="E1321" s="77">
        <v>4</v>
      </c>
      <c r="F1321" s="1"/>
      <c r="G1321" s="76">
        <v>0.54166666666666663</v>
      </c>
      <c r="H1321" s="76">
        <v>0.66666666666666663</v>
      </c>
      <c r="I1321" s="173" t="s">
        <v>1316</v>
      </c>
      <c r="J1321" s="23">
        <v>10</v>
      </c>
      <c r="K1321" s="23"/>
      <c r="L1321" s="68">
        <v>0.5625</v>
      </c>
      <c r="M1321" s="68">
        <v>0.70833333333333337</v>
      </c>
      <c r="N1321" s="173" t="s">
        <v>1303</v>
      </c>
      <c r="O1321" s="23">
        <v>2820</v>
      </c>
      <c r="P1321" s="70">
        <v>0.54166666666666663</v>
      </c>
      <c r="Q1321" s="70">
        <v>0.70833333333333337</v>
      </c>
      <c r="R1321" s="229" t="s">
        <v>1244</v>
      </c>
    </row>
    <row r="1322" spans="1:18" x14ac:dyDescent="0.4">
      <c r="A1322" s="212">
        <v>45938</v>
      </c>
      <c r="B1322" s="139" t="s">
        <v>114</v>
      </c>
      <c r="C1322" s="30" t="s">
        <v>161</v>
      </c>
      <c r="D1322" s="191">
        <v>15</v>
      </c>
      <c r="E1322" s="77">
        <v>5</v>
      </c>
      <c r="F1322" s="1"/>
      <c r="G1322" s="76">
        <v>0.29166666666666669</v>
      </c>
      <c r="H1322" s="76">
        <v>0.5</v>
      </c>
      <c r="I1322" s="173" t="s">
        <v>1327</v>
      </c>
      <c r="J1322" s="23">
        <v>13</v>
      </c>
      <c r="K1322" s="23"/>
      <c r="L1322" s="68">
        <v>0.3125</v>
      </c>
      <c r="M1322" s="68">
        <v>0.54375000000000007</v>
      </c>
      <c r="N1322" s="173" t="s">
        <v>1572</v>
      </c>
      <c r="O1322" s="23">
        <v>5049</v>
      </c>
      <c r="P1322" s="70">
        <v>0.29166666666666669</v>
      </c>
      <c r="Q1322" s="70">
        <v>0.54375000000000007</v>
      </c>
      <c r="R1322" s="229" t="s">
        <v>1626</v>
      </c>
    </row>
    <row r="1323" spans="1:18" x14ac:dyDescent="0.4">
      <c r="A1323" s="212">
        <v>45938</v>
      </c>
      <c r="B1323" s="139" t="s">
        <v>63</v>
      </c>
      <c r="C1323" s="30" t="s">
        <v>267</v>
      </c>
      <c r="D1323" s="191">
        <v>24</v>
      </c>
      <c r="E1323" s="77">
        <v>5</v>
      </c>
      <c r="F1323" s="1"/>
      <c r="G1323" s="76">
        <v>0.44861111111111113</v>
      </c>
      <c r="H1323" s="76">
        <v>0.70833333333333337</v>
      </c>
      <c r="I1323" s="173" t="s">
        <v>1644</v>
      </c>
      <c r="J1323" s="23">
        <v>3</v>
      </c>
      <c r="K1323" s="68">
        <v>1.0416666666666666E-2</v>
      </c>
      <c r="L1323" s="68">
        <v>0.47916666666666669</v>
      </c>
      <c r="M1323" s="68">
        <v>0.70833333333333337</v>
      </c>
      <c r="N1323" s="173" t="s">
        <v>1335</v>
      </c>
      <c r="O1323" s="23">
        <v>2425</v>
      </c>
      <c r="P1323" s="70">
        <v>0.44861111111111113</v>
      </c>
      <c r="Q1323" s="70">
        <v>0.70833333333333337</v>
      </c>
      <c r="R1323" s="229" t="s">
        <v>1644</v>
      </c>
    </row>
    <row r="1324" spans="1:18" x14ac:dyDescent="0.4">
      <c r="A1324" s="212">
        <v>45938</v>
      </c>
      <c r="B1324" s="139" t="s">
        <v>72</v>
      </c>
      <c r="C1324" s="30" t="s">
        <v>227</v>
      </c>
      <c r="D1324" s="191">
        <v>20</v>
      </c>
      <c r="E1324" s="77">
        <v>5</v>
      </c>
      <c r="F1324" s="1"/>
      <c r="G1324" s="76">
        <v>0.29166666666666669</v>
      </c>
      <c r="H1324" s="76">
        <v>0.44861111111111113</v>
      </c>
      <c r="I1324" s="173" t="s">
        <v>1645</v>
      </c>
      <c r="J1324" s="23">
        <v>3</v>
      </c>
      <c r="K1324" s="68">
        <v>1.0416666666666666E-2</v>
      </c>
      <c r="L1324" s="68">
        <v>0.33333333333333331</v>
      </c>
      <c r="M1324" s="68">
        <v>0.47916666666666669</v>
      </c>
      <c r="N1324" s="173" t="s">
        <v>1380</v>
      </c>
      <c r="O1324" s="23">
        <v>1805</v>
      </c>
      <c r="P1324" s="70">
        <v>0.29166666666666669</v>
      </c>
      <c r="Q1324" s="70">
        <v>0.47916666666666669</v>
      </c>
      <c r="R1324" s="229" t="s">
        <v>1243</v>
      </c>
    </row>
    <row r="1325" spans="1:18" x14ac:dyDescent="0.4">
      <c r="A1325" s="212">
        <v>45938</v>
      </c>
      <c r="B1325" s="139" t="s">
        <v>104</v>
      </c>
      <c r="C1325" s="30" t="s">
        <v>191</v>
      </c>
      <c r="D1325" s="191">
        <v>72</v>
      </c>
      <c r="E1325" s="77">
        <v>3</v>
      </c>
      <c r="F1325" s="76">
        <v>4.1666666666666664E-2</v>
      </c>
      <c r="G1325" s="76">
        <v>0.29166666666666669</v>
      </c>
      <c r="H1325" s="76">
        <v>0.67361111111111116</v>
      </c>
      <c r="I1325" s="173" t="s">
        <v>1352</v>
      </c>
      <c r="J1325" s="23">
        <v>4</v>
      </c>
      <c r="K1325" s="23"/>
      <c r="L1325" s="68">
        <v>0.29166666666666669</v>
      </c>
      <c r="M1325" s="68">
        <v>0.71180555555555547</v>
      </c>
      <c r="N1325" s="173" t="s">
        <v>1253</v>
      </c>
      <c r="O1325" s="23">
        <v>3830</v>
      </c>
      <c r="P1325" s="70">
        <v>0.29166666666666669</v>
      </c>
      <c r="Q1325" s="70">
        <v>0.71180555555555547</v>
      </c>
      <c r="R1325" s="229" t="s">
        <v>1253</v>
      </c>
    </row>
    <row r="1326" spans="1:18" x14ac:dyDescent="0.4">
      <c r="A1326" s="212">
        <v>45939</v>
      </c>
      <c r="B1326" s="139" t="s">
        <v>80</v>
      </c>
      <c r="C1326" s="30" t="s">
        <v>203</v>
      </c>
      <c r="D1326" s="191">
        <v>36</v>
      </c>
      <c r="E1326" s="77">
        <v>5</v>
      </c>
      <c r="F1326" s="1"/>
      <c r="G1326" s="76">
        <v>0.29166666666666669</v>
      </c>
      <c r="H1326" s="76">
        <v>0.5</v>
      </c>
      <c r="I1326" s="173" t="s">
        <v>1327</v>
      </c>
      <c r="J1326" s="23">
        <v>5</v>
      </c>
      <c r="K1326" s="68">
        <v>1.0416666666666666E-2</v>
      </c>
      <c r="L1326" s="68">
        <v>0.33333333333333331</v>
      </c>
      <c r="M1326" s="68">
        <v>0.5</v>
      </c>
      <c r="N1326" s="173" t="s">
        <v>1259</v>
      </c>
      <c r="O1326" s="23">
        <v>2775</v>
      </c>
      <c r="P1326" s="70">
        <v>0.29166666666666669</v>
      </c>
      <c r="Q1326" s="70">
        <v>0.5</v>
      </c>
      <c r="R1326" s="229" t="s">
        <v>1327</v>
      </c>
    </row>
    <row r="1327" spans="1:18" x14ac:dyDescent="0.4">
      <c r="A1327" s="212">
        <v>45939</v>
      </c>
      <c r="B1327" s="139" t="s">
        <v>86</v>
      </c>
      <c r="C1327" s="30" t="s">
        <v>201</v>
      </c>
      <c r="D1327" s="191">
        <v>20</v>
      </c>
      <c r="E1327" s="77">
        <v>5</v>
      </c>
      <c r="F1327" s="1"/>
      <c r="G1327" s="76">
        <v>0.54166666666666663</v>
      </c>
      <c r="H1327" s="76">
        <v>0.75</v>
      </c>
      <c r="I1327" s="173" t="s">
        <v>1327</v>
      </c>
      <c r="J1327" s="23">
        <v>5</v>
      </c>
      <c r="K1327" s="68">
        <v>1.0416666666666666E-2</v>
      </c>
      <c r="L1327" s="68">
        <v>0.54166666666666663</v>
      </c>
      <c r="M1327" s="68">
        <v>0.77083333333333337</v>
      </c>
      <c r="N1327" s="173" t="s">
        <v>1330</v>
      </c>
      <c r="O1327" s="23">
        <v>3225</v>
      </c>
      <c r="P1327" s="70">
        <v>0.54166666666666663</v>
      </c>
      <c r="Q1327" s="70">
        <v>0.77083333333333337</v>
      </c>
      <c r="R1327" s="229" t="s">
        <v>1320</v>
      </c>
    </row>
    <row r="1328" spans="1:18" x14ac:dyDescent="0.4">
      <c r="A1328" s="212">
        <v>45939</v>
      </c>
      <c r="B1328" s="139" t="s">
        <v>63</v>
      </c>
      <c r="C1328" s="30" t="s">
        <v>267</v>
      </c>
      <c r="D1328" s="191">
        <v>24</v>
      </c>
      <c r="E1328" s="77">
        <v>5</v>
      </c>
      <c r="F1328" s="1"/>
      <c r="G1328" s="76">
        <v>0.45347222222222222</v>
      </c>
      <c r="H1328" s="76">
        <v>0.6875</v>
      </c>
      <c r="I1328" s="173" t="s">
        <v>1434</v>
      </c>
      <c r="J1328" s="23">
        <v>3</v>
      </c>
      <c r="K1328" s="68">
        <v>6.9444444444444441E-3</v>
      </c>
      <c r="L1328" s="68">
        <v>0.4861111111111111</v>
      </c>
      <c r="M1328" s="68">
        <v>0.70833333333333337</v>
      </c>
      <c r="N1328" s="173" t="s">
        <v>1243</v>
      </c>
      <c r="O1328" s="23">
        <v>2195</v>
      </c>
      <c r="P1328" s="70">
        <v>0.45347222222222222</v>
      </c>
      <c r="Q1328" s="70">
        <v>0.70833333333333337</v>
      </c>
      <c r="R1328" s="229" t="s">
        <v>1557</v>
      </c>
    </row>
    <row r="1329" spans="1:18" x14ac:dyDescent="0.4">
      <c r="A1329" s="212">
        <v>45939</v>
      </c>
      <c r="B1329" s="139" t="s">
        <v>75</v>
      </c>
      <c r="C1329" s="30" t="s">
        <v>229</v>
      </c>
      <c r="D1329" s="191">
        <v>20</v>
      </c>
      <c r="E1329" s="77">
        <v>5</v>
      </c>
      <c r="F1329" s="1"/>
      <c r="G1329" s="76">
        <v>0.29166666666666669</v>
      </c>
      <c r="H1329" s="76">
        <v>0.45347222222222222</v>
      </c>
      <c r="I1329" s="173" t="s">
        <v>1522</v>
      </c>
      <c r="J1329" s="23">
        <v>3</v>
      </c>
      <c r="K1329" s="68">
        <v>6.9444444444444441E-3</v>
      </c>
      <c r="L1329" s="68">
        <v>0.3263888888888889</v>
      </c>
      <c r="M1329" s="68">
        <v>0.4861111111111111</v>
      </c>
      <c r="N1329" s="173" t="s">
        <v>1244</v>
      </c>
      <c r="O1329" s="23">
        <v>1885</v>
      </c>
      <c r="P1329" s="70">
        <v>0.29166666666666669</v>
      </c>
      <c r="Q1329" s="70">
        <v>0.4861111111111111</v>
      </c>
      <c r="R1329" s="229" t="s">
        <v>1255</v>
      </c>
    </row>
    <row r="1330" spans="1:18" x14ac:dyDescent="0.4">
      <c r="A1330" s="212">
        <v>45939</v>
      </c>
      <c r="B1330" s="139" t="s">
        <v>73</v>
      </c>
      <c r="C1330" s="30" t="s">
        <v>231</v>
      </c>
      <c r="D1330" s="191">
        <v>21</v>
      </c>
      <c r="E1330" s="77">
        <v>5</v>
      </c>
      <c r="F1330" s="76">
        <v>2.0833333333333332E-2</v>
      </c>
      <c r="G1330" s="76">
        <v>0.29166666666666669</v>
      </c>
      <c r="H1330" s="76">
        <v>0.66666666666666663</v>
      </c>
      <c r="I1330" s="173" t="s">
        <v>990</v>
      </c>
      <c r="J1330" s="23">
        <v>7</v>
      </c>
      <c r="K1330" s="23"/>
      <c r="L1330" s="68">
        <v>0.33333333333333331</v>
      </c>
      <c r="M1330" s="68">
        <v>0.70833333333333337</v>
      </c>
      <c r="N1330" s="173" t="s">
        <v>1292</v>
      </c>
      <c r="O1330" s="23">
        <v>5910</v>
      </c>
      <c r="P1330" s="70">
        <v>0.29166666666666669</v>
      </c>
      <c r="Q1330" s="70">
        <v>0.70833333333333337</v>
      </c>
      <c r="R1330" s="229" t="s">
        <v>1252</v>
      </c>
    </row>
    <row r="1331" spans="1:18" x14ac:dyDescent="0.4">
      <c r="A1331" s="212">
        <v>45943</v>
      </c>
      <c r="B1331" s="139" t="s">
        <v>51</v>
      </c>
      <c r="C1331" s="30" t="s">
        <v>253</v>
      </c>
      <c r="D1331" s="191">
        <v>20</v>
      </c>
      <c r="E1331" s="77">
        <v>4</v>
      </c>
      <c r="F1331" s="1"/>
      <c r="G1331" s="76">
        <v>0.54166666666666663</v>
      </c>
      <c r="H1331" s="76">
        <v>0.6875</v>
      </c>
      <c r="I1331" s="173" t="s">
        <v>1303</v>
      </c>
      <c r="J1331" s="23">
        <v>3</v>
      </c>
      <c r="K1331" s="68">
        <v>1.0416666666666666E-2</v>
      </c>
      <c r="L1331" s="68">
        <v>0.49305555555555558</v>
      </c>
      <c r="M1331" s="68">
        <v>0.72916666666666663</v>
      </c>
      <c r="N1331" s="173" t="s">
        <v>1305</v>
      </c>
      <c r="O1331" s="23">
        <v>1725</v>
      </c>
      <c r="P1331" s="70">
        <v>0.49305555555555558</v>
      </c>
      <c r="Q1331" s="70">
        <v>0.72916666666666663</v>
      </c>
      <c r="R1331" s="229" t="s">
        <v>1255</v>
      </c>
    </row>
    <row r="1332" spans="1:18" x14ac:dyDescent="0.4">
      <c r="A1332" s="212">
        <v>45943</v>
      </c>
      <c r="B1332" s="139" t="s">
        <v>1045</v>
      </c>
      <c r="C1332" s="30" t="s">
        <v>1056</v>
      </c>
      <c r="D1332" s="191">
        <v>18</v>
      </c>
      <c r="E1332" s="77">
        <v>4</v>
      </c>
      <c r="F1332" s="1"/>
      <c r="G1332" s="76">
        <v>0.29166666666666669</v>
      </c>
      <c r="H1332" s="76">
        <v>0.5</v>
      </c>
      <c r="I1332" s="173" t="s">
        <v>1327</v>
      </c>
      <c r="J1332" s="23">
        <v>3</v>
      </c>
      <c r="K1332" s="68">
        <v>1.0416666666666666E-2</v>
      </c>
      <c r="L1332" s="68">
        <v>0.33333333333333331</v>
      </c>
      <c r="M1332" s="68">
        <v>0.49305555555555558</v>
      </c>
      <c r="N1332" s="173" t="s">
        <v>1365</v>
      </c>
      <c r="O1332" s="23">
        <v>1935</v>
      </c>
      <c r="P1332" s="70">
        <v>0.29166666666666669</v>
      </c>
      <c r="Q1332" s="70">
        <v>0.5</v>
      </c>
      <c r="R1332" s="229" t="s">
        <v>1327</v>
      </c>
    </row>
    <row r="1333" spans="1:18" x14ac:dyDescent="0.4">
      <c r="A1333" s="212">
        <v>45943</v>
      </c>
      <c r="B1333" s="139" t="s">
        <v>117</v>
      </c>
      <c r="C1333" s="30" t="s">
        <v>304</v>
      </c>
      <c r="D1333" s="191">
        <v>8</v>
      </c>
      <c r="E1333" s="77">
        <v>5</v>
      </c>
      <c r="F1333" s="1"/>
      <c r="G1333" s="76">
        <v>0.29166666666666669</v>
      </c>
      <c r="H1333" s="76">
        <v>0.3743055555555555</v>
      </c>
      <c r="I1333" s="173" t="s">
        <v>1398</v>
      </c>
      <c r="J1333" s="23">
        <v>4</v>
      </c>
      <c r="K1333" s="68">
        <v>6.9444444444444441E-3</v>
      </c>
      <c r="L1333" s="68">
        <v>0.33333333333333331</v>
      </c>
      <c r="M1333" s="68">
        <v>0.40972222222222227</v>
      </c>
      <c r="N1333" s="173" t="s">
        <v>1296</v>
      </c>
      <c r="O1333" s="23">
        <v>1075</v>
      </c>
      <c r="P1333" s="70">
        <v>0.29166666666666669</v>
      </c>
      <c r="Q1333" s="70">
        <v>0.40972222222222227</v>
      </c>
      <c r="R1333" s="229" t="s">
        <v>1314</v>
      </c>
    </row>
    <row r="1334" spans="1:18" x14ac:dyDescent="0.4">
      <c r="A1334" s="212">
        <v>45943</v>
      </c>
      <c r="B1334" s="139" t="s">
        <v>116</v>
      </c>
      <c r="C1334" s="30" t="s">
        <v>212</v>
      </c>
      <c r="D1334" s="191">
        <v>12</v>
      </c>
      <c r="E1334" s="77">
        <v>5</v>
      </c>
      <c r="F1334" s="1"/>
      <c r="G1334" s="76">
        <v>0.59722222222222221</v>
      </c>
      <c r="H1334" s="76">
        <v>0.70833333333333337</v>
      </c>
      <c r="I1334" s="173" t="s">
        <v>1325</v>
      </c>
      <c r="J1334" s="23">
        <v>4</v>
      </c>
      <c r="K1334" s="68">
        <v>6.9444444444444441E-3</v>
      </c>
      <c r="L1334" s="68">
        <v>0.64583333333333337</v>
      </c>
      <c r="M1334" s="68">
        <v>0.75</v>
      </c>
      <c r="N1334" s="173" t="s">
        <v>1325</v>
      </c>
      <c r="O1334" s="23">
        <v>1440</v>
      </c>
      <c r="P1334" s="70">
        <v>0.59722222222222221</v>
      </c>
      <c r="Q1334" s="70">
        <v>0.75</v>
      </c>
      <c r="R1334" s="229" t="s">
        <v>1254</v>
      </c>
    </row>
    <row r="1335" spans="1:18" x14ac:dyDescent="0.4">
      <c r="A1335" s="212">
        <v>45943</v>
      </c>
      <c r="B1335" s="139" t="s">
        <v>55</v>
      </c>
      <c r="C1335" s="30" t="s">
        <v>208</v>
      </c>
      <c r="D1335" s="191">
        <v>20</v>
      </c>
      <c r="E1335" s="77">
        <v>5</v>
      </c>
      <c r="F1335" s="1"/>
      <c r="G1335" s="76">
        <v>0.3743055555555555</v>
      </c>
      <c r="H1335" s="76">
        <v>0.59722222222222221</v>
      </c>
      <c r="I1335" s="173" t="s">
        <v>1646</v>
      </c>
      <c r="J1335" s="23">
        <v>4</v>
      </c>
      <c r="K1335" s="68">
        <v>6.9444444444444441E-3</v>
      </c>
      <c r="L1335" s="68">
        <v>0.40972222222222227</v>
      </c>
      <c r="M1335" s="68">
        <v>0.64583333333333337</v>
      </c>
      <c r="N1335" s="173" t="s">
        <v>1258</v>
      </c>
      <c r="O1335" s="23">
        <v>2465</v>
      </c>
      <c r="P1335" s="70">
        <v>0.3743055555555555</v>
      </c>
      <c r="Q1335" s="70">
        <v>0.64583333333333337</v>
      </c>
      <c r="R1335" s="229" t="s">
        <v>1553</v>
      </c>
    </row>
    <row r="1336" spans="1:18" x14ac:dyDescent="0.4">
      <c r="A1336" s="212">
        <v>45943</v>
      </c>
      <c r="B1336" s="139" t="s">
        <v>123</v>
      </c>
      <c r="C1336" s="30" t="s">
        <v>277</v>
      </c>
      <c r="D1336" s="191">
        <v>56</v>
      </c>
      <c r="E1336" s="77">
        <v>3</v>
      </c>
      <c r="F1336" s="76">
        <v>2.0833333333333332E-2</v>
      </c>
      <c r="G1336" s="76">
        <v>0.29166666666666669</v>
      </c>
      <c r="H1336" s="76">
        <v>0.60763888888888895</v>
      </c>
      <c r="I1336" s="173" t="s">
        <v>1456</v>
      </c>
      <c r="J1336" s="23">
        <v>4</v>
      </c>
      <c r="K1336" s="23"/>
      <c r="L1336" s="68">
        <v>0.29166666666666669</v>
      </c>
      <c r="M1336" s="68">
        <v>0.65972222222222221</v>
      </c>
      <c r="N1336" s="173" t="s">
        <v>1338</v>
      </c>
      <c r="O1336" s="23">
        <v>3155</v>
      </c>
      <c r="P1336" s="70">
        <v>0.29166666666666669</v>
      </c>
      <c r="Q1336" s="70">
        <v>0.65972222222222221</v>
      </c>
      <c r="R1336" s="229" t="s">
        <v>1338</v>
      </c>
    </row>
    <row r="1337" spans="1:18" x14ac:dyDescent="0.4">
      <c r="A1337" s="246">
        <v>45943</v>
      </c>
      <c r="B1337" s="102" t="s">
        <v>431</v>
      </c>
      <c r="C1337" s="136" t="s">
        <v>436</v>
      </c>
      <c r="D1337" s="193">
        <v>1</v>
      </c>
      <c r="E1337" s="103"/>
      <c r="F1337" s="104"/>
      <c r="G1337" s="184"/>
      <c r="H1337" s="184"/>
      <c r="I1337" s="225" t="s">
        <v>1002</v>
      </c>
      <c r="J1337" s="105"/>
      <c r="K1337" s="105"/>
      <c r="L1337" s="106"/>
      <c r="M1337" s="106"/>
      <c r="N1337" s="225" t="s">
        <v>1002</v>
      </c>
      <c r="O1337" s="105">
        <v>0</v>
      </c>
      <c r="P1337" s="247">
        <v>0</v>
      </c>
      <c r="Q1337" s="247">
        <v>0</v>
      </c>
      <c r="R1337" s="232" t="s">
        <v>1002</v>
      </c>
    </row>
    <row r="1338" spans="1:18" x14ac:dyDescent="0.4">
      <c r="A1338" s="246">
        <v>45943</v>
      </c>
      <c r="B1338" s="102" t="s">
        <v>594</v>
      </c>
      <c r="C1338" s="136" t="s">
        <v>595</v>
      </c>
      <c r="D1338" s="193">
        <v>1</v>
      </c>
      <c r="E1338" s="103"/>
      <c r="F1338" s="104"/>
      <c r="G1338" s="184"/>
      <c r="H1338" s="184"/>
      <c r="I1338" s="225" t="s">
        <v>1002</v>
      </c>
      <c r="J1338" s="105"/>
      <c r="K1338" s="105"/>
      <c r="L1338" s="106"/>
      <c r="M1338" s="106"/>
      <c r="N1338" s="225" t="s">
        <v>1002</v>
      </c>
      <c r="O1338" s="105">
        <v>0</v>
      </c>
      <c r="P1338" s="247">
        <v>0</v>
      </c>
      <c r="Q1338" s="247">
        <v>0</v>
      </c>
      <c r="R1338" s="232" t="s">
        <v>1002</v>
      </c>
    </row>
    <row r="1339" spans="1:18" x14ac:dyDescent="0.4">
      <c r="A1339" s="212">
        <v>45944</v>
      </c>
      <c r="B1339" s="139" t="s">
        <v>64</v>
      </c>
      <c r="C1339" s="30" t="s">
        <v>271</v>
      </c>
      <c r="D1339" s="191">
        <v>20</v>
      </c>
      <c r="E1339" s="77">
        <v>5</v>
      </c>
      <c r="F1339" s="1"/>
      <c r="G1339" s="76">
        <v>0.45833333333333331</v>
      </c>
      <c r="H1339" s="76">
        <v>0.66666666666666663</v>
      </c>
      <c r="I1339" s="173" t="s">
        <v>1244</v>
      </c>
      <c r="J1339" s="23">
        <v>3</v>
      </c>
      <c r="K1339" s="68">
        <v>6.9444444444444441E-3</v>
      </c>
      <c r="L1339" s="68">
        <v>0.4861111111111111</v>
      </c>
      <c r="M1339" s="68">
        <v>0.70833333333333337</v>
      </c>
      <c r="N1339" s="173" t="s">
        <v>1243</v>
      </c>
      <c r="O1339" s="23">
        <v>2010</v>
      </c>
      <c r="P1339" s="70">
        <v>0.45833333333333331</v>
      </c>
      <c r="Q1339" s="70">
        <v>0.70833333333333337</v>
      </c>
      <c r="R1339" s="229" t="s">
        <v>1327</v>
      </c>
    </row>
    <row r="1340" spans="1:18" x14ac:dyDescent="0.4">
      <c r="A1340" s="212">
        <v>45944</v>
      </c>
      <c r="B1340" s="139" t="s">
        <v>81</v>
      </c>
      <c r="C1340" s="30" t="s">
        <v>235</v>
      </c>
      <c r="D1340" s="191">
        <v>16</v>
      </c>
      <c r="E1340" s="77">
        <v>5</v>
      </c>
      <c r="F1340" s="1"/>
      <c r="G1340" s="76">
        <v>0.375</v>
      </c>
      <c r="H1340" s="76">
        <v>0.45833333333333331</v>
      </c>
      <c r="I1340" s="173" t="s">
        <v>1296</v>
      </c>
      <c r="J1340" s="23">
        <v>3</v>
      </c>
      <c r="K1340" s="68">
        <v>6.9444444444444441E-3</v>
      </c>
      <c r="L1340" s="68">
        <v>0.39583333333333331</v>
      </c>
      <c r="M1340" s="68">
        <v>0.4861111111111111</v>
      </c>
      <c r="N1340" s="173" t="s">
        <v>1313</v>
      </c>
      <c r="O1340" s="23">
        <v>1020</v>
      </c>
      <c r="P1340" s="70">
        <v>0.375</v>
      </c>
      <c r="Q1340" s="70">
        <v>0.4861111111111111</v>
      </c>
      <c r="R1340" s="229" t="s">
        <v>1325</v>
      </c>
    </row>
    <row r="1341" spans="1:18" x14ac:dyDescent="0.4">
      <c r="A1341" s="212">
        <v>45944</v>
      </c>
      <c r="B1341" s="139" t="s">
        <v>77</v>
      </c>
      <c r="C1341" s="30" t="s">
        <v>293</v>
      </c>
      <c r="D1341" s="191">
        <v>8</v>
      </c>
      <c r="E1341" s="77">
        <v>5</v>
      </c>
      <c r="F1341" s="1"/>
      <c r="G1341" s="76">
        <v>0.29166666666666669</v>
      </c>
      <c r="H1341" s="76">
        <v>0.375</v>
      </c>
      <c r="I1341" s="173" t="s">
        <v>1296</v>
      </c>
      <c r="J1341" s="23">
        <v>3</v>
      </c>
      <c r="K1341" s="68">
        <v>6.9444444444444441E-3</v>
      </c>
      <c r="L1341" s="68">
        <v>0.33333333333333331</v>
      </c>
      <c r="M1341" s="68">
        <v>0.39583333333333331</v>
      </c>
      <c r="N1341" s="173" t="s">
        <v>1386</v>
      </c>
      <c r="O1341" s="23">
        <v>900</v>
      </c>
      <c r="P1341" s="70">
        <v>0.29166666666666669</v>
      </c>
      <c r="Q1341" s="70">
        <v>0.39583333333333331</v>
      </c>
      <c r="R1341" s="229" t="s">
        <v>1298</v>
      </c>
    </row>
    <row r="1342" spans="1:18" x14ac:dyDescent="0.4">
      <c r="A1342" s="212">
        <v>45944</v>
      </c>
      <c r="B1342" s="139" t="s">
        <v>110</v>
      </c>
      <c r="C1342" s="30" t="s">
        <v>231</v>
      </c>
      <c r="D1342" s="191">
        <v>21</v>
      </c>
      <c r="E1342" s="77">
        <v>5</v>
      </c>
      <c r="F1342" s="1"/>
      <c r="G1342" s="76">
        <v>0.29166666666666669</v>
      </c>
      <c r="H1342" s="76">
        <v>0.68055555555555547</v>
      </c>
      <c r="I1342" s="173" t="s">
        <v>1465</v>
      </c>
      <c r="J1342" s="23">
        <v>7</v>
      </c>
      <c r="K1342" s="23"/>
      <c r="L1342" s="68">
        <v>0.3125</v>
      </c>
      <c r="M1342" s="68">
        <v>0.70833333333333337</v>
      </c>
      <c r="N1342" s="173" t="s">
        <v>990</v>
      </c>
      <c r="O1342" s="23">
        <v>6070</v>
      </c>
      <c r="P1342" s="70">
        <v>0.29166666666666669</v>
      </c>
      <c r="Q1342" s="70">
        <v>0.70833333333333337</v>
      </c>
      <c r="R1342" s="229" t="s">
        <v>1252</v>
      </c>
    </row>
    <row r="1343" spans="1:18" x14ac:dyDescent="0.4">
      <c r="A1343" s="212">
        <v>45944</v>
      </c>
      <c r="B1343" s="139" t="s">
        <v>65</v>
      </c>
      <c r="C1343" s="30" t="s">
        <v>189</v>
      </c>
      <c r="D1343" s="191">
        <v>72</v>
      </c>
      <c r="E1343" s="77">
        <v>3</v>
      </c>
      <c r="F1343" s="76">
        <v>2.0833333333333332E-2</v>
      </c>
      <c r="G1343" s="76">
        <v>0.29166666666666669</v>
      </c>
      <c r="H1343" s="76">
        <v>0.65277777777777779</v>
      </c>
      <c r="I1343" s="173" t="s">
        <v>1307</v>
      </c>
      <c r="J1343" s="23">
        <v>4</v>
      </c>
      <c r="K1343" s="23"/>
      <c r="L1343" s="68">
        <v>0.29166666666666669</v>
      </c>
      <c r="M1343" s="68">
        <v>0.70138888888888884</v>
      </c>
      <c r="N1343" s="173" t="s">
        <v>1395</v>
      </c>
      <c r="O1343" s="23">
        <v>3590</v>
      </c>
      <c r="P1343" s="70">
        <v>0.29166666666666669</v>
      </c>
      <c r="Q1343" s="70">
        <v>0.70138888888888884</v>
      </c>
      <c r="R1343" s="229" t="s">
        <v>1395</v>
      </c>
    </row>
    <row r="1344" spans="1:18" x14ac:dyDescent="0.4">
      <c r="A1344" s="246">
        <v>45944</v>
      </c>
      <c r="B1344" s="102" t="s">
        <v>434</v>
      </c>
      <c r="C1344" s="136" t="s">
        <v>545</v>
      </c>
      <c r="D1344" s="193">
        <v>50</v>
      </c>
      <c r="E1344" s="103"/>
      <c r="F1344" s="104"/>
      <c r="G1344" s="184"/>
      <c r="H1344" s="184"/>
      <c r="I1344" s="225" t="s">
        <v>1002</v>
      </c>
      <c r="J1344" s="105"/>
      <c r="K1344" s="105"/>
      <c r="L1344" s="106"/>
      <c r="M1344" s="106"/>
      <c r="N1344" s="225" t="s">
        <v>1002</v>
      </c>
      <c r="O1344" s="105">
        <v>0</v>
      </c>
      <c r="P1344" s="247">
        <v>0</v>
      </c>
      <c r="Q1344" s="247">
        <v>0</v>
      </c>
      <c r="R1344" s="232" t="s">
        <v>1002</v>
      </c>
    </row>
    <row r="1345" spans="1:18" x14ac:dyDescent="0.4">
      <c r="A1345" s="212">
        <v>45945</v>
      </c>
      <c r="B1345" s="139" t="s">
        <v>71</v>
      </c>
      <c r="C1345" s="30" t="s">
        <v>176</v>
      </c>
      <c r="D1345" s="191">
        <v>72</v>
      </c>
      <c r="E1345" s="77">
        <v>6</v>
      </c>
      <c r="F1345" s="1"/>
      <c r="G1345" s="76">
        <v>0.29166666666666669</v>
      </c>
      <c r="H1345" s="76">
        <v>0.66666666666666663</v>
      </c>
      <c r="I1345" s="173" t="s">
        <v>1292</v>
      </c>
      <c r="J1345" s="23">
        <v>5</v>
      </c>
      <c r="K1345" s="23"/>
      <c r="L1345" s="68">
        <v>0.3125</v>
      </c>
      <c r="M1345" s="68">
        <v>0.70833333333333337</v>
      </c>
      <c r="N1345" s="173" t="s">
        <v>990</v>
      </c>
      <c r="O1345" s="23">
        <v>5430</v>
      </c>
      <c r="P1345" s="70">
        <v>0.29166666666666669</v>
      </c>
      <c r="Q1345" s="70">
        <v>0.70833333333333337</v>
      </c>
      <c r="R1345" s="229" t="s">
        <v>1252</v>
      </c>
    </row>
    <row r="1346" spans="1:18" x14ac:dyDescent="0.4">
      <c r="A1346" s="212">
        <v>45945</v>
      </c>
      <c r="B1346" s="139" t="s">
        <v>54</v>
      </c>
      <c r="C1346" s="30" t="s">
        <v>251</v>
      </c>
      <c r="D1346" s="191">
        <v>24</v>
      </c>
      <c r="E1346" s="77">
        <v>5</v>
      </c>
      <c r="F1346" s="1"/>
      <c r="G1346" s="76">
        <v>0.29166666666666669</v>
      </c>
      <c r="H1346" s="76">
        <v>0.5</v>
      </c>
      <c r="I1346" s="173" t="s">
        <v>1327</v>
      </c>
      <c r="J1346" s="23">
        <v>3</v>
      </c>
      <c r="K1346" s="68">
        <v>6.9444444444444441E-3</v>
      </c>
      <c r="L1346" s="68">
        <v>0.3263888888888889</v>
      </c>
      <c r="M1346" s="68">
        <v>0.56597222222222221</v>
      </c>
      <c r="N1346" s="173" t="s">
        <v>1305</v>
      </c>
      <c r="O1346" s="23">
        <v>2385</v>
      </c>
      <c r="P1346" s="70">
        <v>0.29166666666666669</v>
      </c>
      <c r="Q1346" s="70">
        <v>0.56597222222222221</v>
      </c>
      <c r="R1346" s="229" t="s">
        <v>1354</v>
      </c>
    </row>
    <row r="1347" spans="1:18" x14ac:dyDescent="0.4">
      <c r="A1347" s="212">
        <v>45945</v>
      </c>
      <c r="B1347" s="139" t="s">
        <v>63</v>
      </c>
      <c r="C1347" s="30" t="s">
        <v>267</v>
      </c>
      <c r="D1347" s="191">
        <v>24</v>
      </c>
      <c r="E1347" s="77">
        <v>5</v>
      </c>
      <c r="F1347" s="1"/>
      <c r="G1347" s="76">
        <v>0.54166666666666663</v>
      </c>
      <c r="H1347" s="76">
        <v>0.72916666666666663</v>
      </c>
      <c r="I1347" s="173" t="s">
        <v>1243</v>
      </c>
      <c r="J1347" s="23">
        <v>3</v>
      </c>
      <c r="K1347" s="68">
        <v>6.9444444444444441E-3</v>
      </c>
      <c r="L1347" s="68">
        <v>0.56597222222222221</v>
      </c>
      <c r="M1347" s="68">
        <v>0.72916666666666663</v>
      </c>
      <c r="N1347" s="173" t="s">
        <v>1365</v>
      </c>
      <c r="O1347" s="23">
        <v>2085</v>
      </c>
      <c r="P1347" s="70">
        <v>0.54166666666666663</v>
      </c>
      <c r="Q1347" s="70">
        <v>0.72916666666666663</v>
      </c>
      <c r="R1347" s="229" t="s">
        <v>1243</v>
      </c>
    </row>
    <row r="1348" spans="1:18" x14ac:dyDescent="0.4">
      <c r="A1348" s="212">
        <v>45945</v>
      </c>
      <c r="B1348" s="139" t="s">
        <v>642</v>
      </c>
      <c r="C1348" s="30" t="s">
        <v>643</v>
      </c>
      <c r="D1348" s="191">
        <v>24</v>
      </c>
      <c r="E1348" s="77">
        <v>3</v>
      </c>
      <c r="F1348" s="76">
        <v>4.1666666666666664E-2</v>
      </c>
      <c r="G1348" s="76">
        <v>0.29166666666666669</v>
      </c>
      <c r="H1348" s="76">
        <v>0.41666666666666669</v>
      </c>
      <c r="I1348" s="173" t="s">
        <v>1244</v>
      </c>
      <c r="J1348" s="23">
        <v>4</v>
      </c>
      <c r="K1348" s="23"/>
      <c r="L1348" s="68">
        <v>0.29166666666666669</v>
      </c>
      <c r="M1348" s="68">
        <v>0.56597222222222221</v>
      </c>
      <c r="N1348" s="173" t="s">
        <v>1354</v>
      </c>
      <c r="O1348" s="23">
        <v>2060</v>
      </c>
      <c r="P1348" s="70">
        <v>0.29166666666666669</v>
      </c>
      <c r="Q1348" s="70">
        <v>0.56597222222222221</v>
      </c>
      <c r="R1348" s="229" t="s">
        <v>1354</v>
      </c>
    </row>
    <row r="1349" spans="1:18" x14ac:dyDescent="0.4">
      <c r="A1349" s="212">
        <v>45945</v>
      </c>
      <c r="B1349" s="139" t="s">
        <v>83</v>
      </c>
      <c r="C1349" s="30" t="s">
        <v>169</v>
      </c>
      <c r="D1349" s="191">
        <v>12</v>
      </c>
      <c r="E1349" s="77">
        <v>3</v>
      </c>
      <c r="F1349" s="1"/>
      <c r="G1349" s="76">
        <v>0.41666666666666669</v>
      </c>
      <c r="H1349" s="76">
        <v>0.55902777777777779</v>
      </c>
      <c r="I1349" s="173" t="s">
        <v>1331</v>
      </c>
      <c r="J1349" s="23">
        <v>7</v>
      </c>
      <c r="K1349" s="23"/>
      <c r="L1349" s="68">
        <v>0.55902777777777779</v>
      </c>
      <c r="M1349" s="68">
        <v>0.69791666666666663</v>
      </c>
      <c r="N1349" s="173" t="s">
        <v>1250</v>
      </c>
      <c r="O1349" s="23">
        <v>1835</v>
      </c>
      <c r="P1349" s="70">
        <v>0.41666666666666669</v>
      </c>
      <c r="Q1349" s="70">
        <v>0.69791666666666663</v>
      </c>
      <c r="R1349" s="229" t="s">
        <v>1330</v>
      </c>
    </row>
    <row r="1350" spans="1:18" x14ac:dyDescent="0.4">
      <c r="A1350" s="212">
        <v>45946</v>
      </c>
      <c r="B1350" s="139" t="s">
        <v>106</v>
      </c>
      <c r="C1350" s="30" t="s">
        <v>173</v>
      </c>
      <c r="D1350" s="191">
        <v>16</v>
      </c>
      <c r="E1350" s="77">
        <v>4</v>
      </c>
      <c r="F1350" s="1"/>
      <c r="G1350" s="76">
        <v>0.54166666666666663</v>
      </c>
      <c r="H1350" s="76">
        <v>0.70833333333333337</v>
      </c>
      <c r="I1350" s="173" t="s">
        <v>1244</v>
      </c>
      <c r="J1350" s="23">
        <v>9</v>
      </c>
      <c r="K1350" s="23"/>
      <c r="L1350" s="68">
        <v>0.54166666666666663</v>
      </c>
      <c r="M1350" s="68">
        <v>0.75</v>
      </c>
      <c r="N1350" s="173" t="s">
        <v>1327</v>
      </c>
      <c r="O1350" s="23">
        <v>3660</v>
      </c>
      <c r="P1350" s="70">
        <v>0.54166666666666663</v>
      </c>
      <c r="Q1350" s="70">
        <v>0.75</v>
      </c>
      <c r="R1350" s="229" t="s">
        <v>1327</v>
      </c>
    </row>
    <row r="1351" spans="1:18" x14ac:dyDescent="0.4">
      <c r="A1351" s="212">
        <v>45946</v>
      </c>
      <c r="B1351" s="139" t="s">
        <v>68</v>
      </c>
      <c r="C1351" s="30" t="s">
        <v>185</v>
      </c>
      <c r="D1351" s="191">
        <v>20</v>
      </c>
      <c r="E1351" s="77">
        <v>6</v>
      </c>
      <c r="F1351" s="1"/>
      <c r="G1351" s="76">
        <v>0.29166666666666669</v>
      </c>
      <c r="H1351" s="76">
        <v>0.5</v>
      </c>
      <c r="I1351" s="173" t="s">
        <v>1327</v>
      </c>
      <c r="J1351" s="23">
        <v>5</v>
      </c>
      <c r="K1351" s="23"/>
      <c r="L1351" s="68">
        <v>0.3125</v>
      </c>
      <c r="M1351" s="68">
        <v>0.5</v>
      </c>
      <c r="N1351" s="173" t="s">
        <v>1243</v>
      </c>
      <c r="O1351" s="23">
        <v>3150</v>
      </c>
      <c r="P1351" s="70">
        <v>0.29166666666666669</v>
      </c>
      <c r="Q1351" s="70">
        <v>0.5</v>
      </c>
      <c r="R1351" s="229" t="s">
        <v>1327</v>
      </c>
    </row>
    <row r="1352" spans="1:18" x14ac:dyDescent="0.4">
      <c r="A1352" s="212">
        <v>45946</v>
      </c>
      <c r="B1352" s="139" t="s">
        <v>1046</v>
      </c>
      <c r="C1352" s="30" t="s">
        <v>1057</v>
      </c>
      <c r="D1352" s="191">
        <v>18</v>
      </c>
      <c r="E1352" s="77">
        <v>5</v>
      </c>
      <c r="F1352" s="1"/>
      <c r="G1352" s="76">
        <v>0.54166666666666663</v>
      </c>
      <c r="H1352" s="76">
        <v>0.75</v>
      </c>
      <c r="I1352" s="173" t="s">
        <v>1327</v>
      </c>
      <c r="J1352" s="23">
        <v>3</v>
      </c>
      <c r="K1352" s="68">
        <v>6.9444444444444441E-3</v>
      </c>
      <c r="L1352" s="68">
        <v>0.58333333333333337</v>
      </c>
      <c r="M1352" s="68">
        <v>0.75</v>
      </c>
      <c r="N1352" s="173" t="s">
        <v>1311</v>
      </c>
      <c r="O1352" s="23">
        <v>2250</v>
      </c>
      <c r="P1352" s="70">
        <v>0.54166666666666663</v>
      </c>
      <c r="Q1352" s="70">
        <v>0.75</v>
      </c>
      <c r="R1352" s="229" t="s">
        <v>1327</v>
      </c>
    </row>
    <row r="1353" spans="1:18" x14ac:dyDescent="0.4">
      <c r="A1353" s="212">
        <v>45946</v>
      </c>
      <c r="B1353" s="139" t="s">
        <v>76</v>
      </c>
      <c r="C1353" s="30" t="s">
        <v>224</v>
      </c>
      <c r="D1353" s="191">
        <v>20</v>
      </c>
      <c r="E1353" s="77">
        <v>5</v>
      </c>
      <c r="F1353" s="1"/>
      <c r="G1353" s="76">
        <v>0.34236111111111112</v>
      </c>
      <c r="H1353" s="76">
        <v>0.5</v>
      </c>
      <c r="I1353" s="173" t="s">
        <v>1580</v>
      </c>
      <c r="J1353" s="23">
        <v>3</v>
      </c>
      <c r="K1353" s="68">
        <v>6.9444444444444441E-3</v>
      </c>
      <c r="L1353" s="68">
        <v>0.38194444444444442</v>
      </c>
      <c r="M1353" s="68">
        <v>0.58333333333333337</v>
      </c>
      <c r="N1353" s="173" t="s">
        <v>1244</v>
      </c>
      <c r="O1353" s="23">
        <v>1855</v>
      </c>
      <c r="P1353" s="70">
        <v>0.34236111111111112</v>
      </c>
      <c r="Q1353" s="70">
        <v>0.58333333333333337</v>
      </c>
      <c r="R1353" s="229" t="s">
        <v>1640</v>
      </c>
    </row>
    <row r="1354" spans="1:18" x14ac:dyDescent="0.4">
      <c r="A1354" s="212">
        <v>45946</v>
      </c>
      <c r="B1354" s="139" t="s">
        <v>128</v>
      </c>
      <c r="C1354" s="30" t="s">
        <v>312</v>
      </c>
      <c r="D1354" s="191">
        <v>4</v>
      </c>
      <c r="E1354" s="77">
        <v>5</v>
      </c>
      <c r="F1354" s="1"/>
      <c r="G1354" s="76">
        <v>0.29166666666666669</v>
      </c>
      <c r="H1354" s="76">
        <v>0.34236111111111112</v>
      </c>
      <c r="I1354" s="173" t="s">
        <v>1647</v>
      </c>
      <c r="J1354" s="23">
        <v>3</v>
      </c>
      <c r="K1354" s="68">
        <v>6.9444444444444441E-3</v>
      </c>
      <c r="L1354" s="68">
        <v>0.34027777777777773</v>
      </c>
      <c r="M1354" s="68">
        <v>0.38194444444444442</v>
      </c>
      <c r="N1354" s="173" t="s">
        <v>1442</v>
      </c>
      <c r="O1354" s="23">
        <v>575</v>
      </c>
      <c r="P1354" s="70">
        <v>0.29166666666666669</v>
      </c>
      <c r="Q1354" s="70">
        <v>0.38194444444444442</v>
      </c>
      <c r="R1354" s="229" t="s">
        <v>1248</v>
      </c>
    </row>
    <row r="1355" spans="1:18" x14ac:dyDescent="0.4">
      <c r="A1355" s="212">
        <v>45946</v>
      </c>
      <c r="B1355" s="139" t="s">
        <v>65</v>
      </c>
      <c r="C1355" s="30" t="s">
        <v>189</v>
      </c>
      <c r="D1355" s="191">
        <v>72</v>
      </c>
      <c r="E1355" s="77">
        <v>3</v>
      </c>
      <c r="F1355" s="76">
        <v>4.1666666666666664E-2</v>
      </c>
      <c r="G1355" s="76">
        <v>0.29166666666666669</v>
      </c>
      <c r="H1355" s="76">
        <v>0.70138888888888884</v>
      </c>
      <c r="I1355" s="173" t="s">
        <v>1612</v>
      </c>
      <c r="J1355" s="23">
        <v>4</v>
      </c>
      <c r="K1355" s="68"/>
      <c r="L1355" s="68">
        <v>0.29166666666666669</v>
      </c>
      <c r="M1355" s="68">
        <v>0.73958333333333337</v>
      </c>
      <c r="N1355" s="173" t="s">
        <v>1428</v>
      </c>
      <c r="O1355" s="23">
        <v>4110</v>
      </c>
      <c r="P1355" s="70">
        <v>0.29166666666666669</v>
      </c>
      <c r="Q1355" s="70">
        <v>0.73958333333333337</v>
      </c>
      <c r="R1355" s="229" t="s">
        <v>1428</v>
      </c>
    </row>
    <row r="1356" spans="1:18" x14ac:dyDescent="0.4">
      <c r="A1356" s="212">
        <v>45947</v>
      </c>
      <c r="B1356" s="139" t="s">
        <v>71</v>
      </c>
      <c r="C1356" s="30" t="s">
        <v>176</v>
      </c>
      <c r="D1356" s="191">
        <v>72</v>
      </c>
      <c r="E1356" s="77">
        <v>6</v>
      </c>
      <c r="F1356" s="1"/>
      <c r="G1356" s="76">
        <v>0.29166666666666669</v>
      </c>
      <c r="H1356" s="76">
        <v>0.66666666666666663</v>
      </c>
      <c r="I1356" s="173" t="s">
        <v>1292</v>
      </c>
      <c r="J1356" s="23">
        <v>5</v>
      </c>
      <c r="K1356" s="23"/>
      <c r="L1356" s="68">
        <v>0.3125</v>
      </c>
      <c r="M1356" s="68">
        <v>0.70833333333333337</v>
      </c>
      <c r="N1356" s="173" t="s">
        <v>990</v>
      </c>
      <c r="O1356" s="23">
        <v>5430</v>
      </c>
      <c r="P1356" s="70">
        <v>0.29166666666666669</v>
      </c>
      <c r="Q1356" s="70">
        <v>0.70833333333333337</v>
      </c>
      <c r="R1356" s="229" t="s">
        <v>1252</v>
      </c>
    </row>
    <row r="1357" spans="1:18" x14ac:dyDescent="0.4">
      <c r="A1357" s="212">
        <v>45947</v>
      </c>
      <c r="B1357" s="139" t="s">
        <v>72</v>
      </c>
      <c r="C1357" s="30" t="s">
        <v>227</v>
      </c>
      <c r="D1357" s="191">
        <v>20</v>
      </c>
      <c r="E1357" s="77">
        <v>5</v>
      </c>
      <c r="F1357" s="1"/>
      <c r="G1357" s="76">
        <v>0.44722222222222219</v>
      </c>
      <c r="H1357" s="76">
        <v>0.72916666666666663</v>
      </c>
      <c r="I1357" s="173" t="s">
        <v>1348</v>
      </c>
      <c r="J1357" s="23">
        <v>3</v>
      </c>
      <c r="K1357" s="68">
        <v>6.9444444444444441E-3</v>
      </c>
      <c r="L1357" s="68">
        <v>0.3263888888888889</v>
      </c>
      <c r="M1357" s="68">
        <v>0.47222222222222227</v>
      </c>
      <c r="N1357" s="173" t="s">
        <v>1254</v>
      </c>
      <c r="O1357" s="23">
        <v>2390</v>
      </c>
      <c r="P1357" s="70">
        <v>0.3263888888888889</v>
      </c>
      <c r="Q1357" s="70">
        <v>0.72916666666666663</v>
      </c>
      <c r="R1357" s="229" t="s">
        <v>1351</v>
      </c>
    </row>
    <row r="1358" spans="1:18" x14ac:dyDescent="0.4">
      <c r="A1358" s="212">
        <v>45947</v>
      </c>
      <c r="B1358" s="139" t="s">
        <v>63</v>
      </c>
      <c r="C1358" s="30" t="s">
        <v>267</v>
      </c>
      <c r="D1358" s="191">
        <v>28</v>
      </c>
      <c r="E1358" s="77">
        <v>5</v>
      </c>
      <c r="F1358" s="1"/>
      <c r="G1358" s="76">
        <v>0.29166666666666669</v>
      </c>
      <c r="H1358" s="76">
        <v>0.44722222222222219</v>
      </c>
      <c r="I1358" s="173" t="s">
        <v>1349</v>
      </c>
      <c r="J1358" s="23">
        <v>3</v>
      </c>
      <c r="K1358" s="68">
        <v>6.9444444444444441E-3</v>
      </c>
      <c r="L1358" s="68">
        <v>0.47222222222222227</v>
      </c>
      <c r="M1358" s="68">
        <v>0.72916666666666663</v>
      </c>
      <c r="N1358" s="173" t="s">
        <v>1357</v>
      </c>
      <c r="O1358" s="23">
        <v>2080</v>
      </c>
      <c r="P1358" s="70">
        <v>0.29166666666666669</v>
      </c>
      <c r="Q1358" s="70">
        <v>0.72916666666666663</v>
      </c>
      <c r="R1358" s="229" t="s">
        <v>1247</v>
      </c>
    </row>
    <row r="1359" spans="1:18" x14ac:dyDescent="0.4">
      <c r="A1359" s="212">
        <v>45947</v>
      </c>
      <c r="B1359" s="139" t="s">
        <v>104</v>
      </c>
      <c r="C1359" s="30" t="s">
        <v>191</v>
      </c>
      <c r="D1359" s="191">
        <v>72</v>
      </c>
      <c r="E1359" s="77">
        <v>3</v>
      </c>
      <c r="F1359" s="76">
        <v>4.1666666666666664E-2</v>
      </c>
      <c r="G1359" s="76">
        <v>0.29166666666666669</v>
      </c>
      <c r="H1359" s="76">
        <v>0.65972222222222221</v>
      </c>
      <c r="I1359" s="173" t="s">
        <v>1395</v>
      </c>
      <c r="J1359" s="23">
        <v>4</v>
      </c>
      <c r="K1359" s="23"/>
      <c r="L1359" s="68">
        <v>0.29166666666666669</v>
      </c>
      <c r="M1359" s="68">
        <v>0.70833333333333337</v>
      </c>
      <c r="N1359" s="173" t="s">
        <v>1252</v>
      </c>
      <c r="O1359" s="23">
        <v>3750</v>
      </c>
      <c r="P1359" s="70">
        <v>0.29166666666666669</v>
      </c>
      <c r="Q1359" s="70">
        <v>0.70833333333333337</v>
      </c>
      <c r="R1359" s="229" t="s">
        <v>1252</v>
      </c>
    </row>
    <row r="1360" spans="1:18" x14ac:dyDescent="0.4">
      <c r="A1360" s="212">
        <v>45950</v>
      </c>
      <c r="B1360" s="139" t="s">
        <v>71</v>
      </c>
      <c r="C1360" s="30" t="s">
        <v>176</v>
      </c>
      <c r="D1360" s="191">
        <v>72</v>
      </c>
      <c r="E1360" s="77">
        <v>6</v>
      </c>
      <c r="F1360" s="1"/>
      <c r="G1360" s="76">
        <v>0.29166666666666669</v>
      </c>
      <c r="H1360" s="76">
        <v>0.70833333333333337</v>
      </c>
      <c r="I1360" s="173" t="s">
        <v>1252</v>
      </c>
      <c r="J1360" s="23">
        <v>5</v>
      </c>
      <c r="K1360" s="23"/>
      <c r="L1360" s="68">
        <v>0.3125</v>
      </c>
      <c r="M1360" s="68">
        <v>0.70833333333333337</v>
      </c>
      <c r="N1360" s="173" t="s">
        <v>990</v>
      </c>
      <c r="O1360" s="23">
        <v>5790</v>
      </c>
      <c r="P1360" s="70">
        <v>0.29166666666666669</v>
      </c>
      <c r="Q1360" s="70">
        <v>0.70833333333333337</v>
      </c>
      <c r="R1360" s="229" t="s">
        <v>1252</v>
      </c>
    </row>
    <row r="1361" spans="1:18" x14ac:dyDescent="0.4">
      <c r="A1361" s="212">
        <v>45950</v>
      </c>
      <c r="B1361" s="139" t="s">
        <v>64</v>
      </c>
      <c r="C1361" s="30" t="s">
        <v>271</v>
      </c>
      <c r="D1361" s="191">
        <v>16</v>
      </c>
      <c r="E1361" s="77">
        <v>5</v>
      </c>
      <c r="F1361" s="1"/>
      <c r="G1361" s="76">
        <v>0.29166666666666669</v>
      </c>
      <c r="H1361" s="76">
        <v>0.45763888888888887</v>
      </c>
      <c r="I1361" s="173" t="s">
        <v>1622</v>
      </c>
      <c r="J1361" s="23">
        <v>3</v>
      </c>
      <c r="K1361" s="68">
        <v>1.0416666666666666E-2</v>
      </c>
      <c r="L1361" s="68">
        <v>0.33333333333333331</v>
      </c>
      <c r="M1361" s="68">
        <v>0.47916666666666669</v>
      </c>
      <c r="N1361" s="173" t="s">
        <v>1380</v>
      </c>
      <c r="O1361" s="23">
        <v>1870</v>
      </c>
      <c r="P1361" s="70">
        <v>0.29166666666666669</v>
      </c>
      <c r="Q1361" s="70">
        <v>0.47916666666666669</v>
      </c>
      <c r="R1361" s="229" t="s">
        <v>1243</v>
      </c>
    </row>
    <row r="1362" spans="1:18" x14ac:dyDescent="0.4">
      <c r="A1362" s="212">
        <v>45950</v>
      </c>
      <c r="B1362" s="139" t="s">
        <v>63</v>
      </c>
      <c r="C1362" s="30" t="s">
        <v>267</v>
      </c>
      <c r="D1362" s="191">
        <v>20</v>
      </c>
      <c r="E1362" s="77">
        <v>5</v>
      </c>
      <c r="F1362" s="1"/>
      <c r="G1362" s="76">
        <v>0.45763888888888887</v>
      </c>
      <c r="H1362" s="76">
        <v>0.66666666666666663</v>
      </c>
      <c r="I1362" s="173" t="s">
        <v>1648</v>
      </c>
      <c r="J1362" s="23">
        <v>3</v>
      </c>
      <c r="K1362" s="68">
        <v>1.0416666666666666E-2</v>
      </c>
      <c r="L1362" s="68">
        <v>0.47916666666666669</v>
      </c>
      <c r="M1362" s="68">
        <v>0.6875</v>
      </c>
      <c r="N1362" s="173" t="s">
        <v>1259</v>
      </c>
      <c r="O1362" s="23">
        <v>1970</v>
      </c>
      <c r="P1362" s="70">
        <v>0.45763888888888887</v>
      </c>
      <c r="Q1362" s="70">
        <v>0.6875</v>
      </c>
      <c r="R1362" s="229" t="s">
        <v>1649</v>
      </c>
    </row>
    <row r="1363" spans="1:18" x14ac:dyDescent="0.4">
      <c r="A1363" s="212">
        <v>45950</v>
      </c>
      <c r="B1363" s="139" t="s">
        <v>65</v>
      </c>
      <c r="C1363" s="30" t="s">
        <v>189</v>
      </c>
      <c r="D1363" s="191">
        <v>60</v>
      </c>
      <c r="E1363" s="77">
        <v>3</v>
      </c>
      <c r="F1363" s="76">
        <v>4.1666666666666664E-2</v>
      </c>
      <c r="G1363" s="76">
        <v>0.29166666666666669</v>
      </c>
      <c r="H1363" s="76">
        <v>0.61805555555555558</v>
      </c>
      <c r="I1363" s="173" t="s">
        <v>1338</v>
      </c>
      <c r="J1363" s="23">
        <v>4</v>
      </c>
      <c r="K1363" s="23"/>
      <c r="L1363" s="68">
        <v>0.29166666666666669</v>
      </c>
      <c r="M1363" s="68">
        <v>0.65972222222222221</v>
      </c>
      <c r="N1363" s="173" t="s">
        <v>1338</v>
      </c>
      <c r="O1363" s="23">
        <v>3290</v>
      </c>
      <c r="P1363" s="70">
        <v>0.29166666666666669</v>
      </c>
      <c r="Q1363" s="70">
        <v>0.65972222222222221</v>
      </c>
      <c r="R1363" s="229" t="s">
        <v>1338</v>
      </c>
    </row>
    <row r="1364" spans="1:18" x14ac:dyDescent="0.4">
      <c r="A1364" s="212">
        <v>45951</v>
      </c>
      <c r="B1364" s="139" t="s">
        <v>106</v>
      </c>
      <c r="C1364" s="30" t="s">
        <v>173</v>
      </c>
      <c r="D1364" s="191">
        <v>16</v>
      </c>
      <c r="E1364" s="77">
        <v>5</v>
      </c>
      <c r="F1364" s="1"/>
      <c r="G1364" s="76">
        <v>0.54166666666666663</v>
      </c>
      <c r="H1364" s="76">
        <v>0.70833333333333337</v>
      </c>
      <c r="I1364" s="173" t="s">
        <v>1244</v>
      </c>
      <c r="J1364" s="23">
        <v>9</v>
      </c>
      <c r="K1364" s="68">
        <v>1.0416666666666666E-2</v>
      </c>
      <c r="L1364" s="68">
        <v>0.54166666666666663</v>
      </c>
      <c r="M1364" s="68">
        <v>0.75</v>
      </c>
      <c r="N1364" s="173" t="s">
        <v>1401</v>
      </c>
      <c r="O1364" s="23">
        <v>4035</v>
      </c>
      <c r="P1364" s="70">
        <v>0.54166666666666663</v>
      </c>
      <c r="Q1364" s="70">
        <v>0.75</v>
      </c>
      <c r="R1364" s="229" t="s">
        <v>1327</v>
      </c>
    </row>
    <row r="1365" spans="1:18" x14ac:dyDescent="0.4">
      <c r="A1365" s="212">
        <v>45951</v>
      </c>
      <c r="B1365" s="139" t="s">
        <v>61</v>
      </c>
      <c r="C1365" s="30" t="s">
        <v>156</v>
      </c>
      <c r="D1365" s="191">
        <v>20</v>
      </c>
      <c r="E1365" s="77">
        <v>5</v>
      </c>
      <c r="F1365" s="1"/>
      <c r="G1365" s="76">
        <v>0.29166666666666669</v>
      </c>
      <c r="H1365" s="76">
        <v>0.5</v>
      </c>
      <c r="I1365" s="173" t="s">
        <v>1327</v>
      </c>
      <c r="J1365" s="23">
        <v>10</v>
      </c>
      <c r="K1365" s="68">
        <v>1.0416666666666666E-2</v>
      </c>
      <c r="L1365" s="68">
        <v>0.33333333333333331</v>
      </c>
      <c r="M1365" s="68">
        <v>0.5</v>
      </c>
      <c r="N1365" s="173" t="s">
        <v>1259</v>
      </c>
      <c r="O1365" s="23">
        <v>4050</v>
      </c>
      <c r="P1365" s="70">
        <v>0.29166666666666669</v>
      </c>
      <c r="Q1365" s="70">
        <v>0.5</v>
      </c>
      <c r="R1365" s="229" t="s">
        <v>1327</v>
      </c>
    </row>
    <row r="1366" spans="1:18" x14ac:dyDescent="0.4">
      <c r="A1366" s="212">
        <v>45951</v>
      </c>
      <c r="B1366" s="139" t="s">
        <v>965</v>
      </c>
      <c r="C1366" s="30" t="s">
        <v>966</v>
      </c>
      <c r="D1366" s="191">
        <v>16</v>
      </c>
      <c r="E1366" s="77">
        <v>5</v>
      </c>
      <c r="F1366" s="1"/>
      <c r="G1366" s="76">
        <v>0.29166666666666669</v>
      </c>
      <c r="H1366" s="76">
        <v>0.4152777777777778</v>
      </c>
      <c r="I1366" s="173" t="s">
        <v>1376</v>
      </c>
      <c r="J1366" s="23">
        <v>3</v>
      </c>
      <c r="K1366" s="68">
        <v>1.0416666666666666E-2</v>
      </c>
      <c r="L1366" s="68">
        <v>0.33333333333333331</v>
      </c>
      <c r="M1366" s="68">
        <v>0.44097222222222227</v>
      </c>
      <c r="N1366" s="173" t="s">
        <v>1314</v>
      </c>
      <c r="O1366" s="23">
        <v>1400</v>
      </c>
      <c r="P1366" s="70">
        <v>0.29166666666666669</v>
      </c>
      <c r="Q1366" s="70">
        <v>0.44097222222222227</v>
      </c>
      <c r="R1366" s="229" t="s">
        <v>1355</v>
      </c>
    </row>
    <row r="1367" spans="1:18" x14ac:dyDescent="0.4">
      <c r="A1367" s="212">
        <v>45951</v>
      </c>
      <c r="B1367" s="139" t="s">
        <v>63</v>
      </c>
      <c r="C1367" s="30" t="s">
        <v>267</v>
      </c>
      <c r="D1367" s="191">
        <v>24</v>
      </c>
      <c r="E1367" s="77">
        <v>5</v>
      </c>
      <c r="F1367" s="1"/>
      <c r="G1367" s="76">
        <v>0.4152777777777778</v>
      </c>
      <c r="H1367" s="76">
        <v>0.6875</v>
      </c>
      <c r="I1367" s="173" t="s">
        <v>1393</v>
      </c>
      <c r="J1367" s="23">
        <v>3</v>
      </c>
      <c r="K1367" s="68">
        <v>1.0416666666666666E-2</v>
      </c>
      <c r="L1367" s="68">
        <v>0.44097222222222227</v>
      </c>
      <c r="M1367" s="68">
        <v>0.6875</v>
      </c>
      <c r="N1367" s="173" t="s">
        <v>1257</v>
      </c>
      <c r="O1367" s="23">
        <v>2590</v>
      </c>
      <c r="P1367" s="70">
        <v>0.4152777777777778</v>
      </c>
      <c r="Q1367" s="70">
        <v>0.6875</v>
      </c>
      <c r="R1367" s="229" t="s">
        <v>1393</v>
      </c>
    </row>
    <row r="1368" spans="1:18" x14ac:dyDescent="0.4">
      <c r="A1368" s="212">
        <v>45951</v>
      </c>
      <c r="B1368" s="139" t="s">
        <v>65</v>
      </c>
      <c r="C1368" s="30" t="s">
        <v>189</v>
      </c>
      <c r="D1368" s="191">
        <v>60</v>
      </c>
      <c r="E1368" s="77">
        <v>3</v>
      </c>
      <c r="F1368" s="76">
        <v>2.0833333333333332E-2</v>
      </c>
      <c r="G1368" s="76">
        <v>0.29166666666666669</v>
      </c>
      <c r="H1368" s="76">
        <v>0.60416666666666663</v>
      </c>
      <c r="I1368" s="173" t="s">
        <v>1341</v>
      </c>
      <c r="J1368" s="23">
        <v>4</v>
      </c>
      <c r="K1368" s="23"/>
      <c r="L1368" s="68">
        <v>0.29166666666666669</v>
      </c>
      <c r="M1368" s="68">
        <v>0.65625</v>
      </c>
      <c r="N1368" s="173" t="s">
        <v>1453</v>
      </c>
      <c r="O1368" s="23">
        <v>3120</v>
      </c>
      <c r="P1368" s="70">
        <v>0.29166666666666669</v>
      </c>
      <c r="Q1368" s="70">
        <v>0.65625</v>
      </c>
      <c r="R1368" s="229" t="s">
        <v>1453</v>
      </c>
    </row>
    <row r="1369" spans="1:18" x14ac:dyDescent="0.4">
      <c r="A1369" s="212">
        <v>45952</v>
      </c>
      <c r="B1369" s="139" t="s">
        <v>87</v>
      </c>
      <c r="C1369" s="30" t="s">
        <v>199</v>
      </c>
      <c r="D1369" s="191">
        <v>72</v>
      </c>
      <c r="E1369" s="77">
        <v>6</v>
      </c>
      <c r="F1369" s="1"/>
      <c r="G1369" s="76">
        <v>0.29166666666666669</v>
      </c>
      <c r="H1369" s="76">
        <v>0.70833333333333337</v>
      </c>
      <c r="I1369" s="173" t="s">
        <v>1252</v>
      </c>
      <c r="J1369" s="23">
        <v>5</v>
      </c>
      <c r="K1369" s="23"/>
      <c r="L1369" s="68">
        <v>0.3125</v>
      </c>
      <c r="M1369" s="68">
        <v>0.70833333333333337</v>
      </c>
      <c r="N1369" s="173" t="s">
        <v>990</v>
      </c>
      <c r="O1369" s="23">
        <v>5790</v>
      </c>
      <c r="P1369" s="70">
        <v>0.29166666666666669</v>
      </c>
      <c r="Q1369" s="70">
        <v>0.70833333333333337</v>
      </c>
      <c r="R1369" s="229" t="s">
        <v>1252</v>
      </c>
    </row>
    <row r="1370" spans="1:18" x14ac:dyDescent="0.4">
      <c r="A1370" s="212">
        <v>45952</v>
      </c>
      <c r="B1370" s="139" t="s">
        <v>81</v>
      </c>
      <c r="C1370" s="30" t="s">
        <v>235</v>
      </c>
      <c r="D1370" s="191">
        <v>12</v>
      </c>
      <c r="E1370" s="77">
        <v>5</v>
      </c>
      <c r="F1370" s="1"/>
      <c r="G1370" s="76">
        <v>0.29166666666666669</v>
      </c>
      <c r="H1370" s="76">
        <v>0.39930555555555558</v>
      </c>
      <c r="I1370" s="173" t="s">
        <v>1301</v>
      </c>
      <c r="J1370" s="23">
        <v>3</v>
      </c>
      <c r="K1370" s="68">
        <v>1.0416666666666666E-2</v>
      </c>
      <c r="L1370" s="68">
        <v>0.3298611111111111</v>
      </c>
      <c r="M1370" s="68">
        <v>0.43055555555555558</v>
      </c>
      <c r="N1370" s="173" t="s">
        <v>1325</v>
      </c>
      <c r="O1370" s="23">
        <v>1255</v>
      </c>
      <c r="P1370" s="70">
        <v>0.29166666666666669</v>
      </c>
      <c r="Q1370" s="70">
        <v>0.43055555555555558</v>
      </c>
      <c r="R1370" s="229" t="s">
        <v>1250</v>
      </c>
    </row>
    <row r="1371" spans="1:18" x14ac:dyDescent="0.4">
      <c r="A1371" s="212">
        <v>45952</v>
      </c>
      <c r="B1371" s="139" t="s">
        <v>63</v>
      </c>
      <c r="C1371" s="30" t="s">
        <v>267</v>
      </c>
      <c r="D1371" s="191">
        <v>24</v>
      </c>
      <c r="E1371" s="77">
        <v>5</v>
      </c>
      <c r="F1371" s="1"/>
      <c r="G1371" s="76">
        <v>0.39930555555555558</v>
      </c>
      <c r="H1371" s="76">
        <v>0.66666666666666663</v>
      </c>
      <c r="I1371" s="173" t="s">
        <v>1306</v>
      </c>
      <c r="J1371" s="23">
        <v>3</v>
      </c>
      <c r="K1371" s="68">
        <v>1.0416666666666666E-2</v>
      </c>
      <c r="L1371" s="68">
        <v>0.43055555555555558</v>
      </c>
      <c r="M1371" s="68">
        <v>0.6875</v>
      </c>
      <c r="N1371" s="173" t="s">
        <v>1306</v>
      </c>
      <c r="O1371" s="23">
        <v>2600</v>
      </c>
      <c r="P1371" s="70">
        <v>0.39930555555555558</v>
      </c>
      <c r="Q1371" s="70">
        <v>0.6875</v>
      </c>
      <c r="R1371" s="229" t="s">
        <v>1358</v>
      </c>
    </row>
    <row r="1372" spans="1:18" x14ac:dyDescent="0.4">
      <c r="A1372" s="212">
        <v>45952</v>
      </c>
      <c r="B1372" s="139" t="s">
        <v>104</v>
      </c>
      <c r="C1372" s="30" t="s">
        <v>191</v>
      </c>
      <c r="D1372" s="191">
        <v>60</v>
      </c>
      <c r="E1372" s="77">
        <v>3</v>
      </c>
      <c r="F1372" s="76">
        <v>2.0833333333333332E-2</v>
      </c>
      <c r="G1372" s="76">
        <v>0.29166666666666669</v>
      </c>
      <c r="H1372" s="76">
        <v>0.62152777777777779</v>
      </c>
      <c r="I1372" s="173" t="s">
        <v>1406</v>
      </c>
      <c r="J1372" s="23">
        <v>4</v>
      </c>
      <c r="K1372" s="23"/>
      <c r="L1372" s="68">
        <v>0.29166666666666669</v>
      </c>
      <c r="M1372" s="68">
        <v>0.66666666666666663</v>
      </c>
      <c r="N1372" s="173" t="s">
        <v>1292</v>
      </c>
      <c r="O1372" s="23">
        <v>3255</v>
      </c>
      <c r="P1372" s="70">
        <v>0.29166666666666669</v>
      </c>
      <c r="Q1372" s="70">
        <v>0.66666666666666663</v>
      </c>
      <c r="R1372" s="229" t="s">
        <v>1292</v>
      </c>
    </row>
    <row r="1373" spans="1:18" x14ac:dyDescent="0.4">
      <c r="A1373" s="246">
        <v>45952</v>
      </c>
      <c r="B1373" s="102">
        <v>155121</v>
      </c>
      <c r="C1373" s="136" t="s">
        <v>1145</v>
      </c>
      <c r="D1373" s="193">
        <v>600</v>
      </c>
      <c r="E1373" s="103"/>
      <c r="F1373" s="104"/>
      <c r="G1373" s="184"/>
      <c r="H1373" s="184"/>
      <c r="I1373" s="225" t="s">
        <v>1002</v>
      </c>
      <c r="J1373" s="105"/>
      <c r="K1373" s="105"/>
      <c r="L1373" s="106"/>
      <c r="M1373" s="106"/>
      <c r="N1373" s="225" t="s">
        <v>1002</v>
      </c>
      <c r="O1373" s="105">
        <v>0</v>
      </c>
      <c r="P1373" s="247">
        <v>0</v>
      </c>
      <c r="Q1373" s="247">
        <v>0</v>
      </c>
      <c r="R1373" s="232" t="s">
        <v>1002</v>
      </c>
    </row>
    <row r="1374" spans="1:18" x14ac:dyDescent="0.4">
      <c r="A1374" s="212">
        <v>45953</v>
      </c>
      <c r="B1374" s="139" t="s">
        <v>54</v>
      </c>
      <c r="C1374" s="30" t="s">
        <v>251</v>
      </c>
      <c r="D1374" s="191">
        <v>30</v>
      </c>
      <c r="E1374" s="77">
        <v>5</v>
      </c>
      <c r="F1374" s="1"/>
      <c r="G1374" s="76">
        <v>0.36805555555555558</v>
      </c>
      <c r="H1374" s="76">
        <v>0.70833333333333337</v>
      </c>
      <c r="I1374" s="173" t="s">
        <v>1403</v>
      </c>
      <c r="J1374" s="23">
        <v>3</v>
      </c>
      <c r="K1374" s="68">
        <v>1.0416666666666666E-2</v>
      </c>
      <c r="L1374" s="68">
        <v>0.40277777777777773</v>
      </c>
      <c r="M1374" s="68">
        <v>0.75</v>
      </c>
      <c r="N1374" s="173" t="s">
        <v>1455</v>
      </c>
      <c r="O1374" s="23">
        <v>3515</v>
      </c>
      <c r="P1374" s="70">
        <v>0.36805555555555558</v>
      </c>
      <c r="Q1374" s="70">
        <v>0.75</v>
      </c>
      <c r="R1374" s="229" t="s">
        <v>1307</v>
      </c>
    </row>
    <row r="1375" spans="1:18" x14ac:dyDescent="0.4">
      <c r="A1375" s="212">
        <v>45953</v>
      </c>
      <c r="B1375" s="139" t="s">
        <v>53</v>
      </c>
      <c r="C1375" s="30" t="s">
        <v>261</v>
      </c>
      <c r="D1375" s="191">
        <v>6</v>
      </c>
      <c r="E1375" s="77">
        <v>5</v>
      </c>
      <c r="F1375" s="1"/>
      <c r="G1375" s="76">
        <v>0.29166666666666669</v>
      </c>
      <c r="H1375" s="76">
        <v>0.36805555555555558</v>
      </c>
      <c r="I1375" s="173" t="s">
        <v>1377</v>
      </c>
      <c r="J1375" s="23">
        <v>3</v>
      </c>
      <c r="K1375" s="68">
        <v>1.0416666666666666E-2</v>
      </c>
      <c r="L1375" s="68">
        <v>0.33333333333333331</v>
      </c>
      <c r="M1375" s="68">
        <v>0.40277777777777773</v>
      </c>
      <c r="N1375" s="173" t="s">
        <v>1457</v>
      </c>
      <c r="O1375" s="23">
        <v>895</v>
      </c>
      <c r="P1375" s="70">
        <v>0.29166666666666669</v>
      </c>
      <c r="Q1375" s="70">
        <v>0.40277777777777773</v>
      </c>
      <c r="R1375" s="229" t="s">
        <v>1325</v>
      </c>
    </row>
    <row r="1376" spans="1:18" x14ac:dyDescent="0.4">
      <c r="A1376" s="212">
        <v>45953</v>
      </c>
      <c r="B1376" s="139" t="s">
        <v>115</v>
      </c>
      <c r="C1376" s="30" t="s">
        <v>214</v>
      </c>
      <c r="D1376" s="191">
        <v>12</v>
      </c>
      <c r="E1376" s="77">
        <v>5</v>
      </c>
      <c r="F1376" s="1"/>
      <c r="G1376" s="76">
        <v>0.58888888888888891</v>
      </c>
      <c r="H1376" s="76">
        <v>0.72916666666666663</v>
      </c>
      <c r="I1376" s="173" t="s">
        <v>1387</v>
      </c>
      <c r="J1376" s="23">
        <v>4</v>
      </c>
      <c r="K1376" s="68">
        <v>5.5555555555555558E-3</v>
      </c>
      <c r="L1376" s="68">
        <v>0.625</v>
      </c>
      <c r="M1376" s="68">
        <v>0.75</v>
      </c>
      <c r="N1376" s="173" t="s">
        <v>1397</v>
      </c>
      <c r="O1376" s="23">
        <v>1762</v>
      </c>
      <c r="P1376" s="70">
        <v>0.58888888888888891</v>
      </c>
      <c r="Q1376" s="70">
        <v>0.75</v>
      </c>
      <c r="R1376" s="229" t="s">
        <v>1388</v>
      </c>
    </row>
    <row r="1377" spans="1:18" x14ac:dyDescent="0.4">
      <c r="A1377" s="212">
        <v>45953</v>
      </c>
      <c r="B1377" s="139" t="s">
        <v>130</v>
      </c>
      <c r="C1377" s="30" t="s">
        <v>216</v>
      </c>
      <c r="D1377" s="191">
        <v>12</v>
      </c>
      <c r="E1377" s="77">
        <v>5</v>
      </c>
      <c r="F1377" s="1"/>
      <c r="G1377" s="76">
        <v>0.34861111111111115</v>
      </c>
      <c r="H1377" s="76">
        <v>0.44097222222222227</v>
      </c>
      <c r="I1377" s="173" t="s">
        <v>1582</v>
      </c>
      <c r="J1377" s="23">
        <v>4</v>
      </c>
      <c r="K1377" s="68">
        <v>5.5555555555555558E-3</v>
      </c>
      <c r="L1377" s="68">
        <v>0.38194444444444442</v>
      </c>
      <c r="M1377" s="68">
        <v>0.47916666666666669</v>
      </c>
      <c r="N1377" s="173" t="s">
        <v>1424</v>
      </c>
      <c r="O1377" s="23">
        <v>1257</v>
      </c>
      <c r="P1377" s="70">
        <v>0.34861111111111115</v>
      </c>
      <c r="Q1377" s="70">
        <v>0.47916666666666669</v>
      </c>
      <c r="R1377" s="229" t="s">
        <v>1397</v>
      </c>
    </row>
    <row r="1378" spans="1:18" x14ac:dyDescent="0.4">
      <c r="A1378" s="212">
        <v>45953</v>
      </c>
      <c r="B1378" s="139" t="s">
        <v>55</v>
      </c>
      <c r="C1378" s="30" t="s">
        <v>208</v>
      </c>
      <c r="D1378" s="191">
        <v>12</v>
      </c>
      <c r="E1378" s="77">
        <v>5</v>
      </c>
      <c r="F1378" s="1"/>
      <c r="G1378" s="76">
        <v>0.44097222222222227</v>
      </c>
      <c r="H1378" s="76">
        <v>0.58888888888888891</v>
      </c>
      <c r="I1378" s="173" t="s">
        <v>1346</v>
      </c>
      <c r="J1378" s="23">
        <v>4</v>
      </c>
      <c r="K1378" s="68">
        <v>5.5555555555555558E-3</v>
      </c>
      <c r="L1378" s="68">
        <v>0.47916666666666669</v>
      </c>
      <c r="M1378" s="68">
        <v>0.62847222222222221</v>
      </c>
      <c r="N1378" s="173" t="s">
        <v>1489</v>
      </c>
      <c r="O1378" s="23">
        <v>1417</v>
      </c>
      <c r="P1378" s="70">
        <v>0.44097222222222227</v>
      </c>
      <c r="Q1378" s="70">
        <v>0.62847222222222221</v>
      </c>
      <c r="R1378" s="229" t="s">
        <v>1303</v>
      </c>
    </row>
    <row r="1379" spans="1:18" x14ac:dyDescent="0.4">
      <c r="A1379" s="212">
        <v>45953</v>
      </c>
      <c r="B1379" s="139" t="s">
        <v>984</v>
      </c>
      <c r="C1379" s="30" t="s">
        <v>245</v>
      </c>
      <c r="D1379" s="191">
        <v>4</v>
      </c>
      <c r="E1379" s="77">
        <v>5</v>
      </c>
      <c r="F1379" s="1"/>
      <c r="G1379" s="76">
        <v>0.29166666666666669</v>
      </c>
      <c r="H1379" s="76">
        <v>0.34861111111111115</v>
      </c>
      <c r="I1379" s="173" t="s">
        <v>1430</v>
      </c>
      <c r="J1379" s="23">
        <v>4</v>
      </c>
      <c r="K1379" s="68">
        <v>5.5555555555555558E-3</v>
      </c>
      <c r="L1379" s="68">
        <v>0.33333333333333331</v>
      </c>
      <c r="M1379" s="68">
        <v>0.38194444444444442</v>
      </c>
      <c r="N1379" s="173" t="s">
        <v>1492</v>
      </c>
      <c r="O1379" s="23">
        <v>722</v>
      </c>
      <c r="P1379" s="70">
        <v>0.29166666666666669</v>
      </c>
      <c r="Q1379" s="70">
        <v>0.38194444444444442</v>
      </c>
      <c r="R1379" s="229" t="s">
        <v>1248</v>
      </c>
    </row>
    <row r="1380" spans="1:18" x14ac:dyDescent="0.4">
      <c r="A1380" s="212">
        <v>45953</v>
      </c>
      <c r="B1380" s="139" t="s">
        <v>73</v>
      </c>
      <c r="C1380" s="30" t="s">
        <v>231</v>
      </c>
      <c r="D1380" s="191">
        <v>21</v>
      </c>
      <c r="E1380" s="77">
        <v>3</v>
      </c>
      <c r="F1380" s="76">
        <v>2.0833333333333332E-2</v>
      </c>
      <c r="G1380" s="76">
        <v>0.29166666666666669</v>
      </c>
      <c r="H1380" s="76">
        <v>0.66666666666666663</v>
      </c>
      <c r="I1380" s="173" t="s">
        <v>990</v>
      </c>
      <c r="J1380" s="23">
        <v>7</v>
      </c>
      <c r="K1380" s="23"/>
      <c r="L1380" s="68">
        <v>0.33333333333333331</v>
      </c>
      <c r="M1380" s="68">
        <v>0.70833333333333337</v>
      </c>
      <c r="N1380" s="173" t="s">
        <v>1292</v>
      </c>
      <c r="O1380" s="23">
        <v>4890</v>
      </c>
      <c r="P1380" s="70">
        <v>0.29166666666666669</v>
      </c>
      <c r="Q1380" s="70">
        <v>0.70833333333333337</v>
      </c>
      <c r="R1380" s="229" t="s">
        <v>1252</v>
      </c>
    </row>
    <row r="1381" spans="1:18" x14ac:dyDescent="0.4">
      <c r="A1381" s="246">
        <v>45953</v>
      </c>
      <c r="B1381" s="102">
        <v>111010</v>
      </c>
      <c r="C1381" s="136" t="s">
        <v>480</v>
      </c>
      <c r="D1381" s="193">
        <v>1</v>
      </c>
      <c r="E1381" s="103"/>
      <c r="F1381" s="104"/>
      <c r="G1381" s="184"/>
      <c r="H1381" s="184"/>
      <c r="I1381" s="225" t="s">
        <v>1002</v>
      </c>
      <c r="J1381" s="105"/>
      <c r="K1381" s="105"/>
      <c r="L1381" s="106"/>
      <c r="M1381" s="106"/>
      <c r="N1381" s="225" t="s">
        <v>1002</v>
      </c>
      <c r="O1381" s="105">
        <v>0</v>
      </c>
      <c r="P1381" s="247">
        <v>0</v>
      </c>
      <c r="Q1381" s="247">
        <v>0</v>
      </c>
      <c r="R1381" s="232" t="s">
        <v>1002</v>
      </c>
    </row>
    <row r="1382" spans="1:18" x14ac:dyDescent="0.4">
      <c r="A1382" s="212">
        <v>45957</v>
      </c>
      <c r="B1382" s="139" t="s">
        <v>114</v>
      </c>
      <c r="C1382" s="30" t="s">
        <v>161</v>
      </c>
      <c r="D1382" s="191">
        <v>15</v>
      </c>
      <c r="E1382" s="77">
        <v>5</v>
      </c>
      <c r="F1382" s="1"/>
      <c r="G1382" s="76">
        <v>0.29166666666666669</v>
      </c>
      <c r="H1382" s="76">
        <v>0.5</v>
      </c>
      <c r="I1382" s="173" t="s">
        <v>1327</v>
      </c>
      <c r="J1382" s="23">
        <v>13</v>
      </c>
      <c r="K1382" s="23"/>
      <c r="L1382" s="68">
        <v>0.29166666666666669</v>
      </c>
      <c r="M1382" s="68">
        <v>0.54166666666666663</v>
      </c>
      <c r="N1382" s="173" t="s">
        <v>1327</v>
      </c>
      <c r="O1382" s="23">
        <v>5400</v>
      </c>
      <c r="P1382" s="70">
        <v>0.29166666666666669</v>
      </c>
      <c r="Q1382" s="70">
        <v>0.54166666666666663</v>
      </c>
      <c r="R1382" s="229" t="s">
        <v>1327</v>
      </c>
    </row>
    <row r="1383" spans="1:18" x14ac:dyDescent="0.4">
      <c r="A1383" s="212">
        <v>45957</v>
      </c>
      <c r="B1383" s="139" t="s">
        <v>91</v>
      </c>
      <c r="C1383" s="30" t="s">
        <v>163</v>
      </c>
      <c r="D1383" s="191">
        <v>8</v>
      </c>
      <c r="E1383" s="77">
        <v>5</v>
      </c>
      <c r="F1383" s="1"/>
      <c r="G1383" s="76">
        <v>0.54166666666666663</v>
      </c>
      <c r="H1383" s="76">
        <v>0.66666666666666663</v>
      </c>
      <c r="I1383" s="173" t="s">
        <v>1316</v>
      </c>
      <c r="J1383" s="23">
        <v>9</v>
      </c>
      <c r="K1383" s="23"/>
      <c r="L1383" s="68">
        <v>0.5625</v>
      </c>
      <c r="M1383" s="68">
        <v>0.70833333333333337</v>
      </c>
      <c r="N1383" s="173" t="s">
        <v>1303</v>
      </c>
      <c r="O1383" s="23">
        <v>2790</v>
      </c>
      <c r="P1383" s="70">
        <v>0.54166666666666663</v>
      </c>
      <c r="Q1383" s="70">
        <v>0.70833333333333337</v>
      </c>
      <c r="R1383" s="229" t="s">
        <v>1244</v>
      </c>
    </row>
    <row r="1384" spans="1:18" x14ac:dyDescent="0.4">
      <c r="A1384" s="212">
        <v>45957</v>
      </c>
      <c r="B1384" s="139" t="s">
        <v>107</v>
      </c>
      <c r="C1384" s="30" t="s">
        <v>314</v>
      </c>
      <c r="D1384" s="191">
        <v>16</v>
      </c>
      <c r="E1384" s="77">
        <v>5</v>
      </c>
      <c r="F1384" s="76"/>
      <c r="G1384" s="76">
        <v>0.29166666666666669</v>
      </c>
      <c r="H1384" s="76">
        <v>0.44027777777777777</v>
      </c>
      <c r="I1384" s="173" t="s">
        <v>1503</v>
      </c>
      <c r="J1384" s="23">
        <v>3</v>
      </c>
      <c r="K1384" s="68">
        <v>1.0416666666666666E-2</v>
      </c>
      <c r="L1384" s="68">
        <v>0.33333333333333331</v>
      </c>
      <c r="M1384" s="68">
        <v>0.4826388888888889</v>
      </c>
      <c r="N1384" s="173" t="s">
        <v>1332</v>
      </c>
      <c r="O1384" s="23">
        <v>1760</v>
      </c>
      <c r="P1384" s="70">
        <v>0.29166666666666669</v>
      </c>
      <c r="Q1384" s="70">
        <v>0.4826388888888889</v>
      </c>
      <c r="R1384" s="229" t="s">
        <v>1304</v>
      </c>
    </row>
    <row r="1385" spans="1:18" x14ac:dyDescent="0.4">
      <c r="A1385" s="212">
        <v>45957</v>
      </c>
      <c r="B1385" s="139" t="s">
        <v>63</v>
      </c>
      <c r="C1385" s="30" t="s">
        <v>267</v>
      </c>
      <c r="D1385" s="191">
        <v>24</v>
      </c>
      <c r="E1385" s="77">
        <v>5</v>
      </c>
      <c r="F1385" s="1"/>
      <c r="G1385" s="76">
        <v>0.44027777777777777</v>
      </c>
      <c r="H1385" s="76">
        <v>0.70833333333333337</v>
      </c>
      <c r="I1385" s="173" t="s">
        <v>1578</v>
      </c>
      <c r="J1385" s="23">
        <v>3</v>
      </c>
      <c r="K1385" s="68">
        <v>1.0416666666666666E-2</v>
      </c>
      <c r="L1385" s="68">
        <v>0.4826388888888889</v>
      </c>
      <c r="M1385" s="68">
        <v>0.72916666666666663</v>
      </c>
      <c r="N1385" s="173" t="s">
        <v>1257</v>
      </c>
      <c r="O1385" s="23">
        <v>2560</v>
      </c>
      <c r="P1385" s="70">
        <v>0.44027777777777777</v>
      </c>
      <c r="Q1385" s="70">
        <v>0.72916666666666663</v>
      </c>
      <c r="R1385" s="229" t="s">
        <v>1579</v>
      </c>
    </row>
    <row r="1386" spans="1:18" x14ac:dyDescent="0.4">
      <c r="A1386" s="212">
        <v>45957</v>
      </c>
      <c r="B1386" s="139" t="s">
        <v>65</v>
      </c>
      <c r="C1386" s="30" t="s">
        <v>189</v>
      </c>
      <c r="D1386" s="191">
        <v>60</v>
      </c>
      <c r="E1386" s="77">
        <v>3</v>
      </c>
      <c r="F1386" s="76">
        <v>2.0833333333333332E-2</v>
      </c>
      <c r="G1386" s="76">
        <v>0.29166666666666669</v>
      </c>
      <c r="H1386" s="76">
        <v>0.61458333333333337</v>
      </c>
      <c r="I1386" s="173" t="s">
        <v>1245</v>
      </c>
      <c r="J1386" s="23">
        <v>4</v>
      </c>
      <c r="K1386" s="68"/>
      <c r="L1386" s="68">
        <v>0.29166666666666669</v>
      </c>
      <c r="M1386" s="68">
        <v>0.65972222222222221</v>
      </c>
      <c r="N1386" s="173" t="s">
        <v>1338</v>
      </c>
      <c r="O1386" s="23">
        <v>3185</v>
      </c>
      <c r="P1386" s="70">
        <v>0.29166666666666669</v>
      </c>
      <c r="Q1386" s="70">
        <v>0.65972222222222221</v>
      </c>
      <c r="R1386" s="229" t="s">
        <v>1338</v>
      </c>
    </row>
    <row r="1387" spans="1:18" x14ac:dyDescent="0.4">
      <c r="A1387" s="212">
        <v>45958</v>
      </c>
      <c r="B1387" s="139" t="s">
        <v>86</v>
      </c>
      <c r="C1387" s="30" t="s">
        <v>201</v>
      </c>
      <c r="D1387" s="191">
        <v>40</v>
      </c>
      <c r="E1387" s="77">
        <v>6</v>
      </c>
      <c r="F1387" s="1"/>
      <c r="G1387" s="76">
        <v>0.29166666666666669</v>
      </c>
      <c r="H1387" s="76">
        <v>0.6875</v>
      </c>
      <c r="I1387" s="173" t="s">
        <v>990</v>
      </c>
      <c r="J1387" s="23">
        <v>3</v>
      </c>
      <c r="K1387" s="23"/>
      <c r="L1387" s="68">
        <v>0.3125</v>
      </c>
      <c r="M1387" s="68">
        <v>0.70833333333333337</v>
      </c>
      <c r="N1387" s="173" t="s">
        <v>990</v>
      </c>
      <c r="O1387" s="23">
        <v>4590</v>
      </c>
      <c r="P1387" s="70">
        <v>0.29166666666666669</v>
      </c>
      <c r="Q1387" s="70">
        <v>0.70833333333333337</v>
      </c>
      <c r="R1387" s="229" t="s">
        <v>1252</v>
      </c>
    </row>
    <row r="1388" spans="1:18" x14ac:dyDescent="0.4">
      <c r="A1388" s="212">
        <v>45958</v>
      </c>
      <c r="B1388" s="139" t="s">
        <v>63</v>
      </c>
      <c r="C1388" s="30" t="s">
        <v>267</v>
      </c>
      <c r="D1388" s="191">
        <v>20</v>
      </c>
      <c r="E1388" s="77">
        <v>5</v>
      </c>
      <c r="F1388" s="1"/>
      <c r="G1388" s="76">
        <v>0.54166666666666663</v>
      </c>
      <c r="H1388" s="76">
        <v>0.70833333333333337</v>
      </c>
      <c r="I1388" s="173" t="s">
        <v>1244</v>
      </c>
      <c r="J1388" s="23">
        <v>5</v>
      </c>
      <c r="K1388" s="23"/>
      <c r="L1388" s="68">
        <v>0.5625</v>
      </c>
      <c r="M1388" s="68">
        <v>0.72916666666666663</v>
      </c>
      <c r="N1388" s="173" t="s">
        <v>1244</v>
      </c>
      <c r="O1388" s="23">
        <v>2400</v>
      </c>
      <c r="P1388" s="70">
        <v>0.54166666666666663</v>
      </c>
      <c r="Q1388" s="70">
        <v>0.72916666666666663</v>
      </c>
      <c r="R1388" s="229" t="s">
        <v>1243</v>
      </c>
    </row>
    <row r="1389" spans="1:18" x14ac:dyDescent="0.4">
      <c r="A1389" s="212">
        <v>45958</v>
      </c>
      <c r="B1389" s="139" t="s">
        <v>536</v>
      </c>
      <c r="C1389" s="30" t="s">
        <v>306</v>
      </c>
      <c r="D1389" s="191">
        <v>6</v>
      </c>
      <c r="E1389" s="77">
        <v>4</v>
      </c>
      <c r="F1389" s="1"/>
      <c r="G1389" s="76">
        <v>0.29166666666666669</v>
      </c>
      <c r="H1389" s="76">
        <v>0.5</v>
      </c>
      <c r="I1389" s="173" t="s">
        <v>1327</v>
      </c>
      <c r="J1389" s="23">
        <v>8</v>
      </c>
      <c r="K1389" s="23"/>
      <c r="L1389" s="68">
        <v>0.40277777777777773</v>
      </c>
      <c r="M1389" s="68">
        <v>0.64583333333333337</v>
      </c>
      <c r="N1389" s="173" t="s">
        <v>1258</v>
      </c>
      <c r="O1389" s="23">
        <v>3520</v>
      </c>
      <c r="P1389" s="70">
        <v>0.29166666666666669</v>
      </c>
      <c r="Q1389" s="70">
        <v>0.64583333333333337</v>
      </c>
      <c r="R1389" s="229" t="s">
        <v>1309</v>
      </c>
    </row>
    <row r="1390" spans="1:18" x14ac:dyDescent="0.4">
      <c r="A1390" s="212">
        <v>45958</v>
      </c>
      <c r="B1390" s="139" t="s">
        <v>65</v>
      </c>
      <c r="C1390" s="30" t="s">
        <v>189</v>
      </c>
      <c r="D1390" s="191">
        <v>60</v>
      </c>
      <c r="E1390" s="77">
        <v>3</v>
      </c>
      <c r="F1390" s="76">
        <v>2.0833333333333332E-2</v>
      </c>
      <c r="G1390" s="76">
        <v>0.29166666666666669</v>
      </c>
      <c r="H1390" s="76">
        <v>0.60416666666666663</v>
      </c>
      <c r="I1390" s="173" t="s">
        <v>1341</v>
      </c>
      <c r="J1390" s="23">
        <v>4</v>
      </c>
      <c r="K1390" s="23"/>
      <c r="L1390" s="68">
        <v>0.29166666666666669</v>
      </c>
      <c r="M1390" s="68">
        <v>0.64930555555555558</v>
      </c>
      <c r="N1390" s="173" t="s">
        <v>1455</v>
      </c>
      <c r="O1390" s="23">
        <v>3080</v>
      </c>
      <c r="P1390" s="70">
        <v>0.29166666666666669</v>
      </c>
      <c r="Q1390" s="70">
        <v>0.64930555555555558</v>
      </c>
      <c r="R1390" s="229" t="s">
        <v>1455</v>
      </c>
    </row>
    <row r="1391" spans="1:18" x14ac:dyDescent="0.4">
      <c r="A1391" s="212">
        <v>45959</v>
      </c>
      <c r="B1391" s="139" t="s">
        <v>80</v>
      </c>
      <c r="C1391" s="30" t="s">
        <v>203</v>
      </c>
      <c r="D1391" s="191">
        <v>72</v>
      </c>
      <c r="E1391" s="77">
        <v>6</v>
      </c>
      <c r="F1391" s="1"/>
      <c r="G1391" s="76">
        <v>0.29166666666666669</v>
      </c>
      <c r="H1391" s="76">
        <v>0.66666666666666663</v>
      </c>
      <c r="I1391" s="173" t="s">
        <v>1292</v>
      </c>
      <c r="J1391" s="23">
        <v>5</v>
      </c>
      <c r="K1391" s="23"/>
      <c r="L1391" s="68">
        <v>0.3125</v>
      </c>
      <c r="M1391" s="68">
        <v>0.70833333333333337</v>
      </c>
      <c r="N1391" s="173" t="s">
        <v>990</v>
      </c>
      <c r="O1391" s="23">
        <v>5430</v>
      </c>
      <c r="P1391" s="70">
        <v>0.29166666666666669</v>
      </c>
      <c r="Q1391" s="70">
        <v>0.70833333333333337</v>
      </c>
      <c r="R1391" s="229" t="s">
        <v>1252</v>
      </c>
    </row>
    <row r="1392" spans="1:18" x14ac:dyDescent="0.4">
      <c r="A1392" s="212">
        <v>45959</v>
      </c>
      <c r="B1392" s="139" t="s">
        <v>63</v>
      </c>
      <c r="C1392" s="30" t="s">
        <v>267</v>
      </c>
      <c r="D1392" s="191">
        <v>24</v>
      </c>
      <c r="E1392" s="77">
        <v>5</v>
      </c>
      <c r="F1392" s="1"/>
      <c r="G1392" s="76">
        <v>0.43611111111111112</v>
      </c>
      <c r="H1392" s="76">
        <v>0.66666666666666663</v>
      </c>
      <c r="I1392" s="173" t="s">
        <v>1650</v>
      </c>
      <c r="J1392" s="23">
        <v>3</v>
      </c>
      <c r="K1392" s="68">
        <v>6.9444444444444441E-3</v>
      </c>
      <c r="L1392" s="68">
        <v>0.45833333333333331</v>
      </c>
      <c r="M1392" s="68">
        <v>0.6875</v>
      </c>
      <c r="N1392" s="173" t="s">
        <v>1255</v>
      </c>
      <c r="O1392" s="23">
        <v>2200</v>
      </c>
      <c r="P1392" s="70">
        <v>0.43611111111111112</v>
      </c>
      <c r="Q1392" s="70">
        <v>0.6875</v>
      </c>
      <c r="R1392" s="229" t="s">
        <v>1583</v>
      </c>
    </row>
    <row r="1393" spans="1:18" x14ac:dyDescent="0.4">
      <c r="A1393" s="212">
        <v>45959</v>
      </c>
      <c r="B1393" s="139" t="s">
        <v>984</v>
      </c>
      <c r="C1393" s="30" t="s">
        <v>245</v>
      </c>
      <c r="D1393" s="191">
        <v>8</v>
      </c>
      <c r="E1393" s="77">
        <v>5</v>
      </c>
      <c r="F1393" s="1"/>
      <c r="G1393" s="76">
        <v>0.29166666666666669</v>
      </c>
      <c r="H1393" s="76">
        <v>0.37152777777777773</v>
      </c>
      <c r="I1393" s="173" t="s">
        <v>1457</v>
      </c>
      <c r="J1393" s="23">
        <v>3</v>
      </c>
      <c r="K1393" s="68">
        <v>6.9444444444444441E-3</v>
      </c>
      <c r="L1393" s="68">
        <v>0.33333333333333331</v>
      </c>
      <c r="M1393" s="68">
        <v>0.40625</v>
      </c>
      <c r="N1393" s="173" t="s">
        <v>1457</v>
      </c>
      <c r="O1393" s="23">
        <v>920</v>
      </c>
      <c r="P1393" s="70">
        <v>0.29166666666666669</v>
      </c>
      <c r="Q1393" s="70">
        <v>0.40625</v>
      </c>
      <c r="R1393" s="229" t="s">
        <v>1315</v>
      </c>
    </row>
    <row r="1394" spans="1:18" x14ac:dyDescent="0.4">
      <c r="A1394" s="212">
        <v>45959</v>
      </c>
      <c r="B1394" s="139" t="s">
        <v>451</v>
      </c>
      <c r="C1394" s="30" t="s">
        <v>255</v>
      </c>
      <c r="D1394" s="191">
        <v>6</v>
      </c>
      <c r="E1394" s="77">
        <v>5</v>
      </c>
      <c r="F1394" s="1"/>
      <c r="G1394" s="76">
        <v>0.37152777777777773</v>
      </c>
      <c r="H1394" s="76">
        <v>0.43611111111111112</v>
      </c>
      <c r="I1394" s="173" t="s">
        <v>1547</v>
      </c>
      <c r="J1394" s="23">
        <v>3</v>
      </c>
      <c r="K1394" s="68">
        <v>6.9444444444444441E-3</v>
      </c>
      <c r="L1394" s="68">
        <v>0.40625</v>
      </c>
      <c r="M1394" s="68">
        <v>0.45833333333333331</v>
      </c>
      <c r="N1394" s="173" t="s">
        <v>1534</v>
      </c>
      <c r="O1394" s="23">
        <v>720</v>
      </c>
      <c r="P1394" s="70">
        <v>0.37152777777777773</v>
      </c>
      <c r="Q1394" s="70">
        <v>0.45833333333333331</v>
      </c>
      <c r="R1394" s="229" t="s">
        <v>1249</v>
      </c>
    </row>
    <row r="1395" spans="1:18" x14ac:dyDescent="0.4">
      <c r="A1395" s="212">
        <v>45959</v>
      </c>
      <c r="B1395" s="139" t="s">
        <v>82</v>
      </c>
      <c r="C1395" s="30" t="s">
        <v>171</v>
      </c>
      <c r="D1395" s="191">
        <v>36</v>
      </c>
      <c r="E1395" s="77">
        <v>3</v>
      </c>
      <c r="F1395" s="76">
        <v>2.0833333333333332E-2</v>
      </c>
      <c r="G1395" s="76">
        <v>0.29166666666666669</v>
      </c>
      <c r="H1395" s="76">
        <v>0.61111111111111105</v>
      </c>
      <c r="I1395" s="173" t="s">
        <v>1403</v>
      </c>
      <c r="J1395" s="23">
        <v>7</v>
      </c>
      <c r="K1395" s="23"/>
      <c r="L1395" s="68">
        <v>0.29166666666666669</v>
      </c>
      <c r="M1395" s="68">
        <v>0.70833333333333337</v>
      </c>
      <c r="N1395" s="173" t="s">
        <v>1252</v>
      </c>
      <c r="O1395" s="23">
        <v>5070</v>
      </c>
      <c r="P1395" s="70">
        <v>0.29166666666666669</v>
      </c>
      <c r="Q1395" s="70">
        <v>0.70833333333333337</v>
      </c>
      <c r="R1395" s="229" t="s">
        <v>1252</v>
      </c>
    </row>
    <row r="1396" spans="1:18" x14ac:dyDescent="0.4">
      <c r="A1396" s="212">
        <v>45960</v>
      </c>
      <c r="B1396" s="139" t="s">
        <v>68</v>
      </c>
      <c r="C1396" s="30" t="s">
        <v>185</v>
      </c>
      <c r="D1396" s="191">
        <v>40</v>
      </c>
      <c r="E1396" s="77">
        <v>5</v>
      </c>
      <c r="F1396" s="1"/>
      <c r="G1396" s="76">
        <v>0.29166666666666669</v>
      </c>
      <c r="H1396" s="76">
        <v>0.66666666666666663</v>
      </c>
      <c r="I1396" s="173" t="s">
        <v>1292</v>
      </c>
      <c r="J1396" s="23">
        <v>5</v>
      </c>
      <c r="K1396" s="23"/>
      <c r="L1396" s="68">
        <v>0.3125</v>
      </c>
      <c r="M1396" s="68">
        <v>0.70833333333333337</v>
      </c>
      <c r="N1396" s="173" t="s">
        <v>990</v>
      </c>
      <c r="O1396" s="23">
        <v>4950</v>
      </c>
      <c r="P1396" s="70">
        <v>0.29166666666666669</v>
      </c>
      <c r="Q1396" s="70">
        <v>0.70833333333333337</v>
      </c>
      <c r="R1396" s="229" t="s">
        <v>1252</v>
      </c>
    </row>
    <row r="1397" spans="1:18" x14ac:dyDescent="0.4">
      <c r="A1397" s="212">
        <v>45960</v>
      </c>
      <c r="B1397" s="139" t="s">
        <v>55</v>
      </c>
      <c r="C1397" s="30" t="s">
        <v>208</v>
      </c>
      <c r="D1397" s="191">
        <v>16</v>
      </c>
      <c r="E1397" s="77">
        <v>5</v>
      </c>
      <c r="F1397" s="1"/>
      <c r="G1397" s="76">
        <v>0.37222222222222223</v>
      </c>
      <c r="H1397" s="76">
        <v>0.56597222222222221</v>
      </c>
      <c r="I1397" s="173" t="s">
        <v>1486</v>
      </c>
      <c r="J1397" s="23">
        <v>4</v>
      </c>
      <c r="K1397" s="68">
        <v>6.9444444444444441E-3</v>
      </c>
      <c r="L1397" s="68">
        <v>0.40972222222222227</v>
      </c>
      <c r="M1397" s="68">
        <v>0.59722222222222221</v>
      </c>
      <c r="N1397" s="173" t="s">
        <v>1254</v>
      </c>
      <c r="O1397" s="23">
        <v>1975</v>
      </c>
      <c r="P1397" s="70">
        <v>0.37222222222222223</v>
      </c>
      <c r="Q1397" s="70">
        <v>0.59722222222222221</v>
      </c>
      <c r="R1397" s="229" t="s">
        <v>1367</v>
      </c>
    </row>
    <row r="1398" spans="1:18" x14ac:dyDescent="0.4">
      <c r="A1398" s="212">
        <v>45960</v>
      </c>
      <c r="B1398" s="139" t="s">
        <v>548</v>
      </c>
      <c r="C1398" s="30" t="s">
        <v>218</v>
      </c>
      <c r="D1398" s="191">
        <v>8</v>
      </c>
      <c r="E1398" s="77">
        <v>5</v>
      </c>
      <c r="F1398" s="1"/>
      <c r="G1398" s="76">
        <v>0.29166666666666669</v>
      </c>
      <c r="H1398" s="76">
        <v>0.37222222222222223</v>
      </c>
      <c r="I1398" s="173" t="s">
        <v>1416</v>
      </c>
      <c r="J1398" s="23">
        <v>4</v>
      </c>
      <c r="K1398" s="68">
        <v>6.9444444444444441E-3</v>
      </c>
      <c r="L1398" s="68">
        <v>0.33333333333333331</v>
      </c>
      <c r="M1398" s="68">
        <v>0.40972222222222227</v>
      </c>
      <c r="N1398" s="173" t="s">
        <v>1296</v>
      </c>
      <c r="O1398" s="23">
        <v>1060</v>
      </c>
      <c r="P1398" s="70">
        <v>0.29166666666666669</v>
      </c>
      <c r="Q1398" s="70">
        <v>0.40972222222222227</v>
      </c>
      <c r="R1398" s="229" t="s">
        <v>1314</v>
      </c>
    </row>
    <row r="1399" spans="1:18" x14ac:dyDescent="0.4">
      <c r="A1399" s="212">
        <v>45960</v>
      </c>
      <c r="B1399" s="139" t="s">
        <v>532</v>
      </c>
      <c r="C1399" s="30" t="s">
        <v>336</v>
      </c>
      <c r="D1399" s="191">
        <v>12</v>
      </c>
      <c r="E1399" s="77">
        <v>5</v>
      </c>
      <c r="F1399" s="1"/>
      <c r="G1399" s="76">
        <v>0.56597222222222221</v>
      </c>
      <c r="H1399" s="76">
        <v>0.66666666666666663</v>
      </c>
      <c r="I1399" s="173" t="s">
        <v>1331</v>
      </c>
      <c r="J1399" s="23">
        <v>4</v>
      </c>
      <c r="K1399" s="68">
        <v>2.7777777777777776E-2</v>
      </c>
      <c r="L1399" s="68">
        <v>0.59722222222222221</v>
      </c>
      <c r="M1399" s="68">
        <v>0.70833333333333337</v>
      </c>
      <c r="N1399" s="173" t="s">
        <v>1250</v>
      </c>
      <c r="O1399" s="23">
        <v>1525</v>
      </c>
      <c r="P1399" s="70">
        <v>0.56597222222222221</v>
      </c>
      <c r="Q1399" s="70">
        <v>0.70833333333333337</v>
      </c>
      <c r="R1399" s="229" t="s">
        <v>1299</v>
      </c>
    </row>
    <row r="1400" spans="1:18" x14ac:dyDescent="0.4">
      <c r="A1400" s="212">
        <v>45960</v>
      </c>
      <c r="B1400" s="139" t="s">
        <v>471</v>
      </c>
      <c r="C1400" s="30" t="s">
        <v>280</v>
      </c>
      <c r="D1400" s="191">
        <v>8</v>
      </c>
      <c r="E1400" s="77">
        <v>3</v>
      </c>
      <c r="F1400" s="76">
        <v>1.0416666666666666E-2</v>
      </c>
      <c r="G1400" s="76">
        <v>0.29166666666666669</v>
      </c>
      <c r="H1400" s="76">
        <v>0.39583333333333331</v>
      </c>
      <c r="I1400" s="173" t="s">
        <v>1315</v>
      </c>
      <c r="J1400" s="23">
        <v>8</v>
      </c>
      <c r="K1400" s="68">
        <v>2.0833333333333332E-2</v>
      </c>
      <c r="L1400" s="68">
        <v>0.33333333333333331</v>
      </c>
      <c r="M1400" s="68">
        <v>0.5</v>
      </c>
      <c r="N1400" s="173" t="s">
        <v>1243</v>
      </c>
      <c r="O1400" s="23">
        <v>2655</v>
      </c>
      <c r="P1400" s="70">
        <v>0.29166666666666669</v>
      </c>
      <c r="Q1400" s="70">
        <v>0.5</v>
      </c>
      <c r="R1400" s="229" t="s">
        <v>1327</v>
      </c>
    </row>
    <row r="1401" spans="1:18" x14ac:dyDescent="0.4">
      <c r="A1401" s="212">
        <v>45960</v>
      </c>
      <c r="B1401" s="139" t="s">
        <v>66</v>
      </c>
      <c r="C1401" s="30" t="s">
        <v>195</v>
      </c>
      <c r="D1401" s="191">
        <v>20</v>
      </c>
      <c r="E1401" s="77">
        <v>3</v>
      </c>
      <c r="F1401" s="76">
        <v>1.0416666666666666E-2</v>
      </c>
      <c r="G1401" s="76">
        <v>0.39583333333333331</v>
      </c>
      <c r="H1401" s="76">
        <v>0.63194444444444442</v>
      </c>
      <c r="I1401" s="173" t="s">
        <v>1305</v>
      </c>
      <c r="J1401" s="23">
        <v>4</v>
      </c>
      <c r="K1401" s="68">
        <v>2.0833333333333332E-2</v>
      </c>
      <c r="L1401" s="68">
        <v>0.54166666666666663</v>
      </c>
      <c r="M1401" s="68">
        <v>0.70833333333333337</v>
      </c>
      <c r="N1401" s="173" t="s">
        <v>1243</v>
      </c>
      <c r="O1401" s="23">
        <v>1965</v>
      </c>
      <c r="P1401" s="70">
        <v>0.39583333333333331</v>
      </c>
      <c r="Q1401" s="70">
        <v>0.70833333333333337</v>
      </c>
      <c r="R1401" s="229" t="s">
        <v>1329</v>
      </c>
    </row>
    <row r="1402" spans="1:18" x14ac:dyDescent="0.4">
      <c r="A1402" s="212">
        <v>45961</v>
      </c>
      <c r="B1402" s="139" t="s">
        <v>71</v>
      </c>
      <c r="C1402" s="30" t="s">
        <v>176</v>
      </c>
      <c r="D1402" s="191">
        <v>72</v>
      </c>
      <c r="E1402" s="77">
        <v>6</v>
      </c>
      <c r="F1402" s="1"/>
      <c r="G1402" s="76">
        <v>0.29166666666666669</v>
      </c>
      <c r="H1402" s="76">
        <v>0.70833333333333337</v>
      </c>
      <c r="I1402" s="173" t="s">
        <v>1252</v>
      </c>
      <c r="J1402" s="23">
        <v>6</v>
      </c>
      <c r="K1402" s="23"/>
      <c r="L1402" s="68">
        <v>0.3125</v>
      </c>
      <c r="M1402" s="68">
        <v>0.70833333333333337</v>
      </c>
      <c r="N1402" s="173" t="s">
        <v>990</v>
      </c>
      <c r="O1402" s="23">
        <v>6300</v>
      </c>
      <c r="P1402" s="70">
        <v>0.29166666666666669</v>
      </c>
      <c r="Q1402" s="70">
        <v>0.70833333333333337</v>
      </c>
      <c r="R1402" s="229" t="s">
        <v>1252</v>
      </c>
    </row>
    <row r="1403" spans="1:18" x14ac:dyDescent="0.4">
      <c r="A1403" s="212">
        <v>45961</v>
      </c>
      <c r="B1403" s="139" t="s">
        <v>63</v>
      </c>
      <c r="C1403" s="30" t="s">
        <v>267</v>
      </c>
      <c r="D1403" s="191">
        <v>24</v>
      </c>
      <c r="E1403" s="77">
        <v>5</v>
      </c>
      <c r="F1403" s="76"/>
      <c r="G1403" s="76">
        <v>0.41805555555555557</v>
      </c>
      <c r="H1403" s="76">
        <v>0.6875</v>
      </c>
      <c r="I1403" s="173" t="s">
        <v>1589</v>
      </c>
      <c r="J1403" s="23">
        <v>3</v>
      </c>
      <c r="K1403" s="68">
        <v>6.9444444444444441E-3</v>
      </c>
      <c r="L1403" s="68">
        <v>0.44444444444444442</v>
      </c>
      <c r="M1403" s="68">
        <v>0.6875</v>
      </c>
      <c r="N1403" s="173" t="s">
        <v>1327</v>
      </c>
      <c r="O1403" s="23">
        <v>2540</v>
      </c>
      <c r="P1403" s="70">
        <v>0.41805555555555557</v>
      </c>
      <c r="Q1403" s="70">
        <v>0.6875</v>
      </c>
      <c r="R1403" s="229" t="s">
        <v>1589</v>
      </c>
    </row>
    <row r="1404" spans="1:18" x14ac:dyDescent="0.4">
      <c r="A1404" s="212">
        <v>45961</v>
      </c>
      <c r="B1404" s="139" t="s">
        <v>984</v>
      </c>
      <c r="C1404" s="30" t="s">
        <v>245</v>
      </c>
      <c r="D1404" s="191">
        <v>16</v>
      </c>
      <c r="E1404" s="77">
        <v>5</v>
      </c>
      <c r="F1404" s="1"/>
      <c r="G1404" s="76">
        <v>0.29166666666666669</v>
      </c>
      <c r="H1404" s="76">
        <v>0.41805555555555557</v>
      </c>
      <c r="I1404" s="173" t="s">
        <v>1431</v>
      </c>
      <c r="J1404" s="23">
        <v>3</v>
      </c>
      <c r="K1404" s="68">
        <v>6.9444444444444441E-3</v>
      </c>
      <c r="L1404" s="68">
        <v>0.3263888888888889</v>
      </c>
      <c r="M1404" s="68">
        <v>0.44444444444444442</v>
      </c>
      <c r="N1404" s="173" t="s">
        <v>1316</v>
      </c>
      <c r="O1404" s="23">
        <v>1450</v>
      </c>
      <c r="P1404" s="70">
        <v>0.29166666666666669</v>
      </c>
      <c r="Q1404" s="70">
        <v>0.44444444444444442</v>
      </c>
      <c r="R1404" s="229" t="s">
        <v>1254</v>
      </c>
    </row>
    <row r="1405" spans="1:18" x14ac:dyDescent="0.4">
      <c r="A1405" s="241">
        <v>45961</v>
      </c>
      <c r="B1405" s="139" t="s">
        <v>65</v>
      </c>
      <c r="C1405" s="30" t="s">
        <v>189</v>
      </c>
      <c r="D1405" s="191">
        <v>32</v>
      </c>
      <c r="E1405" s="77">
        <v>3</v>
      </c>
      <c r="F1405" s="76">
        <v>2.0833333333333332E-2</v>
      </c>
      <c r="G1405" s="76">
        <v>0.29166666666666669</v>
      </c>
      <c r="H1405" s="76">
        <v>0.4375</v>
      </c>
      <c r="I1405" s="173" t="s">
        <v>1244</v>
      </c>
      <c r="J1405" s="23">
        <v>4</v>
      </c>
      <c r="K1405" s="23"/>
      <c r="L1405" s="68">
        <v>0.29166666666666669</v>
      </c>
      <c r="M1405" s="68">
        <v>0.48958333333333331</v>
      </c>
      <c r="N1405" s="173" t="s">
        <v>1335</v>
      </c>
      <c r="O1405" s="23">
        <v>1860</v>
      </c>
      <c r="P1405" s="70">
        <v>0.29166666666666669</v>
      </c>
      <c r="Q1405" s="70">
        <v>0.48958333333333331</v>
      </c>
      <c r="R1405" s="229" t="s">
        <v>1335</v>
      </c>
    </row>
    <row r="1406" spans="1:18" x14ac:dyDescent="0.4">
      <c r="A1406" s="212">
        <v>45961</v>
      </c>
      <c r="B1406" s="139" t="s">
        <v>536</v>
      </c>
      <c r="C1406" s="30" t="s">
        <v>306</v>
      </c>
      <c r="D1406" s="191">
        <v>6</v>
      </c>
      <c r="E1406" s="77">
        <v>2</v>
      </c>
      <c r="F1406" s="76">
        <v>2.0833333333333332E-2</v>
      </c>
      <c r="G1406" s="76">
        <v>0.39583333333333331</v>
      </c>
      <c r="H1406" s="76">
        <v>0.63194444444444442</v>
      </c>
      <c r="I1406" s="173" t="s">
        <v>1257</v>
      </c>
      <c r="J1406" s="23">
        <v>8</v>
      </c>
      <c r="K1406" s="23"/>
      <c r="L1406" s="68">
        <v>0.54166666666666663</v>
      </c>
      <c r="M1406" s="68">
        <v>0.66666666666666663</v>
      </c>
      <c r="N1406" s="173" t="s">
        <v>1316</v>
      </c>
      <c r="O1406" s="23">
        <v>2060</v>
      </c>
      <c r="P1406" s="70">
        <v>0.39583333333333331</v>
      </c>
      <c r="Q1406" s="70">
        <v>0.66666666666666663</v>
      </c>
      <c r="R1406" s="229" t="s">
        <v>1320</v>
      </c>
    </row>
    <row r="1407" spans="1:18" x14ac:dyDescent="0.4">
      <c r="A1407" s="212">
        <v>45964</v>
      </c>
      <c r="B1407" s="139" t="s">
        <v>75</v>
      </c>
      <c r="C1407" s="30" t="s">
        <v>229</v>
      </c>
      <c r="D1407" s="191">
        <v>16</v>
      </c>
      <c r="E1407" s="77">
        <v>5</v>
      </c>
      <c r="F1407" s="1"/>
      <c r="G1407" s="76">
        <v>0.29166666666666669</v>
      </c>
      <c r="H1407" s="76">
        <v>0.42708333333333331</v>
      </c>
      <c r="I1407" s="173" t="s">
        <v>1391</v>
      </c>
      <c r="J1407" s="23">
        <v>3</v>
      </c>
      <c r="K1407" s="68">
        <v>1.0416666666666666E-2</v>
      </c>
      <c r="L1407" s="68">
        <v>0.33333333333333331</v>
      </c>
      <c r="M1407" s="68">
        <v>0.44791666666666669</v>
      </c>
      <c r="N1407" s="173" t="s">
        <v>1316</v>
      </c>
      <c r="O1407" s="23">
        <v>1515</v>
      </c>
      <c r="P1407" s="70">
        <v>0.29166666666666669</v>
      </c>
      <c r="Q1407" s="70">
        <v>0.44791666666666669</v>
      </c>
      <c r="R1407" s="229" t="s">
        <v>1380</v>
      </c>
    </row>
    <row r="1408" spans="1:18" x14ac:dyDescent="0.4">
      <c r="A1408" s="212">
        <v>45964</v>
      </c>
      <c r="B1408" s="139" t="s">
        <v>63</v>
      </c>
      <c r="C1408" s="30" t="s">
        <v>267</v>
      </c>
      <c r="D1408" s="191">
        <v>20</v>
      </c>
      <c r="E1408" s="77">
        <v>5</v>
      </c>
      <c r="F1408" s="1"/>
      <c r="G1408" s="76">
        <v>0.42708333333333331</v>
      </c>
      <c r="H1408" s="76">
        <v>0.66666666666666663</v>
      </c>
      <c r="I1408" s="173" t="s">
        <v>1335</v>
      </c>
      <c r="J1408" s="23">
        <v>3</v>
      </c>
      <c r="K1408" s="68">
        <v>1.0416666666666666E-2</v>
      </c>
      <c r="L1408" s="68">
        <v>0.44791666666666669</v>
      </c>
      <c r="M1408" s="68">
        <v>0.6875</v>
      </c>
      <c r="N1408" s="173" t="s">
        <v>1327</v>
      </c>
      <c r="O1408" s="23">
        <v>2325</v>
      </c>
      <c r="P1408" s="70">
        <v>0.42708333333333331</v>
      </c>
      <c r="Q1408" s="70">
        <v>0.6875</v>
      </c>
      <c r="R1408" s="229" t="s">
        <v>1401</v>
      </c>
    </row>
    <row r="1409" spans="1:18" x14ac:dyDescent="0.4">
      <c r="A1409" s="402">
        <v>45964</v>
      </c>
      <c r="B1409" s="392" t="s">
        <v>108</v>
      </c>
      <c r="C1409" s="375" t="s">
        <v>231</v>
      </c>
      <c r="D1409" s="393">
        <v>21</v>
      </c>
      <c r="E1409" s="77">
        <v>3</v>
      </c>
      <c r="F1409" s="1"/>
      <c r="G1409" s="76">
        <v>0.29166666666666669</v>
      </c>
      <c r="H1409" s="76">
        <v>0.68055555555555547</v>
      </c>
      <c r="I1409" s="173" t="s">
        <v>1465</v>
      </c>
      <c r="J1409" s="23"/>
      <c r="K1409" s="23"/>
      <c r="L1409" s="68">
        <v>0.33333333333333331</v>
      </c>
      <c r="M1409" s="68">
        <v>0.70833333333333337</v>
      </c>
      <c r="N1409" s="173" t="s">
        <v>1292</v>
      </c>
      <c r="O1409" s="23">
        <v>1500</v>
      </c>
      <c r="P1409" s="70">
        <v>0.29166666666666669</v>
      </c>
      <c r="Q1409" s="70">
        <v>0.70833333333333337</v>
      </c>
      <c r="R1409" s="229" t="s">
        <v>1252</v>
      </c>
    </row>
    <row r="1410" spans="1:18" x14ac:dyDescent="0.4">
      <c r="A1410" s="212">
        <v>45964</v>
      </c>
      <c r="B1410" s="139" t="s">
        <v>65</v>
      </c>
      <c r="C1410" s="30" t="s">
        <v>189</v>
      </c>
      <c r="D1410" s="191">
        <v>60</v>
      </c>
      <c r="E1410" s="77">
        <v>3</v>
      </c>
      <c r="F1410" s="76">
        <v>2.0833333333333332E-2</v>
      </c>
      <c r="G1410" s="76">
        <v>0.29166666666666669</v>
      </c>
      <c r="H1410" s="76">
        <v>0.625</v>
      </c>
      <c r="I1410" s="173" t="s">
        <v>1309</v>
      </c>
      <c r="J1410" s="23">
        <v>4</v>
      </c>
      <c r="K1410" s="23"/>
      <c r="L1410" s="68">
        <v>0.29166666666666669</v>
      </c>
      <c r="M1410" s="68">
        <v>0.66666666666666663</v>
      </c>
      <c r="N1410" s="173" t="s">
        <v>1292</v>
      </c>
      <c r="O1410" s="23">
        <v>3270</v>
      </c>
      <c r="P1410" s="70">
        <v>0.29166666666666669</v>
      </c>
      <c r="Q1410" s="70">
        <v>0.66666666666666663</v>
      </c>
      <c r="R1410" s="229" t="s">
        <v>1292</v>
      </c>
    </row>
    <row r="1411" spans="1:18" x14ac:dyDescent="0.4">
      <c r="A1411" s="246">
        <v>45964</v>
      </c>
      <c r="B1411" s="102" t="s">
        <v>431</v>
      </c>
      <c r="C1411" s="136" t="s">
        <v>436</v>
      </c>
      <c r="D1411" s="193">
        <v>1</v>
      </c>
      <c r="E1411" s="103"/>
      <c r="F1411" s="104"/>
      <c r="G1411" s="184"/>
      <c r="H1411" s="184"/>
      <c r="I1411" s="225" t="s">
        <v>1002</v>
      </c>
      <c r="J1411" s="105"/>
      <c r="K1411" s="105"/>
      <c r="L1411" s="106"/>
      <c r="M1411" s="106"/>
      <c r="N1411" s="225" t="s">
        <v>1002</v>
      </c>
      <c r="O1411" s="105">
        <v>0</v>
      </c>
      <c r="P1411" s="247">
        <v>0</v>
      </c>
      <c r="Q1411" s="247">
        <v>0</v>
      </c>
      <c r="R1411" s="232" t="s">
        <v>1002</v>
      </c>
    </row>
    <row r="1412" spans="1:18" x14ac:dyDescent="0.4">
      <c r="A1412" s="246">
        <v>45964</v>
      </c>
      <c r="B1412" s="102">
        <v>153010</v>
      </c>
      <c r="C1412" s="136" t="s">
        <v>484</v>
      </c>
      <c r="D1412" s="193">
        <v>1</v>
      </c>
      <c r="E1412" s="103"/>
      <c r="F1412" s="104"/>
      <c r="G1412" s="184"/>
      <c r="H1412" s="184"/>
      <c r="I1412" s="225" t="s">
        <v>1002</v>
      </c>
      <c r="J1412" s="105"/>
      <c r="K1412" s="105"/>
      <c r="L1412" s="106"/>
      <c r="M1412" s="106"/>
      <c r="N1412" s="225" t="s">
        <v>1002</v>
      </c>
      <c r="O1412" s="105">
        <v>0</v>
      </c>
      <c r="P1412" s="247">
        <v>0</v>
      </c>
      <c r="Q1412" s="247">
        <v>0</v>
      </c>
      <c r="R1412" s="232" t="s">
        <v>1002</v>
      </c>
    </row>
    <row r="1413" spans="1:18" x14ac:dyDescent="0.4">
      <c r="A1413" s="212">
        <v>45965</v>
      </c>
      <c r="B1413" s="139" t="s">
        <v>158</v>
      </c>
      <c r="C1413" s="30" t="s">
        <v>159</v>
      </c>
      <c r="D1413" s="191">
        <v>4</v>
      </c>
      <c r="E1413" s="77">
        <v>4</v>
      </c>
      <c r="F1413" s="1"/>
      <c r="G1413" s="76">
        <v>0.29166666666666669</v>
      </c>
      <c r="H1413" s="76">
        <v>0.38055555555555554</v>
      </c>
      <c r="I1413" s="173" t="s">
        <v>1343</v>
      </c>
      <c r="J1413" s="23">
        <v>9</v>
      </c>
      <c r="K1413" s="68">
        <v>2.0833333333333332E-2</v>
      </c>
      <c r="L1413" s="68">
        <v>0.33333333333333331</v>
      </c>
      <c r="M1413" s="68">
        <v>0.44444444444444442</v>
      </c>
      <c r="N1413" s="173" t="s">
        <v>1256</v>
      </c>
      <c r="O1413" s="23">
        <v>2222</v>
      </c>
      <c r="P1413" s="70">
        <v>0.29166666666666669</v>
      </c>
      <c r="Q1413" s="70">
        <v>0.44444444444444442</v>
      </c>
      <c r="R1413" s="229" t="s">
        <v>1254</v>
      </c>
    </row>
    <row r="1414" spans="1:18" x14ac:dyDescent="0.4">
      <c r="A1414" s="212">
        <v>45965</v>
      </c>
      <c r="B1414" s="139" t="s">
        <v>540</v>
      </c>
      <c r="C1414" s="30" t="s">
        <v>302</v>
      </c>
      <c r="D1414" s="191">
        <v>3</v>
      </c>
      <c r="E1414" s="77">
        <v>4</v>
      </c>
      <c r="F1414" s="1"/>
      <c r="G1414" s="76">
        <v>0.38055555555555554</v>
      </c>
      <c r="H1414" s="76">
        <v>0.5</v>
      </c>
      <c r="I1414" s="173" t="s">
        <v>1344</v>
      </c>
      <c r="J1414" s="23">
        <v>10</v>
      </c>
      <c r="K1414" s="23"/>
      <c r="L1414" s="68">
        <v>0.44444444444444442</v>
      </c>
      <c r="M1414" s="68">
        <v>0.5</v>
      </c>
      <c r="N1414" s="173" t="s">
        <v>1420</v>
      </c>
      <c r="O1414" s="23">
        <v>1488</v>
      </c>
      <c r="P1414" s="70">
        <v>0.38055555555555554</v>
      </c>
      <c r="Q1414" s="70">
        <v>0.5</v>
      </c>
      <c r="R1414" s="229" t="s">
        <v>1344</v>
      </c>
    </row>
    <row r="1415" spans="1:18" x14ac:dyDescent="0.4">
      <c r="A1415" s="212">
        <v>45965</v>
      </c>
      <c r="B1415" s="139" t="s">
        <v>473</v>
      </c>
      <c r="C1415" s="30" t="s">
        <v>289</v>
      </c>
      <c r="D1415" s="191">
        <v>6</v>
      </c>
      <c r="E1415" s="77">
        <v>4</v>
      </c>
      <c r="F1415" s="1"/>
      <c r="G1415" s="76">
        <v>0.54166666666666663</v>
      </c>
      <c r="H1415" s="76">
        <v>0.66666666666666663</v>
      </c>
      <c r="I1415" s="173" t="s">
        <v>1316</v>
      </c>
      <c r="J1415" s="23">
        <v>12</v>
      </c>
      <c r="K1415" s="68">
        <v>4.1666666666666664E-2</v>
      </c>
      <c r="L1415" s="68">
        <v>0.58333333333333337</v>
      </c>
      <c r="M1415" s="68">
        <v>0.70833333333333337</v>
      </c>
      <c r="N1415" s="173" t="s">
        <v>1244</v>
      </c>
      <c r="O1415" s="23">
        <v>3600</v>
      </c>
      <c r="P1415" s="70">
        <v>0.54166666666666663</v>
      </c>
      <c r="Q1415" s="70">
        <v>0.70833333333333337</v>
      </c>
      <c r="R1415" s="229" t="s">
        <v>1244</v>
      </c>
    </row>
    <row r="1416" spans="1:18" x14ac:dyDescent="0.4">
      <c r="A1416" s="212">
        <v>45965</v>
      </c>
      <c r="B1416" s="139" t="s">
        <v>72</v>
      </c>
      <c r="C1416" s="30" t="s">
        <v>227</v>
      </c>
      <c r="D1416" s="191">
        <v>20</v>
      </c>
      <c r="E1416" s="77">
        <v>5</v>
      </c>
      <c r="F1416" s="1"/>
      <c r="G1416" s="76">
        <v>0.29166666666666669</v>
      </c>
      <c r="H1416" s="76">
        <v>0.45763888888888887</v>
      </c>
      <c r="I1416" s="173" t="s">
        <v>1622</v>
      </c>
      <c r="J1416" s="23">
        <v>3</v>
      </c>
      <c r="K1416" s="68">
        <v>1.0416666666666666E-2</v>
      </c>
      <c r="L1416" s="68">
        <v>0.33333333333333331</v>
      </c>
      <c r="M1416" s="68">
        <v>0.4861111111111111</v>
      </c>
      <c r="N1416" s="173" t="s">
        <v>1359</v>
      </c>
      <c r="O1416" s="23">
        <v>1900</v>
      </c>
      <c r="P1416" s="70">
        <v>0.29166666666666669</v>
      </c>
      <c r="Q1416" s="70">
        <v>0.4861111111111111</v>
      </c>
      <c r="R1416" s="229" t="s">
        <v>1255</v>
      </c>
    </row>
    <row r="1417" spans="1:18" x14ac:dyDescent="0.4">
      <c r="A1417" s="212">
        <v>45965</v>
      </c>
      <c r="B1417" s="139" t="s">
        <v>63</v>
      </c>
      <c r="C1417" s="30" t="s">
        <v>267</v>
      </c>
      <c r="D1417" s="191">
        <v>16</v>
      </c>
      <c r="E1417" s="77">
        <v>5</v>
      </c>
      <c r="F1417" s="1"/>
      <c r="G1417" s="76">
        <v>0.45763888888888887</v>
      </c>
      <c r="H1417" s="76">
        <v>0.66666666666666663</v>
      </c>
      <c r="I1417" s="173" t="s">
        <v>1648</v>
      </c>
      <c r="J1417" s="23">
        <v>3</v>
      </c>
      <c r="K1417" s="68">
        <v>1.0416666666666666E-2</v>
      </c>
      <c r="L1417" s="68">
        <v>0.4861111111111111</v>
      </c>
      <c r="M1417" s="68">
        <v>0.6875</v>
      </c>
      <c r="N1417" s="173" t="s">
        <v>1365</v>
      </c>
      <c r="O1417" s="23">
        <v>1940</v>
      </c>
      <c r="P1417" s="70">
        <v>0.45763888888888887</v>
      </c>
      <c r="Q1417" s="70">
        <v>0.6875</v>
      </c>
      <c r="R1417" s="229" t="s">
        <v>1649</v>
      </c>
    </row>
    <row r="1418" spans="1:18" x14ac:dyDescent="0.4">
      <c r="A1418" s="212">
        <v>45965</v>
      </c>
      <c r="B1418" s="139" t="s">
        <v>65</v>
      </c>
      <c r="C1418" s="30" t="s">
        <v>189</v>
      </c>
      <c r="D1418" s="191">
        <v>60</v>
      </c>
      <c r="E1418" s="77">
        <v>3</v>
      </c>
      <c r="F1418" s="76">
        <v>2.0833333333333332E-2</v>
      </c>
      <c r="G1418" s="76">
        <v>0.29166666666666669</v>
      </c>
      <c r="H1418" s="76">
        <v>0.62152777777777779</v>
      </c>
      <c r="I1418" s="173" t="s">
        <v>1406</v>
      </c>
      <c r="J1418" s="23">
        <v>4</v>
      </c>
      <c r="K1418" s="23"/>
      <c r="L1418" s="68">
        <v>0.29166666666666669</v>
      </c>
      <c r="M1418" s="68">
        <v>0.66319444444444442</v>
      </c>
      <c r="N1418" s="173" t="s">
        <v>1616</v>
      </c>
      <c r="O1418" s="23">
        <v>3235</v>
      </c>
      <c r="P1418" s="70">
        <v>0.29166666666666669</v>
      </c>
      <c r="Q1418" s="70">
        <v>0.66319444444444442</v>
      </c>
      <c r="R1418" s="229" t="s">
        <v>1616</v>
      </c>
    </row>
    <row r="1419" spans="1:18" x14ac:dyDescent="0.4">
      <c r="A1419" s="212">
        <v>45966</v>
      </c>
      <c r="B1419" s="139" t="s">
        <v>71</v>
      </c>
      <c r="C1419" s="30" t="s">
        <v>176</v>
      </c>
      <c r="D1419" s="191">
        <v>72</v>
      </c>
      <c r="E1419" s="77">
        <v>6</v>
      </c>
      <c r="F1419" s="1"/>
      <c r="G1419" s="76">
        <v>0.29166666666666669</v>
      </c>
      <c r="H1419" s="76">
        <v>0.6875</v>
      </c>
      <c r="I1419" s="173" t="s">
        <v>990</v>
      </c>
      <c r="J1419" s="23">
        <v>5</v>
      </c>
      <c r="K1419" s="23"/>
      <c r="L1419" s="68">
        <v>0.3125</v>
      </c>
      <c r="M1419" s="68">
        <v>0.70833333333333337</v>
      </c>
      <c r="N1419" s="173" t="s">
        <v>990</v>
      </c>
      <c r="O1419" s="23">
        <v>5610</v>
      </c>
      <c r="P1419" s="70">
        <v>0.29166666666666669</v>
      </c>
      <c r="Q1419" s="70">
        <v>0.70833333333333337</v>
      </c>
      <c r="R1419" s="229" t="s">
        <v>1252</v>
      </c>
    </row>
    <row r="1420" spans="1:18" x14ac:dyDescent="0.4">
      <c r="A1420" s="212">
        <v>45966</v>
      </c>
      <c r="B1420" s="139" t="s">
        <v>63</v>
      </c>
      <c r="C1420" s="30" t="s">
        <v>267</v>
      </c>
      <c r="D1420" s="191">
        <v>20</v>
      </c>
      <c r="E1420" s="77">
        <v>5</v>
      </c>
      <c r="F1420" s="1"/>
      <c r="G1420" s="76">
        <v>0.43888888888888888</v>
      </c>
      <c r="H1420" s="76">
        <v>0.66666666666666663</v>
      </c>
      <c r="I1420" s="173" t="s">
        <v>1588</v>
      </c>
      <c r="J1420" s="23">
        <v>3</v>
      </c>
      <c r="K1420" s="68">
        <v>1.0416666666666666E-2</v>
      </c>
      <c r="L1420" s="68">
        <v>0.47569444444444442</v>
      </c>
      <c r="M1420" s="68">
        <v>0.6875</v>
      </c>
      <c r="N1420" s="173" t="s">
        <v>1379</v>
      </c>
      <c r="O1420" s="23">
        <v>2120</v>
      </c>
      <c r="P1420" s="70">
        <v>0.43888888888888888</v>
      </c>
      <c r="Q1420" s="70">
        <v>0.6875</v>
      </c>
      <c r="R1420" s="229" t="s">
        <v>1319</v>
      </c>
    </row>
    <row r="1421" spans="1:18" x14ac:dyDescent="0.4">
      <c r="A1421" s="212">
        <v>45966</v>
      </c>
      <c r="B1421" s="139" t="s">
        <v>64</v>
      </c>
      <c r="C1421" s="30" t="s">
        <v>271</v>
      </c>
      <c r="D1421" s="191">
        <v>16</v>
      </c>
      <c r="E1421" s="77">
        <v>5</v>
      </c>
      <c r="F1421" s="1"/>
      <c r="G1421" s="76">
        <v>0.29166666666666669</v>
      </c>
      <c r="H1421" s="76">
        <v>0.43888888888888888</v>
      </c>
      <c r="I1421" s="173" t="s">
        <v>1565</v>
      </c>
      <c r="J1421" s="23">
        <v>3</v>
      </c>
      <c r="K1421" s="68">
        <v>1.0416666666666666E-2</v>
      </c>
      <c r="L1421" s="68">
        <v>0.33333333333333331</v>
      </c>
      <c r="M1421" s="68">
        <v>0.47569444444444442</v>
      </c>
      <c r="N1421" s="173" t="s">
        <v>1254</v>
      </c>
      <c r="O1421" s="23">
        <v>1720</v>
      </c>
      <c r="P1421" s="70">
        <v>0.29166666666666669</v>
      </c>
      <c r="Q1421" s="70">
        <v>0.47569444444444442</v>
      </c>
      <c r="R1421" s="229" t="s">
        <v>1356</v>
      </c>
    </row>
    <row r="1422" spans="1:18" x14ac:dyDescent="0.4">
      <c r="A1422" s="212">
        <v>45966</v>
      </c>
      <c r="B1422" s="139" t="s">
        <v>110</v>
      </c>
      <c r="C1422" s="30" t="s">
        <v>231</v>
      </c>
      <c r="D1422" s="191">
        <v>21</v>
      </c>
      <c r="E1422" s="77">
        <v>3</v>
      </c>
      <c r="F1422" s="76">
        <v>2.0833333333333332E-2</v>
      </c>
      <c r="G1422" s="76">
        <v>0.29166666666666669</v>
      </c>
      <c r="H1422" s="76">
        <v>0.6875</v>
      </c>
      <c r="I1422" s="173" t="s">
        <v>1252</v>
      </c>
      <c r="J1422" s="23">
        <v>7</v>
      </c>
      <c r="K1422" s="23"/>
      <c r="L1422" s="68">
        <v>0.3125</v>
      </c>
      <c r="M1422" s="68">
        <v>0.72916666666666663</v>
      </c>
      <c r="N1422" s="173" t="s">
        <v>1252</v>
      </c>
      <c r="O1422" s="23">
        <v>5400</v>
      </c>
      <c r="P1422" s="70">
        <v>0.29166666666666669</v>
      </c>
      <c r="Q1422" s="70">
        <v>0.72916666666666663</v>
      </c>
      <c r="R1422" s="229" t="s">
        <v>1247</v>
      </c>
    </row>
    <row r="1423" spans="1:18" x14ac:dyDescent="0.4">
      <c r="A1423" s="212">
        <v>45967</v>
      </c>
      <c r="B1423" s="139" t="s">
        <v>118</v>
      </c>
      <c r="C1423" s="30" t="s">
        <v>318</v>
      </c>
      <c r="D1423" s="191">
        <v>4</v>
      </c>
      <c r="E1423" s="77">
        <v>5</v>
      </c>
      <c r="F1423" s="1"/>
      <c r="G1423" s="76">
        <v>0.44097222222222227</v>
      </c>
      <c r="H1423" s="76">
        <v>0.5</v>
      </c>
      <c r="I1423" s="173" t="s">
        <v>1534</v>
      </c>
      <c r="J1423" s="23">
        <v>4</v>
      </c>
      <c r="K1423" s="68">
        <v>6.9444444444444441E-3</v>
      </c>
      <c r="L1423" s="68">
        <v>0.4548611111111111</v>
      </c>
      <c r="M1423" s="68">
        <v>0.56597222222222221</v>
      </c>
      <c r="N1423" s="173" t="s">
        <v>1377</v>
      </c>
      <c r="O1423" s="23">
        <v>865</v>
      </c>
      <c r="P1423" s="70">
        <v>0.44097222222222227</v>
      </c>
      <c r="Q1423" s="70">
        <v>0.56597222222222221</v>
      </c>
      <c r="R1423" s="229" t="s">
        <v>1296</v>
      </c>
    </row>
    <row r="1424" spans="1:18" x14ac:dyDescent="0.4">
      <c r="A1424" s="212">
        <v>45967</v>
      </c>
      <c r="B1424" s="139" t="s">
        <v>547</v>
      </c>
      <c r="C1424" s="30" t="s">
        <v>205</v>
      </c>
      <c r="D1424" s="191">
        <v>16</v>
      </c>
      <c r="E1424" s="77">
        <v>5</v>
      </c>
      <c r="F1424" s="1"/>
      <c r="G1424" s="76">
        <v>0.44097222222222227</v>
      </c>
      <c r="H1424" s="76">
        <v>0.5</v>
      </c>
      <c r="I1424" s="173" t="s">
        <v>1534</v>
      </c>
      <c r="J1424" s="23">
        <v>4</v>
      </c>
      <c r="K1424" s="68">
        <v>6.9444444444444441E-3</v>
      </c>
      <c r="L1424" s="68">
        <v>0.3125</v>
      </c>
      <c r="M1424" s="68">
        <v>0.4548611111111111</v>
      </c>
      <c r="N1424" s="173" t="s">
        <v>1355</v>
      </c>
      <c r="O1424" s="23">
        <v>1285</v>
      </c>
      <c r="P1424" s="70">
        <v>0.3125</v>
      </c>
      <c r="Q1424" s="70">
        <v>0.5</v>
      </c>
      <c r="R1424" s="229" t="s">
        <v>1243</v>
      </c>
    </row>
    <row r="1425" spans="1:18" x14ac:dyDescent="0.4">
      <c r="A1425" s="212">
        <v>45967</v>
      </c>
      <c r="B1425" s="139" t="s">
        <v>109</v>
      </c>
      <c r="C1425" s="30" t="s">
        <v>263</v>
      </c>
      <c r="D1425" s="191">
        <v>12</v>
      </c>
      <c r="E1425" s="77">
        <v>5</v>
      </c>
      <c r="F1425" s="1"/>
      <c r="G1425" s="76">
        <v>0.54166666666666663</v>
      </c>
      <c r="H1425" s="76">
        <v>0.66666666666666663</v>
      </c>
      <c r="I1425" s="173" t="s">
        <v>1316</v>
      </c>
      <c r="J1425" s="23">
        <v>4</v>
      </c>
      <c r="K1425" s="68">
        <v>6.9444444444444441E-3</v>
      </c>
      <c r="L1425" s="68">
        <v>0.56597222222222221</v>
      </c>
      <c r="M1425" s="68">
        <v>0.66666666666666663</v>
      </c>
      <c r="N1425" s="173" t="s">
        <v>1301</v>
      </c>
      <c r="O1425" s="23">
        <v>1520</v>
      </c>
      <c r="P1425" s="70">
        <v>0.54166666666666663</v>
      </c>
      <c r="Q1425" s="70">
        <v>0.66666666666666663</v>
      </c>
      <c r="R1425" s="229" t="s">
        <v>1316</v>
      </c>
    </row>
    <row r="1426" spans="1:18" x14ac:dyDescent="0.4">
      <c r="A1426" s="212">
        <v>45967</v>
      </c>
      <c r="B1426" s="139" t="s">
        <v>73</v>
      </c>
      <c r="C1426" s="30" t="s">
        <v>231</v>
      </c>
      <c r="D1426" s="191">
        <v>21</v>
      </c>
      <c r="E1426" s="77">
        <v>4</v>
      </c>
      <c r="F1426" s="1"/>
      <c r="G1426" s="76">
        <v>0.29166666666666669</v>
      </c>
      <c r="H1426" s="76">
        <v>0.65972222222222221</v>
      </c>
      <c r="I1426" s="173" t="s">
        <v>1338</v>
      </c>
      <c r="J1426" s="23">
        <v>7</v>
      </c>
      <c r="K1426" s="23"/>
      <c r="L1426" s="68">
        <v>0.3125</v>
      </c>
      <c r="M1426" s="68">
        <v>0.6875</v>
      </c>
      <c r="N1426" s="173" t="s">
        <v>1292</v>
      </c>
      <c r="O1426" s="23">
        <v>5240</v>
      </c>
      <c r="P1426" s="70">
        <v>0.29166666666666669</v>
      </c>
      <c r="Q1426" s="70">
        <v>0.6875</v>
      </c>
      <c r="R1426" s="229" t="s">
        <v>990</v>
      </c>
    </row>
    <row r="1427" spans="1:18" x14ac:dyDescent="0.4">
      <c r="A1427" s="212">
        <v>45967</v>
      </c>
      <c r="B1427" s="139" t="s">
        <v>96</v>
      </c>
      <c r="C1427" s="30" t="s">
        <v>167</v>
      </c>
      <c r="D1427" s="191">
        <v>16</v>
      </c>
      <c r="E1427" s="77">
        <v>3</v>
      </c>
      <c r="F1427" s="76">
        <v>2.0833333333333332E-2</v>
      </c>
      <c r="G1427" s="76">
        <v>0.29166666666666669</v>
      </c>
      <c r="H1427" s="76">
        <v>0.3923611111111111</v>
      </c>
      <c r="I1427" s="173" t="s">
        <v>1326</v>
      </c>
      <c r="J1427" s="23">
        <v>6</v>
      </c>
      <c r="K1427" s="68">
        <v>2.4305555555555556E-2</v>
      </c>
      <c r="L1427" s="68">
        <v>0.29166666666666669</v>
      </c>
      <c r="M1427" s="68">
        <v>0.4861111111111111</v>
      </c>
      <c r="N1427" s="173" t="s">
        <v>1401</v>
      </c>
      <c r="O1427" s="23">
        <v>2415</v>
      </c>
      <c r="P1427" s="70">
        <v>0.29166666666666669</v>
      </c>
      <c r="Q1427" s="70">
        <v>0.4861111111111111</v>
      </c>
      <c r="R1427" s="229" t="s">
        <v>1255</v>
      </c>
    </row>
    <row r="1428" spans="1:18" x14ac:dyDescent="0.4">
      <c r="A1428" s="212">
        <v>45967</v>
      </c>
      <c r="B1428" s="139" t="s">
        <v>58</v>
      </c>
      <c r="C1428" s="30" t="s">
        <v>165</v>
      </c>
      <c r="D1428" s="191">
        <v>20</v>
      </c>
      <c r="E1428" s="77">
        <v>3</v>
      </c>
      <c r="F1428" s="1"/>
      <c r="G1428" s="76">
        <v>0.3888888888888889</v>
      </c>
      <c r="H1428" s="76">
        <v>0.60763888888888895</v>
      </c>
      <c r="I1428" s="173" t="s">
        <v>1259</v>
      </c>
      <c r="J1428" s="23">
        <v>6</v>
      </c>
      <c r="K1428" s="23"/>
      <c r="L1428" s="68">
        <v>0.4826388888888889</v>
      </c>
      <c r="M1428" s="68">
        <v>0.68055555555555547</v>
      </c>
      <c r="N1428" s="173" t="s">
        <v>1380</v>
      </c>
      <c r="O1428" s="23">
        <v>2115</v>
      </c>
      <c r="P1428" s="70">
        <v>0.3888888888888889</v>
      </c>
      <c r="Q1428" s="70">
        <v>0.68055555555555547</v>
      </c>
      <c r="R1428" s="229" t="s">
        <v>1321</v>
      </c>
    </row>
    <row r="1429" spans="1:18" x14ac:dyDescent="0.4">
      <c r="A1429" s="212">
        <v>45968</v>
      </c>
      <c r="B1429" s="139" t="s">
        <v>472</v>
      </c>
      <c r="C1429" s="30" t="s">
        <v>285</v>
      </c>
      <c r="D1429" s="191">
        <v>6</v>
      </c>
      <c r="E1429" s="77">
        <v>5</v>
      </c>
      <c r="F1429" s="1"/>
      <c r="G1429" s="76">
        <v>0.54166666666666663</v>
      </c>
      <c r="H1429" s="76">
        <v>0.66666666666666663</v>
      </c>
      <c r="I1429" s="173" t="s">
        <v>1316</v>
      </c>
      <c r="J1429" s="23">
        <v>10</v>
      </c>
      <c r="K1429" s="23"/>
      <c r="L1429" s="68">
        <v>0.5625</v>
      </c>
      <c r="M1429" s="68">
        <v>0.70833333333333337</v>
      </c>
      <c r="N1429" s="173" t="s">
        <v>1303</v>
      </c>
      <c r="O1429" s="23">
        <v>3000</v>
      </c>
      <c r="P1429" s="70">
        <v>0.54166666666666663</v>
      </c>
      <c r="Q1429" s="70">
        <v>0.70833333333333337</v>
      </c>
      <c r="R1429" s="229" t="s">
        <v>1244</v>
      </c>
    </row>
    <row r="1430" spans="1:18" x14ac:dyDescent="0.4">
      <c r="A1430" s="212">
        <v>45968</v>
      </c>
      <c r="B1430" s="139" t="s">
        <v>61</v>
      </c>
      <c r="C1430" s="30" t="s">
        <v>156</v>
      </c>
      <c r="D1430" s="191">
        <v>24</v>
      </c>
      <c r="E1430" s="77">
        <v>5</v>
      </c>
      <c r="F1430" s="1"/>
      <c r="G1430" s="76">
        <v>0.29166666666666669</v>
      </c>
      <c r="H1430" s="76">
        <v>0.5</v>
      </c>
      <c r="I1430" s="173" t="s">
        <v>1327</v>
      </c>
      <c r="J1430" s="23">
        <v>9</v>
      </c>
      <c r="K1430" s="23"/>
      <c r="L1430" s="68">
        <v>0.3125</v>
      </c>
      <c r="M1430" s="68">
        <v>0.5625</v>
      </c>
      <c r="N1430" s="173" t="s">
        <v>1327</v>
      </c>
      <c r="O1430" s="23">
        <v>4200</v>
      </c>
      <c r="P1430" s="70">
        <v>0.29166666666666669</v>
      </c>
      <c r="Q1430" s="70">
        <v>0.5625</v>
      </c>
      <c r="R1430" s="229" t="s">
        <v>1320</v>
      </c>
    </row>
    <row r="1431" spans="1:18" x14ac:dyDescent="0.4">
      <c r="A1431" s="212">
        <v>45968</v>
      </c>
      <c r="B1431" s="139" t="s">
        <v>63</v>
      </c>
      <c r="C1431" s="30" t="s">
        <v>267</v>
      </c>
      <c r="D1431" s="191">
        <v>24</v>
      </c>
      <c r="E1431" s="77">
        <v>5</v>
      </c>
      <c r="F1431" s="1"/>
      <c r="G1431" s="76">
        <v>0.39166666666666666</v>
      </c>
      <c r="H1431" s="76">
        <v>0.66666666666666663</v>
      </c>
      <c r="I1431" s="173" t="s">
        <v>1651</v>
      </c>
      <c r="J1431" s="23">
        <v>3</v>
      </c>
      <c r="K1431" s="68">
        <v>1.0416666666666666E-2</v>
      </c>
      <c r="L1431" s="68">
        <v>0.41666666666666669</v>
      </c>
      <c r="M1431" s="68">
        <v>0.6875</v>
      </c>
      <c r="N1431" s="173" t="s">
        <v>1330</v>
      </c>
      <c r="O1431" s="23">
        <v>2715</v>
      </c>
      <c r="P1431" s="70">
        <v>0.39166666666666666</v>
      </c>
      <c r="Q1431" s="70">
        <v>0.6875</v>
      </c>
      <c r="R1431" s="229" t="s">
        <v>1552</v>
      </c>
    </row>
    <row r="1432" spans="1:18" x14ac:dyDescent="0.4">
      <c r="A1432" s="212">
        <v>45968</v>
      </c>
      <c r="B1432" s="139" t="s">
        <v>51</v>
      </c>
      <c r="C1432" s="30" t="s">
        <v>253</v>
      </c>
      <c r="D1432" s="191">
        <v>12</v>
      </c>
      <c r="E1432" s="77">
        <v>5</v>
      </c>
      <c r="F1432" s="1"/>
      <c r="G1432" s="76">
        <v>0.29166666666666669</v>
      </c>
      <c r="H1432" s="76">
        <v>0.39166666666666666</v>
      </c>
      <c r="I1432" s="173" t="s">
        <v>1436</v>
      </c>
      <c r="J1432" s="23">
        <v>3</v>
      </c>
      <c r="K1432" s="68">
        <v>1.0416666666666666E-2</v>
      </c>
      <c r="L1432" s="68">
        <v>0.33333333333333331</v>
      </c>
      <c r="M1432" s="68">
        <v>0.41666666666666669</v>
      </c>
      <c r="N1432" s="173" t="s">
        <v>1324</v>
      </c>
      <c r="O1432" s="23">
        <v>1125</v>
      </c>
      <c r="P1432" s="70">
        <v>0.29166666666666669</v>
      </c>
      <c r="Q1432" s="70">
        <v>0.41666666666666669</v>
      </c>
      <c r="R1432" s="229" t="s">
        <v>1316</v>
      </c>
    </row>
    <row r="1433" spans="1:18" x14ac:dyDescent="0.4">
      <c r="A1433" s="246">
        <v>45968</v>
      </c>
      <c r="B1433" s="102" t="s">
        <v>434</v>
      </c>
      <c r="C1433" s="136" t="s">
        <v>545</v>
      </c>
      <c r="D1433" s="193">
        <v>30</v>
      </c>
      <c r="E1433" s="103"/>
      <c r="F1433" s="104"/>
      <c r="G1433" s="184"/>
      <c r="H1433" s="184"/>
      <c r="I1433" s="225" t="s">
        <v>1002</v>
      </c>
      <c r="J1433" s="105"/>
      <c r="K1433" s="105"/>
      <c r="L1433" s="106"/>
      <c r="M1433" s="106"/>
      <c r="N1433" s="225" t="s">
        <v>1002</v>
      </c>
      <c r="O1433" s="105">
        <v>0</v>
      </c>
      <c r="P1433" s="247">
        <v>0</v>
      </c>
      <c r="Q1433" s="247">
        <v>0</v>
      </c>
      <c r="R1433" s="232" t="s">
        <v>1002</v>
      </c>
    </row>
    <row r="1434" spans="1:18" x14ac:dyDescent="0.4">
      <c r="A1434" s="246">
        <v>45968</v>
      </c>
      <c r="B1434" s="102" t="s">
        <v>500</v>
      </c>
      <c r="C1434" s="136" t="s">
        <v>506</v>
      </c>
      <c r="D1434" s="193">
        <v>25</v>
      </c>
      <c r="E1434" s="103"/>
      <c r="F1434" s="104"/>
      <c r="G1434" s="184"/>
      <c r="H1434" s="184"/>
      <c r="I1434" s="225" t="s">
        <v>1002</v>
      </c>
      <c r="J1434" s="105"/>
      <c r="K1434" s="105"/>
      <c r="L1434" s="106"/>
      <c r="M1434" s="106"/>
      <c r="N1434" s="225" t="s">
        <v>1002</v>
      </c>
      <c r="O1434" s="105">
        <v>0</v>
      </c>
      <c r="P1434" s="247">
        <v>0</v>
      </c>
      <c r="Q1434" s="247">
        <v>0</v>
      </c>
      <c r="R1434" s="232" t="s">
        <v>1002</v>
      </c>
    </row>
    <row r="1435" spans="1:18" x14ac:dyDescent="0.4">
      <c r="A1435" s="246">
        <v>45971</v>
      </c>
      <c r="B1435" s="102" t="s">
        <v>431</v>
      </c>
      <c r="C1435" s="136" t="s">
        <v>436</v>
      </c>
      <c r="D1435" s="193">
        <v>2</v>
      </c>
      <c r="E1435" s="103"/>
      <c r="F1435" s="104"/>
      <c r="G1435" s="184"/>
      <c r="H1435" s="184"/>
      <c r="I1435" s="225" t="s">
        <v>1002</v>
      </c>
      <c r="J1435" s="105"/>
      <c r="K1435" s="105"/>
      <c r="L1435" s="106"/>
      <c r="M1435" s="106"/>
      <c r="N1435" s="225" t="s">
        <v>1002</v>
      </c>
      <c r="O1435" s="105">
        <v>0</v>
      </c>
      <c r="P1435" s="247">
        <v>0</v>
      </c>
      <c r="Q1435" s="247">
        <v>0</v>
      </c>
      <c r="R1435" s="232" t="s">
        <v>1002</v>
      </c>
    </row>
    <row r="1436" spans="1:18" x14ac:dyDescent="0.4">
      <c r="A1436" s="212">
        <v>45973</v>
      </c>
      <c r="B1436" s="139" t="s">
        <v>106</v>
      </c>
      <c r="C1436" s="30" t="s">
        <v>173</v>
      </c>
      <c r="D1436" s="191">
        <v>12</v>
      </c>
      <c r="E1436" s="77">
        <v>5</v>
      </c>
      <c r="F1436" s="1"/>
      <c r="G1436" s="76">
        <v>0.29166666666666669</v>
      </c>
      <c r="H1436" s="76">
        <v>0.5</v>
      </c>
      <c r="I1436" s="173" t="s">
        <v>1327</v>
      </c>
      <c r="J1436" s="23">
        <v>9</v>
      </c>
      <c r="K1436" s="23"/>
      <c r="L1436" s="68">
        <v>0.29166666666666669</v>
      </c>
      <c r="M1436" s="68">
        <v>0.5</v>
      </c>
      <c r="N1436" s="173" t="s">
        <v>1327</v>
      </c>
      <c r="O1436" s="23">
        <v>4200</v>
      </c>
      <c r="P1436" s="70">
        <v>0.29166666666666669</v>
      </c>
      <c r="Q1436" s="70">
        <v>0.5</v>
      </c>
      <c r="R1436" s="229" t="s">
        <v>1327</v>
      </c>
    </row>
    <row r="1437" spans="1:18" x14ac:dyDescent="0.4">
      <c r="A1437" s="212">
        <v>45973</v>
      </c>
      <c r="B1437" s="139" t="s">
        <v>61</v>
      </c>
      <c r="C1437" s="30" t="s">
        <v>156</v>
      </c>
      <c r="D1437" s="191">
        <v>20</v>
      </c>
      <c r="E1437" s="77">
        <v>4</v>
      </c>
      <c r="F1437" s="1"/>
      <c r="G1437" s="76">
        <v>0.54166666666666663</v>
      </c>
      <c r="H1437" s="76">
        <v>0.70833333333333337</v>
      </c>
      <c r="I1437" s="173" t="s">
        <v>1244</v>
      </c>
      <c r="J1437" s="23">
        <v>10</v>
      </c>
      <c r="K1437" s="23"/>
      <c r="L1437" s="68">
        <v>0.54166666666666663</v>
      </c>
      <c r="M1437" s="68">
        <v>0.70833333333333337</v>
      </c>
      <c r="N1437" s="173" t="s">
        <v>1244</v>
      </c>
      <c r="O1437" s="23">
        <v>3360</v>
      </c>
      <c r="P1437" s="70">
        <v>0.54166666666666663</v>
      </c>
      <c r="Q1437" s="70">
        <v>0.70833333333333337</v>
      </c>
      <c r="R1437" s="229" t="s">
        <v>1244</v>
      </c>
    </row>
    <row r="1438" spans="1:18" x14ac:dyDescent="0.4">
      <c r="A1438" s="212">
        <v>45973</v>
      </c>
      <c r="B1438" s="139" t="s">
        <v>63</v>
      </c>
      <c r="C1438" s="30" t="s">
        <v>267</v>
      </c>
      <c r="D1438" s="191">
        <v>16</v>
      </c>
      <c r="E1438" s="77">
        <v>5</v>
      </c>
      <c r="F1438" s="1"/>
      <c r="G1438" s="76">
        <v>0.54166666666666663</v>
      </c>
      <c r="H1438" s="76">
        <v>0.66666666666666663</v>
      </c>
      <c r="I1438" s="173" t="s">
        <v>1316</v>
      </c>
      <c r="J1438" s="23">
        <v>3</v>
      </c>
      <c r="K1438" s="68">
        <v>6.9444444444444441E-3</v>
      </c>
      <c r="L1438" s="68">
        <v>0.5625</v>
      </c>
      <c r="M1438" s="68">
        <v>0.6875</v>
      </c>
      <c r="N1438" s="173" t="s">
        <v>1256</v>
      </c>
      <c r="O1438" s="23">
        <v>1470</v>
      </c>
      <c r="P1438" s="70">
        <v>0.54166666666666663</v>
      </c>
      <c r="Q1438" s="70">
        <v>0.6875</v>
      </c>
      <c r="R1438" s="229" t="s">
        <v>1303</v>
      </c>
    </row>
    <row r="1439" spans="1:18" x14ac:dyDescent="0.4">
      <c r="A1439" s="212">
        <v>45973</v>
      </c>
      <c r="B1439" s="139" t="s">
        <v>984</v>
      </c>
      <c r="C1439" s="30" t="s">
        <v>245</v>
      </c>
      <c r="D1439" s="191">
        <v>8</v>
      </c>
      <c r="E1439" s="77">
        <v>5</v>
      </c>
      <c r="F1439" s="1"/>
      <c r="G1439" s="76">
        <v>0.29166666666666669</v>
      </c>
      <c r="H1439" s="76">
        <v>0.38541666666666669</v>
      </c>
      <c r="I1439" s="173" t="s">
        <v>1324</v>
      </c>
      <c r="J1439" s="23">
        <v>3</v>
      </c>
      <c r="K1439" s="68">
        <v>6.9444444444444441E-3</v>
      </c>
      <c r="L1439" s="68">
        <v>0.34375</v>
      </c>
      <c r="M1439" s="68">
        <v>0.42708333333333331</v>
      </c>
      <c r="N1439" s="173" t="s">
        <v>1248</v>
      </c>
      <c r="O1439" s="23">
        <v>1065</v>
      </c>
      <c r="P1439" s="70">
        <v>0.29166666666666669</v>
      </c>
      <c r="Q1439" s="70">
        <v>0.42708333333333331</v>
      </c>
      <c r="R1439" s="229" t="s">
        <v>1391</v>
      </c>
    </row>
    <row r="1440" spans="1:18" x14ac:dyDescent="0.4">
      <c r="A1440" s="212">
        <v>45973</v>
      </c>
      <c r="B1440" s="139" t="s">
        <v>76</v>
      </c>
      <c r="C1440" s="30" t="s">
        <v>224</v>
      </c>
      <c r="D1440" s="191">
        <v>12</v>
      </c>
      <c r="E1440" s="77">
        <v>5</v>
      </c>
      <c r="F1440" s="1"/>
      <c r="G1440" s="76">
        <v>0.38541666666666669</v>
      </c>
      <c r="H1440" s="76">
        <v>0.5</v>
      </c>
      <c r="I1440" s="173" t="s">
        <v>1315</v>
      </c>
      <c r="J1440" s="23">
        <v>3</v>
      </c>
      <c r="K1440" s="68">
        <v>6.9444444444444441E-3</v>
      </c>
      <c r="L1440" s="68">
        <v>0.42708333333333331</v>
      </c>
      <c r="M1440" s="68">
        <v>0.5625</v>
      </c>
      <c r="N1440" s="173" t="s">
        <v>1331</v>
      </c>
      <c r="O1440" s="23">
        <v>1260</v>
      </c>
      <c r="P1440" s="70">
        <v>0.38541666666666669</v>
      </c>
      <c r="Q1440" s="70">
        <v>0.5625</v>
      </c>
      <c r="R1440" s="229" t="s">
        <v>1391</v>
      </c>
    </row>
    <row r="1441" spans="1:18" x14ac:dyDescent="0.4">
      <c r="A1441" s="212">
        <v>45973</v>
      </c>
      <c r="B1441" s="139" t="s">
        <v>73</v>
      </c>
      <c r="C1441" s="30" t="s">
        <v>231</v>
      </c>
      <c r="D1441" s="191">
        <v>15</v>
      </c>
      <c r="E1441" s="77">
        <v>5</v>
      </c>
      <c r="F1441" s="76">
        <v>2.0833333333333332E-2</v>
      </c>
      <c r="G1441" s="76">
        <v>0.29166666666666669</v>
      </c>
      <c r="H1441" s="76">
        <v>0.64583333333333337</v>
      </c>
      <c r="I1441" s="173" t="s">
        <v>1292</v>
      </c>
      <c r="J1441" s="23">
        <v>7</v>
      </c>
      <c r="K1441" s="23"/>
      <c r="L1441" s="68">
        <v>0.3125</v>
      </c>
      <c r="M1441" s="68">
        <v>0.70833333333333337</v>
      </c>
      <c r="N1441" s="173" t="s">
        <v>990</v>
      </c>
      <c r="O1441" s="23">
        <v>5970</v>
      </c>
      <c r="P1441" s="70">
        <v>0.29166666666666669</v>
      </c>
      <c r="Q1441" s="70">
        <v>0.70833333333333337</v>
      </c>
      <c r="R1441" s="229" t="s">
        <v>1252</v>
      </c>
    </row>
    <row r="1442" spans="1:18" x14ac:dyDescent="0.4">
      <c r="A1442" s="212">
        <v>45974</v>
      </c>
      <c r="B1442" s="139" t="s">
        <v>99</v>
      </c>
      <c r="C1442" s="30" t="s">
        <v>259</v>
      </c>
      <c r="D1442" s="191">
        <v>6</v>
      </c>
      <c r="E1442" s="77">
        <v>5</v>
      </c>
      <c r="F1442" s="1"/>
      <c r="G1442" s="76">
        <v>0.58750000000000002</v>
      </c>
      <c r="H1442" s="76">
        <v>0.66666666666666663</v>
      </c>
      <c r="I1442" s="173" t="s">
        <v>1412</v>
      </c>
      <c r="J1442" s="23">
        <v>3</v>
      </c>
      <c r="K1442" s="23"/>
      <c r="L1442" s="68">
        <v>0.59027777777777779</v>
      </c>
      <c r="M1442" s="68">
        <v>0.70833333333333337</v>
      </c>
      <c r="N1442" s="173" t="s">
        <v>1314</v>
      </c>
      <c r="O1442" s="23">
        <v>1080</v>
      </c>
      <c r="P1442" s="70">
        <v>0.58750000000000002</v>
      </c>
      <c r="Q1442" s="70">
        <v>0.70833333333333337</v>
      </c>
      <c r="R1442" s="229" t="s">
        <v>1437</v>
      </c>
    </row>
    <row r="1443" spans="1:18" x14ac:dyDescent="0.4">
      <c r="A1443" s="212">
        <v>45974</v>
      </c>
      <c r="B1443" s="139" t="s">
        <v>53</v>
      </c>
      <c r="C1443" s="30" t="s">
        <v>261</v>
      </c>
      <c r="D1443" s="191">
        <v>6</v>
      </c>
      <c r="E1443" s="77">
        <v>5</v>
      </c>
      <c r="F1443" s="1"/>
      <c r="G1443" s="76">
        <v>0.54166666666666663</v>
      </c>
      <c r="H1443" s="76">
        <v>0.58750000000000002</v>
      </c>
      <c r="I1443" s="173" t="s">
        <v>1525</v>
      </c>
      <c r="J1443" s="23">
        <v>3</v>
      </c>
      <c r="K1443" s="23"/>
      <c r="L1443" s="68">
        <v>0.45833333333333331</v>
      </c>
      <c r="M1443" s="68">
        <v>0.59027777777777779</v>
      </c>
      <c r="N1443" s="173" t="s">
        <v>1248</v>
      </c>
      <c r="O1443" s="23">
        <v>720</v>
      </c>
      <c r="P1443" s="70">
        <v>0.45833333333333331</v>
      </c>
      <c r="Q1443" s="70">
        <v>0.59027777777777779</v>
      </c>
      <c r="R1443" s="229" t="s">
        <v>1248</v>
      </c>
    </row>
    <row r="1444" spans="1:18" x14ac:dyDescent="0.4">
      <c r="A1444" s="212">
        <v>45974</v>
      </c>
      <c r="B1444" s="139" t="s">
        <v>72</v>
      </c>
      <c r="C1444" s="30" t="s">
        <v>227</v>
      </c>
      <c r="D1444" s="191">
        <v>20</v>
      </c>
      <c r="E1444" s="77">
        <v>5</v>
      </c>
      <c r="F1444" s="1"/>
      <c r="G1444" s="76">
        <v>0.29166666666666669</v>
      </c>
      <c r="H1444" s="76">
        <v>0.5</v>
      </c>
      <c r="I1444" s="173" t="s">
        <v>1327</v>
      </c>
      <c r="J1444" s="23">
        <v>3</v>
      </c>
      <c r="K1444" s="23"/>
      <c r="L1444" s="68">
        <v>0.3125</v>
      </c>
      <c r="M1444" s="68">
        <v>0.45833333333333331</v>
      </c>
      <c r="N1444" s="173" t="s">
        <v>1303</v>
      </c>
      <c r="O1444" s="23">
        <v>2130</v>
      </c>
      <c r="P1444" s="70">
        <v>0.29166666666666669</v>
      </c>
      <c r="Q1444" s="70">
        <v>0.5</v>
      </c>
      <c r="R1444" s="229" t="s">
        <v>1327</v>
      </c>
    </row>
    <row r="1445" spans="1:18" x14ac:dyDescent="0.4">
      <c r="A1445" s="212">
        <v>45974</v>
      </c>
      <c r="B1445" s="139" t="s">
        <v>108</v>
      </c>
      <c r="C1445" s="30" t="s">
        <v>231</v>
      </c>
      <c r="D1445" s="191">
        <v>21</v>
      </c>
      <c r="E1445" s="77">
        <v>7</v>
      </c>
      <c r="F1445" s="1"/>
      <c r="G1445" s="76">
        <v>0.29166666666666669</v>
      </c>
      <c r="H1445" s="76">
        <v>0.66666666666666663</v>
      </c>
      <c r="I1445" s="173" t="s">
        <v>1292</v>
      </c>
      <c r="J1445" s="23">
        <v>7</v>
      </c>
      <c r="K1445" s="23"/>
      <c r="L1445" s="68">
        <v>0.3125</v>
      </c>
      <c r="M1445" s="68">
        <v>0.70833333333333337</v>
      </c>
      <c r="N1445" s="173" t="s">
        <v>990</v>
      </c>
      <c r="O1445" s="23">
        <v>6930</v>
      </c>
      <c r="P1445" s="70">
        <v>0.29166666666666669</v>
      </c>
      <c r="Q1445" s="70">
        <v>0.70833333333333337</v>
      </c>
      <c r="R1445" s="229" t="s">
        <v>1252</v>
      </c>
    </row>
    <row r="1446" spans="1:18" x14ac:dyDescent="0.4">
      <c r="A1446" s="212">
        <v>45974</v>
      </c>
      <c r="B1446" s="139" t="s">
        <v>104</v>
      </c>
      <c r="C1446" s="30" t="s">
        <v>191</v>
      </c>
      <c r="D1446" s="191">
        <v>60</v>
      </c>
      <c r="E1446" s="77">
        <v>4</v>
      </c>
      <c r="F1446" s="76">
        <v>2.0833333333333332E-2</v>
      </c>
      <c r="G1446" s="76">
        <v>0.29166666666666669</v>
      </c>
      <c r="H1446" s="76">
        <v>0.66666666666666663</v>
      </c>
      <c r="I1446" s="173" t="s">
        <v>990</v>
      </c>
      <c r="J1446" s="23">
        <v>4</v>
      </c>
      <c r="K1446" s="23"/>
      <c r="L1446" s="68">
        <v>0.29166666666666669</v>
      </c>
      <c r="M1446" s="68">
        <v>0.69444444444444453</v>
      </c>
      <c r="N1446" s="173" t="s">
        <v>1351</v>
      </c>
      <c r="O1446" s="23">
        <v>4120</v>
      </c>
      <c r="P1446" s="70">
        <v>0.29166666666666669</v>
      </c>
      <c r="Q1446" s="70">
        <v>0.69444444444444453</v>
      </c>
      <c r="R1446" s="229" t="s">
        <v>1351</v>
      </c>
    </row>
    <row r="1447" spans="1:18" x14ac:dyDescent="0.4">
      <c r="A1447" s="212">
        <v>45975</v>
      </c>
      <c r="B1447" s="139" t="s">
        <v>71</v>
      </c>
      <c r="C1447" s="30" t="s">
        <v>176</v>
      </c>
      <c r="D1447" s="191">
        <v>32</v>
      </c>
      <c r="E1447" s="77">
        <v>5</v>
      </c>
      <c r="F1447" s="76"/>
      <c r="G1447" s="76">
        <v>0.3125</v>
      </c>
      <c r="H1447" s="76">
        <v>0.5</v>
      </c>
      <c r="I1447" s="173" t="s">
        <v>1243</v>
      </c>
      <c r="J1447" s="23">
        <v>6</v>
      </c>
      <c r="K1447" s="23"/>
      <c r="L1447" s="68">
        <v>0.29166666666666669</v>
      </c>
      <c r="M1447" s="68">
        <v>0.5</v>
      </c>
      <c r="N1447" s="173" t="s">
        <v>1327</v>
      </c>
      <c r="O1447" s="23">
        <v>3150</v>
      </c>
      <c r="P1447" s="70">
        <v>0.29166666666666669</v>
      </c>
      <c r="Q1447" s="70">
        <v>0.5</v>
      </c>
      <c r="R1447" s="229" t="s">
        <v>1327</v>
      </c>
    </row>
    <row r="1448" spans="1:18" x14ac:dyDescent="0.4">
      <c r="A1448" s="212">
        <v>45975</v>
      </c>
      <c r="B1448" s="139" t="s">
        <v>87</v>
      </c>
      <c r="C1448" s="30" t="s">
        <v>199</v>
      </c>
      <c r="D1448" s="191">
        <v>32</v>
      </c>
      <c r="E1448" s="77">
        <v>5</v>
      </c>
      <c r="F1448" s="1"/>
      <c r="G1448" s="76">
        <v>0.54166666666666663</v>
      </c>
      <c r="H1448" s="76">
        <v>0.70833333333333337</v>
      </c>
      <c r="I1448" s="173" t="s">
        <v>1244</v>
      </c>
      <c r="J1448" s="23">
        <v>6</v>
      </c>
      <c r="K1448" s="23"/>
      <c r="L1448" s="68">
        <v>0.54166666666666663</v>
      </c>
      <c r="M1448" s="68">
        <v>0.70833333333333337</v>
      </c>
      <c r="N1448" s="173" t="s">
        <v>1244</v>
      </c>
      <c r="O1448" s="23">
        <v>2640</v>
      </c>
      <c r="P1448" s="70">
        <v>0.54166666666666663</v>
      </c>
      <c r="Q1448" s="70">
        <v>0.70833333333333337</v>
      </c>
      <c r="R1448" s="229" t="s">
        <v>1244</v>
      </c>
    </row>
    <row r="1449" spans="1:18" x14ac:dyDescent="0.4">
      <c r="A1449" s="212">
        <v>45975</v>
      </c>
      <c r="B1449" s="139" t="s">
        <v>661</v>
      </c>
      <c r="C1449" s="30" t="s">
        <v>645</v>
      </c>
      <c r="D1449" s="191">
        <v>8</v>
      </c>
      <c r="E1449" s="77">
        <v>5</v>
      </c>
      <c r="F1449" s="1"/>
      <c r="G1449" s="76">
        <v>0.29166666666666669</v>
      </c>
      <c r="H1449" s="76">
        <v>0.3979166666666667</v>
      </c>
      <c r="I1449" s="173" t="s">
        <v>1346</v>
      </c>
      <c r="J1449" s="23">
        <v>4</v>
      </c>
      <c r="K1449" s="68">
        <v>6.9444444444444441E-3</v>
      </c>
      <c r="L1449" s="68">
        <v>0.34027777777777773</v>
      </c>
      <c r="M1449" s="68">
        <v>0.44097222222222227</v>
      </c>
      <c r="N1449" s="173" t="s">
        <v>1301</v>
      </c>
      <c r="O1449" s="23">
        <v>1385</v>
      </c>
      <c r="P1449" s="70">
        <v>0.29166666666666669</v>
      </c>
      <c r="Q1449" s="70">
        <v>0.44097222222222227</v>
      </c>
      <c r="R1449" s="229" t="s">
        <v>1355</v>
      </c>
    </row>
    <row r="1450" spans="1:18" x14ac:dyDescent="0.4">
      <c r="A1450" s="212">
        <v>45975</v>
      </c>
      <c r="B1450" s="139" t="s">
        <v>63</v>
      </c>
      <c r="C1450" s="30" t="s">
        <v>267</v>
      </c>
      <c r="D1450" s="191">
        <v>24</v>
      </c>
      <c r="E1450" s="77">
        <v>5</v>
      </c>
      <c r="F1450" s="1"/>
      <c r="G1450" s="76">
        <v>0.3979166666666667</v>
      </c>
      <c r="H1450" s="76">
        <v>0.66666666666666663</v>
      </c>
      <c r="I1450" s="173" t="s">
        <v>1571</v>
      </c>
      <c r="J1450" s="23">
        <v>3</v>
      </c>
      <c r="K1450" s="68">
        <v>6.9444444444444441E-3</v>
      </c>
      <c r="L1450" s="68">
        <v>0.44097222222222227</v>
      </c>
      <c r="M1450" s="68">
        <v>0.6875</v>
      </c>
      <c r="N1450" s="173" t="s">
        <v>1466</v>
      </c>
      <c r="O1450" s="23">
        <v>2550</v>
      </c>
      <c r="P1450" s="70">
        <v>0.3979166666666667</v>
      </c>
      <c r="Q1450" s="70">
        <v>0.6875</v>
      </c>
      <c r="R1450" s="229" t="s">
        <v>1501</v>
      </c>
    </row>
    <row r="1451" spans="1:18" x14ac:dyDescent="0.4">
      <c r="A1451" s="212">
        <v>45975</v>
      </c>
      <c r="B1451" s="139" t="s">
        <v>83</v>
      </c>
      <c r="C1451" s="30" t="s">
        <v>169</v>
      </c>
      <c r="D1451" s="191">
        <v>8</v>
      </c>
      <c r="E1451" s="77">
        <v>3</v>
      </c>
      <c r="F1451" s="76">
        <v>1.3888888888888888E-2</v>
      </c>
      <c r="G1451" s="76">
        <v>0.33333333333333331</v>
      </c>
      <c r="H1451" s="76">
        <v>0.4548611111111111</v>
      </c>
      <c r="I1451" s="173" t="s">
        <v>1391</v>
      </c>
      <c r="J1451" s="23">
        <v>8</v>
      </c>
      <c r="K1451" s="23"/>
      <c r="L1451" s="68">
        <v>0.35416666666666669</v>
      </c>
      <c r="M1451" s="68">
        <v>0.59722222222222221</v>
      </c>
      <c r="N1451" s="173" t="s">
        <v>1258</v>
      </c>
      <c r="O1451" s="23">
        <v>2905</v>
      </c>
      <c r="P1451" s="70">
        <v>0.33333333333333331</v>
      </c>
      <c r="Q1451" s="70">
        <v>0.59722222222222221</v>
      </c>
      <c r="R1451" s="229" t="s">
        <v>1357</v>
      </c>
    </row>
    <row r="1452" spans="1:18" x14ac:dyDescent="0.4">
      <c r="A1452" s="212">
        <v>45975</v>
      </c>
      <c r="B1452" s="139" t="s">
        <v>1159</v>
      </c>
      <c r="C1452" s="30" t="s">
        <v>1160</v>
      </c>
      <c r="D1452" s="191">
        <v>4.032</v>
      </c>
      <c r="E1452" s="77">
        <v>3</v>
      </c>
      <c r="F1452" s="76">
        <v>1.3888888888888888E-2</v>
      </c>
      <c r="G1452" s="76">
        <v>0.29166666666666669</v>
      </c>
      <c r="H1452" s="76">
        <v>0.33333333333333331</v>
      </c>
      <c r="I1452" s="173" t="s">
        <v>1420</v>
      </c>
      <c r="J1452" s="23">
        <v>8</v>
      </c>
      <c r="K1452" s="23"/>
      <c r="L1452" s="68">
        <v>0.29166666666666669</v>
      </c>
      <c r="M1452" s="68">
        <v>0.47569444444444442</v>
      </c>
      <c r="N1452" s="173" t="s">
        <v>1356</v>
      </c>
      <c r="O1452" s="23">
        <v>2360</v>
      </c>
      <c r="P1452" s="70">
        <v>0.29166666666666669</v>
      </c>
      <c r="Q1452" s="70">
        <v>0.47569444444444442</v>
      </c>
      <c r="R1452" s="229" t="s">
        <v>1356</v>
      </c>
    </row>
    <row r="1453" spans="1:18" x14ac:dyDescent="0.4">
      <c r="A1453" s="241">
        <v>45975</v>
      </c>
      <c r="B1453" s="139" t="s">
        <v>65</v>
      </c>
      <c r="C1453" s="30" t="s">
        <v>189</v>
      </c>
      <c r="D1453" s="191">
        <v>32</v>
      </c>
      <c r="E1453" s="77">
        <v>3</v>
      </c>
      <c r="F1453" s="76">
        <v>1.3888888888888888E-2</v>
      </c>
      <c r="G1453" s="76">
        <v>0.71527777777777779</v>
      </c>
      <c r="H1453" s="76">
        <v>0.72916666666666663</v>
      </c>
      <c r="I1453" s="173" t="s">
        <v>1463</v>
      </c>
      <c r="J1453" s="23">
        <v>4</v>
      </c>
      <c r="K1453" s="23"/>
      <c r="L1453" s="68">
        <v>0.59722222222222221</v>
      </c>
      <c r="M1453" s="68">
        <v>0.77430555555555547</v>
      </c>
      <c r="N1453" s="173" t="s">
        <v>1259</v>
      </c>
      <c r="O1453" s="23">
        <v>1140</v>
      </c>
      <c r="P1453" s="70">
        <v>0.59722222222222221</v>
      </c>
      <c r="Q1453" s="70">
        <v>0.77430555555555547</v>
      </c>
      <c r="R1453" s="229" t="s">
        <v>1259</v>
      </c>
    </row>
    <row r="1454" spans="1:18" x14ac:dyDescent="0.4">
      <c r="A1454" s="212">
        <v>45978</v>
      </c>
      <c r="B1454" s="139" t="s">
        <v>61</v>
      </c>
      <c r="C1454" s="30" t="s">
        <v>156</v>
      </c>
      <c r="D1454" s="191">
        <v>40</v>
      </c>
      <c r="E1454" s="77">
        <v>5</v>
      </c>
      <c r="F1454" s="1"/>
      <c r="G1454" s="76">
        <v>0.29166666666666669</v>
      </c>
      <c r="H1454" s="76">
        <v>0.66666666666666663</v>
      </c>
      <c r="I1454" s="173" t="s">
        <v>1292</v>
      </c>
      <c r="J1454" s="23">
        <v>10</v>
      </c>
      <c r="K1454" s="23"/>
      <c r="L1454" s="68">
        <v>0.3125</v>
      </c>
      <c r="M1454" s="68">
        <v>0.70833333333333337</v>
      </c>
      <c r="N1454" s="173" t="s">
        <v>990</v>
      </c>
      <c r="O1454" s="23">
        <v>7500</v>
      </c>
      <c r="P1454" s="70">
        <v>0.29166666666666669</v>
      </c>
      <c r="Q1454" s="70">
        <v>0.70833333333333337</v>
      </c>
      <c r="R1454" s="229" t="s">
        <v>1252</v>
      </c>
    </row>
    <row r="1455" spans="1:18" x14ac:dyDescent="0.4">
      <c r="A1455" s="212">
        <v>45978</v>
      </c>
      <c r="B1455" s="139" t="s">
        <v>1046</v>
      </c>
      <c r="C1455" s="30" t="s">
        <v>1057</v>
      </c>
      <c r="D1455" s="191">
        <v>8</v>
      </c>
      <c r="E1455" s="77">
        <v>5</v>
      </c>
      <c r="F1455" s="1"/>
      <c r="G1455" s="76">
        <v>0.58194444444444449</v>
      </c>
      <c r="H1455" s="76">
        <v>0.66666666666666663</v>
      </c>
      <c r="I1455" s="173" t="s">
        <v>1364</v>
      </c>
      <c r="J1455" s="23">
        <v>3</v>
      </c>
      <c r="K1455" s="68">
        <v>1.0416666666666666E-2</v>
      </c>
      <c r="L1455" s="68">
        <v>0.61111111111111105</v>
      </c>
      <c r="M1455" s="68">
        <v>0.72916666666666663</v>
      </c>
      <c r="N1455" s="173" t="s">
        <v>1251</v>
      </c>
      <c r="O1455" s="23">
        <v>1165</v>
      </c>
      <c r="P1455" s="70">
        <v>0.58194444444444449</v>
      </c>
      <c r="Q1455" s="70">
        <v>0.72916666666666663</v>
      </c>
      <c r="R1455" s="229" t="s">
        <v>1565</v>
      </c>
    </row>
    <row r="1456" spans="1:18" x14ac:dyDescent="0.4">
      <c r="A1456" s="212">
        <v>45978</v>
      </c>
      <c r="B1456" s="139" t="s">
        <v>88</v>
      </c>
      <c r="C1456" s="30" t="s">
        <v>328</v>
      </c>
      <c r="D1456" s="191">
        <v>32</v>
      </c>
      <c r="E1456" s="77">
        <v>5</v>
      </c>
      <c r="F1456" s="1"/>
      <c r="G1456" s="76">
        <v>0.29166666666666669</v>
      </c>
      <c r="H1456" s="76">
        <v>0.58194444444444449</v>
      </c>
      <c r="I1456" s="173" t="s">
        <v>1652</v>
      </c>
      <c r="J1456" s="23">
        <v>3</v>
      </c>
      <c r="K1456" s="68">
        <v>1.0416666666666666E-2</v>
      </c>
      <c r="L1456" s="68">
        <v>0.33333333333333331</v>
      </c>
      <c r="M1456" s="68">
        <v>0.61111111111111105</v>
      </c>
      <c r="N1456" s="173" t="s">
        <v>1358</v>
      </c>
      <c r="O1456" s="23">
        <v>2855</v>
      </c>
      <c r="P1456" s="70">
        <v>0.29166666666666669</v>
      </c>
      <c r="Q1456" s="70">
        <v>0.61111111111111105</v>
      </c>
      <c r="R1456" s="229" t="s">
        <v>1328</v>
      </c>
    </row>
    <row r="1457" spans="1:18" x14ac:dyDescent="0.4">
      <c r="A1457" s="212">
        <v>45978</v>
      </c>
      <c r="B1457" s="139" t="s">
        <v>65</v>
      </c>
      <c r="C1457" s="30" t="s">
        <v>189</v>
      </c>
      <c r="D1457" s="191">
        <v>60</v>
      </c>
      <c r="E1457" s="77">
        <v>3</v>
      </c>
      <c r="F1457" s="76">
        <v>2.0833333333333332E-2</v>
      </c>
      <c r="G1457" s="76">
        <v>0.29166666666666669</v>
      </c>
      <c r="H1457" s="76">
        <v>0.61805555555555558</v>
      </c>
      <c r="I1457" s="173" t="s">
        <v>1459</v>
      </c>
      <c r="J1457" s="23">
        <v>4</v>
      </c>
      <c r="K1457" s="23"/>
      <c r="L1457" s="68">
        <v>0.29166666666666669</v>
      </c>
      <c r="M1457" s="68">
        <v>0.65972222222222221</v>
      </c>
      <c r="N1457" s="173" t="s">
        <v>1338</v>
      </c>
      <c r="O1457" s="23">
        <v>3200</v>
      </c>
      <c r="P1457" s="70">
        <v>0.29166666666666669</v>
      </c>
      <c r="Q1457" s="70">
        <v>0.65972222222222221</v>
      </c>
      <c r="R1457" s="229" t="s">
        <v>1338</v>
      </c>
    </row>
    <row r="1458" spans="1:18" x14ac:dyDescent="0.4">
      <c r="A1458" s="246">
        <v>45978</v>
      </c>
      <c r="B1458" s="102" t="s">
        <v>488</v>
      </c>
      <c r="C1458" s="136" t="s">
        <v>475</v>
      </c>
      <c r="D1458" s="193">
        <v>1</v>
      </c>
      <c r="E1458" s="103"/>
      <c r="F1458" s="104"/>
      <c r="G1458" s="184"/>
      <c r="H1458" s="184"/>
      <c r="I1458" s="225" t="s">
        <v>1002</v>
      </c>
      <c r="J1458" s="105"/>
      <c r="K1458" s="105"/>
      <c r="L1458" s="106"/>
      <c r="M1458" s="106"/>
      <c r="N1458" s="225" t="s">
        <v>1002</v>
      </c>
      <c r="O1458" s="105">
        <v>0</v>
      </c>
      <c r="P1458" s="247">
        <v>0</v>
      </c>
      <c r="Q1458" s="247">
        <v>0</v>
      </c>
      <c r="R1458" s="232" t="s">
        <v>1002</v>
      </c>
    </row>
    <row r="1459" spans="1:18" x14ac:dyDescent="0.4">
      <c r="A1459" s="246">
        <v>45978</v>
      </c>
      <c r="B1459" s="102" t="s">
        <v>943</v>
      </c>
      <c r="C1459" s="136" t="s">
        <v>1095</v>
      </c>
      <c r="D1459" s="193">
        <v>1</v>
      </c>
      <c r="E1459" s="103"/>
      <c r="F1459" s="104"/>
      <c r="G1459" s="184"/>
      <c r="H1459" s="184"/>
      <c r="I1459" s="225" t="s">
        <v>1002</v>
      </c>
      <c r="J1459" s="105"/>
      <c r="K1459" s="105"/>
      <c r="L1459" s="106"/>
      <c r="M1459" s="106"/>
      <c r="N1459" s="225" t="s">
        <v>1002</v>
      </c>
      <c r="O1459" s="105">
        <v>0</v>
      </c>
      <c r="P1459" s="247">
        <v>0</v>
      </c>
      <c r="Q1459" s="247">
        <v>0</v>
      </c>
      <c r="R1459" s="232" t="s">
        <v>1002</v>
      </c>
    </row>
    <row r="1460" spans="1:18" x14ac:dyDescent="0.4">
      <c r="A1460" s="212">
        <v>45979</v>
      </c>
      <c r="B1460" s="139" t="s">
        <v>71</v>
      </c>
      <c r="C1460" s="30" t="s">
        <v>176</v>
      </c>
      <c r="D1460" s="191">
        <v>32</v>
      </c>
      <c r="E1460" s="77">
        <v>6</v>
      </c>
      <c r="F1460" s="1"/>
      <c r="G1460" s="76">
        <v>0.29166666666666669</v>
      </c>
      <c r="H1460" s="76">
        <v>0.5</v>
      </c>
      <c r="I1460" s="173" t="s">
        <v>1327</v>
      </c>
      <c r="J1460" s="23">
        <v>5</v>
      </c>
      <c r="K1460" s="23"/>
      <c r="L1460" s="68">
        <v>0.3125</v>
      </c>
      <c r="M1460" s="68">
        <v>0.5</v>
      </c>
      <c r="N1460" s="173" t="s">
        <v>1243</v>
      </c>
      <c r="O1460" s="23">
        <v>3150</v>
      </c>
      <c r="P1460" s="70">
        <v>0.29166666666666669</v>
      </c>
      <c r="Q1460" s="70">
        <v>0.5</v>
      </c>
      <c r="R1460" s="229" t="s">
        <v>1327</v>
      </c>
    </row>
    <row r="1461" spans="1:18" x14ac:dyDescent="0.4">
      <c r="A1461" s="212">
        <v>45979</v>
      </c>
      <c r="B1461" s="139" t="s">
        <v>456</v>
      </c>
      <c r="C1461" s="30" t="s">
        <v>287</v>
      </c>
      <c r="D1461" s="191">
        <v>3</v>
      </c>
      <c r="E1461" s="77">
        <v>4</v>
      </c>
      <c r="F1461" s="1"/>
      <c r="G1461" s="76">
        <v>0.54166666666666663</v>
      </c>
      <c r="H1461" s="76">
        <v>0.66666666666666663</v>
      </c>
      <c r="I1461" s="173" t="s">
        <v>1316</v>
      </c>
      <c r="J1461" s="23">
        <v>12</v>
      </c>
      <c r="K1461" s="23"/>
      <c r="L1461" s="68">
        <v>0.54166666666666663</v>
      </c>
      <c r="M1461" s="68">
        <v>0.70833333333333337</v>
      </c>
      <c r="N1461" s="173" t="s">
        <v>1244</v>
      </c>
      <c r="O1461" s="23">
        <v>3600</v>
      </c>
      <c r="P1461" s="70">
        <v>0.54166666666666663</v>
      </c>
      <c r="Q1461" s="70">
        <v>0.70833333333333337</v>
      </c>
      <c r="R1461" s="229" t="s">
        <v>1244</v>
      </c>
    </row>
    <row r="1462" spans="1:18" x14ac:dyDescent="0.4">
      <c r="A1462" s="212">
        <v>45979</v>
      </c>
      <c r="B1462" s="139" t="s">
        <v>64</v>
      </c>
      <c r="C1462" s="30" t="s">
        <v>271</v>
      </c>
      <c r="D1462" s="191">
        <v>20</v>
      </c>
      <c r="E1462" s="77">
        <v>5</v>
      </c>
      <c r="F1462" s="1"/>
      <c r="G1462" s="76">
        <v>0.29166666666666669</v>
      </c>
      <c r="H1462" s="76">
        <v>0.45624999999999999</v>
      </c>
      <c r="I1462" s="173" t="s">
        <v>1293</v>
      </c>
      <c r="J1462" s="23">
        <v>3</v>
      </c>
      <c r="K1462" s="23"/>
      <c r="L1462" s="68">
        <v>0.3125</v>
      </c>
      <c r="M1462" s="68">
        <v>0.4826388888888889</v>
      </c>
      <c r="N1462" s="173" t="s">
        <v>1365</v>
      </c>
      <c r="O1462" s="23">
        <v>1920</v>
      </c>
      <c r="P1462" s="70">
        <v>0.29166666666666669</v>
      </c>
      <c r="Q1462" s="70">
        <v>0.4826388888888889</v>
      </c>
      <c r="R1462" s="229" t="s">
        <v>1304</v>
      </c>
    </row>
    <row r="1463" spans="1:18" x14ac:dyDescent="0.4">
      <c r="A1463" s="212">
        <v>45979</v>
      </c>
      <c r="B1463" s="139" t="s">
        <v>1162</v>
      </c>
      <c r="C1463" s="30" t="s">
        <v>271</v>
      </c>
      <c r="D1463" s="191">
        <v>1</v>
      </c>
      <c r="E1463" s="77">
        <v>5</v>
      </c>
      <c r="F1463" s="1"/>
      <c r="G1463" s="76">
        <v>0.45624999999999999</v>
      </c>
      <c r="H1463" s="76">
        <v>0.5</v>
      </c>
      <c r="I1463" s="173" t="s">
        <v>1653</v>
      </c>
      <c r="J1463" s="23">
        <v>3</v>
      </c>
      <c r="K1463" s="23"/>
      <c r="L1463" s="68">
        <v>0.4826388888888889</v>
      </c>
      <c r="M1463" s="68">
        <v>0.56944444444444442</v>
      </c>
      <c r="N1463" s="173" t="s">
        <v>1473</v>
      </c>
      <c r="O1463" s="23">
        <v>510</v>
      </c>
      <c r="P1463" s="70">
        <v>0.45624999999999999</v>
      </c>
      <c r="Q1463" s="70">
        <v>0.56944444444444442</v>
      </c>
      <c r="R1463" s="229" t="s">
        <v>1297</v>
      </c>
    </row>
    <row r="1464" spans="1:18" x14ac:dyDescent="0.4">
      <c r="A1464" s="212">
        <v>45979</v>
      </c>
      <c r="B1464" s="139" t="s">
        <v>63</v>
      </c>
      <c r="C1464" s="30" t="s">
        <v>267</v>
      </c>
      <c r="D1464" s="191">
        <v>20</v>
      </c>
      <c r="E1464" s="77">
        <v>5</v>
      </c>
      <c r="F1464" s="1"/>
      <c r="G1464" s="76">
        <v>0.54166666666666663</v>
      </c>
      <c r="H1464" s="76">
        <v>0.70833333333333337</v>
      </c>
      <c r="I1464" s="173" t="s">
        <v>1244</v>
      </c>
      <c r="J1464" s="23">
        <v>3</v>
      </c>
      <c r="K1464" s="23"/>
      <c r="L1464" s="68">
        <v>0.56944444444444442</v>
      </c>
      <c r="M1464" s="68">
        <v>0.72916666666666663</v>
      </c>
      <c r="N1464" s="173" t="s">
        <v>1332</v>
      </c>
      <c r="O1464" s="23">
        <v>1890</v>
      </c>
      <c r="P1464" s="70">
        <v>0.54166666666666663</v>
      </c>
      <c r="Q1464" s="70">
        <v>0.72916666666666663</v>
      </c>
      <c r="R1464" s="229" t="s">
        <v>1243</v>
      </c>
    </row>
    <row r="1465" spans="1:18" x14ac:dyDescent="0.4">
      <c r="A1465" s="212">
        <v>45979</v>
      </c>
      <c r="B1465" s="139" t="s">
        <v>58</v>
      </c>
      <c r="C1465" s="30" t="s">
        <v>165</v>
      </c>
      <c r="D1465" s="191">
        <v>32</v>
      </c>
      <c r="E1465" s="77">
        <v>3</v>
      </c>
      <c r="F1465" s="76">
        <v>4.1666666666666664E-2</v>
      </c>
      <c r="G1465" s="76">
        <v>0.29166666666666669</v>
      </c>
      <c r="H1465" s="76">
        <v>0.60069444444444442</v>
      </c>
      <c r="I1465" s="173" t="s">
        <v>1406</v>
      </c>
      <c r="J1465" s="23">
        <v>6</v>
      </c>
      <c r="K1465" s="23"/>
      <c r="L1465" s="68">
        <v>0.29166666666666669</v>
      </c>
      <c r="M1465" s="68">
        <v>0.68055555555555547</v>
      </c>
      <c r="N1465" s="173" t="s">
        <v>1465</v>
      </c>
      <c r="O1465" s="23">
        <v>4335</v>
      </c>
      <c r="P1465" s="70">
        <v>0.29166666666666669</v>
      </c>
      <c r="Q1465" s="70">
        <v>0.68055555555555547</v>
      </c>
      <c r="R1465" s="229" t="s">
        <v>1465</v>
      </c>
    </row>
    <row r="1466" spans="1:18" x14ac:dyDescent="0.4">
      <c r="A1466" s="212">
        <v>45980</v>
      </c>
      <c r="B1466" s="139" t="s">
        <v>75</v>
      </c>
      <c r="C1466" s="30" t="s">
        <v>229</v>
      </c>
      <c r="D1466" s="191">
        <v>16</v>
      </c>
      <c r="E1466" s="77">
        <v>5</v>
      </c>
      <c r="F1466" s="1"/>
      <c r="G1466" s="76">
        <v>0.29166666666666669</v>
      </c>
      <c r="H1466" s="76">
        <v>0.40972222222222227</v>
      </c>
      <c r="I1466" s="173" t="s">
        <v>1314</v>
      </c>
      <c r="J1466" s="23">
        <v>3</v>
      </c>
      <c r="K1466" s="68">
        <v>2.0833333333333332E-2</v>
      </c>
      <c r="L1466" s="68">
        <v>0.33333333333333331</v>
      </c>
      <c r="M1466" s="68">
        <v>0.4513888888888889</v>
      </c>
      <c r="N1466" s="173" t="s">
        <v>1250</v>
      </c>
      <c r="O1466" s="23">
        <v>1450</v>
      </c>
      <c r="P1466" s="70">
        <v>0.29166666666666669</v>
      </c>
      <c r="Q1466" s="70">
        <v>0.4513888888888889</v>
      </c>
      <c r="R1466" s="229" t="s">
        <v>1332</v>
      </c>
    </row>
    <row r="1467" spans="1:18" x14ac:dyDescent="0.4">
      <c r="A1467" s="212">
        <v>45980</v>
      </c>
      <c r="B1467" s="139" t="s">
        <v>63</v>
      </c>
      <c r="C1467" s="30" t="s">
        <v>267</v>
      </c>
      <c r="D1467" s="191">
        <v>24</v>
      </c>
      <c r="E1467" s="77">
        <v>5</v>
      </c>
      <c r="F1467" s="1"/>
      <c r="G1467" s="76">
        <v>0.40972222222222227</v>
      </c>
      <c r="H1467" s="76">
        <v>0.66666666666666663</v>
      </c>
      <c r="I1467" s="173" t="s">
        <v>1257</v>
      </c>
      <c r="J1467" s="23">
        <v>3</v>
      </c>
      <c r="K1467" s="23"/>
      <c r="L1467" s="68">
        <v>0.4513888888888889</v>
      </c>
      <c r="M1467" s="68">
        <v>0.6875</v>
      </c>
      <c r="N1467" s="173" t="s">
        <v>1255</v>
      </c>
      <c r="O1467" s="23">
        <v>2390</v>
      </c>
      <c r="P1467" s="70">
        <v>0.40972222222222227</v>
      </c>
      <c r="Q1467" s="70">
        <v>0.6875</v>
      </c>
      <c r="R1467" s="229" t="s">
        <v>1339</v>
      </c>
    </row>
    <row r="1468" spans="1:18" x14ac:dyDescent="0.4">
      <c r="A1468" s="212">
        <v>45980</v>
      </c>
      <c r="B1468" s="139" t="s">
        <v>110</v>
      </c>
      <c r="C1468" s="30" t="s">
        <v>231</v>
      </c>
      <c r="D1468" s="191">
        <v>21</v>
      </c>
      <c r="E1468" s="77">
        <v>4</v>
      </c>
      <c r="F1468" s="1"/>
      <c r="G1468" s="76">
        <v>0.29166666666666669</v>
      </c>
      <c r="H1468" s="76">
        <v>0.66666666666666663</v>
      </c>
      <c r="I1468" s="173" t="s">
        <v>1292</v>
      </c>
      <c r="J1468" s="23">
        <v>7</v>
      </c>
      <c r="K1468" s="23"/>
      <c r="L1468" s="68">
        <v>0.3125</v>
      </c>
      <c r="M1468" s="68">
        <v>0.70833333333333337</v>
      </c>
      <c r="N1468" s="173" t="s">
        <v>990</v>
      </c>
      <c r="O1468" s="23">
        <v>5490</v>
      </c>
      <c r="P1468" s="70">
        <v>0.29166666666666669</v>
      </c>
      <c r="Q1468" s="70">
        <v>0.70833333333333337</v>
      </c>
      <c r="R1468" s="229" t="s">
        <v>1252</v>
      </c>
    </row>
    <row r="1469" spans="1:18" x14ac:dyDescent="0.4">
      <c r="A1469" s="241">
        <v>45980</v>
      </c>
      <c r="B1469" s="139" t="s">
        <v>65</v>
      </c>
      <c r="C1469" s="30" t="s">
        <v>189</v>
      </c>
      <c r="D1469" s="191">
        <v>32</v>
      </c>
      <c r="E1469" s="77">
        <v>3</v>
      </c>
      <c r="F1469" s="76">
        <v>4.1666666666666664E-2</v>
      </c>
      <c r="G1469" s="76">
        <v>0.33333333333333331</v>
      </c>
      <c r="H1469" s="76">
        <v>0.62152777777777779</v>
      </c>
      <c r="I1469" s="173" t="s">
        <v>1334</v>
      </c>
      <c r="J1469" s="23">
        <v>8</v>
      </c>
      <c r="K1469" s="23"/>
      <c r="L1469" s="68">
        <v>0.45833333333333331</v>
      </c>
      <c r="M1469" s="68">
        <v>0.66319444444444442</v>
      </c>
      <c r="N1469" s="173" t="s">
        <v>1359</v>
      </c>
      <c r="O1469" s="23">
        <v>3125</v>
      </c>
      <c r="P1469" s="70">
        <v>0.33333333333333331</v>
      </c>
      <c r="Q1469" s="70">
        <v>0.66319444444444442</v>
      </c>
      <c r="R1469" s="229" t="s">
        <v>1334</v>
      </c>
    </row>
    <row r="1470" spans="1:18" x14ac:dyDescent="0.4">
      <c r="A1470" s="212">
        <v>45980</v>
      </c>
      <c r="B1470" s="139" t="s">
        <v>597</v>
      </c>
      <c r="C1470" s="30" t="s">
        <v>283</v>
      </c>
      <c r="D1470" s="191">
        <v>8</v>
      </c>
      <c r="E1470" s="77">
        <v>3</v>
      </c>
      <c r="F1470" s="1"/>
      <c r="G1470" s="76">
        <v>0.29166666666666669</v>
      </c>
      <c r="H1470" s="76">
        <v>0.34375</v>
      </c>
      <c r="I1470" s="173" t="s">
        <v>1323</v>
      </c>
      <c r="J1470" s="23">
        <v>4</v>
      </c>
      <c r="K1470" s="23"/>
      <c r="L1470" s="68">
        <v>0.29166666666666669</v>
      </c>
      <c r="M1470" s="68">
        <v>0.46527777777777773</v>
      </c>
      <c r="N1470" s="173" t="s">
        <v>1311</v>
      </c>
      <c r="O1470" s="23">
        <v>1225</v>
      </c>
      <c r="P1470" s="70">
        <v>0.29166666666666669</v>
      </c>
      <c r="Q1470" s="70">
        <v>0.46527777777777773</v>
      </c>
      <c r="R1470" s="229" t="s">
        <v>1311</v>
      </c>
    </row>
    <row r="1471" spans="1:18" x14ac:dyDescent="0.4">
      <c r="A1471" s="246">
        <v>45980</v>
      </c>
      <c r="B1471" s="102">
        <v>151010</v>
      </c>
      <c r="C1471" s="136" t="s">
        <v>482</v>
      </c>
      <c r="D1471" s="193">
        <v>1</v>
      </c>
      <c r="E1471" s="103"/>
      <c r="F1471" s="104"/>
      <c r="G1471" s="184"/>
      <c r="H1471" s="184"/>
      <c r="I1471" s="225" t="s">
        <v>1002</v>
      </c>
      <c r="J1471" s="105"/>
      <c r="K1471" s="105"/>
      <c r="L1471" s="106"/>
      <c r="M1471" s="106"/>
      <c r="N1471" s="225" t="s">
        <v>1002</v>
      </c>
      <c r="O1471" s="105">
        <v>0</v>
      </c>
      <c r="P1471" s="247">
        <v>0</v>
      </c>
      <c r="Q1471" s="247">
        <v>0</v>
      </c>
      <c r="R1471" s="232" t="s">
        <v>1002</v>
      </c>
    </row>
    <row r="1472" spans="1:18" x14ac:dyDescent="0.4">
      <c r="A1472" s="212">
        <v>45981</v>
      </c>
      <c r="B1472" s="139" t="s">
        <v>114</v>
      </c>
      <c r="C1472" s="30" t="s">
        <v>161</v>
      </c>
      <c r="D1472" s="191">
        <v>15</v>
      </c>
      <c r="E1472" s="77">
        <v>4</v>
      </c>
      <c r="F1472" s="1"/>
      <c r="G1472" s="76">
        <v>0.29166666666666669</v>
      </c>
      <c r="H1472" s="76">
        <v>0.5</v>
      </c>
      <c r="I1472" s="173" t="s">
        <v>1327</v>
      </c>
      <c r="J1472" s="23">
        <v>13</v>
      </c>
      <c r="K1472" s="23"/>
      <c r="L1472" s="68">
        <v>0.3125</v>
      </c>
      <c r="M1472" s="68">
        <v>0.5</v>
      </c>
      <c r="N1472" s="173" t="s">
        <v>1243</v>
      </c>
      <c r="O1472" s="23">
        <v>4710</v>
      </c>
      <c r="P1472" s="70">
        <v>0.29166666666666669</v>
      </c>
      <c r="Q1472" s="70">
        <v>0.5</v>
      </c>
      <c r="R1472" s="229" t="s">
        <v>1327</v>
      </c>
    </row>
    <row r="1473" spans="1:18" x14ac:dyDescent="0.4">
      <c r="A1473" s="212">
        <v>45981</v>
      </c>
      <c r="B1473" s="139" t="s">
        <v>106</v>
      </c>
      <c r="C1473" s="30" t="s">
        <v>173</v>
      </c>
      <c r="D1473" s="191">
        <v>16</v>
      </c>
      <c r="E1473" s="77">
        <v>5</v>
      </c>
      <c r="F1473" s="1"/>
      <c r="G1473" s="76">
        <v>0.54166666666666663</v>
      </c>
      <c r="H1473" s="76">
        <v>0.72916666666666663</v>
      </c>
      <c r="I1473" s="173" t="s">
        <v>1243</v>
      </c>
      <c r="J1473" s="23">
        <v>9</v>
      </c>
      <c r="K1473" s="23"/>
      <c r="L1473" s="68">
        <v>0.54166666666666663</v>
      </c>
      <c r="M1473" s="68">
        <v>0.72916666666666663</v>
      </c>
      <c r="N1473" s="173" t="s">
        <v>1243</v>
      </c>
      <c r="O1473" s="23">
        <v>3780</v>
      </c>
      <c r="P1473" s="70">
        <v>0.54166666666666663</v>
      </c>
      <c r="Q1473" s="70">
        <v>0.72916666666666663</v>
      </c>
      <c r="R1473" s="229" t="s">
        <v>1243</v>
      </c>
    </row>
    <row r="1474" spans="1:18" x14ac:dyDescent="0.4">
      <c r="A1474" s="212">
        <v>45981</v>
      </c>
      <c r="B1474" s="139" t="s">
        <v>965</v>
      </c>
      <c r="C1474" s="30" t="s">
        <v>966</v>
      </c>
      <c r="D1474" s="191">
        <v>16</v>
      </c>
      <c r="E1474" s="77">
        <v>5</v>
      </c>
      <c r="F1474" s="1"/>
      <c r="G1474" s="76">
        <v>0.37361111111111112</v>
      </c>
      <c r="H1474" s="76">
        <v>0.5</v>
      </c>
      <c r="I1474" s="173" t="s">
        <v>1431</v>
      </c>
      <c r="J1474" s="23">
        <v>3</v>
      </c>
      <c r="K1474" s="23"/>
      <c r="L1474" s="68">
        <v>0.40277777777777773</v>
      </c>
      <c r="M1474" s="68">
        <v>0.56597222222222221</v>
      </c>
      <c r="N1474" s="173" t="s">
        <v>1326</v>
      </c>
      <c r="O1474" s="23">
        <v>1435</v>
      </c>
      <c r="P1474" s="70">
        <v>0.37361111111111112</v>
      </c>
      <c r="Q1474" s="70">
        <v>0.56597222222222221</v>
      </c>
      <c r="R1474" s="229" t="s">
        <v>1563</v>
      </c>
    </row>
    <row r="1475" spans="1:18" x14ac:dyDescent="0.4">
      <c r="A1475" s="212">
        <v>45981</v>
      </c>
      <c r="B1475" s="139" t="s">
        <v>63</v>
      </c>
      <c r="C1475" s="30" t="s">
        <v>267</v>
      </c>
      <c r="D1475" s="191">
        <v>16</v>
      </c>
      <c r="E1475" s="77">
        <v>5</v>
      </c>
      <c r="F1475" s="1"/>
      <c r="G1475" s="76">
        <v>0.54166666666666663</v>
      </c>
      <c r="H1475" s="76">
        <v>0.6875</v>
      </c>
      <c r="I1475" s="173" t="s">
        <v>1303</v>
      </c>
      <c r="J1475" s="23">
        <v>3</v>
      </c>
      <c r="K1475" s="23"/>
      <c r="L1475" s="68">
        <v>0.56597222222222221</v>
      </c>
      <c r="M1475" s="68">
        <v>0.6875</v>
      </c>
      <c r="N1475" s="173" t="s">
        <v>1326</v>
      </c>
      <c r="O1475" s="23">
        <v>1575</v>
      </c>
      <c r="P1475" s="70">
        <v>0.54166666666666663</v>
      </c>
      <c r="Q1475" s="70">
        <v>0.6875</v>
      </c>
      <c r="R1475" s="229" t="s">
        <v>1303</v>
      </c>
    </row>
    <row r="1476" spans="1:18" x14ac:dyDescent="0.4">
      <c r="A1476" s="212">
        <v>45981</v>
      </c>
      <c r="B1476" s="139" t="s">
        <v>133</v>
      </c>
      <c r="C1476" s="30" t="s">
        <v>271</v>
      </c>
      <c r="D1476" s="191">
        <v>6</v>
      </c>
      <c r="E1476" s="77">
        <v>5</v>
      </c>
      <c r="F1476" s="1"/>
      <c r="G1476" s="76">
        <v>0.29166666666666669</v>
      </c>
      <c r="H1476" s="76">
        <v>0.37361111111111112</v>
      </c>
      <c r="I1476" s="173" t="s">
        <v>1411</v>
      </c>
      <c r="J1476" s="23">
        <v>3</v>
      </c>
      <c r="K1476" s="23"/>
      <c r="L1476" s="68">
        <v>0.3125</v>
      </c>
      <c r="M1476" s="68">
        <v>0.40277777777777773</v>
      </c>
      <c r="N1476" s="173" t="s">
        <v>1248</v>
      </c>
      <c r="O1476" s="23">
        <v>980</v>
      </c>
      <c r="P1476" s="70">
        <v>0.29166666666666669</v>
      </c>
      <c r="Q1476" s="70">
        <v>0.40277777777777773</v>
      </c>
      <c r="R1476" s="229" t="s">
        <v>1325</v>
      </c>
    </row>
    <row r="1477" spans="1:18" x14ac:dyDescent="0.4">
      <c r="A1477" s="212">
        <v>45981</v>
      </c>
      <c r="B1477" s="139" t="s">
        <v>104</v>
      </c>
      <c r="C1477" s="30" t="s">
        <v>191</v>
      </c>
      <c r="D1477" s="191">
        <v>60</v>
      </c>
      <c r="E1477" s="77">
        <v>4</v>
      </c>
      <c r="F1477" s="76">
        <v>2.0833333333333332E-2</v>
      </c>
      <c r="G1477" s="76">
        <v>0.29166666666666669</v>
      </c>
      <c r="H1477" s="76">
        <v>0.61111111111111105</v>
      </c>
      <c r="I1477" s="173" t="s">
        <v>1403</v>
      </c>
      <c r="J1477" s="23">
        <v>4</v>
      </c>
      <c r="K1477" s="23"/>
      <c r="L1477" s="68">
        <v>0.29166666666666669</v>
      </c>
      <c r="M1477" s="68">
        <v>0.66319444444444442</v>
      </c>
      <c r="N1477" s="173" t="s">
        <v>1616</v>
      </c>
      <c r="O1477" s="23">
        <v>3620</v>
      </c>
      <c r="P1477" s="70">
        <v>0.29166666666666669</v>
      </c>
      <c r="Q1477" s="70">
        <v>0.66319444444444442</v>
      </c>
      <c r="R1477" s="229" t="s">
        <v>1616</v>
      </c>
    </row>
    <row r="1478" spans="1:18" x14ac:dyDescent="0.4">
      <c r="A1478" s="212">
        <v>45982</v>
      </c>
      <c r="B1478" s="139" t="s">
        <v>54</v>
      </c>
      <c r="C1478" s="30" t="s">
        <v>251</v>
      </c>
      <c r="D1478" s="173">
        <v>30</v>
      </c>
      <c r="E1478" s="77">
        <v>4</v>
      </c>
      <c r="F1478" s="1"/>
      <c r="G1478" s="76">
        <v>0.38055555555555554</v>
      </c>
      <c r="H1478" s="76">
        <v>0.66666666666666663</v>
      </c>
      <c r="I1478" s="173" t="s">
        <v>1432</v>
      </c>
      <c r="J1478" s="23">
        <v>3</v>
      </c>
      <c r="K1478" s="68">
        <v>1.0416666666666666E-2</v>
      </c>
      <c r="L1478" s="68">
        <v>0.40972222222222227</v>
      </c>
      <c r="M1478" s="68">
        <v>0.72916666666666663</v>
      </c>
      <c r="N1478" s="173" t="s">
        <v>1334</v>
      </c>
      <c r="O1478" s="23">
        <v>2653</v>
      </c>
      <c r="P1478" s="70">
        <v>0.38055555555555554</v>
      </c>
      <c r="Q1478" s="70">
        <v>0.72916666666666663</v>
      </c>
      <c r="R1478" s="229" t="s">
        <v>1654</v>
      </c>
    </row>
    <row r="1479" spans="1:18" x14ac:dyDescent="0.4">
      <c r="A1479" s="212">
        <v>45982</v>
      </c>
      <c r="B1479" s="139" t="s">
        <v>1045</v>
      </c>
      <c r="C1479" s="30" t="s">
        <v>1056</v>
      </c>
      <c r="D1479" s="173">
        <v>6</v>
      </c>
      <c r="E1479" s="77">
        <v>5</v>
      </c>
      <c r="F1479" s="1"/>
      <c r="G1479" s="76">
        <v>0.29166666666666669</v>
      </c>
      <c r="H1479" s="76">
        <v>0.36805555555555558</v>
      </c>
      <c r="I1479" s="173" t="s">
        <v>1377</v>
      </c>
      <c r="J1479" s="23">
        <v>3</v>
      </c>
      <c r="K1479" s="68">
        <v>1.0416666666666666E-2</v>
      </c>
      <c r="L1479" s="68">
        <v>0.3125</v>
      </c>
      <c r="M1479" s="68">
        <v>0.40972222222222227</v>
      </c>
      <c r="N1479" s="173" t="s">
        <v>1301</v>
      </c>
      <c r="O1479" s="23">
        <v>1015</v>
      </c>
      <c r="P1479" s="70">
        <v>0.29166666666666669</v>
      </c>
      <c r="Q1479" s="70">
        <v>0.40972222222222227</v>
      </c>
      <c r="R1479" s="229" t="s">
        <v>1314</v>
      </c>
    </row>
    <row r="1480" spans="1:18" x14ac:dyDescent="0.4">
      <c r="A1480" s="212">
        <v>45982</v>
      </c>
      <c r="B1480" s="139" t="s">
        <v>55</v>
      </c>
      <c r="C1480" s="30" t="s">
        <v>208</v>
      </c>
      <c r="D1480" s="173">
        <v>20</v>
      </c>
      <c r="E1480" s="77">
        <v>5</v>
      </c>
      <c r="F1480" s="1"/>
      <c r="G1480" s="76">
        <v>0.39930555555555558</v>
      </c>
      <c r="H1480" s="76">
        <v>0.64583333333333337</v>
      </c>
      <c r="I1480" s="173" t="s">
        <v>1305</v>
      </c>
      <c r="J1480" s="23">
        <v>4</v>
      </c>
      <c r="K1480" s="23"/>
      <c r="L1480" s="68">
        <v>0.42708333333333331</v>
      </c>
      <c r="M1480" s="68">
        <v>0.65972222222222221</v>
      </c>
      <c r="N1480" s="173" t="s">
        <v>1304</v>
      </c>
      <c r="O1480" s="23">
        <v>2575</v>
      </c>
      <c r="P1480" s="70">
        <v>0.39930555555555558</v>
      </c>
      <c r="Q1480" s="70">
        <v>0.65972222222222221</v>
      </c>
      <c r="R1480" s="229" t="s">
        <v>1401</v>
      </c>
    </row>
    <row r="1481" spans="1:18" x14ac:dyDescent="0.4">
      <c r="A1481" s="212">
        <v>45982</v>
      </c>
      <c r="B1481" s="139" t="s">
        <v>117</v>
      </c>
      <c r="C1481" s="30" t="s">
        <v>304</v>
      </c>
      <c r="D1481" s="173">
        <v>12</v>
      </c>
      <c r="E1481" s="77">
        <v>5</v>
      </c>
      <c r="F1481" s="1"/>
      <c r="G1481" s="76">
        <v>0.29166666666666669</v>
      </c>
      <c r="H1481" s="76">
        <v>0.39930555555555558</v>
      </c>
      <c r="I1481" s="173" t="s">
        <v>1301</v>
      </c>
      <c r="J1481" s="23">
        <v>4</v>
      </c>
      <c r="K1481" s="23"/>
      <c r="L1481" s="68">
        <v>0.3125</v>
      </c>
      <c r="M1481" s="68">
        <v>0.42708333333333331</v>
      </c>
      <c r="N1481" s="173" t="s">
        <v>1315</v>
      </c>
      <c r="O1481" s="23">
        <v>1435</v>
      </c>
      <c r="P1481" s="70">
        <v>0.29166666666666669</v>
      </c>
      <c r="Q1481" s="70">
        <v>0.42708333333333331</v>
      </c>
      <c r="R1481" s="229" t="s">
        <v>1391</v>
      </c>
    </row>
    <row r="1482" spans="1:18" x14ac:dyDescent="0.4">
      <c r="A1482" s="212">
        <v>45982</v>
      </c>
      <c r="B1482" s="139" t="s">
        <v>661</v>
      </c>
      <c r="C1482" s="30" t="s">
        <v>645</v>
      </c>
      <c r="D1482" s="173">
        <v>6</v>
      </c>
      <c r="E1482" s="77">
        <v>5</v>
      </c>
      <c r="F1482" s="1"/>
      <c r="G1482" s="76">
        <v>0.64583333333333337</v>
      </c>
      <c r="H1482" s="76">
        <v>0.70833333333333337</v>
      </c>
      <c r="I1482" s="173" t="s">
        <v>1375</v>
      </c>
      <c r="J1482" s="23">
        <v>4</v>
      </c>
      <c r="K1482" s="23"/>
      <c r="L1482" s="68">
        <v>0.65972222222222221</v>
      </c>
      <c r="M1482" s="68">
        <v>0.72916666666666663</v>
      </c>
      <c r="N1482" s="173" t="s">
        <v>1386</v>
      </c>
      <c r="O1482" s="23">
        <v>850</v>
      </c>
      <c r="P1482" s="70">
        <v>0.64583333333333337</v>
      </c>
      <c r="Q1482" s="70">
        <v>0.72916666666666663</v>
      </c>
      <c r="R1482" s="229" t="s">
        <v>1296</v>
      </c>
    </row>
    <row r="1483" spans="1:18" x14ac:dyDescent="0.4">
      <c r="A1483" s="212">
        <v>45982</v>
      </c>
      <c r="B1483" s="139" t="s">
        <v>82</v>
      </c>
      <c r="C1483" s="30" t="s">
        <v>171</v>
      </c>
      <c r="D1483" s="173">
        <v>36</v>
      </c>
      <c r="E1483" s="77">
        <v>3</v>
      </c>
      <c r="F1483" s="76">
        <v>2.0833333333333332E-2</v>
      </c>
      <c r="G1483" s="76">
        <v>0.29166666666666669</v>
      </c>
      <c r="H1483" s="76">
        <v>0.625</v>
      </c>
      <c r="I1483" s="173" t="s">
        <v>1309</v>
      </c>
      <c r="J1483" s="23">
        <v>7</v>
      </c>
      <c r="K1483" s="23"/>
      <c r="L1483" s="68">
        <v>0.29166666666666669</v>
      </c>
      <c r="M1483" s="68">
        <v>0.71527777777777779</v>
      </c>
      <c r="N1483" s="173" t="s">
        <v>1352</v>
      </c>
      <c r="O1483" s="23">
        <v>5200</v>
      </c>
      <c r="P1483" s="70">
        <v>0.29166666666666669</v>
      </c>
      <c r="Q1483" s="70">
        <v>0.71527777777777779</v>
      </c>
      <c r="R1483" s="229" t="s">
        <v>1352</v>
      </c>
    </row>
    <row r="1484" spans="1:18" x14ac:dyDescent="0.4">
      <c r="A1484" s="212">
        <v>45985</v>
      </c>
      <c r="B1484" s="139" t="s">
        <v>91</v>
      </c>
      <c r="C1484" s="30" t="s">
        <v>163</v>
      </c>
      <c r="D1484" s="296">
        <v>20</v>
      </c>
      <c r="E1484" s="77">
        <v>4</v>
      </c>
      <c r="F1484" s="1"/>
      <c r="G1484" s="76">
        <v>0.39374999999999999</v>
      </c>
      <c r="H1484" s="76">
        <v>0.66666666666666663</v>
      </c>
      <c r="I1484" s="173" t="s">
        <v>1627</v>
      </c>
      <c r="J1484" s="23">
        <v>9</v>
      </c>
      <c r="K1484" s="23"/>
      <c r="L1484" s="68">
        <v>0.4375</v>
      </c>
      <c r="M1484" s="68">
        <v>0.70833333333333337</v>
      </c>
      <c r="N1484" s="173" t="s">
        <v>1320</v>
      </c>
      <c r="O1484" s="23">
        <v>4302</v>
      </c>
      <c r="P1484" s="70">
        <v>0.39374999999999999</v>
      </c>
      <c r="Q1484" s="70">
        <v>0.70833333333333337</v>
      </c>
      <c r="R1484" s="229" t="s">
        <v>1549</v>
      </c>
    </row>
    <row r="1485" spans="1:18" x14ac:dyDescent="0.4">
      <c r="A1485" s="212">
        <v>45985</v>
      </c>
      <c r="B1485" s="139" t="s">
        <v>158</v>
      </c>
      <c r="C1485" s="30" t="s">
        <v>159</v>
      </c>
      <c r="D1485" s="296">
        <v>4</v>
      </c>
      <c r="E1485" s="77">
        <v>4</v>
      </c>
      <c r="F1485" s="1"/>
      <c r="G1485" s="76">
        <v>0.29166666666666669</v>
      </c>
      <c r="H1485" s="76">
        <v>0.37847222222222227</v>
      </c>
      <c r="I1485" s="173" t="s">
        <v>1249</v>
      </c>
      <c r="J1485" s="23">
        <v>9</v>
      </c>
      <c r="K1485" s="23"/>
      <c r="L1485" s="68">
        <v>0.29166666666666669</v>
      </c>
      <c r="M1485" s="68">
        <v>0.4375</v>
      </c>
      <c r="N1485" s="173" t="s">
        <v>1303</v>
      </c>
      <c r="O1485" s="23">
        <v>2390</v>
      </c>
      <c r="P1485" s="70">
        <v>0.29166666666666669</v>
      </c>
      <c r="Q1485" s="70">
        <v>0.4375</v>
      </c>
      <c r="R1485" s="229" t="s">
        <v>1303</v>
      </c>
    </row>
    <row r="1486" spans="1:18" x14ac:dyDescent="0.4">
      <c r="A1486" s="212">
        <v>45985</v>
      </c>
      <c r="B1486" s="139" t="s">
        <v>63</v>
      </c>
      <c r="C1486" s="30" t="s">
        <v>267</v>
      </c>
      <c r="D1486" s="296">
        <v>24</v>
      </c>
      <c r="E1486" s="77">
        <v>5</v>
      </c>
      <c r="F1486" s="1"/>
      <c r="G1486" s="76">
        <v>0.4597222222222222</v>
      </c>
      <c r="H1486" s="76">
        <v>0.6875</v>
      </c>
      <c r="I1486" s="173" t="s">
        <v>1588</v>
      </c>
      <c r="J1486" s="23">
        <v>3</v>
      </c>
      <c r="K1486" s="23"/>
      <c r="L1486" s="68">
        <v>0.47916666666666669</v>
      </c>
      <c r="M1486" s="68">
        <v>0.6875</v>
      </c>
      <c r="N1486" s="173" t="s">
        <v>1244</v>
      </c>
      <c r="O1486" s="23">
        <v>2060</v>
      </c>
      <c r="P1486" s="70">
        <v>0.4597222222222222</v>
      </c>
      <c r="Q1486" s="70">
        <v>0.6875</v>
      </c>
      <c r="R1486" s="229" t="s">
        <v>1588</v>
      </c>
    </row>
    <row r="1487" spans="1:18" x14ac:dyDescent="0.4">
      <c r="A1487" s="212">
        <v>45985</v>
      </c>
      <c r="B1487" s="139" t="s">
        <v>128</v>
      </c>
      <c r="C1487" s="30" t="s">
        <v>312</v>
      </c>
      <c r="D1487" s="296">
        <v>8</v>
      </c>
      <c r="E1487" s="77">
        <v>5</v>
      </c>
      <c r="F1487" s="1"/>
      <c r="G1487" s="76">
        <v>0.36874999999999997</v>
      </c>
      <c r="H1487" s="76">
        <v>0.4368055555555555</v>
      </c>
      <c r="I1487" s="173" t="s">
        <v>1385</v>
      </c>
      <c r="J1487" s="23">
        <v>3</v>
      </c>
      <c r="K1487" s="23"/>
      <c r="L1487" s="68">
        <v>0.39583333333333331</v>
      </c>
      <c r="M1487" s="68">
        <v>0.45833333333333331</v>
      </c>
      <c r="N1487" s="173" t="s">
        <v>1375</v>
      </c>
      <c r="O1487" s="23">
        <v>760</v>
      </c>
      <c r="P1487" s="70">
        <v>0.36874999999999997</v>
      </c>
      <c r="Q1487" s="70">
        <v>0.45833333333333331</v>
      </c>
      <c r="R1487" s="229" t="s">
        <v>1655</v>
      </c>
    </row>
    <row r="1488" spans="1:18" x14ac:dyDescent="0.4">
      <c r="A1488" s="212">
        <v>45985</v>
      </c>
      <c r="B1488" s="139" t="s">
        <v>984</v>
      </c>
      <c r="C1488" s="30" t="s">
        <v>245</v>
      </c>
      <c r="D1488" s="296">
        <v>6</v>
      </c>
      <c r="E1488" s="77">
        <v>5</v>
      </c>
      <c r="F1488" s="1"/>
      <c r="G1488" s="76">
        <v>0.29166666666666669</v>
      </c>
      <c r="H1488" s="76">
        <v>0.36874999999999997</v>
      </c>
      <c r="I1488" s="173" t="s">
        <v>1656</v>
      </c>
      <c r="J1488" s="23">
        <v>3</v>
      </c>
      <c r="K1488" s="23"/>
      <c r="L1488" s="68">
        <v>0.3125</v>
      </c>
      <c r="M1488" s="68">
        <v>0.39583333333333331</v>
      </c>
      <c r="N1488" s="173" t="s">
        <v>1296</v>
      </c>
      <c r="O1488" s="23">
        <v>915</v>
      </c>
      <c r="P1488" s="70">
        <v>0.29166666666666669</v>
      </c>
      <c r="Q1488" s="70">
        <v>0.39583333333333331</v>
      </c>
      <c r="R1488" s="229" t="s">
        <v>1298</v>
      </c>
    </row>
    <row r="1489" spans="1:18" x14ac:dyDescent="0.4">
      <c r="A1489" s="212">
        <v>45985</v>
      </c>
      <c r="B1489" s="139" t="s">
        <v>76</v>
      </c>
      <c r="C1489" s="30" t="s">
        <v>224</v>
      </c>
      <c r="D1489" s="296">
        <v>0.5</v>
      </c>
      <c r="E1489" s="77">
        <v>5</v>
      </c>
      <c r="F1489" s="1"/>
      <c r="G1489" s="76">
        <v>0.4368055555555555</v>
      </c>
      <c r="H1489" s="76">
        <v>0.4597222222222222</v>
      </c>
      <c r="I1489" s="173" t="s">
        <v>1657</v>
      </c>
      <c r="J1489" s="23">
        <v>3</v>
      </c>
      <c r="K1489" s="23"/>
      <c r="L1489" s="68">
        <v>0.45833333333333331</v>
      </c>
      <c r="M1489" s="68">
        <v>0.47916666666666669</v>
      </c>
      <c r="N1489" s="173" t="s">
        <v>1444</v>
      </c>
      <c r="O1489" s="23">
        <v>255</v>
      </c>
      <c r="P1489" s="70">
        <v>0.4368055555555555</v>
      </c>
      <c r="Q1489" s="70">
        <v>0.47916666666666669</v>
      </c>
      <c r="R1489" s="229" t="s">
        <v>1472</v>
      </c>
    </row>
    <row r="1490" spans="1:18" x14ac:dyDescent="0.4">
      <c r="A1490" s="212">
        <v>45985</v>
      </c>
      <c r="B1490" s="139" t="s">
        <v>65</v>
      </c>
      <c r="C1490" s="30" t="s">
        <v>189</v>
      </c>
      <c r="D1490" s="296">
        <v>64</v>
      </c>
      <c r="E1490" s="77">
        <v>3</v>
      </c>
      <c r="F1490" s="76">
        <v>2.0833333333333332E-2</v>
      </c>
      <c r="G1490" s="76">
        <v>0.29166666666666669</v>
      </c>
      <c r="H1490" s="76">
        <v>0.63541666666666663</v>
      </c>
      <c r="I1490" s="173" t="s">
        <v>1453</v>
      </c>
      <c r="J1490" s="23">
        <v>4</v>
      </c>
      <c r="K1490" s="23"/>
      <c r="L1490" s="68">
        <v>0.29166666666666669</v>
      </c>
      <c r="M1490" s="68">
        <v>0.68055555555555547</v>
      </c>
      <c r="N1490" s="173" t="s">
        <v>1465</v>
      </c>
      <c r="O1490" s="23">
        <v>3395</v>
      </c>
      <c r="P1490" s="70">
        <v>0.29166666666666669</v>
      </c>
      <c r="Q1490" s="70">
        <v>0.68055555555555547</v>
      </c>
      <c r="R1490" s="229" t="s">
        <v>1465</v>
      </c>
    </row>
    <row r="1491" spans="1:18" x14ac:dyDescent="0.4">
      <c r="A1491" s="246">
        <v>45985</v>
      </c>
      <c r="B1491" s="102">
        <v>153010</v>
      </c>
      <c r="C1491" s="136" t="s">
        <v>484</v>
      </c>
      <c r="D1491" s="298">
        <v>1</v>
      </c>
      <c r="E1491" s="103"/>
      <c r="F1491" s="104"/>
      <c r="G1491" s="184"/>
      <c r="H1491" s="184"/>
      <c r="I1491" s="225" t="s">
        <v>1002</v>
      </c>
      <c r="J1491" s="105"/>
      <c r="K1491" s="105"/>
      <c r="L1491" s="106"/>
      <c r="M1491" s="106"/>
      <c r="N1491" s="225" t="s">
        <v>1002</v>
      </c>
      <c r="O1491" s="105">
        <v>0</v>
      </c>
      <c r="P1491" s="247">
        <v>0</v>
      </c>
      <c r="Q1491" s="247">
        <v>0</v>
      </c>
      <c r="R1491" s="232" t="s">
        <v>1002</v>
      </c>
    </row>
    <row r="1492" spans="1:18" x14ac:dyDescent="0.4">
      <c r="A1492" s="212">
        <v>45986</v>
      </c>
      <c r="B1492" s="139" t="s">
        <v>71</v>
      </c>
      <c r="C1492" s="30" t="s">
        <v>176</v>
      </c>
      <c r="D1492" s="296">
        <v>68</v>
      </c>
      <c r="E1492" s="77">
        <v>6</v>
      </c>
      <c r="F1492" s="1"/>
      <c r="G1492" s="76">
        <v>0.29166666666666669</v>
      </c>
      <c r="H1492" s="76">
        <v>0.72916666666666663</v>
      </c>
      <c r="I1492" s="173" t="s">
        <v>1247</v>
      </c>
      <c r="J1492" s="23">
        <v>5</v>
      </c>
      <c r="K1492" s="23"/>
      <c r="L1492" s="68">
        <v>0.3125</v>
      </c>
      <c r="M1492" s="68">
        <v>0.70833333333333337</v>
      </c>
      <c r="N1492" s="173" t="s">
        <v>990</v>
      </c>
      <c r="O1492" s="23">
        <v>5970</v>
      </c>
      <c r="P1492" s="70">
        <v>0.29166666666666669</v>
      </c>
      <c r="Q1492" s="70">
        <v>0.72916666666666663</v>
      </c>
      <c r="R1492" s="229" t="s">
        <v>1247</v>
      </c>
    </row>
    <row r="1493" spans="1:18" x14ac:dyDescent="0.4">
      <c r="A1493" s="212">
        <v>45986</v>
      </c>
      <c r="B1493" s="139" t="s">
        <v>64</v>
      </c>
      <c r="C1493" s="30" t="s">
        <v>271</v>
      </c>
      <c r="D1493" s="296">
        <v>24</v>
      </c>
      <c r="E1493" s="77">
        <v>5</v>
      </c>
      <c r="F1493" s="1"/>
      <c r="G1493" s="76">
        <v>0.29166666666666669</v>
      </c>
      <c r="H1493" s="76">
        <v>0.5</v>
      </c>
      <c r="I1493" s="173" t="s">
        <v>1327</v>
      </c>
      <c r="J1493" s="23">
        <v>3</v>
      </c>
      <c r="K1493" s="23"/>
      <c r="L1493" s="68">
        <v>0.3125</v>
      </c>
      <c r="M1493" s="68">
        <v>0.5625</v>
      </c>
      <c r="N1493" s="173" t="s">
        <v>1327</v>
      </c>
      <c r="O1493" s="23">
        <v>2400</v>
      </c>
      <c r="P1493" s="70">
        <v>0.29166666666666669</v>
      </c>
      <c r="Q1493" s="70">
        <v>0.5625</v>
      </c>
      <c r="R1493" s="229" t="s">
        <v>1320</v>
      </c>
    </row>
    <row r="1494" spans="1:18" x14ac:dyDescent="0.4">
      <c r="A1494" s="212">
        <v>45986</v>
      </c>
      <c r="B1494" s="139" t="s">
        <v>107</v>
      </c>
      <c r="C1494" s="30" t="s">
        <v>314</v>
      </c>
      <c r="D1494" s="296">
        <v>16</v>
      </c>
      <c r="E1494" s="77">
        <v>5</v>
      </c>
      <c r="F1494" s="1"/>
      <c r="G1494" s="76">
        <v>0.54166666666666663</v>
      </c>
      <c r="H1494" s="76">
        <v>0.66666666666666663</v>
      </c>
      <c r="I1494" s="173" t="s">
        <v>1316</v>
      </c>
      <c r="J1494" s="23">
        <v>3</v>
      </c>
      <c r="K1494" s="23"/>
      <c r="L1494" s="68">
        <v>0.5625</v>
      </c>
      <c r="M1494" s="68">
        <v>0.6875</v>
      </c>
      <c r="N1494" s="173" t="s">
        <v>1316</v>
      </c>
      <c r="O1494" s="23">
        <v>1440</v>
      </c>
      <c r="P1494" s="70">
        <v>0.54166666666666663</v>
      </c>
      <c r="Q1494" s="70">
        <v>0.6875</v>
      </c>
      <c r="R1494" s="229" t="s">
        <v>1303</v>
      </c>
    </row>
    <row r="1495" spans="1:18" x14ac:dyDescent="0.4">
      <c r="A1495" s="212">
        <v>45986</v>
      </c>
      <c r="B1495" s="139" t="s">
        <v>96</v>
      </c>
      <c r="C1495" s="30" t="s">
        <v>167</v>
      </c>
      <c r="D1495" s="296">
        <v>15.44</v>
      </c>
      <c r="E1495" s="77">
        <v>3</v>
      </c>
      <c r="F1495" s="76">
        <v>6.9444444444444441E-3</v>
      </c>
      <c r="G1495" s="76">
        <v>0.31944444444444448</v>
      </c>
      <c r="H1495" s="76">
        <v>0.39930555555555558</v>
      </c>
      <c r="I1495" s="173" t="s">
        <v>1249</v>
      </c>
      <c r="J1495" s="23">
        <v>6</v>
      </c>
      <c r="K1495" s="23"/>
      <c r="L1495" s="68">
        <v>0.3611111111111111</v>
      </c>
      <c r="M1495" s="68">
        <v>0.47222222222222227</v>
      </c>
      <c r="N1495" s="173" t="s">
        <v>1325</v>
      </c>
      <c r="O1495" s="23">
        <v>1335</v>
      </c>
      <c r="P1495" s="70">
        <v>0.31944444444444448</v>
      </c>
      <c r="Q1495" s="70">
        <v>0.47222222222222227</v>
      </c>
      <c r="R1495" s="229" t="s">
        <v>1254</v>
      </c>
    </row>
    <row r="1496" spans="1:18" x14ac:dyDescent="0.4">
      <c r="A1496" s="212">
        <v>45986</v>
      </c>
      <c r="B1496" s="139" t="s">
        <v>1174</v>
      </c>
      <c r="C1496" s="30" t="s">
        <v>280</v>
      </c>
      <c r="D1496" s="296">
        <v>0.56000000000000005</v>
      </c>
      <c r="E1496" s="77">
        <v>3</v>
      </c>
      <c r="F1496" s="76">
        <v>6.9444444444444441E-3</v>
      </c>
      <c r="G1496" s="76">
        <v>0.29166666666666669</v>
      </c>
      <c r="H1496" s="76">
        <v>0.32291666666666669</v>
      </c>
      <c r="I1496" s="173" t="s">
        <v>1447</v>
      </c>
      <c r="J1496" s="23">
        <v>6</v>
      </c>
      <c r="K1496" s="23"/>
      <c r="L1496" s="68">
        <v>0.29166666666666669</v>
      </c>
      <c r="M1496" s="68">
        <v>0.36805555555555558</v>
      </c>
      <c r="N1496" s="173" t="s">
        <v>1377</v>
      </c>
      <c r="O1496" s="23">
        <v>825</v>
      </c>
      <c r="P1496" s="70">
        <v>0.29166666666666669</v>
      </c>
      <c r="Q1496" s="70">
        <v>0.36805555555555558</v>
      </c>
      <c r="R1496" s="229" t="s">
        <v>1377</v>
      </c>
    </row>
    <row r="1497" spans="1:18" x14ac:dyDescent="0.4">
      <c r="A1497" s="212">
        <v>45986</v>
      </c>
      <c r="B1497" s="139" t="s">
        <v>66</v>
      </c>
      <c r="C1497" s="30" t="s">
        <v>195</v>
      </c>
      <c r="D1497" s="296">
        <v>20</v>
      </c>
      <c r="E1497" s="77">
        <v>3</v>
      </c>
      <c r="F1497" s="76">
        <v>6.9444444444444441E-3</v>
      </c>
      <c r="G1497" s="76">
        <v>0.39583333333333331</v>
      </c>
      <c r="H1497" s="76">
        <v>0.62152777777777779</v>
      </c>
      <c r="I1497" s="173" t="s">
        <v>1304</v>
      </c>
      <c r="J1497" s="23">
        <v>4</v>
      </c>
      <c r="K1497" s="23"/>
      <c r="L1497" s="68">
        <v>0.47222222222222227</v>
      </c>
      <c r="M1497" s="68">
        <v>0.70138888888888884</v>
      </c>
      <c r="N1497" s="173" t="s">
        <v>1243</v>
      </c>
      <c r="O1497" s="23">
        <v>1905</v>
      </c>
      <c r="P1497" s="70">
        <v>0.39583333333333331</v>
      </c>
      <c r="Q1497" s="70">
        <v>0.70138888888888884</v>
      </c>
      <c r="R1497" s="229" t="s">
        <v>1353</v>
      </c>
    </row>
    <row r="1498" spans="1:18" x14ac:dyDescent="0.4">
      <c r="A1498" s="212">
        <v>45987</v>
      </c>
      <c r="B1498" s="139" t="s">
        <v>68</v>
      </c>
      <c r="C1498" s="30" t="s">
        <v>185</v>
      </c>
      <c r="D1498" s="296">
        <v>20</v>
      </c>
      <c r="E1498" s="77">
        <v>5</v>
      </c>
      <c r="F1498" s="1"/>
      <c r="G1498" s="76">
        <v>0.29166666666666669</v>
      </c>
      <c r="H1498" s="76">
        <v>0.5</v>
      </c>
      <c r="I1498" s="173" t="s">
        <v>1327</v>
      </c>
      <c r="J1498" s="23">
        <v>5</v>
      </c>
      <c r="K1498" s="23"/>
      <c r="L1498" s="68">
        <v>0.3125</v>
      </c>
      <c r="M1498" s="68">
        <v>0.5</v>
      </c>
      <c r="N1498" s="173" t="s">
        <v>1243</v>
      </c>
      <c r="O1498" s="23">
        <v>2850</v>
      </c>
      <c r="P1498" s="70">
        <v>0.29166666666666669</v>
      </c>
      <c r="Q1498" s="70">
        <v>0.5</v>
      </c>
      <c r="R1498" s="229" t="s">
        <v>1327</v>
      </c>
    </row>
    <row r="1499" spans="1:18" x14ac:dyDescent="0.4">
      <c r="A1499" s="212">
        <v>45987</v>
      </c>
      <c r="B1499" s="139" t="s">
        <v>51</v>
      </c>
      <c r="C1499" s="30" t="s">
        <v>253</v>
      </c>
      <c r="D1499" s="296">
        <v>12</v>
      </c>
      <c r="E1499" s="77">
        <v>4</v>
      </c>
      <c r="F1499" s="1"/>
      <c r="G1499" s="76">
        <v>0.59027777777777779</v>
      </c>
      <c r="H1499" s="76">
        <v>0.70833333333333337</v>
      </c>
      <c r="I1499" s="173" t="s">
        <v>1314</v>
      </c>
      <c r="J1499" s="23">
        <v>3</v>
      </c>
      <c r="K1499" s="23"/>
      <c r="L1499" s="68">
        <v>0.625</v>
      </c>
      <c r="M1499" s="68">
        <v>0.72916666666666663</v>
      </c>
      <c r="N1499" s="173" t="s">
        <v>1298</v>
      </c>
      <c r="O1499" s="23">
        <v>1130</v>
      </c>
      <c r="P1499" s="70">
        <v>0.59027777777777779</v>
      </c>
      <c r="Q1499" s="70">
        <v>0.72916666666666663</v>
      </c>
      <c r="R1499" s="229" t="s">
        <v>1250</v>
      </c>
    </row>
    <row r="1500" spans="1:18" x14ac:dyDescent="0.4">
      <c r="A1500" s="212">
        <v>45987</v>
      </c>
      <c r="B1500" s="139" t="s">
        <v>99</v>
      </c>
      <c r="C1500" s="30" t="s">
        <v>259</v>
      </c>
      <c r="D1500" s="296">
        <v>6</v>
      </c>
      <c r="E1500" s="77">
        <v>4</v>
      </c>
      <c r="F1500" s="1"/>
      <c r="G1500" s="76">
        <v>0.54166666666666663</v>
      </c>
      <c r="H1500" s="76">
        <v>0.59027777777777779</v>
      </c>
      <c r="I1500" s="173" t="s">
        <v>1442</v>
      </c>
      <c r="J1500" s="23">
        <v>4</v>
      </c>
      <c r="K1500" s="23"/>
      <c r="L1500" s="68">
        <v>0.54166666666666663</v>
      </c>
      <c r="M1500" s="68">
        <v>0.625</v>
      </c>
      <c r="N1500" s="173" t="s">
        <v>1296</v>
      </c>
      <c r="O1500" s="23">
        <v>760</v>
      </c>
      <c r="P1500" s="70">
        <v>0.54166666666666663</v>
      </c>
      <c r="Q1500" s="70">
        <v>0.625</v>
      </c>
      <c r="R1500" s="229" t="s">
        <v>1296</v>
      </c>
    </row>
    <row r="1501" spans="1:18" x14ac:dyDescent="0.4">
      <c r="A1501" s="212">
        <v>45987</v>
      </c>
      <c r="B1501" s="139" t="s">
        <v>55</v>
      </c>
      <c r="C1501" s="30" t="s">
        <v>208</v>
      </c>
      <c r="D1501" s="296">
        <v>12</v>
      </c>
      <c r="E1501" s="77">
        <v>5</v>
      </c>
      <c r="F1501" s="1"/>
      <c r="G1501" s="76">
        <v>0.40625</v>
      </c>
      <c r="H1501" s="76">
        <v>0.5625</v>
      </c>
      <c r="I1501" s="173" t="s">
        <v>1315</v>
      </c>
      <c r="J1501" s="23">
        <v>4</v>
      </c>
      <c r="K1501" s="23"/>
      <c r="L1501" s="68">
        <v>0.44444444444444442</v>
      </c>
      <c r="M1501" s="68">
        <v>0.60416666666666663</v>
      </c>
      <c r="N1501" s="173" t="s">
        <v>1314</v>
      </c>
      <c r="O1501" s="23">
        <v>1505</v>
      </c>
      <c r="P1501" s="70">
        <v>0.40625</v>
      </c>
      <c r="Q1501" s="70">
        <v>0.60416666666666663</v>
      </c>
      <c r="R1501" s="229" t="s">
        <v>1380</v>
      </c>
    </row>
    <row r="1502" spans="1:18" x14ac:dyDescent="0.4">
      <c r="A1502" s="212">
        <v>45987</v>
      </c>
      <c r="B1502" s="139" t="s">
        <v>115</v>
      </c>
      <c r="C1502" s="30" t="s">
        <v>214</v>
      </c>
      <c r="D1502" s="296">
        <v>12</v>
      </c>
      <c r="E1502" s="77">
        <v>5</v>
      </c>
      <c r="F1502" s="1"/>
      <c r="G1502" s="76">
        <v>0.5625</v>
      </c>
      <c r="H1502" s="76">
        <v>0.6875</v>
      </c>
      <c r="I1502" s="173" t="s">
        <v>1316</v>
      </c>
      <c r="J1502" s="23">
        <v>4</v>
      </c>
      <c r="K1502" s="23"/>
      <c r="L1502" s="68">
        <v>0.60416666666666663</v>
      </c>
      <c r="M1502" s="68">
        <v>0.72916666666666663</v>
      </c>
      <c r="N1502" s="173" t="s">
        <v>1316</v>
      </c>
      <c r="O1502" s="23">
        <v>1620</v>
      </c>
      <c r="P1502" s="70">
        <v>0.5625</v>
      </c>
      <c r="Q1502" s="70">
        <v>0.72916666666666663</v>
      </c>
      <c r="R1502" s="229" t="s">
        <v>1244</v>
      </c>
    </row>
    <row r="1503" spans="1:18" x14ac:dyDescent="0.4">
      <c r="A1503" s="212">
        <v>45987</v>
      </c>
      <c r="B1503" s="139" t="s">
        <v>130</v>
      </c>
      <c r="C1503" s="30" t="s">
        <v>216</v>
      </c>
      <c r="D1503" s="296">
        <v>12</v>
      </c>
      <c r="E1503" s="77">
        <v>5</v>
      </c>
      <c r="F1503" s="1"/>
      <c r="G1503" s="76">
        <v>0.29166666666666669</v>
      </c>
      <c r="H1503" s="76">
        <v>0.40625</v>
      </c>
      <c r="I1503" s="173" t="s">
        <v>1315</v>
      </c>
      <c r="J1503" s="23">
        <v>4</v>
      </c>
      <c r="K1503" s="23"/>
      <c r="L1503" s="68">
        <v>0.3125</v>
      </c>
      <c r="M1503" s="68">
        <v>0.44444444444444442</v>
      </c>
      <c r="N1503" s="173" t="s">
        <v>1256</v>
      </c>
      <c r="O1503" s="23">
        <v>1585</v>
      </c>
      <c r="P1503" s="70">
        <v>0.29166666666666669</v>
      </c>
      <c r="Q1503" s="70">
        <v>0.44444444444444442</v>
      </c>
      <c r="R1503" s="229" t="s">
        <v>1254</v>
      </c>
    </row>
    <row r="1504" spans="1:18" x14ac:dyDescent="0.4">
      <c r="A1504" s="212">
        <v>45987</v>
      </c>
      <c r="B1504" s="139" t="s">
        <v>83</v>
      </c>
      <c r="C1504" s="30" t="s">
        <v>169</v>
      </c>
      <c r="D1504" s="296">
        <v>8</v>
      </c>
      <c r="E1504" s="77">
        <v>4</v>
      </c>
      <c r="F1504" s="76">
        <v>1.0416666666666666E-2</v>
      </c>
      <c r="G1504" s="76">
        <v>0.29166666666666669</v>
      </c>
      <c r="H1504" s="76">
        <v>0.34027777777777773</v>
      </c>
      <c r="I1504" s="173" t="s">
        <v>1534</v>
      </c>
      <c r="J1504" s="23">
        <v>7</v>
      </c>
      <c r="K1504" s="23"/>
      <c r="L1504" s="68">
        <v>0.29166666666666669</v>
      </c>
      <c r="M1504" s="68">
        <v>0.4236111111111111</v>
      </c>
      <c r="N1504" s="173" t="s">
        <v>1256</v>
      </c>
      <c r="O1504" s="23">
        <v>1670</v>
      </c>
      <c r="P1504" s="70">
        <v>0.29166666666666669</v>
      </c>
      <c r="Q1504" s="70">
        <v>0.4236111111111111</v>
      </c>
      <c r="R1504" s="229" t="s">
        <v>1256</v>
      </c>
    </row>
    <row r="1505" spans="1:18" x14ac:dyDescent="0.4">
      <c r="A1505" s="212">
        <v>45987</v>
      </c>
      <c r="B1505" s="139" t="s">
        <v>104</v>
      </c>
      <c r="C1505" s="30" t="s">
        <v>191</v>
      </c>
      <c r="D1505" s="296">
        <v>48</v>
      </c>
      <c r="E1505" s="77">
        <v>3</v>
      </c>
      <c r="F1505" s="76">
        <v>1.0416666666666666E-2</v>
      </c>
      <c r="G1505" s="76">
        <v>0.33680555555555558</v>
      </c>
      <c r="H1505" s="76">
        <v>0.60416666666666663</v>
      </c>
      <c r="I1505" s="173" t="s">
        <v>1339</v>
      </c>
      <c r="J1505" s="23">
        <v>5</v>
      </c>
      <c r="K1505" s="23"/>
      <c r="L1505" s="68">
        <v>0.42708333333333331</v>
      </c>
      <c r="M1505" s="68">
        <v>0.70486111111111116</v>
      </c>
      <c r="N1505" s="173" t="s">
        <v>1339</v>
      </c>
      <c r="O1505" s="23">
        <v>2720</v>
      </c>
      <c r="P1505" s="70">
        <v>0.33680555555555558</v>
      </c>
      <c r="Q1505" s="70">
        <v>0.70486111111111116</v>
      </c>
      <c r="R1505" s="229" t="s">
        <v>1338</v>
      </c>
    </row>
    <row r="1506" spans="1:18" x14ac:dyDescent="0.4">
      <c r="A1506" s="212">
        <v>45988</v>
      </c>
      <c r="B1506" s="139" t="s">
        <v>71</v>
      </c>
      <c r="C1506" s="30" t="s">
        <v>176</v>
      </c>
      <c r="D1506" s="296">
        <v>68</v>
      </c>
      <c r="E1506" s="77">
        <v>6</v>
      </c>
      <c r="F1506" s="1"/>
      <c r="G1506" s="76">
        <v>0.29166666666666669</v>
      </c>
      <c r="H1506" s="76">
        <v>0.66666666666666663</v>
      </c>
      <c r="I1506" s="173" t="s">
        <v>1292</v>
      </c>
      <c r="J1506" s="23">
        <v>5</v>
      </c>
      <c r="K1506" s="23"/>
      <c r="L1506" s="68">
        <v>0.3125</v>
      </c>
      <c r="M1506" s="68">
        <v>0.70833333333333337</v>
      </c>
      <c r="N1506" s="173" t="s">
        <v>990</v>
      </c>
      <c r="O1506" s="23">
        <v>5430</v>
      </c>
      <c r="P1506" s="70">
        <v>0.29166666666666669</v>
      </c>
      <c r="Q1506" s="70">
        <v>0.70833333333333337</v>
      </c>
      <c r="R1506" s="229" t="s">
        <v>1252</v>
      </c>
    </row>
    <row r="1507" spans="1:18" x14ac:dyDescent="0.4">
      <c r="A1507" s="212">
        <v>45988</v>
      </c>
      <c r="B1507" s="139" t="s">
        <v>63</v>
      </c>
      <c r="C1507" s="30" t="s">
        <v>267</v>
      </c>
      <c r="D1507" s="296">
        <v>24</v>
      </c>
      <c r="E1507" s="77">
        <v>5</v>
      </c>
      <c r="F1507" s="1"/>
      <c r="G1507" s="76">
        <v>0.44375000000000003</v>
      </c>
      <c r="H1507" s="76">
        <v>0.6875</v>
      </c>
      <c r="I1507" s="173" t="s">
        <v>1658</v>
      </c>
      <c r="J1507" s="23">
        <v>3</v>
      </c>
      <c r="K1507" s="23"/>
      <c r="L1507" s="68">
        <v>0.46875</v>
      </c>
      <c r="M1507" s="68">
        <v>0.6875</v>
      </c>
      <c r="N1507" s="173" t="s">
        <v>1259</v>
      </c>
      <c r="O1507" s="23">
        <v>2220</v>
      </c>
      <c r="P1507" s="70">
        <v>0.44375000000000003</v>
      </c>
      <c r="Q1507" s="70">
        <v>0.6875</v>
      </c>
      <c r="R1507" s="229" t="s">
        <v>1658</v>
      </c>
    </row>
    <row r="1508" spans="1:18" x14ac:dyDescent="0.4">
      <c r="A1508" s="212">
        <v>45988</v>
      </c>
      <c r="B1508" s="139" t="s">
        <v>116</v>
      </c>
      <c r="C1508" s="30" t="s">
        <v>212</v>
      </c>
      <c r="D1508" s="296">
        <v>8</v>
      </c>
      <c r="E1508" s="77">
        <v>5</v>
      </c>
      <c r="F1508" s="1"/>
      <c r="G1508" s="76">
        <v>0.29166666666666669</v>
      </c>
      <c r="H1508" s="76">
        <v>0.375</v>
      </c>
      <c r="I1508" s="173" t="s">
        <v>1296</v>
      </c>
      <c r="J1508" s="23">
        <v>4</v>
      </c>
      <c r="K1508" s="23"/>
      <c r="L1508" s="68">
        <v>0.29375000000000001</v>
      </c>
      <c r="M1508" s="68">
        <v>0.40972222222222227</v>
      </c>
      <c r="N1508" s="173" t="s">
        <v>1518</v>
      </c>
      <c r="O1508" s="23">
        <v>1268</v>
      </c>
      <c r="P1508" s="70">
        <v>0.29166666666666669</v>
      </c>
      <c r="Q1508" s="70">
        <v>0.40972222222222227</v>
      </c>
      <c r="R1508" s="229" t="s">
        <v>1314</v>
      </c>
    </row>
    <row r="1509" spans="1:18" x14ac:dyDescent="0.4">
      <c r="A1509" s="212">
        <v>45988</v>
      </c>
      <c r="B1509" s="139" t="s">
        <v>77</v>
      </c>
      <c r="C1509" s="30" t="s">
        <v>293</v>
      </c>
      <c r="D1509" s="296">
        <v>8</v>
      </c>
      <c r="E1509" s="77">
        <v>5</v>
      </c>
      <c r="F1509" s="1"/>
      <c r="G1509" s="76">
        <v>0.375</v>
      </c>
      <c r="H1509" s="76">
        <v>0.44375000000000003</v>
      </c>
      <c r="I1509" s="173" t="s">
        <v>1593</v>
      </c>
      <c r="J1509" s="23">
        <v>3</v>
      </c>
      <c r="K1509" s="23"/>
      <c r="L1509" s="68">
        <v>0.40972222222222227</v>
      </c>
      <c r="M1509" s="68">
        <v>0.46875</v>
      </c>
      <c r="N1509" s="173" t="s">
        <v>1534</v>
      </c>
      <c r="O1509" s="23">
        <v>750</v>
      </c>
      <c r="P1509" s="70">
        <v>0.375</v>
      </c>
      <c r="Q1509" s="70">
        <v>0.46875</v>
      </c>
      <c r="R1509" s="229" t="s">
        <v>1324</v>
      </c>
    </row>
    <row r="1510" spans="1:18" x14ac:dyDescent="0.4">
      <c r="A1510" s="212">
        <v>45988</v>
      </c>
      <c r="B1510" s="139" t="s">
        <v>73</v>
      </c>
      <c r="C1510" s="30" t="s">
        <v>231</v>
      </c>
      <c r="D1510" s="296">
        <v>21</v>
      </c>
      <c r="E1510" s="77">
        <v>3</v>
      </c>
      <c r="F1510" s="1"/>
      <c r="G1510" s="76">
        <v>0.27083333333333331</v>
      </c>
      <c r="H1510" s="76">
        <v>0.66666666666666663</v>
      </c>
      <c r="I1510" s="173" t="s">
        <v>990</v>
      </c>
      <c r="J1510" s="23">
        <v>5</v>
      </c>
      <c r="K1510" s="23"/>
      <c r="L1510" s="68">
        <v>0.3125</v>
      </c>
      <c r="M1510" s="68">
        <v>0.6875</v>
      </c>
      <c r="N1510" s="173" t="s">
        <v>1292</v>
      </c>
      <c r="O1510" s="23">
        <v>3930</v>
      </c>
      <c r="P1510" s="70">
        <v>0.27083333333333331</v>
      </c>
      <c r="Q1510" s="70">
        <v>0.6875</v>
      </c>
      <c r="R1510" s="229" t="s">
        <v>1252</v>
      </c>
    </row>
    <row r="1511" spans="1:18" x14ac:dyDescent="0.4">
      <c r="A1511" s="246">
        <v>45988</v>
      </c>
      <c r="B1511" s="102" t="s">
        <v>434</v>
      </c>
      <c r="C1511" s="136" t="s">
        <v>545</v>
      </c>
      <c r="D1511" s="298">
        <v>50</v>
      </c>
      <c r="E1511" s="103"/>
      <c r="F1511" s="104"/>
      <c r="G1511" s="184"/>
      <c r="H1511" s="184"/>
      <c r="I1511" s="225" t="s">
        <v>1002</v>
      </c>
      <c r="J1511" s="105"/>
      <c r="K1511" s="105"/>
      <c r="L1511" s="106"/>
      <c r="M1511" s="106"/>
      <c r="N1511" s="225" t="s">
        <v>1002</v>
      </c>
      <c r="O1511" s="105">
        <v>0</v>
      </c>
      <c r="P1511" s="247">
        <v>0</v>
      </c>
      <c r="Q1511" s="247">
        <v>0</v>
      </c>
      <c r="R1511" s="232" t="s">
        <v>1002</v>
      </c>
    </row>
    <row r="1512" spans="1:18" x14ac:dyDescent="0.4">
      <c r="A1512" s="212">
        <v>45989</v>
      </c>
      <c r="B1512" s="139" t="s">
        <v>106</v>
      </c>
      <c r="C1512" s="30" t="s">
        <v>173</v>
      </c>
      <c r="D1512" s="296">
        <v>16</v>
      </c>
      <c r="E1512" s="77">
        <v>5</v>
      </c>
      <c r="F1512" s="1"/>
      <c r="G1512" s="76">
        <v>0.54166666666666663</v>
      </c>
      <c r="H1512" s="76">
        <v>0.70833333333333337</v>
      </c>
      <c r="I1512" s="173" t="s">
        <v>1244</v>
      </c>
      <c r="J1512" s="23">
        <v>9</v>
      </c>
      <c r="K1512" s="23"/>
      <c r="L1512" s="68">
        <v>0.54166666666666663</v>
      </c>
      <c r="M1512" s="68">
        <v>0.75</v>
      </c>
      <c r="N1512" s="173" t="s">
        <v>1327</v>
      </c>
      <c r="O1512" s="23">
        <v>3900</v>
      </c>
      <c r="P1512" s="70">
        <v>0.54166666666666663</v>
      </c>
      <c r="Q1512" s="70">
        <v>0.75</v>
      </c>
      <c r="R1512" s="229" t="s">
        <v>1327</v>
      </c>
    </row>
    <row r="1513" spans="1:18" x14ac:dyDescent="0.4">
      <c r="A1513" s="212">
        <v>45989</v>
      </c>
      <c r="B1513" s="139" t="s">
        <v>61</v>
      </c>
      <c r="C1513" s="30" t="s">
        <v>156</v>
      </c>
      <c r="D1513" s="296">
        <v>20</v>
      </c>
      <c r="E1513" s="77">
        <v>5</v>
      </c>
      <c r="F1513" s="1"/>
      <c r="G1513" s="76">
        <v>0.29166666666666669</v>
      </c>
      <c r="H1513" s="76">
        <v>0.5</v>
      </c>
      <c r="I1513" s="173" t="s">
        <v>1327</v>
      </c>
      <c r="J1513" s="23">
        <v>10</v>
      </c>
      <c r="K1513" s="23"/>
      <c r="L1513" s="68">
        <v>0.3125</v>
      </c>
      <c r="M1513" s="68">
        <v>0.5</v>
      </c>
      <c r="N1513" s="173" t="s">
        <v>1243</v>
      </c>
      <c r="O1513" s="23">
        <v>4200</v>
      </c>
      <c r="P1513" s="70">
        <v>0.29166666666666669</v>
      </c>
      <c r="Q1513" s="70">
        <v>0.5</v>
      </c>
      <c r="R1513" s="229" t="s">
        <v>1327</v>
      </c>
    </row>
    <row r="1514" spans="1:18" x14ac:dyDescent="0.4">
      <c r="A1514" s="212">
        <v>45989</v>
      </c>
      <c r="B1514" s="139" t="s">
        <v>63</v>
      </c>
      <c r="C1514" s="30" t="s">
        <v>267</v>
      </c>
      <c r="D1514" s="296">
        <v>24</v>
      </c>
      <c r="E1514" s="77">
        <v>5</v>
      </c>
      <c r="F1514" s="1"/>
      <c r="G1514" s="76">
        <v>0.42083333333333334</v>
      </c>
      <c r="H1514" s="76">
        <v>0.66666666666666663</v>
      </c>
      <c r="I1514" s="173" t="s">
        <v>1368</v>
      </c>
      <c r="J1514" s="23">
        <v>3</v>
      </c>
      <c r="K1514" s="23"/>
      <c r="L1514" s="68">
        <v>0.44097222222222227</v>
      </c>
      <c r="M1514" s="68">
        <v>0.6875</v>
      </c>
      <c r="N1514" s="173" t="s">
        <v>1305</v>
      </c>
      <c r="O1514" s="23">
        <v>2355</v>
      </c>
      <c r="P1514" s="70">
        <v>0.42083333333333334</v>
      </c>
      <c r="Q1514" s="70">
        <v>0.6875</v>
      </c>
      <c r="R1514" s="229" t="s">
        <v>1408</v>
      </c>
    </row>
    <row r="1515" spans="1:18" x14ac:dyDescent="0.4">
      <c r="A1515" s="212">
        <v>45989</v>
      </c>
      <c r="B1515" s="139" t="s">
        <v>72</v>
      </c>
      <c r="C1515" s="30" t="s">
        <v>227</v>
      </c>
      <c r="D1515" s="296">
        <v>16</v>
      </c>
      <c r="E1515" s="77">
        <v>5</v>
      </c>
      <c r="F1515" s="1"/>
      <c r="G1515" s="76">
        <v>0.29166666666666669</v>
      </c>
      <c r="H1515" s="76">
        <v>0.42083333333333334</v>
      </c>
      <c r="I1515" s="173" t="s">
        <v>1407</v>
      </c>
      <c r="J1515" s="23">
        <v>3</v>
      </c>
      <c r="K1515" s="23"/>
      <c r="L1515" s="68">
        <v>0.29166666666666669</v>
      </c>
      <c r="M1515" s="68">
        <v>0.44097222222222227</v>
      </c>
      <c r="N1515" s="173" t="s">
        <v>1355</v>
      </c>
      <c r="O1515" s="23">
        <v>1575</v>
      </c>
      <c r="P1515" s="70">
        <v>0.29166666666666669</v>
      </c>
      <c r="Q1515" s="70">
        <v>0.44097222222222227</v>
      </c>
      <c r="R1515" s="229" t="s">
        <v>1355</v>
      </c>
    </row>
    <row r="1516" spans="1:18" x14ac:dyDescent="0.4">
      <c r="A1516" s="212">
        <v>45989</v>
      </c>
      <c r="B1516" s="139" t="s">
        <v>65</v>
      </c>
      <c r="C1516" s="30" t="s">
        <v>189</v>
      </c>
      <c r="D1516" s="296">
        <v>60</v>
      </c>
      <c r="E1516" s="77">
        <v>3</v>
      </c>
      <c r="F1516" s="76">
        <v>2.0833333333333332E-2</v>
      </c>
      <c r="G1516" s="76">
        <v>0.29166666666666669</v>
      </c>
      <c r="H1516" s="76">
        <v>0.625</v>
      </c>
      <c r="I1516" s="173" t="s">
        <v>1309</v>
      </c>
      <c r="J1516" s="23">
        <v>4</v>
      </c>
      <c r="K1516" s="23"/>
      <c r="L1516" s="68">
        <v>0.29166666666666669</v>
      </c>
      <c r="M1516" s="68">
        <v>0.66666666666666663</v>
      </c>
      <c r="N1516" s="173" t="s">
        <v>1292</v>
      </c>
      <c r="O1516" s="23">
        <v>3270</v>
      </c>
      <c r="P1516" s="70">
        <v>0.29166666666666669</v>
      </c>
      <c r="Q1516" s="70">
        <v>0.66666666666666663</v>
      </c>
      <c r="R1516" s="229" t="s">
        <v>1292</v>
      </c>
    </row>
    <row r="1517" spans="1:18" x14ac:dyDescent="0.4">
      <c r="A1517" s="212">
        <v>45992</v>
      </c>
      <c r="B1517" s="139" t="s">
        <v>984</v>
      </c>
      <c r="C1517" s="30" t="s">
        <v>245</v>
      </c>
      <c r="D1517" s="296">
        <v>8</v>
      </c>
      <c r="E1517" s="77">
        <v>5</v>
      </c>
      <c r="F1517" s="1"/>
      <c r="G1517" s="76">
        <v>0.29166666666666669</v>
      </c>
      <c r="H1517" s="76">
        <v>0.38194444444444442</v>
      </c>
      <c r="I1517" s="173" t="s">
        <v>1248</v>
      </c>
      <c r="J1517" s="23">
        <v>3</v>
      </c>
      <c r="K1517" s="23"/>
      <c r="L1517" s="68">
        <v>0.3125</v>
      </c>
      <c r="M1517" s="68">
        <v>0.41666666666666669</v>
      </c>
      <c r="N1517" s="173" t="s">
        <v>1298</v>
      </c>
      <c r="O1517" s="23">
        <v>1100</v>
      </c>
      <c r="P1517" s="70">
        <v>0.29166666666666669</v>
      </c>
      <c r="Q1517" s="70">
        <v>0.41666666666666669</v>
      </c>
      <c r="R1517" s="229" t="s">
        <v>1316</v>
      </c>
    </row>
    <row r="1518" spans="1:18" x14ac:dyDescent="0.4">
      <c r="A1518" s="212">
        <v>45992</v>
      </c>
      <c r="B1518" s="139" t="s">
        <v>63</v>
      </c>
      <c r="C1518" s="30" t="s">
        <v>267</v>
      </c>
      <c r="D1518" s="296">
        <v>16</v>
      </c>
      <c r="E1518" s="77">
        <v>5</v>
      </c>
      <c r="F1518" s="1"/>
      <c r="G1518" s="76">
        <v>0.38194444444444442</v>
      </c>
      <c r="H1518" s="76">
        <v>0.56597222222222221</v>
      </c>
      <c r="I1518" s="173" t="s">
        <v>1299</v>
      </c>
      <c r="J1518" s="23">
        <v>3</v>
      </c>
      <c r="K1518" s="23"/>
      <c r="L1518" s="68">
        <v>0.41666666666666669</v>
      </c>
      <c r="M1518" s="68">
        <v>0.61111111111111105</v>
      </c>
      <c r="N1518" s="173" t="s">
        <v>1254</v>
      </c>
      <c r="O1518" s="23">
        <v>1685</v>
      </c>
      <c r="P1518" s="70">
        <v>0.38194444444444442</v>
      </c>
      <c r="Q1518" s="70">
        <v>0.61111111111111105</v>
      </c>
      <c r="R1518" s="229" t="s">
        <v>1243</v>
      </c>
    </row>
    <row r="1519" spans="1:18" x14ac:dyDescent="0.4">
      <c r="A1519" s="212">
        <v>45992</v>
      </c>
      <c r="B1519" s="139" t="s">
        <v>1046</v>
      </c>
      <c r="C1519" s="30" t="s">
        <v>1057</v>
      </c>
      <c r="D1519" s="296">
        <v>18</v>
      </c>
      <c r="E1519" s="77">
        <v>5</v>
      </c>
      <c r="F1519" s="1"/>
      <c r="G1519" s="76">
        <v>0.56597222222222221</v>
      </c>
      <c r="H1519" s="76">
        <v>0.72916666666666663</v>
      </c>
      <c r="I1519" s="173" t="s">
        <v>1359</v>
      </c>
      <c r="J1519" s="23">
        <v>3</v>
      </c>
      <c r="K1519" s="23"/>
      <c r="L1519" s="68">
        <v>0.61111111111111105</v>
      </c>
      <c r="M1519" s="68">
        <v>0.75</v>
      </c>
      <c r="N1519" s="173" t="s">
        <v>1250</v>
      </c>
      <c r="O1519" s="23">
        <v>1775</v>
      </c>
      <c r="P1519" s="70">
        <v>0.56597222222222221</v>
      </c>
      <c r="Q1519" s="70">
        <v>0.75</v>
      </c>
      <c r="R1519" s="229" t="s">
        <v>1356</v>
      </c>
    </row>
    <row r="1520" spans="1:18" x14ac:dyDescent="0.4">
      <c r="A1520" s="212">
        <v>45992</v>
      </c>
      <c r="B1520" s="139" t="s">
        <v>108</v>
      </c>
      <c r="C1520" s="30" t="s">
        <v>231</v>
      </c>
      <c r="D1520" s="296">
        <v>21</v>
      </c>
      <c r="E1520" s="77">
        <v>4</v>
      </c>
      <c r="F1520" s="1"/>
      <c r="G1520" s="76">
        <v>0.29166666666666669</v>
      </c>
      <c r="H1520" s="76">
        <v>0.66666666666666663</v>
      </c>
      <c r="I1520" s="173" t="s">
        <v>1292</v>
      </c>
      <c r="J1520" s="23">
        <v>7</v>
      </c>
      <c r="K1520" s="23"/>
      <c r="L1520" s="68">
        <v>0.3125</v>
      </c>
      <c r="M1520" s="68">
        <v>0.70833333333333337</v>
      </c>
      <c r="N1520" s="173" t="s">
        <v>990</v>
      </c>
      <c r="O1520" s="23">
        <v>5490</v>
      </c>
      <c r="P1520" s="70">
        <v>0.29166666666666669</v>
      </c>
      <c r="Q1520" s="70">
        <v>0.70833333333333337</v>
      </c>
      <c r="R1520" s="229" t="s">
        <v>1252</v>
      </c>
    </row>
    <row r="1521" spans="1:18" x14ac:dyDescent="0.4">
      <c r="A1521" s="212">
        <v>45992</v>
      </c>
      <c r="B1521" s="139" t="s">
        <v>131</v>
      </c>
      <c r="C1521" s="30" t="s">
        <v>274</v>
      </c>
      <c r="D1521" s="296">
        <v>40</v>
      </c>
      <c r="E1521" s="77">
        <v>3</v>
      </c>
      <c r="F1521" s="1"/>
      <c r="G1521" s="76">
        <v>0.29166666666666669</v>
      </c>
      <c r="H1521" s="76">
        <v>0.49305555555555558</v>
      </c>
      <c r="I1521" s="173" t="s">
        <v>1258</v>
      </c>
      <c r="J1521" s="23">
        <v>4</v>
      </c>
      <c r="K1521" s="23"/>
      <c r="L1521" s="68">
        <v>0.29166666666666669</v>
      </c>
      <c r="M1521" s="68">
        <v>0.57638888888888895</v>
      </c>
      <c r="N1521" s="173" t="s">
        <v>1415</v>
      </c>
      <c r="O1521" s="23">
        <v>2270</v>
      </c>
      <c r="P1521" s="70">
        <v>0.29166666666666669</v>
      </c>
      <c r="Q1521" s="70">
        <v>0.57638888888888895</v>
      </c>
      <c r="R1521" s="229" t="s">
        <v>1415</v>
      </c>
    </row>
    <row r="1522" spans="1:18" x14ac:dyDescent="0.4">
      <c r="A1522" s="246">
        <v>45992</v>
      </c>
      <c r="B1522" s="102">
        <v>153010</v>
      </c>
      <c r="C1522" s="136" t="s">
        <v>484</v>
      </c>
      <c r="D1522" s="298">
        <v>1</v>
      </c>
      <c r="E1522" s="103"/>
      <c r="F1522" s="104"/>
      <c r="G1522" s="184"/>
      <c r="H1522" s="184"/>
      <c r="I1522" s="225" t="s">
        <v>1002</v>
      </c>
      <c r="J1522" s="105"/>
      <c r="K1522" s="105"/>
      <c r="L1522" s="106"/>
      <c r="M1522" s="106"/>
      <c r="N1522" s="225" t="s">
        <v>1002</v>
      </c>
      <c r="O1522" s="105">
        <v>0</v>
      </c>
      <c r="P1522" s="247">
        <v>0</v>
      </c>
      <c r="Q1522" s="247">
        <v>0</v>
      </c>
      <c r="R1522" s="232" t="s">
        <v>1002</v>
      </c>
    </row>
    <row r="1523" spans="1:18" x14ac:dyDescent="0.4">
      <c r="A1523" s="212">
        <v>45993</v>
      </c>
      <c r="B1523" s="139" t="s">
        <v>61</v>
      </c>
      <c r="C1523" s="30" t="s">
        <v>156</v>
      </c>
      <c r="D1523" s="296">
        <v>40</v>
      </c>
      <c r="E1523" s="77">
        <v>4</v>
      </c>
      <c r="F1523" s="1"/>
      <c r="G1523" s="76">
        <v>0.29166666666666669</v>
      </c>
      <c r="H1523" s="76">
        <v>0.66666666666666663</v>
      </c>
      <c r="I1523" s="173" t="s">
        <v>1292</v>
      </c>
      <c r="J1523" s="23">
        <v>10</v>
      </c>
      <c r="K1523" s="23"/>
      <c r="L1523" s="68">
        <v>0.3125</v>
      </c>
      <c r="M1523" s="68">
        <v>0.70833333333333337</v>
      </c>
      <c r="N1523" s="173" t="s">
        <v>990</v>
      </c>
      <c r="O1523" s="23">
        <v>7020</v>
      </c>
      <c r="P1523" s="70">
        <v>0.29166666666666669</v>
      </c>
      <c r="Q1523" s="70">
        <v>0.70833333333333337</v>
      </c>
      <c r="R1523" s="229" t="s">
        <v>1252</v>
      </c>
    </row>
    <row r="1524" spans="1:18" x14ac:dyDescent="0.4">
      <c r="A1524" s="212">
        <v>45993</v>
      </c>
      <c r="B1524" s="139" t="s">
        <v>63</v>
      </c>
      <c r="C1524" s="30" t="s">
        <v>267</v>
      </c>
      <c r="D1524" s="296">
        <v>24</v>
      </c>
      <c r="E1524" s="77">
        <v>5</v>
      </c>
      <c r="F1524" s="1"/>
      <c r="G1524" s="76">
        <v>0.44444444444444442</v>
      </c>
      <c r="H1524" s="76">
        <v>0.70833333333333337</v>
      </c>
      <c r="I1524" s="173" t="s">
        <v>1357</v>
      </c>
      <c r="J1524" s="23">
        <v>3</v>
      </c>
      <c r="K1524" s="23"/>
      <c r="L1524" s="68">
        <v>0.47222222222222227</v>
      </c>
      <c r="M1524" s="68">
        <v>0.70833333333333337</v>
      </c>
      <c r="N1524" s="173" t="s">
        <v>1255</v>
      </c>
      <c r="O1524" s="23">
        <v>2440</v>
      </c>
      <c r="P1524" s="70">
        <v>0.44444444444444442</v>
      </c>
      <c r="Q1524" s="70">
        <v>0.70833333333333337</v>
      </c>
      <c r="R1524" s="229" t="s">
        <v>1357</v>
      </c>
    </row>
    <row r="1525" spans="1:18" x14ac:dyDescent="0.4">
      <c r="A1525" s="212">
        <v>45993</v>
      </c>
      <c r="B1525" s="139" t="s">
        <v>64</v>
      </c>
      <c r="C1525" s="30" t="s">
        <v>271</v>
      </c>
      <c r="D1525" s="296">
        <v>16</v>
      </c>
      <c r="E1525" s="77">
        <v>5</v>
      </c>
      <c r="F1525" s="1"/>
      <c r="G1525" s="76">
        <v>0.29166666666666669</v>
      </c>
      <c r="H1525" s="76">
        <v>0.44444444444444442</v>
      </c>
      <c r="I1525" s="173" t="s">
        <v>1254</v>
      </c>
      <c r="J1525" s="23">
        <v>3</v>
      </c>
      <c r="K1525" s="23"/>
      <c r="L1525" s="68">
        <v>0.3125</v>
      </c>
      <c r="M1525" s="68">
        <v>0.47222222222222227</v>
      </c>
      <c r="N1525" s="173" t="s">
        <v>1332</v>
      </c>
      <c r="O1525" s="23">
        <v>1790</v>
      </c>
      <c r="P1525" s="70">
        <v>0.29166666666666669</v>
      </c>
      <c r="Q1525" s="70">
        <v>0.47222222222222227</v>
      </c>
      <c r="R1525" s="229" t="s">
        <v>1379</v>
      </c>
    </row>
    <row r="1526" spans="1:18" x14ac:dyDescent="0.4">
      <c r="A1526" s="212">
        <v>45993</v>
      </c>
      <c r="B1526" s="139" t="s">
        <v>65</v>
      </c>
      <c r="C1526" s="30" t="s">
        <v>189</v>
      </c>
      <c r="D1526" s="296">
        <v>64</v>
      </c>
      <c r="E1526" s="77">
        <v>3</v>
      </c>
      <c r="F1526" s="76">
        <v>2.7777777777777776E-2</v>
      </c>
      <c r="G1526" s="76">
        <v>0.29166666666666669</v>
      </c>
      <c r="H1526" s="76">
        <v>0.64236111111111105</v>
      </c>
      <c r="I1526" s="173" t="s">
        <v>1498</v>
      </c>
      <c r="J1526" s="23">
        <v>4</v>
      </c>
      <c r="K1526" s="23"/>
      <c r="L1526" s="68">
        <v>0.29166666666666669</v>
      </c>
      <c r="M1526" s="68">
        <v>0.68055555555555547</v>
      </c>
      <c r="N1526" s="173" t="s">
        <v>1465</v>
      </c>
      <c r="O1526" s="23">
        <v>3455</v>
      </c>
      <c r="P1526" s="70">
        <v>0.29166666666666669</v>
      </c>
      <c r="Q1526" s="70">
        <v>0.68055555555555547</v>
      </c>
      <c r="R1526" s="229" t="s">
        <v>1465</v>
      </c>
    </row>
    <row r="1527" spans="1:18" x14ac:dyDescent="0.4">
      <c r="A1527" s="246">
        <v>45993</v>
      </c>
      <c r="B1527" s="102">
        <v>152010</v>
      </c>
      <c r="C1527" s="136" t="s">
        <v>483</v>
      </c>
      <c r="D1527" s="298">
        <v>1</v>
      </c>
      <c r="E1527" s="103"/>
      <c r="F1527" s="104"/>
      <c r="G1527" s="184"/>
      <c r="H1527" s="184"/>
      <c r="I1527" s="225" t="s">
        <v>1002</v>
      </c>
      <c r="J1527" s="105"/>
      <c r="K1527" s="105"/>
      <c r="L1527" s="106"/>
      <c r="M1527" s="106"/>
      <c r="N1527" s="225" t="s">
        <v>1002</v>
      </c>
      <c r="O1527" s="105">
        <v>0</v>
      </c>
      <c r="P1527" s="247">
        <v>0</v>
      </c>
      <c r="Q1527" s="247">
        <v>0</v>
      </c>
      <c r="R1527" s="232" t="s">
        <v>1002</v>
      </c>
    </row>
    <row r="1528" spans="1:18" x14ac:dyDescent="0.4">
      <c r="A1528" s="212">
        <v>45994</v>
      </c>
      <c r="B1528" s="139" t="s">
        <v>76</v>
      </c>
      <c r="C1528" s="30" t="s">
        <v>224</v>
      </c>
      <c r="D1528" s="296">
        <v>12</v>
      </c>
      <c r="E1528" s="77">
        <v>5</v>
      </c>
      <c r="F1528" s="1"/>
      <c r="G1528" s="76">
        <v>0.3666666666666667</v>
      </c>
      <c r="H1528" s="76">
        <v>0.4694444444444445</v>
      </c>
      <c r="I1528" s="173" t="s">
        <v>1424</v>
      </c>
      <c r="J1528" s="23">
        <v>3</v>
      </c>
      <c r="K1528" s="23"/>
      <c r="L1528" s="68">
        <v>0.41666666666666669</v>
      </c>
      <c r="M1528" s="68">
        <v>0.47916666666666669</v>
      </c>
      <c r="N1528" s="173" t="s">
        <v>1375</v>
      </c>
      <c r="O1528" s="23">
        <v>1010</v>
      </c>
      <c r="P1528" s="70">
        <v>0.3666666666666667</v>
      </c>
      <c r="Q1528" s="70">
        <v>0.47916666666666669</v>
      </c>
      <c r="R1528" s="229" t="s">
        <v>1543</v>
      </c>
    </row>
    <row r="1529" spans="1:18" x14ac:dyDescent="0.4">
      <c r="A1529" s="212">
        <v>45994</v>
      </c>
      <c r="B1529" s="139" t="s">
        <v>63</v>
      </c>
      <c r="C1529" s="30" t="s">
        <v>267</v>
      </c>
      <c r="D1529" s="296">
        <v>20</v>
      </c>
      <c r="E1529" s="77">
        <v>5</v>
      </c>
      <c r="F1529" s="1"/>
      <c r="G1529" s="76">
        <v>0.4694444444444445</v>
      </c>
      <c r="H1529" s="76">
        <v>0.6875</v>
      </c>
      <c r="I1529" s="173" t="s">
        <v>1509</v>
      </c>
      <c r="J1529" s="23">
        <v>3</v>
      </c>
      <c r="K1529" s="23"/>
      <c r="L1529" s="68">
        <v>0.47916666666666669</v>
      </c>
      <c r="M1529" s="68">
        <v>0.70833333333333337</v>
      </c>
      <c r="N1529" s="173" t="s">
        <v>1243</v>
      </c>
      <c r="O1529" s="23">
        <v>2080</v>
      </c>
      <c r="P1529" s="70">
        <v>0.4694444444444445</v>
      </c>
      <c r="Q1529" s="70">
        <v>0.70833333333333337</v>
      </c>
      <c r="R1529" s="229" t="s">
        <v>1659</v>
      </c>
    </row>
    <row r="1530" spans="1:18" x14ac:dyDescent="0.4">
      <c r="A1530" s="212">
        <v>45994</v>
      </c>
      <c r="B1530" s="139" t="s">
        <v>75</v>
      </c>
      <c r="C1530" s="30" t="s">
        <v>229</v>
      </c>
      <c r="D1530" s="296">
        <v>8</v>
      </c>
      <c r="E1530" s="77">
        <v>5</v>
      </c>
      <c r="F1530" s="1"/>
      <c r="G1530" s="76">
        <v>0.29166666666666669</v>
      </c>
      <c r="H1530" s="76">
        <v>0.3666666666666667</v>
      </c>
      <c r="I1530" s="173" t="s">
        <v>1521</v>
      </c>
      <c r="J1530" s="23">
        <v>3</v>
      </c>
      <c r="K1530" s="23"/>
      <c r="L1530" s="68">
        <v>0.3125</v>
      </c>
      <c r="M1530" s="68">
        <v>0.41666666666666669</v>
      </c>
      <c r="N1530" s="173" t="s">
        <v>1298</v>
      </c>
      <c r="O1530" s="23">
        <v>990</v>
      </c>
      <c r="P1530" s="70">
        <v>0.29166666666666669</v>
      </c>
      <c r="Q1530" s="70">
        <v>0.41666666666666669</v>
      </c>
      <c r="R1530" s="229" t="s">
        <v>1316</v>
      </c>
    </row>
    <row r="1531" spans="1:18" x14ac:dyDescent="0.4">
      <c r="A1531" s="212">
        <v>45994</v>
      </c>
      <c r="B1531" s="139" t="s">
        <v>73</v>
      </c>
      <c r="C1531" s="30" t="s">
        <v>231</v>
      </c>
      <c r="D1531" s="296">
        <v>21</v>
      </c>
      <c r="E1531" s="77">
        <v>4</v>
      </c>
      <c r="F1531" s="1"/>
      <c r="G1531" s="76">
        <v>0.29166666666666669</v>
      </c>
      <c r="H1531" s="76">
        <v>0.66666666666666663</v>
      </c>
      <c r="I1531" s="173" t="s">
        <v>1292</v>
      </c>
      <c r="J1531" s="23">
        <v>7</v>
      </c>
      <c r="K1531" s="23"/>
      <c r="L1531" s="68">
        <v>0.3125</v>
      </c>
      <c r="M1531" s="68">
        <v>0.6875</v>
      </c>
      <c r="N1531" s="173" t="s">
        <v>1292</v>
      </c>
      <c r="O1531" s="23">
        <v>5280</v>
      </c>
      <c r="P1531" s="70">
        <v>0.29166666666666669</v>
      </c>
      <c r="Q1531" s="70">
        <v>0.6875</v>
      </c>
      <c r="R1531" s="229" t="s">
        <v>990</v>
      </c>
    </row>
    <row r="1532" spans="1:18" x14ac:dyDescent="0.4">
      <c r="A1532" s="212">
        <v>45994</v>
      </c>
      <c r="B1532" s="139" t="s">
        <v>123</v>
      </c>
      <c r="C1532" s="30" t="s">
        <v>277</v>
      </c>
      <c r="D1532" s="296">
        <v>56</v>
      </c>
      <c r="E1532" s="77">
        <v>3</v>
      </c>
      <c r="F1532" s="76">
        <v>2.0833333333333332E-2</v>
      </c>
      <c r="G1532" s="76">
        <v>0.29166666666666669</v>
      </c>
      <c r="H1532" s="76">
        <v>0.60416666666666663</v>
      </c>
      <c r="I1532" s="173" t="s">
        <v>1341</v>
      </c>
      <c r="J1532" s="23">
        <v>4</v>
      </c>
      <c r="K1532" s="23"/>
      <c r="L1532" s="68">
        <v>0.29166666666666669</v>
      </c>
      <c r="M1532" s="68">
        <v>0.64930555555555558</v>
      </c>
      <c r="N1532" s="173" t="s">
        <v>1455</v>
      </c>
      <c r="O1532" s="23">
        <v>3080</v>
      </c>
      <c r="P1532" s="70">
        <v>0.29166666666666669</v>
      </c>
      <c r="Q1532" s="70">
        <v>0.64930555555555558</v>
      </c>
      <c r="R1532" s="229" t="s">
        <v>1455</v>
      </c>
    </row>
    <row r="1533" spans="1:18" x14ac:dyDescent="0.4">
      <c r="A1533" s="246">
        <v>45994</v>
      </c>
      <c r="B1533" s="102" t="s">
        <v>500</v>
      </c>
      <c r="C1533" s="136" t="s">
        <v>506</v>
      </c>
      <c r="D1533" s="298">
        <v>50</v>
      </c>
      <c r="E1533" s="103"/>
      <c r="F1533" s="104"/>
      <c r="G1533" s="184"/>
      <c r="H1533" s="184"/>
      <c r="I1533" s="225" t="s">
        <v>1002</v>
      </c>
      <c r="J1533" s="105"/>
      <c r="K1533" s="105"/>
      <c r="L1533" s="106"/>
      <c r="M1533" s="106"/>
      <c r="N1533" s="225" t="s">
        <v>1002</v>
      </c>
      <c r="O1533" s="105">
        <v>0</v>
      </c>
      <c r="P1533" s="247">
        <v>0</v>
      </c>
      <c r="Q1533" s="247">
        <v>0</v>
      </c>
      <c r="R1533" s="232" t="s">
        <v>1002</v>
      </c>
    </row>
    <row r="1534" spans="1:18" x14ac:dyDescent="0.4">
      <c r="A1534" s="212">
        <v>45995</v>
      </c>
      <c r="B1534" s="139" t="s">
        <v>630</v>
      </c>
      <c r="C1534" s="30" t="s">
        <v>300</v>
      </c>
      <c r="D1534" s="296">
        <v>4</v>
      </c>
      <c r="E1534" s="77">
        <v>4</v>
      </c>
      <c r="F1534" s="1"/>
      <c r="G1534" s="76">
        <v>0.54166666666666663</v>
      </c>
      <c r="H1534" s="76">
        <v>0.70833333333333337</v>
      </c>
      <c r="I1534" s="173" t="s">
        <v>1244</v>
      </c>
      <c r="J1534" s="23">
        <v>9</v>
      </c>
      <c r="K1534" s="23"/>
      <c r="L1534" s="68">
        <v>0.58333333333333337</v>
      </c>
      <c r="M1534" s="68">
        <v>0.72916666666666663</v>
      </c>
      <c r="N1534" s="173" t="s">
        <v>1303</v>
      </c>
      <c r="O1534" s="23">
        <v>2850</v>
      </c>
      <c r="P1534" s="70">
        <v>0.54166666666666663</v>
      </c>
      <c r="Q1534" s="70">
        <v>0.72916666666666663</v>
      </c>
      <c r="R1534" s="229" t="s">
        <v>1243</v>
      </c>
    </row>
    <row r="1535" spans="1:18" x14ac:dyDescent="0.4">
      <c r="A1535" s="212">
        <v>45995</v>
      </c>
      <c r="B1535" s="139" t="s">
        <v>114</v>
      </c>
      <c r="C1535" s="30" t="s">
        <v>161</v>
      </c>
      <c r="D1535" s="296">
        <v>15</v>
      </c>
      <c r="E1535" s="77">
        <v>4</v>
      </c>
      <c r="F1535" s="1"/>
      <c r="G1535" s="76">
        <v>0.29166666666666669</v>
      </c>
      <c r="H1535" s="76">
        <v>0.5</v>
      </c>
      <c r="I1535" s="173" t="s">
        <v>1327</v>
      </c>
      <c r="J1535" s="23">
        <v>13</v>
      </c>
      <c r="K1535" s="68">
        <v>4.1666666666666664E-2</v>
      </c>
      <c r="L1535" s="68">
        <v>0.3125</v>
      </c>
      <c r="M1535" s="68">
        <v>0.58333333333333337</v>
      </c>
      <c r="N1535" s="173" t="s">
        <v>1329</v>
      </c>
      <c r="O1535" s="23">
        <v>6270</v>
      </c>
      <c r="P1535" s="70">
        <v>0.29166666666666669</v>
      </c>
      <c r="Q1535" s="70">
        <v>0.58333333333333337</v>
      </c>
      <c r="R1535" s="229" t="s">
        <v>1321</v>
      </c>
    </row>
    <row r="1536" spans="1:18" x14ac:dyDescent="0.4">
      <c r="A1536" s="212">
        <v>45995</v>
      </c>
      <c r="B1536" s="139" t="s">
        <v>63</v>
      </c>
      <c r="C1536" s="30" t="s">
        <v>267</v>
      </c>
      <c r="D1536" s="296">
        <v>8</v>
      </c>
      <c r="E1536" s="77">
        <v>5</v>
      </c>
      <c r="F1536" s="1"/>
      <c r="G1536" s="76">
        <v>0.60416666666666663</v>
      </c>
      <c r="H1536" s="76">
        <v>0.6875</v>
      </c>
      <c r="I1536" s="173" t="s">
        <v>1296</v>
      </c>
      <c r="J1536" s="23">
        <v>3</v>
      </c>
      <c r="K1536" s="23"/>
      <c r="L1536" s="68">
        <v>0.625</v>
      </c>
      <c r="M1536" s="68">
        <v>0.6875</v>
      </c>
      <c r="N1536" s="173" t="s">
        <v>1375</v>
      </c>
      <c r="O1536" s="23">
        <v>870</v>
      </c>
      <c r="P1536" s="70">
        <v>0.60416666666666663</v>
      </c>
      <c r="Q1536" s="70">
        <v>0.6875</v>
      </c>
      <c r="R1536" s="229" t="s">
        <v>1296</v>
      </c>
    </row>
    <row r="1537" spans="1:18" x14ac:dyDescent="0.4">
      <c r="A1537" s="212">
        <v>45995</v>
      </c>
      <c r="B1537" s="139" t="s">
        <v>1162</v>
      </c>
      <c r="C1537" s="30" t="s">
        <v>271</v>
      </c>
      <c r="D1537" s="296">
        <v>30</v>
      </c>
      <c r="E1537" s="77">
        <v>5</v>
      </c>
      <c r="F1537" s="1"/>
      <c r="G1537" s="76">
        <v>0.29166666666666669</v>
      </c>
      <c r="H1537" s="76">
        <v>0.60416666666666663</v>
      </c>
      <c r="I1537" s="173" t="s">
        <v>1329</v>
      </c>
      <c r="J1537" s="23">
        <v>3</v>
      </c>
      <c r="K1537" s="23"/>
      <c r="L1537" s="68">
        <v>0.3125</v>
      </c>
      <c r="M1537" s="68">
        <v>0.625</v>
      </c>
      <c r="N1537" s="173" t="s">
        <v>1329</v>
      </c>
      <c r="O1537" s="23">
        <v>3120</v>
      </c>
      <c r="P1537" s="70">
        <v>0.29166666666666669</v>
      </c>
      <c r="Q1537" s="70">
        <v>0.625</v>
      </c>
      <c r="R1537" s="229" t="s">
        <v>1341</v>
      </c>
    </row>
    <row r="1538" spans="1:18" x14ac:dyDescent="0.4">
      <c r="A1538" s="212">
        <v>45995</v>
      </c>
      <c r="B1538" s="139" t="s">
        <v>65</v>
      </c>
      <c r="C1538" s="30" t="s">
        <v>189</v>
      </c>
      <c r="D1538" s="296">
        <v>64</v>
      </c>
      <c r="E1538" s="77">
        <v>3</v>
      </c>
      <c r="F1538" s="76">
        <v>2.0833333333333332E-2</v>
      </c>
      <c r="G1538" s="76">
        <v>0.29166666666666669</v>
      </c>
      <c r="H1538" s="76">
        <v>0.63194444444444442</v>
      </c>
      <c r="I1538" s="173" t="s">
        <v>1494</v>
      </c>
      <c r="J1538" s="23">
        <v>4</v>
      </c>
      <c r="K1538" s="23"/>
      <c r="L1538" s="68">
        <v>0.29166666666666669</v>
      </c>
      <c r="M1538" s="68">
        <v>0.68055555555555547</v>
      </c>
      <c r="N1538" s="173" t="s">
        <v>1465</v>
      </c>
      <c r="O1538" s="23">
        <v>3380</v>
      </c>
      <c r="P1538" s="70">
        <v>0.29166666666666669</v>
      </c>
      <c r="Q1538" s="70">
        <v>0.68055555555555547</v>
      </c>
      <c r="R1538" s="229" t="s">
        <v>1465</v>
      </c>
    </row>
    <row r="1539" spans="1:18" x14ac:dyDescent="0.4">
      <c r="A1539" s="212">
        <v>45996</v>
      </c>
      <c r="B1539" s="139" t="s">
        <v>71</v>
      </c>
      <c r="C1539" s="30" t="s">
        <v>176</v>
      </c>
      <c r="D1539" s="296">
        <v>72</v>
      </c>
      <c r="E1539" s="77">
        <v>6</v>
      </c>
      <c r="F1539" s="76"/>
      <c r="G1539" s="76">
        <v>0.29166666666666669</v>
      </c>
      <c r="H1539" s="76">
        <v>0.70833333333333337</v>
      </c>
      <c r="I1539" s="173" t="s">
        <v>1252</v>
      </c>
      <c r="J1539" s="23">
        <v>4</v>
      </c>
      <c r="K1539" s="23"/>
      <c r="L1539" s="68">
        <v>0.3125</v>
      </c>
      <c r="M1539" s="68">
        <v>0.72916666666666663</v>
      </c>
      <c r="N1539" s="173" t="s">
        <v>1252</v>
      </c>
      <c r="O1539" s="23">
        <v>5400</v>
      </c>
      <c r="P1539" s="70">
        <v>0.29166666666666669</v>
      </c>
      <c r="Q1539" s="70">
        <v>0.72916666666666663</v>
      </c>
      <c r="R1539" s="229" t="s">
        <v>1247</v>
      </c>
    </row>
    <row r="1540" spans="1:18" x14ac:dyDescent="0.4">
      <c r="A1540" s="212">
        <v>45996</v>
      </c>
      <c r="B1540" s="139" t="s">
        <v>81</v>
      </c>
      <c r="C1540" s="30" t="s">
        <v>235</v>
      </c>
      <c r="D1540" s="296">
        <v>16</v>
      </c>
      <c r="E1540" s="77">
        <v>5</v>
      </c>
      <c r="F1540" s="1"/>
      <c r="G1540" s="76">
        <v>0.54166666666666663</v>
      </c>
      <c r="H1540" s="76">
        <v>0.66666666666666663</v>
      </c>
      <c r="I1540" s="173" t="s">
        <v>1316</v>
      </c>
      <c r="J1540" s="23">
        <v>3</v>
      </c>
      <c r="K1540" s="23"/>
      <c r="L1540" s="68">
        <v>0.5625</v>
      </c>
      <c r="M1540" s="68">
        <v>0.66666666666666663</v>
      </c>
      <c r="N1540" s="173" t="s">
        <v>1298</v>
      </c>
      <c r="O1540" s="23">
        <v>1350</v>
      </c>
      <c r="P1540" s="70">
        <v>0.54166666666666663</v>
      </c>
      <c r="Q1540" s="70">
        <v>0.66666666666666663</v>
      </c>
      <c r="R1540" s="229" t="s">
        <v>1316</v>
      </c>
    </row>
    <row r="1541" spans="1:18" x14ac:dyDescent="0.4">
      <c r="A1541" s="212">
        <v>45996</v>
      </c>
      <c r="B1541" s="139" t="s">
        <v>72</v>
      </c>
      <c r="C1541" s="30" t="s">
        <v>227</v>
      </c>
      <c r="D1541" s="296">
        <v>24</v>
      </c>
      <c r="E1541" s="77">
        <v>5</v>
      </c>
      <c r="F1541" s="1"/>
      <c r="G1541" s="76">
        <v>0.29166666666666669</v>
      </c>
      <c r="H1541" s="76">
        <v>0.5</v>
      </c>
      <c r="I1541" s="173" t="s">
        <v>1327</v>
      </c>
      <c r="J1541" s="23">
        <v>3</v>
      </c>
      <c r="K1541" s="68"/>
      <c r="L1541" s="68">
        <v>0.3125</v>
      </c>
      <c r="M1541" s="68">
        <v>0.5625</v>
      </c>
      <c r="N1541" s="173" t="s">
        <v>1327</v>
      </c>
      <c r="O1541" s="23">
        <v>2400</v>
      </c>
      <c r="P1541" s="70">
        <v>0.29166666666666669</v>
      </c>
      <c r="Q1541" s="70">
        <v>0.5625</v>
      </c>
      <c r="R1541" s="229" t="s">
        <v>1320</v>
      </c>
    </row>
    <row r="1542" spans="1:18" x14ac:dyDescent="0.4">
      <c r="A1542" s="212">
        <v>45996</v>
      </c>
      <c r="B1542" s="139" t="s">
        <v>1089</v>
      </c>
      <c r="C1542" s="30" t="s">
        <v>231</v>
      </c>
      <c r="D1542" s="296">
        <v>10</v>
      </c>
      <c r="E1542" s="77">
        <v>3</v>
      </c>
      <c r="F1542" s="1"/>
      <c r="G1542" s="76">
        <v>0.4375</v>
      </c>
      <c r="H1542" s="76">
        <v>0.8125</v>
      </c>
      <c r="I1542" s="173" t="s">
        <v>1292</v>
      </c>
      <c r="J1542" s="23">
        <v>7</v>
      </c>
      <c r="K1542" s="23"/>
      <c r="L1542" s="68">
        <v>0.61805555555555558</v>
      </c>
      <c r="M1542" s="68">
        <v>0.85416666666666663</v>
      </c>
      <c r="N1542" s="173" t="s">
        <v>1339</v>
      </c>
      <c r="O1542" s="23">
        <v>3820</v>
      </c>
      <c r="P1542" s="70">
        <v>0.4375</v>
      </c>
      <c r="Q1542" s="70">
        <v>0.85416666666666663</v>
      </c>
      <c r="R1542" s="229" t="s">
        <v>1252</v>
      </c>
    </row>
    <row r="1543" spans="1:18" x14ac:dyDescent="0.4">
      <c r="A1543" s="212">
        <v>45996</v>
      </c>
      <c r="B1543" s="139" t="s">
        <v>104</v>
      </c>
      <c r="C1543" s="30" t="s">
        <v>191</v>
      </c>
      <c r="D1543" s="296">
        <v>20</v>
      </c>
      <c r="E1543" s="77">
        <v>3</v>
      </c>
      <c r="F1543" s="76">
        <v>2.0833333333333332E-2</v>
      </c>
      <c r="G1543" s="76">
        <v>0.29166666666666669</v>
      </c>
      <c r="H1543" s="76">
        <v>0.4513888888888889</v>
      </c>
      <c r="I1543" s="173" t="s">
        <v>1379</v>
      </c>
      <c r="J1543" s="23">
        <v>4</v>
      </c>
      <c r="K1543" s="23"/>
      <c r="L1543" s="68">
        <v>0.29166666666666669</v>
      </c>
      <c r="M1543" s="68">
        <v>0.49305555555555558</v>
      </c>
      <c r="N1543" s="173" t="s">
        <v>1258</v>
      </c>
      <c r="O1543" s="23">
        <v>1940</v>
      </c>
      <c r="P1543" s="70">
        <v>0.29166666666666669</v>
      </c>
      <c r="Q1543" s="70">
        <v>0.49305555555555558</v>
      </c>
      <c r="R1543" s="229" t="s">
        <v>1258</v>
      </c>
    </row>
    <row r="1544" spans="1:18" x14ac:dyDescent="0.4">
      <c r="A1544" s="212">
        <v>45999</v>
      </c>
      <c r="B1544" s="139" t="s">
        <v>64</v>
      </c>
      <c r="C1544" s="30" t="s">
        <v>271</v>
      </c>
      <c r="D1544" s="296">
        <v>24</v>
      </c>
      <c r="E1544" s="77">
        <v>5</v>
      </c>
      <c r="F1544" s="1"/>
      <c r="G1544" s="76">
        <v>0.29166666666666669</v>
      </c>
      <c r="H1544" s="76">
        <v>0.56944444444444442</v>
      </c>
      <c r="I1544" s="173" t="s">
        <v>1339</v>
      </c>
      <c r="J1544" s="23">
        <v>3</v>
      </c>
      <c r="K1544" s="23"/>
      <c r="L1544" s="68">
        <v>0.3125</v>
      </c>
      <c r="M1544" s="68">
        <v>0.625</v>
      </c>
      <c r="N1544" s="173" t="s">
        <v>1329</v>
      </c>
      <c r="O1544" s="23">
        <v>2870</v>
      </c>
      <c r="P1544" s="70">
        <v>0.29166666666666669</v>
      </c>
      <c r="Q1544" s="70">
        <v>0.625</v>
      </c>
      <c r="R1544" s="229" t="s">
        <v>1341</v>
      </c>
    </row>
    <row r="1545" spans="1:18" x14ac:dyDescent="0.4">
      <c r="A1545" s="212">
        <v>45999</v>
      </c>
      <c r="B1545" s="139" t="s">
        <v>63</v>
      </c>
      <c r="C1545" s="30" t="s">
        <v>267</v>
      </c>
      <c r="D1545" s="296">
        <v>16</v>
      </c>
      <c r="E1545" s="77">
        <v>5</v>
      </c>
      <c r="F1545" s="1"/>
      <c r="G1545" s="76">
        <v>0.56944444444444442</v>
      </c>
      <c r="H1545" s="76">
        <v>0.75</v>
      </c>
      <c r="I1545" s="173" t="s">
        <v>1379</v>
      </c>
      <c r="J1545" s="23">
        <v>3</v>
      </c>
      <c r="K1545" s="23"/>
      <c r="L1545" s="68">
        <v>0.625</v>
      </c>
      <c r="M1545" s="68">
        <v>0.75</v>
      </c>
      <c r="N1545" s="173" t="s">
        <v>1316</v>
      </c>
      <c r="O1545" s="23">
        <v>1840</v>
      </c>
      <c r="P1545" s="70">
        <v>0.56944444444444442</v>
      </c>
      <c r="Q1545" s="70">
        <v>0.75</v>
      </c>
      <c r="R1545" s="229" t="s">
        <v>1379</v>
      </c>
    </row>
    <row r="1546" spans="1:18" x14ac:dyDescent="0.4">
      <c r="A1546" s="212">
        <v>45999</v>
      </c>
      <c r="B1546" s="139" t="s">
        <v>110</v>
      </c>
      <c r="C1546" s="30" t="s">
        <v>231</v>
      </c>
      <c r="D1546" s="296">
        <v>21</v>
      </c>
      <c r="E1546" s="77">
        <v>4</v>
      </c>
      <c r="F1546" s="1"/>
      <c r="G1546" s="76">
        <v>0.29166666666666669</v>
      </c>
      <c r="H1546" s="76">
        <v>0.66666666666666663</v>
      </c>
      <c r="I1546" s="173" t="s">
        <v>1292</v>
      </c>
      <c r="J1546" s="23">
        <v>7</v>
      </c>
      <c r="K1546" s="23"/>
      <c r="L1546" s="68">
        <v>0.3125</v>
      </c>
      <c r="M1546" s="68">
        <v>0.70833333333333337</v>
      </c>
      <c r="N1546" s="173" t="s">
        <v>990</v>
      </c>
      <c r="O1546" s="23">
        <v>5490</v>
      </c>
      <c r="P1546" s="70">
        <v>0.29166666666666669</v>
      </c>
      <c r="Q1546" s="70">
        <v>0.70833333333333337</v>
      </c>
      <c r="R1546" s="229" t="s">
        <v>1252</v>
      </c>
    </row>
    <row r="1547" spans="1:18" x14ac:dyDescent="0.4">
      <c r="A1547" s="212">
        <v>45999</v>
      </c>
      <c r="B1547" s="139" t="s">
        <v>58</v>
      </c>
      <c r="C1547" s="30" t="s">
        <v>165</v>
      </c>
      <c r="D1547" s="296">
        <v>28</v>
      </c>
      <c r="E1547" s="77">
        <v>3</v>
      </c>
      <c r="F1547" s="76">
        <v>2.0833333333333332E-2</v>
      </c>
      <c r="G1547" s="76">
        <v>0.45833333333333331</v>
      </c>
      <c r="H1547" s="76">
        <v>0.72916666666666663</v>
      </c>
      <c r="I1547" s="173" t="s">
        <v>1321</v>
      </c>
      <c r="J1547" s="23">
        <v>6</v>
      </c>
      <c r="K1547" s="23"/>
      <c r="L1547" s="68">
        <v>0.29166666666666669</v>
      </c>
      <c r="M1547" s="68">
        <v>0.79513888888888884</v>
      </c>
      <c r="N1547" s="173" t="s">
        <v>1610</v>
      </c>
      <c r="O1547" s="23">
        <v>5070</v>
      </c>
      <c r="P1547" s="70">
        <v>0.29166666666666669</v>
      </c>
      <c r="Q1547" s="70">
        <v>0.79513888888888884</v>
      </c>
      <c r="R1547" s="229" t="s">
        <v>1610</v>
      </c>
    </row>
    <row r="1548" spans="1:18" x14ac:dyDescent="0.4">
      <c r="A1548" s="212">
        <v>46000</v>
      </c>
      <c r="B1548" s="139" t="s">
        <v>71</v>
      </c>
      <c r="C1548" s="30" t="s">
        <v>176</v>
      </c>
      <c r="D1548" s="296">
        <v>72</v>
      </c>
      <c r="E1548" s="77">
        <v>6</v>
      </c>
      <c r="F1548" s="1"/>
      <c r="G1548" s="76">
        <v>0.29166666666666669</v>
      </c>
      <c r="H1548" s="76">
        <v>0.6875</v>
      </c>
      <c r="I1548" s="173" t="s">
        <v>990</v>
      </c>
      <c r="J1548" s="23">
        <v>5</v>
      </c>
      <c r="K1548" s="23"/>
      <c r="L1548" s="68">
        <v>0.3125</v>
      </c>
      <c r="M1548" s="68">
        <v>0.70833333333333337</v>
      </c>
      <c r="N1548" s="173" t="s">
        <v>990</v>
      </c>
      <c r="O1548" s="23">
        <v>5610</v>
      </c>
      <c r="P1548" s="70">
        <v>0.29166666666666669</v>
      </c>
      <c r="Q1548" s="70">
        <v>0.70833333333333337</v>
      </c>
      <c r="R1548" s="229" t="s">
        <v>1252</v>
      </c>
    </row>
    <row r="1549" spans="1:18" x14ac:dyDescent="0.4">
      <c r="A1549" s="212">
        <v>46000</v>
      </c>
      <c r="B1549" s="139" t="s">
        <v>76</v>
      </c>
      <c r="C1549" s="30" t="s">
        <v>224</v>
      </c>
      <c r="D1549" s="296">
        <v>0.5</v>
      </c>
      <c r="E1549" s="77">
        <v>5</v>
      </c>
      <c r="F1549" s="1"/>
      <c r="G1549" s="76">
        <v>0.4548611111111111</v>
      </c>
      <c r="H1549" s="76">
        <v>0.4597222222222222</v>
      </c>
      <c r="I1549" s="173" t="s">
        <v>1660</v>
      </c>
      <c r="J1549" s="23">
        <v>3</v>
      </c>
      <c r="K1549" s="23"/>
      <c r="L1549" s="68">
        <v>0.47916666666666669</v>
      </c>
      <c r="M1549" s="68">
        <v>0.56944444444444442</v>
      </c>
      <c r="N1549" s="173" t="s">
        <v>1442</v>
      </c>
      <c r="O1549" s="23">
        <v>245</v>
      </c>
      <c r="P1549" s="70">
        <v>0.4548611111111111</v>
      </c>
      <c r="Q1549" s="70">
        <v>0.56944444444444442</v>
      </c>
      <c r="R1549" s="229" t="s">
        <v>1246</v>
      </c>
    </row>
    <row r="1550" spans="1:18" x14ac:dyDescent="0.4">
      <c r="A1550" s="212">
        <v>46000</v>
      </c>
      <c r="B1550" s="139" t="s">
        <v>63</v>
      </c>
      <c r="C1550" s="30" t="s">
        <v>267</v>
      </c>
      <c r="D1550" s="296">
        <v>24</v>
      </c>
      <c r="E1550" s="77">
        <v>5</v>
      </c>
      <c r="F1550" s="1"/>
      <c r="G1550" s="76">
        <v>0.54166666666666663</v>
      </c>
      <c r="H1550" s="76">
        <v>0.75</v>
      </c>
      <c r="I1550" s="173" t="s">
        <v>1327</v>
      </c>
      <c r="J1550" s="23">
        <v>3</v>
      </c>
      <c r="K1550" s="23"/>
      <c r="L1550" s="68">
        <v>0.56944444444444442</v>
      </c>
      <c r="M1550" s="68">
        <v>0.75</v>
      </c>
      <c r="N1550" s="173" t="s">
        <v>1379</v>
      </c>
      <c r="O1550" s="23">
        <v>2280</v>
      </c>
      <c r="P1550" s="70">
        <v>0.54166666666666663</v>
      </c>
      <c r="Q1550" s="70">
        <v>0.75</v>
      </c>
      <c r="R1550" s="229" t="s">
        <v>1327</v>
      </c>
    </row>
    <row r="1551" spans="1:18" x14ac:dyDescent="0.4">
      <c r="A1551" s="212">
        <v>46000</v>
      </c>
      <c r="B1551" s="139" t="s">
        <v>72</v>
      </c>
      <c r="C1551" s="30" t="s">
        <v>227</v>
      </c>
      <c r="D1551" s="296">
        <v>20</v>
      </c>
      <c r="E1551" s="77">
        <v>5</v>
      </c>
      <c r="F1551" s="1"/>
      <c r="G1551" s="76">
        <v>0.29166666666666669</v>
      </c>
      <c r="H1551" s="76">
        <v>0.4548611111111111</v>
      </c>
      <c r="I1551" s="173" t="s">
        <v>1359</v>
      </c>
      <c r="J1551" s="23">
        <v>3</v>
      </c>
      <c r="K1551" s="23"/>
      <c r="L1551" s="68">
        <v>0.3125</v>
      </c>
      <c r="M1551" s="68">
        <v>0.47916666666666669</v>
      </c>
      <c r="N1551" s="173" t="s">
        <v>1244</v>
      </c>
      <c r="O1551" s="23">
        <v>1895</v>
      </c>
      <c r="P1551" s="70">
        <v>0.29166666666666669</v>
      </c>
      <c r="Q1551" s="70">
        <v>0.47916666666666669</v>
      </c>
      <c r="R1551" s="229" t="s">
        <v>1243</v>
      </c>
    </row>
    <row r="1552" spans="1:18" x14ac:dyDescent="0.4">
      <c r="A1552" s="212">
        <v>46000</v>
      </c>
      <c r="B1552" s="139" t="s">
        <v>65</v>
      </c>
      <c r="C1552" s="30" t="s">
        <v>189</v>
      </c>
      <c r="D1552" s="296">
        <v>68</v>
      </c>
      <c r="E1552" s="77">
        <v>3</v>
      </c>
      <c r="F1552" s="76">
        <v>4.1666666666666664E-2</v>
      </c>
      <c r="G1552" s="76">
        <v>0.29166666666666669</v>
      </c>
      <c r="H1552" s="76">
        <v>0.65277777777777779</v>
      </c>
      <c r="I1552" s="173" t="s">
        <v>1351</v>
      </c>
      <c r="J1552" s="23">
        <v>4</v>
      </c>
      <c r="K1552" s="23"/>
      <c r="L1552" s="68">
        <v>0.29166666666666669</v>
      </c>
      <c r="M1552" s="68">
        <v>0.70138888888888884</v>
      </c>
      <c r="N1552" s="173" t="s">
        <v>1395</v>
      </c>
      <c r="O1552" s="23">
        <v>3680</v>
      </c>
      <c r="P1552" s="70">
        <v>0.29166666666666669</v>
      </c>
      <c r="Q1552" s="70">
        <v>0.70138888888888884</v>
      </c>
      <c r="R1552" s="229" t="s">
        <v>1395</v>
      </c>
    </row>
    <row r="1553" spans="1:18" x14ac:dyDescent="0.4">
      <c r="A1553" s="212">
        <v>46001</v>
      </c>
      <c r="B1553" s="139" t="s">
        <v>68</v>
      </c>
      <c r="C1553" s="30" t="s">
        <v>185</v>
      </c>
      <c r="D1553" s="296">
        <v>20</v>
      </c>
      <c r="E1553" s="77">
        <v>5</v>
      </c>
      <c r="F1553" s="1"/>
      <c r="G1553" s="76">
        <v>0.46597222222222223</v>
      </c>
      <c r="H1553" s="76">
        <v>0.70833333333333337</v>
      </c>
      <c r="I1553" s="173" t="s">
        <v>1661</v>
      </c>
      <c r="J1553" s="23">
        <v>5</v>
      </c>
      <c r="K1553" s="23"/>
      <c r="L1553" s="68">
        <v>0.54166666666666663</v>
      </c>
      <c r="M1553" s="68">
        <v>0.72916666666666663</v>
      </c>
      <c r="N1553" s="173" t="s">
        <v>1243</v>
      </c>
      <c r="O1553" s="23">
        <v>2795</v>
      </c>
      <c r="P1553" s="70">
        <v>0.46597222222222223</v>
      </c>
      <c r="Q1553" s="70">
        <v>0.72916666666666663</v>
      </c>
      <c r="R1553" s="229" t="s">
        <v>1632</v>
      </c>
    </row>
    <row r="1554" spans="1:18" x14ac:dyDescent="0.4">
      <c r="A1554" s="212">
        <v>46001</v>
      </c>
      <c r="B1554" s="139" t="s">
        <v>109</v>
      </c>
      <c r="C1554" s="30" t="s">
        <v>263</v>
      </c>
      <c r="D1554" s="296">
        <v>12</v>
      </c>
      <c r="E1554" s="77">
        <v>5</v>
      </c>
      <c r="F1554" s="1"/>
      <c r="G1554" s="76">
        <v>0.39027777777777778</v>
      </c>
      <c r="H1554" s="76">
        <v>0.46597222222222223</v>
      </c>
      <c r="I1554" s="173" t="s">
        <v>1532</v>
      </c>
      <c r="J1554" s="23">
        <v>3</v>
      </c>
      <c r="K1554" s="23"/>
      <c r="L1554" s="68">
        <v>0.40277777777777773</v>
      </c>
      <c r="M1554" s="68">
        <v>0.5</v>
      </c>
      <c r="N1554" s="173" t="s">
        <v>1313</v>
      </c>
      <c r="O1554" s="23">
        <v>965</v>
      </c>
      <c r="P1554" s="70">
        <v>0.39027777777777778</v>
      </c>
      <c r="Q1554" s="70">
        <v>0.5</v>
      </c>
      <c r="R1554" s="229" t="s">
        <v>1450</v>
      </c>
    </row>
    <row r="1555" spans="1:18" x14ac:dyDescent="0.4">
      <c r="A1555" s="212">
        <v>46001</v>
      </c>
      <c r="B1555" s="139" t="s">
        <v>1045</v>
      </c>
      <c r="C1555" s="30" t="s">
        <v>1056</v>
      </c>
      <c r="D1555" s="296">
        <v>6</v>
      </c>
      <c r="E1555" s="77">
        <v>5</v>
      </c>
      <c r="F1555" s="1"/>
      <c r="G1555" s="76">
        <v>0.29166666666666669</v>
      </c>
      <c r="H1555" s="76">
        <v>0.36527777777777781</v>
      </c>
      <c r="I1555" s="173" t="s">
        <v>1413</v>
      </c>
      <c r="J1555" s="23">
        <v>3</v>
      </c>
      <c r="K1555" s="23"/>
      <c r="L1555" s="68">
        <v>0.3125</v>
      </c>
      <c r="M1555" s="68">
        <v>0.40277777777777773</v>
      </c>
      <c r="N1555" s="173" t="s">
        <v>1248</v>
      </c>
      <c r="O1555" s="23">
        <v>920</v>
      </c>
      <c r="P1555" s="70">
        <v>0.29166666666666669</v>
      </c>
      <c r="Q1555" s="70">
        <v>0.40277777777777773</v>
      </c>
      <c r="R1555" s="229" t="s">
        <v>1325</v>
      </c>
    </row>
    <row r="1556" spans="1:18" x14ac:dyDescent="0.4">
      <c r="A1556" s="212">
        <v>46001</v>
      </c>
      <c r="B1556" s="139" t="s">
        <v>63</v>
      </c>
      <c r="C1556" s="30" t="s">
        <v>267</v>
      </c>
      <c r="D1556" s="296">
        <v>20</v>
      </c>
      <c r="E1556" s="77">
        <v>5</v>
      </c>
      <c r="F1556" s="1"/>
      <c r="G1556" s="76">
        <v>0.54166666666666663</v>
      </c>
      <c r="H1556" s="76">
        <v>0.70833333333333337</v>
      </c>
      <c r="I1556" s="173" t="s">
        <v>1244</v>
      </c>
      <c r="J1556" s="23">
        <v>3</v>
      </c>
      <c r="K1556" s="23"/>
      <c r="L1556" s="68">
        <v>0.54166666666666663</v>
      </c>
      <c r="M1556" s="68">
        <v>0.70833333333333337</v>
      </c>
      <c r="N1556" s="173" t="s">
        <v>1244</v>
      </c>
      <c r="O1556" s="23">
        <v>1920</v>
      </c>
      <c r="P1556" s="70">
        <v>0.54166666666666663</v>
      </c>
      <c r="Q1556" s="70">
        <v>0.70833333333333337</v>
      </c>
      <c r="R1556" s="229" t="s">
        <v>1244</v>
      </c>
    </row>
    <row r="1557" spans="1:18" x14ac:dyDescent="0.4">
      <c r="A1557" s="212">
        <v>46001</v>
      </c>
      <c r="B1557" s="139" t="s">
        <v>66</v>
      </c>
      <c r="C1557" s="30" t="s">
        <v>195</v>
      </c>
      <c r="D1557" s="296">
        <v>20</v>
      </c>
      <c r="E1557" s="77">
        <v>3</v>
      </c>
      <c r="F1557" s="76">
        <v>4.1666666666666664E-2</v>
      </c>
      <c r="G1557" s="76">
        <v>0.29166666666666669</v>
      </c>
      <c r="H1557" s="76">
        <v>0.4236111111111111</v>
      </c>
      <c r="I1557" s="173" t="s">
        <v>1311</v>
      </c>
      <c r="J1557" s="23">
        <v>4</v>
      </c>
      <c r="K1557" s="23"/>
      <c r="L1557" s="68">
        <v>0.29166666666666669</v>
      </c>
      <c r="M1557" s="68">
        <v>0.54861111111111105</v>
      </c>
      <c r="N1557" s="173" t="s">
        <v>1257</v>
      </c>
      <c r="O1557" s="23">
        <v>1990</v>
      </c>
      <c r="P1557" s="70">
        <v>0.29166666666666669</v>
      </c>
      <c r="Q1557" s="70">
        <v>0.54861111111111105</v>
      </c>
      <c r="R1557" s="229" t="s">
        <v>1257</v>
      </c>
    </row>
    <row r="1558" spans="1:18" x14ac:dyDescent="0.4">
      <c r="A1558" s="212">
        <v>46001</v>
      </c>
      <c r="B1558" s="139" t="s">
        <v>96</v>
      </c>
      <c r="C1558" s="30" t="s">
        <v>167</v>
      </c>
      <c r="D1558" s="296">
        <v>16</v>
      </c>
      <c r="E1558" s="77">
        <v>3</v>
      </c>
      <c r="F1558" s="1"/>
      <c r="G1558" s="76">
        <v>0.4236111111111111</v>
      </c>
      <c r="H1558" s="76">
        <v>0.62152777777777779</v>
      </c>
      <c r="I1558" s="173" t="s">
        <v>1380</v>
      </c>
      <c r="J1558" s="23">
        <v>6</v>
      </c>
      <c r="K1558" s="23"/>
      <c r="L1558" s="68">
        <v>0.54861111111111105</v>
      </c>
      <c r="M1558" s="68">
        <v>0.70486111111111116</v>
      </c>
      <c r="N1558" s="173" t="s">
        <v>1380</v>
      </c>
      <c r="O1558" s="23">
        <v>2025</v>
      </c>
      <c r="P1558" s="70">
        <v>0.4236111111111111</v>
      </c>
      <c r="Q1558" s="70">
        <v>0.70486111111111116</v>
      </c>
      <c r="R1558" s="229" t="s">
        <v>1330</v>
      </c>
    </row>
    <row r="1559" spans="1:18" x14ac:dyDescent="0.4">
      <c r="A1559" s="246">
        <v>46001</v>
      </c>
      <c r="B1559" s="102" t="s">
        <v>434</v>
      </c>
      <c r="C1559" s="136" t="s">
        <v>545</v>
      </c>
      <c r="D1559" s="298">
        <v>70</v>
      </c>
      <c r="E1559" s="103"/>
      <c r="F1559" s="104"/>
      <c r="G1559" s="184"/>
      <c r="H1559" s="184"/>
      <c r="I1559" s="225" t="s">
        <v>1002</v>
      </c>
      <c r="J1559" s="105"/>
      <c r="K1559" s="105"/>
      <c r="L1559" s="106"/>
      <c r="M1559" s="106"/>
      <c r="N1559" s="225" t="s">
        <v>1002</v>
      </c>
      <c r="O1559" s="105">
        <v>0</v>
      </c>
      <c r="P1559" s="247">
        <v>0</v>
      </c>
      <c r="Q1559" s="247">
        <v>0</v>
      </c>
      <c r="R1559" s="232" t="s">
        <v>1002</v>
      </c>
    </row>
    <row r="1560" spans="1:18" x14ac:dyDescent="0.4">
      <c r="A1560" s="246">
        <v>46001</v>
      </c>
      <c r="B1560" s="102" t="s">
        <v>500</v>
      </c>
      <c r="C1560" s="136" t="s">
        <v>506</v>
      </c>
      <c r="D1560" s="298">
        <v>30</v>
      </c>
      <c r="E1560" s="103"/>
      <c r="F1560" s="104"/>
      <c r="G1560" s="184"/>
      <c r="H1560" s="184"/>
      <c r="I1560" s="225" t="s">
        <v>1002</v>
      </c>
      <c r="J1560" s="105"/>
      <c r="K1560" s="105"/>
      <c r="L1560" s="106"/>
      <c r="M1560" s="106"/>
      <c r="N1560" s="225" t="s">
        <v>1002</v>
      </c>
      <c r="O1560" s="105">
        <v>0</v>
      </c>
      <c r="P1560" s="247">
        <v>0</v>
      </c>
      <c r="Q1560" s="247">
        <v>0</v>
      </c>
      <c r="R1560" s="232" t="s">
        <v>1002</v>
      </c>
    </row>
    <row r="1561" spans="1:18" x14ac:dyDescent="0.4">
      <c r="A1561" s="212">
        <v>46002</v>
      </c>
      <c r="B1561" s="139" t="s">
        <v>71</v>
      </c>
      <c r="C1561" s="30" t="s">
        <v>176</v>
      </c>
      <c r="D1561" s="296">
        <v>36</v>
      </c>
      <c r="E1561" s="77">
        <v>6</v>
      </c>
      <c r="F1561" s="1"/>
      <c r="G1561" s="76">
        <v>0.29166666666666669</v>
      </c>
      <c r="H1561" s="76">
        <v>0.5</v>
      </c>
      <c r="I1561" s="173" t="s">
        <v>1327</v>
      </c>
      <c r="J1561" s="23">
        <v>5</v>
      </c>
      <c r="K1561" s="23"/>
      <c r="L1561" s="68">
        <v>0.3125</v>
      </c>
      <c r="M1561" s="68">
        <v>0.56944444444444442</v>
      </c>
      <c r="N1561" s="173" t="s">
        <v>1257</v>
      </c>
      <c r="O1561" s="23">
        <v>3350</v>
      </c>
      <c r="P1561" s="70">
        <v>0.29166666666666669</v>
      </c>
      <c r="Q1561" s="70">
        <v>0.56944444444444442</v>
      </c>
      <c r="R1561" s="229" t="s">
        <v>1339</v>
      </c>
    </row>
    <row r="1562" spans="1:18" x14ac:dyDescent="0.4">
      <c r="A1562" s="212">
        <v>46002</v>
      </c>
      <c r="B1562" s="139" t="s">
        <v>87</v>
      </c>
      <c r="C1562" s="30" t="s">
        <v>199</v>
      </c>
      <c r="D1562" s="296">
        <v>36</v>
      </c>
      <c r="E1562" s="77">
        <v>6</v>
      </c>
      <c r="F1562" s="1"/>
      <c r="G1562" s="76">
        <v>0.54166666666666663</v>
      </c>
      <c r="H1562" s="76">
        <v>0.70833333333333337</v>
      </c>
      <c r="I1562" s="173" t="s">
        <v>1244</v>
      </c>
      <c r="J1562" s="23">
        <v>5</v>
      </c>
      <c r="K1562" s="23"/>
      <c r="L1562" s="68">
        <v>0.56944444444444442</v>
      </c>
      <c r="M1562" s="68">
        <v>0.64583333333333337</v>
      </c>
      <c r="N1562" s="173" t="s">
        <v>1377</v>
      </c>
      <c r="O1562" s="23">
        <v>1990</v>
      </c>
      <c r="P1562" s="70">
        <v>0.54166666666666663</v>
      </c>
      <c r="Q1562" s="70">
        <v>0.70833333333333337</v>
      </c>
      <c r="R1562" s="229" t="s">
        <v>1244</v>
      </c>
    </row>
    <row r="1563" spans="1:18" x14ac:dyDescent="0.4">
      <c r="A1563" s="212">
        <v>46002</v>
      </c>
      <c r="B1563" s="139" t="s">
        <v>88</v>
      </c>
      <c r="C1563" s="30" t="s">
        <v>328</v>
      </c>
      <c r="D1563" s="296">
        <v>32</v>
      </c>
      <c r="E1563" s="23">
        <v>5</v>
      </c>
      <c r="F1563" s="23"/>
      <c r="G1563" s="68">
        <v>0.29166666666666669</v>
      </c>
      <c r="H1563" s="68">
        <v>0.57708333333333328</v>
      </c>
      <c r="I1563" s="173" t="s">
        <v>1400</v>
      </c>
      <c r="J1563" s="23">
        <v>3</v>
      </c>
      <c r="K1563" s="23"/>
      <c r="L1563" s="68">
        <v>0.3125</v>
      </c>
      <c r="M1563" s="68">
        <v>0.60416666666666663</v>
      </c>
      <c r="N1563" s="173" t="s">
        <v>1321</v>
      </c>
      <c r="O1563" s="23">
        <v>2835</v>
      </c>
      <c r="P1563" s="70">
        <v>0.29166666666666669</v>
      </c>
      <c r="Q1563" s="70">
        <v>0.60416666666666663</v>
      </c>
      <c r="R1563" s="229" t="s">
        <v>1329</v>
      </c>
    </row>
    <row r="1564" spans="1:18" x14ac:dyDescent="0.4">
      <c r="A1564" s="212">
        <v>46002</v>
      </c>
      <c r="B1564" s="139" t="s">
        <v>75</v>
      </c>
      <c r="C1564" s="30" t="s">
        <v>229</v>
      </c>
      <c r="D1564" s="296">
        <v>8</v>
      </c>
      <c r="E1564" s="23">
        <v>5</v>
      </c>
      <c r="F1564" s="23"/>
      <c r="G1564" s="68">
        <v>0.57708333333333328</v>
      </c>
      <c r="H1564" s="68">
        <v>0.66666666666666663</v>
      </c>
      <c r="I1564" s="173" t="s">
        <v>1655</v>
      </c>
      <c r="J1564" s="23">
        <v>3</v>
      </c>
      <c r="K1564" s="23"/>
      <c r="L1564" s="68">
        <v>0.60416666666666663</v>
      </c>
      <c r="M1564" s="68">
        <v>0.6875</v>
      </c>
      <c r="N1564" s="173" t="s">
        <v>1296</v>
      </c>
      <c r="O1564" s="23">
        <v>1005</v>
      </c>
      <c r="P1564" s="70">
        <v>0.57708333333333328</v>
      </c>
      <c r="Q1564" s="70">
        <v>0.6875</v>
      </c>
      <c r="R1564" s="229" t="s">
        <v>1662</v>
      </c>
    </row>
    <row r="1565" spans="1:18" x14ac:dyDescent="0.4">
      <c r="A1565" s="241">
        <v>46002</v>
      </c>
      <c r="B1565" s="139" t="s">
        <v>65</v>
      </c>
      <c r="C1565" s="30" t="s">
        <v>189</v>
      </c>
      <c r="D1565" s="296">
        <v>32</v>
      </c>
      <c r="E1565" s="77">
        <v>3</v>
      </c>
      <c r="F1565" s="76">
        <v>2.0833333333333332E-2</v>
      </c>
      <c r="G1565" s="76">
        <v>0.29166666666666669</v>
      </c>
      <c r="H1565" s="76">
        <v>0.47222222222222227</v>
      </c>
      <c r="I1565" s="173" t="s">
        <v>1258</v>
      </c>
      <c r="J1565" s="23">
        <v>4</v>
      </c>
      <c r="K1565" s="23"/>
      <c r="L1565" s="68">
        <v>0.29166666666666669</v>
      </c>
      <c r="M1565" s="68">
        <v>0.51388888888888895</v>
      </c>
      <c r="N1565" s="173" t="s">
        <v>1357</v>
      </c>
      <c r="O1565" s="23">
        <v>2150</v>
      </c>
      <c r="P1565" s="70">
        <v>0.29166666666666669</v>
      </c>
      <c r="Q1565" s="70">
        <v>0.51388888888888895</v>
      </c>
      <c r="R1565" s="229" t="s">
        <v>1357</v>
      </c>
    </row>
    <row r="1566" spans="1:18" x14ac:dyDescent="0.4">
      <c r="A1566" s="212">
        <v>46002</v>
      </c>
      <c r="B1566" s="139" t="s">
        <v>536</v>
      </c>
      <c r="C1566" s="30" t="s">
        <v>306</v>
      </c>
      <c r="D1566" s="296">
        <v>6</v>
      </c>
      <c r="E1566" s="77">
        <v>3</v>
      </c>
      <c r="F1566" s="76">
        <v>2.0833333333333332E-2</v>
      </c>
      <c r="G1566" s="76">
        <v>0.45833333333333331</v>
      </c>
      <c r="H1566" s="76">
        <v>0.66666666666666663</v>
      </c>
      <c r="I1566" s="173" t="s">
        <v>1243</v>
      </c>
      <c r="J1566" s="23">
        <v>8</v>
      </c>
      <c r="K1566" s="23"/>
      <c r="L1566" s="68">
        <v>0.41666666666666669</v>
      </c>
      <c r="M1566" s="68">
        <v>0.70833333333333337</v>
      </c>
      <c r="N1566" s="173" t="s">
        <v>1321</v>
      </c>
      <c r="O1566" s="23">
        <v>3690</v>
      </c>
      <c r="P1566" s="70">
        <v>0.41666666666666669</v>
      </c>
      <c r="Q1566" s="70">
        <v>0.70833333333333337</v>
      </c>
      <c r="R1566" s="229" t="s">
        <v>1321</v>
      </c>
    </row>
    <row r="1567" spans="1:18" x14ac:dyDescent="0.4">
      <c r="A1567" s="212">
        <v>46003</v>
      </c>
      <c r="B1567" s="139" t="s">
        <v>54</v>
      </c>
      <c r="C1567" s="30" t="s">
        <v>251</v>
      </c>
      <c r="D1567" s="296">
        <v>30</v>
      </c>
      <c r="E1567" s="77">
        <v>5</v>
      </c>
      <c r="F1567" s="1"/>
      <c r="G1567" s="76">
        <v>0.29166666666666669</v>
      </c>
      <c r="H1567" s="76">
        <v>0.58888888888888891</v>
      </c>
      <c r="I1567" s="173" t="s">
        <v>1461</v>
      </c>
      <c r="J1567" s="23">
        <v>3</v>
      </c>
      <c r="K1567" s="23"/>
      <c r="L1567" s="68">
        <v>0.3125</v>
      </c>
      <c r="M1567" s="68">
        <v>0.61111111111111105</v>
      </c>
      <c r="N1567" s="173" t="s">
        <v>1471</v>
      </c>
      <c r="O1567" s="23">
        <v>2950</v>
      </c>
      <c r="P1567" s="70">
        <v>0.29166666666666669</v>
      </c>
      <c r="Q1567" s="70">
        <v>0.61111111111111105</v>
      </c>
      <c r="R1567" s="229" t="s">
        <v>1328</v>
      </c>
    </row>
    <row r="1568" spans="1:18" x14ac:dyDescent="0.4">
      <c r="A1568" s="212">
        <v>46003</v>
      </c>
      <c r="B1568" s="139" t="s">
        <v>51</v>
      </c>
      <c r="C1568" s="30" t="s">
        <v>253</v>
      </c>
      <c r="D1568" s="296">
        <v>12</v>
      </c>
      <c r="E1568" s="77">
        <v>5</v>
      </c>
      <c r="F1568" s="1"/>
      <c r="G1568" s="76">
        <v>0.58888888888888891</v>
      </c>
      <c r="H1568" s="76">
        <v>0.70833333333333337</v>
      </c>
      <c r="I1568" s="173" t="s">
        <v>1344</v>
      </c>
      <c r="J1568" s="23">
        <v>3</v>
      </c>
      <c r="K1568" s="23"/>
      <c r="L1568" s="68">
        <v>0.61111111111111105</v>
      </c>
      <c r="M1568" s="68">
        <v>0.72916666666666663</v>
      </c>
      <c r="N1568" s="173" t="s">
        <v>1314</v>
      </c>
      <c r="O1568" s="23">
        <v>1370</v>
      </c>
      <c r="P1568" s="70">
        <v>0.58888888888888891</v>
      </c>
      <c r="Q1568" s="70">
        <v>0.72916666666666663</v>
      </c>
      <c r="R1568" s="229" t="s">
        <v>1387</v>
      </c>
    </row>
    <row r="1569" spans="1:18" x14ac:dyDescent="0.4">
      <c r="A1569" s="212">
        <v>46003</v>
      </c>
      <c r="B1569" s="139" t="s">
        <v>56</v>
      </c>
      <c r="C1569" s="30" t="s">
        <v>220</v>
      </c>
      <c r="D1569" s="296">
        <v>8</v>
      </c>
      <c r="E1569" s="77">
        <v>5</v>
      </c>
      <c r="F1569" s="1"/>
      <c r="G1569" s="76">
        <v>0.29166666666666669</v>
      </c>
      <c r="H1569" s="76">
        <v>0.37986111111111115</v>
      </c>
      <c r="I1569" s="173" t="s">
        <v>1312</v>
      </c>
      <c r="J1569" s="23">
        <v>4</v>
      </c>
      <c r="K1569" s="23"/>
      <c r="L1569" s="68">
        <v>0.3125</v>
      </c>
      <c r="M1569" s="68">
        <v>0.41666666666666669</v>
      </c>
      <c r="N1569" s="173" t="s">
        <v>1298</v>
      </c>
      <c r="O1569" s="23">
        <v>1235</v>
      </c>
      <c r="P1569" s="70">
        <v>0.29166666666666669</v>
      </c>
      <c r="Q1569" s="70">
        <v>0.41666666666666669</v>
      </c>
      <c r="R1569" s="229" t="s">
        <v>1316</v>
      </c>
    </row>
    <row r="1570" spans="1:18" x14ac:dyDescent="0.4">
      <c r="A1570" s="212">
        <v>46003</v>
      </c>
      <c r="B1570" s="139" t="s">
        <v>101</v>
      </c>
      <c r="C1570" s="30" t="s">
        <v>222</v>
      </c>
      <c r="D1570" s="296">
        <v>3</v>
      </c>
      <c r="E1570" s="77">
        <v>5</v>
      </c>
      <c r="F1570" s="1"/>
      <c r="G1570" s="76">
        <v>0.61805555555555558</v>
      </c>
      <c r="H1570" s="76">
        <v>0.66666666666666663</v>
      </c>
      <c r="I1570" s="173" t="s">
        <v>1442</v>
      </c>
      <c r="J1570" s="23">
        <v>4</v>
      </c>
      <c r="K1570" s="23"/>
      <c r="L1570" s="68">
        <v>0.64930555555555558</v>
      </c>
      <c r="M1570" s="68">
        <v>0.70833333333333337</v>
      </c>
      <c r="N1570" s="173" t="s">
        <v>1534</v>
      </c>
      <c r="O1570" s="23">
        <v>690</v>
      </c>
      <c r="P1570" s="70">
        <v>0.61805555555555558</v>
      </c>
      <c r="Q1570" s="70">
        <v>0.70833333333333337</v>
      </c>
      <c r="R1570" s="229" t="s">
        <v>1248</v>
      </c>
    </row>
    <row r="1571" spans="1:18" x14ac:dyDescent="0.4">
      <c r="A1571" s="212">
        <v>46003</v>
      </c>
      <c r="B1571" s="139" t="s">
        <v>55</v>
      </c>
      <c r="C1571" s="30" t="s">
        <v>208</v>
      </c>
      <c r="D1571" s="296">
        <v>24</v>
      </c>
      <c r="E1571" s="77">
        <v>5</v>
      </c>
      <c r="F1571" s="1"/>
      <c r="G1571" s="76">
        <v>0.37986111111111115</v>
      </c>
      <c r="H1571" s="76">
        <v>0.61805555555555558</v>
      </c>
      <c r="I1571" s="173" t="s">
        <v>1439</v>
      </c>
      <c r="J1571" s="23">
        <v>4</v>
      </c>
      <c r="K1571" s="23"/>
      <c r="L1571" s="68">
        <v>0.41666666666666669</v>
      </c>
      <c r="M1571" s="68">
        <v>0.64930555555555558</v>
      </c>
      <c r="N1571" s="173" t="s">
        <v>1304</v>
      </c>
      <c r="O1571" s="23">
        <v>2515</v>
      </c>
      <c r="P1571" s="70">
        <v>0.37986111111111115</v>
      </c>
      <c r="Q1571" s="70">
        <v>0.64930555555555558</v>
      </c>
      <c r="R1571" s="229" t="s">
        <v>1589</v>
      </c>
    </row>
    <row r="1572" spans="1:18" x14ac:dyDescent="0.4">
      <c r="A1572" s="212">
        <v>46003</v>
      </c>
      <c r="B1572" s="139" t="s">
        <v>82</v>
      </c>
      <c r="C1572" s="30" t="s">
        <v>171</v>
      </c>
      <c r="D1572" s="296">
        <v>24</v>
      </c>
      <c r="E1572" s="77">
        <v>3</v>
      </c>
      <c r="F1572" s="76">
        <v>2.0833333333333332E-2</v>
      </c>
      <c r="G1572" s="76">
        <v>0.29166666666666669</v>
      </c>
      <c r="H1572" s="76">
        <v>0.47916666666666669</v>
      </c>
      <c r="I1572" s="173" t="s">
        <v>1327</v>
      </c>
      <c r="J1572" s="23">
        <v>7</v>
      </c>
      <c r="K1572" s="23"/>
      <c r="L1572" s="68">
        <v>0.29166666666666669</v>
      </c>
      <c r="M1572" s="68">
        <v>0.65625</v>
      </c>
      <c r="N1572" s="173" t="s">
        <v>1453</v>
      </c>
      <c r="O1572" s="23">
        <v>4155</v>
      </c>
      <c r="P1572" s="70">
        <v>0.29166666666666669</v>
      </c>
      <c r="Q1572" s="70">
        <v>0.65625</v>
      </c>
      <c r="R1572" s="229" t="s">
        <v>1453</v>
      </c>
    </row>
    <row r="1573" spans="1:18" x14ac:dyDescent="0.4">
      <c r="A1573" s="212">
        <v>46003</v>
      </c>
      <c r="B1573" s="139" t="s">
        <v>83</v>
      </c>
      <c r="C1573" s="30" t="s">
        <v>169</v>
      </c>
      <c r="D1573" s="296">
        <v>12</v>
      </c>
      <c r="E1573" s="77">
        <v>3</v>
      </c>
      <c r="F1573" s="1"/>
      <c r="G1573" s="76">
        <v>0.47916666666666669</v>
      </c>
      <c r="H1573" s="76">
        <v>0.68055555555555547</v>
      </c>
      <c r="I1573" s="173" t="s">
        <v>1332</v>
      </c>
      <c r="J1573" s="23">
        <v>7</v>
      </c>
      <c r="K1573" s="23"/>
      <c r="L1573" s="68">
        <v>0.65625</v>
      </c>
      <c r="M1573" s="68">
        <v>0.77083333333333337</v>
      </c>
      <c r="N1573" s="173" t="s">
        <v>1315</v>
      </c>
      <c r="O1573" s="23">
        <v>1845</v>
      </c>
      <c r="P1573" s="70">
        <v>0.47916666666666669</v>
      </c>
      <c r="Q1573" s="70">
        <v>0.77083333333333337</v>
      </c>
      <c r="R1573" s="229" t="s">
        <v>1321</v>
      </c>
    </row>
    <row r="1574" spans="1:18" x14ac:dyDescent="0.4">
      <c r="A1574" s="402">
        <v>46006</v>
      </c>
      <c r="B1574" s="392" t="s">
        <v>80</v>
      </c>
      <c r="C1574" s="375" t="s">
        <v>203</v>
      </c>
      <c r="D1574" s="406">
        <v>32</v>
      </c>
      <c r="E1574" s="77">
        <v>6</v>
      </c>
      <c r="F1574" s="1"/>
      <c r="G1574" s="76">
        <v>0.29166666666666669</v>
      </c>
      <c r="H1574" s="76">
        <v>0.5</v>
      </c>
      <c r="I1574" s="173" t="s">
        <v>1327</v>
      </c>
      <c r="J1574" s="77">
        <v>5</v>
      </c>
      <c r="K1574" s="1"/>
      <c r="L1574" s="76">
        <v>0.3125</v>
      </c>
      <c r="M1574" s="76">
        <v>0.58333333333333337</v>
      </c>
      <c r="N1574" s="173" t="s">
        <v>1320</v>
      </c>
      <c r="O1574" s="23">
        <v>3450</v>
      </c>
      <c r="P1574" s="70">
        <v>0.29166666666666669</v>
      </c>
      <c r="Q1574" s="70">
        <v>0.58333333333333337</v>
      </c>
      <c r="R1574" s="229" t="s">
        <v>1321</v>
      </c>
    </row>
    <row r="1575" spans="1:18" x14ac:dyDescent="0.4">
      <c r="A1575" s="402">
        <v>46006</v>
      </c>
      <c r="B1575" s="392" t="s">
        <v>99</v>
      </c>
      <c r="C1575" s="375" t="s">
        <v>259</v>
      </c>
      <c r="D1575" s="406">
        <v>8</v>
      </c>
      <c r="E1575" s="77">
        <v>4</v>
      </c>
      <c r="F1575" s="1"/>
      <c r="G1575" s="76">
        <v>0.57013888888888886</v>
      </c>
      <c r="H1575" s="76">
        <v>0.60763888888888895</v>
      </c>
      <c r="I1575" s="173" t="s">
        <v>1538</v>
      </c>
      <c r="J1575" s="77">
        <v>3</v>
      </c>
      <c r="K1575" s="1"/>
      <c r="L1575" s="76">
        <v>0.58333333333333337</v>
      </c>
      <c r="M1575" s="76">
        <v>0.66666666666666663</v>
      </c>
      <c r="N1575" s="173" t="s">
        <v>1296</v>
      </c>
      <c r="O1575" s="23">
        <v>576</v>
      </c>
      <c r="P1575" s="70">
        <v>0.57013888888888886</v>
      </c>
      <c r="Q1575" s="70">
        <v>0.66666666666666663</v>
      </c>
      <c r="R1575" s="229" t="s">
        <v>1491</v>
      </c>
    </row>
    <row r="1576" spans="1:18" x14ac:dyDescent="0.4">
      <c r="A1576" s="402">
        <v>46006</v>
      </c>
      <c r="B1576" s="392" t="s">
        <v>1046</v>
      </c>
      <c r="C1576" s="375" t="s">
        <v>1057</v>
      </c>
      <c r="D1576" s="406">
        <v>12</v>
      </c>
      <c r="E1576" s="77">
        <v>4</v>
      </c>
      <c r="F1576" s="1"/>
      <c r="G1576" s="76">
        <v>0.60763888888888895</v>
      </c>
      <c r="H1576" s="76">
        <v>0.70486111111111116</v>
      </c>
      <c r="I1576" s="173" t="s">
        <v>1313</v>
      </c>
      <c r="J1576" s="23">
        <v>3</v>
      </c>
      <c r="K1576" s="23"/>
      <c r="L1576" s="68">
        <v>0.66666666666666663</v>
      </c>
      <c r="M1576" s="68">
        <v>0.75</v>
      </c>
      <c r="N1576" s="173" t="s">
        <v>1296</v>
      </c>
      <c r="O1576" s="23">
        <v>920</v>
      </c>
      <c r="P1576" s="70">
        <v>0.60763888888888895</v>
      </c>
      <c r="Q1576" s="70">
        <v>0.75</v>
      </c>
      <c r="R1576" s="229" t="s">
        <v>1299</v>
      </c>
    </row>
    <row r="1577" spans="1:18" x14ac:dyDescent="0.4">
      <c r="A1577" s="212">
        <v>46006</v>
      </c>
      <c r="B1577" s="139" t="s">
        <v>115</v>
      </c>
      <c r="C1577" s="140" t="s">
        <v>214</v>
      </c>
      <c r="D1577" s="292">
        <v>8</v>
      </c>
      <c r="E1577" s="77">
        <v>5</v>
      </c>
      <c r="F1577" s="1"/>
      <c r="G1577" s="76">
        <v>0.37152777777777773</v>
      </c>
      <c r="H1577" s="76">
        <v>0.43194444444444446</v>
      </c>
      <c r="I1577" s="173" t="s">
        <v>1551</v>
      </c>
      <c r="J1577" s="23">
        <v>4</v>
      </c>
      <c r="K1577" s="23"/>
      <c r="L1577" s="68">
        <v>0.3923611111111111</v>
      </c>
      <c r="M1577" s="68">
        <v>0.46527777777777773</v>
      </c>
      <c r="N1577" s="173" t="s">
        <v>1246</v>
      </c>
      <c r="O1577" s="23">
        <v>855</v>
      </c>
      <c r="P1577" s="70">
        <v>0.37152777777777773</v>
      </c>
      <c r="Q1577" s="70">
        <v>0.46527777777777773</v>
      </c>
      <c r="R1577" s="229" t="s">
        <v>1324</v>
      </c>
    </row>
    <row r="1578" spans="1:18" x14ac:dyDescent="0.4">
      <c r="A1578" s="212">
        <v>46006</v>
      </c>
      <c r="B1578" s="139" t="s">
        <v>661</v>
      </c>
      <c r="C1578" s="140" t="s">
        <v>645</v>
      </c>
      <c r="D1578" s="292">
        <v>20</v>
      </c>
      <c r="E1578" s="77">
        <v>5</v>
      </c>
      <c r="F1578" s="1"/>
      <c r="G1578" s="76">
        <v>0.43194444444444446</v>
      </c>
      <c r="H1578" s="76">
        <v>0.66666666666666663</v>
      </c>
      <c r="I1578" s="173" t="s">
        <v>1362</v>
      </c>
      <c r="J1578" s="23">
        <v>4</v>
      </c>
      <c r="K1578" s="23"/>
      <c r="L1578" s="68">
        <v>0.46527777777777773</v>
      </c>
      <c r="M1578" s="68">
        <v>0.72916666666666663</v>
      </c>
      <c r="N1578" s="173" t="s">
        <v>1357</v>
      </c>
      <c r="O1578" s="23">
        <v>2670</v>
      </c>
      <c r="P1578" s="70">
        <v>0.43194444444444446</v>
      </c>
      <c r="Q1578" s="70">
        <v>0.72916666666666663</v>
      </c>
      <c r="R1578" s="229" t="s">
        <v>1461</v>
      </c>
    </row>
    <row r="1579" spans="1:18" x14ac:dyDescent="0.4">
      <c r="A1579" s="212">
        <v>46006</v>
      </c>
      <c r="B1579" s="139" t="s">
        <v>118</v>
      </c>
      <c r="C1579" s="140" t="s">
        <v>318</v>
      </c>
      <c r="D1579" s="292">
        <v>4</v>
      </c>
      <c r="E1579" s="77">
        <v>5</v>
      </c>
      <c r="F1579" s="1"/>
      <c r="G1579" s="76">
        <v>0.29166666666666669</v>
      </c>
      <c r="H1579" s="76">
        <v>0.37152777777777773</v>
      </c>
      <c r="I1579" s="173" t="s">
        <v>1457</v>
      </c>
      <c r="J1579" s="23">
        <v>4</v>
      </c>
      <c r="K1579" s="23"/>
      <c r="L1579" s="68">
        <v>0.3125</v>
      </c>
      <c r="M1579" s="68">
        <v>0.3923611111111111</v>
      </c>
      <c r="N1579" s="173" t="s">
        <v>1457</v>
      </c>
      <c r="O1579" s="23">
        <v>1035</v>
      </c>
      <c r="P1579" s="70">
        <v>0.29166666666666669</v>
      </c>
      <c r="Q1579" s="70">
        <v>0.3923611111111111</v>
      </c>
      <c r="R1579" s="229" t="s">
        <v>1331</v>
      </c>
    </row>
    <row r="1580" spans="1:18" x14ac:dyDescent="0.4">
      <c r="A1580" s="212">
        <v>46006</v>
      </c>
      <c r="B1580" s="139" t="s">
        <v>97</v>
      </c>
      <c r="C1580" s="140" t="s">
        <v>274</v>
      </c>
      <c r="D1580" s="292">
        <v>11</v>
      </c>
      <c r="E1580" s="77">
        <v>3</v>
      </c>
      <c r="F1580" s="76">
        <v>2.0833333333333332E-2</v>
      </c>
      <c r="G1580" s="76">
        <v>0.29166666666666669</v>
      </c>
      <c r="H1580" s="76">
        <v>0.3611111111111111</v>
      </c>
      <c r="I1580" s="173" t="s">
        <v>1248</v>
      </c>
      <c r="J1580" s="23">
        <v>4</v>
      </c>
      <c r="K1580" s="23"/>
      <c r="L1580" s="68">
        <v>0.29166666666666669</v>
      </c>
      <c r="M1580" s="68">
        <v>0.40625</v>
      </c>
      <c r="N1580" s="173" t="s">
        <v>1315</v>
      </c>
      <c r="O1580" s="23">
        <v>1050</v>
      </c>
      <c r="P1580" s="70">
        <v>0.29166666666666669</v>
      </c>
      <c r="Q1580" s="70">
        <v>0.40625</v>
      </c>
      <c r="R1580" s="229" t="s">
        <v>1315</v>
      </c>
    </row>
    <row r="1581" spans="1:18" x14ac:dyDescent="0.4">
      <c r="A1581" s="212">
        <v>46006</v>
      </c>
      <c r="B1581" s="139" t="s">
        <v>65</v>
      </c>
      <c r="C1581" s="140" t="s">
        <v>189</v>
      </c>
      <c r="D1581" s="292">
        <v>40</v>
      </c>
      <c r="E1581" s="77">
        <v>3</v>
      </c>
      <c r="F1581" s="1"/>
      <c r="G1581" s="76">
        <v>0.3611111111111111</v>
      </c>
      <c r="H1581" s="76">
        <v>0.625</v>
      </c>
      <c r="I1581" s="173" t="s">
        <v>1357</v>
      </c>
      <c r="J1581" s="23">
        <v>4</v>
      </c>
      <c r="K1581" s="23"/>
      <c r="L1581" s="68">
        <v>0.40625</v>
      </c>
      <c r="M1581" s="68">
        <v>0.66319444444444442</v>
      </c>
      <c r="N1581" s="173" t="s">
        <v>1257</v>
      </c>
      <c r="O1581" s="23">
        <v>2200</v>
      </c>
      <c r="P1581" s="70">
        <v>0.3611111111111111</v>
      </c>
      <c r="Q1581" s="70">
        <v>0.66319444444444442</v>
      </c>
      <c r="R1581" s="229" t="s">
        <v>1383</v>
      </c>
    </row>
    <row r="1582" spans="1:18" x14ac:dyDescent="0.4">
      <c r="A1582" s="246">
        <v>46006</v>
      </c>
      <c r="B1582" s="102">
        <v>153010</v>
      </c>
      <c r="C1582" s="136" t="s">
        <v>484</v>
      </c>
      <c r="D1582" s="298">
        <v>1</v>
      </c>
      <c r="E1582" s="103"/>
      <c r="F1582" s="104"/>
      <c r="G1582" s="184"/>
      <c r="H1582" s="184"/>
      <c r="I1582" s="225" t="s">
        <v>1002</v>
      </c>
      <c r="J1582" s="105"/>
      <c r="K1582" s="105"/>
      <c r="L1582" s="106"/>
      <c r="M1582" s="106"/>
      <c r="N1582" s="225" t="s">
        <v>1002</v>
      </c>
      <c r="O1582" s="105">
        <v>0</v>
      </c>
      <c r="P1582" s="247">
        <v>0</v>
      </c>
      <c r="Q1582" s="247">
        <v>0</v>
      </c>
      <c r="R1582" s="232" t="s">
        <v>1002</v>
      </c>
    </row>
    <row r="1583" spans="1:18" x14ac:dyDescent="0.4">
      <c r="A1583" s="212">
        <v>46007</v>
      </c>
      <c r="B1583" s="139" t="s">
        <v>63</v>
      </c>
      <c r="C1583" s="140" t="s">
        <v>267</v>
      </c>
      <c r="D1583" s="292">
        <v>24</v>
      </c>
      <c r="E1583" s="77">
        <v>5</v>
      </c>
      <c r="F1583" s="1"/>
      <c r="G1583" s="76">
        <v>0.4291666666666667</v>
      </c>
      <c r="H1583" s="76">
        <v>0.6875</v>
      </c>
      <c r="I1583" s="173" t="s">
        <v>1591</v>
      </c>
      <c r="J1583" s="23">
        <v>3</v>
      </c>
      <c r="K1583" s="23"/>
      <c r="L1583" s="68">
        <v>0.47222222222222227</v>
      </c>
      <c r="M1583" s="68">
        <v>0.70833333333333337</v>
      </c>
      <c r="N1583" s="173" t="s">
        <v>1255</v>
      </c>
      <c r="O1583" s="23">
        <v>2400</v>
      </c>
      <c r="P1583" s="70">
        <v>0.4291666666666667</v>
      </c>
      <c r="Q1583" s="70">
        <v>0.70833333333333337</v>
      </c>
      <c r="R1583" s="229" t="s">
        <v>1517</v>
      </c>
    </row>
    <row r="1584" spans="1:18" x14ac:dyDescent="0.4">
      <c r="A1584" s="212">
        <v>46007</v>
      </c>
      <c r="B1584" s="139" t="s">
        <v>965</v>
      </c>
      <c r="C1584" s="140" t="s">
        <v>966</v>
      </c>
      <c r="D1584" s="292">
        <v>20</v>
      </c>
      <c r="E1584" s="77">
        <v>5</v>
      </c>
      <c r="F1584" s="1"/>
      <c r="G1584" s="76">
        <v>0.29166666666666669</v>
      </c>
      <c r="H1584" s="76">
        <v>0.4291666666666667</v>
      </c>
      <c r="I1584" s="173" t="s">
        <v>1600</v>
      </c>
      <c r="J1584" s="23">
        <v>3</v>
      </c>
      <c r="K1584" s="23"/>
      <c r="L1584" s="68">
        <v>0.3125</v>
      </c>
      <c r="M1584" s="68">
        <v>0.47222222222222227</v>
      </c>
      <c r="N1584" s="173" t="s">
        <v>1332</v>
      </c>
      <c r="O1584" s="23">
        <v>1680</v>
      </c>
      <c r="P1584" s="70">
        <v>0.29166666666666669</v>
      </c>
      <c r="Q1584" s="70">
        <v>0.47222222222222227</v>
      </c>
      <c r="R1584" s="229" t="s">
        <v>1379</v>
      </c>
    </row>
    <row r="1585" spans="1:18" x14ac:dyDescent="0.4">
      <c r="A1585" s="212">
        <v>46007</v>
      </c>
      <c r="B1585" s="139" t="s">
        <v>73</v>
      </c>
      <c r="C1585" s="140" t="s">
        <v>231</v>
      </c>
      <c r="D1585" s="292">
        <v>21</v>
      </c>
      <c r="E1585" s="77">
        <v>5</v>
      </c>
      <c r="F1585" s="1"/>
      <c r="G1585" s="76">
        <v>0.29166666666666669</v>
      </c>
      <c r="H1585" s="76">
        <v>0.6875</v>
      </c>
      <c r="I1585" s="173" t="s">
        <v>990</v>
      </c>
      <c r="J1585" s="23">
        <v>7</v>
      </c>
      <c r="K1585" s="23"/>
      <c r="L1585" s="68">
        <v>0.40972222222222227</v>
      </c>
      <c r="M1585" s="68">
        <v>0.70833333333333337</v>
      </c>
      <c r="N1585" s="173" t="s">
        <v>1471</v>
      </c>
      <c r="O1585" s="23">
        <v>5140</v>
      </c>
      <c r="P1585" s="70">
        <v>0.29166666666666669</v>
      </c>
      <c r="Q1585" s="70">
        <v>0.70833333333333337</v>
      </c>
      <c r="R1585" s="229" t="s">
        <v>1252</v>
      </c>
    </row>
    <row r="1586" spans="1:18" x14ac:dyDescent="0.4">
      <c r="A1586" s="212">
        <v>46007</v>
      </c>
      <c r="B1586" s="139" t="s">
        <v>597</v>
      </c>
      <c r="C1586" s="140" t="s">
        <v>283</v>
      </c>
      <c r="D1586" s="292">
        <v>8</v>
      </c>
      <c r="E1586" s="77">
        <v>3</v>
      </c>
      <c r="F1586" s="76">
        <v>2.7777777777777776E-2</v>
      </c>
      <c r="G1586" s="76">
        <v>0.29166666666666669</v>
      </c>
      <c r="H1586" s="76">
        <v>0.34722222222222227</v>
      </c>
      <c r="I1586" s="173" t="s">
        <v>1296</v>
      </c>
      <c r="J1586" s="23">
        <v>8</v>
      </c>
      <c r="K1586" s="23"/>
      <c r="L1586" s="68">
        <v>0.29166666666666669</v>
      </c>
      <c r="M1586" s="68">
        <v>0.46527777777777773</v>
      </c>
      <c r="N1586" s="173" t="s">
        <v>1311</v>
      </c>
      <c r="O1586" s="23">
        <v>2360</v>
      </c>
      <c r="P1586" s="70">
        <v>0.29166666666666669</v>
      </c>
      <c r="Q1586" s="70">
        <v>0.46527777777777773</v>
      </c>
      <c r="R1586" s="229" t="s">
        <v>1311</v>
      </c>
    </row>
    <row r="1587" spans="1:18" x14ac:dyDescent="0.4">
      <c r="A1587" s="212">
        <v>46007</v>
      </c>
      <c r="B1587" s="139" t="s">
        <v>65</v>
      </c>
      <c r="C1587" s="140" t="s">
        <v>189</v>
      </c>
      <c r="D1587" s="292">
        <v>28</v>
      </c>
      <c r="E1587" s="77">
        <v>3</v>
      </c>
      <c r="F1587" s="76"/>
      <c r="G1587" s="76">
        <v>0.34722222222222227</v>
      </c>
      <c r="H1587" s="76">
        <v>0.62152777777777779</v>
      </c>
      <c r="I1587" s="173" t="s">
        <v>1354</v>
      </c>
      <c r="J1587" s="23">
        <v>4</v>
      </c>
      <c r="K1587" s="23"/>
      <c r="L1587" s="68">
        <v>0.46527777777777773</v>
      </c>
      <c r="M1587" s="68">
        <v>0.66666666666666663</v>
      </c>
      <c r="N1587" s="173" t="s">
        <v>1332</v>
      </c>
      <c r="O1587" s="23">
        <v>1925</v>
      </c>
      <c r="P1587" s="70">
        <v>0.34722222222222227</v>
      </c>
      <c r="Q1587" s="70">
        <v>0.66666666666666663</v>
      </c>
      <c r="R1587" s="229" t="s">
        <v>1328</v>
      </c>
    </row>
    <row r="1588" spans="1:18" x14ac:dyDescent="0.4">
      <c r="A1588" s="212">
        <v>46008</v>
      </c>
      <c r="B1588" s="139" t="s">
        <v>61</v>
      </c>
      <c r="C1588" s="140" t="s">
        <v>156</v>
      </c>
      <c r="D1588" s="292">
        <v>28</v>
      </c>
      <c r="E1588" s="77">
        <v>4</v>
      </c>
      <c r="F1588" s="1"/>
      <c r="G1588" s="76">
        <v>0.29166666666666669</v>
      </c>
      <c r="H1588" s="76">
        <v>0.5708333333333333</v>
      </c>
      <c r="I1588" s="173" t="s">
        <v>1517</v>
      </c>
      <c r="J1588" s="23">
        <v>10</v>
      </c>
      <c r="K1588" s="23"/>
      <c r="L1588" s="68">
        <v>0.3125</v>
      </c>
      <c r="M1588" s="68">
        <v>0.625</v>
      </c>
      <c r="N1588" s="173" t="s">
        <v>1329</v>
      </c>
      <c r="O1588" s="23">
        <v>5268</v>
      </c>
      <c r="P1588" s="70">
        <v>0.29166666666666669</v>
      </c>
      <c r="Q1588" s="70">
        <v>0.625</v>
      </c>
      <c r="R1588" s="229" t="s">
        <v>1341</v>
      </c>
    </row>
    <row r="1589" spans="1:18" x14ac:dyDescent="0.4">
      <c r="A1589" s="212">
        <v>46008</v>
      </c>
      <c r="B1589" s="139" t="s">
        <v>472</v>
      </c>
      <c r="C1589" s="140" t="s">
        <v>285</v>
      </c>
      <c r="D1589" s="292">
        <v>4</v>
      </c>
      <c r="E1589" s="77">
        <v>4</v>
      </c>
      <c r="F1589" s="1"/>
      <c r="G1589" s="76">
        <v>0.54166666666666663</v>
      </c>
      <c r="H1589" s="76">
        <v>0.66666666666666663</v>
      </c>
      <c r="I1589" s="173" t="s">
        <v>1316</v>
      </c>
      <c r="J1589" s="23">
        <v>9</v>
      </c>
      <c r="K1589" s="23"/>
      <c r="L1589" s="68">
        <v>0.625</v>
      </c>
      <c r="M1589" s="68">
        <v>0.70833333333333337</v>
      </c>
      <c r="N1589" s="173" t="s">
        <v>1296</v>
      </c>
      <c r="O1589" s="23">
        <v>1800</v>
      </c>
      <c r="P1589" s="70">
        <v>0.54166666666666663</v>
      </c>
      <c r="Q1589" s="70">
        <v>0.70833333333333337</v>
      </c>
      <c r="R1589" s="229" t="s">
        <v>1244</v>
      </c>
    </row>
    <row r="1590" spans="1:18" x14ac:dyDescent="0.4">
      <c r="A1590" s="212">
        <v>46008</v>
      </c>
      <c r="B1590" s="139" t="s">
        <v>63</v>
      </c>
      <c r="C1590" s="140" t="s">
        <v>267</v>
      </c>
      <c r="D1590" s="292">
        <v>16</v>
      </c>
      <c r="E1590" s="77">
        <v>5</v>
      </c>
      <c r="F1590" s="1"/>
      <c r="G1590" s="76">
        <v>0.40347222222222223</v>
      </c>
      <c r="H1590" s="76">
        <v>0.5805555555555556</v>
      </c>
      <c r="I1590" s="173" t="s">
        <v>1391</v>
      </c>
      <c r="J1590" s="23">
        <v>3</v>
      </c>
      <c r="K1590" s="23"/>
      <c r="L1590" s="68">
        <v>0.43055555555555558</v>
      </c>
      <c r="M1590" s="68">
        <v>0.60416666666666663</v>
      </c>
      <c r="N1590" s="173" t="s">
        <v>1256</v>
      </c>
      <c r="O1590" s="23">
        <v>1545</v>
      </c>
      <c r="P1590" s="70">
        <v>0.40347222222222223</v>
      </c>
      <c r="Q1590" s="70">
        <v>0.60416666666666663</v>
      </c>
      <c r="R1590" s="229" t="s">
        <v>1567</v>
      </c>
    </row>
    <row r="1591" spans="1:18" x14ac:dyDescent="0.4">
      <c r="A1591" s="212">
        <v>46008</v>
      </c>
      <c r="B1591" s="139" t="s">
        <v>81</v>
      </c>
      <c r="C1591" s="140" t="s">
        <v>235</v>
      </c>
      <c r="D1591" s="292">
        <v>16</v>
      </c>
      <c r="E1591" s="77">
        <v>5</v>
      </c>
      <c r="F1591" s="1"/>
      <c r="G1591" s="76">
        <v>0.5805555555555556</v>
      </c>
      <c r="H1591" s="76">
        <v>0.72916666666666663</v>
      </c>
      <c r="I1591" s="173" t="s">
        <v>1503</v>
      </c>
      <c r="J1591" s="23">
        <v>3</v>
      </c>
      <c r="K1591" s="23"/>
      <c r="L1591" s="68">
        <v>0.60416666666666663</v>
      </c>
      <c r="M1591" s="68">
        <v>0.72916666666666663</v>
      </c>
      <c r="N1591" s="173" t="s">
        <v>1316</v>
      </c>
      <c r="O1591" s="23">
        <v>1610</v>
      </c>
      <c r="P1591" s="70">
        <v>0.5805555555555556</v>
      </c>
      <c r="Q1591" s="70">
        <v>0.72916666666666663</v>
      </c>
      <c r="R1591" s="229" t="s">
        <v>1503</v>
      </c>
    </row>
    <row r="1592" spans="1:18" x14ac:dyDescent="0.4">
      <c r="A1592" s="212">
        <v>46008</v>
      </c>
      <c r="B1592" s="139" t="s">
        <v>984</v>
      </c>
      <c r="C1592" s="140" t="s">
        <v>245</v>
      </c>
      <c r="D1592" s="292">
        <v>8</v>
      </c>
      <c r="E1592" s="77">
        <v>5</v>
      </c>
      <c r="F1592" s="76"/>
      <c r="G1592" s="76">
        <v>0.29166666666666669</v>
      </c>
      <c r="H1592" s="76">
        <v>0.37083333333333335</v>
      </c>
      <c r="I1592" s="173" t="s">
        <v>1412</v>
      </c>
      <c r="J1592" s="23">
        <v>3</v>
      </c>
      <c r="K1592" s="23"/>
      <c r="L1592" s="68">
        <v>0.3125</v>
      </c>
      <c r="M1592" s="68">
        <v>0.40277777777777773</v>
      </c>
      <c r="N1592" s="173" t="s">
        <v>1248</v>
      </c>
      <c r="O1592" s="23">
        <v>960</v>
      </c>
      <c r="P1592" s="70">
        <v>0.29166666666666669</v>
      </c>
      <c r="Q1592" s="70">
        <v>0.40277777777777773</v>
      </c>
      <c r="R1592" s="229" t="s">
        <v>1325</v>
      </c>
    </row>
    <row r="1593" spans="1:18" x14ac:dyDescent="0.4">
      <c r="A1593" s="212">
        <v>46008</v>
      </c>
      <c r="B1593" s="139" t="s">
        <v>65</v>
      </c>
      <c r="C1593" s="140" t="s">
        <v>189</v>
      </c>
      <c r="D1593" s="292">
        <v>64</v>
      </c>
      <c r="E1593" s="77">
        <v>3</v>
      </c>
      <c r="F1593" s="76">
        <v>2.7777777777777776E-2</v>
      </c>
      <c r="G1593" s="76">
        <v>0.29166666666666669</v>
      </c>
      <c r="H1593" s="76">
        <v>0.67013888888888884</v>
      </c>
      <c r="I1593" s="173" t="s">
        <v>991</v>
      </c>
      <c r="J1593" s="23">
        <v>4</v>
      </c>
      <c r="K1593" s="23"/>
      <c r="L1593" s="68">
        <v>0.29166666666666669</v>
      </c>
      <c r="M1593" s="68">
        <v>0.71527777777777779</v>
      </c>
      <c r="N1593" s="173" t="s">
        <v>1352</v>
      </c>
      <c r="O1593" s="23">
        <v>3775</v>
      </c>
      <c r="P1593" s="70">
        <v>0.29166666666666669</v>
      </c>
      <c r="Q1593" s="70">
        <v>0.71527777777777779</v>
      </c>
      <c r="R1593" s="229" t="s">
        <v>1352</v>
      </c>
    </row>
    <row r="1594" spans="1:18" x14ac:dyDescent="0.4">
      <c r="A1594" s="212">
        <v>46008</v>
      </c>
      <c r="B1594" s="139" t="s">
        <v>76</v>
      </c>
      <c r="C1594" s="140" t="s">
        <v>224</v>
      </c>
      <c r="D1594" s="292">
        <v>0.5</v>
      </c>
      <c r="E1594" s="77">
        <v>5</v>
      </c>
      <c r="F1594" s="1"/>
      <c r="G1594" s="76">
        <v>0.37083333333333335</v>
      </c>
      <c r="H1594" s="76">
        <v>0.40347222222222223</v>
      </c>
      <c r="I1594" s="173" t="s">
        <v>1663</v>
      </c>
      <c r="J1594" s="23">
        <v>3</v>
      </c>
      <c r="K1594" s="23"/>
      <c r="L1594" s="68">
        <v>0.40277777777777773</v>
      </c>
      <c r="M1594" s="68">
        <v>0.43055555555555558</v>
      </c>
      <c r="N1594" s="173" t="s">
        <v>1463</v>
      </c>
      <c r="O1594" s="23">
        <v>355</v>
      </c>
      <c r="P1594" s="70">
        <v>0.37083333333333335</v>
      </c>
      <c r="Q1594" s="70">
        <v>0.43055555555555558</v>
      </c>
      <c r="R1594" s="229" t="s">
        <v>1545</v>
      </c>
    </row>
    <row r="1595" spans="1:18" x14ac:dyDescent="0.4">
      <c r="A1595" s="246">
        <v>46008</v>
      </c>
      <c r="B1595" s="102">
        <v>111060</v>
      </c>
      <c r="C1595" s="136" t="s">
        <v>1187</v>
      </c>
      <c r="D1595" s="298">
        <v>1</v>
      </c>
      <c r="E1595" s="103"/>
      <c r="F1595" s="104"/>
      <c r="G1595" s="184"/>
      <c r="H1595" s="184"/>
      <c r="I1595" s="225" t="s">
        <v>1002</v>
      </c>
      <c r="J1595" s="105"/>
      <c r="K1595" s="105"/>
      <c r="L1595" s="106"/>
      <c r="M1595" s="106"/>
      <c r="N1595" s="225" t="s">
        <v>1002</v>
      </c>
      <c r="O1595" s="105">
        <v>0</v>
      </c>
      <c r="P1595" s="247">
        <v>0</v>
      </c>
      <c r="Q1595" s="247">
        <v>0</v>
      </c>
      <c r="R1595" s="232" t="s">
        <v>1002</v>
      </c>
    </row>
    <row r="1596" spans="1:18" x14ac:dyDescent="0.4">
      <c r="A1596" s="212">
        <v>46009</v>
      </c>
      <c r="B1596" s="139" t="s">
        <v>63</v>
      </c>
      <c r="C1596" s="140" t="s">
        <v>267</v>
      </c>
      <c r="D1596" s="292">
        <v>24</v>
      </c>
      <c r="E1596" s="77">
        <v>5</v>
      </c>
      <c r="F1596" s="1"/>
      <c r="G1596" s="76">
        <v>0.46180555555555558</v>
      </c>
      <c r="H1596" s="76">
        <v>0.6875</v>
      </c>
      <c r="I1596" s="173" t="s">
        <v>1356</v>
      </c>
      <c r="J1596" s="23">
        <v>3</v>
      </c>
      <c r="K1596" s="23"/>
      <c r="L1596" s="68">
        <v>0.4861111111111111</v>
      </c>
      <c r="M1596" s="68">
        <v>0.6875</v>
      </c>
      <c r="N1596" s="173" t="s">
        <v>1332</v>
      </c>
      <c r="O1596" s="23">
        <v>2015</v>
      </c>
      <c r="P1596" s="70">
        <v>0.46180555555555558</v>
      </c>
      <c r="Q1596" s="70">
        <v>0.6875</v>
      </c>
      <c r="R1596" s="229" t="s">
        <v>1356</v>
      </c>
    </row>
    <row r="1597" spans="1:18" x14ac:dyDescent="0.4">
      <c r="A1597" s="212">
        <v>46009</v>
      </c>
      <c r="B1597" s="139" t="s">
        <v>64</v>
      </c>
      <c r="C1597" s="140" t="s">
        <v>271</v>
      </c>
      <c r="D1597" s="292">
        <v>20</v>
      </c>
      <c r="E1597" s="77">
        <v>5</v>
      </c>
      <c r="F1597" s="1"/>
      <c r="G1597" s="76">
        <v>0.29166666666666669</v>
      </c>
      <c r="H1597" s="76">
        <v>0.46180555555555558</v>
      </c>
      <c r="I1597" s="173" t="s">
        <v>1365</v>
      </c>
      <c r="J1597" s="23">
        <v>3</v>
      </c>
      <c r="K1597" s="23"/>
      <c r="L1597" s="68">
        <v>0.3125</v>
      </c>
      <c r="M1597" s="68">
        <v>0.6875</v>
      </c>
      <c r="N1597" s="173" t="s">
        <v>1292</v>
      </c>
      <c r="O1597" s="23">
        <v>2665</v>
      </c>
      <c r="P1597" s="70">
        <v>0.29166666666666669</v>
      </c>
      <c r="Q1597" s="70">
        <v>0.6875</v>
      </c>
      <c r="R1597" s="229" t="s">
        <v>990</v>
      </c>
    </row>
    <row r="1598" spans="1:18" x14ac:dyDescent="0.4">
      <c r="A1598" s="212">
        <v>46009</v>
      </c>
      <c r="B1598" s="139" t="s">
        <v>108</v>
      </c>
      <c r="C1598" s="140" t="s">
        <v>231</v>
      </c>
      <c r="D1598" s="292">
        <v>21</v>
      </c>
      <c r="E1598" s="77">
        <v>4</v>
      </c>
      <c r="F1598" s="76">
        <v>8.3333333333333329E-2</v>
      </c>
      <c r="G1598" s="76">
        <v>0.29166666666666669</v>
      </c>
      <c r="H1598" s="76">
        <v>0.67361111111111116</v>
      </c>
      <c r="I1598" s="173" t="s">
        <v>1562</v>
      </c>
      <c r="J1598" s="23">
        <v>7</v>
      </c>
      <c r="K1598" s="23"/>
      <c r="L1598" s="68">
        <v>0.3125</v>
      </c>
      <c r="M1598" s="68">
        <v>0.70833333333333337</v>
      </c>
      <c r="N1598" s="173" t="s">
        <v>990</v>
      </c>
      <c r="O1598" s="23">
        <v>6010</v>
      </c>
      <c r="P1598" s="70">
        <v>0.29166666666666669</v>
      </c>
      <c r="Q1598" s="70">
        <v>0.70833333333333337</v>
      </c>
      <c r="R1598" s="229" t="s">
        <v>1252</v>
      </c>
    </row>
    <row r="1599" spans="1:18" x14ac:dyDescent="0.4">
      <c r="A1599" s="212">
        <v>46009</v>
      </c>
      <c r="B1599" s="139" t="s">
        <v>104</v>
      </c>
      <c r="C1599" s="140" t="s">
        <v>191</v>
      </c>
      <c r="D1599" s="292">
        <v>32</v>
      </c>
      <c r="E1599" s="77">
        <v>3</v>
      </c>
      <c r="F1599" s="76">
        <v>2.7777777777777776E-2</v>
      </c>
      <c r="G1599" s="76">
        <v>0.29166666666666669</v>
      </c>
      <c r="H1599" s="76">
        <v>0.47222222222222227</v>
      </c>
      <c r="I1599" s="173" t="s">
        <v>1327</v>
      </c>
      <c r="J1599" s="23">
        <v>4</v>
      </c>
      <c r="K1599" s="23"/>
      <c r="L1599" s="68">
        <v>0.29166666666666669</v>
      </c>
      <c r="M1599" s="68">
        <v>0.5</v>
      </c>
      <c r="N1599" s="173" t="s">
        <v>1327</v>
      </c>
      <c r="O1599" s="23">
        <v>2100</v>
      </c>
      <c r="P1599" s="70">
        <v>0.29166666666666669</v>
      </c>
      <c r="Q1599" s="70">
        <v>0.5</v>
      </c>
      <c r="R1599" s="229" t="s">
        <v>1327</v>
      </c>
    </row>
    <row r="1600" spans="1:18" x14ac:dyDescent="0.4">
      <c r="A1600" s="212">
        <v>46009</v>
      </c>
      <c r="B1600" s="139" t="s">
        <v>642</v>
      </c>
      <c r="C1600" s="140" t="s">
        <v>643</v>
      </c>
      <c r="D1600" s="292">
        <v>16</v>
      </c>
      <c r="E1600" s="77">
        <v>3</v>
      </c>
      <c r="F1600" s="1"/>
      <c r="G1600" s="76">
        <v>0.47222222222222227</v>
      </c>
      <c r="H1600" s="76">
        <v>0.61111111111111105</v>
      </c>
      <c r="I1600" s="173" t="s">
        <v>1313</v>
      </c>
      <c r="J1600" s="23">
        <v>4</v>
      </c>
      <c r="K1600" s="23"/>
      <c r="L1600" s="68">
        <v>0.54166666666666663</v>
      </c>
      <c r="M1600" s="68">
        <v>0.6875</v>
      </c>
      <c r="N1600" s="173" t="s">
        <v>1303</v>
      </c>
      <c r="O1600" s="23">
        <v>1260</v>
      </c>
      <c r="P1600" s="70">
        <v>0.47222222222222227</v>
      </c>
      <c r="Q1600" s="70">
        <v>0.6875</v>
      </c>
      <c r="R1600" s="229" t="s">
        <v>1311</v>
      </c>
    </row>
    <row r="1601" spans="1:18" x14ac:dyDescent="0.4">
      <c r="A1601" s="246">
        <v>46009</v>
      </c>
      <c r="B1601" s="102" t="s">
        <v>1184</v>
      </c>
      <c r="C1601" s="136" t="s">
        <v>545</v>
      </c>
      <c r="D1601" s="298">
        <v>30</v>
      </c>
      <c r="E1601" s="103"/>
      <c r="F1601" s="104"/>
      <c r="G1601" s="184"/>
      <c r="H1601" s="184"/>
      <c r="I1601" s="225" t="s">
        <v>1002</v>
      </c>
      <c r="J1601" s="105"/>
      <c r="K1601" s="105"/>
      <c r="L1601" s="106"/>
      <c r="M1601" s="106"/>
      <c r="N1601" s="225" t="s">
        <v>1002</v>
      </c>
      <c r="O1601" s="105">
        <v>0</v>
      </c>
      <c r="P1601" s="247">
        <v>0</v>
      </c>
      <c r="Q1601" s="247">
        <v>0</v>
      </c>
      <c r="R1601" s="232" t="s">
        <v>1002</v>
      </c>
    </row>
    <row r="1602" spans="1:18" x14ac:dyDescent="0.4">
      <c r="A1602" s="246">
        <v>46009</v>
      </c>
      <c r="B1602" s="102" t="s">
        <v>1185</v>
      </c>
      <c r="C1602" s="136" t="s">
        <v>506</v>
      </c>
      <c r="D1602" s="298">
        <v>50</v>
      </c>
      <c r="E1602" s="103"/>
      <c r="F1602" s="104"/>
      <c r="G1602" s="184"/>
      <c r="H1602" s="184"/>
      <c r="I1602" s="225" t="s">
        <v>1002</v>
      </c>
      <c r="J1602" s="105"/>
      <c r="K1602" s="105"/>
      <c r="L1602" s="106"/>
      <c r="M1602" s="106"/>
      <c r="N1602" s="225" t="s">
        <v>1002</v>
      </c>
      <c r="O1602" s="105">
        <v>0</v>
      </c>
      <c r="P1602" s="247">
        <v>0</v>
      </c>
      <c r="Q1602" s="247">
        <v>0</v>
      </c>
      <c r="R1602" s="232" t="s">
        <v>1002</v>
      </c>
    </row>
    <row r="1603" spans="1:18" x14ac:dyDescent="0.4">
      <c r="A1603" s="212">
        <v>46010</v>
      </c>
      <c r="B1603" s="139" t="s">
        <v>71</v>
      </c>
      <c r="C1603" s="140" t="s">
        <v>176</v>
      </c>
      <c r="D1603" s="292">
        <v>72</v>
      </c>
      <c r="E1603" s="77">
        <v>6</v>
      </c>
      <c r="F1603" s="1"/>
      <c r="G1603" s="76">
        <v>0.29166666666666669</v>
      </c>
      <c r="H1603" s="76">
        <v>0.70833333333333337</v>
      </c>
      <c r="I1603" s="173" t="s">
        <v>1252</v>
      </c>
      <c r="J1603" s="77">
        <v>5</v>
      </c>
      <c r="K1603" s="1"/>
      <c r="L1603" s="76">
        <v>0.3125</v>
      </c>
      <c r="M1603" s="76">
        <v>0.70833333333333337</v>
      </c>
      <c r="N1603" s="173" t="s">
        <v>990</v>
      </c>
      <c r="O1603" s="23">
        <v>5790</v>
      </c>
      <c r="P1603" s="70">
        <v>0.29166666666666669</v>
      </c>
      <c r="Q1603" s="70">
        <v>0.70833333333333337</v>
      </c>
      <c r="R1603" s="229" t="s">
        <v>1252</v>
      </c>
    </row>
    <row r="1604" spans="1:18" x14ac:dyDescent="0.4">
      <c r="A1604" s="212">
        <v>46010</v>
      </c>
      <c r="B1604" s="139" t="s">
        <v>63</v>
      </c>
      <c r="C1604" s="140" t="s">
        <v>267</v>
      </c>
      <c r="D1604" s="292">
        <v>16</v>
      </c>
      <c r="E1604" s="77">
        <v>5</v>
      </c>
      <c r="F1604" s="1"/>
      <c r="G1604" s="76">
        <v>0.5625</v>
      </c>
      <c r="H1604" s="76">
        <v>0.70833333333333337</v>
      </c>
      <c r="I1604" s="173" t="s">
        <v>1303</v>
      </c>
      <c r="J1604" s="23">
        <v>3</v>
      </c>
      <c r="K1604" s="23"/>
      <c r="L1604" s="68">
        <v>0.59375</v>
      </c>
      <c r="M1604" s="68">
        <v>0.70833333333333337</v>
      </c>
      <c r="N1604" s="173" t="s">
        <v>1315</v>
      </c>
      <c r="O1604" s="23">
        <v>1545</v>
      </c>
      <c r="P1604" s="70">
        <v>0.5625</v>
      </c>
      <c r="Q1604" s="70">
        <v>0.70833333333333337</v>
      </c>
      <c r="R1604" s="229" t="s">
        <v>1303</v>
      </c>
    </row>
    <row r="1605" spans="1:18" x14ac:dyDescent="0.4">
      <c r="A1605" s="212">
        <v>46010</v>
      </c>
      <c r="B1605" s="139" t="s">
        <v>76</v>
      </c>
      <c r="C1605" s="140" t="s">
        <v>224</v>
      </c>
      <c r="D1605" s="292">
        <v>8</v>
      </c>
      <c r="E1605" s="77">
        <v>5</v>
      </c>
      <c r="F1605" s="1"/>
      <c r="G1605" s="76">
        <v>0.29166666666666669</v>
      </c>
      <c r="H1605" s="76">
        <v>0.36388888888888887</v>
      </c>
      <c r="I1605" s="173" t="s">
        <v>1664</v>
      </c>
      <c r="J1605" s="23">
        <v>3</v>
      </c>
      <c r="K1605" s="23"/>
      <c r="L1605" s="68">
        <v>0.3125</v>
      </c>
      <c r="M1605" s="68">
        <v>0.3888888888888889</v>
      </c>
      <c r="N1605" s="173" t="s">
        <v>1377</v>
      </c>
      <c r="O1605" s="23">
        <v>850</v>
      </c>
      <c r="P1605" s="70">
        <v>0.29166666666666669</v>
      </c>
      <c r="Q1605" s="70">
        <v>0.3888888888888889</v>
      </c>
      <c r="R1605" s="229" t="s">
        <v>1313</v>
      </c>
    </row>
    <row r="1606" spans="1:18" x14ac:dyDescent="0.4">
      <c r="A1606" s="212">
        <v>46010</v>
      </c>
      <c r="B1606" s="139" t="s">
        <v>75</v>
      </c>
      <c r="C1606" s="140" t="s">
        <v>229</v>
      </c>
      <c r="D1606" s="292">
        <v>16</v>
      </c>
      <c r="E1606" s="77">
        <v>5</v>
      </c>
      <c r="F1606" s="1"/>
      <c r="G1606" s="76">
        <v>0.36388888888888887</v>
      </c>
      <c r="H1606" s="76">
        <v>0.5625</v>
      </c>
      <c r="I1606" s="173" t="s">
        <v>1645</v>
      </c>
      <c r="J1606" s="23">
        <v>3</v>
      </c>
      <c r="K1606" s="23"/>
      <c r="L1606" s="68">
        <v>0.3888888888888889</v>
      </c>
      <c r="M1606" s="68">
        <v>0.59375</v>
      </c>
      <c r="N1606" s="173" t="s">
        <v>1359</v>
      </c>
      <c r="O1606" s="23">
        <v>1835</v>
      </c>
      <c r="P1606" s="70">
        <v>0.36388888888888887</v>
      </c>
      <c r="Q1606" s="70">
        <v>0.59375</v>
      </c>
      <c r="R1606" s="229" t="s">
        <v>1649</v>
      </c>
    </row>
    <row r="1607" spans="1:18" x14ac:dyDescent="0.4">
      <c r="A1607" s="212">
        <v>46010</v>
      </c>
      <c r="B1607" s="139" t="s">
        <v>82</v>
      </c>
      <c r="C1607" s="140" t="s">
        <v>171</v>
      </c>
      <c r="D1607" s="292">
        <v>36</v>
      </c>
      <c r="E1607" s="77">
        <v>3</v>
      </c>
      <c r="F1607" s="76">
        <v>2.7777777777777776E-2</v>
      </c>
      <c r="G1607" s="76">
        <v>0.29166666666666669</v>
      </c>
      <c r="H1607" s="76">
        <v>0.63194444444444442</v>
      </c>
      <c r="I1607" s="173" t="s">
        <v>1338</v>
      </c>
      <c r="J1607" s="23">
        <v>7</v>
      </c>
      <c r="K1607" s="23"/>
      <c r="L1607" s="68">
        <v>0.29166666666666669</v>
      </c>
      <c r="M1607" s="68">
        <v>0.72222222222222221</v>
      </c>
      <c r="N1607" s="173" t="s">
        <v>1575</v>
      </c>
      <c r="O1607" s="23">
        <v>5330</v>
      </c>
      <c r="P1607" s="70">
        <v>0.29166666666666669</v>
      </c>
      <c r="Q1607" s="70">
        <v>0.72222222222222221</v>
      </c>
      <c r="R1607" s="229" t="s">
        <v>1575</v>
      </c>
    </row>
    <row r="1608" spans="1:18" x14ac:dyDescent="0.4">
      <c r="A1608" s="246">
        <v>46010</v>
      </c>
      <c r="B1608" s="102">
        <v>111060</v>
      </c>
      <c r="C1608" s="136" t="s">
        <v>1187</v>
      </c>
      <c r="D1608" s="298">
        <v>1</v>
      </c>
      <c r="E1608" s="103"/>
      <c r="F1608" s="104"/>
      <c r="G1608" s="184"/>
      <c r="H1608" s="184"/>
      <c r="I1608" s="225" t="s">
        <v>1002</v>
      </c>
      <c r="J1608" s="105"/>
      <c r="K1608" s="105"/>
      <c r="L1608" s="106"/>
      <c r="M1608" s="106"/>
      <c r="N1608" s="225" t="s">
        <v>1002</v>
      </c>
      <c r="O1608" s="105">
        <v>0</v>
      </c>
      <c r="P1608" s="247">
        <v>0</v>
      </c>
      <c r="Q1608" s="247">
        <v>0</v>
      </c>
      <c r="R1608" s="232" t="s">
        <v>1002</v>
      </c>
    </row>
    <row r="1609" spans="1:18" x14ac:dyDescent="0.4">
      <c r="A1609" s="212">
        <v>46013</v>
      </c>
      <c r="B1609" s="139" t="s">
        <v>1060</v>
      </c>
      <c r="C1609" s="30" t="s">
        <v>886</v>
      </c>
      <c r="D1609" s="296">
        <v>6</v>
      </c>
      <c r="E1609" s="77">
        <v>5</v>
      </c>
      <c r="F1609" s="1"/>
      <c r="G1609" s="76">
        <v>0.63194444444444442</v>
      </c>
      <c r="H1609" s="76">
        <v>0.6875</v>
      </c>
      <c r="I1609" s="173" t="s">
        <v>1420</v>
      </c>
      <c r="J1609" s="23">
        <v>3</v>
      </c>
      <c r="K1609" s="23"/>
      <c r="L1609" s="68">
        <v>0.64583333333333337</v>
      </c>
      <c r="M1609" s="68">
        <v>0.72916666666666663</v>
      </c>
      <c r="N1609" s="173" t="s">
        <v>1296</v>
      </c>
      <c r="O1609" s="23">
        <v>760</v>
      </c>
      <c r="P1609" s="70">
        <v>0.63194444444444442</v>
      </c>
      <c r="Q1609" s="70">
        <v>0.72916666666666663</v>
      </c>
      <c r="R1609" s="229" t="s">
        <v>1313</v>
      </c>
    </row>
    <row r="1610" spans="1:18" x14ac:dyDescent="0.4">
      <c r="A1610" s="212">
        <v>46013</v>
      </c>
      <c r="B1610" s="139" t="s">
        <v>88</v>
      </c>
      <c r="C1610" s="30" t="s">
        <v>328</v>
      </c>
      <c r="D1610" s="296">
        <v>32</v>
      </c>
      <c r="E1610" s="77">
        <v>5</v>
      </c>
      <c r="F1610" s="1"/>
      <c r="G1610" s="76">
        <v>0.3659722222222222</v>
      </c>
      <c r="H1610" s="76">
        <v>0.63194444444444442</v>
      </c>
      <c r="I1610" s="173" t="s">
        <v>1445</v>
      </c>
      <c r="J1610" s="23">
        <v>3</v>
      </c>
      <c r="K1610" s="23"/>
      <c r="L1610" s="68">
        <v>0.40277777777777773</v>
      </c>
      <c r="M1610" s="68">
        <v>0.64583333333333337</v>
      </c>
      <c r="N1610" s="173" t="s">
        <v>1258</v>
      </c>
      <c r="O1610" s="23">
        <v>2485</v>
      </c>
      <c r="P1610" s="70">
        <v>0.3659722222222222</v>
      </c>
      <c r="Q1610" s="70">
        <v>0.64583333333333337</v>
      </c>
      <c r="R1610" s="229" t="s">
        <v>1665</v>
      </c>
    </row>
    <row r="1611" spans="1:18" x14ac:dyDescent="0.4">
      <c r="A1611" s="212">
        <v>46013</v>
      </c>
      <c r="B1611" s="139" t="s">
        <v>53</v>
      </c>
      <c r="C1611" s="30" t="s">
        <v>261</v>
      </c>
      <c r="D1611" s="296">
        <v>6</v>
      </c>
      <c r="E1611" s="77">
        <v>5</v>
      </c>
      <c r="F1611" s="1"/>
      <c r="G1611" s="76">
        <v>0.29166666666666669</v>
      </c>
      <c r="H1611" s="76">
        <v>0.3659722222222222</v>
      </c>
      <c r="I1611" s="173" t="s">
        <v>1446</v>
      </c>
      <c r="J1611" s="23">
        <v>3</v>
      </c>
      <c r="K1611" s="23"/>
      <c r="L1611" s="68">
        <v>0.3125</v>
      </c>
      <c r="M1611" s="68">
        <v>0.40277777777777773</v>
      </c>
      <c r="N1611" s="173" t="s">
        <v>1248</v>
      </c>
      <c r="O1611" s="23">
        <v>925</v>
      </c>
      <c r="P1611" s="70">
        <v>0.29166666666666669</v>
      </c>
      <c r="Q1611" s="70">
        <v>0.40277777777777773</v>
      </c>
      <c r="R1611" s="229" t="s">
        <v>1325</v>
      </c>
    </row>
    <row r="1612" spans="1:18" x14ac:dyDescent="0.4">
      <c r="A1612" s="212">
        <v>46013</v>
      </c>
      <c r="B1612" s="139" t="s">
        <v>110</v>
      </c>
      <c r="C1612" s="30" t="s">
        <v>231</v>
      </c>
      <c r="D1612" s="296">
        <v>21</v>
      </c>
      <c r="E1612" s="77">
        <v>5</v>
      </c>
      <c r="F1612" s="1"/>
      <c r="G1612" s="76">
        <v>0.29166666666666669</v>
      </c>
      <c r="H1612" s="76">
        <v>0.66666666666666663</v>
      </c>
      <c r="I1612" s="173" t="s">
        <v>1292</v>
      </c>
      <c r="J1612" s="23">
        <v>7</v>
      </c>
      <c r="K1612" s="23"/>
      <c r="L1612" s="68">
        <v>0.3125</v>
      </c>
      <c r="M1612" s="68">
        <v>0.70833333333333337</v>
      </c>
      <c r="N1612" s="173" t="s">
        <v>990</v>
      </c>
      <c r="O1612" s="23">
        <v>5970</v>
      </c>
      <c r="P1612" s="70">
        <v>0.29166666666666669</v>
      </c>
      <c r="Q1612" s="70">
        <v>0.70833333333333337</v>
      </c>
      <c r="R1612" s="229" t="s">
        <v>1252</v>
      </c>
    </row>
    <row r="1613" spans="1:18" x14ac:dyDescent="0.4">
      <c r="A1613" s="212">
        <v>46013</v>
      </c>
      <c r="B1613" s="139" t="s">
        <v>96</v>
      </c>
      <c r="C1613" s="30" t="s">
        <v>167</v>
      </c>
      <c r="D1613" s="296">
        <v>16</v>
      </c>
      <c r="E1613" s="77">
        <v>3</v>
      </c>
      <c r="F1613" s="1"/>
      <c r="G1613" s="76">
        <v>0.33333333333333331</v>
      </c>
      <c r="H1613" s="76">
        <v>0.56597222222222221</v>
      </c>
      <c r="I1613" s="173" t="s">
        <v>1304</v>
      </c>
      <c r="J1613" s="23">
        <v>6</v>
      </c>
      <c r="K1613" s="23"/>
      <c r="L1613" s="68">
        <v>0.41666666666666669</v>
      </c>
      <c r="M1613" s="68">
        <v>0.65625</v>
      </c>
      <c r="N1613" s="173" t="s">
        <v>1335</v>
      </c>
      <c r="O1613" s="23">
        <v>2535</v>
      </c>
      <c r="P1613" s="70">
        <v>0.33333333333333331</v>
      </c>
      <c r="Q1613" s="70">
        <v>0.65625</v>
      </c>
      <c r="R1613" s="229" t="s">
        <v>1527</v>
      </c>
    </row>
    <row r="1614" spans="1:18" x14ac:dyDescent="0.4">
      <c r="A1614" s="212">
        <v>46013</v>
      </c>
      <c r="B1614" s="139" t="s">
        <v>640</v>
      </c>
      <c r="C1614" s="30" t="s">
        <v>280</v>
      </c>
      <c r="D1614" s="296">
        <v>4</v>
      </c>
      <c r="E1614" s="77">
        <v>3</v>
      </c>
      <c r="F1614" s="76">
        <v>2.7777777777777776E-2</v>
      </c>
      <c r="G1614" s="76">
        <v>0.29166666666666669</v>
      </c>
      <c r="H1614" s="76">
        <v>0.56597222222222221</v>
      </c>
      <c r="I1614" s="173" t="s">
        <v>1383</v>
      </c>
      <c r="J1614" s="23">
        <v>8</v>
      </c>
      <c r="K1614" s="23"/>
      <c r="L1614" s="68">
        <v>0.29166666666666669</v>
      </c>
      <c r="M1614" s="68">
        <v>0.41666666666666669</v>
      </c>
      <c r="N1614" s="173" t="s">
        <v>1316</v>
      </c>
      <c r="O1614" s="23">
        <v>2565</v>
      </c>
      <c r="P1614" s="70">
        <v>0.29166666666666669</v>
      </c>
      <c r="Q1614" s="70">
        <v>0.56597222222222221</v>
      </c>
      <c r="R1614" s="229" t="s">
        <v>1354</v>
      </c>
    </row>
    <row r="1615" spans="1:18" x14ac:dyDescent="0.4">
      <c r="A1615" s="246">
        <v>46013</v>
      </c>
      <c r="B1615" s="102">
        <v>111060</v>
      </c>
      <c r="C1615" s="136" t="s">
        <v>1187</v>
      </c>
      <c r="D1615" s="298">
        <v>1</v>
      </c>
      <c r="E1615" s="103"/>
      <c r="F1615" s="104"/>
      <c r="G1615" s="184"/>
      <c r="H1615" s="184"/>
      <c r="I1615" s="225" t="s">
        <v>1002</v>
      </c>
      <c r="J1615" s="105"/>
      <c r="K1615" s="105"/>
      <c r="L1615" s="106"/>
      <c r="M1615" s="106"/>
      <c r="N1615" s="225" t="s">
        <v>1002</v>
      </c>
      <c r="O1615" s="105">
        <v>0</v>
      </c>
      <c r="P1615" s="247">
        <v>0</v>
      </c>
      <c r="Q1615" s="247">
        <v>0</v>
      </c>
      <c r="R1615" s="232" t="s">
        <v>1002</v>
      </c>
    </row>
    <row r="1616" spans="1:18" x14ac:dyDescent="0.4">
      <c r="A1616" s="212">
        <v>46014</v>
      </c>
      <c r="B1616" s="139" t="s">
        <v>61</v>
      </c>
      <c r="C1616" s="30" t="s">
        <v>156</v>
      </c>
      <c r="D1616" s="296">
        <v>28</v>
      </c>
      <c r="E1616" s="77">
        <v>4</v>
      </c>
      <c r="F1616" s="1"/>
      <c r="G1616" s="76">
        <v>0.29166666666666669</v>
      </c>
      <c r="H1616" s="76">
        <v>0.56874999999999998</v>
      </c>
      <c r="I1616" s="173" t="s">
        <v>1666</v>
      </c>
      <c r="J1616" s="23">
        <v>9</v>
      </c>
      <c r="K1616" s="23"/>
      <c r="L1616" s="68">
        <v>0.3125</v>
      </c>
      <c r="M1616" s="68">
        <v>0.60416666666666663</v>
      </c>
      <c r="N1616" s="173" t="s">
        <v>1321</v>
      </c>
      <c r="O1616" s="23">
        <v>4596</v>
      </c>
      <c r="P1616" s="70">
        <v>0.29166666666666669</v>
      </c>
      <c r="Q1616" s="70">
        <v>0.60416666666666663</v>
      </c>
      <c r="R1616" s="229" t="s">
        <v>1329</v>
      </c>
    </row>
    <row r="1617" spans="1:18" x14ac:dyDescent="0.4">
      <c r="A1617" s="212">
        <v>46014</v>
      </c>
      <c r="B1617" s="139" t="s">
        <v>106</v>
      </c>
      <c r="C1617" s="30" t="s">
        <v>173</v>
      </c>
      <c r="D1617" s="296">
        <v>16</v>
      </c>
      <c r="E1617" s="77">
        <v>4</v>
      </c>
      <c r="F1617" s="1"/>
      <c r="G1617" s="76">
        <v>0.54166666666666663</v>
      </c>
      <c r="H1617" s="76">
        <v>0.75</v>
      </c>
      <c r="I1617" s="173" t="s">
        <v>1327</v>
      </c>
      <c r="J1617" s="23">
        <v>9</v>
      </c>
      <c r="K1617" s="23"/>
      <c r="L1617" s="68">
        <v>0.60416666666666663</v>
      </c>
      <c r="M1617" s="68">
        <v>0.77083333333333337</v>
      </c>
      <c r="N1617" s="173" t="s">
        <v>1244</v>
      </c>
      <c r="O1617" s="23">
        <v>3360</v>
      </c>
      <c r="P1617" s="70">
        <v>0.54166666666666663</v>
      </c>
      <c r="Q1617" s="70">
        <v>0.77083333333333337</v>
      </c>
      <c r="R1617" s="229" t="s">
        <v>1320</v>
      </c>
    </row>
    <row r="1618" spans="1:18" x14ac:dyDescent="0.4">
      <c r="A1618" s="212">
        <v>46014</v>
      </c>
      <c r="B1618" s="139" t="s">
        <v>63</v>
      </c>
      <c r="C1618" s="30" t="s">
        <v>267</v>
      </c>
      <c r="D1618" s="296">
        <v>24</v>
      </c>
      <c r="E1618" s="77">
        <v>5</v>
      </c>
      <c r="F1618" s="1"/>
      <c r="G1618" s="76">
        <v>0.44513888888888892</v>
      </c>
      <c r="H1618" s="76">
        <v>0.70833333333333337</v>
      </c>
      <c r="I1618" s="173" t="s">
        <v>1632</v>
      </c>
      <c r="J1618" s="23">
        <v>3</v>
      </c>
      <c r="K1618" s="23"/>
      <c r="L1618" s="68">
        <v>0.3125</v>
      </c>
      <c r="M1618" s="68">
        <v>0.3888888888888889</v>
      </c>
      <c r="N1618" s="173" t="s">
        <v>1377</v>
      </c>
      <c r="O1618" s="23">
        <v>1925</v>
      </c>
      <c r="P1618" s="70">
        <v>0.3125</v>
      </c>
      <c r="Q1618" s="70">
        <v>0.70833333333333337</v>
      </c>
      <c r="R1618" s="229" t="s">
        <v>990</v>
      </c>
    </row>
    <row r="1619" spans="1:18" x14ac:dyDescent="0.4">
      <c r="A1619" s="212">
        <v>46014</v>
      </c>
      <c r="B1619" s="139" t="s">
        <v>99</v>
      </c>
      <c r="C1619" s="30" t="s">
        <v>259</v>
      </c>
      <c r="D1619" s="296">
        <v>6</v>
      </c>
      <c r="E1619" s="77">
        <v>5</v>
      </c>
      <c r="F1619" s="1"/>
      <c r="G1619" s="76">
        <v>0.29166666666666669</v>
      </c>
      <c r="H1619" s="76">
        <v>0.36527777777777781</v>
      </c>
      <c r="I1619" s="173" t="s">
        <v>1413</v>
      </c>
      <c r="J1619" s="23">
        <v>3</v>
      </c>
      <c r="K1619" s="23"/>
      <c r="L1619" s="68">
        <v>0.3888888888888889</v>
      </c>
      <c r="M1619" s="68">
        <v>0.47916666666666669</v>
      </c>
      <c r="N1619" s="173" t="s">
        <v>1248</v>
      </c>
      <c r="O1619" s="23">
        <v>920</v>
      </c>
      <c r="P1619" s="70">
        <v>0.29166666666666669</v>
      </c>
      <c r="Q1619" s="70">
        <v>0.47916666666666669</v>
      </c>
      <c r="R1619" s="229" t="s">
        <v>1243</v>
      </c>
    </row>
    <row r="1620" spans="1:18" x14ac:dyDescent="0.4">
      <c r="A1620" s="212">
        <v>46014</v>
      </c>
      <c r="B1620" s="139" t="s">
        <v>109</v>
      </c>
      <c r="C1620" s="30" t="s">
        <v>263</v>
      </c>
      <c r="D1620" s="296">
        <v>12</v>
      </c>
      <c r="E1620" s="77">
        <v>5</v>
      </c>
      <c r="F1620" s="1"/>
      <c r="G1620" s="76">
        <v>0.36527777777777781</v>
      </c>
      <c r="H1620" s="76">
        <v>0.44513888888888892</v>
      </c>
      <c r="I1620" s="173" t="s">
        <v>1457</v>
      </c>
      <c r="J1620" s="23">
        <v>3</v>
      </c>
      <c r="K1620" s="23"/>
      <c r="L1620" s="68">
        <v>0.47916666666666669</v>
      </c>
      <c r="M1620" s="68">
        <v>0.70833333333333337</v>
      </c>
      <c r="N1620" s="173" t="s">
        <v>1243</v>
      </c>
      <c r="O1620" s="23">
        <v>1385</v>
      </c>
      <c r="P1620" s="70">
        <v>0.36527777777777781</v>
      </c>
      <c r="Q1620" s="70">
        <v>0.70833333333333337</v>
      </c>
      <c r="R1620" s="229" t="s">
        <v>1452</v>
      </c>
    </row>
    <row r="1621" spans="1:18" x14ac:dyDescent="0.4">
      <c r="A1621" s="212">
        <v>46014</v>
      </c>
      <c r="B1621" s="139" t="s">
        <v>97</v>
      </c>
      <c r="C1621" s="30" t="s">
        <v>274</v>
      </c>
      <c r="D1621" s="296">
        <v>8</v>
      </c>
      <c r="E1621" s="77">
        <v>3</v>
      </c>
      <c r="F1621" s="76">
        <v>2.7777777777777776E-2</v>
      </c>
      <c r="G1621" s="76">
        <v>0.29166666666666669</v>
      </c>
      <c r="H1621" s="76">
        <v>0.34027777777777773</v>
      </c>
      <c r="I1621" s="173" t="s">
        <v>1377</v>
      </c>
      <c r="J1621" s="23">
        <v>4</v>
      </c>
      <c r="K1621" s="23"/>
      <c r="L1621" s="68">
        <v>0.3125</v>
      </c>
      <c r="M1621" s="68">
        <v>0.375</v>
      </c>
      <c r="N1621" s="173" t="s">
        <v>1375</v>
      </c>
      <c r="O1621" s="23">
        <v>690</v>
      </c>
      <c r="P1621" s="70">
        <v>0.29166666666666669</v>
      </c>
      <c r="Q1621" s="70">
        <v>0.375</v>
      </c>
      <c r="R1621" s="229" t="s">
        <v>1296</v>
      </c>
    </row>
    <row r="1622" spans="1:18" x14ac:dyDescent="0.4">
      <c r="A1622" s="212">
        <v>46014</v>
      </c>
      <c r="B1622" s="139" t="s">
        <v>123</v>
      </c>
      <c r="C1622" s="30" t="s">
        <v>277</v>
      </c>
      <c r="D1622" s="296">
        <v>24</v>
      </c>
      <c r="E1622" s="77">
        <v>3</v>
      </c>
      <c r="F1622" s="1"/>
      <c r="G1622" s="76">
        <v>0.44791666666666669</v>
      </c>
      <c r="H1622" s="76">
        <v>0.65972222222222221</v>
      </c>
      <c r="I1622" s="173" t="s">
        <v>1365</v>
      </c>
      <c r="J1622" s="23">
        <v>4</v>
      </c>
      <c r="K1622" s="23"/>
      <c r="L1622" s="68">
        <v>0.54166666666666663</v>
      </c>
      <c r="M1622" s="68">
        <v>0.65972222222222221</v>
      </c>
      <c r="N1622" s="173" t="s">
        <v>1314</v>
      </c>
      <c r="O1622" s="23">
        <v>1415</v>
      </c>
      <c r="P1622" s="70">
        <v>0.44791666666666669</v>
      </c>
      <c r="Q1622" s="70">
        <v>0.65972222222222221</v>
      </c>
      <c r="R1622" s="229" t="s">
        <v>1365</v>
      </c>
    </row>
    <row r="1623" spans="1:18" x14ac:dyDescent="0.4">
      <c r="A1623" s="212">
        <v>46014</v>
      </c>
      <c r="B1623" s="139" t="s">
        <v>131</v>
      </c>
      <c r="C1623" s="30" t="s">
        <v>274</v>
      </c>
      <c r="D1623" s="296">
        <v>24</v>
      </c>
      <c r="E1623" s="77">
        <v>3</v>
      </c>
      <c r="F1623" s="1"/>
      <c r="G1623" s="76">
        <v>0.34027777777777773</v>
      </c>
      <c r="H1623" s="76">
        <v>0.44791666666666669</v>
      </c>
      <c r="I1623" s="173" t="s">
        <v>1301</v>
      </c>
      <c r="J1623" s="23">
        <v>4</v>
      </c>
      <c r="K1623" s="23"/>
      <c r="L1623" s="68">
        <v>0.375</v>
      </c>
      <c r="M1623" s="68">
        <v>0.5</v>
      </c>
      <c r="N1623" s="173" t="s">
        <v>1316</v>
      </c>
      <c r="O1623" s="23">
        <v>1185</v>
      </c>
      <c r="P1623" s="70">
        <v>0.34027777777777773</v>
      </c>
      <c r="Q1623" s="70">
        <v>0.5</v>
      </c>
      <c r="R1623" s="229" t="s">
        <v>1332</v>
      </c>
    </row>
    <row r="1624" spans="1:18" x14ac:dyDescent="0.4">
      <c r="A1624" s="246">
        <v>46014</v>
      </c>
      <c r="B1624" s="102">
        <v>111060</v>
      </c>
      <c r="C1624" s="136" t="s">
        <v>1187</v>
      </c>
      <c r="D1624" s="298">
        <v>1</v>
      </c>
      <c r="E1624" s="103"/>
      <c r="F1624" s="104"/>
      <c r="G1624" s="184"/>
      <c r="H1624" s="184"/>
      <c r="I1624" s="225" t="s">
        <v>1002</v>
      </c>
      <c r="J1624" s="105"/>
      <c r="K1624" s="105"/>
      <c r="L1624" s="106"/>
      <c r="M1624" s="106"/>
      <c r="N1624" s="225" t="s">
        <v>1002</v>
      </c>
      <c r="O1624" s="105">
        <v>0</v>
      </c>
      <c r="P1624" s="247">
        <v>0</v>
      </c>
      <c r="Q1624" s="247">
        <v>0</v>
      </c>
      <c r="R1624" s="232" t="s">
        <v>1002</v>
      </c>
    </row>
    <row r="1625" spans="1:18" x14ac:dyDescent="0.4">
      <c r="A1625" s="212">
        <v>46015</v>
      </c>
      <c r="B1625" s="139" t="s">
        <v>54</v>
      </c>
      <c r="C1625" s="30" t="s">
        <v>251</v>
      </c>
      <c r="D1625" s="296">
        <v>28</v>
      </c>
      <c r="E1625" s="77">
        <v>5</v>
      </c>
      <c r="F1625" s="1"/>
      <c r="G1625" s="76">
        <v>0.29166666666666669</v>
      </c>
      <c r="H1625" s="76">
        <v>0.56944444444444442</v>
      </c>
      <c r="I1625" s="173" t="s">
        <v>1339</v>
      </c>
      <c r="J1625" s="23">
        <v>3</v>
      </c>
      <c r="K1625" s="23"/>
      <c r="L1625" s="68">
        <v>0.3125</v>
      </c>
      <c r="M1625" s="68">
        <v>0.59722222222222221</v>
      </c>
      <c r="N1625" s="173" t="s">
        <v>1415</v>
      </c>
      <c r="O1625" s="23">
        <v>2750</v>
      </c>
      <c r="P1625" s="70">
        <v>0.29166666666666669</v>
      </c>
      <c r="Q1625" s="70">
        <v>0.59722222222222221</v>
      </c>
      <c r="R1625" s="229" t="s">
        <v>1353</v>
      </c>
    </row>
    <row r="1626" spans="1:18" x14ac:dyDescent="0.4">
      <c r="A1626" s="212">
        <v>46015</v>
      </c>
      <c r="B1626" s="139" t="s">
        <v>51</v>
      </c>
      <c r="C1626" s="30" t="s">
        <v>253</v>
      </c>
      <c r="D1626" s="296">
        <v>18</v>
      </c>
      <c r="E1626" s="77">
        <v>5</v>
      </c>
      <c r="F1626" s="1"/>
      <c r="G1626" s="76">
        <v>0.54236111111111118</v>
      </c>
      <c r="H1626" s="76">
        <v>0.70833333333333337</v>
      </c>
      <c r="I1626" s="173" t="s">
        <v>1622</v>
      </c>
      <c r="J1626" s="23">
        <v>3</v>
      </c>
      <c r="K1626" s="23"/>
      <c r="L1626" s="68">
        <v>0.59722222222222221</v>
      </c>
      <c r="M1626" s="68">
        <v>0.72916666666666663</v>
      </c>
      <c r="N1626" s="173" t="s">
        <v>1256</v>
      </c>
      <c r="O1626" s="23">
        <v>1765</v>
      </c>
      <c r="P1626" s="70">
        <v>0.54236111111111118</v>
      </c>
      <c r="Q1626" s="70">
        <v>0.72916666666666663</v>
      </c>
      <c r="R1626" s="229" t="s">
        <v>1487</v>
      </c>
    </row>
    <row r="1627" spans="1:18" x14ac:dyDescent="0.4">
      <c r="A1627" s="212">
        <v>46015</v>
      </c>
      <c r="B1627" s="139" t="s">
        <v>57</v>
      </c>
      <c r="C1627" s="30" t="s">
        <v>334</v>
      </c>
      <c r="D1627" s="296">
        <v>12</v>
      </c>
      <c r="E1627" s="23">
        <v>5</v>
      </c>
      <c r="F1627" s="23"/>
      <c r="G1627" s="68">
        <v>0.43958333333333338</v>
      </c>
      <c r="H1627" s="68">
        <v>0.58333333333333337</v>
      </c>
      <c r="I1627" s="173" t="s">
        <v>1451</v>
      </c>
      <c r="J1627" s="23">
        <v>4</v>
      </c>
      <c r="K1627" s="23"/>
      <c r="L1627" s="68">
        <v>0.4826388888888889</v>
      </c>
      <c r="M1627" s="68">
        <v>0.60763888888888895</v>
      </c>
      <c r="N1627" s="173" t="s">
        <v>1296</v>
      </c>
      <c r="O1627" s="23">
        <v>1215</v>
      </c>
      <c r="P1627" s="70">
        <v>0.43958333333333338</v>
      </c>
      <c r="Q1627" s="70">
        <v>0.60763888888888895</v>
      </c>
      <c r="R1627" s="229" t="s">
        <v>1431</v>
      </c>
    </row>
    <row r="1628" spans="1:18" x14ac:dyDescent="0.4">
      <c r="A1628" s="212">
        <v>46015</v>
      </c>
      <c r="B1628" s="139" t="s">
        <v>611</v>
      </c>
      <c r="C1628" s="30" t="s">
        <v>212</v>
      </c>
      <c r="D1628" s="296">
        <v>6</v>
      </c>
      <c r="E1628" s="23">
        <v>5</v>
      </c>
      <c r="F1628" s="23"/>
      <c r="G1628" s="68">
        <v>0.58333333333333337</v>
      </c>
      <c r="H1628" s="68">
        <v>0.66666666666666663</v>
      </c>
      <c r="I1628" s="173" t="s">
        <v>1296</v>
      </c>
      <c r="J1628" s="23">
        <v>4</v>
      </c>
      <c r="K1628" s="23"/>
      <c r="L1628" s="68">
        <v>0.60763888888888895</v>
      </c>
      <c r="M1628" s="68">
        <v>0.6875</v>
      </c>
      <c r="N1628" s="173" t="s">
        <v>1457</v>
      </c>
      <c r="O1628" s="23">
        <v>1060</v>
      </c>
      <c r="P1628" s="70">
        <v>0.58333333333333337</v>
      </c>
      <c r="Q1628" s="70">
        <v>0.6875</v>
      </c>
      <c r="R1628" s="229" t="s">
        <v>1298</v>
      </c>
    </row>
    <row r="1629" spans="1:18" x14ac:dyDescent="0.4">
      <c r="A1629" s="212">
        <v>46015</v>
      </c>
      <c r="B1629" s="139" t="s">
        <v>661</v>
      </c>
      <c r="C1629" s="30" t="s">
        <v>645</v>
      </c>
      <c r="D1629" s="296">
        <v>16</v>
      </c>
      <c r="E1629" s="23">
        <v>5</v>
      </c>
      <c r="F1629" s="23"/>
      <c r="G1629" s="68">
        <v>0.29166666666666669</v>
      </c>
      <c r="H1629" s="68">
        <v>0.43958333333333338</v>
      </c>
      <c r="I1629" s="173" t="s">
        <v>1623</v>
      </c>
      <c r="J1629" s="23">
        <v>4</v>
      </c>
      <c r="K1629" s="23"/>
      <c r="L1629" s="68">
        <v>0.3125</v>
      </c>
      <c r="M1629" s="68">
        <v>0.4826388888888889</v>
      </c>
      <c r="N1629" s="173" t="s">
        <v>1365</v>
      </c>
      <c r="O1629" s="23">
        <v>2045</v>
      </c>
      <c r="P1629" s="70">
        <v>0.29166666666666669</v>
      </c>
      <c r="Q1629" s="70">
        <v>0.4826388888888889</v>
      </c>
      <c r="R1629" s="229" t="s">
        <v>1304</v>
      </c>
    </row>
    <row r="1630" spans="1:18" x14ac:dyDescent="0.4">
      <c r="A1630" s="212">
        <v>46015</v>
      </c>
      <c r="B1630" s="139" t="s">
        <v>471</v>
      </c>
      <c r="C1630" s="30" t="s">
        <v>280</v>
      </c>
      <c r="D1630" s="296">
        <v>8</v>
      </c>
      <c r="E1630" s="77">
        <v>3</v>
      </c>
      <c r="F1630" s="76">
        <v>2.7777777777777776E-2</v>
      </c>
      <c r="G1630" s="76">
        <v>0.29166666666666669</v>
      </c>
      <c r="H1630" s="76">
        <v>0.40972222222222227</v>
      </c>
      <c r="I1630" s="173" t="s">
        <v>1303</v>
      </c>
      <c r="J1630" s="23">
        <v>8</v>
      </c>
      <c r="K1630" s="23"/>
      <c r="L1630" s="68">
        <v>0.29166666666666669</v>
      </c>
      <c r="M1630" s="68">
        <v>0.52430555555555558</v>
      </c>
      <c r="N1630" s="173" t="s">
        <v>1354</v>
      </c>
      <c r="O1630" s="23">
        <v>3310</v>
      </c>
      <c r="P1630" s="70">
        <v>0.29166666666666669</v>
      </c>
      <c r="Q1630" s="70">
        <v>0.52430555555555558</v>
      </c>
      <c r="R1630" s="229" t="s">
        <v>1354</v>
      </c>
    </row>
    <row r="1631" spans="1:18" x14ac:dyDescent="0.4">
      <c r="A1631" s="212">
        <v>46015</v>
      </c>
      <c r="B1631" s="139" t="s">
        <v>65</v>
      </c>
      <c r="C1631" s="30" t="s">
        <v>189</v>
      </c>
      <c r="D1631" s="296">
        <v>36</v>
      </c>
      <c r="E1631" s="77">
        <v>3</v>
      </c>
      <c r="F1631" s="1"/>
      <c r="G1631" s="76">
        <v>0.40277777777777773</v>
      </c>
      <c r="H1631" s="76">
        <v>0.69097222222222221</v>
      </c>
      <c r="I1631" s="173" t="s">
        <v>1358</v>
      </c>
      <c r="J1631" s="23">
        <v>4</v>
      </c>
      <c r="K1631" s="23"/>
      <c r="L1631" s="68">
        <v>0.54166666666666663</v>
      </c>
      <c r="M1631" s="68">
        <v>0.73611111111111116</v>
      </c>
      <c r="N1631" s="173" t="s">
        <v>1255</v>
      </c>
      <c r="O1631" s="23">
        <v>2185</v>
      </c>
      <c r="P1631" s="70">
        <v>0.40277777777777773</v>
      </c>
      <c r="Q1631" s="70">
        <v>0.73611111111111116</v>
      </c>
      <c r="R1631" s="229" t="s">
        <v>1341</v>
      </c>
    </row>
    <row r="1632" spans="1:18" x14ac:dyDescent="0.4">
      <c r="A1632" s="246">
        <v>46015</v>
      </c>
      <c r="B1632" s="102">
        <v>111010</v>
      </c>
      <c r="C1632" s="136" t="s">
        <v>480</v>
      </c>
      <c r="D1632" s="298">
        <v>1</v>
      </c>
      <c r="E1632" s="103"/>
      <c r="F1632" s="104"/>
      <c r="G1632" s="184"/>
      <c r="H1632" s="184"/>
      <c r="I1632" s="225" t="s">
        <v>1002</v>
      </c>
      <c r="J1632" s="105"/>
      <c r="K1632" s="105"/>
      <c r="L1632" s="106"/>
      <c r="M1632" s="106"/>
      <c r="N1632" s="225" t="s">
        <v>1002</v>
      </c>
      <c r="O1632" s="105">
        <v>0</v>
      </c>
      <c r="P1632" s="247">
        <v>0</v>
      </c>
      <c r="Q1632" s="247">
        <v>0</v>
      </c>
      <c r="R1632" s="232" t="s">
        <v>1002</v>
      </c>
    </row>
    <row r="1633" spans="1:18" x14ac:dyDescent="0.4">
      <c r="A1633" s="212">
        <v>46020</v>
      </c>
      <c r="B1633" s="139" t="s">
        <v>64</v>
      </c>
      <c r="C1633" s="30" t="s">
        <v>271</v>
      </c>
      <c r="D1633" s="296">
        <v>20</v>
      </c>
      <c r="E1633" s="77">
        <v>5</v>
      </c>
      <c r="F1633" s="1"/>
      <c r="G1633" s="76">
        <v>0.29166666666666669</v>
      </c>
      <c r="H1633" s="76">
        <v>0.5</v>
      </c>
      <c r="I1633" s="173" t="s">
        <v>1327</v>
      </c>
      <c r="J1633" s="23">
        <v>3</v>
      </c>
      <c r="K1633" s="23"/>
      <c r="L1633" s="68">
        <v>0.3125</v>
      </c>
      <c r="M1633" s="68">
        <v>0.5</v>
      </c>
      <c r="N1633" s="173" t="s">
        <v>1243</v>
      </c>
      <c r="O1633" s="23">
        <v>2310</v>
      </c>
      <c r="P1633" s="70">
        <v>0.29166666666666669</v>
      </c>
      <c r="Q1633" s="70">
        <v>0.5</v>
      </c>
      <c r="R1633" s="229" t="s">
        <v>1327</v>
      </c>
    </row>
    <row r="1634" spans="1:18" x14ac:dyDescent="0.4">
      <c r="A1634" s="212">
        <v>46020</v>
      </c>
      <c r="B1634" s="139" t="s">
        <v>63</v>
      </c>
      <c r="C1634" s="30" t="s">
        <v>267</v>
      </c>
      <c r="D1634" s="296">
        <v>20</v>
      </c>
      <c r="E1634" s="77">
        <v>5</v>
      </c>
      <c r="F1634" s="1"/>
      <c r="G1634" s="76">
        <v>0.54166666666666663</v>
      </c>
      <c r="H1634" s="76">
        <v>0.70833333333333337</v>
      </c>
      <c r="I1634" s="173" t="s">
        <v>1244</v>
      </c>
      <c r="J1634" s="23">
        <v>3</v>
      </c>
      <c r="K1634" s="23"/>
      <c r="L1634" s="68">
        <v>0.54166666666666663</v>
      </c>
      <c r="M1634" s="68">
        <v>0.72916666666666663</v>
      </c>
      <c r="N1634" s="173" t="s">
        <v>1243</v>
      </c>
      <c r="O1634" s="23">
        <v>2010</v>
      </c>
      <c r="P1634" s="70">
        <v>0.54166666666666663</v>
      </c>
      <c r="Q1634" s="70">
        <v>0.72916666666666663</v>
      </c>
      <c r="R1634" s="229" t="s">
        <v>1243</v>
      </c>
    </row>
    <row r="1635" spans="1:18" x14ac:dyDescent="0.4">
      <c r="A1635" s="212">
        <v>46020</v>
      </c>
      <c r="B1635" s="139" t="s">
        <v>73</v>
      </c>
      <c r="C1635" s="30" t="s">
        <v>231</v>
      </c>
      <c r="D1635" s="296">
        <v>15</v>
      </c>
      <c r="E1635" s="77">
        <v>4</v>
      </c>
      <c r="F1635" s="1"/>
      <c r="G1635" s="76">
        <v>0.29166666666666669</v>
      </c>
      <c r="H1635" s="76">
        <v>0.61805555555555558</v>
      </c>
      <c r="I1635" s="173" t="s">
        <v>1337</v>
      </c>
      <c r="J1635" s="23">
        <v>6</v>
      </c>
      <c r="K1635" s="23"/>
      <c r="L1635" s="68">
        <v>0.3125</v>
      </c>
      <c r="M1635" s="68">
        <v>0.66666666666666663</v>
      </c>
      <c r="N1635" s="173" t="s">
        <v>1309</v>
      </c>
      <c r="O1635" s="23">
        <v>4340</v>
      </c>
      <c r="P1635" s="70">
        <v>0.29166666666666669</v>
      </c>
      <c r="Q1635" s="70">
        <v>0.66666666666666663</v>
      </c>
      <c r="R1635" s="229" t="s">
        <v>1292</v>
      </c>
    </row>
    <row r="1636" spans="1:18" x14ac:dyDescent="0.4">
      <c r="A1636" s="212">
        <v>46020</v>
      </c>
      <c r="B1636" s="139" t="s">
        <v>104</v>
      </c>
      <c r="C1636" s="30" t="s">
        <v>191</v>
      </c>
      <c r="D1636" s="296">
        <v>64</v>
      </c>
      <c r="E1636" s="77">
        <v>3</v>
      </c>
      <c r="F1636" s="76">
        <v>2.7777777777777776E-2</v>
      </c>
      <c r="G1636" s="76">
        <v>0.29166666666666669</v>
      </c>
      <c r="H1636" s="76">
        <v>0.68055555555555547</v>
      </c>
      <c r="I1636" s="173" t="s">
        <v>1252</v>
      </c>
      <c r="J1636" s="23">
        <v>4</v>
      </c>
      <c r="K1636" s="23"/>
      <c r="L1636" s="68">
        <v>0.29166666666666669</v>
      </c>
      <c r="M1636" s="68">
        <v>0.72916666666666663</v>
      </c>
      <c r="N1636" s="173" t="s">
        <v>1247</v>
      </c>
      <c r="O1636" s="23">
        <v>3900</v>
      </c>
      <c r="P1636" s="70">
        <v>0.29166666666666669</v>
      </c>
      <c r="Q1636" s="70">
        <v>0.72916666666666663</v>
      </c>
      <c r="R1636" s="229" t="s">
        <v>1247</v>
      </c>
    </row>
    <row r="1637" spans="1:18" x14ac:dyDescent="0.4">
      <c r="A1637" s="246">
        <v>46020</v>
      </c>
      <c r="B1637" s="102">
        <v>111060</v>
      </c>
      <c r="C1637" s="136" t="s">
        <v>1187</v>
      </c>
      <c r="D1637" s="298">
        <v>1</v>
      </c>
      <c r="E1637" s="103"/>
      <c r="F1637" s="104"/>
      <c r="G1637" s="184"/>
      <c r="H1637" s="184"/>
      <c r="I1637" s="225" t="s">
        <v>1002</v>
      </c>
      <c r="J1637" s="105"/>
      <c r="K1637" s="105"/>
      <c r="L1637" s="106"/>
      <c r="M1637" s="106"/>
      <c r="N1637" s="225" t="s">
        <v>1002</v>
      </c>
      <c r="O1637" s="105">
        <v>0</v>
      </c>
      <c r="P1637" s="247">
        <v>0</v>
      </c>
      <c r="Q1637" s="247">
        <v>0</v>
      </c>
      <c r="R1637" s="232" t="s">
        <v>1002</v>
      </c>
    </row>
    <row r="1638" spans="1:18" x14ac:dyDescent="0.4">
      <c r="A1638" s="212">
        <v>46021</v>
      </c>
      <c r="B1638" s="139" t="s">
        <v>71</v>
      </c>
      <c r="C1638" s="30" t="s">
        <v>176</v>
      </c>
      <c r="D1638" s="296">
        <v>36</v>
      </c>
      <c r="E1638" s="77">
        <v>6</v>
      </c>
      <c r="F1638" s="1"/>
      <c r="G1638" s="76">
        <v>0.54166666666666663</v>
      </c>
      <c r="H1638" s="76">
        <v>0.6875</v>
      </c>
      <c r="I1638" s="173" t="s">
        <v>1303</v>
      </c>
      <c r="J1638" s="23">
        <v>5</v>
      </c>
      <c r="K1638" s="23"/>
      <c r="L1638" s="68">
        <v>0.54166666666666663</v>
      </c>
      <c r="M1638" s="68">
        <v>0.70833333333333337</v>
      </c>
      <c r="N1638" s="173" t="s">
        <v>1244</v>
      </c>
      <c r="O1638" s="23">
        <v>2460</v>
      </c>
      <c r="P1638" s="70">
        <v>0.54166666666666663</v>
      </c>
      <c r="Q1638" s="70">
        <v>0.70833333333333337</v>
      </c>
      <c r="R1638" s="229" t="s">
        <v>1244</v>
      </c>
    </row>
    <row r="1639" spans="1:18" x14ac:dyDescent="0.4">
      <c r="A1639" s="212">
        <v>46021</v>
      </c>
      <c r="B1639" s="139" t="s">
        <v>68</v>
      </c>
      <c r="C1639" s="30" t="s">
        <v>185</v>
      </c>
      <c r="D1639" s="296">
        <v>20</v>
      </c>
      <c r="E1639" s="77">
        <v>6</v>
      </c>
      <c r="F1639" s="1"/>
      <c r="G1639" s="76">
        <v>0.29166666666666669</v>
      </c>
      <c r="H1639" s="76">
        <v>0.5</v>
      </c>
      <c r="I1639" s="173" t="s">
        <v>1327</v>
      </c>
      <c r="J1639" s="23">
        <v>5</v>
      </c>
      <c r="K1639" s="23"/>
      <c r="L1639" s="68">
        <v>0.3125</v>
      </c>
      <c r="M1639" s="68">
        <v>0.5</v>
      </c>
      <c r="N1639" s="173" t="s">
        <v>1243</v>
      </c>
      <c r="O1639" s="23">
        <v>3150</v>
      </c>
      <c r="P1639" s="70">
        <v>0.29166666666666669</v>
      </c>
      <c r="Q1639" s="70">
        <v>0.5</v>
      </c>
      <c r="R1639" s="229" t="s">
        <v>1327</v>
      </c>
    </row>
    <row r="1640" spans="1:18" x14ac:dyDescent="0.4">
      <c r="A1640" s="212">
        <v>46021</v>
      </c>
      <c r="B1640" s="139" t="s">
        <v>88</v>
      </c>
      <c r="C1640" s="30" t="s">
        <v>328</v>
      </c>
      <c r="D1640" s="296">
        <v>32</v>
      </c>
      <c r="E1640" s="77">
        <v>5</v>
      </c>
      <c r="F1640" s="1"/>
      <c r="G1640" s="76">
        <v>0.29166666666666669</v>
      </c>
      <c r="H1640" s="76">
        <v>0.3611111111111111</v>
      </c>
      <c r="I1640" s="173" t="s">
        <v>1386</v>
      </c>
      <c r="J1640" s="23">
        <v>3</v>
      </c>
      <c r="K1640" s="23"/>
      <c r="L1640" s="68">
        <v>0.3888888888888889</v>
      </c>
      <c r="M1640" s="68">
        <v>0.6875</v>
      </c>
      <c r="N1640" s="173" t="s">
        <v>1471</v>
      </c>
      <c r="O1640" s="23">
        <v>1610</v>
      </c>
      <c r="P1640" s="70">
        <v>0.29166666666666669</v>
      </c>
      <c r="Q1640" s="70">
        <v>0.6875</v>
      </c>
      <c r="R1640" s="229" t="s">
        <v>990</v>
      </c>
    </row>
    <row r="1641" spans="1:18" x14ac:dyDescent="0.4">
      <c r="A1641" s="212">
        <v>46021</v>
      </c>
      <c r="B1641" s="139" t="s">
        <v>984</v>
      </c>
      <c r="C1641" s="30" t="s">
        <v>245</v>
      </c>
      <c r="D1641" s="296">
        <v>5</v>
      </c>
      <c r="E1641" s="77">
        <v>5</v>
      </c>
      <c r="F1641" s="1"/>
      <c r="G1641" s="76">
        <v>0.3611111111111111</v>
      </c>
      <c r="H1641" s="76">
        <v>0.6875</v>
      </c>
      <c r="I1641" s="173" t="s">
        <v>1337</v>
      </c>
      <c r="J1641" s="23">
        <v>3</v>
      </c>
      <c r="K1641" s="23"/>
      <c r="L1641" s="68">
        <v>0.3125</v>
      </c>
      <c r="M1641" s="68">
        <v>0.3888888888888889</v>
      </c>
      <c r="N1641" s="173" t="s">
        <v>1377</v>
      </c>
      <c r="O1641" s="23">
        <v>2380</v>
      </c>
      <c r="P1641" s="70">
        <v>0.3125</v>
      </c>
      <c r="Q1641" s="70">
        <v>0.6875</v>
      </c>
      <c r="R1641" s="229" t="s">
        <v>1292</v>
      </c>
    </row>
    <row r="1642" spans="1:18" x14ac:dyDescent="0.4">
      <c r="A1642" s="212">
        <v>46021</v>
      </c>
      <c r="B1642" s="139" t="s">
        <v>65</v>
      </c>
      <c r="C1642" s="30" t="s">
        <v>189</v>
      </c>
      <c r="D1642" s="296">
        <v>32</v>
      </c>
      <c r="E1642" s="77">
        <v>3</v>
      </c>
      <c r="F1642" s="76">
        <v>2.7777777777777776E-2</v>
      </c>
      <c r="G1642" s="76">
        <v>0.29166666666666669</v>
      </c>
      <c r="H1642" s="76">
        <v>0.44444444444444442</v>
      </c>
      <c r="I1642" s="173" t="s">
        <v>1379</v>
      </c>
      <c r="J1642" s="23">
        <v>4</v>
      </c>
      <c r="K1642" s="23"/>
      <c r="L1642" s="68">
        <v>0.29166666666666669</v>
      </c>
      <c r="M1642" s="68">
        <v>0.5</v>
      </c>
      <c r="N1642" s="173" t="s">
        <v>1327</v>
      </c>
      <c r="O1642" s="23">
        <v>1980</v>
      </c>
      <c r="P1642" s="70">
        <v>0.29166666666666669</v>
      </c>
      <c r="Q1642" s="70">
        <v>0.5</v>
      </c>
      <c r="R1642" s="229" t="s">
        <v>1327</v>
      </c>
    </row>
    <row r="1643" spans="1:18" x14ac:dyDescent="0.4">
      <c r="A1643" s="212">
        <v>46021</v>
      </c>
      <c r="B1643" s="139" t="s">
        <v>602</v>
      </c>
      <c r="C1643" s="30" t="s">
        <v>324</v>
      </c>
      <c r="D1643" s="296">
        <v>8</v>
      </c>
      <c r="E1643" s="77">
        <v>3</v>
      </c>
      <c r="F1643" s="1"/>
      <c r="G1643" s="76">
        <v>0.44444444444444442</v>
      </c>
      <c r="H1643" s="76">
        <v>0.67361111111111116</v>
      </c>
      <c r="I1643" s="173" t="s">
        <v>1243</v>
      </c>
      <c r="J1643" s="23">
        <v>4</v>
      </c>
      <c r="K1643" s="23"/>
      <c r="L1643" s="68">
        <v>0.54166666666666663</v>
      </c>
      <c r="M1643" s="68">
        <v>0.70138888888888884</v>
      </c>
      <c r="N1643" s="173" t="s">
        <v>1332</v>
      </c>
      <c r="O1643" s="23">
        <v>1730</v>
      </c>
      <c r="P1643" s="70">
        <v>0.44444444444444442</v>
      </c>
      <c r="Q1643" s="70">
        <v>0.70138888888888884</v>
      </c>
      <c r="R1643" s="229" t="s">
        <v>1257</v>
      </c>
    </row>
    <row r="1644" spans="1:18" x14ac:dyDescent="0.4">
      <c r="A1644" s="212">
        <v>46022</v>
      </c>
      <c r="B1644" s="139" t="s">
        <v>91</v>
      </c>
      <c r="C1644" s="30" t="s">
        <v>163</v>
      </c>
      <c r="D1644" s="296">
        <v>20</v>
      </c>
      <c r="E1644" s="77">
        <v>4</v>
      </c>
      <c r="F1644" s="1"/>
      <c r="G1644" s="76">
        <v>0.36805555555555558</v>
      </c>
      <c r="H1644" s="76">
        <v>0.66666666666666663</v>
      </c>
      <c r="I1644" s="173" t="s">
        <v>1471</v>
      </c>
      <c r="J1644" s="23">
        <v>9</v>
      </c>
      <c r="K1644" s="23"/>
      <c r="L1644" s="68">
        <v>0.43055555555555558</v>
      </c>
      <c r="M1644" s="68">
        <v>0.70833333333333337</v>
      </c>
      <c r="N1644" s="173" t="s">
        <v>1339</v>
      </c>
      <c r="O1644" s="23">
        <v>4540</v>
      </c>
      <c r="P1644" s="70">
        <v>0.36805555555555558</v>
      </c>
      <c r="Q1644" s="70">
        <v>0.70833333333333337</v>
      </c>
      <c r="R1644" s="229" t="s">
        <v>1403</v>
      </c>
    </row>
    <row r="1645" spans="1:18" x14ac:dyDescent="0.4">
      <c r="A1645" s="212">
        <v>46022</v>
      </c>
      <c r="B1645" s="139" t="s">
        <v>158</v>
      </c>
      <c r="C1645" s="30" t="s">
        <v>159</v>
      </c>
      <c r="D1645" s="296">
        <v>4</v>
      </c>
      <c r="E1645" s="77">
        <v>4</v>
      </c>
      <c r="F1645" s="1"/>
      <c r="G1645" s="76">
        <v>0.29166666666666669</v>
      </c>
      <c r="H1645" s="76">
        <v>0.36527777777777781</v>
      </c>
      <c r="I1645" s="173" t="s">
        <v>1413</v>
      </c>
      <c r="J1645" s="23">
        <v>9</v>
      </c>
      <c r="K1645" s="23"/>
      <c r="L1645" s="68">
        <v>0.3125</v>
      </c>
      <c r="M1645" s="68">
        <v>0.43055555555555558</v>
      </c>
      <c r="N1645" s="173" t="s">
        <v>1314</v>
      </c>
      <c r="O1645" s="23">
        <v>1954</v>
      </c>
      <c r="P1645" s="70">
        <v>0.29166666666666669</v>
      </c>
      <c r="Q1645" s="70">
        <v>0.43055555555555558</v>
      </c>
      <c r="R1645" s="229" t="s">
        <v>1250</v>
      </c>
    </row>
    <row r="1646" spans="1:18" x14ac:dyDescent="0.4">
      <c r="A1646" s="212">
        <v>46022</v>
      </c>
      <c r="B1646" s="139" t="s">
        <v>63</v>
      </c>
      <c r="C1646" s="30" t="s">
        <v>267</v>
      </c>
      <c r="D1646" s="296">
        <v>28</v>
      </c>
      <c r="E1646" s="77">
        <v>5</v>
      </c>
      <c r="F1646" s="1"/>
      <c r="G1646" s="76">
        <v>0.42152777777777778</v>
      </c>
      <c r="H1646" s="76">
        <v>0.6875</v>
      </c>
      <c r="I1646" s="173" t="s">
        <v>1445</v>
      </c>
      <c r="J1646" s="23">
        <v>3</v>
      </c>
      <c r="K1646" s="23"/>
      <c r="L1646" s="68">
        <v>0.44791666666666669</v>
      </c>
      <c r="M1646" s="68">
        <v>0.6875</v>
      </c>
      <c r="N1646" s="173" t="s">
        <v>1335</v>
      </c>
      <c r="O1646" s="23">
        <v>2470</v>
      </c>
      <c r="P1646" s="70">
        <v>0.42152777777777778</v>
      </c>
      <c r="Q1646" s="70">
        <v>0.6875</v>
      </c>
      <c r="R1646" s="229" t="s">
        <v>1445</v>
      </c>
    </row>
    <row r="1647" spans="1:18" x14ac:dyDescent="0.4">
      <c r="A1647" s="212">
        <v>46022</v>
      </c>
      <c r="B1647" s="139" t="s">
        <v>76</v>
      </c>
      <c r="C1647" s="30" t="s">
        <v>224</v>
      </c>
      <c r="D1647" s="296">
        <v>8</v>
      </c>
      <c r="E1647" s="77">
        <v>5</v>
      </c>
      <c r="F1647" s="1"/>
      <c r="G1647" s="76">
        <v>0.36874999999999997</v>
      </c>
      <c r="H1647" s="76">
        <v>0.42152777777777778</v>
      </c>
      <c r="I1647" s="173" t="s">
        <v>1533</v>
      </c>
      <c r="J1647" s="23">
        <v>3</v>
      </c>
      <c r="K1647" s="23"/>
      <c r="L1647" s="68">
        <v>0.3888888888888889</v>
      </c>
      <c r="M1647" s="68">
        <v>0.44791666666666669</v>
      </c>
      <c r="N1647" s="173" t="s">
        <v>1534</v>
      </c>
      <c r="O1647" s="23">
        <v>635</v>
      </c>
      <c r="P1647" s="70">
        <v>0.36874999999999997</v>
      </c>
      <c r="Q1647" s="70">
        <v>0.44791666666666669</v>
      </c>
      <c r="R1647" s="229" t="s">
        <v>1412</v>
      </c>
    </row>
    <row r="1648" spans="1:18" x14ac:dyDescent="0.4">
      <c r="A1648" s="212">
        <v>46022</v>
      </c>
      <c r="B1648" s="139" t="s">
        <v>451</v>
      </c>
      <c r="C1648" s="30" t="s">
        <v>255</v>
      </c>
      <c r="D1648" s="296">
        <v>6</v>
      </c>
      <c r="E1648" s="77">
        <v>5</v>
      </c>
      <c r="F1648" s="1"/>
      <c r="G1648" s="76">
        <v>0.29166666666666669</v>
      </c>
      <c r="H1648" s="76">
        <v>0.36874999999999997</v>
      </c>
      <c r="I1648" s="173" t="s">
        <v>1656</v>
      </c>
      <c r="J1648" s="23">
        <v>3</v>
      </c>
      <c r="K1648" s="23"/>
      <c r="L1648" s="68">
        <v>0.3125</v>
      </c>
      <c r="M1648" s="68">
        <v>0.3888888888888889</v>
      </c>
      <c r="N1648" s="173" t="s">
        <v>1377</v>
      </c>
      <c r="O1648" s="23">
        <v>885</v>
      </c>
      <c r="P1648" s="70">
        <v>0.29166666666666669</v>
      </c>
      <c r="Q1648" s="70">
        <v>0.3888888888888889</v>
      </c>
      <c r="R1648" s="229" t="s">
        <v>1313</v>
      </c>
    </row>
    <row r="1649" spans="1:18" x14ac:dyDescent="0.4">
      <c r="A1649" s="212">
        <v>46022</v>
      </c>
      <c r="B1649" s="139" t="s">
        <v>65</v>
      </c>
      <c r="C1649" s="30" t="s">
        <v>189</v>
      </c>
      <c r="D1649" s="296">
        <v>64</v>
      </c>
      <c r="E1649" s="77">
        <v>3</v>
      </c>
      <c r="F1649" s="76">
        <v>2.7777777777777776E-2</v>
      </c>
      <c r="G1649" s="76">
        <v>0.29166666666666669</v>
      </c>
      <c r="H1649" s="76">
        <v>0.63888888888888895</v>
      </c>
      <c r="I1649" s="173" t="s">
        <v>1292</v>
      </c>
      <c r="J1649" s="23">
        <v>4</v>
      </c>
      <c r="K1649" s="23"/>
      <c r="L1649" s="68">
        <v>0.29166666666666669</v>
      </c>
      <c r="M1649" s="68">
        <v>0.68055555555555547</v>
      </c>
      <c r="N1649" s="173" t="s">
        <v>1465</v>
      </c>
      <c r="O1649" s="23">
        <v>3440</v>
      </c>
      <c r="P1649" s="70">
        <v>0.29166666666666669</v>
      </c>
      <c r="Q1649" s="70">
        <v>0.68055555555555547</v>
      </c>
      <c r="R1649" s="229" t="s">
        <v>1465</v>
      </c>
    </row>
    <row r="1650" spans="1:18" x14ac:dyDescent="0.4">
      <c r="A1650" s="212">
        <v>46027</v>
      </c>
      <c r="B1650" s="139" t="s">
        <v>61</v>
      </c>
      <c r="C1650" s="140" t="s">
        <v>156</v>
      </c>
      <c r="D1650" s="292">
        <v>28</v>
      </c>
      <c r="E1650" s="77">
        <v>4</v>
      </c>
      <c r="F1650" s="1"/>
      <c r="G1650" s="76">
        <v>0.29166666666666669</v>
      </c>
      <c r="H1650" s="76">
        <v>0.56666666666666665</v>
      </c>
      <c r="I1650" s="173" t="str">
        <f t="shared" ref="I1650:I1713" si="0">TEXT(IF(AND(G1650&lt;=$S$2,H1650&gt;=$T$2),(H1650-G1650+F1650)-($T$2-$S$2),(H1650-G1650+F1650)),"[m]")</f>
        <v>336</v>
      </c>
      <c r="J1650" s="23">
        <v>10</v>
      </c>
      <c r="K1650" s="23"/>
      <c r="L1650" s="68">
        <v>0.3125</v>
      </c>
      <c r="M1650" s="68">
        <v>0.61111111111111105</v>
      </c>
      <c r="N1650" s="173" t="str">
        <f t="shared" ref="N1650:N1713" si="1">TEXT(IF(AND(L1650&lt;=$S$2,M1650&gt;=$T$2),(M1650-L1650+K1650)-($T$2-$S$2),(M1650-L1650+K1650)),"[m]")</f>
        <v>370</v>
      </c>
      <c r="O1650" s="23">
        <f t="shared" ref="O1650:O1713" si="2">E1650*I1650+J1650*N1650</f>
        <v>5044</v>
      </c>
      <c r="P1650" s="70">
        <f t="shared" ref="P1650:P1713" si="3">MIN(G1650:H1650,L1650:M1650)</f>
        <v>0.29166666666666669</v>
      </c>
      <c r="Q1650" s="70">
        <f t="shared" ref="Q1650:Q1713" si="4">MAX(G1650:H1650,L1650:M1650)</f>
        <v>0.61111111111111105</v>
      </c>
      <c r="R1650" s="229" t="str">
        <f t="shared" ref="R1650:R1713" si="5">TEXT(IF(AND(P1650&lt;=$S$2,Q1650&gt;=$T$2),(Q1650-P1650)-($T$2-$S$2),(Q1650-P1650)),"[m]")</f>
        <v>400</v>
      </c>
    </row>
    <row r="1651" spans="1:18" x14ac:dyDescent="0.4">
      <c r="A1651" s="212">
        <v>46027</v>
      </c>
      <c r="B1651" s="139" t="s">
        <v>887</v>
      </c>
      <c r="C1651" s="140" t="s">
        <v>888</v>
      </c>
      <c r="D1651" s="292">
        <v>4</v>
      </c>
      <c r="E1651" s="77">
        <v>4</v>
      </c>
      <c r="F1651" s="1"/>
      <c r="G1651" s="76">
        <v>0.54166666666666663</v>
      </c>
      <c r="H1651" s="76">
        <v>0.66666666666666663</v>
      </c>
      <c r="I1651" s="173" t="str">
        <f t="shared" si="0"/>
        <v>180</v>
      </c>
      <c r="J1651" s="23">
        <v>9</v>
      </c>
      <c r="K1651" s="23"/>
      <c r="L1651" s="68">
        <v>0.61111111111111105</v>
      </c>
      <c r="M1651" s="68">
        <v>0.70833333333333337</v>
      </c>
      <c r="N1651" s="173" t="str">
        <f t="shared" si="1"/>
        <v>140</v>
      </c>
      <c r="O1651" s="23">
        <f t="shared" si="2"/>
        <v>1980</v>
      </c>
      <c r="P1651" s="70">
        <f t="shared" si="3"/>
        <v>0.54166666666666663</v>
      </c>
      <c r="Q1651" s="70">
        <f t="shared" si="4"/>
        <v>0.70833333333333337</v>
      </c>
      <c r="R1651" s="229" t="str">
        <f t="shared" si="5"/>
        <v>240</v>
      </c>
    </row>
    <row r="1652" spans="1:18" x14ac:dyDescent="0.4">
      <c r="A1652" s="212">
        <v>46027</v>
      </c>
      <c r="B1652" s="139" t="s">
        <v>1199</v>
      </c>
      <c r="C1652" s="140" t="s">
        <v>318</v>
      </c>
      <c r="D1652" s="292">
        <v>4</v>
      </c>
      <c r="E1652" s="77">
        <v>5</v>
      </c>
      <c r="F1652" s="1"/>
      <c r="G1652" s="76">
        <v>0.29166666666666669</v>
      </c>
      <c r="H1652" s="76">
        <v>0.33819444444444446</v>
      </c>
      <c r="I1652" s="173" t="str">
        <f t="shared" si="0"/>
        <v>67</v>
      </c>
      <c r="J1652" s="23">
        <v>4</v>
      </c>
      <c r="K1652" s="23"/>
      <c r="L1652" s="68">
        <v>0.3125</v>
      </c>
      <c r="M1652" s="68">
        <v>0.37152777777777773</v>
      </c>
      <c r="N1652" s="173" t="str">
        <f t="shared" si="1"/>
        <v>85</v>
      </c>
      <c r="O1652" s="23">
        <f t="shared" si="2"/>
        <v>675</v>
      </c>
      <c r="P1652" s="70">
        <f t="shared" si="3"/>
        <v>0.29166666666666669</v>
      </c>
      <c r="Q1652" s="70">
        <f t="shared" si="4"/>
        <v>0.37152777777777773</v>
      </c>
      <c r="R1652" s="229" t="str">
        <f t="shared" si="5"/>
        <v>115</v>
      </c>
    </row>
    <row r="1653" spans="1:18" x14ac:dyDescent="0.4">
      <c r="A1653" s="212">
        <v>46027</v>
      </c>
      <c r="B1653" s="139" t="s">
        <v>3</v>
      </c>
      <c r="C1653" s="140" t="s">
        <v>208</v>
      </c>
      <c r="D1653" s="292">
        <v>36</v>
      </c>
      <c r="E1653" s="77">
        <v>5</v>
      </c>
      <c r="F1653" s="1"/>
      <c r="G1653" s="76">
        <v>0.33819444444444446</v>
      </c>
      <c r="H1653" s="76">
        <v>0.6875</v>
      </c>
      <c r="I1653" s="173" t="str">
        <f t="shared" si="0"/>
        <v>443</v>
      </c>
      <c r="J1653" s="23">
        <v>4</v>
      </c>
      <c r="K1653" s="23"/>
      <c r="L1653" s="68">
        <v>0.37152777777777773</v>
      </c>
      <c r="M1653" s="68">
        <v>0.70833333333333337</v>
      </c>
      <c r="N1653" s="173" t="str">
        <f t="shared" si="1"/>
        <v>425</v>
      </c>
      <c r="O1653" s="23">
        <f t="shared" si="2"/>
        <v>3915</v>
      </c>
      <c r="P1653" s="70">
        <f t="shared" si="3"/>
        <v>0.33819444444444446</v>
      </c>
      <c r="Q1653" s="70">
        <f t="shared" si="4"/>
        <v>0.70833333333333337</v>
      </c>
      <c r="R1653" s="229" t="str">
        <f t="shared" si="5"/>
        <v>473</v>
      </c>
    </row>
    <row r="1654" spans="1:18" x14ac:dyDescent="0.4">
      <c r="A1654" s="212">
        <v>46027</v>
      </c>
      <c r="B1654" s="139" t="s">
        <v>65</v>
      </c>
      <c r="C1654" s="140" t="s">
        <v>189</v>
      </c>
      <c r="D1654" s="292">
        <v>64</v>
      </c>
      <c r="E1654" s="77">
        <v>3</v>
      </c>
      <c r="F1654" s="76">
        <v>4.1666666666666664E-2</v>
      </c>
      <c r="G1654" s="76">
        <v>0.29166666666666669</v>
      </c>
      <c r="H1654" s="368">
        <v>0.6875</v>
      </c>
      <c r="I1654" s="173" t="str">
        <f t="shared" si="0"/>
        <v>570</v>
      </c>
      <c r="J1654" s="23">
        <v>4</v>
      </c>
      <c r="K1654" s="23"/>
      <c r="L1654" s="68">
        <v>0.29166666666666669</v>
      </c>
      <c r="M1654" s="68">
        <v>0.69444444444444453</v>
      </c>
      <c r="N1654" s="173" t="str">
        <f t="shared" si="1"/>
        <v>520</v>
      </c>
      <c r="O1654" s="23">
        <f t="shared" si="2"/>
        <v>3790</v>
      </c>
      <c r="P1654" s="70">
        <f t="shared" si="3"/>
        <v>0.29166666666666669</v>
      </c>
      <c r="Q1654" s="70">
        <f t="shared" si="4"/>
        <v>0.69444444444444453</v>
      </c>
      <c r="R1654" s="229" t="str">
        <f t="shared" si="5"/>
        <v>520</v>
      </c>
    </row>
    <row r="1655" spans="1:18" x14ac:dyDescent="0.4">
      <c r="A1655" s="246">
        <v>46027</v>
      </c>
      <c r="B1655" s="102">
        <v>153010</v>
      </c>
      <c r="C1655" s="136" t="s">
        <v>484</v>
      </c>
      <c r="D1655" s="298">
        <v>1</v>
      </c>
      <c r="E1655" s="103"/>
      <c r="F1655" s="104"/>
      <c r="G1655" s="184"/>
      <c r="H1655" s="184"/>
      <c r="I1655" s="225" t="str">
        <f t="shared" si="0"/>
        <v>0</v>
      </c>
      <c r="J1655" s="105"/>
      <c r="K1655" s="105"/>
      <c r="L1655" s="106"/>
      <c r="M1655" s="106"/>
      <c r="N1655" s="225" t="str">
        <f t="shared" si="1"/>
        <v>0</v>
      </c>
      <c r="O1655" s="105">
        <f t="shared" si="2"/>
        <v>0</v>
      </c>
      <c r="P1655" s="247">
        <f t="shared" si="3"/>
        <v>0</v>
      </c>
      <c r="Q1655" s="247">
        <f t="shared" si="4"/>
        <v>0</v>
      </c>
      <c r="R1655" s="232" t="str">
        <f t="shared" si="5"/>
        <v>0</v>
      </c>
    </row>
    <row r="1656" spans="1:18" x14ac:dyDescent="0.4">
      <c r="A1656" s="212">
        <v>46028</v>
      </c>
      <c r="B1656" s="139" t="s">
        <v>71</v>
      </c>
      <c r="C1656" s="140" t="s">
        <v>176</v>
      </c>
      <c r="D1656" s="292">
        <v>72</v>
      </c>
      <c r="E1656" s="77">
        <v>6</v>
      </c>
      <c r="F1656" s="1"/>
      <c r="G1656" s="76">
        <v>0.29166666666666669</v>
      </c>
      <c r="H1656" s="76">
        <v>0.70833333333333337</v>
      </c>
      <c r="I1656" s="173" t="str">
        <f t="shared" si="0"/>
        <v>540</v>
      </c>
      <c r="J1656" s="23">
        <v>5</v>
      </c>
      <c r="K1656" s="23"/>
      <c r="L1656" s="68">
        <v>0.3125</v>
      </c>
      <c r="M1656" s="68">
        <v>0.72916666666666663</v>
      </c>
      <c r="N1656" s="173" t="str">
        <f t="shared" si="1"/>
        <v>540</v>
      </c>
      <c r="O1656" s="23">
        <f t="shared" si="2"/>
        <v>5940</v>
      </c>
      <c r="P1656" s="70">
        <f t="shared" si="3"/>
        <v>0.29166666666666669</v>
      </c>
      <c r="Q1656" s="70">
        <f t="shared" si="4"/>
        <v>0.72916666666666663</v>
      </c>
      <c r="R1656" s="229" t="str">
        <f t="shared" si="5"/>
        <v>570</v>
      </c>
    </row>
    <row r="1657" spans="1:18" x14ac:dyDescent="0.4">
      <c r="A1657" s="212">
        <v>46028</v>
      </c>
      <c r="B1657" s="139" t="s">
        <v>1200</v>
      </c>
      <c r="C1657" s="140" t="s">
        <v>267</v>
      </c>
      <c r="D1657" s="292">
        <v>28</v>
      </c>
      <c r="E1657" s="77">
        <v>5</v>
      </c>
      <c r="F1657" s="1"/>
      <c r="G1657" s="76">
        <v>0.44375000000000003</v>
      </c>
      <c r="H1657" s="76">
        <v>0.72916666666666663</v>
      </c>
      <c r="I1657" s="173" t="str">
        <f t="shared" si="0"/>
        <v>351</v>
      </c>
      <c r="J1657" s="23">
        <v>3</v>
      </c>
      <c r="K1657" s="23"/>
      <c r="L1657" s="68">
        <v>0.3125</v>
      </c>
      <c r="M1657" s="68">
        <v>0.47222222222222227</v>
      </c>
      <c r="N1657" s="173" t="str">
        <f t="shared" si="1"/>
        <v>230</v>
      </c>
      <c r="O1657" s="23">
        <f t="shared" si="2"/>
        <v>2445</v>
      </c>
      <c r="P1657" s="70">
        <f t="shared" si="3"/>
        <v>0.3125</v>
      </c>
      <c r="Q1657" s="70">
        <f t="shared" si="4"/>
        <v>0.72916666666666663</v>
      </c>
      <c r="R1657" s="229" t="str">
        <f t="shared" si="5"/>
        <v>540</v>
      </c>
    </row>
    <row r="1658" spans="1:18" x14ac:dyDescent="0.4">
      <c r="A1658" s="212">
        <v>46028</v>
      </c>
      <c r="B1658" s="139" t="s">
        <v>107</v>
      </c>
      <c r="C1658" s="140" t="s">
        <v>314</v>
      </c>
      <c r="D1658" s="292">
        <v>16</v>
      </c>
      <c r="E1658" s="77">
        <v>5</v>
      </c>
      <c r="F1658" s="1"/>
      <c r="G1658" s="76">
        <v>0.29166666666666669</v>
      </c>
      <c r="H1658" s="76">
        <v>0.44375000000000003</v>
      </c>
      <c r="I1658" s="173" t="str">
        <f t="shared" si="0"/>
        <v>219</v>
      </c>
      <c r="J1658" s="23">
        <v>3</v>
      </c>
      <c r="K1658" s="23"/>
      <c r="L1658" s="68">
        <v>0.47222222222222227</v>
      </c>
      <c r="M1658" s="68">
        <v>0.75</v>
      </c>
      <c r="N1658" s="173" t="str">
        <f t="shared" si="1"/>
        <v>340</v>
      </c>
      <c r="O1658" s="23">
        <f t="shared" si="2"/>
        <v>2115</v>
      </c>
      <c r="P1658" s="70">
        <f t="shared" si="3"/>
        <v>0.29166666666666669</v>
      </c>
      <c r="Q1658" s="70">
        <f t="shared" si="4"/>
        <v>0.75</v>
      </c>
      <c r="R1658" s="229" t="str">
        <f t="shared" si="5"/>
        <v>600</v>
      </c>
    </row>
    <row r="1659" spans="1:18" s="381" customFormat="1" x14ac:dyDescent="0.4">
      <c r="A1659" s="402">
        <v>46028</v>
      </c>
      <c r="B1659" s="392" t="s">
        <v>1196</v>
      </c>
      <c r="C1659" s="375" t="s">
        <v>165</v>
      </c>
      <c r="D1659" s="406">
        <v>2</v>
      </c>
      <c r="E1659" s="376">
        <v>3</v>
      </c>
      <c r="F1659" s="377">
        <v>6.9444444444444441E-3</v>
      </c>
      <c r="G1659" s="377">
        <v>0.29166666666666669</v>
      </c>
      <c r="H1659" s="377">
        <v>0.3125</v>
      </c>
      <c r="I1659" s="378" t="str">
        <f t="shared" si="0"/>
        <v>40</v>
      </c>
      <c r="J1659" s="374">
        <v>6</v>
      </c>
      <c r="K1659" s="374"/>
      <c r="L1659" s="379">
        <v>0.29166666666666669</v>
      </c>
      <c r="M1659" s="379">
        <v>0.35416666666666669</v>
      </c>
      <c r="N1659" s="378" t="str">
        <f t="shared" si="1"/>
        <v>90</v>
      </c>
      <c r="O1659" s="374">
        <f t="shared" si="2"/>
        <v>660</v>
      </c>
      <c r="P1659" s="407">
        <f t="shared" si="3"/>
        <v>0.29166666666666669</v>
      </c>
      <c r="Q1659" s="407">
        <f t="shared" si="4"/>
        <v>0.35416666666666669</v>
      </c>
      <c r="R1659" s="380" t="str">
        <f t="shared" si="5"/>
        <v>90</v>
      </c>
    </row>
    <row r="1660" spans="1:18" s="381" customFormat="1" x14ac:dyDescent="0.4">
      <c r="A1660" s="402">
        <v>46028</v>
      </c>
      <c r="B1660" s="392" t="s">
        <v>58</v>
      </c>
      <c r="C1660" s="375" t="s">
        <v>165</v>
      </c>
      <c r="D1660" s="406">
        <v>32</v>
      </c>
      <c r="E1660" s="376">
        <v>3</v>
      </c>
      <c r="F1660" s="377">
        <v>2.0833333333333332E-2</v>
      </c>
      <c r="G1660" s="377">
        <v>0.3125</v>
      </c>
      <c r="H1660" s="377">
        <v>0.61458333333333337</v>
      </c>
      <c r="I1660" s="378" t="str">
        <f t="shared" si="0"/>
        <v>405</v>
      </c>
      <c r="J1660" s="374">
        <v>6</v>
      </c>
      <c r="K1660" s="374"/>
      <c r="L1660" s="379">
        <v>0.35416666666666669</v>
      </c>
      <c r="M1660" s="379">
        <v>0.70833333333333337</v>
      </c>
      <c r="N1660" s="378" t="str">
        <f t="shared" si="1"/>
        <v>450</v>
      </c>
      <c r="O1660" s="374">
        <f t="shared" si="2"/>
        <v>3915</v>
      </c>
      <c r="P1660" s="407">
        <f t="shared" si="3"/>
        <v>0.3125</v>
      </c>
      <c r="Q1660" s="407">
        <f t="shared" si="4"/>
        <v>0.70833333333333337</v>
      </c>
      <c r="R1660" s="380" t="str">
        <f t="shared" si="5"/>
        <v>510</v>
      </c>
    </row>
    <row r="1661" spans="1:18" x14ac:dyDescent="0.4">
      <c r="A1661" s="212">
        <v>46029</v>
      </c>
      <c r="B1661" s="139" t="s">
        <v>53</v>
      </c>
      <c r="C1661" s="140" t="s">
        <v>261</v>
      </c>
      <c r="D1661" s="292">
        <v>6</v>
      </c>
      <c r="E1661" s="168">
        <v>4</v>
      </c>
      <c r="F1661" s="158"/>
      <c r="G1661" s="169">
        <v>0.29166666666666669</v>
      </c>
      <c r="H1661" s="169">
        <v>0.38541666666666669</v>
      </c>
      <c r="I1661" s="173" t="str">
        <f t="shared" si="0"/>
        <v>135</v>
      </c>
      <c r="J1661" s="23">
        <v>3</v>
      </c>
      <c r="K1661" s="23"/>
      <c r="L1661" s="68">
        <v>0.3125</v>
      </c>
      <c r="M1661" s="68">
        <v>0.39583333333333331</v>
      </c>
      <c r="N1661" s="173" t="str">
        <f t="shared" si="1"/>
        <v>120</v>
      </c>
      <c r="O1661" s="23">
        <f t="shared" si="2"/>
        <v>900</v>
      </c>
      <c r="P1661" s="70">
        <f t="shared" si="3"/>
        <v>0.29166666666666669</v>
      </c>
      <c r="Q1661" s="70">
        <f t="shared" si="4"/>
        <v>0.39583333333333331</v>
      </c>
      <c r="R1661" s="229" t="str">
        <f t="shared" si="5"/>
        <v>150</v>
      </c>
    </row>
    <row r="1662" spans="1:18" x14ac:dyDescent="0.4">
      <c r="A1662" s="212">
        <v>46029</v>
      </c>
      <c r="B1662" s="139" t="s">
        <v>109</v>
      </c>
      <c r="C1662" s="140" t="s">
        <v>263</v>
      </c>
      <c r="D1662" s="292">
        <v>6</v>
      </c>
      <c r="E1662" s="168">
        <v>4</v>
      </c>
      <c r="F1662" s="158"/>
      <c r="G1662" s="169">
        <v>0.6875</v>
      </c>
      <c r="H1662" s="169">
        <v>0.75</v>
      </c>
      <c r="I1662" s="173" t="str">
        <f t="shared" si="0"/>
        <v>90</v>
      </c>
      <c r="J1662" s="23">
        <v>3</v>
      </c>
      <c r="K1662" s="23"/>
      <c r="L1662" s="68">
        <v>0.70833333333333337</v>
      </c>
      <c r="M1662" s="68">
        <v>0.79166666666666663</v>
      </c>
      <c r="N1662" s="173" t="str">
        <f t="shared" si="1"/>
        <v>120</v>
      </c>
      <c r="O1662" s="23">
        <f t="shared" si="2"/>
        <v>720</v>
      </c>
      <c r="P1662" s="70">
        <f t="shared" si="3"/>
        <v>0.6875</v>
      </c>
      <c r="Q1662" s="70">
        <f t="shared" si="4"/>
        <v>0.79166666666666663</v>
      </c>
      <c r="R1662" s="229" t="str">
        <f t="shared" si="5"/>
        <v>150</v>
      </c>
    </row>
    <row r="1663" spans="1:18" x14ac:dyDescent="0.4">
      <c r="A1663" s="212">
        <v>46029</v>
      </c>
      <c r="B1663" s="139" t="s">
        <v>54</v>
      </c>
      <c r="C1663" s="140" t="s">
        <v>251</v>
      </c>
      <c r="D1663" s="292">
        <v>32</v>
      </c>
      <c r="E1663" s="168">
        <v>4</v>
      </c>
      <c r="F1663" s="158"/>
      <c r="G1663" s="169">
        <v>0.38541666666666669</v>
      </c>
      <c r="H1663" s="169">
        <v>0.6875</v>
      </c>
      <c r="I1663" s="173" t="str">
        <f t="shared" si="0"/>
        <v>375</v>
      </c>
      <c r="J1663" s="23">
        <v>3</v>
      </c>
      <c r="K1663" s="23"/>
      <c r="L1663" s="68">
        <v>0.39583333333333331</v>
      </c>
      <c r="M1663" s="68">
        <v>0.70833333333333337</v>
      </c>
      <c r="N1663" s="173" t="str">
        <f t="shared" si="1"/>
        <v>390</v>
      </c>
      <c r="O1663" s="23">
        <f t="shared" si="2"/>
        <v>2670</v>
      </c>
      <c r="P1663" s="70">
        <f t="shared" si="3"/>
        <v>0.38541666666666669</v>
      </c>
      <c r="Q1663" s="70">
        <f t="shared" si="4"/>
        <v>0.70833333333333337</v>
      </c>
      <c r="R1663" s="229" t="str">
        <f t="shared" si="5"/>
        <v>405</v>
      </c>
    </row>
    <row r="1664" spans="1:18" x14ac:dyDescent="0.4">
      <c r="A1664" s="212">
        <v>46029</v>
      </c>
      <c r="B1664" s="139" t="s">
        <v>147</v>
      </c>
      <c r="C1664" s="140" t="s">
        <v>310</v>
      </c>
      <c r="D1664" s="292">
        <v>3</v>
      </c>
      <c r="E1664" s="77">
        <v>5</v>
      </c>
      <c r="F1664" s="1"/>
      <c r="G1664" s="76">
        <v>0.29166666666666669</v>
      </c>
      <c r="H1664" s="76">
        <v>0.34375</v>
      </c>
      <c r="I1664" s="173" t="str">
        <f t="shared" si="0"/>
        <v>75</v>
      </c>
      <c r="J1664" s="23">
        <v>4</v>
      </c>
      <c r="K1664" s="23"/>
      <c r="L1664" s="68">
        <v>0.3125</v>
      </c>
      <c r="M1664" s="68">
        <v>0.38194444444444442</v>
      </c>
      <c r="N1664" s="173" t="str">
        <f t="shared" si="1"/>
        <v>100</v>
      </c>
      <c r="O1664" s="23">
        <f t="shared" si="2"/>
        <v>775</v>
      </c>
      <c r="P1664" s="70">
        <f t="shared" si="3"/>
        <v>0.29166666666666669</v>
      </c>
      <c r="Q1664" s="70">
        <f t="shared" si="4"/>
        <v>0.38194444444444442</v>
      </c>
      <c r="R1664" s="229" t="str">
        <f t="shared" si="5"/>
        <v>130</v>
      </c>
    </row>
    <row r="1665" spans="1:18" x14ac:dyDescent="0.4">
      <c r="A1665" s="212">
        <v>46029</v>
      </c>
      <c r="B1665" s="139" t="s">
        <v>1201</v>
      </c>
      <c r="C1665" s="140" t="s">
        <v>304</v>
      </c>
      <c r="D1665" s="292">
        <v>12</v>
      </c>
      <c r="E1665" s="77">
        <v>5</v>
      </c>
      <c r="F1665" s="1"/>
      <c r="G1665" s="76">
        <v>0.40972222222222227</v>
      </c>
      <c r="H1665" s="76">
        <v>0.57638888888888895</v>
      </c>
      <c r="I1665" s="173" t="str">
        <f t="shared" si="0"/>
        <v>180</v>
      </c>
      <c r="J1665" s="23">
        <v>4</v>
      </c>
      <c r="K1665" s="23"/>
      <c r="L1665" s="68">
        <v>0.46527777777777773</v>
      </c>
      <c r="M1665" s="68">
        <v>0.61111111111111105</v>
      </c>
      <c r="N1665" s="173" t="str">
        <f t="shared" si="1"/>
        <v>150</v>
      </c>
      <c r="O1665" s="23">
        <f t="shared" si="2"/>
        <v>1500</v>
      </c>
      <c r="P1665" s="70">
        <f t="shared" si="3"/>
        <v>0.40972222222222227</v>
      </c>
      <c r="Q1665" s="70">
        <f t="shared" si="4"/>
        <v>0.61111111111111105</v>
      </c>
      <c r="R1665" s="229" t="str">
        <f t="shared" si="5"/>
        <v>230</v>
      </c>
    </row>
    <row r="1666" spans="1:18" x14ac:dyDescent="0.4">
      <c r="A1666" s="212">
        <v>46029</v>
      </c>
      <c r="B1666" s="139" t="s">
        <v>1202</v>
      </c>
      <c r="C1666" s="140" t="s">
        <v>218</v>
      </c>
      <c r="D1666" s="292">
        <v>8</v>
      </c>
      <c r="E1666" s="77">
        <v>5</v>
      </c>
      <c r="F1666" s="1"/>
      <c r="G1666" s="76">
        <v>0.34375</v>
      </c>
      <c r="H1666" s="76">
        <v>0.40972222222222227</v>
      </c>
      <c r="I1666" s="173" t="str">
        <f t="shared" si="0"/>
        <v>95</v>
      </c>
      <c r="J1666" s="23">
        <v>4</v>
      </c>
      <c r="K1666" s="23"/>
      <c r="L1666" s="68">
        <v>0.38194444444444442</v>
      </c>
      <c r="M1666" s="68">
        <v>0.46527777777777773</v>
      </c>
      <c r="N1666" s="173" t="str">
        <f t="shared" si="1"/>
        <v>120</v>
      </c>
      <c r="O1666" s="23">
        <f t="shared" si="2"/>
        <v>955</v>
      </c>
      <c r="P1666" s="70">
        <f t="shared" si="3"/>
        <v>0.34375</v>
      </c>
      <c r="Q1666" s="70">
        <f t="shared" si="4"/>
        <v>0.46527777777777773</v>
      </c>
      <c r="R1666" s="229" t="str">
        <f t="shared" si="5"/>
        <v>175</v>
      </c>
    </row>
    <row r="1667" spans="1:18" x14ac:dyDescent="0.4">
      <c r="A1667" s="212">
        <v>46029</v>
      </c>
      <c r="B1667" s="139" t="s">
        <v>1203</v>
      </c>
      <c r="C1667" s="140" t="s">
        <v>308</v>
      </c>
      <c r="D1667" s="292">
        <v>12</v>
      </c>
      <c r="E1667" s="77">
        <v>5</v>
      </c>
      <c r="F1667" s="1"/>
      <c r="G1667" s="76">
        <v>0.57638888888888895</v>
      </c>
      <c r="H1667" s="76">
        <v>0.6875</v>
      </c>
      <c r="I1667" s="173" t="str">
        <f t="shared" si="0"/>
        <v>160</v>
      </c>
      <c r="J1667" s="23">
        <v>4</v>
      </c>
      <c r="K1667" s="23"/>
      <c r="L1667" s="68">
        <v>0.61111111111111105</v>
      </c>
      <c r="M1667" s="68">
        <v>0.72916666666666663</v>
      </c>
      <c r="N1667" s="173" t="str">
        <f t="shared" si="1"/>
        <v>170</v>
      </c>
      <c r="O1667" s="23">
        <f t="shared" si="2"/>
        <v>1480</v>
      </c>
      <c r="P1667" s="70">
        <f t="shared" si="3"/>
        <v>0.57638888888888895</v>
      </c>
      <c r="Q1667" s="70">
        <f t="shared" si="4"/>
        <v>0.72916666666666663</v>
      </c>
      <c r="R1667" s="229" t="str">
        <f t="shared" si="5"/>
        <v>220</v>
      </c>
    </row>
    <row r="1668" spans="1:18" x14ac:dyDescent="0.4">
      <c r="A1668" s="212">
        <v>46029</v>
      </c>
      <c r="B1668" s="139" t="s">
        <v>142</v>
      </c>
      <c r="C1668" s="140" t="s">
        <v>231</v>
      </c>
      <c r="D1668" s="292">
        <v>21</v>
      </c>
      <c r="E1668" s="77">
        <v>6</v>
      </c>
      <c r="F1668" s="76">
        <v>2.0833333333333332E-2</v>
      </c>
      <c r="G1668" s="76">
        <v>0.29166666666666669</v>
      </c>
      <c r="H1668" s="76">
        <v>0.54166666666666663</v>
      </c>
      <c r="I1668" s="173" t="str">
        <f t="shared" si="0"/>
        <v>330</v>
      </c>
      <c r="J1668" s="23">
        <v>8</v>
      </c>
      <c r="K1668" s="23"/>
      <c r="L1668" s="68">
        <v>0.3125</v>
      </c>
      <c r="M1668" s="68">
        <v>0.6875</v>
      </c>
      <c r="N1668" s="173" t="str">
        <f t="shared" si="1"/>
        <v>480</v>
      </c>
      <c r="O1668" s="23">
        <f t="shared" si="2"/>
        <v>5820</v>
      </c>
      <c r="P1668" s="70">
        <f t="shared" si="3"/>
        <v>0.29166666666666669</v>
      </c>
      <c r="Q1668" s="70">
        <f t="shared" si="4"/>
        <v>0.6875</v>
      </c>
      <c r="R1668" s="229" t="str">
        <f t="shared" si="5"/>
        <v>510</v>
      </c>
    </row>
    <row r="1669" spans="1:18" x14ac:dyDescent="0.4">
      <c r="A1669" s="212">
        <v>46030</v>
      </c>
      <c r="B1669" s="139" t="s">
        <v>87</v>
      </c>
      <c r="C1669" s="140" t="s">
        <v>199</v>
      </c>
      <c r="D1669" s="292">
        <v>72</v>
      </c>
      <c r="E1669" s="77">
        <v>6</v>
      </c>
      <c r="F1669" s="1"/>
      <c r="G1669" s="76">
        <v>0.29166666666666669</v>
      </c>
      <c r="H1669" s="76">
        <v>0.6875</v>
      </c>
      <c r="I1669" s="173" t="str">
        <f t="shared" si="0"/>
        <v>510</v>
      </c>
      <c r="J1669" s="23">
        <v>5</v>
      </c>
      <c r="K1669" s="23"/>
      <c r="L1669" s="68">
        <v>0.3125</v>
      </c>
      <c r="M1669" s="68">
        <v>0.70833333333333337</v>
      </c>
      <c r="N1669" s="173" t="str">
        <f t="shared" si="1"/>
        <v>510</v>
      </c>
      <c r="O1669" s="23">
        <f t="shared" si="2"/>
        <v>5610</v>
      </c>
      <c r="P1669" s="70">
        <f t="shared" si="3"/>
        <v>0.29166666666666669</v>
      </c>
      <c r="Q1669" s="70">
        <f t="shared" si="4"/>
        <v>0.70833333333333337</v>
      </c>
      <c r="R1669" s="229" t="str">
        <f t="shared" si="5"/>
        <v>540</v>
      </c>
    </row>
    <row r="1670" spans="1:18" x14ac:dyDescent="0.4">
      <c r="A1670" s="212">
        <v>46030</v>
      </c>
      <c r="B1670" s="139" t="s">
        <v>1204</v>
      </c>
      <c r="C1670" s="140" t="s">
        <v>227</v>
      </c>
      <c r="D1670" s="292">
        <v>24</v>
      </c>
      <c r="E1670" s="77">
        <v>5</v>
      </c>
      <c r="F1670" s="1"/>
      <c r="G1670" s="76">
        <v>0.29166666666666669</v>
      </c>
      <c r="H1670" s="76">
        <v>0.4916666666666667</v>
      </c>
      <c r="I1670" s="173" t="str">
        <f t="shared" si="0"/>
        <v>288</v>
      </c>
      <c r="J1670" s="23">
        <v>3</v>
      </c>
      <c r="K1670" s="23"/>
      <c r="L1670" s="68">
        <v>0.3125</v>
      </c>
      <c r="M1670" s="68">
        <v>0.54861111111111105</v>
      </c>
      <c r="N1670" s="173" t="str">
        <f t="shared" si="1"/>
        <v>280</v>
      </c>
      <c r="O1670" s="23">
        <f t="shared" si="2"/>
        <v>2280</v>
      </c>
      <c r="P1670" s="70">
        <f t="shared" si="3"/>
        <v>0.29166666666666669</v>
      </c>
      <c r="Q1670" s="70">
        <f t="shared" si="4"/>
        <v>0.54861111111111105</v>
      </c>
      <c r="R1670" s="229" t="str">
        <f t="shared" si="5"/>
        <v>310</v>
      </c>
    </row>
    <row r="1671" spans="1:18" x14ac:dyDescent="0.4">
      <c r="A1671" s="212">
        <v>46030</v>
      </c>
      <c r="B1671" s="139" t="s">
        <v>1200</v>
      </c>
      <c r="C1671" s="140" t="s">
        <v>267</v>
      </c>
      <c r="D1671" s="292">
        <v>20</v>
      </c>
      <c r="E1671" s="77">
        <v>5</v>
      </c>
      <c r="F1671" s="1"/>
      <c r="G1671" s="76">
        <v>0.52083333333333337</v>
      </c>
      <c r="H1671" s="76">
        <v>0.70833333333333337</v>
      </c>
      <c r="I1671" s="173" t="str">
        <f t="shared" si="0"/>
        <v>270</v>
      </c>
      <c r="J1671" s="23">
        <v>3</v>
      </c>
      <c r="K1671" s="23"/>
      <c r="L1671" s="68">
        <v>0.54861111111111105</v>
      </c>
      <c r="M1671" s="68">
        <v>0.70833333333333337</v>
      </c>
      <c r="N1671" s="173" t="str">
        <f t="shared" si="1"/>
        <v>230</v>
      </c>
      <c r="O1671" s="23">
        <f t="shared" si="2"/>
        <v>2040</v>
      </c>
      <c r="P1671" s="70">
        <f t="shared" si="3"/>
        <v>0.52083333333333337</v>
      </c>
      <c r="Q1671" s="70">
        <f t="shared" si="4"/>
        <v>0.70833333333333337</v>
      </c>
      <c r="R1671" s="229" t="str">
        <f t="shared" si="5"/>
        <v>270</v>
      </c>
    </row>
    <row r="1672" spans="1:18" x14ac:dyDescent="0.4">
      <c r="A1672" s="212">
        <v>46030</v>
      </c>
      <c r="B1672" s="139" t="s">
        <v>73</v>
      </c>
      <c r="C1672" s="140" t="s">
        <v>231</v>
      </c>
      <c r="D1672" s="292">
        <v>21</v>
      </c>
      <c r="E1672" s="77">
        <v>5</v>
      </c>
      <c r="F1672" s="1"/>
      <c r="G1672" s="76">
        <v>0.27083333333333331</v>
      </c>
      <c r="H1672" s="76">
        <v>0.66666666666666663</v>
      </c>
      <c r="I1672" s="173" t="str">
        <f t="shared" si="0"/>
        <v>510</v>
      </c>
      <c r="J1672" s="23">
        <v>7</v>
      </c>
      <c r="K1672" s="23"/>
      <c r="L1672" s="68">
        <v>0.3125</v>
      </c>
      <c r="M1672" s="68">
        <v>0.70833333333333337</v>
      </c>
      <c r="N1672" s="173" t="str">
        <f t="shared" si="1"/>
        <v>510</v>
      </c>
      <c r="O1672" s="23">
        <f t="shared" si="2"/>
        <v>6120</v>
      </c>
      <c r="P1672" s="70">
        <f t="shared" si="3"/>
        <v>0.27083333333333331</v>
      </c>
      <c r="Q1672" s="70">
        <f t="shared" si="4"/>
        <v>0.70833333333333337</v>
      </c>
      <c r="R1672" s="229" t="str">
        <f t="shared" si="5"/>
        <v>570</v>
      </c>
    </row>
    <row r="1673" spans="1:18" x14ac:dyDescent="0.4">
      <c r="A1673" s="212">
        <v>46031</v>
      </c>
      <c r="B1673" s="139" t="s">
        <v>1205</v>
      </c>
      <c r="C1673" s="140" t="s">
        <v>271</v>
      </c>
      <c r="D1673" s="292">
        <v>16</v>
      </c>
      <c r="E1673" s="77">
        <v>3</v>
      </c>
      <c r="F1673" s="1"/>
      <c r="G1673" s="76">
        <v>0.40277777777777773</v>
      </c>
      <c r="H1673" s="76">
        <v>0.57638888888888895</v>
      </c>
      <c r="I1673" s="173" t="str">
        <f t="shared" si="0"/>
        <v>190</v>
      </c>
      <c r="J1673" s="23">
        <v>5</v>
      </c>
      <c r="K1673" s="23"/>
      <c r="L1673" s="68">
        <v>0.39583333333333331</v>
      </c>
      <c r="M1673" s="68">
        <v>0.47916666666666669</v>
      </c>
      <c r="N1673" s="173" t="str">
        <f t="shared" si="1"/>
        <v>120</v>
      </c>
      <c r="O1673" s="23">
        <f t="shared" si="2"/>
        <v>1170</v>
      </c>
      <c r="P1673" s="70">
        <f t="shared" si="3"/>
        <v>0.39583333333333331</v>
      </c>
      <c r="Q1673" s="70">
        <f t="shared" si="4"/>
        <v>0.57638888888888895</v>
      </c>
      <c r="R1673" s="229" t="str">
        <f t="shared" si="5"/>
        <v>200</v>
      </c>
    </row>
    <row r="1674" spans="1:18" x14ac:dyDescent="0.4">
      <c r="A1674" s="212">
        <v>46031</v>
      </c>
      <c r="B1674" s="139" t="s">
        <v>1206</v>
      </c>
      <c r="C1674" s="140" t="s">
        <v>224</v>
      </c>
      <c r="D1674" s="292">
        <v>8</v>
      </c>
      <c r="E1674" s="77">
        <v>3</v>
      </c>
      <c r="F1674" s="1"/>
      <c r="G1674" s="76">
        <v>0.3125</v>
      </c>
      <c r="H1674" s="76">
        <v>0.40277777777777773</v>
      </c>
      <c r="I1674" s="173" t="str">
        <f t="shared" si="0"/>
        <v>130</v>
      </c>
      <c r="J1674" s="23">
        <v>5</v>
      </c>
      <c r="K1674" s="23"/>
      <c r="L1674" s="68">
        <v>0.29166666666666669</v>
      </c>
      <c r="M1674" s="68">
        <v>0.39652777777777781</v>
      </c>
      <c r="N1674" s="173" t="str">
        <f t="shared" si="1"/>
        <v>151</v>
      </c>
      <c r="O1674" s="23">
        <f t="shared" si="2"/>
        <v>1145</v>
      </c>
      <c r="P1674" s="70">
        <f t="shared" si="3"/>
        <v>0.29166666666666669</v>
      </c>
      <c r="Q1674" s="70">
        <f t="shared" si="4"/>
        <v>0.40277777777777773</v>
      </c>
      <c r="R1674" s="229" t="str">
        <f t="shared" si="5"/>
        <v>160</v>
      </c>
    </row>
    <row r="1675" spans="1:18" x14ac:dyDescent="0.4">
      <c r="A1675" s="212">
        <v>46031</v>
      </c>
      <c r="B1675" s="139" t="s">
        <v>1207</v>
      </c>
      <c r="C1675" s="140" t="s">
        <v>212</v>
      </c>
      <c r="D1675" s="292">
        <v>12</v>
      </c>
      <c r="E1675" s="77">
        <v>4</v>
      </c>
      <c r="F1675" s="1"/>
      <c r="G1675" s="76">
        <v>0.57638888888888895</v>
      </c>
      <c r="H1675" s="76">
        <v>0.6875</v>
      </c>
      <c r="I1675" s="173" t="str">
        <f t="shared" si="0"/>
        <v>160</v>
      </c>
      <c r="J1675" s="23">
        <v>5</v>
      </c>
      <c r="K1675" s="23"/>
      <c r="L1675" s="68">
        <v>0.54166666666666663</v>
      </c>
      <c r="M1675" s="68">
        <v>0.66666666666666663</v>
      </c>
      <c r="N1675" s="173" t="str">
        <f t="shared" si="1"/>
        <v>180</v>
      </c>
      <c r="O1675" s="23">
        <f t="shared" si="2"/>
        <v>1540</v>
      </c>
      <c r="P1675" s="70">
        <f t="shared" si="3"/>
        <v>0.54166666666666663</v>
      </c>
      <c r="Q1675" s="70">
        <f t="shared" si="4"/>
        <v>0.6875</v>
      </c>
      <c r="R1675" s="229" t="str">
        <f t="shared" si="5"/>
        <v>210</v>
      </c>
    </row>
    <row r="1676" spans="1:18" x14ac:dyDescent="0.4">
      <c r="A1676" s="212">
        <v>46031</v>
      </c>
      <c r="B1676" s="139" t="s">
        <v>110</v>
      </c>
      <c r="C1676" s="140" t="s">
        <v>231</v>
      </c>
      <c r="D1676" s="292">
        <v>21</v>
      </c>
      <c r="E1676" s="77">
        <v>4</v>
      </c>
      <c r="F1676" s="1"/>
      <c r="G1676" s="76">
        <v>0.29166666666666669</v>
      </c>
      <c r="H1676" s="76">
        <v>0.66666666666666663</v>
      </c>
      <c r="I1676" s="173" t="str">
        <f t="shared" si="0"/>
        <v>480</v>
      </c>
      <c r="J1676" s="23">
        <v>7</v>
      </c>
      <c r="K1676" s="23"/>
      <c r="L1676" s="68">
        <v>0.3125</v>
      </c>
      <c r="M1676" s="68">
        <v>0.6875</v>
      </c>
      <c r="N1676" s="173" t="str">
        <f t="shared" si="1"/>
        <v>480</v>
      </c>
      <c r="O1676" s="23">
        <f t="shared" si="2"/>
        <v>5280</v>
      </c>
      <c r="P1676" s="70">
        <f t="shared" si="3"/>
        <v>0.29166666666666669</v>
      </c>
      <c r="Q1676" s="70">
        <f t="shared" si="4"/>
        <v>0.6875</v>
      </c>
      <c r="R1676" s="229" t="str">
        <f t="shared" si="5"/>
        <v>510</v>
      </c>
    </row>
    <row r="1677" spans="1:18" x14ac:dyDescent="0.4">
      <c r="A1677" s="212">
        <v>46031</v>
      </c>
      <c r="B1677" s="139" t="s">
        <v>65</v>
      </c>
      <c r="C1677" s="140" t="s">
        <v>189</v>
      </c>
      <c r="D1677" s="292">
        <v>32</v>
      </c>
      <c r="E1677" s="77">
        <v>3</v>
      </c>
      <c r="F1677" s="76">
        <v>1.3888888888888888E-2</v>
      </c>
      <c r="G1677" s="76">
        <v>0.29166666666666669</v>
      </c>
      <c r="H1677" s="76">
        <v>0.5</v>
      </c>
      <c r="I1677" s="173" t="str">
        <f t="shared" si="0"/>
        <v>320</v>
      </c>
      <c r="J1677" s="23">
        <v>4</v>
      </c>
      <c r="K1677" s="23"/>
      <c r="L1677" s="68">
        <v>0.29166666666666669</v>
      </c>
      <c r="M1677" s="68">
        <v>0.5</v>
      </c>
      <c r="N1677" s="173" t="str">
        <f t="shared" si="1"/>
        <v>300</v>
      </c>
      <c r="O1677" s="23">
        <f t="shared" si="2"/>
        <v>2160</v>
      </c>
      <c r="P1677" s="70">
        <f t="shared" si="3"/>
        <v>0.29166666666666669</v>
      </c>
      <c r="Q1677" s="70">
        <f t="shared" si="4"/>
        <v>0.5</v>
      </c>
      <c r="R1677" s="229" t="str">
        <f t="shared" si="5"/>
        <v>300</v>
      </c>
    </row>
    <row r="1678" spans="1:18" x14ac:dyDescent="0.4">
      <c r="A1678" s="212">
        <v>46031</v>
      </c>
      <c r="B1678" s="139" t="s">
        <v>1208</v>
      </c>
      <c r="C1678" s="140" t="s">
        <v>191</v>
      </c>
      <c r="D1678" s="292">
        <v>32</v>
      </c>
      <c r="E1678" s="77">
        <v>3</v>
      </c>
      <c r="F1678" s="76">
        <v>1.3888888888888888E-2</v>
      </c>
      <c r="G1678" s="76">
        <v>0.54166666666666663</v>
      </c>
      <c r="H1678" s="76">
        <v>0.73958333333333337</v>
      </c>
      <c r="I1678" s="173" t="str">
        <f t="shared" si="0"/>
        <v>305</v>
      </c>
      <c r="J1678" s="23">
        <v>4</v>
      </c>
      <c r="K1678" s="23"/>
      <c r="L1678" s="68">
        <v>0.54166666666666663</v>
      </c>
      <c r="M1678" s="68">
        <v>0.78819444444444453</v>
      </c>
      <c r="N1678" s="173" t="str">
        <f t="shared" si="1"/>
        <v>355</v>
      </c>
      <c r="O1678" s="23">
        <f t="shared" si="2"/>
        <v>2335</v>
      </c>
      <c r="P1678" s="70">
        <f t="shared" si="3"/>
        <v>0.54166666666666663</v>
      </c>
      <c r="Q1678" s="70">
        <f t="shared" si="4"/>
        <v>0.78819444444444453</v>
      </c>
      <c r="R1678" s="229" t="str">
        <f t="shared" si="5"/>
        <v>355</v>
      </c>
    </row>
    <row r="1679" spans="1:18" x14ac:dyDescent="0.4">
      <c r="A1679" s="246">
        <v>46031</v>
      </c>
      <c r="B1679" s="102">
        <v>111060</v>
      </c>
      <c r="C1679" s="136" t="s">
        <v>1187</v>
      </c>
      <c r="D1679" s="298">
        <v>1</v>
      </c>
      <c r="E1679" s="103"/>
      <c r="F1679" s="104"/>
      <c r="G1679" s="184"/>
      <c r="H1679" s="184"/>
      <c r="I1679" s="225" t="str">
        <f t="shared" si="0"/>
        <v>0</v>
      </c>
      <c r="J1679" s="105"/>
      <c r="K1679" s="105"/>
      <c r="L1679" s="106"/>
      <c r="M1679" s="106"/>
      <c r="N1679" s="225" t="str">
        <f t="shared" si="1"/>
        <v>0</v>
      </c>
      <c r="O1679" s="105">
        <f t="shared" si="2"/>
        <v>0</v>
      </c>
      <c r="P1679" s="247">
        <f t="shared" si="3"/>
        <v>0</v>
      </c>
      <c r="Q1679" s="247">
        <f t="shared" si="4"/>
        <v>0</v>
      </c>
      <c r="R1679" s="232" t="str">
        <f t="shared" si="5"/>
        <v>0</v>
      </c>
    </row>
    <row r="1680" spans="1:18" x14ac:dyDescent="0.4">
      <c r="A1680" s="246">
        <v>46031</v>
      </c>
      <c r="B1680" s="102">
        <v>151010</v>
      </c>
      <c r="C1680" s="136" t="s">
        <v>482</v>
      </c>
      <c r="D1680" s="298">
        <v>1</v>
      </c>
      <c r="E1680" s="103"/>
      <c r="F1680" s="104"/>
      <c r="G1680" s="184"/>
      <c r="H1680" s="184"/>
      <c r="I1680" s="225" t="str">
        <f t="shared" si="0"/>
        <v>0</v>
      </c>
      <c r="J1680" s="105"/>
      <c r="K1680" s="105"/>
      <c r="L1680" s="106"/>
      <c r="M1680" s="106"/>
      <c r="N1680" s="225" t="str">
        <f t="shared" si="1"/>
        <v>0</v>
      </c>
      <c r="O1680" s="105">
        <f t="shared" si="2"/>
        <v>0</v>
      </c>
      <c r="P1680" s="247">
        <f t="shared" si="3"/>
        <v>0</v>
      </c>
      <c r="Q1680" s="247">
        <f t="shared" si="4"/>
        <v>0</v>
      </c>
      <c r="R1680" s="232" t="str">
        <f t="shared" si="5"/>
        <v>0</v>
      </c>
    </row>
    <row r="1681" spans="1:18" x14ac:dyDescent="0.4">
      <c r="A1681" s="246">
        <v>46029</v>
      </c>
      <c r="B1681" s="102" t="s">
        <v>434</v>
      </c>
      <c r="C1681" s="136" t="s">
        <v>545</v>
      </c>
      <c r="D1681" s="298">
        <v>50</v>
      </c>
      <c r="E1681" s="103"/>
      <c r="F1681" s="104"/>
      <c r="G1681" s="184"/>
      <c r="H1681" s="184"/>
      <c r="I1681" s="225" t="str">
        <f t="shared" si="0"/>
        <v>0</v>
      </c>
      <c r="J1681" s="105"/>
      <c r="K1681" s="105"/>
      <c r="L1681" s="106"/>
      <c r="M1681" s="106"/>
      <c r="N1681" s="225" t="str">
        <f t="shared" si="1"/>
        <v>0</v>
      </c>
      <c r="O1681" s="105">
        <f t="shared" si="2"/>
        <v>0</v>
      </c>
      <c r="P1681" s="247">
        <f t="shared" si="3"/>
        <v>0</v>
      </c>
      <c r="Q1681" s="247">
        <f t="shared" si="4"/>
        <v>0</v>
      </c>
      <c r="R1681" s="232" t="str">
        <f t="shared" si="5"/>
        <v>0</v>
      </c>
    </row>
    <row r="1682" spans="1:18" x14ac:dyDescent="0.4">
      <c r="A1682" s="246">
        <v>46029</v>
      </c>
      <c r="B1682" s="102" t="s">
        <v>1209</v>
      </c>
      <c r="C1682" s="136" t="s">
        <v>506</v>
      </c>
      <c r="D1682" s="298">
        <v>30</v>
      </c>
      <c r="E1682" s="103"/>
      <c r="F1682" s="104"/>
      <c r="G1682" s="184"/>
      <c r="H1682" s="184"/>
      <c r="I1682" s="225" t="str">
        <f t="shared" si="0"/>
        <v>0</v>
      </c>
      <c r="J1682" s="105"/>
      <c r="K1682" s="105"/>
      <c r="L1682" s="106"/>
      <c r="M1682" s="106"/>
      <c r="N1682" s="225" t="str">
        <f t="shared" si="1"/>
        <v>0</v>
      </c>
      <c r="O1682" s="105">
        <f t="shared" si="2"/>
        <v>0</v>
      </c>
      <c r="P1682" s="247">
        <f t="shared" si="3"/>
        <v>0</v>
      </c>
      <c r="Q1682" s="247">
        <f t="shared" si="4"/>
        <v>0</v>
      </c>
      <c r="R1682" s="232" t="str">
        <f t="shared" si="5"/>
        <v>0</v>
      </c>
    </row>
    <row r="1683" spans="1:18" x14ac:dyDescent="0.4">
      <c r="A1683" s="212">
        <v>46034</v>
      </c>
      <c r="B1683" s="139" t="s">
        <v>547</v>
      </c>
      <c r="C1683" s="30" t="s">
        <v>205</v>
      </c>
      <c r="D1683" s="296">
        <v>24</v>
      </c>
      <c r="E1683" s="77">
        <v>5</v>
      </c>
      <c r="F1683" s="1"/>
      <c r="G1683" s="76">
        <v>0.29166666666666669</v>
      </c>
      <c r="H1683" s="76">
        <v>0.5</v>
      </c>
      <c r="I1683" s="173" t="str">
        <f t="shared" si="0"/>
        <v>300</v>
      </c>
      <c r="J1683" s="23">
        <v>4</v>
      </c>
      <c r="K1683" s="23"/>
      <c r="L1683" s="68">
        <v>0.29166666666666669</v>
      </c>
      <c r="M1683" s="68">
        <v>0.56944444444444442</v>
      </c>
      <c r="N1683" s="173" t="str">
        <f t="shared" si="1"/>
        <v>340</v>
      </c>
      <c r="O1683" s="23">
        <f t="shared" si="2"/>
        <v>2860</v>
      </c>
      <c r="P1683" s="70">
        <f t="shared" si="3"/>
        <v>0.29166666666666669</v>
      </c>
      <c r="Q1683" s="70">
        <f t="shared" si="4"/>
        <v>0.56944444444444442</v>
      </c>
      <c r="R1683" s="229" t="str">
        <f t="shared" si="5"/>
        <v>340</v>
      </c>
    </row>
    <row r="1684" spans="1:18" x14ac:dyDescent="0.4">
      <c r="A1684" s="212">
        <v>46034</v>
      </c>
      <c r="B1684" s="139" t="s">
        <v>115</v>
      </c>
      <c r="C1684" s="30" t="s">
        <v>214</v>
      </c>
      <c r="D1684" s="296">
        <v>12</v>
      </c>
      <c r="E1684" s="77">
        <v>5</v>
      </c>
      <c r="F1684" s="1"/>
      <c r="G1684" s="76">
        <v>0.54166666666666663</v>
      </c>
      <c r="H1684" s="76">
        <v>0.66666666666666663</v>
      </c>
      <c r="I1684" s="173" t="str">
        <f t="shared" si="0"/>
        <v>180</v>
      </c>
      <c r="J1684" s="23">
        <v>4</v>
      </c>
      <c r="K1684" s="23"/>
      <c r="L1684" s="68">
        <v>0.56944444444444442</v>
      </c>
      <c r="M1684" s="68">
        <v>0.6875</v>
      </c>
      <c r="N1684" s="173" t="str">
        <f t="shared" si="1"/>
        <v>170</v>
      </c>
      <c r="O1684" s="23">
        <f t="shared" si="2"/>
        <v>1580</v>
      </c>
      <c r="P1684" s="70">
        <f t="shared" si="3"/>
        <v>0.54166666666666663</v>
      </c>
      <c r="Q1684" s="70">
        <f t="shared" si="4"/>
        <v>0.6875</v>
      </c>
      <c r="R1684" s="229" t="str">
        <f t="shared" si="5"/>
        <v>210</v>
      </c>
    </row>
    <row r="1685" spans="1:18" x14ac:dyDescent="0.4">
      <c r="A1685" s="212">
        <v>46034</v>
      </c>
      <c r="B1685" s="139" t="s">
        <v>73</v>
      </c>
      <c r="C1685" s="140" t="s">
        <v>231</v>
      </c>
      <c r="D1685" s="292">
        <v>21</v>
      </c>
      <c r="E1685" s="77">
        <v>4</v>
      </c>
      <c r="F1685" s="1"/>
      <c r="G1685" s="76">
        <v>0.29166666666666669</v>
      </c>
      <c r="H1685" s="76">
        <v>0.66666666666666663</v>
      </c>
      <c r="I1685" s="173" t="str">
        <f t="shared" si="0"/>
        <v>480</v>
      </c>
      <c r="J1685" s="23">
        <v>7</v>
      </c>
      <c r="K1685" s="23"/>
      <c r="L1685" s="68">
        <v>0.3125</v>
      </c>
      <c r="M1685" s="68">
        <v>0.6875</v>
      </c>
      <c r="N1685" s="173" t="str">
        <f t="shared" si="1"/>
        <v>480</v>
      </c>
      <c r="O1685" s="23">
        <f t="shared" si="2"/>
        <v>5280</v>
      </c>
      <c r="P1685" s="70">
        <f t="shared" si="3"/>
        <v>0.29166666666666669</v>
      </c>
      <c r="Q1685" s="70">
        <f t="shared" si="4"/>
        <v>0.6875</v>
      </c>
      <c r="R1685" s="229" t="str">
        <f t="shared" si="5"/>
        <v>510</v>
      </c>
    </row>
    <row r="1686" spans="1:18" x14ac:dyDescent="0.4">
      <c r="A1686" s="212">
        <v>46034</v>
      </c>
      <c r="B1686" s="139" t="s">
        <v>1212</v>
      </c>
      <c r="C1686" s="140" t="s">
        <v>167</v>
      </c>
      <c r="D1686" s="292">
        <v>4</v>
      </c>
      <c r="E1686" s="77">
        <v>3</v>
      </c>
      <c r="F1686" s="76">
        <v>6.9444444444444441E-3</v>
      </c>
      <c r="G1686" s="76">
        <v>0.29166666666666669</v>
      </c>
      <c r="H1686" s="76">
        <v>0.33333333333333331</v>
      </c>
      <c r="I1686" s="173" t="str">
        <f t="shared" si="0"/>
        <v>70</v>
      </c>
      <c r="J1686" s="23">
        <v>6</v>
      </c>
      <c r="K1686" s="23"/>
      <c r="L1686" s="68">
        <v>0.29166666666666669</v>
      </c>
      <c r="M1686" s="68">
        <v>0.35416666666666669</v>
      </c>
      <c r="N1686" s="173" t="str">
        <f t="shared" si="1"/>
        <v>90</v>
      </c>
      <c r="O1686" s="23">
        <f t="shared" si="2"/>
        <v>750</v>
      </c>
      <c r="P1686" s="70">
        <f t="shared" si="3"/>
        <v>0.29166666666666669</v>
      </c>
      <c r="Q1686" s="70">
        <f t="shared" si="4"/>
        <v>0.35416666666666669</v>
      </c>
      <c r="R1686" s="229" t="str">
        <f t="shared" si="5"/>
        <v>90</v>
      </c>
    </row>
    <row r="1687" spans="1:18" x14ac:dyDescent="0.4">
      <c r="A1687" s="212">
        <v>46034</v>
      </c>
      <c r="B1687" s="139" t="s">
        <v>96</v>
      </c>
      <c r="C1687" s="140" t="s">
        <v>167</v>
      </c>
      <c r="D1687" s="292">
        <v>16</v>
      </c>
      <c r="E1687" s="77">
        <v>3</v>
      </c>
      <c r="F1687" s="76">
        <v>2.0833333333333332E-2</v>
      </c>
      <c r="G1687" s="76">
        <v>0.375</v>
      </c>
      <c r="H1687" s="76">
        <v>0.4513888888888889</v>
      </c>
      <c r="I1687" s="173" t="str">
        <f t="shared" si="0"/>
        <v>140</v>
      </c>
      <c r="J1687" s="23">
        <v>6</v>
      </c>
      <c r="K1687" s="23"/>
      <c r="L1687" s="68">
        <v>0.35416666666666669</v>
      </c>
      <c r="M1687" s="68">
        <v>0.57638888888888895</v>
      </c>
      <c r="N1687" s="173" t="str">
        <f t="shared" si="1"/>
        <v>260</v>
      </c>
      <c r="O1687" s="23">
        <f t="shared" si="2"/>
        <v>1980</v>
      </c>
      <c r="P1687" s="70">
        <f t="shared" si="3"/>
        <v>0.35416666666666669</v>
      </c>
      <c r="Q1687" s="70">
        <f t="shared" si="4"/>
        <v>0.57638888888888895</v>
      </c>
      <c r="R1687" s="229" t="str">
        <f t="shared" si="5"/>
        <v>260</v>
      </c>
    </row>
    <row r="1688" spans="1:18" x14ac:dyDescent="0.4">
      <c r="A1688" s="212">
        <v>46034</v>
      </c>
      <c r="B1688" s="139" t="s">
        <v>83</v>
      </c>
      <c r="C1688" s="140" t="s">
        <v>169</v>
      </c>
      <c r="D1688" s="292">
        <v>20</v>
      </c>
      <c r="E1688" s="77">
        <v>3</v>
      </c>
      <c r="F1688" s="1"/>
      <c r="G1688" s="76">
        <v>0.4513888888888889</v>
      </c>
      <c r="H1688" s="76">
        <v>0.66666666666666663</v>
      </c>
      <c r="I1688" s="173" t="str">
        <f t="shared" si="0"/>
        <v>250</v>
      </c>
      <c r="J1688" s="23">
        <v>7</v>
      </c>
      <c r="K1688" s="23"/>
      <c r="L1688" s="68">
        <v>0.57291666666666663</v>
      </c>
      <c r="M1688" s="68">
        <v>0.77083333333333337</v>
      </c>
      <c r="N1688" s="173" t="str">
        <f t="shared" si="1"/>
        <v>285</v>
      </c>
      <c r="O1688" s="23">
        <f t="shared" si="2"/>
        <v>2745</v>
      </c>
      <c r="P1688" s="70">
        <f t="shared" si="3"/>
        <v>0.4513888888888889</v>
      </c>
      <c r="Q1688" s="70">
        <f t="shared" si="4"/>
        <v>0.77083333333333337</v>
      </c>
      <c r="R1688" s="229" t="str">
        <f t="shared" si="5"/>
        <v>400</v>
      </c>
    </row>
    <row r="1689" spans="1:18" x14ac:dyDescent="0.4">
      <c r="A1689" s="246">
        <v>46034</v>
      </c>
      <c r="B1689" s="102">
        <v>153010</v>
      </c>
      <c r="C1689" s="136" t="s">
        <v>484</v>
      </c>
      <c r="D1689" s="298">
        <v>1</v>
      </c>
      <c r="E1689" s="103"/>
      <c r="F1689" s="104"/>
      <c r="G1689" s="184"/>
      <c r="H1689" s="184"/>
      <c r="I1689" s="225" t="str">
        <f t="shared" si="0"/>
        <v>0</v>
      </c>
      <c r="J1689" s="105"/>
      <c r="K1689" s="105"/>
      <c r="L1689" s="106"/>
      <c r="M1689" s="106"/>
      <c r="N1689" s="225" t="str">
        <f t="shared" si="1"/>
        <v>0</v>
      </c>
      <c r="O1689" s="105">
        <f t="shared" si="2"/>
        <v>0</v>
      </c>
      <c r="P1689" s="247">
        <f t="shared" si="3"/>
        <v>0</v>
      </c>
      <c r="Q1689" s="247">
        <f t="shared" si="4"/>
        <v>0</v>
      </c>
      <c r="R1689" s="232" t="str">
        <f t="shared" si="5"/>
        <v>0</v>
      </c>
    </row>
    <row r="1690" spans="1:18" x14ac:dyDescent="0.4">
      <c r="A1690" s="212">
        <v>46035</v>
      </c>
      <c r="B1690" s="139" t="s">
        <v>68</v>
      </c>
      <c r="C1690" s="140" t="s">
        <v>185</v>
      </c>
      <c r="D1690" s="292">
        <v>20</v>
      </c>
      <c r="E1690" s="77">
        <v>5</v>
      </c>
      <c r="F1690" s="1"/>
      <c r="G1690" s="76">
        <v>0.29166666666666669</v>
      </c>
      <c r="H1690" s="76">
        <v>0.5</v>
      </c>
      <c r="I1690" s="173" t="str">
        <f t="shared" si="0"/>
        <v>300</v>
      </c>
      <c r="J1690" s="23">
        <v>5</v>
      </c>
      <c r="K1690" s="23"/>
      <c r="L1690" s="68">
        <v>0.3125</v>
      </c>
      <c r="M1690" s="68">
        <v>0.47916666666666669</v>
      </c>
      <c r="N1690" s="173" t="str">
        <f t="shared" si="1"/>
        <v>240</v>
      </c>
      <c r="O1690" s="23">
        <f t="shared" si="2"/>
        <v>2700</v>
      </c>
      <c r="P1690" s="70">
        <f t="shared" si="3"/>
        <v>0.29166666666666669</v>
      </c>
      <c r="Q1690" s="70">
        <f t="shared" si="4"/>
        <v>0.5</v>
      </c>
      <c r="R1690" s="229" t="str">
        <f t="shared" si="5"/>
        <v>300</v>
      </c>
    </row>
    <row r="1691" spans="1:18" x14ac:dyDescent="0.4">
      <c r="A1691" s="212">
        <v>46035</v>
      </c>
      <c r="B1691" s="139" t="s">
        <v>71</v>
      </c>
      <c r="C1691" s="140" t="s">
        <v>176</v>
      </c>
      <c r="D1691" s="292">
        <v>36</v>
      </c>
      <c r="E1691" s="77">
        <v>6</v>
      </c>
      <c r="F1691" s="1"/>
      <c r="G1691" s="76">
        <v>0.54166666666666663</v>
      </c>
      <c r="H1691" s="76">
        <v>0.70833333333333337</v>
      </c>
      <c r="I1691" s="173" t="str">
        <f t="shared" si="0"/>
        <v>240</v>
      </c>
      <c r="J1691" s="23">
        <v>5</v>
      </c>
      <c r="K1691" s="23"/>
      <c r="L1691" s="68">
        <v>0.47916666666666669</v>
      </c>
      <c r="M1691" s="68">
        <v>0.75</v>
      </c>
      <c r="N1691" s="173" t="str">
        <f t="shared" si="1"/>
        <v>330</v>
      </c>
      <c r="O1691" s="23">
        <f t="shared" si="2"/>
        <v>3090</v>
      </c>
      <c r="P1691" s="70">
        <f t="shared" si="3"/>
        <v>0.47916666666666669</v>
      </c>
      <c r="Q1691" s="70">
        <f t="shared" si="4"/>
        <v>0.75</v>
      </c>
      <c r="R1691" s="229" t="str">
        <f t="shared" si="5"/>
        <v>330</v>
      </c>
    </row>
    <row r="1692" spans="1:18" x14ac:dyDescent="0.4">
      <c r="A1692" s="212">
        <v>46035</v>
      </c>
      <c r="B1692" s="139" t="s">
        <v>55</v>
      </c>
      <c r="C1692" s="140" t="s">
        <v>208</v>
      </c>
      <c r="D1692" s="292">
        <v>36</v>
      </c>
      <c r="E1692" s="77">
        <v>5</v>
      </c>
      <c r="F1692" s="1"/>
      <c r="G1692" s="76">
        <v>0.29166666666666669</v>
      </c>
      <c r="H1692" s="76">
        <v>0.60763888888888895</v>
      </c>
      <c r="I1692" s="173" t="str">
        <f t="shared" si="0"/>
        <v>395</v>
      </c>
      <c r="J1692" s="23">
        <v>4</v>
      </c>
      <c r="K1692" s="23"/>
      <c r="L1692" s="68">
        <v>0.3125</v>
      </c>
      <c r="M1692" s="68">
        <v>0.64583333333333337</v>
      </c>
      <c r="N1692" s="173" t="str">
        <f t="shared" si="1"/>
        <v>420</v>
      </c>
      <c r="O1692" s="23">
        <f t="shared" si="2"/>
        <v>3655</v>
      </c>
      <c r="P1692" s="70">
        <f t="shared" si="3"/>
        <v>0.29166666666666669</v>
      </c>
      <c r="Q1692" s="70">
        <f t="shared" si="4"/>
        <v>0.64583333333333337</v>
      </c>
      <c r="R1692" s="229" t="str">
        <f t="shared" si="5"/>
        <v>450</v>
      </c>
    </row>
    <row r="1693" spans="1:18" x14ac:dyDescent="0.4">
      <c r="A1693" s="212">
        <v>46035</v>
      </c>
      <c r="B1693" s="139" t="s">
        <v>101</v>
      </c>
      <c r="C1693" s="140" t="s">
        <v>222</v>
      </c>
      <c r="D1693" s="292">
        <v>3</v>
      </c>
      <c r="E1693" s="77">
        <v>5</v>
      </c>
      <c r="F1693" s="1"/>
      <c r="G1693" s="76">
        <v>0.60763888888888895</v>
      </c>
      <c r="H1693" s="76">
        <v>0.6875</v>
      </c>
      <c r="I1693" s="173" t="str">
        <f t="shared" si="0"/>
        <v>115</v>
      </c>
      <c r="J1693" s="23">
        <v>4</v>
      </c>
      <c r="K1693" s="23"/>
      <c r="L1693" s="68">
        <v>0.64583333333333337</v>
      </c>
      <c r="M1693" s="68">
        <v>0.70833333333333337</v>
      </c>
      <c r="N1693" s="173" t="str">
        <f t="shared" si="1"/>
        <v>90</v>
      </c>
      <c r="O1693" s="23">
        <f t="shared" si="2"/>
        <v>935</v>
      </c>
      <c r="P1693" s="70">
        <f t="shared" si="3"/>
        <v>0.60763888888888895</v>
      </c>
      <c r="Q1693" s="70">
        <f t="shared" si="4"/>
        <v>0.70833333333333337</v>
      </c>
      <c r="R1693" s="229" t="str">
        <f t="shared" si="5"/>
        <v>145</v>
      </c>
    </row>
    <row r="1694" spans="1:18" x14ac:dyDescent="0.4">
      <c r="A1694" s="212">
        <v>46035</v>
      </c>
      <c r="B1694" s="139" t="s">
        <v>65</v>
      </c>
      <c r="C1694" s="140" t="s">
        <v>189</v>
      </c>
      <c r="D1694" s="292">
        <v>72</v>
      </c>
      <c r="E1694" s="77">
        <v>3</v>
      </c>
      <c r="F1694" s="76">
        <v>3.4722222222222224E-2</v>
      </c>
      <c r="G1694" s="76">
        <v>0.29166666666666669</v>
      </c>
      <c r="H1694" s="76">
        <v>0.67361111111111116</v>
      </c>
      <c r="I1694" s="173" t="str">
        <f t="shared" si="0"/>
        <v>540</v>
      </c>
      <c r="J1694" s="23">
        <v>4</v>
      </c>
      <c r="K1694" s="23"/>
      <c r="L1694" s="68">
        <v>0.29166666666666669</v>
      </c>
      <c r="M1694" s="68">
        <v>0.71527777777777779</v>
      </c>
      <c r="N1694" s="173" t="str">
        <f t="shared" si="1"/>
        <v>550</v>
      </c>
      <c r="O1694" s="23">
        <f t="shared" si="2"/>
        <v>3820</v>
      </c>
      <c r="P1694" s="70">
        <f t="shared" si="3"/>
        <v>0.29166666666666669</v>
      </c>
      <c r="Q1694" s="70">
        <f t="shared" si="4"/>
        <v>0.71527777777777779</v>
      </c>
      <c r="R1694" s="229" t="str">
        <f t="shared" si="5"/>
        <v>550</v>
      </c>
    </row>
    <row r="1695" spans="1:18" x14ac:dyDescent="0.4">
      <c r="A1695" s="246">
        <v>46035</v>
      </c>
      <c r="B1695" s="102" t="s">
        <v>500</v>
      </c>
      <c r="C1695" s="136" t="s">
        <v>506</v>
      </c>
      <c r="D1695" s="298">
        <v>30</v>
      </c>
      <c r="E1695" s="103"/>
      <c r="F1695" s="104"/>
      <c r="G1695" s="184"/>
      <c r="H1695" s="184"/>
      <c r="I1695" s="225" t="str">
        <f t="shared" si="0"/>
        <v>0</v>
      </c>
      <c r="J1695" s="105"/>
      <c r="K1695" s="105"/>
      <c r="L1695" s="106"/>
      <c r="M1695" s="106"/>
      <c r="N1695" s="225" t="str">
        <f t="shared" si="1"/>
        <v>0</v>
      </c>
      <c r="O1695" s="105">
        <f t="shared" si="2"/>
        <v>0</v>
      </c>
      <c r="P1695" s="247">
        <f t="shared" si="3"/>
        <v>0</v>
      </c>
      <c r="Q1695" s="247">
        <f t="shared" si="4"/>
        <v>0</v>
      </c>
      <c r="R1695" s="232" t="str">
        <f t="shared" si="5"/>
        <v>0</v>
      </c>
    </row>
    <row r="1696" spans="1:18" x14ac:dyDescent="0.4">
      <c r="A1696" s="212">
        <v>46036</v>
      </c>
      <c r="B1696" s="139" t="s">
        <v>106</v>
      </c>
      <c r="C1696" s="140" t="s">
        <v>173</v>
      </c>
      <c r="D1696" s="292">
        <v>16</v>
      </c>
      <c r="E1696" s="77">
        <v>4</v>
      </c>
      <c r="F1696" s="1"/>
      <c r="G1696" s="76">
        <v>0.54166666666666663</v>
      </c>
      <c r="H1696" s="76">
        <v>0.75</v>
      </c>
      <c r="I1696" s="173" t="str">
        <f t="shared" si="0"/>
        <v>300</v>
      </c>
      <c r="J1696" s="23">
        <v>10</v>
      </c>
      <c r="K1696" s="23"/>
      <c r="L1696" s="68">
        <v>0.58333333333333337</v>
      </c>
      <c r="M1696" s="68">
        <v>0.77083333333333337</v>
      </c>
      <c r="N1696" s="173" t="str">
        <f t="shared" si="1"/>
        <v>270</v>
      </c>
      <c r="O1696" s="23">
        <f t="shared" si="2"/>
        <v>3900</v>
      </c>
      <c r="P1696" s="70">
        <f t="shared" si="3"/>
        <v>0.54166666666666663</v>
      </c>
      <c r="Q1696" s="70">
        <f t="shared" si="4"/>
        <v>0.77083333333333337</v>
      </c>
      <c r="R1696" s="229" t="str">
        <f t="shared" si="5"/>
        <v>330</v>
      </c>
    </row>
    <row r="1697" spans="1:18" x14ac:dyDescent="0.4">
      <c r="A1697" s="212">
        <v>46036</v>
      </c>
      <c r="B1697" s="139" t="s">
        <v>114</v>
      </c>
      <c r="C1697" s="140" t="s">
        <v>161</v>
      </c>
      <c r="D1697" s="292">
        <v>15</v>
      </c>
      <c r="E1697" s="77">
        <v>4</v>
      </c>
      <c r="F1697" s="1"/>
      <c r="G1697" s="76">
        <v>0.29166666666666669</v>
      </c>
      <c r="H1697" s="76">
        <v>0.5</v>
      </c>
      <c r="I1697" s="173" t="str">
        <f t="shared" si="0"/>
        <v>300</v>
      </c>
      <c r="J1697" s="23">
        <v>13</v>
      </c>
      <c r="K1697" s="23"/>
      <c r="L1697" s="68">
        <v>0.3125</v>
      </c>
      <c r="M1697" s="68">
        <v>0.54166666666666663</v>
      </c>
      <c r="N1697" s="173" t="str">
        <f t="shared" si="1"/>
        <v>270</v>
      </c>
      <c r="O1697" s="23">
        <f t="shared" si="2"/>
        <v>4710</v>
      </c>
      <c r="P1697" s="70">
        <f t="shared" si="3"/>
        <v>0.29166666666666669</v>
      </c>
      <c r="Q1697" s="70">
        <f t="shared" si="4"/>
        <v>0.54166666666666663</v>
      </c>
      <c r="R1697" s="229" t="str">
        <f t="shared" si="5"/>
        <v>300</v>
      </c>
    </row>
    <row r="1698" spans="1:18" x14ac:dyDescent="0.4">
      <c r="A1698" s="212">
        <v>46036</v>
      </c>
      <c r="B1698" s="139" t="s">
        <v>63</v>
      </c>
      <c r="C1698" s="140" t="s">
        <v>267</v>
      </c>
      <c r="D1698" s="292">
        <v>20</v>
      </c>
      <c r="E1698" s="77">
        <v>5</v>
      </c>
      <c r="F1698" s="1"/>
      <c r="G1698" s="76">
        <v>0.54166666666666663</v>
      </c>
      <c r="H1698" s="76">
        <v>0.72916666666666663</v>
      </c>
      <c r="I1698" s="173" t="str">
        <f t="shared" si="0"/>
        <v>270</v>
      </c>
      <c r="J1698" s="23">
        <v>3</v>
      </c>
      <c r="K1698" s="23"/>
      <c r="L1698" s="68">
        <v>0.56597222222222221</v>
      </c>
      <c r="M1698" s="68">
        <v>0.72916666666666663</v>
      </c>
      <c r="N1698" s="173" t="str">
        <f t="shared" si="1"/>
        <v>235</v>
      </c>
      <c r="O1698" s="23">
        <f t="shared" si="2"/>
        <v>2055</v>
      </c>
      <c r="P1698" s="70">
        <f t="shared" si="3"/>
        <v>0.54166666666666663</v>
      </c>
      <c r="Q1698" s="70">
        <f t="shared" si="4"/>
        <v>0.72916666666666663</v>
      </c>
      <c r="R1698" s="229" t="str">
        <f t="shared" si="5"/>
        <v>270</v>
      </c>
    </row>
    <row r="1699" spans="1:18" x14ac:dyDescent="0.4">
      <c r="A1699" s="212">
        <v>46036</v>
      </c>
      <c r="B1699" s="139" t="s">
        <v>88</v>
      </c>
      <c r="C1699" s="140" t="s">
        <v>328</v>
      </c>
      <c r="D1699" s="292">
        <v>16</v>
      </c>
      <c r="E1699" s="77">
        <v>5</v>
      </c>
      <c r="F1699" s="1"/>
      <c r="G1699" s="76">
        <v>0.37013888888888885</v>
      </c>
      <c r="H1699" s="76">
        <v>0.5</v>
      </c>
      <c r="I1699" s="173" t="str">
        <f t="shared" si="0"/>
        <v>187</v>
      </c>
      <c r="J1699" s="23">
        <v>3</v>
      </c>
      <c r="K1699" s="23"/>
      <c r="L1699" s="68">
        <v>0.39583333333333331</v>
      </c>
      <c r="M1699" s="68">
        <v>0.56597222222222221</v>
      </c>
      <c r="N1699" s="173" t="str">
        <f t="shared" si="1"/>
        <v>185</v>
      </c>
      <c r="O1699" s="23">
        <f t="shared" si="2"/>
        <v>1490</v>
      </c>
      <c r="P1699" s="70">
        <f t="shared" si="3"/>
        <v>0.37013888888888885</v>
      </c>
      <c r="Q1699" s="70">
        <f t="shared" si="4"/>
        <v>0.56597222222222221</v>
      </c>
      <c r="R1699" s="229" t="str">
        <f t="shared" si="5"/>
        <v>222</v>
      </c>
    </row>
    <row r="1700" spans="1:18" x14ac:dyDescent="0.4">
      <c r="A1700" s="212">
        <v>46036</v>
      </c>
      <c r="B1700" s="139" t="s">
        <v>76</v>
      </c>
      <c r="C1700" s="140" t="s">
        <v>224</v>
      </c>
      <c r="D1700" s="292">
        <v>8</v>
      </c>
      <c r="E1700" s="77">
        <v>5</v>
      </c>
      <c r="F1700" s="1"/>
      <c r="G1700" s="76">
        <v>0.29166666666666669</v>
      </c>
      <c r="H1700" s="76">
        <v>0.37013888888888885</v>
      </c>
      <c r="I1700" s="173" t="str">
        <f t="shared" si="0"/>
        <v>113</v>
      </c>
      <c r="J1700" s="23">
        <v>3</v>
      </c>
      <c r="K1700" s="23"/>
      <c r="L1700" s="68">
        <v>0.3125</v>
      </c>
      <c r="M1700" s="68">
        <v>0.39583333333333331</v>
      </c>
      <c r="N1700" s="173" t="str">
        <f t="shared" si="1"/>
        <v>120</v>
      </c>
      <c r="O1700" s="23">
        <f t="shared" si="2"/>
        <v>925</v>
      </c>
      <c r="P1700" s="70">
        <f t="shared" si="3"/>
        <v>0.29166666666666669</v>
      </c>
      <c r="Q1700" s="70">
        <f t="shared" si="4"/>
        <v>0.39583333333333331</v>
      </c>
      <c r="R1700" s="229" t="str">
        <f t="shared" si="5"/>
        <v>150</v>
      </c>
    </row>
    <row r="1701" spans="1:18" x14ac:dyDescent="0.4">
      <c r="A1701" s="212">
        <v>46036</v>
      </c>
      <c r="B1701" s="139" t="s">
        <v>65</v>
      </c>
      <c r="C1701" s="140" t="s">
        <v>189</v>
      </c>
      <c r="D1701" s="292">
        <v>72</v>
      </c>
      <c r="E1701" s="77">
        <v>3</v>
      </c>
      <c r="F1701" s="76">
        <v>3.4722222222222224E-2</v>
      </c>
      <c r="G1701" s="76">
        <v>0.29166666666666669</v>
      </c>
      <c r="H1701" s="76">
        <v>0.67361111111111116</v>
      </c>
      <c r="I1701" s="173" t="str">
        <f t="shared" si="0"/>
        <v>540</v>
      </c>
      <c r="J1701" s="23">
        <v>4</v>
      </c>
      <c r="K1701" s="23"/>
      <c r="L1701" s="68">
        <v>0.29166666666666669</v>
      </c>
      <c r="M1701" s="68">
        <v>0.71527777777777779</v>
      </c>
      <c r="N1701" s="173" t="str">
        <f t="shared" si="1"/>
        <v>550</v>
      </c>
      <c r="O1701" s="23">
        <f t="shared" si="2"/>
        <v>3820</v>
      </c>
      <c r="P1701" s="70">
        <f t="shared" si="3"/>
        <v>0.29166666666666669</v>
      </c>
      <c r="Q1701" s="70">
        <f t="shared" si="4"/>
        <v>0.71527777777777779</v>
      </c>
      <c r="R1701" s="229" t="str">
        <f t="shared" si="5"/>
        <v>550</v>
      </c>
    </row>
    <row r="1702" spans="1:18" x14ac:dyDescent="0.4">
      <c r="A1702" s="246">
        <v>46036</v>
      </c>
      <c r="B1702" s="102">
        <v>111060</v>
      </c>
      <c r="C1702" s="136" t="s">
        <v>1187</v>
      </c>
      <c r="D1702" s="298">
        <v>1</v>
      </c>
      <c r="E1702" s="103"/>
      <c r="F1702" s="104"/>
      <c r="G1702" s="184"/>
      <c r="H1702" s="184"/>
      <c r="I1702" s="225" t="str">
        <f t="shared" si="0"/>
        <v>0</v>
      </c>
      <c r="J1702" s="105"/>
      <c r="K1702" s="105"/>
      <c r="L1702" s="106"/>
      <c r="M1702" s="106"/>
      <c r="N1702" s="225" t="str">
        <f t="shared" si="1"/>
        <v>0</v>
      </c>
      <c r="O1702" s="105">
        <f t="shared" si="2"/>
        <v>0</v>
      </c>
      <c r="P1702" s="247">
        <f t="shared" si="3"/>
        <v>0</v>
      </c>
      <c r="Q1702" s="247">
        <f t="shared" si="4"/>
        <v>0</v>
      </c>
      <c r="R1702" s="232" t="str">
        <f t="shared" si="5"/>
        <v>0</v>
      </c>
    </row>
    <row r="1703" spans="1:18" x14ac:dyDescent="0.4">
      <c r="A1703" s="212">
        <v>46037</v>
      </c>
      <c r="B1703" s="139" t="s">
        <v>86</v>
      </c>
      <c r="C1703" s="140" t="s">
        <v>201</v>
      </c>
      <c r="D1703" s="292">
        <v>20</v>
      </c>
      <c r="E1703" s="77">
        <v>6</v>
      </c>
      <c r="F1703" s="1"/>
      <c r="G1703" s="76">
        <v>0.54166666666666663</v>
      </c>
      <c r="H1703" s="76">
        <v>0.72916666666666663</v>
      </c>
      <c r="I1703" s="173" t="str">
        <f t="shared" si="0"/>
        <v>270</v>
      </c>
      <c r="J1703" s="23">
        <v>5</v>
      </c>
      <c r="K1703" s="23"/>
      <c r="L1703" s="68">
        <v>0.57638888888888895</v>
      </c>
      <c r="M1703" s="68">
        <v>0.75</v>
      </c>
      <c r="N1703" s="173" t="str">
        <f t="shared" si="1"/>
        <v>250</v>
      </c>
      <c r="O1703" s="23">
        <f t="shared" si="2"/>
        <v>2870</v>
      </c>
      <c r="P1703" s="70">
        <f t="shared" si="3"/>
        <v>0.54166666666666663</v>
      </c>
      <c r="Q1703" s="70">
        <f t="shared" si="4"/>
        <v>0.75</v>
      </c>
      <c r="R1703" s="229" t="str">
        <f t="shared" si="5"/>
        <v>300</v>
      </c>
    </row>
    <row r="1704" spans="1:18" x14ac:dyDescent="0.4">
      <c r="A1704" s="212">
        <v>46037</v>
      </c>
      <c r="B1704" s="139" t="s">
        <v>80</v>
      </c>
      <c r="C1704" s="140" t="s">
        <v>203</v>
      </c>
      <c r="D1704" s="292">
        <v>36</v>
      </c>
      <c r="E1704" s="77">
        <v>6</v>
      </c>
      <c r="F1704" s="1"/>
      <c r="G1704" s="76">
        <v>0.29166666666666669</v>
      </c>
      <c r="H1704" s="76">
        <v>0.5</v>
      </c>
      <c r="I1704" s="173" t="str">
        <f t="shared" si="0"/>
        <v>300</v>
      </c>
      <c r="J1704" s="23">
        <v>5</v>
      </c>
      <c r="K1704" s="23"/>
      <c r="L1704" s="68">
        <v>0.3125</v>
      </c>
      <c r="M1704" s="68">
        <v>0.57638888888888895</v>
      </c>
      <c r="N1704" s="173" t="str">
        <f t="shared" si="1"/>
        <v>320</v>
      </c>
      <c r="O1704" s="23">
        <f t="shared" si="2"/>
        <v>3400</v>
      </c>
      <c r="P1704" s="70">
        <f t="shared" si="3"/>
        <v>0.29166666666666669</v>
      </c>
      <c r="Q1704" s="70">
        <f t="shared" si="4"/>
        <v>0.57638888888888895</v>
      </c>
      <c r="R1704" s="229" t="str">
        <f t="shared" si="5"/>
        <v>350</v>
      </c>
    </row>
    <row r="1705" spans="1:18" x14ac:dyDescent="0.4">
      <c r="A1705" s="212">
        <v>46037</v>
      </c>
      <c r="B1705" s="139" t="s">
        <v>130</v>
      </c>
      <c r="C1705" s="140" t="s">
        <v>216</v>
      </c>
      <c r="D1705" s="292">
        <v>12</v>
      </c>
      <c r="E1705" s="77">
        <v>5</v>
      </c>
      <c r="F1705" s="1"/>
      <c r="G1705" s="76">
        <v>0.29166666666666669</v>
      </c>
      <c r="H1705" s="76">
        <v>0.40833333333333338</v>
      </c>
      <c r="I1705" s="173" t="str">
        <f t="shared" si="0"/>
        <v>168</v>
      </c>
      <c r="J1705" s="23">
        <v>4</v>
      </c>
      <c r="K1705" s="23"/>
      <c r="L1705" s="68">
        <v>0.3125</v>
      </c>
      <c r="M1705" s="68">
        <v>0.4513888888888889</v>
      </c>
      <c r="N1705" s="173" t="str">
        <f t="shared" si="1"/>
        <v>200</v>
      </c>
      <c r="O1705" s="23">
        <f t="shared" si="2"/>
        <v>1640</v>
      </c>
      <c r="P1705" s="70">
        <f t="shared" si="3"/>
        <v>0.29166666666666669</v>
      </c>
      <c r="Q1705" s="70">
        <f t="shared" si="4"/>
        <v>0.4513888888888889</v>
      </c>
      <c r="R1705" s="229" t="str">
        <f t="shared" si="5"/>
        <v>230</v>
      </c>
    </row>
    <row r="1706" spans="1:18" x14ac:dyDescent="0.4">
      <c r="A1706" s="212">
        <v>46037</v>
      </c>
      <c r="B1706" s="139" t="s">
        <v>63</v>
      </c>
      <c r="C1706" s="140" t="s">
        <v>267</v>
      </c>
      <c r="D1706" s="292">
        <v>28</v>
      </c>
      <c r="E1706" s="77">
        <v>5</v>
      </c>
      <c r="F1706" s="1"/>
      <c r="G1706" s="76">
        <v>0.40833333333333338</v>
      </c>
      <c r="H1706" s="76">
        <v>0.6875</v>
      </c>
      <c r="I1706" s="173" t="str">
        <f t="shared" si="0"/>
        <v>342</v>
      </c>
      <c r="J1706" s="23">
        <v>3</v>
      </c>
      <c r="K1706" s="23"/>
      <c r="L1706" s="68">
        <v>0.4513888888888889</v>
      </c>
      <c r="M1706" s="68">
        <v>0.6875</v>
      </c>
      <c r="N1706" s="173" t="str">
        <f t="shared" si="1"/>
        <v>280</v>
      </c>
      <c r="O1706" s="23">
        <f t="shared" si="2"/>
        <v>2550</v>
      </c>
      <c r="P1706" s="70">
        <f t="shared" si="3"/>
        <v>0.40833333333333338</v>
      </c>
      <c r="Q1706" s="70">
        <f t="shared" si="4"/>
        <v>0.6875</v>
      </c>
      <c r="R1706" s="229" t="str">
        <f t="shared" si="5"/>
        <v>342</v>
      </c>
    </row>
    <row r="1707" spans="1:18" x14ac:dyDescent="0.4">
      <c r="A1707" s="212">
        <v>46037</v>
      </c>
      <c r="B1707" s="139" t="s">
        <v>597</v>
      </c>
      <c r="C1707" s="140" t="s">
        <v>283</v>
      </c>
      <c r="D1707" s="292">
        <v>8</v>
      </c>
      <c r="E1707" s="77">
        <v>3</v>
      </c>
      <c r="F1707" s="76">
        <v>1.7361111111111112E-2</v>
      </c>
      <c r="G1707" s="76">
        <v>0.29166666666666669</v>
      </c>
      <c r="H1707" s="76">
        <v>0.38194444444444442</v>
      </c>
      <c r="I1707" s="173" t="str">
        <f t="shared" si="0"/>
        <v>155</v>
      </c>
      <c r="J1707" s="23">
        <v>8</v>
      </c>
      <c r="K1707" s="23"/>
      <c r="L1707" s="68">
        <v>0.29166666666666669</v>
      </c>
      <c r="M1707" s="68">
        <v>0.5</v>
      </c>
      <c r="N1707" s="173" t="str">
        <f t="shared" si="1"/>
        <v>300</v>
      </c>
      <c r="O1707" s="23">
        <f t="shared" si="2"/>
        <v>2865</v>
      </c>
      <c r="P1707" s="70">
        <f t="shared" si="3"/>
        <v>0.29166666666666669</v>
      </c>
      <c r="Q1707" s="70">
        <f t="shared" si="4"/>
        <v>0.5</v>
      </c>
      <c r="R1707" s="229" t="str">
        <f t="shared" si="5"/>
        <v>300</v>
      </c>
    </row>
    <row r="1708" spans="1:18" x14ac:dyDescent="0.4">
      <c r="A1708" s="212">
        <v>46037</v>
      </c>
      <c r="B1708" s="139" t="s">
        <v>66</v>
      </c>
      <c r="C1708" s="140" t="s">
        <v>195</v>
      </c>
      <c r="D1708" s="292">
        <v>20</v>
      </c>
      <c r="E1708" s="77">
        <v>3</v>
      </c>
      <c r="F1708" s="76">
        <v>1.7361111111111112E-2</v>
      </c>
      <c r="G1708" s="76">
        <v>0.38194444444444442</v>
      </c>
      <c r="H1708" s="76">
        <v>0.63541666666666663</v>
      </c>
      <c r="I1708" s="173" t="str">
        <f t="shared" si="0"/>
        <v>330</v>
      </c>
      <c r="J1708" s="23">
        <v>4</v>
      </c>
      <c r="K1708" s="23"/>
      <c r="L1708" s="68">
        <v>0.54166666666666663</v>
      </c>
      <c r="M1708" s="68">
        <v>0.71527777777777779</v>
      </c>
      <c r="N1708" s="173" t="str">
        <f t="shared" si="1"/>
        <v>250</v>
      </c>
      <c r="O1708" s="23">
        <f t="shared" si="2"/>
        <v>1990</v>
      </c>
      <c r="P1708" s="70">
        <f t="shared" si="3"/>
        <v>0.38194444444444442</v>
      </c>
      <c r="Q1708" s="70">
        <f t="shared" si="4"/>
        <v>0.71527777777777779</v>
      </c>
      <c r="R1708" s="229" t="str">
        <f t="shared" si="5"/>
        <v>420</v>
      </c>
    </row>
    <row r="1709" spans="1:18" s="381" customFormat="1" x14ac:dyDescent="0.4">
      <c r="A1709" s="402">
        <v>46038</v>
      </c>
      <c r="B1709" s="392" t="s">
        <v>71</v>
      </c>
      <c r="C1709" s="375" t="s">
        <v>176</v>
      </c>
      <c r="D1709" s="406">
        <v>72</v>
      </c>
      <c r="E1709" s="376">
        <v>6</v>
      </c>
      <c r="F1709" s="395"/>
      <c r="G1709" s="377">
        <v>0.29166666666666669</v>
      </c>
      <c r="H1709" s="377">
        <v>0.70833333333333337</v>
      </c>
      <c r="I1709" s="378" t="str">
        <f t="shared" si="0"/>
        <v>540</v>
      </c>
      <c r="J1709" s="374">
        <v>5</v>
      </c>
      <c r="K1709" s="374"/>
      <c r="L1709" s="379">
        <v>0.3125</v>
      </c>
      <c r="M1709" s="379">
        <v>0.70833333333333337</v>
      </c>
      <c r="N1709" s="378" t="str">
        <f t="shared" si="1"/>
        <v>510</v>
      </c>
      <c r="O1709" s="374">
        <f t="shared" si="2"/>
        <v>5790</v>
      </c>
      <c r="P1709" s="407">
        <f t="shared" si="3"/>
        <v>0.29166666666666669</v>
      </c>
      <c r="Q1709" s="407">
        <f t="shared" si="4"/>
        <v>0.70833333333333337</v>
      </c>
      <c r="R1709" s="380" t="str">
        <f t="shared" si="5"/>
        <v>540</v>
      </c>
    </row>
    <row r="1710" spans="1:18" s="381" customFormat="1" x14ac:dyDescent="0.4">
      <c r="A1710" s="402">
        <v>46038</v>
      </c>
      <c r="B1710" s="392" t="s">
        <v>63</v>
      </c>
      <c r="C1710" s="375" t="s">
        <v>267</v>
      </c>
      <c r="D1710" s="406">
        <v>24</v>
      </c>
      <c r="E1710" s="376">
        <v>5</v>
      </c>
      <c r="F1710" s="395"/>
      <c r="G1710" s="377">
        <v>0.45694444444444443</v>
      </c>
      <c r="H1710" s="377">
        <v>0.6875</v>
      </c>
      <c r="I1710" s="378" t="str">
        <f t="shared" si="0"/>
        <v>272</v>
      </c>
      <c r="J1710" s="374">
        <v>3</v>
      </c>
      <c r="K1710" s="374"/>
      <c r="L1710" s="379">
        <v>0.48958333333333331</v>
      </c>
      <c r="M1710" s="379">
        <v>0.70833333333333337</v>
      </c>
      <c r="N1710" s="378" t="str">
        <f t="shared" si="1"/>
        <v>255</v>
      </c>
      <c r="O1710" s="374">
        <f t="shared" si="2"/>
        <v>2125</v>
      </c>
      <c r="P1710" s="407">
        <f t="shared" si="3"/>
        <v>0.45694444444444443</v>
      </c>
      <c r="Q1710" s="407">
        <f t="shared" si="4"/>
        <v>0.70833333333333337</v>
      </c>
      <c r="R1710" s="380" t="str">
        <f t="shared" si="5"/>
        <v>302</v>
      </c>
    </row>
    <row r="1711" spans="1:18" s="381" customFormat="1" x14ac:dyDescent="0.4">
      <c r="A1711" s="402">
        <v>46038</v>
      </c>
      <c r="B1711" s="392" t="s">
        <v>128</v>
      </c>
      <c r="C1711" s="375" t="s">
        <v>312</v>
      </c>
      <c r="D1711" s="406">
        <v>8</v>
      </c>
      <c r="E1711" s="376">
        <v>5</v>
      </c>
      <c r="F1711" s="395"/>
      <c r="G1711" s="377">
        <v>0.29166666666666669</v>
      </c>
      <c r="H1711" s="377">
        <v>0.3659722222222222</v>
      </c>
      <c r="I1711" s="378" t="str">
        <f t="shared" si="0"/>
        <v>107</v>
      </c>
      <c r="J1711" s="374">
        <v>3</v>
      </c>
      <c r="K1711" s="374"/>
      <c r="L1711" s="379">
        <v>0.3125</v>
      </c>
      <c r="M1711" s="379">
        <v>0.39583333333333331</v>
      </c>
      <c r="N1711" s="378" t="str">
        <f t="shared" si="1"/>
        <v>120</v>
      </c>
      <c r="O1711" s="374">
        <f t="shared" si="2"/>
        <v>895</v>
      </c>
      <c r="P1711" s="407">
        <f t="shared" si="3"/>
        <v>0.29166666666666669</v>
      </c>
      <c r="Q1711" s="407">
        <f t="shared" si="4"/>
        <v>0.39583333333333331</v>
      </c>
      <c r="R1711" s="380" t="str">
        <f t="shared" si="5"/>
        <v>150</v>
      </c>
    </row>
    <row r="1712" spans="1:18" s="381" customFormat="1" x14ac:dyDescent="0.4">
      <c r="A1712" s="402">
        <v>46038</v>
      </c>
      <c r="B1712" s="392" t="s">
        <v>64</v>
      </c>
      <c r="C1712" s="375" t="s">
        <v>271</v>
      </c>
      <c r="D1712" s="406">
        <v>12</v>
      </c>
      <c r="E1712" s="376">
        <v>5</v>
      </c>
      <c r="F1712" s="395"/>
      <c r="G1712" s="377">
        <v>0.3659722222222222</v>
      </c>
      <c r="H1712" s="377">
        <v>0.45694444444444443</v>
      </c>
      <c r="I1712" s="378" t="str">
        <f t="shared" si="0"/>
        <v>131</v>
      </c>
      <c r="J1712" s="374">
        <v>3</v>
      </c>
      <c r="K1712" s="374"/>
      <c r="L1712" s="379">
        <v>0.39583333333333331</v>
      </c>
      <c r="M1712" s="379">
        <v>0.48958333333333331</v>
      </c>
      <c r="N1712" s="378" t="str">
        <f t="shared" si="1"/>
        <v>135</v>
      </c>
      <c r="O1712" s="374">
        <f t="shared" si="2"/>
        <v>1060</v>
      </c>
      <c r="P1712" s="407">
        <f t="shared" si="3"/>
        <v>0.3659722222222222</v>
      </c>
      <c r="Q1712" s="407">
        <f t="shared" si="4"/>
        <v>0.48958333333333331</v>
      </c>
      <c r="R1712" s="380" t="str">
        <f t="shared" si="5"/>
        <v>178</v>
      </c>
    </row>
    <row r="1713" spans="1:18" s="381" customFormat="1" x14ac:dyDescent="0.4">
      <c r="A1713" s="402">
        <v>46038</v>
      </c>
      <c r="B1713" s="392" t="s">
        <v>123</v>
      </c>
      <c r="C1713" s="375" t="s">
        <v>277</v>
      </c>
      <c r="D1713" s="406">
        <v>64</v>
      </c>
      <c r="E1713" s="376">
        <v>3</v>
      </c>
      <c r="F1713" s="377">
        <v>3.4722222222222224E-2</v>
      </c>
      <c r="G1713" s="377">
        <v>0.29166666666666669</v>
      </c>
      <c r="H1713" s="377">
        <v>0.63888888888888895</v>
      </c>
      <c r="I1713" s="378" t="str">
        <f t="shared" si="0"/>
        <v>490</v>
      </c>
      <c r="J1713" s="374">
        <v>4</v>
      </c>
      <c r="K1713" s="374"/>
      <c r="L1713" s="379">
        <v>0.29166666666666669</v>
      </c>
      <c r="M1713" s="379">
        <v>0.6875</v>
      </c>
      <c r="N1713" s="378" t="str">
        <f t="shared" si="1"/>
        <v>510</v>
      </c>
      <c r="O1713" s="374">
        <f t="shared" si="2"/>
        <v>3510</v>
      </c>
      <c r="P1713" s="407">
        <f t="shared" si="3"/>
        <v>0.29166666666666669</v>
      </c>
      <c r="Q1713" s="407">
        <f t="shared" si="4"/>
        <v>0.6875</v>
      </c>
      <c r="R1713" s="380" t="str">
        <f t="shared" si="5"/>
        <v>510</v>
      </c>
    </row>
    <row r="1714" spans="1:18" x14ac:dyDescent="0.4">
      <c r="A1714" s="246">
        <v>46038</v>
      </c>
      <c r="B1714" s="102">
        <v>111060</v>
      </c>
      <c r="C1714" s="136" t="s">
        <v>1187</v>
      </c>
      <c r="D1714" s="298">
        <v>1</v>
      </c>
      <c r="E1714" s="103"/>
      <c r="F1714" s="104"/>
      <c r="G1714" s="184"/>
      <c r="H1714" s="184"/>
      <c r="I1714" s="225" t="str">
        <f t="shared" ref="I1714:I1777" si="6">TEXT(IF(AND(G1714&lt;=$S$2,H1714&gt;=$T$2),(H1714-G1714+F1714)-($T$2-$S$2),(H1714-G1714+F1714)),"[m]")</f>
        <v>0</v>
      </c>
      <c r="J1714" s="105"/>
      <c r="K1714" s="105"/>
      <c r="L1714" s="106"/>
      <c r="M1714" s="106"/>
      <c r="N1714" s="225" t="str">
        <f t="shared" ref="N1714:N1777" si="7">TEXT(IF(AND(L1714&lt;=$S$2,M1714&gt;=$T$2),(M1714-L1714+K1714)-($T$2-$S$2),(M1714-L1714+K1714)),"[m]")</f>
        <v>0</v>
      </c>
      <c r="O1714" s="105">
        <f t="shared" ref="O1714:O1777" si="8">E1714*I1714+J1714*N1714</f>
        <v>0</v>
      </c>
      <c r="P1714" s="247">
        <f t="shared" ref="P1714:P1777" si="9">MIN(G1714:H1714,L1714:M1714)</f>
        <v>0</v>
      </c>
      <c r="Q1714" s="247">
        <f t="shared" ref="Q1714:Q1777" si="10">MAX(G1714:H1714,L1714:M1714)</f>
        <v>0</v>
      </c>
      <c r="R1714" s="232" t="str">
        <f t="shared" ref="R1714:R1777" si="11">TEXT(IF(AND(P1714&lt;=$S$2,Q1714&gt;=$T$2),(Q1714-P1714)-($T$2-$S$2),(Q1714-P1714)),"[m]")</f>
        <v>0</v>
      </c>
    </row>
    <row r="1715" spans="1:18" x14ac:dyDescent="0.4">
      <c r="A1715" s="212">
        <v>46041</v>
      </c>
      <c r="B1715" s="139" t="s">
        <v>460</v>
      </c>
      <c r="C1715" s="140" t="s">
        <v>183</v>
      </c>
      <c r="D1715" s="292">
        <v>8</v>
      </c>
      <c r="E1715" s="77">
        <v>5</v>
      </c>
      <c r="F1715" s="1"/>
      <c r="G1715" s="76">
        <v>0.62152777777777779</v>
      </c>
      <c r="H1715" s="76">
        <v>0.72916666666666663</v>
      </c>
      <c r="I1715" s="173" t="str">
        <f t="shared" si="6"/>
        <v>155</v>
      </c>
      <c r="J1715" s="23">
        <v>5</v>
      </c>
      <c r="K1715" s="23"/>
      <c r="L1715" s="68">
        <v>0.64583333333333337</v>
      </c>
      <c r="M1715" s="68">
        <v>0.72916666666666663</v>
      </c>
      <c r="N1715" s="173" t="str">
        <f t="shared" si="7"/>
        <v>120</v>
      </c>
      <c r="O1715" s="23">
        <f t="shared" si="8"/>
        <v>1375</v>
      </c>
      <c r="P1715" s="70">
        <f t="shared" si="9"/>
        <v>0.62152777777777779</v>
      </c>
      <c r="Q1715" s="70">
        <f t="shared" si="10"/>
        <v>0.72916666666666663</v>
      </c>
      <c r="R1715" s="229" t="str">
        <f t="shared" si="11"/>
        <v>155</v>
      </c>
    </row>
    <row r="1716" spans="1:18" x14ac:dyDescent="0.4">
      <c r="A1716" s="212">
        <v>46041</v>
      </c>
      <c r="B1716" s="139" t="s">
        <v>71</v>
      </c>
      <c r="C1716" s="140" t="s">
        <v>176</v>
      </c>
      <c r="D1716" s="292">
        <v>64</v>
      </c>
      <c r="E1716" s="77">
        <v>6</v>
      </c>
      <c r="F1716" s="1"/>
      <c r="G1716" s="76">
        <v>0.29166666666666669</v>
      </c>
      <c r="H1716" s="76">
        <v>0.62152777777777779</v>
      </c>
      <c r="I1716" s="173" t="str">
        <f t="shared" si="6"/>
        <v>415</v>
      </c>
      <c r="J1716" s="23">
        <v>5</v>
      </c>
      <c r="K1716" s="23"/>
      <c r="L1716" s="68">
        <v>0.3125</v>
      </c>
      <c r="M1716" s="68">
        <v>0.64583333333333337</v>
      </c>
      <c r="N1716" s="173" t="str">
        <f t="shared" si="7"/>
        <v>420</v>
      </c>
      <c r="O1716" s="23">
        <f t="shared" si="8"/>
        <v>4590</v>
      </c>
      <c r="P1716" s="70">
        <f t="shared" si="9"/>
        <v>0.29166666666666669</v>
      </c>
      <c r="Q1716" s="70">
        <f t="shared" si="10"/>
        <v>0.64583333333333337</v>
      </c>
      <c r="R1716" s="229" t="str">
        <f t="shared" si="11"/>
        <v>450</v>
      </c>
    </row>
    <row r="1717" spans="1:18" x14ac:dyDescent="0.4">
      <c r="A1717" s="212">
        <v>46041</v>
      </c>
      <c r="B1717" s="139" t="s">
        <v>63</v>
      </c>
      <c r="C1717" s="140" t="s">
        <v>267</v>
      </c>
      <c r="D1717" s="292">
        <v>24</v>
      </c>
      <c r="E1717" s="77">
        <v>4</v>
      </c>
      <c r="F1717" s="1"/>
      <c r="G1717" s="76">
        <v>0.57500000000000007</v>
      </c>
      <c r="H1717" s="76">
        <v>0.79166666666666663</v>
      </c>
      <c r="I1717" s="173" t="str">
        <f t="shared" si="6"/>
        <v>312</v>
      </c>
      <c r="J1717" s="23">
        <v>3</v>
      </c>
      <c r="K1717" s="23"/>
      <c r="L1717" s="68">
        <v>0.59722222222222221</v>
      </c>
      <c r="M1717" s="68">
        <v>0.79166666666666663</v>
      </c>
      <c r="N1717" s="173" t="str">
        <f t="shared" si="7"/>
        <v>280</v>
      </c>
      <c r="O1717" s="23">
        <f t="shared" si="8"/>
        <v>2088</v>
      </c>
      <c r="P1717" s="70">
        <f t="shared" si="9"/>
        <v>0.57500000000000007</v>
      </c>
      <c r="Q1717" s="70">
        <f t="shared" si="10"/>
        <v>0.79166666666666663</v>
      </c>
      <c r="R1717" s="229" t="str">
        <f t="shared" si="11"/>
        <v>312</v>
      </c>
    </row>
    <row r="1718" spans="1:18" x14ac:dyDescent="0.4">
      <c r="A1718" s="212">
        <v>46041</v>
      </c>
      <c r="B1718" s="139" t="s">
        <v>72</v>
      </c>
      <c r="C1718" s="140" t="s">
        <v>227</v>
      </c>
      <c r="D1718" s="292">
        <v>24</v>
      </c>
      <c r="E1718" s="77">
        <v>4</v>
      </c>
      <c r="F1718" s="1"/>
      <c r="G1718" s="76">
        <v>0.29166666666666669</v>
      </c>
      <c r="H1718" s="76">
        <v>0.57500000000000007</v>
      </c>
      <c r="I1718" s="173" t="str">
        <f t="shared" si="6"/>
        <v>348</v>
      </c>
      <c r="J1718" s="23">
        <v>3</v>
      </c>
      <c r="K1718" s="23"/>
      <c r="L1718" s="68">
        <v>0.3125</v>
      </c>
      <c r="M1718" s="68">
        <v>0.59722222222222221</v>
      </c>
      <c r="N1718" s="173" t="str">
        <f t="shared" si="7"/>
        <v>350</v>
      </c>
      <c r="O1718" s="23">
        <f t="shared" si="8"/>
        <v>2442</v>
      </c>
      <c r="P1718" s="70">
        <f t="shared" si="9"/>
        <v>0.29166666666666669</v>
      </c>
      <c r="Q1718" s="70">
        <f t="shared" si="10"/>
        <v>0.59722222222222221</v>
      </c>
      <c r="R1718" s="229" t="str">
        <f t="shared" si="11"/>
        <v>380</v>
      </c>
    </row>
    <row r="1719" spans="1:18" x14ac:dyDescent="0.4">
      <c r="A1719" s="212">
        <v>46041</v>
      </c>
      <c r="B1719" s="139" t="s">
        <v>82</v>
      </c>
      <c r="C1719" s="140" t="s">
        <v>171</v>
      </c>
      <c r="D1719" s="292">
        <v>40</v>
      </c>
      <c r="E1719" s="77">
        <v>3</v>
      </c>
      <c r="F1719" s="76">
        <v>2.7777777777777776E-2</v>
      </c>
      <c r="G1719" s="76">
        <v>0.29166666666666669</v>
      </c>
      <c r="H1719" s="76">
        <v>0.69097222222222221</v>
      </c>
      <c r="I1719" s="173" t="str">
        <f t="shared" si="6"/>
        <v>555</v>
      </c>
      <c r="J1719" s="23">
        <v>7</v>
      </c>
      <c r="K1719" s="23"/>
      <c r="L1719" s="68">
        <v>0.29166666666666669</v>
      </c>
      <c r="M1719" s="68">
        <v>0.77430555555555547</v>
      </c>
      <c r="N1719" s="173" t="str">
        <f t="shared" si="7"/>
        <v>635</v>
      </c>
      <c r="O1719" s="23">
        <f t="shared" si="8"/>
        <v>6110</v>
      </c>
      <c r="P1719" s="70">
        <f t="shared" si="9"/>
        <v>0.29166666666666669</v>
      </c>
      <c r="Q1719" s="70">
        <f t="shared" si="10"/>
        <v>0.77430555555555547</v>
      </c>
      <c r="R1719" s="229" t="str">
        <f t="shared" si="11"/>
        <v>635</v>
      </c>
    </row>
    <row r="1720" spans="1:18" x14ac:dyDescent="0.4">
      <c r="A1720" s="246">
        <v>46041</v>
      </c>
      <c r="B1720" s="102" t="s">
        <v>594</v>
      </c>
      <c r="C1720" s="136" t="s">
        <v>595</v>
      </c>
      <c r="D1720" s="298">
        <v>1</v>
      </c>
      <c r="E1720" s="103"/>
      <c r="F1720" s="104"/>
      <c r="G1720" s="184"/>
      <c r="H1720" s="184"/>
      <c r="I1720" s="225" t="str">
        <f t="shared" si="6"/>
        <v>0</v>
      </c>
      <c r="J1720" s="105"/>
      <c r="K1720" s="105"/>
      <c r="L1720" s="106"/>
      <c r="M1720" s="106"/>
      <c r="N1720" s="225" t="str">
        <f t="shared" si="7"/>
        <v>0</v>
      </c>
      <c r="O1720" s="105">
        <f t="shared" si="8"/>
        <v>0</v>
      </c>
      <c r="P1720" s="247">
        <f t="shared" si="9"/>
        <v>0</v>
      </c>
      <c r="Q1720" s="247">
        <f t="shared" si="10"/>
        <v>0</v>
      </c>
      <c r="R1720" s="232" t="str">
        <f t="shared" si="11"/>
        <v>0</v>
      </c>
    </row>
    <row r="1721" spans="1:18" x14ac:dyDescent="0.4">
      <c r="A1721" s="246">
        <v>46041</v>
      </c>
      <c r="B1721" s="102">
        <v>153010</v>
      </c>
      <c r="C1721" s="136" t="s">
        <v>484</v>
      </c>
      <c r="D1721" s="298">
        <v>1</v>
      </c>
      <c r="E1721" s="103"/>
      <c r="F1721" s="104"/>
      <c r="G1721" s="184"/>
      <c r="H1721" s="184"/>
      <c r="I1721" s="225" t="str">
        <f t="shared" si="6"/>
        <v>0</v>
      </c>
      <c r="J1721" s="105"/>
      <c r="K1721" s="105"/>
      <c r="L1721" s="106"/>
      <c r="M1721" s="106"/>
      <c r="N1721" s="225" t="str">
        <f t="shared" si="7"/>
        <v>0</v>
      </c>
      <c r="O1721" s="105">
        <f t="shared" si="8"/>
        <v>0</v>
      </c>
      <c r="P1721" s="247">
        <f t="shared" si="9"/>
        <v>0</v>
      </c>
      <c r="Q1721" s="247">
        <f t="shared" si="10"/>
        <v>0</v>
      </c>
      <c r="R1721" s="232" t="str">
        <f t="shared" si="11"/>
        <v>0</v>
      </c>
    </row>
    <row r="1722" spans="1:18" x14ac:dyDescent="0.4">
      <c r="A1722" s="212">
        <v>46042</v>
      </c>
      <c r="B1722" s="139" t="s">
        <v>54</v>
      </c>
      <c r="C1722" s="140" t="s">
        <v>251</v>
      </c>
      <c r="D1722" s="292">
        <v>30</v>
      </c>
      <c r="E1722" s="77">
        <v>5</v>
      </c>
      <c r="F1722" s="1"/>
      <c r="G1722" s="76">
        <v>0.40972222222222227</v>
      </c>
      <c r="H1722" s="76">
        <v>0.70833333333333337</v>
      </c>
      <c r="I1722" s="173" t="str">
        <f t="shared" si="6"/>
        <v>370</v>
      </c>
      <c r="J1722" s="23">
        <v>3</v>
      </c>
      <c r="K1722" s="23"/>
      <c r="L1722" s="68">
        <v>0.44444444444444442</v>
      </c>
      <c r="M1722" s="68">
        <v>0.75</v>
      </c>
      <c r="N1722" s="173" t="str">
        <f t="shared" si="7"/>
        <v>380</v>
      </c>
      <c r="O1722" s="23">
        <f t="shared" si="8"/>
        <v>2990</v>
      </c>
      <c r="P1722" s="70">
        <f t="shared" si="9"/>
        <v>0.40972222222222227</v>
      </c>
      <c r="Q1722" s="70">
        <f t="shared" si="10"/>
        <v>0.75</v>
      </c>
      <c r="R1722" s="229" t="str">
        <f t="shared" si="11"/>
        <v>430</v>
      </c>
    </row>
    <row r="1723" spans="1:18" x14ac:dyDescent="0.4">
      <c r="A1723" s="212">
        <v>46042</v>
      </c>
      <c r="B1723" s="139" t="s">
        <v>1045</v>
      </c>
      <c r="C1723" s="140" t="s">
        <v>1056</v>
      </c>
      <c r="D1723" s="292">
        <v>12</v>
      </c>
      <c r="E1723" s="77">
        <v>5</v>
      </c>
      <c r="F1723" s="1"/>
      <c r="G1723" s="76">
        <v>0.29166666666666669</v>
      </c>
      <c r="H1723" s="76">
        <v>0.40972222222222227</v>
      </c>
      <c r="I1723" s="173" t="str">
        <f t="shared" si="6"/>
        <v>170</v>
      </c>
      <c r="J1723" s="23">
        <v>3</v>
      </c>
      <c r="K1723" s="23"/>
      <c r="L1723" s="68">
        <v>0.3125</v>
      </c>
      <c r="M1723" s="68">
        <v>0.44444444444444442</v>
      </c>
      <c r="N1723" s="173" t="str">
        <f t="shared" si="7"/>
        <v>190</v>
      </c>
      <c r="O1723" s="23">
        <f t="shared" si="8"/>
        <v>1420</v>
      </c>
      <c r="P1723" s="70">
        <f t="shared" si="9"/>
        <v>0.29166666666666669</v>
      </c>
      <c r="Q1723" s="70">
        <f t="shared" si="10"/>
        <v>0.44444444444444442</v>
      </c>
      <c r="R1723" s="229" t="str">
        <f t="shared" si="11"/>
        <v>220</v>
      </c>
    </row>
    <row r="1724" spans="1:18" x14ac:dyDescent="0.4">
      <c r="A1724" s="212">
        <v>46042</v>
      </c>
      <c r="B1724" s="139" t="s">
        <v>118</v>
      </c>
      <c r="C1724" s="140" t="s">
        <v>318</v>
      </c>
      <c r="D1724" s="292">
        <v>16</v>
      </c>
      <c r="E1724" s="77">
        <v>5</v>
      </c>
      <c r="F1724" s="1"/>
      <c r="G1724" s="76">
        <v>0.29166666666666669</v>
      </c>
      <c r="H1724" s="76">
        <v>0.42777777777777781</v>
      </c>
      <c r="I1724" s="173" t="str">
        <f t="shared" si="6"/>
        <v>196</v>
      </c>
      <c r="J1724" s="23">
        <v>4</v>
      </c>
      <c r="K1724" s="23"/>
      <c r="L1724" s="68">
        <v>0.3125</v>
      </c>
      <c r="M1724" s="68">
        <v>0.4548611111111111</v>
      </c>
      <c r="N1724" s="173" t="str">
        <f t="shared" si="7"/>
        <v>205</v>
      </c>
      <c r="O1724" s="23">
        <f t="shared" si="8"/>
        <v>1800</v>
      </c>
      <c r="P1724" s="70">
        <f t="shared" si="9"/>
        <v>0.29166666666666669</v>
      </c>
      <c r="Q1724" s="70">
        <f t="shared" si="10"/>
        <v>0.4548611111111111</v>
      </c>
      <c r="R1724" s="229" t="str">
        <f t="shared" si="11"/>
        <v>235</v>
      </c>
    </row>
    <row r="1725" spans="1:18" x14ac:dyDescent="0.4">
      <c r="A1725" s="212">
        <v>46042</v>
      </c>
      <c r="B1725" s="139" t="s">
        <v>55</v>
      </c>
      <c r="C1725" s="140" t="s">
        <v>208</v>
      </c>
      <c r="D1725" s="292">
        <v>28</v>
      </c>
      <c r="E1725" s="77">
        <v>5</v>
      </c>
      <c r="F1725" s="1"/>
      <c r="G1725" s="76">
        <v>0.42777777777777781</v>
      </c>
      <c r="H1725" s="76">
        <v>0.70833333333333337</v>
      </c>
      <c r="I1725" s="173" t="str">
        <f t="shared" si="6"/>
        <v>344</v>
      </c>
      <c r="J1725" s="23">
        <v>4</v>
      </c>
      <c r="K1725" s="23"/>
      <c r="L1725" s="68">
        <v>0.4548611111111111</v>
      </c>
      <c r="M1725" s="68">
        <v>0.72916666666666663</v>
      </c>
      <c r="N1725" s="173" t="str">
        <f t="shared" si="7"/>
        <v>335</v>
      </c>
      <c r="O1725" s="23">
        <f t="shared" si="8"/>
        <v>3060</v>
      </c>
      <c r="P1725" s="70">
        <f t="shared" si="9"/>
        <v>0.42777777777777781</v>
      </c>
      <c r="Q1725" s="70">
        <f t="shared" si="10"/>
        <v>0.72916666666666663</v>
      </c>
      <c r="R1725" s="229" t="str">
        <f t="shared" si="11"/>
        <v>374</v>
      </c>
    </row>
    <row r="1726" spans="1:18" x14ac:dyDescent="0.4">
      <c r="A1726" s="212">
        <v>46042</v>
      </c>
      <c r="B1726" s="139" t="s">
        <v>108</v>
      </c>
      <c r="C1726" s="140" t="s">
        <v>231</v>
      </c>
      <c r="D1726" s="292">
        <v>21</v>
      </c>
      <c r="E1726" s="77">
        <v>3</v>
      </c>
      <c r="F1726" s="1"/>
      <c r="G1726" s="76">
        <v>0.27083333333333331</v>
      </c>
      <c r="H1726" s="76">
        <v>0.67708333333333337</v>
      </c>
      <c r="I1726" s="173" t="str">
        <f t="shared" si="6"/>
        <v>525</v>
      </c>
      <c r="J1726" s="23">
        <v>7</v>
      </c>
      <c r="K1726" s="23"/>
      <c r="L1726" s="68">
        <v>0.3125</v>
      </c>
      <c r="M1726" s="68">
        <v>0.70833333333333337</v>
      </c>
      <c r="N1726" s="173" t="str">
        <f t="shared" si="7"/>
        <v>510</v>
      </c>
      <c r="O1726" s="23">
        <f t="shared" si="8"/>
        <v>5145</v>
      </c>
      <c r="P1726" s="70">
        <f t="shared" si="9"/>
        <v>0.27083333333333331</v>
      </c>
      <c r="Q1726" s="70">
        <f t="shared" si="10"/>
        <v>0.70833333333333337</v>
      </c>
      <c r="R1726" s="229" t="str">
        <f t="shared" si="11"/>
        <v>570</v>
      </c>
    </row>
    <row r="1727" spans="1:18" x14ac:dyDescent="0.4">
      <c r="A1727" s="246">
        <v>46042</v>
      </c>
      <c r="B1727" s="102" t="s">
        <v>434</v>
      </c>
      <c r="C1727" s="136" t="s">
        <v>545</v>
      </c>
      <c r="D1727" s="298">
        <v>50</v>
      </c>
      <c r="E1727" s="103"/>
      <c r="F1727" s="104"/>
      <c r="G1727" s="184"/>
      <c r="H1727" s="184"/>
      <c r="I1727" s="225" t="str">
        <f t="shared" si="6"/>
        <v>0</v>
      </c>
      <c r="J1727" s="105"/>
      <c r="K1727" s="105"/>
      <c r="L1727" s="106"/>
      <c r="M1727" s="106"/>
      <c r="N1727" s="225" t="str">
        <f t="shared" si="7"/>
        <v>0</v>
      </c>
      <c r="O1727" s="105">
        <f t="shared" si="8"/>
        <v>0</v>
      </c>
      <c r="P1727" s="247">
        <f t="shared" si="9"/>
        <v>0</v>
      </c>
      <c r="Q1727" s="247">
        <f t="shared" si="10"/>
        <v>0</v>
      </c>
      <c r="R1727" s="232" t="str">
        <f t="shared" si="11"/>
        <v>0</v>
      </c>
    </row>
    <row r="1728" spans="1:18" x14ac:dyDescent="0.4">
      <c r="A1728" s="246">
        <v>46042</v>
      </c>
      <c r="B1728" s="102" t="s">
        <v>500</v>
      </c>
      <c r="C1728" s="136" t="s">
        <v>506</v>
      </c>
      <c r="D1728" s="298">
        <v>50</v>
      </c>
      <c r="E1728" s="103"/>
      <c r="F1728" s="104"/>
      <c r="G1728" s="184"/>
      <c r="H1728" s="184"/>
      <c r="I1728" s="225" t="str">
        <f t="shared" si="6"/>
        <v>0</v>
      </c>
      <c r="J1728" s="105"/>
      <c r="K1728" s="105"/>
      <c r="L1728" s="106"/>
      <c r="M1728" s="106"/>
      <c r="N1728" s="225" t="str">
        <f t="shared" si="7"/>
        <v>0</v>
      </c>
      <c r="O1728" s="105">
        <f t="shared" si="8"/>
        <v>0</v>
      </c>
      <c r="P1728" s="247">
        <f t="shared" si="9"/>
        <v>0</v>
      </c>
      <c r="Q1728" s="247">
        <f t="shared" si="10"/>
        <v>0</v>
      </c>
      <c r="R1728" s="232" t="str">
        <f t="shared" si="11"/>
        <v>0</v>
      </c>
    </row>
    <row r="1729" spans="1:18" x14ac:dyDescent="0.4">
      <c r="A1729" s="212">
        <v>46043</v>
      </c>
      <c r="B1729" s="139" t="s">
        <v>456</v>
      </c>
      <c r="C1729" s="140" t="s">
        <v>287</v>
      </c>
      <c r="D1729" s="292">
        <v>3</v>
      </c>
      <c r="E1729" s="77">
        <v>4</v>
      </c>
      <c r="F1729" s="1"/>
      <c r="G1729" s="76">
        <v>0.60763888888888895</v>
      </c>
      <c r="H1729" s="76">
        <v>0.70833333333333337</v>
      </c>
      <c r="I1729" s="173" t="str">
        <f t="shared" si="6"/>
        <v>145</v>
      </c>
      <c r="J1729" s="77">
        <v>12</v>
      </c>
      <c r="K1729" s="23"/>
      <c r="L1729" s="68">
        <v>0.5625</v>
      </c>
      <c r="M1729" s="68">
        <v>0.75</v>
      </c>
      <c r="N1729" s="173" t="str">
        <f t="shared" si="7"/>
        <v>270</v>
      </c>
      <c r="O1729" s="23">
        <f t="shared" si="8"/>
        <v>3820</v>
      </c>
      <c r="P1729" s="70">
        <f t="shared" si="9"/>
        <v>0.5625</v>
      </c>
      <c r="Q1729" s="70">
        <f t="shared" si="10"/>
        <v>0.75</v>
      </c>
      <c r="R1729" s="229" t="str">
        <f t="shared" si="11"/>
        <v>270</v>
      </c>
    </row>
    <row r="1730" spans="1:18" x14ac:dyDescent="0.4">
      <c r="A1730" s="212">
        <v>46043</v>
      </c>
      <c r="B1730" s="139" t="s">
        <v>92</v>
      </c>
      <c r="C1730" s="140" t="s">
        <v>296</v>
      </c>
      <c r="D1730" s="292">
        <v>4</v>
      </c>
      <c r="E1730" s="77">
        <v>4</v>
      </c>
      <c r="F1730" s="1"/>
      <c r="G1730" s="76">
        <v>0.54166666666666663</v>
      </c>
      <c r="H1730" s="76">
        <v>0.60763888888888895</v>
      </c>
      <c r="I1730" s="173" t="str">
        <f t="shared" si="6"/>
        <v>95</v>
      </c>
      <c r="J1730" s="77">
        <v>9</v>
      </c>
      <c r="K1730" s="68">
        <v>4.1666666666666664E-2</v>
      </c>
      <c r="L1730" s="68">
        <v>0.54166666666666663</v>
      </c>
      <c r="M1730" s="68">
        <v>0.64583333333333337</v>
      </c>
      <c r="N1730" s="173" t="str">
        <f t="shared" si="7"/>
        <v>210</v>
      </c>
      <c r="O1730" s="23">
        <f t="shared" si="8"/>
        <v>2270</v>
      </c>
      <c r="P1730" s="70">
        <f t="shared" si="9"/>
        <v>0.54166666666666663</v>
      </c>
      <c r="Q1730" s="70">
        <f t="shared" si="10"/>
        <v>0.64583333333333337</v>
      </c>
      <c r="R1730" s="229" t="str">
        <f t="shared" si="11"/>
        <v>150</v>
      </c>
    </row>
    <row r="1731" spans="1:18" x14ac:dyDescent="0.4">
      <c r="A1731" s="212">
        <v>46043</v>
      </c>
      <c r="B1731" s="139" t="s">
        <v>106</v>
      </c>
      <c r="C1731" s="140" t="s">
        <v>173</v>
      </c>
      <c r="D1731" s="292">
        <v>16</v>
      </c>
      <c r="E1731" s="77">
        <v>4</v>
      </c>
      <c r="F1731" s="1"/>
      <c r="G1731" s="76">
        <v>0.29166666666666669</v>
      </c>
      <c r="H1731" s="76">
        <v>0.5</v>
      </c>
      <c r="I1731" s="173" t="str">
        <f t="shared" si="6"/>
        <v>300</v>
      </c>
      <c r="J1731" s="77">
        <v>9</v>
      </c>
      <c r="K1731" s="23"/>
      <c r="L1731" s="68">
        <v>0.3125</v>
      </c>
      <c r="M1731" s="68">
        <v>0.5</v>
      </c>
      <c r="N1731" s="173" t="str">
        <f t="shared" si="7"/>
        <v>270</v>
      </c>
      <c r="O1731" s="23">
        <f t="shared" si="8"/>
        <v>3630</v>
      </c>
      <c r="P1731" s="70">
        <f t="shared" si="9"/>
        <v>0.29166666666666669</v>
      </c>
      <c r="Q1731" s="70">
        <f t="shared" si="10"/>
        <v>0.5</v>
      </c>
      <c r="R1731" s="229" t="str">
        <f t="shared" si="11"/>
        <v>300</v>
      </c>
    </row>
    <row r="1732" spans="1:18" x14ac:dyDescent="0.4">
      <c r="A1732" s="212">
        <v>46043</v>
      </c>
      <c r="B1732" s="139" t="s">
        <v>63</v>
      </c>
      <c r="C1732" s="140" t="s">
        <v>267</v>
      </c>
      <c r="D1732" s="292">
        <v>12</v>
      </c>
      <c r="E1732" s="77">
        <v>5</v>
      </c>
      <c r="F1732" s="1"/>
      <c r="G1732" s="76">
        <v>0.54166666666666663</v>
      </c>
      <c r="H1732" s="76">
        <v>0.63541666666666663</v>
      </c>
      <c r="I1732" s="173" t="str">
        <f t="shared" si="6"/>
        <v>135</v>
      </c>
      <c r="J1732" s="23">
        <v>3</v>
      </c>
      <c r="K1732" s="23"/>
      <c r="L1732" s="68">
        <v>0.56944444444444442</v>
      </c>
      <c r="M1732" s="68">
        <v>0.66666666666666663</v>
      </c>
      <c r="N1732" s="173" t="str">
        <f t="shared" si="7"/>
        <v>140</v>
      </c>
      <c r="O1732" s="23">
        <f t="shared" si="8"/>
        <v>1095</v>
      </c>
      <c r="P1732" s="70">
        <f t="shared" si="9"/>
        <v>0.54166666666666663</v>
      </c>
      <c r="Q1732" s="70">
        <f t="shared" si="10"/>
        <v>0.66666666666666663</v>
      </c>
      <c r="R1732" s="229" t="str">
        <f t="shared" si="11"/>
        <v>180</v>
      </c>
    </row>
    <row r="1733" spans="1:18" x14ac:dyDescent="0.4">
      <c r="A1733" s="212">
        <v>46043</v>
      </c>
      <c r="B1733" s="139" t="s">
        <v>81</v>
      </c>
      <c r="C1733" s="140" t="s">
        <v>235</v>
      </c>
      <c r="D1733" s="292">
        <v>16</v>
      </c>
      <c r="E1733" s="77">
        <v>5</v>
      </c>
      <c r="F1733" s="1"/>
      <c r="G1733" s="76">
        <v>0.63541666666666663</v>
      </c>
      <c r="H1733" s="76">
        <v>0.77083333333333337</v>
      </c>
      <c r="I1733" s="173" t="str">
        <f t="shared" si="6"/>
        <v>195</v>
      </c>
      <c r="J1733" s="23">
        <v>3</v>
      </c>
      <c r="K1733" s="23"/>
      <c r="L1733" s="68">
        <v>0.66666666666666663</v>
      </c>
      <c r="M1733" s="68">
        <v>0.79166666666666663</v>
      </c>
      <c r="N1733" s="173" t="str">
        <f t="shared" si="7"/>
        <v>180</v>
      </c>
      <c r="O1733" s="23">
        <f t="shared" si="8"/>
        <v>1515</v>
      </c>
      <c r="P1733" s="70">
        <f t="shared" si="9"/>
        <v>0.63541666666666663</v>
      </c>
      <c r="Q1733" s="70">
        <f t="shared" si="10"/>
        <v>0.79166666666666663</v>
      </c>
      <c r="R1733" s="229" t="str">
        <f t="shared" si="11"/>
        <v>225</v>
      </c>
    </row>
    <row r="1734" spans="1:18" x14ac:dyDescent="0.4">
      <c r="A1734" s="212">
        <v>46043</v>
      </c>
      <c r="B1734" s="139" t="s">
        <v>75</v>
      </c>
      <c r="C1734" s="140" t="s">
        <v>229</v>
      </c>
      <c r="D1734" s="292">
        <v>20</v>
      </c>
      <c r="E1734" s="77">
        <v>5</v>
      </c>
      <c r="F1734" s="1"/>
      <c r="G1734" s="76">
        <v>0.29166666666666669</v>
      </c>
      <c r="H1734" s="76">
        <v>0.5</v>
      </c>
      <c r="I1734" s="173" t="str">
        <f t="shared" si="6"/>
        <v>300</v>
      </c>
      <c r="J1734" s="23">
        <v>3</v>
      </c>
      <c r="K1734" s="23"/>
      <c r="L1734" s="68">
        <v>0.3125</v>
      </c>
      <c r="M1734" s="68">
        <v>0.56944444444444442</v>
      </c>
      <c r="N1734" s="173" t="str">
        <f t="shared" si="7"/>
        <v>310</v>
      </c>
      <c r="O1734" s="23">
        <f t="shared" si="8"/>
        <v>2430</v>
      </c>
      <c r="P1734" s="70">
        <f t="shared" si="9"/>
        <v>0.29166666666666669</v>
      </c>
      <c r="Q1734" s="70">
        <f t="shared" si="10"/>
        <v>0.56944444444444442</v>
      </c>
      <c r="R1734" s="229" t="str">
        <f t="shared" si="11"/>
        <v>340</v>
      </c>
    </row>
    <row r="1735" spans="1:18" x14ac:dyDescent="0.4">
      <c r="A1735" s="212">
        <v>46043</v>
      </c>
      <c r="B1735" s="139" t="s">
        <v>65</v>
      </c>
      <c r="C1735" s="140" t="s">
        <v>189</v>
      </c>
      <c r="D1735" s="292">
        <v>72</v>
      </c>
      <c r="E1735" s="77">
        <v>7</v>
      </c>
      <c r="F1735" s="76">
        <v>2.7777777777777776E-2</v>
      </c>
      <c r="G1735" s="76">
        <v>0.29166666666666669</v>
      </c>
      <c r="H1735" s="76">
        <v>0.68402777777777779</v>
      </c>
      <c r="I1735" s="173" t="str">
        <f t="shared" si="6"/>
        <v>545</v>
      </c>
      <c r="J1735" s="23">
        <v>4</v>
      </c>
      <c r="K1735" s="23"/>
      <c r="L1735" s="68">
        <v>0.29166666666666669</v>
      </c>
      <c r="M1735" s="68">
        <v>0.72222222222222221</v>
      </c>
      <c r="N1735" s="173" t="str">
        <f t="shared" si="7"/>
        <v>560</v>
      </c>
      <c r="O1735" s="23">
        <f t="shared" si="8"/>
        <v>6055</v>
      </c>
      <c r="P1735" s="70">
        <f t="shared" si="9"/>
        <v>0.29166666666666669</v>
      </c>
      <c r="Q1735" s="70">
        <f t="shared" si="10"/>
        <v>0.72222222222222221</v>
      </c>
      <c r="R1735" s="229" t="str">
        <f t="shared" si="11"/>
        <v>560</v>
      </c>
    </row>
    <row r="1736" spans="1:18" x14ac:dyDescent="0.4">
      <c r="A1736" s="246">
        <v>46043</v>
      </c>
      <c r="B1736" s="102">
        <v>111060</v>
      </c>
      <c r="C1736" s="136" t="s">
        <v>1187</v>
      </c>
      <c r="D1736" s="298">
        <v>1</v>
      </c>
      <c r="E1736" s="103"/>
      <c r="F1736" s="104"/>
      <c r="G1736" s="184"/>
      <c r="H1736" s="184"/>
      <c r="I1736" s="225" t="str">
        <f t="shared" si="6"/>
        <v>0</v>
      </c>
      <c r="J1736" s="105"/>
      <c r="K1736" s="105"/>
      <c r="L1736" s="106"/>
      <c r="M1736" s="106"/>
      <c r="N1736" s="225" t="str">
        <f t="shared" si="7"/>
        <v>0</v>
      </c>
      <c r="O1736" s="105">
        <f t="shared" si="8"/>
        <v>0</v>
      </c>
      <c r="P1736" s="247">
        <f t="shared" si="9"/>
        <v>0</v>
      </c>
      <c r="Q1736" s="247">
        <f t="shared" si="10"/>
        <v>0</v>
      </c>
      <c r="R1736" s="232" t="str">
        <f t="shared" si="11"/>
        <v>0</v>
      </c>
    </row>
    <row r="1737" spans="1:18" x14ac:dyDescent="0.4">
      <c r="A1737" s="212">
        <v>46044</v>
      </c>
      <c r="B1737" s="139" t="s">
        <v>68</v>
      </c>
      <c r="C1737" s="140" t="s">
        <v>185</v>
      </c>
      <c r="D1737" s="292">
        <v>20</v>
      </c>
      <c r="E1737" s="77">
        <v>5</v>
      </c>
      <c r="F1737" s="1"/>
      <c r="G1737" s="76">
        <v>0.29166666666666669</v>
      </c>
      <c r="H1737" s="76">
        <v>0.5</v>
      </c>
      <c r="I1737" s="173" t="str">
        <f t="shared" si="6"/>
        <v>300</v>
      </c>
      <c r="J1737" s="23">
        <v>5</v>
      </c>
      <c r="K1737" s="23"/>
      <c r="L1737" s="68">
        <v>0.3125</v>
      </c>
      <c r="M1737" s="68">
        <v>0.5625</v>
      </c>
      <c r="N1737" s="173" t="str">
        <f t="shared" si="7"/>
        <v>300</v>
      </c>
      <c r="O1737" s="23">
        <f t="shared" si="8"/>
        <v>3000</v>
      </c>
      <c r="P1737" s="70">
        <f t="shared" si="9"/>
        <v>0.29166666666666669</v>
      </c>
      <c r="Q1737" s="70">
        <f t="shared" si="10"/>
        <v>0.5625</v>
      </c>
      <c r="R1737" s="229" t="str">
        <f t="shared" si="11"/>
        <v>330</v>
      </c>
    </row>
    <row r="1738" spans="1:18" x14ac:dyDescent="0.4">
      <c r="A1738" s="212">
        <v>46044</v>
      </c>
      <c r="B1738" s="139" t="s">
        <v>51</v>
      </c>
      <c r="C1738" s="140" t="s">
        <v>253</v>
      </c>
      <c r="D1738" s="292">
        <v>20</v>
      </c>
      <c r="E1738" s="77">
        <v>4</v>
      </c>
      <c r="F1738" s="1"/>
      <c r="G1738" s="76">
        <v>0.54166666666666663</v>
      </c>
      <c r="H1738" s="76">
        <v>0.70833333333333337</v>
      </c>
      <c r="I1738" s="173" t="str">
        <f t="shared" si="6"/>
        <v>240</v>
      </c>
      <c r="J1738" s="23">
        <v>3</v>
      </c>
      <c r="K1738" s="23"/>
      <c r="L1738" s="68">
        <v>0.5625</v>
      </c>
      <c r="M1738" s="68">
        <v>0.72916666666666663</v>
      </c>
      <c r="N1738" s="173" t="str">
        <f t="shared" si="7"/>
        <v>240</v>
      </c>
      <c r="O1738" s="23">
        <f t="shared" si="8"/>
        <v>1680</v>
      </c>
      <c r="P1738" s="70">
        <f t="shared" si="9"/>
        <v>0.54166666666666663</v>
      </c>
      <c r="Q1738" s="70">
        <f t="shared" si="10"/>
        <v>0.72916666666666663</v>
      </c>
      <c r="R1738" s="229" t="str">
        <f t="shared" si="11"/>
        <v>270</v>
      </c>
    </row>
    <row r="1739" spans="1:18" x14ac:dyDescent="0.4">
      <c r="A1739" s="212">
        <v>46044</v>
      </c>
      <c r="B1739" s="139" t="s">
        <v>63</v>
      </c>
      <c r="C1739" s="140" t="s">
        <v>267</v>
      </c>
      <c r="D1739" s="292">
        <v>24</v>
      </c>
      <c r="E1739" s="77">
        <v>5</v>
      </c>
      <c r="F1739" s="1"/>
      <c r="G1739" s="76">
        <v>0.29166666666666669</v>
      </c>
      <c r="H1739" s="76">
        <v>0.5</v>
      </c>
      <c r="I1739" s="173" t="str">
        <f t="shared" si="6"/>
        <v>300</v>
      </c>
      <c r="J1739" s="23">
        <v>3</v>
      </c>
      <c r="K1739" s="23"/>
      <c r="L1739" s="68">
        <v>0.3125</v>
      </c>
      <c r="M1739" s="68">
        <v>0.5625</v>
      </c>
      <c r="N1739" s="173" t="str">
        <f t="shared" si="7"/>
        <v>300</v>
      </c>
      <c r="O1739" s="23">
        <f t="shared" si="8"/>
        <v>2400</v>
      </c>
      <c r="P1739" s="70">
        <f t="shared" si="9"/>
        <v>0.29166666666666669</v>
      </c>
      <c r="Q1739" s="70">
        <f t="shared" si="10"/>
        <v>0.5625</v>
      </c>
      <c r="R1739" s="229" t="str">
        <f t="shared" si="11"/>
        <v>330</v>
      </c>
    </row>
    <row r="1740" spans="1:18" x14ac:dyDescent="0.4">
      <c r="A1740" s="212">
        <v>46044</v>
      </c>
      <c r="B1740" s="139" t="s">
        <v>536</v>
      </c>
      <c r="C1740" s="140" t="s">
        <v>306</v>
      </c>
      <c r="D1740" s="292">
        <v>6</v>
      </c>
      <c r="E1740" s="77">
        <v>2</v>
      </c>
      <c r="F1740" s="1"/>
      <c r="G1740" s="76">
        <v>0.41666666666666669</v>
      </c>
      <c r="H1740" s="76">
        <v>0.63194444444444442</v>
      </c>
      <c r="I1740" s="173" t="str">
        <f t="shared" si="6"/>
        <v>250</v>
      </c>
      <c r="J1740" s="23">
        <v>8</v>
      </c>
      <c r="K1740" s="23"/>
      <c r="L1740" s="68">
        <v>0.54166666666666663</v>
      </c>
      <c r="M1740" s="68">
        <v>0.72916666666666663</v>
      </c>
      <c r="N1740" s="173" t="str">
        <f t="shared" si="7"/>
        <v>270</v>
      </c>
      <c r="O1740" s="23">
        <f t="shared" si="8"/>
        <v>2660</v>
      </c>
      <c r="P1740" s="70">
        <f t="shared" si="9"/>
        <v>0.41666666666666669</v>
      </c>
      <c r="Q1740" s="70">
        <f t="shared" si="10"/>
        <v>0.72916666666666663</v>
      </c>
      <c r="R1740" s="229" t="str">
        <f t="shared" si="11"/>
        <v>390</v>
      </c>
    </row>
    <row r="1741" spans="1:18" x14ac:dyDescent="0.4">
      <c r="A1741" s="212">
        <v>46044</v>
      </c>
      <c r="B1741" s="139" t="s">
        <v>1196</v>
      </c>
      <c r="C1741" s="140" t="s">
        <v>165</v>
      </c>
      <c r="D1741" s="292">
        <v>12</v>
      </c>
      <c r="E1741" s="77">
        <v>3</v>
      </c>
      <c r="F1741" s="76">
        <v>6.9444444444444441E-3</v>
      </c>
      <c r="G1741" s="416">
        <v>0.29166666666666669</v>
      </c>
      <c r="H1741" s="416">
        <v>0.39930555555555558</v>
      </c>
      <c r="I1741" s="173" t="str">
        <f t="shared" si="6"/>
        <v>165</v>
      </c>
      <c r="J1741" s="23">
        <v>6</v>
      </c>
      <c r="K1741" s="23"/>
      <c r="L1741" s="68">
        <v>0.29166666666666669</v>
      </c>
      <c r="M1741" s="68">
        <v>0.43402777777777773</v>
      </c>
      <c r="N1741" s="173" t="str">
        <f t="shared" si="7"/>
        <v>205</v>
      </c>
      <c r="O1741" s="23">
        <f t="shared" si="8"/>
        <v>1725</v>
      </c>
      <c r="P1741" s="70">
        <f t="shared" si="9"/>
        <v>0.29166666666666669</v>
      </c>
      <c r="Q1741" s="70">
        <f t="shared" si="10"/>
        <v>0.43402777777777773</v>
      </c>
      <c r="R1741" s="229" t="str">
        <f t="shared" si="11"/>
        <v>205</v>
      </c>
    </row>
    <row r="1742" spans="1:18" x14ac:dyDescent="0.4">
      <c r="A1742" s="212">
        <v>46044</v>
      </c>
      <c r="B1742" s="139" t="s">
        <v>58</v>
      </c>
      <c r="C1742" s="140" t="s">
        <v>165</v>
      </c>
      <c r="D1742" s="292">
        <v>32</v>
      </c>
      <c r="E1742" s="77">
        <v>3</v>
      </c>
      <c r="F1742" s="76">
        <v>2.0833333333333332E-2</v>
      </c>
      <c r="G1742" s="416">
        <v>0.39930555555555558</v>
      </c>
      <c r="H1742" s="416">
        <v>0.67361111111111116</v>
      </c>
      <c r="I1742" s="173" t="str">
        <f t="shared" si="6"/>
        <v>365</v>
      </c>
      <c r="J1742" s="23">
        <v>6</v>
      </c>
      <c r="K1742" s="23"/>
      <c r="L1742" s="68">
        <v>0.43402777777777773</v>
      </c>
      <c r="M1742" s="68">
        <v>0.73611111111111116</v>
      </c>
      <c r="N1742" s="173" t="str">
        <f t="shared" si="7"/>
        <v>375</v>
      </c>
      <c r="O1742" s="23">
        <f t="shared" si="8"/>
        <v>3345</v>
      </c>
      <c r="P1742" s="70">
        <f t="shared" si="9"/>
        <v>0.39930555555555558</v>
      </c>
      <c r="Q1742" s="70">
        <f t="shared" si="10"/>
        <v>0.73611111111111116</v>
      </c>
      <c r="R1742" s="229" t="str">
        <f t="shared" si="11"/>
        <v>425</v>
      </c>
    </row>
    <row r="1743" spans="1:18" x14ac:dyDescent="0.4">
      <c r="A1743" s="212">
        <v>46045</v>
      </c>
      <c r="B1743" s="139" t="s">
        <v>91</v>
      </c>
      <c r="C1743" s="140" t="s">
        <v>163</v>
      </c>
      <c r="D1743" s="292">
        <v>16</v>
      </c>
      <c r="E1743" s="77">
        <v>4</v>
      </c>
      <c r="F1743" s="1"/>
      <c r="G1743" s="76">
        <v>0.54166666666666663</v>
      </c>
      <c r="H1743" s="76">
        <v>0.70833333333333337</v>
      </c>
      <c r="I1743" s="173" t="str">
        <f t="shared" si="6"/>
        <v>240</v>
      </c>
      <c r="J1743" s="23">
        <v>9</v>
      </c>
      <c r="K1743" s="23"/>
      <c r="L1743" s="68">
        <v>0.54166666666666663</v>
      </c>
      <c r="M1743" s="68">
        <v>0.75</v>
      </c>
      <c r="N1743" s="173" t="str">
        <f t="shared" si="7"/>
        <v>300</v>
      </c>
      <c r="O1743" s="23">
        <f t="shared" si="8"/>
        <v>3660</v>
      </c>
      <c r="P1743" s="70">
        <f t="shared" si="9"/>
        <v>0.54166666666666663</v>
      </c>
      <c r="Q1743" s="70">
        <f t="shared" si="10"/>
        <v>0.75</v>
      </c>
      <c r="R1743" s="229" t="str">
        <f t="shared" si="11"/>
        <v>300</v>
      </c>
    </row>
    <row r="1744" spans="1:18" x14ac:dyDescent="0.4">
      <c r="A1744" s="212">
        <v>46045</v>
      </c>
      <c r="B1744" s="139" t="s">
        <v>61</v>
      </c>
      <c r="C1744" s="140" t="s">
        <v>156</v>
      </c>
      <c r="D1744" s="292">
        <v>20</v>
      </c>
      <c r="E1744" s="77">
        <v>4</v>
      </c>
      <c r="F1744" s="1"/>
      <c r="G1744" s="76">
        <v>0.29166666666666669</v>
      </c>
      <c r="H1744" s="76">
        <v>0.5</v>
      </c>
      <c r="I1744" s="173" t="str">
        <f t="shared" si="6"/>
        <v>300</v>
      </c>
      <c r="J1744" s="23">
        <v>10</v>
      </c>
      <c r="K1744" s="23"/>
      <c r="L1744" s="68">
        <v>0.3125</v>
      </c>
      <c r="M1744" s="68">
        <v>0.5</v>
      </c>
      <c r="N1744" s="173" t="str">
        <f t="shared" si="7"/>
        <v>270</v>
      </c>
      <c r="O1744" s="23">
        <f t="shared" si="8"/>
        <v>3900</v>
      </c>
      <c r="P1744" s="70">
        <f t="shared" si="9"/>
        <v>0.29166666666666669</v>
      </c>
      <c r="Q1744" s="70">
        <f t="shared" si="10"/>
        <v>0.5</v>
      </c>
      <c r="R1744" s="229" t="str">
        <f t="shared" si="11"/>
        <v>300</v>
      </c>
    </row>
    <row r="1745" spans="1:18" x14ac:dyDescent="0.4">
      <c r="A1745" s="212">
        <v>46045</v>
      </c>
      <c r="B1745" s="139" t="s">
        <v>965</v>
      </c>
      <c r="C1745" s="140" t="s">
        <v>966</v>
      </c>
      <c r="D1745" s="292">
        <v>24</v>
      </c>
      <c r="E1745" s="77">
        <v>5</v>
      </c>
      <c r="F1745" s="1"/>
      <c r="G1745" s="76">
        <v>0.29166666666666669</v>
      </c>
      <c r="H1745" s="76">
        <v>0.48888888888888887</v>
      </c>
      <c r="I1745" s="173" t="str">
        <f t="shared" si="6"/>
        <v>284</v>
      </c>
      <c r="J1745" s="23">
        <v>3</v>
      </c>
      <c r="K1745" s="23"/>
      <c r="L1745" s="68">
        <v>0.3125</v>
      </c>
      <c r="M1745" s="68">
        <v>0.56944444444444442</v>
      </c>
      <c r="N1745" s="173" t="str">
        <f t="shared" si="7"/>
        <v>310</v>
      </c>
      <c r="O1745" s="23">
        <f t="shared" si="8"/>
        <v>2350</v>
      </c>
      <c r="P1745" s="70">
        <f t="shared" si="9"/>
        <v>0.29166666666666669</v>
      </c>
      <c r="Q1745" s="70">
        <f t="shared" si="10"/>
        <v>0.56944444444444442</v>
      </c>
      <c r="R1745" s="229" t="str">
        <f t="shared" si="11"/>
        <v>340</v>
      </c>
    </row>
    <row r="1746" spans="1:18" x14ac:dyDescent="0.4">
      <c r="A1746" s="212">
        <v>46045</v>
      </c>
      <c r="B1746" s="139" t="s">
        <v>63</v>
      </c>
      <c r="C1746" s="140" t="s">
        <v>267</v>
      </c>
      <c r="D1746" s="292">
        <v>24</v>
      </c>
      <c r="E1746" s="77">
        <v>5</v>
      </c>
      <c r="F1746" s="1"/>
      <c r="G1746" s="76">
        <v>0.54166666666666663</v>
      </c>
      <c r="H1746" s="76">
        <v>0.75</v>
      </c>
      <c r="I1746" s="173" t="str">
        <f t="shared" si="6"/>
        <v>300</v>
      </c>
      <c r="J1746" s="23">
        <v>3</v>
      </c>
      <c r="K1746" s="23"/>
      <c r="L1746" s="68">
        <v>0.56944444444444442</v>
      </c>
      <c r="M1746" s="68">
        <v>0.77083333333333337</v>
      </c>
      <c r="N1746" s="173" t="str">
        <f t="shared" si="7"/>
        <v>290</v>
      </c>
      <c r="O1746" s="23">
        <f t="shared" si="8"/>
        <v>2370</v>
      </c>
      <c r="P1746" s="70">
        <f t="shared" si="9"/>
        <v>0.54166666666666663</v>
      </c>
      <c r="Q1746" s="70">
        <f t="shared" si="10"/>
        <v>0.77083333333333337</v>
      </c>
      <c r="R1746" s="229" t="str">
        <f t="shared" si="11"/>
        <v>330</v>
      </c>
    </row>
    <row r="1747" spans="1:18" x14ac:dyDescent="0.4">
      <c r="A1747" s="212">
        <v>46045</v>
      </c>
      <c r="B1747" s="139" t="s">
        <v>131</v>
      </c>
      <c r="C1747" s="140" t="s">
        <v>274</v>
      </c>
      <c r="D1747" s="292">
        <v>28</v>
      </c>
      <c r="E1747" s="77">
        <v>3</v>
      </c>
      <c r="F1747" s="76">
        <v>3.4722222222222224E-2</v>
      </c>
      <c r="G1747" s="76">
        <v>0.29166666666666669</v>
      </c>
      <c r="H1747" s="76">
        <v>0.4236111111111111</v>
      </c>
      <c r="I1747" s="173" t="str">
        <f t="shared" si="6"/>
        <v>240</v>
      </c>
      <c r="J1747" s="23">
        <v>4</v>
      </c>
      <c r="K1747" s="23"/>
      <c r="L1747" s="68">
        <v>0.29166666666666669</v>
      </c>
      <c r="M1747" s="68">
        <v>0.45833333333333331</v>
      </c>
      <c r="N1747" s="173" t="str">
        <f t="shared" si="7"/>
        <v>240</v>
      </c>
      <c r="O1747" s="23">
        <f t="shared" si="8"/>
        <v>1680</v>
      </c>
      <c r="P1747" s="70">
        <f t="shared" si="9"/>
        <v>0.29166666666666669</v>
      </c>
      <c r="Q1747" s="70">
        <f t="shared" si="10"/>
        <v>0.45833333333333331</v>
      </c>
      <c r="R1747" s="229" t="str">
        <f t="shared" si="11"/>
        <v>240</v>
      </c>
    </row>
    <row r="1748" spans="1:18" x14ac:dyDescent="0.4">
      <c r="A1748" s="212">
        <v>46045</v>
      </c>
      <c r="B1748" s="139" t="s">
        <v>65</v>
      </c>
      <c r="C1748" s="140" t="s">
        <v>189</v>
      </c>
      <c r="D1748" s="292">
        <v>44</v>
      </c>
      <c r="E1748" s="77">
        <v>3</v>
      </c>
      <c r="F1748" s="1"/>
      <c r="G1748" s="76">
        <v>0.4236111111111111</v>
      </c>
      <c r="H1748" s="76">
        <v>0.67361111111111116</v>
      </c>
      <c r="I1748" s="173" t="str">
        <f t="shared" si="6"/>
        <v>300</v>
      </c>
      <c r="J1748" s="23">
        <v>4</v>
      </c>
      <c r="K1748" s="23"/>
      <c r="L1748" s="68">
        <v>0.45833333333333331</v>
      </c>
      <c r="M1748" s="68">
        <v>0.71180555555555547</v>
      </c>
      <c r="N1748" s="173" t="str">
        <f t="shared" si="7"/>
        <v>305</v>
      </c>
      <c r="O1748" s="23">
        <f t="shared" si="8"/>
        <v>2120</v>
      </c>
      <c r="P1748" s="70">
        <f t="shared" si="9"/>
        <v>0.4236111111111111</v>
      </c>
      <c r="Q1748" s="70">
        <f t="shared" si="10"/>
        <v>0.71180555555555547</v>
      </c>
      <c r="R1748" s="229" t="str">
        <f t="shared" si="11"/>
        <v>355</v>
      </c>
    </row>
    <row r="1749" spans="1:18" x14ac:dyDescent="0.4">
      <c r="A1749" s="246">
        <v>46045</v>
      </c>
      <c r="B1749" s="102">
        <v>111050</v>
      </c>
      <c r="C1749" s="136" t="s">
        <v>481</v>
      </c>
      <c r="D1749" s="298">
        <v>400</v>
      </c>
      <c r="E1749" s="103"/>
      <c r="F1749" s="104"/>
      <c r="G1749" s="184"/>
      <c r="H1749" s="184"/>
      <c r="I1749" s="225" t="str">
        <f t="shared" si="6"/>
        <v>0</v>
      </c>
      <c r="J1749" s="105"/>
      <c r="K1749" s="105"/>
      <c r="L1749" s="106"/>
      <c r="M1749" s="106"/>
      <c r="N1749" s="225" t="str">
        <f t="shared" si="7"/>
        <v>0</v>
      </c>
      <c r="O1749" s="105">
        <f t="shared" si="8"/>
        <v>0</v>
      </c>
      <c r="P1749" s="247">
        <f t="shared" si="9"/>
        <v>0</v>
      </c>
      <c r="Q1749" s="247">
        <f t="shared" si="10"/>
        <v>0</v>
      </c>
      <c r="R1749" s="232" t="str">
        <f t="shared" si="11"/>
        <v>0</v>
      </c>
    </row>
    <row r="1750" spans="1:18" x14ac:dyDescent="0.4">
      <c r="A1750" s="212">
        <v>46048</v>
      </c>
      <c r="B1750" s="139" t="s">
        <v>71</v>
      </c>
      <c r="C1750" s="140" t="s">
        <v>176</v>
      </c>
      <c r="D1750" s="292">
        <v>72</v>
      </c>
      <c r="E1750" s="77">
        <v>6</v>
      </c>
      <c r="F1750" s="1"/>
      <c r="G1750" s="76">
        <v>0.29166666666666669</v>
      </c>
      <c r="H1750" s="76">
        <v>0.70833333333333337</v>
      </c>
      <c r="I1750" s="173" t="str">
        <f t="shared" si="6"/>
        <v>540</v>
      </c>
      <c r="J1750" s="23">
        <v>5</v>
      </c>
      <c r="K1750" s="23"/>
      <c r="L1750" s="68">
        <v>0.3125</v>
      </c>
      <c r="M1750" s="68">
        <v>0.72916666666666663</v>
      </c>
      <c r="N1750" s="173" t="str">
        <f t="shared" si="7"/>
        <v>540</v>
      </c>
      <c r="O1750" s="23">
        <f t="shared" si="8"/>
        <v>5940</v>
      </c>
      <c r="P1750" s="70">
        <f t="shared" si="9"/>
        <v>0.29166666666666669</v>
      </c>
      <c r="Q1750" s="70">
        <f t="shared" si="10"/>
        <v>0.72916666666666663</v>
      </c>
      <c r="R1750" s="229" t="str">
        <f t="shared" si="11"/>
        <v>570</v>
      </c>
    </row>
    <row r="1751" spans="1:18" x14ac:dyDescent="0.4">
      <c r="A1751" s="212">
        <v>46048</v>
      </c>
      <c r="B1751" s="139" t="s">
        <v>1046</v>
      </c>
      <c r="C1751" s="140" t="s">
        <v>1057</v>
      </c>
      <c r="D1751" s="292">
        <v>24</v>
      </c>
      <c r="E1751" s="77">
        <v>5</v>
      </c>
      <c r="F1751" s="1"/>
      <c r="G1751" s="76">
        <v>0.29166666666666669</v>
      </c>
      <c r="H1751" s="76">
        <v>0.5</v>
      </c>
      <c r="I1751" s="173" t="str">
        <f t="shared" si="6"/>
        <v>300</v>
      </c>
      <c r="J1751" s="23">
        <v>3</v>
      </c>
      <c r="K1751" s="23"/>
      <c r="L1751" s="68">
        <v>0.3125</v>
      </c>
      <c r="M1751" s="68">
        <v>0.56944444444444442</v>
      </c>
      <c r="N1751" s="173" t="str">
        <f t="shared" si="7"/>
        <v>310</v>
      </c>
      <c r="O1751" s="23">
        <f t="shared" si="8"/>
        <v>2430</v>
      </c>
      <c r="P1751" s="70">
        <f t="shared" si="9"/>
        <v>0.29166666666666669</v>
      </c>
      <c r="Q1751" s="70">
        <f t="shared" si="10"/>
        <v>0.56944444444444442</v>
      </c>
      <c r="R1751" s="229" t="str">
        <f t="shared" si="11"/>
        <v>340</v>
      </c>
    </row>
    <row r="1752" spans="1:18" x14ac:dyDescent="0.4">
      <c r="A1752" s="212">
        <v>46048</v>
      </c>
      <c r="B1752" s="139" t="s">
        <v>63</v>
      </c>
      <c r="C1752" s="140" t="s">
        <v>267</v>
      </c>
      <c r="D1752" s="292">
        <v>20</v>
      </c>
      <c r="E1752" s="77">
        <v>5</v>
      </c>
      <c r="F1752" s="1"/>
      <c r="G1752" s="76">
        <v>0.54166666666666663</v>
      </c>
      <c r="H1752" s="76">
        <v>0.70833333333333337</v>
      </c>
      <c r="I1752" s="173" t="str">
        <f t="shared" si="6"/>
        <v>240</v>
      </c>
      <c r="J1752" s="23">
        <v>3</v>
      </c>
      <c r="K1752" s="23"/>
      <c r="L1752" s="68">
        <v>0.56944444444444442</v>
      </c>
      <c r="M1752" s="68">
        <v>0.72916666666666663</v>
      </c>
      <c r="N1752" s="173" t="str">
        <f t="shared" si="7"/>
        <v>230</v>
      </c>
      <c r="O1752" s="23">
        <f t="shared" si="8"/>
        <v>1890</v>
      </c>
      <c r="P1752" s="70">
        <f t="shared" si="9"/>
        <v>0.54166666666666663</v>
      </c>
      <c r="Q1752" s="70">
        <f t="shared" si="10"/>
        <v>0.72916666666666663</v>
      </c>
      <c r="R1752" s="229" t="str">
        <f t="shared" si="11"/>
        <v>270</v>
      </c>
    </row>
    <row r="1753" spans="1:18" x14ac:dyDescent="0.4">
      <c r="A1753" s="212">
        <v>46048</v>
      </c>
      <c r="B1753" s="139" t="s">
        <v>110</v>
      </c>
      <c r="C1753" s="140" t="s">
        <v>231</v>
      </c>
      <c r="D1753" s="292">
        <v>21</v>
      </c>
      <c r="E1753" s="77">
        <v>3</v>
      </c>
      <c r="F1753" s="76">
        <v>2.0833333333333332E-2</v>
      </c>
      <c r="G1753" s="76">
        <v>0.29166666666666669</v>
      </c>
      <c r="H1753" s="76">
        <v>0.6875</v>
      </c>
      <c r="I1753" s="173" t="str">
        <f t="shared" si="6"/>
        <v>540</v>
      </c>
      <c r="J1753" s="23">
        <v>5</v>
      </c>
      <c r="K1753" s="23"/>
      <c r="L1753" s="68">
        <v>0.3125</v>
      </c>
      <c r="M1753" s="68">
        <v>0.75</v>
      </c>
      <c r="N1753" s="173" t="str">
        <f t="shared" si="7"/>
        <v>570</v>
      </c>
      <c r="O1753" s="23">
        <f t="shared" si="8"/>
        <v>4470</v>
      </c>
      <c r="P1753" s="70">
        <f t="shared" si="9"/>
        <v>0.29166666666666669</v>
      </c>
      <c r="Q1753" s="70">
        <f t="shared" si="10"/>
        <v>0.75</v>
      </c>
      <c r="R1753" s="229" t="str">
        <f t="shared" si="11"/>
        <v>600</v>
      </c>
    </row>
    <row r="1754" spans="1:18" x14ac:dyDescent="0.4">
      <c r="A1754" s="246">
        <v>46048</v>
      </c>
      <c r="B1754" s="102">
        <v>153010</v>
      </c>
      <c r="C1754" s="136" t="s">
        <v>484</v>
      </c>
      <c r="D1754" s="298">
        <v>1</v>
      </c>
      <c r="E1754" s="103"/>
      <c r="F1754" s="104"/>
      <c r="G1754" s="184"/>
      <c r="H1754" s="184"/>
      <c r="I1754" s="225" t="str">
        <f t="shared" si="6"/>
        <v>0</v>
      </c>
      <c r="J1754" s="105"/>
      <c r="K1754" s="105"/>
      <c r="L1754" s="106"/>
      <c r="M1754" s="106"/>
      <c r="N1754" s="225" t="str">
        <f t="shared" si="7"/>
        <v>0</v>
      </c>
      <c r="O1754" s="105">
        <f t="shared" si="8"/>
        <v>0</v>
      </c>
      <c r="P1754" s="247">
        <f t="shared" si="9"/>
        <v>0</v>
      </c>
      <c r="Q1754" s="247">
        <f t="shared" si="10"/>
        <v>0</v>
      </c>
      <c r="R1754" s="232" t="str">
        <f t="shared" si="11"/>
        <v>0</v>
      </c>
    </row>
    <row r="1755" spans="1:18" x14ac:dyDescent="0.4">
      <c r="A1755" s="212">
        <v>46049</v>
      </c>
      <c r="B1755" s="139" t="s">
        <v>61</v>
      </c>
      <c r="C1755" s="140" t="s">
        <v>156</v>
      </c>
      <c r="D1755" s="292">
        <v>44</v>
      </c>
      <c r="E1755" s="77">
        <v>4</v>
      </c>
      <c r="F1755" s="1"/>
      <c r="G1755" s="76">
        <v>0.29166666666666669</v>
      </c>
      <c r="H1755" s="76">
        <v>0.70833333333333337</v>
      </c>
      <c r="I1755" s="173" t="str">
        <f t="shared" si="6"/>
        <v>540</v>
      </c>
      <c r="J1755" s="23">
        <v>10</v>
      </c>
      <c r="K1755" s="23"/>
      <c r="L1755" s="68">
        <v>0.3125</v>
      </c>
      <c r="M1755" s="68">
        <v>0.72916666666666663</v>
      </c>
      <c r="N1755" s="173" t="str">
        <f t="shared" si="7"/>
        <v>540</v>
      </c>
      <c r="O1755" s="23">
        <f t="shared" si="8"/>
        <v>7560</v>
      </c>
      <c r="P1755" s="70">
        <f t="shared" si="9"/>
        <v>0.29166666666666669</v>
      </c>
      <c r="Q1755" s="70">
        <f t="shared" si="10"/>
        <v>0.72916666666666663</v>
      </c>
      <c r="R1755" s="229" t="str">
        <f t="shared" si="11"/>
        <v>570</v>
      </c>
    </row>
    <row r="1756" spans="1:18" x14ac:dyDescent="0.4">
      <c r="A1756" s="212">
        <v>46049</v>
      </c>
      <c r="B1756" s="139" t="s">
        <v>63</v>
      </c>
      <c r="C1756" s="140" t="s">
        <v>267</v>
      </c>
      <c r="D1756" s="292">
        <v>20</v>
      </c>
      <c r="E1756" s="77">
        <v>5</v>
      </c>
      <c r="F1756" s="1"/>
      <c r="G1756" s="76">
        <v>0.54166666666666663</v>
      </c>
      <c r="H1756" s="76">
        <v>0.70833333333333337</v>
      </c>
      <c r="I1756" s="173" t="str">
        <f t="shared" si="6"/>
        <v>240</v>
      </c>
      <c r="J1756" s="23">
        <v>3</v>
      </c>
      <c r="K1756" s="23"/>
      <c r="L1756" s="68">
        <v>0.56944444444444442</v>
      </c>
      <c r="M1756" s="68">
        <v>0.72916666666666663</v>
      </c>
      <c r="N1756" s="173" t="str">
        <f t="shared" si="7"/>
        <v>230</v>
      </c>
      <c r="O1756" s="23">
        <f t="shared" si="8"/>
        <v>1890</v>
      </c>
      <c r="P1756" s="70">
        <f t="shared" si="9"/>
        <v>0.54166666666666663</v>
      </c>
      <c r="Q1756" s="70">
        <f t="shared" si="10"/>
        <v>0.72916666666666663</v>
      </c>
      <c r="R1756" s="229" t="str">
        <f t="shared" si="11"/>
        <v>270</v>
      </c>
    </row>
    <row r="1757" spans="1:18" x14ac:dyDescent="0.4">
      <c r="A1757" s="212">
        <v>46049</v>
      </c>
      <c r="B1757" s="139" t="s">
        <v>76</v>
      </c>
      <c r="C1757" s="140" t="s">
        <v>224</v>
      </c>
      <c r="D1757" s="292">
        <v>6</v>
      </c>
      <c r="E1757" s="77">
        <v>5</v>
      </c>
      <c r="F1757" s="1"/>
      <c r="G1757" s="76">
        <v>0.42569444444444443</v>
      </c>
      <c r="H1757" s="76">
        <v>0.48958333333333331</v>
      </c>
      <c r="I1757" s="173" t="str">
        <f t="shared" si="6"/>
        <v>92</v>
      </c>
      <c r="J1757" s="23">
        <v>3</v>
      </c>
      <c r="K1757" s="23"/>
      <c r="L1757" s="68">
        <v>0.46180555555555558</v>
      </c>
      <c r="M1757" s="68">
        <v>0.56944444444444442</v>
      </c>
      <c r="N1757" s="173" t="str">
        <f t="shared" si="7"/>
        <v>95</v>
      </c>
      <c r="O1757" s="23">
        <f t="shared" si="8"/>
        <v>745</v>
      </c>
      <c r="P1757" s="70">
        <f t="shared" si="9"/>
        <v>0.42569444444444443</v>
      </c>
      <c r="Q1757" s="70">
        <f t="shared" si="10"/>
        <v>0.56944444444444442</v>
      </c>
      <c r="R1757" s="229" t="str">
        <f t="shared" si="11"/>
        <v>147</v>
      </c>
    </row>
    <row r="1758" spans="1:18" x14ac:dyDescent="0.4">
      <c r="A1758" s="212">
        <v>46049</v>
      </c>
      <c r="B1758" s="139" t="s">
        <v>75</v>
      </c>
      <c r="C1758" s="140" t="s">
        <v>229</v>
      </c>
      <c r="D1758" s="292">
        <v>16</v>
      </c>
      <c r="E1758" s="77">
        <v>5</v>
      </c>
      <c r="F1758" s="1"/>
      <c r="G1758" s="76">
        <v>0.29166666666666669</v>
      </c>
      <c r="H1758" s="76">
        <v>0.42569444444444443</v>
      </c>
      <c r="I1758" s="173" t="str">
        <f t="shared" si="6"/>
        <v>193</v>
      </c>
      <c r="J1758" s="23">
        <v>3</v>
      </c>
      <c r="K1758" s="23"/>
      <c r="L1758" s="68">
        <v>0.3125</v>
      </c>
      <c r="M1758" s="68">
        <v>0.46180555555555558</v>
      </c>
      <c r="N1758" s="173" t="str">
        <f t="shared" si="7"/>
        <v>215</v>
      </c>
      <c r="O1758" s="23">
        <f t="shared" si="8"/>
        <v>1610</v>
      </c>
      <c r="P1758" s="70">
        <f t="shared" si="9"/>
        <v>0.29166666666666669</v>
      </c>
      <c r="Q1758" s="70">
        <f t="shared" si="10"/>
        <v>0.46180555555555558</v>
      </c>
      <c r="R1758" s="229" t="str">
        <f t="shared" si="11"/>
        <v>245</v>
      </c>
    </row>
    <row r="1759" spans="1:18" x14ac:dyDescent="0.4">
      <c r="A1759" s="212">
        <v>46049</v>
      </c>
      <c r="B1759" s="139" t="s">
        <v>65</v>
      </c>
      <c r="C1759" s="140" t="s">
        <v>189</v>
      </c>
      <c r="D1759" s="292">
        <v>60</v>
      </c>
      <c r="E1759" s="77">
        <v>3</v>
      </c>
      <c r="F1759" s="76">
        <v>2.0833333333333332E-2</v>
      </c>
      <c r="G1759" s="76">
        <v>0.29166666666666669</v>
      </c>
      <c r="H1759" s="76">
        <v>0.625</v>
      </c>
      <c r="I1759" s="173" t="str">
        <f t="shared" si="6"/>
        <v>450</v>
      </c>
      <c r="J1759" s="23">
        <v>4</v>
      </c>
      <c r="K1759" s="23"/>
      <c r="L1759" s="68">
        <v>0.29166666666666669</v>
      </c>
      <c r="M1759" s="68">
        <v>0.65625</v>
      </c>
      <c r="N1759" s="173" t="str">
        <f t="shared" si="7"/>
        <v>465</v>
      </c>
      <c r="O1759" s="23">
        <f t="shared" si="8"/>
        <v>3210</v>
      </c>
      <c r="P1759" s="70">
        <f t="shared" si="9"/>
        <v>0.29166666666666669</v>
      </c>
      <c r="Q1759" s="70">
        <f t="shared" si="10"/>
        <v>0.65625</v>
      </c>
      <c r="R1759" s="229" t="str">
        <f t="shared" si="11"/>
        <v>465</v>
      </c>
    </row>
    <row r="1760" spans="1:18" x14ac:dyDescent="0.4">
      <c r="A1760" s="212">
        <v>46050</v>
      </c>
      <c r="B1760" s="139" t="s">
        <v>68</v>
      </c>
      <c r="C1760" s="140" t="s">
        <v>185</v>
      </c>
      <c r="D1760" s="292">
        <v>40</v>
      </c>
      <c r="E1760" s="77">
        <v>5</v>
      </c>
      <c r="F1760" s="1"/>
      <c r="G1760" s="76">
        <v>0.29166666666666669</v>
      </c>
      <c r="H1760" s="76">
        <v>0.66666666666666663</v>
      </c>
      <c r="I1760" s="173" t="str">
        <f t="shared" si="6"/>
        <v>480</v>
      </c>
      <c r="J1760" s="23">
        <v>5</v>
      </c>
      <c r="K1760" s="23"/>
      <c r="L1760" s="68">
        <v>0.3125</v>
      </c>
      <c r="M1760" s="68">
        <v>0.70833333333333337</v>
      </c>
      <c r="N1760" s="173" t="str">
        <f t="shared" si="7"/>
        <v>510</v>
      </c>
      <c r="O1760" s="23">
        <f t="shared" si="8"/>
        <v>4950</v>
      </c>
      <c r="P1760" s="70">
        <f t="shared" si="9"/>
        <v>0.29166666666666669</v>
      </c>
      <c r="Q1760" s="70">
        <f t="shared" si="10"/>
        <v>0.70833333333333337</v>
      </c>
      <c r="R1760" s="229" t="str">
        <f t="shared" si="11"/>
        <v>540</v>
      </c>
    </row>
    <row r="1761" spans="1:18" x14ac:dyDescent="0.4">
      <c r="A1761" s="212">
        <v>46050</v>
      </c>
      <c r="B1761" s="139" t="s">
        <v>107</v>
      </c>
      <c r="C1761" s="140" t="s">
        <v>314</v>
      </c>
      <c r="D1761" s="292">
        <v>16</v>
      </c>
      <c r="E1761" s="77">
        <v>5</v>
      </c>
      <c r="F1761" s="1"/>
      <c r="G1761" s="76">
        <v>0.29166666666666669</v>
      </c>
      <c r="H1761" s="76">
        <v>0.4291666666666667</v>
      </c>
      <c r="I1761" s="173" t="str">
        <f t="shared" si="6"/>
        <v>198</v>
      </c>
      <c r="J1761" s="23">
        <v>3</v>
      </c>
      <c r="K1761" s="23"/>
      <c r="L1761" s="68">
        <v>0.3125</v>
      </c>
      <c r="M1761" s="68">
        <v>0.45833333333333331</v>
      </c>
      <c r="N1761" s="173" t="str">
        <f t="shared" si="7"/>
        <v>210</v>
      </c>
      <c r="O1761" s="23">
        <f t="shared" si="8"/>
        <v>1620</v>
      </c>
      <c r="P1761" s="70">
        <f t="shared" si="9"/>
        <v>0.29166666666666669</v>
      </c>
      <c r="Q1761" s="70">
        <f t="shared" si="10"/>
        <v>0.45833333333333331</v>
      </c>
      <c r="R1761" s="229" t="str">
        <f t="shared" si="11"/>
        <v>240</v>
      </c>
    </row>
    <row r="1762" spans="1:18" x14ac:dyDescent="0.4">
      <c r="A1762" s="212">
        <v>46050</v>
      </c>
      <c r="B1762" s="139" t="s">
        <v>63</v>
      </c>
      <c r="C1762" s="140" t="s">
        <v>267</v>
      </c>
      <c r="D1762" s="292">
        <v>28</v>
      </c>
      <c r="E1762" s="77">
        <v>5</v>
      </c>
      <c r="F1762" s="1"/>
      <c r="G1762" s="76">
        <v>0.4291666666666667</v>
      </c>
      <c r="H1762" s="76">
        <v>0.70833333333333337</v>
      </c>
      <c r="I1762" s="173" t="str">
        <f t="shared" si="6"/>
        <v>342</v>
      </c>
      <c r="J1762" s="23">
        <v>3</v>
      </c>
      <c r="K1762" s="23"/>
      <c r="L1762" s="68">
        <v>0.45833333333333331</v>
      </c>
      <c r="M1762" s="68">
        <v>0.70833333333333337</v>
      </c>
      <c r="N1762" s="173" t="str">
        <f t="shared" si="7"/>
        <v>300</v>
      </c>
      <c r="O1762" s="23">
        <f t="shared" si="8"/>
        <v>2610</v>
      </c>
      <c r="P1762" s="70">
        <f t="shared" si="9"/>
        <v>0.4291666666666667</v>
      </c>
      <c r="Q1762" s="70">
        <f t="shared" si="10"/>
        <v>0.70833333333333337</v>
      </c>
      <c r="R1762" s="229" t="str">
        <f t="shared" si="11"/>
        <v>342</v>
      </c>
    </row>
    <row r="1763" spans="1:18" x14ac:dyDescent="0.4">
      <c r="A1763" s="212">
        <v>46050</v>
      </c>
      <c r="B1763" s="139" t="s">
        <v>73</v>
      </c>
      <c r="C1763" s="140" t="s">
        <v>231</v>
      </c>
      <c r="D1763" s="292">
        <v>18</v>
      </c>
      <c r="E1763" s="77">
        <v>2</v>
      </c>
      <c r="F1763" s="76">
        <v>2.0833333333333332E-2</v>
      </c>
      <c r="G1763" s="76">
        <v>0.29166666666666669</v>
      </c>
      <c r="H1763" s="76">
        <v>0.66666666666666663</v>
      </c>
      <c r="I1763" s="173" t="str">
        <f t="shared" si="6"/>
        <v>510</v>
      </c>
      <c r="J1763" s="23">
        <v>5</v>
      </c>
      <c r="K1763" s="23"/>
      <c r="L1763" s="68">
        <v>0.3125</v>
      </c>
      <c r="M1763" s="68">
        <v>0.70833333333333337</v>
      </c>
      <c r="N1763" s="173" t="str">
        <f t="shared" si="7"/>
        <v>510</v>
      </c>
      <c r="O1763" s="23">
        <f t="shared" si="8"/>
        <v>3570</v>
      </c>
      <c r="P1763" s="70">
        <f t="shared" si="9"/>
        <v>0.29166666666666669</v>
      </c>
      <c r="Q1763" s="70">
        <f t="shared" si="10"/>
        <v>0.70833333333333337</v>
      </c>
      <c r="R1763" s="229" t="str">
        <f t="shared" si="11"/>
        <v>540</v>
      </c>
    </row>
    <row r="1764" spans="1:18" x14ac:dyDescent="0.4">
      <c r="A1764" s="246">
        <v>46050</v>
      </c>
      <c r="B1764" s="102">
        <v>111050</v>
      </c>
      <c r="C1764" s="136" t="s">
        <v>481</v>
      </c>
      <c r="D1764" s="298">
        <v>1</v>
      </c>
      <c r="E1764" s="103"/>
      <c r="F1764" s="104"/>
      <c r="G1764" s="184"/>
      <c r="H1764" s="184"/>
      <c r="I1764" s="225" t="str">
        <f t="shared" si="6"/>
        <v>0</v>
      </c>
      <c r="J1764" s="105"/>
      <c r="K1764" s="105"/>
      <c r="L1764" s="106"/>
      <c r="M1764" s="106"/>
      <c r="N1764" s="225" t="str">
        <f t="shared" si="7"/>
        <v>0</v>
      </c>
      <c r="O1764" s="105">
        <f t="shared" si="8"/>
        <v>0</v>
      </c>
      <c r="P1764" s="247">
        <f t="shared" si="9"/>
        <v>0</v>
      </c>
      <c r="Q1764" s="247">
        <f t="shared" si="10"/>
        <v>0</v>
      </c>
      <c r="R1764" s="232" t="str">
        <f t="shared" si="11"/>
        <v>0</v>
      </c>
    </row>
    <row r="1765" spans="1:18" x14ac:dyDescent="0.4">
      <c r="A1765" s="212">
        <v>46051</v>
      </c>
      <c r="B1765" s="139" t="s">
        <v>114</v>
      </c>
      <c r="C1765" s="140" t="s">
        <v>161</v>
      </c>
      <c r="D1765" s="292">
        <v>18</v>
      </c>
      <c r="E1765" s="77">
        <v>4</v>
      </c>
      <c r="F1765" s="1"/>
      <c r="G1765" s="76">
        <v>0.38611111111111113</v>
      </c>
      <c r="H1765" s="76">
        <v>0.72916666666666663</v>
      </c>
      <c r="I1765" s="173" t="str">
        <f t="shared" si="6"/>
        <v>434</v>
      </c>
      <c r="J1765" s="23">
        <v>13</v>
      </c>
      <c r="K1765" s="23"/>
      <c r="L1765" s="68">
        <v>0.45833333333333331</v>
      </c>
      <c r="M1765" s="68">
        <v>0.54166666666666663</v>
      </c>
      <c r="N1765" s="173" t="str">
        <f t="shared" si="7"/>
        <v>60</v>
      </c>
      <c r="O1765" s="23">
        <f t="shared" si="8"/>
        <v>2516</v>
      </c>
      <c r="P1765" s="70">
        <f t="shared" si="9"/>
        <v>0.38611111111111113</v>
      </c>
      <c r="Q1765" s="70">
        <f t="shared" si="10"/>
        <v>0.72916666666666663</v>
      </c>
      <c r="R1765" s="229" t="str">
        <f t="shared" si="11"/>
        <v>434</v>
      </c>
    </row>
    <row r="1766" spans="1:18" x14ac:dyDescent="0.4">
      <c r="A1766" s="212">
        <v>46051</v>
      </c>
      <c r="B1766" s="139" t="s">
        <v>158</v>
      </c>
      <c r="C1766" s="140" t="s">
        <v>159</v>
      </c>
      <c r="D1766" s="292">
        <v>4</v>
      </c>
      <c r="E1766" s="77">
        <v>4</v>
      </c>
      <c r="F1766" s="1"/>
      <c r="G1766" s="76">
        <v>0.29166666666666669</v>
      </c>
      <c r="H1766" s="76">
        <v>0.37847222222222227</v>
      </c>
      <c r="I1766" s="173" t="str">
        <f t="shared" si="6"/>
        <v>125</v>
      </c>
      <c r="J1766" s="23">
        <v>9</v>
      </c>
      <c r="K1766" s="23"/>
      <c r="L1766" s="68">
        <v>0.3125</v>
      </c>
      <c r="M1766" s="68">
        <v>0.45833333333333331</v>
      </c>
      <c r="N1766" s="173" t="str">
        <f t="shared" si="7"/>
        <v>210</v>
      </c>
      <c r="O1766" s="23">
        <f t="shared" si="8"/>
        <v>2390</v>
      </c>
      <c r="P1766" s="70">
        <f t="shared" si="9"/>
        <v>0.29166666666666669</v>
      </c>
      <c r="Q1766" s="70">
        <f t="shared" si="10"/>
        <v>0.45833333333333331</v>
      </c>
      <c r="R1766" s="229" t="str">
        <f t="shared" si="11"/>
        <v>240</v>
      </c>
    </row>
    <row r="1767" spans="1:18" x14ac:dyDescent="0.4">
      <c r="A1767" s="212">
        <v>46051</v>
      </c>
      <c r="B1767" s="139" t="s">
        <v>64</v>
      </c>
      <c r="C1767" s="140" t="s">
        <v>271</v>
      </c>
      <c r="D1767" s="292">
        <v>20</v>
      </c>
      <c r="E1767" s="77">
        <v>5</v>
      </c>
      <c r="F1767" s="1"/>
      <c r="G1767" s="76">
        <v>0.54166666666666663</v>
      </c>
      <c r="H1767" s="76">
        <v>0.72916666666666663</v>
      </c>
      <c r="I1767" s="173" t="str">
        <f t="shared" si="6"/>
        <v>270</v>
      </c>
      <c r="J1767" s="23">
        <v>3</v>
      </c>
      <c r="K1767" s="23"/>
      <c r="L1767" s="68">
        <v>0.3125</v>
      </c>
      <c r="M1767" s="68">
        <v>0.56944444444444442</v>
      </c>
      <c r="N1767" s="173" t="str">
        <f t="shared" si="7"/>
        <v>310</v>
      </c>
      <c r="O1767" s="23">
        <f t="shared" si="8"/>
        <v>2280</v>
      </c>
      <c r="P1767" s="70">
        <f t="shared" si="9"/>
        <v>0.3125</v>
      </c>
      <c r="Q1767" s="70">
        <f t="shared" si="10"/>
        <v>0.72916666666666663</v>
      </c>
      <c r="R1767" s="229" t="str">
        <f t="shared" si="11"/>
        <v>540</v>
      </c>
    </row>
    <row r="1768" spans="1:18" x14ac:dyDescent="0.4">
      <c r="A1768" s="212">
        <v>46051</v>
      </c>
      <c r="B1768" s="139" t="s">
        <v>76</v>
      </c>
      <c r="C1768" s="140" t="s">
        <v>224</v>
      </c>
      <c r="D1768" s="292">
        <v>24</v>
      </c>
      <c r="E1768" s="77">
        <v>5</v>
      </c>
      <c r="F1768" s="1"/>
      <c r="G1768" s="76">
        <v>0.29166666666666669</v>
      </c>
      <c r="H1768" s="76">
        <v>0.5</v>
      </c>
      <c r="I1768" s="173" t="str">
        <f t="shared" si="6"/>
        <v>300</v>
      </c>
      <c r="J1768" s="23">
        <v>3</v>
      </c>
      <c r="K1768" s="23"/>
      <c r="L1768" s="68">
        <v>0.56944444444444442</v>
      </c>
      <c r="M1768" s="68">
        <v>0.72916666666666663</v>
      </c>
      <c r="N1768" s="173" t="str">
        <f t="shared" si="7"/>
        <v>230</v>
      </c>
      <c r="O1768" s="23">
        <f t="shared" si="8"/>
        <v>2190</v>
      </c>
      <c r="P1768" s="70">
        <f t="shared" si="9"/>
        <v>0.29166666666666669</v>
      </c>
      <c r="Q1768" s="70">
        <f t="shared" si="10"/>
        <v>0.72916666666666663</v>
      </c>
      <c r="R1768" s="229" t="str">
        <f t="shared" si="11"/>
        <v>570</v>
      </c>
    </row>
    <row r="1769" spans="1:18" x14ac:dyDescent="0.4">
      <c r="A1769" s="212">
        <v>46051</v>
      </c>
      <c r="B1769" s="139" t="s">
        <v>65</v>
      </c>
      <c r="C1769" s="140" t="s">
        <v>189</v>
      </c>
      <c r="D1769" s="292">
        <v>60</v>
      </c>
      <c r="E1769" s="77">
        <v>3</v>
      </c>
      <c r="F1769" s="76">
        <v>2.0833333333333332E-2</v>
      </c>
      <c r="G1769" s="76">
        <v>0.29166666666666669</v>
      </c>
      <c r="H1769" s="76">
        <v>0.61111111111111105</v>
      </c>
      <c r="I1769" s="173" t="str">
        <f t="shared" si="6"/>
        <v>430</v>
      </c>
      <c r="J1769" s="23">
        <v>4</v>
      </c>
      <c r="K1769" s="23"/>
      <c r="L1769" s="68">
        <v>0.29166666666666669</v>
      </c>
      <c r="M1769" s="68">
        <v>0.64583333333333337</v>
      </c>
      <c r="N1769" s="173" t="str">
        <f t="shared" si="7"/>
        <v>450</v>
      </c>
      <c r="O1769" s="23">
        <f t="shared" si="8"/>
        <v>3090</v>
      </c>
      <c r="P1769" s="70">
        <f t="shared" si="9"/>
        <v>0.29166666666666669</v>
      </c>
      <c r="Q1769" s="70">
        <f t="shared" si="10"/>
        <v>0.64583333333333337</v>
      </c>
      <c r="R1769" s="229" t="str">
        <f t="shared" si="11"/>
        <v>450</v>
      </c>
    </row>
    <row r="1770" spans="1:18" x14ac:dyDescent="0.4">
      <c r="A1770" s="246">
        <v>46051</v>
      </c>
      <c r="B1770" s="102">
        <v>152010</v>
      </c>
      <c r="C1770" s="136" t="s">
        <v>483</v>
      </c>
      <c r="D1770" s="298">
        <v>1</v>
      </c>
      <c r="E1770" s="103"/>
      <c r="F1770" s="104"/>
      <c r="G1770" s="184"/>
      <c r="H1770" s="184"/>
      <c r="I1770" s="225" t="str">
        <f t="shared" si="6"/>
        <v>0</v>
      </c>
      <c r="J1770" s="105"/>
      <c r="K1770" s="105"/>
      <c r="L1770" s="106"/>
      <c r="M1770" s="106"/>
      <c r="N1770" s="225" t="str">
        <f t="shared" si="7"/>
        <v>0</v>
      </c>
      <c r="O1770" s="105">
        <f t="shared" si="8"/>
        <v>0</v>
      </c>
      <c r="P1770" s="247">
        <f t="shared" si="9"/>
        <v>0</v>
      </c>
      <c r="Q1770" s="247">
        <f t="shared" si="10"/>
        <v>0</v>
      </c>
      <c r="R1770" s="232" t="str">
        <f t="shared" si="11"/>
        <v>0</v>
      </c>
    </row>
    <row r="1771" spans="1:18" x14ac:dyDescent="0.4">
      <c r="A1771" s="212">
        <v>46052</v>
      </c>
      <c r="B1771" s="139" t="s">
        <v>71</v>
      </c>
      <c r="C1771" s="140" t="s">
        <v>176</v>
      </c>
      <c r="D1771" s="292">
        <v>36</v>
      </c>
      <c r="E1771" s="77">
        <v>6</v>
      </c>
      <c r="F1771" s="1"/>
      <c r="G1771" s="76">
        <v>0.29166666666666669</v>
      </c>
      <c r="H1771" s="76">
        <v>0.5</v>
      </c>
      <c r="I1771" s="173" t="str">
        <f t="shared" si="6"/>
        <v>300</v>
      </c>
      <c r="J1771" s="23">
        <v>5</v>
      </c>
      <c r="K1771" s="23"/>
      <c r="L1771" s="68">
        <v>0.3125</v>
      </c>
      <c r="M1771" s="68">
        <v>0.5</v>
      </c>
      <c r="N1771" s="173" t="str">
        <f t="shared" si="7"/>
        <v>270</v>
      </c>
      <c r="O1771" s="23">
        <f t="shared" si="8"/>
        <v>3150</v>
      </c>
      <c r="P1771" s="70">
        <f t="shared" si="9"/>
        <v>0.29166666666666669</v>
      </c>
      <c r="Q1771" s="70">
        <f t="shared" si="10"/>
        <v>0.5</v>
      </c>
      <c r="R1771" s="229" t="str">
        <f t="shared" si="11"/>
        <v>300</v>
      </c>
    </row>
    <row r="1772" spans="1:18" x14ac:dyDescent="0.4">
      <c r="A1772" s="212">
        <v>46052</v>
      </c>
      <c r="B1772" s="139" t="s">
        <v>87</v>
      </c>
      <c r="C1772" s="140" t="s">
        <v>199</v>
      </c>
      <c r="D1772" s="292">
        <v>36</v>
      </c>
      <c r="E1772" s="77">
        <v>6</v>
      </c>
      <c r="F1772" s="1"/>
      <c r="G1772" s="76">
        <v>0.54166666666666663</v>
      </c>
      <c r="H1772" s="76">
        <v>0.72916666666666663</v>
      </c>
      <c r="I1772" s="173" t="str">
        <f t="shared" si="6"/>
        <v>270</v>
      </c>
      <c r="J1772" s="23">
        <v>5</v>
      </c>
      <c r="K1772" s="23"/>
      <c r="L1772" s="68">
        <v>0.54166666666666663</v>
      </c>
      <c r="M1772" s="68">
        <v>0.75</v>
      </c>
      <c r="N1772" s="173" t="str">
        <f t="shared" si="7"/>
        <v>300</v>
      </c>
      <c r="O1772" s="23">
        <f t="shared" si="8"/>
        <v>3120</v>
      </c>
      <c r="P1772" s="70">
        <f t="shared" si="9"/>
        <v>0.54166666666666663</v>
      </c>
      <c r="Q1772" s="70">
        <f t="shared" si="10"/>
        <v>0.75</v>
      </c>
      <c r="R1772" s="229" t="str">
        <f t="shared" si="11"/>
        <v>300</v>
      </c>
    </row>
    <row r="1773" spans="1:18" x14ac:dyDescent="0.4">
      <c r="A1773" s="212">
        <v>46052</v>
      </c>
      <c r="B1773" s="139" t="s">
        <v>54</v>
      </c>
      <c r="C1773" s="140" t="s">
        <v>251</v>
      </c>
      <c r="D1773" s="292">
        <v>24</v>
      </c>
      <c r="E1773" s="23">
        <v>5</v>
      </c>
      <c r="F1773" s="23"/>
      <c r="G1773" s="68">
        <v>0.54166666666666663</v>
      </c>
      <c r="H1773" s="68">
        <v>0.75</v>
      </c>
      <c r="I1773" s="173" t="str">
        <f t="shared" si="6"/>
        <v>300</v>
      </c>
      <c r="J1773" s="23">
        <v>3</v>
      </c>
      <c r="K1773" s="23"/>
      <c r="L1773" s="68">
        <v>0.56944444444444442</v>
      </c>
      <c r="M1773" s="68">
        <v>0.75</v>
      </c>
      <c r="N1773" s="173" t="str">
        <f t="shared" si="7"/>
        <v>260</v>
      </c>
      <c r="O1773" s="23">
        <f t="shared" si="8"/>
        <v>2280</v>
      </c>
      <c r="P1773" s="70">
        <f t="shared" si="9"/>
        <v>0.54166666666666663</v>
      </c>
      <c r="Q1773" s="70">
        <f t="shared" si="10"/>
        <v>0.75</v>
      </c>
      <c r="R1773" s="229" t="str">
        <f t="shared" si="11"/>
        <v>300</v>
      </c>
    </row>
    <row r="1774" spans="1:18" x14ac:dyDescent="0.4">
      <c r="A1774" s="212">
        <v>46052</v>
      </c>
      <c r="B1774" s="139" t="s">
        <v>72</v>
      </c>
      <c r="C1774" s="140" t="s">
        <v>227</v>
      </c>
      <c r="D1774" s="292">
        <v>24</v>
      </c>
      <c r="E1774" s="23">
        <v>5</v>
      </c>
      <c r="F1774" s="23"/>
      <c r="G1774" s="68">
        <v>0.29166666666666669</v>
      </c>
      <c r="H1774" s="68">
        <v>0.5</v>
      </c>
      <c r="I1774" s="173" t="str">
        <f t="shared" si="6"/>
        <v>300</v>
      </c>
      <c r="J1774" s="23">
        <v>3</v>
      </c>
      <c r="K1774" s="23"/>
      <c r="L1774" s="68">
        <v>0.3125</v>
      </c>
      <c r="M1774" s="68">
        <v>0.56944444444444442</v>
      </c>
      <c r="N1774" s="173" t="str">
        <f t="shared" si="7"/>
        <v>310</v>
      </c>
      <c r="O1774" s="23">
        <f t="shared" si="8"/>
        <v>2430</v>
      </c>
      <c r="P1774" s="70">
        <f t="shared" si="9"/>
        <v>0.29166666666666669</v>
      </c>
      <c r="Q1774" s="70">
        <f t="shared" si="10"/>
        <v>0.56944444444444442</v>
      </c>
      <c r="R1774" s="229" t="str">
        <f t="shared" si="11"/>
        <v>340</v>
      </c>
    </row>
    <row r="1775" spans="1:18" x14ac:dyDescent="0.4">
      <c r="A1775" s="212">
        <v>46052</v>
      </c>
      <c r="B1775" s="139" t="s">
        <v>104</v>
      </c>
      <c r="C1775" s="140" t="s">
        <v>191</v>
      </c>
      <c r="D1775" s="292">
        <v>56</v>
      </c>
      <c r="E1775" s="77">
        <v>3</v>
      </c>
      <c r="F1775" s="76">
        <v>2.0833333333333332E-2</v>
      </c>
      <c r="G1775" s="76">
        <v>0.29166666666666669</v>
      </c>
      <c r="H1775" s="76">
        <v>0.61111111111111105</v>
      </c>
      <c r="I1775" s="173" t="str">
        <f t="shared" si="6"/>
        <v>430</v>
      </c>
      <c r="J1775" s="23">
        <v>4</v>
      </c>
      <c r="K1775" s="68"/>
      <c r="L1775" s="68">
        <v>0.29166666666666669</v>
      </c>
      <c r="M1775" s="68">
        <v>0.68055555555555547</v>
      </c>
      <c r="N1775" s="173" t="str">
        <f t="shared" si="7"/>
        <v>500</v>
      </c>
      <c r="O1775" s="23">
        <f t="shared" si="8"/>
        <v>3290</v>
      </c>
      <c r="P1775" s="70">
        <f t="shared" si="9"/>
        <v>0.29166666666666669</v>
      </c>
      <c r="Q1775" s="70">
        <f t="shared" si="10"/>
        <v>0.68055555555555547</v>
      </c>
      <c r="R1775" s="229" t="str">
        <f t="shared" si="11"/>
        <v>500</v>
      </c>
    </row>
    <row r="1776" spans="1:18" x14ac:dyDescent="0.4">
      <c r="A1776" s="212">
        <v>46055</v>
      </c>
      <c r="B1776" s="139" t="s">
        <v>71</v>
      </c>
      <c r="C1776" s="30" t="s">
        <v>176</v>
      </c>
      <c r="D1776" s="296">
        <v>72</v>
      </c>
      <c r="E1776" s="77">
        <v>6</v>
      </c>
      <c r="F1776" s="1"/>
      <c r="G1776" s="76">
        <v>0.29166666666666669</v>
      </c>
      <c r="H1776" s="76">
        <v>0.70833333333333337</v>
      </c>
      <c r="I1776" s="173" t="str">
        <f t="shared" si="6"/>
        <v>540</v>
      </c>
      <c r="J1776" s="23">
        <v>5</v>
      </c>
      <c r="K1776" s="23"/>
      <c r="L1776" s="68">
        <v>0.3125</v>
      </c>
      <c r="M1776" s="68">
        <v>0.70833333333333337</v>
      </c>
      <c r="N1776" s="173" t="str">
        <f t="shared" si="7"/>
        <v>510</v>
      </c>
      <c r="O1776" s="23">
        <f t="shared" si="8"/>
        <v>5790</v>
      </c>
      <c r="P1776" s="70">
        <f t="shared" si="9"/>
        <v>0.29166666666666669</v>
      </c>
      <c r="Q1776" s="70">
        <f t="shared" si="10"/>
        <v>0.70833333333333337</v>
      </c>
      <c r="R1776" s="229" t="str">
        <f t="shared" si="11"/>
        <v>540</v>
      </c>
    </row>
    <row r="1777" spans="1:18" x14ac:dyDescent="0.4">
      <c r="A1777" s="212">
        <v>46055</v>
      </c>
      <c r="B1777" s="139" t="s">
        <v>88</v>
      </c>
      <c r="C1777" s="30" t="s">
        <v>328</v>
      </c>
      <c r="D1777" s="296">
        <v>48</v>
      </c>
      <c r="E1777" s="77">
        <v>5</v>
      </c>
      <c r="F1777" s="1"/>
      <c r="G1777" s="76">
        <v>0.29166666666666669</v>
      </c>
      <c r="H1777" s="76">
        <v>0.72916666666666663</v>
      </c>
      <c r="I1777" s="173" t="str">
        <f t="shared" si="6"/>
        <v>570</v>
      </c>
      <c r="J1777" s="23">
        <v>3</v>
      </c>
      <c r="K1777" s="23"/>
      <c r="L1777" s="68">
        <v>0.3125</v>
      </c>
      <c r="M1777" s="68">
        <v>0.75</v>
      </c>
      <c r="N1777" s="173" t="str">
        <f t="shared" si="7"/>
        <v>570</v>
      </c>
      <c r="O1777" s="23">
        <f t="shared" si="8"/>
        <v>4560</v>
      </c>
      <c r="P1777" s="70">
        <f t="shared" si="9"/>
        <v>0.29166666666666669</v>
      </c>
      <c r="Q1777" s="70">
        <f t="shared" si="10"/>
        <v>0.75</v>
      </c>
      <c r="R1777" s="229" t="str">
        <f t="shared" si="11"/>
        <v>600</v>
      </c>
    </row>
    <row r="1778" spans="1:18" x14ac:dyDescent="0.4">
      <c r="A1778" s="212">
        <v>46055</v>
      </c>
      <c r="B1778" s="139" t="s">
        <v>65</v>
      </c>
      <c r="C1778" s="30" t="s">
        <v>189</v>
      </c>
      <c r="D1778" s="296">
        <v>72</v>
      </c>
      <c r="E1778" s="77">
        <v>3</v>
      </c>
      <c r="F1778" s="76">
        <v>2.7777777777777776E-2</v>
      </c>
      <c r="G1778" s="76">
        <v>0.29166666666666669</v>
      </c>
      <c r="H1778" s="76">
        <v>0.67361111111111116</v>
      </c>
      <c r="I1778" s="173" t="str">
        <f t="shared" ref="I1778:I1841" si="12">TEXT(IF(AND(G1778&lt;=$S$2,H1778&gt;=$T$2),(H1778-G1778+F1778)-($T$2-$S$2),(H1778-G1778+F1778)),"[m]")</f>
        <v>530</v>
      </c>
      <c r="J1778" s="23">
        <v>4</v>
      </c>
      <c r="K1778" s="23"/>
      <c r="L1778" s="68">
        <v>0.29166666666666669</v>
      </c>
      <c r="M1778" s="68">
        <v>0.71527777777777779</v>
      </c>
      <c r="N1778" s="173" t="str">
        <f t="shared" ref="N1778:N1841" si="13">TEXT(IF(AND(L1778&lt;=$S$2,M1778&gt;=$T$2),(M1778-L1778+K1778)-($T$2-$S$2),(M1778-L1778+K1778)),"[m]")</f>
        <v>550</v>
      </c>
      <c r="O1778" s="23">
        <f t="shared" ref="O1778:O1841" si="14">E1778*I1778+J1778*N1778</f>
        <v>3790</v>
      </c>
      <c r="P1778" s="70">
        <f t="shared" ref="P1778:P1841" si="15">MIN(G1778:H1778,L1778:M1778)</f>
        <v>0.29166666666666669</v>
      </c>
      <c r="Q1778" s="70">
        <f t="shared" ref="Q1778:Q1841" si="16">MAX(G1778:H1778,L1778:M1778)</f>
        <v>0.71527777777777779</v>
      </c>
      <c r="R1778" s="229" t="str">
        <f t="shared" ref="R1778:R1841" si="17">TEXT(IF(AND(P1778&lt;=$S$2,Q1778&gt;=$T$2),(Q1778-P1778)-($T$2-$S$2),(Q1778-P1778)),"[m]")</f>
        <v>550</v>
      </c>
    </row>
    <row r="1779" spans="1:18" x14ac:dyDescent="0.4">
      <c r="A1779" s="403">
        <v>46055</v>
      </c>
      <c r="B1779" s="383">
        <v>153010</v>
      </c>
      <c r="C1779" s="390" t="s">
        <v>484</v>
      </c>
      <c r="D1779" s="405">
        <v>1</v>
      </c>
      <c r="E1779" s="384"/>
      <c r="F1779" s="385"/>
      <c r="G1779" s="396"/>
      <c r="H1779" s="396"/>
      <c r="I1779" s="386" t="str">
        <f t="shared" si="12"/>
        <v>0</v>
      </c>
      <c r="J1779" s="387"/>
      <c r="K1779" s="387"/>
      <c r="L1779" s="388"/>
      <c r="M1779" s="388"/>
      <c r="N1779" s="386" t="str">
        <f t="shared" si="13"/>
        <v>0</v>
      </c>
      <c r="O1779" s="387">
        <f t="shared" si="14"/>
        <v>0</v>
      </c>
      <c r="P1779" s="391">
        <f t="shared" si="15"/>
        <v>0</v>
      </c>
      <c r="Q1779" s="391">
        <f t="shared" si="16"/>
        <v>0</v>
      </c>
      <c r="R1779" s="389" t="str">
        <f t="shared" si="17"/>
        <v>0</v>
      </c>
    </row>
    <row r="1780" spans="1:18" x14ac:dyDescent="0.4">
      <c r="A1780" s="212">
        <v>46056</v>
      </c>
      <c r="B1780" s="139" t="s">
        <v>64</v>
      </c>
      <c r="C1780" s="30" t="s">
        <v>271</v>
      </c>
      <c r="D1780" s="296">
        <v>24</v>
      </c>
      <c r="E1780" s="77">
        <v>5</v>
      </c>
      <c r="F1780" s="1"/>
      <c r="G1780" s="76">
        <v>0.29166666666666669</v>
      </c>
      <c r="H1780" s="76">
        <v>0.5</v>
      </c>
      <c r="I1780" s="173" t="str">
        <f t="shared" si="12"/>
        <v>300</v>
      </c>
      <c r="J1780" s="23">
        <v>3</v>
      </c>
      <c r="K1780" s="23"/>
      <c r="L1780" s="68">
        <v>0.3125</v>
      </c>
      <c r="M1780" s="68">
        <v>0.57638888888888895</v>
      </c>
      <c r="N1780" s="173" t="str">
        <f t="shared" si="13"/>
        <v>320</v>
      </c>
      <c r="O1780" s="23">
        <f t="shared" si="14"/>
        <v>2460</v>
      </c>
      <c r="P1780" s="70">
        <f t="shared" si="15"/>
        <v>0.29166666666666669</v>
      </c>
      <c r="Q1780" s="70">
        <f t="shared" si="16"/>
        <v>0.57638888888888895</v>
      </c>
      <c r="R1780" s="229" t="str">
        <f t="shared" si="17"/>
        <v>350</v>
      </c>
    </row>
    <row r="1781" spans="1:18" x14ac:dyDescent="0.4">
      <c r="A1781" s="212">
        <v>46056</v>
      </c>
      <c r="B1781" s="139" t="s">
        <v>63</v>
      </c>
      <c r="C1781" s="30" t="s">
        <v>267</v>
      </c>
      <c r="D1781" s="296">
        <v>20</v>
      </c>
      <c r="E1781" s="77">
        <v>5</v>
      </c>
      <c r="F1781" s="1"/>
      <c r="G1781" s="76">
        <v>0.54166666666666663</v>
      </c>
      <c r="H1781" s="76">
        <v>0.72916666666666663</v>
      </c>
      <c r="I1781" s="173" t="str">
        <f t="shared" si="12"/>
        <v>270</v>
      </c>
      <c r="J1781" s="23">
        <v>3</v>
      </c>
      <c r="K1781" s="23"/>
      <c r="L1781" s="68">
        <v>0.57638888888888895</v>
      </c>
      <c r="M1781" s="68">
        <v>0.75</v>
      </c>
      <c r="N1781" s="173" t="str">
        <f t="shared" si="13"/>
        <v>250</v>
      </c>
      <c r="O1781" s="23">
        <f t="shared" si="14"/>
        <v>2100</v>
      </c>
      <c r="P1781" s="70">
        <f t="shared" si="15"/>
        <v>0.54166666666666663</v>
      </c>
      <c r="Q1781" s="70">
        <f t="shared" si="16"/>
        <v>0.75</v>
      </c>
      <c r="R1781" s="229" t="str">
        <f t="shared" si="17"/>
        <v>300</v>
      </c>
    </row>
    <row r="1782" spans="1:18" x14ac:dyDescent="0.4">
      <c r="A1782" s="212">
        <v>46056</v>
      </c>
      <c r="B1782" s="139" t="s">
        <v>73</v>
      </c>
      <c r="C1782" s="30" t="s">
        <v>231</v>
      </c>
      <c r="D1782" s="296">
        <v>21</v>
      </c>
      <c r="E1782" s="77">
        <v>4</v>
      </c>
      <c r="F1782" s="76">
        <v>4.1666666666666664E-2</v>
      </c>
      <c r="G1782" s="76">
        <v>0.3125</v>
      </c>
      <c r="H1782" s="76">
        <v>0.67361111111111116</v>
      </c>
      <c r="I1782" s="173" t="str">
        <f t="shared" si="12"/>
        <v>520</v>
      </c>
      <c r="J1782" s="23">
        <v>4</v>
      </c>
      <c r="K1782" s="23"/>
      <c r="L1782" s="68">
        <v>0.3125</v>
      </c>
      <c r="M1782" s="68">
        <v>0.70833333333333337</v>
      </c>
      <c r="N1782" s="173" t="str">
        <f t="shared" si="13"/>
        <v>510</v>
      </c>
      <c r="O1782" s="23">
        <f t="shared" si="14"/>
        <v>4120</v>
      </c>
      <c r="P1782" s="70">
        <f t="shared" si="15"/>
        <v>0.3125</v>
      </c>
      <c r="Q1782" s="70">
        <f t="shared" si="16"/>
        <v>0.70833333333333337</v>
      </c>
      <c r="R1782" s="229" t="str">
        <f t="shared" si="17"/>
        <v>510</v>
      </c>
    </row>
    <row r="1783" spans="1:18" x14ac:dyDescent="0.4">
      <c r="A1783" s="212">
        <v>46056</v>
      </c>
      <c r="B1783" s="139" t="s">
        <v>96</v>
      </c>
      <c r="C1783" s="30" t="s">
        <v>167</v>
      </c>
      <c r="D1783" s="296">
        <v>20</v>
      </c>
      <c r="E1783" s="77">
        <v>3</v>
      </c>
      <c r="F1783" s="76">
        <v>2.0833333333333332E-2</v>
      </c>
      <c r="G1783" s="76">
        <v>0.29166666666666669</v>
      </c>
      <c r="H1783" s="76">
        <v>0.41666666666666669</v>
      </c>
      <c r="I1783" s="173" t="str">
        <f t="shared" si="12"/>
        <v>210</v>
      </c>
      <c r="J1783" s="23">
        <v>6</v>
      </c>
      <c r="K1783" s="23"/>
      <c r="L1783" s="68">
        <v>0.29166666666666669</v>
      </c>
      <c r="M1783" s="68">
        <v>0.50694444444444442</v>
      </c>
      <c r="N1783" s="173" t="str">
        <f t="shared" si="13"/>
        <v>310</v>
      </c>
      <c r="O1783" s="23">
        <f t="shared" si="14"/>
        <v>2490</v>
      </c>
      <c r="P1783" s="70">
        <f t="shared" si="15"/>
        <v>0.29166666666666669</v>
      </c>
      <c r="Q1783" s="70">
        <f t="shared" si="16"/>
        <v>0.50694444444444442</v>
      </c>
      <c r="R1783" s="229" t="str">
        <f t="shared" si="17"/>
        <v>310</v>
      </c>
    </row>
    <row r="1784" spans="1:18" x14ac:dyDescent="0.4">
      <c r="A1784" s="212">
        <v>46056</v>
      </c>
      <c r="B1784" s="139" t="s">
        <v>123</v>
      </c>
      <c r="C1784" s="30" t="s">
        <v>277</v>
      </c>
      <c r="D1784" s="296">
        <v>32</v>
      </c>
      <c r="E1784" s="77">
        <v>3</v>
      </c>
      <c r="F1784" s="1"/>
      <c r="G1784" s="76">
        <v>0.44444444444444442</v>
      </c>
      <c r="H1784" s="76">
        <v>0.67708333333333337</v>
      </c>
      <c r="I1784" s="173" t="str">
        <f t="shared" si="12"/>
        <v>275</v>
      </c>
      <c r="J1784" s="23">
        <v>4</v>
      </c>
      <c r="K1784" s="23"/>
      <c r="L1784" s="68">
        <v>0.54166666666666663</v>
      </c>
      <c r="M1784" s="68">
        <v>0.72222222222222221</v>
      </c>
      <c r="N1784" s="173" t="str">
        <f t="shared" si="13"/>
        <v>260</v>
      </c>
      <c r="O1784" s="23">
        <f t="shared" si="14"/>
        <v>1865</v>
      </c>
      <c r="P1784" s="70">
        <f t="shared" si="15"/>
        <v>0.44444444444444442</v>
      </c>
      <c r="Q1784" s="70">
        <f t="shared" si="16"/>
        <v>0.72222222222222221</v>
      </c>
      <c r="R1784" s="229" t="str">
        <f t="shared" si="17"/>
        <v>340</v>
      </c>
    </row>
    <row r="1785" spans="1:18" x14ac:dyDescent="0.4">
      <c r="A1785" s="403">
        <v>46056</v>
      </c>
      <c r="B1785" s="383">
        <v>151010</v>
      </c>
      <c r="C1785" s="390" t="s">
        <v>482</v>
      </c>
      <c r="D1785" s="405">
        <v>1</v>
      </c>
      <c r="E1785" s="384"/>
      <c r="F1785" s="385"/>
      <c r="G1785" s="396"/>
      <c r="H1785" s="396"/>
      <c r="I1785" s="386" t="str">
        <f t="shared" si="12"/>
        <v>0</v>
      </c>
      <c r="J1785" s="387"/>
      <c r="K1785" s="387"/>
      <c r="L1785" s="388"/>
      <c r="M1785" s="388"/>
      <c r="N1785" s="386" t="str">
        <f t="shared" si="13"/>
        <v>0</v>
      </c>
      <c r="O1785" s="387">
        <f t="shared" si="14"/>
        <v>0</v>
      </c>
      <c r="P1785" s="391">
        <f t="shared" si="15"/>
        <v>0</v>
      </c>
      <c r="Q1785" s="391">
        <f t="shared" si="16"/>
        <v>0</v>
      </c>
      <c r="R1785" s="389" t="str">
        <f t="shared" si="17"/>
        <v>0</v>
      </c>
    </row>
    <row r="1786" spans="1:18" x14ac:dyDescent="0.4">
      <c r="A1786" s="212">
        <v>46057</v>
      </c>
      <c r="B1786" s="139" t="s">
        <v>71</v>
      </c>
      <c r="C1786" s="30" t="s">
        <v>176</v>
      </c>
      <c r="D1786" s="296">
        <v>72</v>
      </c>
      <c r="E1786" s="77">
        <v>6</v>
      </c>
      <c r="F1786" s="1"/>
      <c r="G1786" s="76">
        <v>0.29166666666666669</v>
      </c>
      <c r="H1786" s="76">
        <v>0.70833333333333337</v>
      </c>
      <c r="I1786" s="372" t="str">
        <f t="shared" si="12"/>
        <v>540</v>
      </c>
      <c r="J1786" s="23">
        <v>5</v>
      </c>
      <c r="K1786" s="23"/>
      <c r="L1786" s="68">
        <v>0.3125</v>
      </c>
      <c r="M1786" s="68">
        <v>0.70833333333333337</v>
      </c>
      <c r="N1786" s="173" t="str">
        <f t="shared" si="13"/>
        <v>510</v>
      </c>
      <c r="O1786" s="371">
        <f t="shared" si="14"/>
        <v>5790</v>
      </c>
      <c r="P1786" s="366">
        <f t="shared" si="15"/>
        <v>0.29166666666666669</v>
      </c>
      <c r="Q1786" s="366">
        <f t="shared" si="16"/>
        <v>0.70833333333333337</v>
      </c>
      <c r="R1786" s="367" t="str">
        <f t="shared" si="17"/>
        <v>540</v>
      </c>
    </row>
    <row r="1787" spans="1:18" x14ac:dyDescent="0.4">
      <c r="A1787" s="212">
        <v>46057</v>
      </c>
      <c r="B1787" s="139" t="s">
        <v>72</v>
      </c>
      <c r="C1787" s="30" t="s">
        <v>227</v>
      </c>
      <c r="D1787" s="296">
        <v>24</v>
      </c>
      <c r="E1787" s="77">
        <v>5</v>
      </c>
      <c r="F1787" s="1"/>
      <c r="G1787" s="76">
        <v>0.29166666666666669</v>
      </c>
      <c r="H1787" s="76">
        <v>0.5</v>
      </c>
      <c r="I1787" s="372" t="str">
        <f t="shared" si="12"/>
        <v>300</v>
      </c>
      <c r="J1787" s="23">
        <v>3</v>
      </c>
      <c r="K1787" s="23"/>
      <c r="L1787" s="68">
        <v>0.3125</v>
      </c>
      <c r="M1787" s="68">
        <v>0.56597222222222221</v>
      </c>
      <c r="N1787" s="173" t="str">
        <f t="shared" si="13"/>
        <v>305</v>
      </c>
      <c r="O1787" s="371">
        <f t="shared" si="14"/>
        <v>2415</v>
      </c>
      <c r="P1787" s="366">
        <f t="shared" si="15"/>
        <v>0.29166666666666669</v>
      </c>
      <c r="Q1787" s="366">
        <f t="shared" si="16"/>
        <v>0.56597222222222221</v>
      </c>
      <c r="R1787" s="367" t="str">
        <f t="shared" si="17"/>
        <v>335</v>
      </c>
    </row>
    <row r="1788" spans="1:18" x14ac:dyDescent="0.4">
      <c r="A1788" s="212">
        <v>46057</v>
      </c>
      <c r="B1788" s="139" t="s">
        <v>63</v>
      </c>
      <c r="C1788" s="30" t="s">
        <v>267</v>
      </c>
      <c r="D1788" s="296">
        <v>20</v>
      </c>
      <c r="E1788" s="77">
        <v>5</v>
      </c>
      <c r="F1788" s="1"/>
      <c r="G1788" s="76">
        <v>0.54166666666666663</v>
      </c>
      <c r="H1788" s="76">
        <v>0.70833333333333337</v>
      </c>
      <c r="I1788" s="372" t="str">
        <f t="shared" si="12"/>
        <v>240</v>
      </c>
      <c r="J1788" s="23">
        <v>3</v>
      </c>
      <c r="K1788" s="23"/>
      <c r="L1788" s="68">
        <v>0.56597222222222221</v>
      </c>
      <c r="M1788" s="68">
        <v>0.72916666666666663</v>
      </c>
      <c r="N1788" s="173" t="str">
        <f t="shared" si="13"/>
        <v>235</v>
      </c>
      <c r="O1788" s="371">
        <f t="shared" si="14"/>
        <v>1905</v>
      </c>
      <c r="P1788" s="366">
        <f t="shared" si="15"/>
        <v>0.54166666666666663</v>
      </c>
      <c r="Q1788" s="366">
        <f t="shared" si="16"/>
        <v>0.72916666666666663</v>
      </c>
      <c r="R1788" s="367" t="str">
        <f t="shared" si="17"/>
        <v>270</v>
      </c>
    </row>
    <row r="1789" spans="1:18" x14ac:dyDescent="0.4">
      <c r="A1789" s="212">
        <v>46057</v>
      </c>
      <c r="B1789" s="139" t="s">
        <v>65</v>
      </c>
      <c r="C1789" s="30" t="s">
        <v>189</v>
      </c>
      <c r="D1789" s="296">
        <v>72</v>
      </c>
      <c r="E1789" s="77">
        <v>3</v>
      </c>
      <c r="F1789" s="76">
        <v>3.4722222222222224E-2</v>
      </c>
      <c r="G1789" s="76">
        <v>0.29166666666666669</v>
      </c>
      <c r="H1789" s="76">
        <v>0.71875</v>
      </c>
      <c r="I1789" s="372" t="str">
        <f t="shared" si="12"/>
        <v>605</v>
      </c>
      <c r="J1789" s="23">
        <v>5</v>
      </c>
      <c r="K1789" s="23"/>
      <c r="L1789" s="68">
        <v>0.29166666666666669</v>
      </c>
      <c r="M1789" s="68">
        <v>0.75347222222222221</v>
      </c>
      <c r="N1789" s="173" t="str">
        <f t="shared" si="13"/>
        <v>605</v>
      </c>
      <c r="O1789" s="371">
        <f t="shared" si="14"/>
        <v>4840</v>
      </c>
      <c r="P1789" s="366">
        <f t="shared" si="15"/>
        <v>0.29166666666666669</v>
      </c>
      <c r="Q1789" s="366">
        <f t="shared" si="16"/>
        <v>0.75347222222222221</v>
      </c>
      <c r="R1789" s="367" t="str">
        <f t="shared" si="17"/>
        <v>605</v>
      </c>
    </row>
    <row r="1790" spans="1:18" x14ac:dyDescent="0.4">
      <c r="A1790" s="212">
        <v>46058</v>
      </c>
      <c r="B1790" s="139" t="s">
        <v>54</v>
      </c>
      <c r="C1790" s="30" t="s">
        <v>251</v>
      </c>
      <c r="D1790" s="296">
        <v>28</v>
      </c>
      <c r="E1790" s="77">
        <v>4</v>
      </c>
      <c r="F1790" s="1"/>
      <c r="G1790" s="76">
        <v>0.3833333333333333</v>
      </c>
      <c r="H1790" s="76">
        <v>0.63194444444444442</v>
      </c>
      <c r="I1790" s="372" t="str">
        <f t="shared" si="12"/>
        <v>298</v>
      </c>
      <c r="J1790" s="23">
        <v>3</v>
      </c>
      <c r="K1790" s="23"/>
      <c r="L1790" s="68">
        <v>0.40972222222222227</v>
      </c>
      <c r="M1790" s="68">
        <v>0.67361111111111116</v>
      </c>
      <c r="N1790" s="173" t="str">
        <f t="shared" si="13"/>
        <v>320</v>
      </c>
      <c r="O1790" s="371">
        <f t="shared" si="14"/>
        <v>2152</v>
      </c>
      <c r="P1790" s="366">
        <f t="shared" si="15"/>
        <v>0.3833333333333333</v>
      </c>
      <c r="Q1790" s="366">
        <f t="shared" si="16"/>
        <v>0.67361111111111116</v>
      </c>
      <c r="R1790" s="367" t="str">
        <f t="shared" si="17"/>
        <v>358</v>
      </c>
    </row>
    <row r="1791" spans="1:18" x14ac:dyDescent="0.4">
      <c r="A1791" s="212">
        <v>46058</v>
      </c>
      <c r="B1791" s="139" t="s">
        <v>109</v>
      </c>
      <c r="C1791" s="30" t="s">
        <v>263</v>
      </c>
      <c r="D1791" s="296">
        <v>12</v>
      </c>
      <c r="E1791" s="77">
        <v>4</v>
      </c>
      <c r="F1791" s="1"/>
      <c r="G1791" s="76">
        <v>0.63541666666666663</v>
      </c>
      <c r="H1791" s="76">
        <v>0.75</v>
      </c>
      <c r="I1791" s="372" t="str">
        <f t="shared" si="12"/>
        <v>165</v>
      </c>
      <c r="J1791" s="23">
        <v>3</v>
      </c>
      <c r="K1791" s="23"/>
      <c r="L1791" s="68">
        <v>0.67361111111111116</v>
      </c>
      <c r="M1791" s="68">
        <v>0.70833333333333337</v>
      </c>
      <c r="N1791" s="173" t="str">
        <f t="shared" si="13"/>
        <v>50</v>
      </c>
      <c r="O1791" s="371">
        <f t="shared" si="14"/>
        <v>810</v>
      </c>
      <c r="P1791" s="366">
        <f t="shared" si="15"/>
        <v>0.63541666666666663</v>
      </c>
      <c r="Q1791" s="366">
        <f t="shared" si="16"/>
        <v>0.75</v>
      </c>
      <c r="R1791" s="367" t="str">
        <f t="shared" si="17"/>
        <v>165</v>
      </c>
    </row>
    <row r="1792" spans="1:18" x14ac:dyDescent="0.4">
      <c r="A1792" s="212">
        <v>46058</v>
      </c>
      <c r="B1792" s="139" t="s">
        <v>451</v>
      </c>
      <c r="C1792" s="30" t="s">
        <v>255</v>
      </c>
      <c r="D1792" s="296">
        <v>6</v>
      </c>
      <c r="E1792" s="77">
        <v>4</v>
      </c>
      <c r="F1792" s="1"/>
      <c r="G1792" s="76">
        <v>0.29166666666666669</v>
      </c>
      <c r="H1792" s="76">
        <v>0.38055555555555554</v>
      </c>
      <c r="I1792" s="372" t="str">
        <f t="shared" si="12"/>
        <v>128</v>
      </c>
      <c r="J1792" s="23">
        <v>3</v>
      </c>
      <c r="K1792" s="23"/>
      <c r="L1792" s="68">
        <v>0.3125</v>
      </c>
      <c r="M1792" s="68">
        <v>0.40972222222222227</v>
      </c>
      <c r="N1792" s="173" t="str">
        <f t="shared" si="13"/>
        <v>140</v>
      </c>
      <c r="O1792" s="371">
        <f t="shared" si="14"/>
        <v>932</v>
      </c>
      <c r="P1792" s="366">
        <f t="shared" si="15"/>
        <v>0.29166666666666669</v>
      </c>
      <c r="Q1792" s="366">
        <f t="shared" si="16"/>
        <v>0.40972222222222227</v>
      </c>
      <c r="R1792" s="367" t="str">
        <f t="shared" si="17"/>
        <v>170</v>
      </c>
    </row>
    <row r="1793" spans="1:18" x14ac:dyDescent="0.4">
      <c r="A1793" s="212">
        <v>46058</v>
      </c>
      <c r="B1793" s="139" t="s">
        <v>116</v>
      </c>
      <c r="C1793" s="30" t="s">
        <v>212</v>
      </c>
      <c r="D1793" s="296">
        <v>16</v>
      </c>
      <c r="E1793" s="77">
        <v>5</v>
      </c>
      <c r="F1793" s="1"/>
      <c r="G1793" s="76">
        <v>0.56805555555555554</v>
      </c>
      <c r="H1793" s="76">
        <v>0.70833333333333337</v>
      </c>
      <c r="I1793" s="372" t="str">
        <f t="shared" si="12"/>
        <v>202</v>
      </c>
      <c r="J1793" s="23">
        <v>4</v>
      </c>
      <c r="K1793" s="23"/>
      <c r="L1793" s="68">
        <v>0.59375</v>
      </c>
      <c r="M1793" s="68">
        <v>0.72916666666666663</v>
      </c>
      <c r="N1793" s="173" t="str">
        <f t="shared" si="13"/>
        <v>195</v>
      </c>
      <c r="O1793" s="371">
        <f t="shared" si="14"/>
        <v>1790</v>
      </c>
      <c r="P1793" s="366">
        <f t="shared" si="15"/>
        <v>0.56805555555555554</v>
      </c>
      <c r="Q1793" s="366">
        <f t="shared" si="16"/>
        <v>0.72916666666666663</v>
      </c>
      <c r="R1793" s="367" t="str">
        <f t="shared" si="17"/>
        <v>232</v>
      </c>
    </row>
    <row r="1794" spans="1:18" x14ac:dyDescent="0.4">
      <c r="A1794" s="212">
        <v>46058</v>
      </c>
      <c r="B1794" s="139" t="s">
        <v>57</v>
      </c>
      <c r="C1794" s="30" t="s">
        <v>334</v>
      </c>
      <c r="D1794" s="296">
        <v>12</v>
      </c>
      <c r="E1794" s="77">
        <v>5</v>
      </c>
      <c r="F1794" s="1"/>
      <c r="G1794" s="76">
        <v>0.41111111111111115</v>
      </c>
      <c r="H1794" s="76">
        <v>0.56805555555555554</v>
      </c>
      <c r="I1794" s="372" t="str">
        <f t="shared" si="12"/>
        <v>166</v>
      </c>
      <c r="J1794" s="23">
        <v>4</v>
      </c>
      <c r="K1794" s="23"/>
      <c r="L1794" s="68">
        <v>0.4513888888888889</v>
      </c>
      <c r="M1794" s="68">
        <v>0.59375</v>
      </c>
      <c r="N1794" s="173" t="str">
        <f t="shared" si="13"/>
        <v>145</v>
      </c>
      <c r="O1794" s="371">
        <f t="shared" si="14"/>
        <v>1410</v>
      </c>
      <c r="P1794" s="366">
        <f t="shared" si="15"/>
        <v>0.41111111111111115</v>
      </c>
      <c r="Q1794" s="366">
        <f t="shared" si="16"/>
        <v>0.59375</v>
      </c>
      <c r="R1794" s="367" t="str">
        <f t="shared" si="17"/>
        <v>203</v>
      </c>
    </row>
    <row r="1795" spans="1:18" x14ac:dyDescent="0.4">
      <c r="A1795" s="212">
        <v>46058</v>
      </c>
      <c r="B1795" s="139" t="s">
        <v>55</v>
      </c>
      <c r="C1795" s="30" t="s">
        <v>208</v>
      </c>
      <c r="D1795" s="296">
        <v>12</v>
      </c>
      <c r="E1795" s="77">
        <v>5</v>
      </c>
      <c r="F1795" s="1"/>
      <c r="G1795" s="76">
        <v>0.29166666666666669</v>
      </c>
      <c r="H1795" s="76">
        <v>0.41111111111111115</v>
      </c>
      <c r="I1795" s="372" t="str">
        <f t="shared" si="12"/>
        <v>172</v>
      </c>
      <c r="J1795" s="23">
        <v>4</v>
      </c>
      <c r="K1795" s="23"/>
      <c r="L1795" s="68">
        <v>0.3125</v>
      </c>
      <c r="M1795" s="68">
        <v>0.4513888888888889</v>
      </c>
      <c r="N1795" s="173" t="str">
        <f t="shared" si="13"/>
        <v>200</v>
      </c>
      <c r="O1795" s="371">
        <f t="shared" si="14"/>
        <v>1660</v>
      </c>
      <c r="P1795" s="366">
        <f t="shared" si="15"/>
        <v>0.29166666666666669</v>
      </c>
      <c r="Q1795" s="366">
        <f t="shared" si="16"/>
        <v>0.4513888888888889</v>
      </c>
      <c r="R1795" s="367" t="str">
        <f t="shared" si="17"/>
        <v>230</v>
      </c>
    </row>
    <row r="1796" spans="1:18" x14ac:dyDescent="0.4">
      <c r="A1796" s="212">
        <v>46058</v>
      </c>
      <c r="B1796" s="139" t="s">
        <v>1196</v>
      </c>
      <c r="C1796" s="30" t="s">
        <v>165</v>
      </c>
      <c r="D1796" s="296">
        <v>20</v>
      </c>
      <c r="E1796" s="77">
        <v>3</v>
      </c>
      <c r="F1796" s="1"/>
      <c r="G1796" s="76">
        <v>0.29166666666666669</v>
      </c>
      <c r="H1796" s="76">
        <v>0.4513888888888889</v>
      </c>
      <c r="I1796" s="372" t="str">
        <f t="shared" si="12"/>
        <v>230</v>
      </c>
      <c r="J1796" s="23">
        <v>6</v>
      </c>
      <c r="K1796" s="23"/>
      <c r="L1796" s="68">
        <v>0.29166666666666669</v>
      </c>
      <c r="M1796" s="68">
        <v>0.47569444444444442</v>
      </c>
      <c r="N1796" s="173" t="str">
        <f t="shared" si="13"/>
        <v>265</v>
      </c>
      <c r="O1796" s="371">
        <f t="shared" si="14"/>
        <v>2280</v>
      </c>
      <c r="P1796" s="366">
        <f t="shared" si="15"/>
        <v>0.29166666666666669</v>
      </c>
      <c r="Q1796" s="366">
        <f t="shared" si="16"/>
        <v>0.47569444444444442</v>
      </c>
      <c r="R1796" s="367" t="str">
        <f t="shared" si="17"/>
        <v>265</v>
      </c>
    </row>
    <row r="1797" spans="1:18" x14ac:dyDescent="0.4">
      <c r="A1797" s="402">
        <v>46058</v>
      </c>
      <c r="B1797" s="392" t="s">
        <v>58</v>
      </c>
      <c r="C1797" s="375" t="s">
        <v>165</v>
      </c>
      <c r="D1797" s="406">
        <v>20</v>
      </c>
      <c r="E1797" s="77">
        <v>3</v>
      </c>
      <c r="F1797" s="1"/>
      <c r="G1797" s="76">
        <v>0.4513888888888889</v>
      </c>
      <c r="H1797" s="76">
        <v>0.63194444444444442</v>
      </c>
      <c r="I1797" s="372" t="str">
        <f t="shared" si="12"/>
        <v>200</v>
      </c>
      <c r="J1797" s="23">
        <v>6</v>
      </c>
      <c r="K1797" s="23"/>
      <c r="L1797" s="68">
        <v>0.47569444444444442</v>
      </c>
      <c r="M1797" s="68">
        <v>0.69791666666666663</v>
      </c>
      <c r="N1797" s="173" t="str">
        <f t="shared" si="13"/>
        <v>260</v>
      </c>
      <c r="O1797" s="371">
        <f t="shared" si="14"/>
        <v>2160</v>
      </c>
      <c r="P1797" s="366">
        <f t="shared" si="15"/>
        <v>0.4513888888888889</v>
      </c>
      <c r="Q1797" s="366">
        <f t="shared" si="16"/>
        <v>0.69791666666666663</v>
      </c>
      <c r="R1797" s="367" t="str">
        <f t="shared" si="17"/>
        <v>295</v>
      </c>
    </row>
    <row r="1798" spans="1:18" x14ac:dyDescent="0.4">
      <c r="A1798" s="212">
        <v>46059</v>
      </c>
      <c r="B1798" s="139" t="s">
        <v>71</v>
      </c>
      <c r="C1798" s="30" t="s">
        <v>176</v>
      </c>
      <c r="D1798" s="296">
        <v>72</v>
      </c>
      <c r="E1798" s="77">
        <v>6</v>
      </c>
      <c r="F1798" s="1"/>
      <c r="G1798" s="76">
        <v>0.29166666666666669</v>
      </c>
      <c r="H1798" s="76">
        <v>0.70833333333333337</v>
      </c>
      <c r="I1798" s="372" t="str">
        <f t="shared" si="12"/>
        <v>540</v>
      </c>
      <c r="J1798" s="23">
        <v>5</v>
      </c>
      <c r="K1798" s="23"/>
      <c r="L1798" s="68">
        <v>0.3125</v>
      </c>
      <c r="M1798" s="68">
        <v>0.72916666666666663</v>
      </c>
      <c r="N1798" s="173" t="str">
        <f t="shared" si="13"/>
        <v>540</v>
      </c>
      <c r="O1798" s="371">
        <f t="shared" si="14"/>
        <v>5940</v>
      </c>
      <c r="P1798" s="366">
        <f t="shared" si="15"/>
        <v>0.29166666666666669</v>
      </c>
      <c r="Q1798" s="366">
        <f t="shared" si="16"/>
        <v>0.72916666666666663</v>
      </c>
      <c r="R1798" s="367" t="str">
        <f t="shared" si="17"/>
        <v>570</v>
      </c>
    </row>
    <row r="1799" spans="1:18" x14ac:dyDescent="0.4">
      <c r="A1799" s="212">
        <v>46059</v>
      </c>
      <c r="B1799" s="139" t="s">
        <v>88</v>
      </c>
      <c r="C1799" s="30" t="s">
        <v>328</v>
      </c>
      <c r="D1799" s="296">
        <v>16</v>
      </c>
      <c r="E1799" s="77">
        <v>5</v>
      </c>
      <c r="F1799" s="1"/>
      <c r="G1799" s="76">
        <v>0.29166666666666669</v>
      </c>
      <c r="H1799" s="76">
        <v>0.42777777777777781</v>
      </c>
      <c r="I1799" s="372" t="str">
        <f t="shared" si="12"/>
        <v>196</v>
      </c>
      <c r="J1799" s="23">
        <v>3</v>
      </c>
      <c r="K1799" s="23"/>
      <c r="L1799" s="68">
        <v>0.3125</v>
      </c>
      <c r="M1799" s="68">
        <v>0.4513888888888889</v>
      </c>
      <c r="N1799" s="173" t="str">
        <f t="shared" si="13"/>
        <v>200</v>
      </c>
      <c r="O1799" s="371">
        <f t="shared" si="14"/>
        <v>1580</v>
      </c>
      <c r="P1799" s="366">
        <f t="shared" si="15"/>
        <v>0.29166666666666669</v>
      </c>
      <c r="Q1799" s="366">
        <f t="shared" si="16"/>
        <v>0.4513888888888889</v>
      </c>
      <c r="R1799" s="367" t="str">
        <f t="shared" si="17"/>
        <v>230</v>
      </c>
    </row>
    <row r="1800" spans="1:18" x14ac:dyDescent="0.4">
      <c r="A1800" s="212">
        <v>46059</v>
      </c>
      <c r="B1800" s="139" t="s">
        <v>81</v>
      </c>
      <c r="C1800" s="30" t="s">
        <v>235</v>
      </c>
      <c r="D1800" s="296">
        <v>12</v>
      </c>
      <c r="E1800" s="77">
        <v>5</v>
      </c>
      <c r="F1800" s="1"/>
      <c r="G1800" s="76">
        <v>0.57986111111111105</v>
      </c>
      <c r="H1800" s="76">
        <v>0.70833333333333337</v>
      </c>
      <c r="I1800" s="372" t="str">
        <f t="shared" si="12"/>
        <v>185</v>
      </c>
      <c r="J1800" s="23">
        <v>3</v>
      </c>
      <c r="K1800" s="23"/>
      <c r="L1800" s="68">
        <v>0.60416666666666663</v>
      </c>
      <c r="M1800" s="68">
        <v>0.70833333333333337</v>
      </c>
      <c r="N1800" s="173" t="str">
        <f t="shared" si="13"/>
        <v>150</v>
      </c>
      <c r="O1800" s="371">
        <f t="shared" si="14"/>
        <v>1375</v>
      </c>
      <c r="P1800" s="366">
        <f t="shared" si="15"/>
        <v>0.57986111111111105</v>
      </c>
      <c r="Q1800" s="366">
        <f t="shared" si="16"/>
        <v>0.70833333333333337</v>
      </c>
      <c r="R1800" s="367" t="str">
        <f t="shared" si="17"/>
        <v>185</v>
      </c>
    </row>
    <row r="1801" spans="1:18" x14ac:dyDescent="0.4">
      <c r="A1801" s="212">
        <v>46059</v>
      </c>
      <c r="B1801" s="139" t="s">
        <v>76</v>
      </c>
      <c r="C1801" s="30" t="s">
        <v>224</v>
      </c>
      <c r="D1801" s="296">
        <v>12</v>
      </c>
      <c r="E1801" s="77">
        <v>5</v>
      </c>
      <c r="F1801" s="1"/>
      <c r="G1801" s="76">
        <v>0.42777777777777781</v>
      </c>
      <c r="H1801" s="76">
        <v>0.57986111111111105</v>
      </c>
      <c r="I1801" s="372" t="str">
        <f t="shared" si="12"/>
        <v>159</v>
      </c>
      <c r="J1801" s="23">
        <v>3</v>
      </c>
      <c r="K1801" s="23"/>
      <c r="L1801" s="68">
        <v>0.4513888888888889</v>
      </c>
      <c r="M1801" s="68">
        <v>0.60416666666666663</v>
      </c>
      <c r="N1801" s="173" t="str">
        <f t="shared" si="13"/>
        <v>160</v>
      </c>
      <c r="O1801" s="371">
        <f t="shared" si="14"/>
        <v>1275</v>
      </c>
      <c r="P1801" s="366">
        <f t="shared" si="15"/>
        <v>0.42777777777777781</v>
      </c>
      <c r="Q1801" s="366">
        <f t="shared" si="16"/>
        <v>0.60416666666666663</v>
      </c>
      <c r="R1801" s="367" t="str">
        <f t="shared" si="17"/>
        <v>194</v>
      </c>
    </row>
    <row r="1802" spans="1:18" x14ac:dyDescent="0.4">
      <c r="A1802" s="212">
        <v>46059</v>
      </c>
      <c r="B1802" s="139" t="s">
        <v>65</v>
      </c>
      <c r="C1802" s="30" t="s">
        <v>189</v>
      </c>
      <c r="D1802" s="296">
        <v>72</v>
      </c>
      <c r="E1802" s="77">
        <v>3</v>
      </c>
      <c r="F1802" s="76">
        <v>3.4722222222222224E-2</v>
      </c>
      <c r="G1802" s="76">
        <v>0.29166666666666669</v>
      </c>
      <c r="H1802" s="76">
        <v>0.67361111111111116</v>
      </c>
      <c r="I1802" s="372" t="str">
        <f t="shared" si="12"/>
        <v>540</v>
      </c>
      <c r="J1802" s="23">
        <v>4</v>
      </c>
      <c r="K1802" s="23"/>
      <c r="L1802" s="68">
        <v>0.29166666666666669</v>
      </c>
      <c r="M1802" s="68">
        <v>0.70833333333333337</v>
      </c>
      <c r="N1802" s="173" t="str">
        <f t="shared" si="13"/>
        <v>540</v>
      </c>
      <c r="O1802" s="371">
        <f t="shared" si="14"/>
        <v>3780</v>
      </c>
      <c r="P1802" s="366">
        <f t="shared" si="15"/>
        <v>0.29166666666666669</v>
      </c>
      <c r="Q1802" s="366">
        <f t="shared" si="16"/>
        <v>0.70833333333333337</v>
      </c>
      <c r="R1802" s="367" t="str">
        <f t="shared" si="17"/>
        <v>540</v>
      </c>
    </row>
    <row r="1803" spans="1:18" x14ac:dyDescent="0.4">
      <c r="A1803" s="403">
        <v>46060</v>
      </c>
      <c r="B1803" s="383" t="s">
        <v>500</v>
      </c>
      <c r="C1803" s="390" t="s">
        <v>506</v>
      </c>
      <c r="D1803" s="405">
        <v>50</v>
      </c>
      <c r="E1803" s="384"/>
      <c r="F1803" s="385"/>
      <c r="G1803" s="396"/>
      <c r="H1803" s="396"/>
      <c r="I1803" s="386" t="str">
        <f t="shared" si="12"/>
        <v>0</v>
      </c>
      <c r="J1803" s="387"/>
      <c r="K1803" s="387"/>
      <c r="L1803" s="388"/>
      <c r="M1803" s="388"/>
      <c r="N1803" s="386" t="str">
        <f t="shared" si="13"/>
        <v>0</v>
      </c>
      <c r="O1803" s="387">
        <f t="shared" si="14"/>
        <v>0</v>
      </c>
      <c r="P1803" s="391">
        <f t="shared" si="15"/>
        <v>0</v>
      </c>
      <c r="Q1803" s="391">
        <f t="shared" si="16"/>
        <v>0</v>
      </c>
      <c r="R1803" s="389" t="str">
        <f t="shared" si="17"/>
        <v>0</v>
      </c>
    </row>
    <row r="1804" spans="1:18" x14ac:dyDescent="0.4">
      <c r="A1804" s="402">
        <v>46062</v>
      </c>
      <c r="B1804" s="392" t="s">
        <v>86</v>
      </c>
      <c r="C1804" s="364" t="s">
        <v>201</v>
      </c>
      <c r="D1804" s="404">
        <v>20</v>
      </c>
      <c r="E1804" s="369">
        <v>5</v>
      </c>
      <c r="F1804" s="370"/>
      <c r="G1804" s="368">
        <v>0.29166666666666669</v>
      </c>
      <c r="H1804" s="368">
        <v>0.5</v>
      </c>
      <c r="I1804" s="372" t="str">
        <f t="shared" si="12"/>
        <v>300</v>
      </c>
      <c r="J1804" s="371">
        <v>5</v>
      </c>
      <c r="K1804" s="371"/>
      <c r="L1804" s="365">
        <v>0.3125</v>
      </c>
      <c r="M1804" s="365">
        <v>0.5</v>
      </c>
      <c r="N1804" s="372" t="str">
        <f t="shared" si="13"/>
        <v>270</v>
      </c>
      <c r="O1804" s="371">
        <f t="shared" si="14"/>
        <v>2850</v>
      </c>
      <c r="P1804" s="366">
        <f t="shared" si="15"/>
        <v>0.29166666666666669</v>
      </c>
      <c r="Q1804" s="366">
        <f t="shared" si="16"/>
        <v>0.5</v>
      </c>
      <c r="R1804" s="367" t="str">
        <f t="shared" si="17"/>
        <v>300</v>
      </c>
    </row>
    <row r="1805" spans="1:18" x14ac:dyDescent="0.4">
      <c r="A1805" s="402">
        <v>46062</v>
      </c>
      <c r="B1805" s="392" t="s">
        <v>54</v>
      </c>
      <c r="C1805" s="364" t="s">
        <v>251</v>
      </c>
      <c r="D1805" s="404">
        <v>20</v>
      </c>
      <c r="E1805" s="369">
        <v>5</v>
      </c>
      <c r="F1805" s="370"/>
      <c r="G1805" s="368">
        <v>0.54166666666666663</v>
      </c>
      <c r="H1805" s="368">
        <v>0.70833333333333337</v>
      </c>
      <c r="I1805" s="372" t="str">
        <f t="shared" si="12"/>
        <v>240</v>
      </c>
      <c r="J1805" s="371">
        <v>3</v>
      </c>
      <c r="K1805" s="371"/>
      <c r="L1805" s="365">
        <v>0.54166666666666663</v>
      </c>
      <c r="M1805" s="365">
        <v>0.70833333333333337</v>
      </c>
      <c r="N1805" s="372" t="str">
        <f t="shared" si="13"/>
        <v>240</v>
      </c>
      <c r="O1805" s="371">
        <f t="shared" si="14"/>
        <v>1920</v>
      </c>
      <c r="P1805" s="366">
        <f t="shared" si="15"/>
        <v>0.54166666666666663</v>
      </c>
      <c r="Q1805" s="366">
        <f t="shared" si="16"/>
        <v>0.70833333333333337</v>
      </c>
      <c r="R1805" s="367" t="str">
        <f t="shared" si="17"/>
        <v>240</v>
      </c>
    </row>
    <row r="1806" spans="1:18" x14ac:dyDescent="0.4">
      <c r="A1806" s="402">
        <v>46062</v>
      </c>
      <c r="B1806" s="392" t="s">
        <v>55</v>
      </c>
      <c r="C1806" s="364" t="s">
        <v>208</v>
      </c>
      <c r="D1806" s="404">
        <v>36</v>
      </c>
      <c r="E1806" s="369">
        <v>5</v>
      </c>
      <c r="F1806" s="370"/>
      <c r="G1806" s="368">
        <v>0.34583333333333338</v>
      </c>
      <c r="H1806" s="368">
        <v>0.70833333333333337</v>
      </c>
      <c r="I1806" s="372" t="str">
        <f t="shared" si="12"/>
        <v>462</v>
      </c>
      <c r="J1806" s="371">
        <v>4</v>
      </c>
      <c r="K1806" s="371"/>
      <c r="L1806" s="365">
        <v>0.38541666666666669</v>
      </c>
      <c r="M1806" s="365">
        <v>0.72916666666666663</v>
      </c>
      <c r="N1806" s="372" t="str">
        <f t="shared" si="13"/>
        <v>435</v>
      </c>
      <c r="O1806" s="371">
        <f t="shared" si="14"/>
        <v>4050</v>
      </c>
      <c r="P1806" s="366">
        <f t="shared" si="15"/>
        <v>0.34583333333333338</v>
      </c>
      <c r="Q1806" s="366">
        <f t="shared" si="16"/>
        <v>0.72916666666666663</v>
      </c>
      <c r="R1806" s="367" t="str">
        <f t="shared" si="17"/>
        <v>492</v>
      </c>
    </row>
    <row r="1807" spans="1:18" x14ac:dyDescent="0.4">
      <c r="A1807" s="402">
        <v>46062</v>
      </c>
      <c r="B1807" s="392" t="s">
        <v>118</v>
      </c>
      <c r="C1807" s="364" t="s">
        <v>318</v>
      </c>
      <c r="D1807" s="404">
        <v>4</v>
      </c>
      <c r="E1807" s="369">
        <v>5</v>
      </c>
      <c r="F1807" s="370"/>
      <c r="G1807" s="368">
        <v>0.29166666666666669</v>
      </c>
      <c r="H1807" s="368">
        <v>0.34583333333333338</v>
      </c>
      <c r="I1807" s="372" t="str">
        <f t="shared" si="12"/>
        <v>78</v>
      </c>
      <c r="J1807" s="371">
        <v>4</v>
      </c>
      <c r="K1807" s="371"/>
      <c r="L1807" s="365">
        <v>0.3125</v>
      </c>
      <c r="M1807" s="365">
        <v>0.38541666666666669</v>
      </c>
      <c r="N1807" s="372" t="str">
        <f t="shared" si="13"/>
        <v>105</v>
      </c>
      <c r="O1807" s="371">
        <f t="shared" si="14"/>
        <v>810</v>
      </c>
      <c r="P1807" s="366">
        <f t="shared" si="15"/>
        <v>0.29166666666666669</v>
      </c>
      <c r="Q1807" s="366">
        <f t="shared" si="16"/>
        <v>0.38541666666666669</v>
      </c>
      <c r="R1807" s="367" t="str">
        <f t="shared" si="17"/>
        <v>135</v>
      </c>
    </row>
    <row r="1808" spans="1:18" x14ac:dyDescent="0.4">
      <c r="A1808" s="402">
        <v>46062</v>
      </c>
      <c r="B1808" s="392" t="s">
        <v>65</v>
      </c>
      <c r="C1808" s="364" t="s">
        <v>189</v>
      </c>
      <c r="D1808" s="404">
        <v>72</v>
      </c>
      <c r="E1808" s="369">
        <v>3</v>
      </c>
      <c r="F1808" s="368">
        <v>2.7777777777777776E-2</v>
      </c>
      <c r="G1808" s="368">
        <v>0.29166666666666669</v>
      </c>
      <c r="H1808" s="368">
        <v>0.69097222222222221</v>
      </c>
      <c r="I1808" s="372" t="str">
        <f t="shared" si="12"/>
        <v>555</v>
      </c>
      <c r="J1808" s="371">
        <v>4</v>
      </c>
      <c r="K1808" s="371"/>
      <c r="L1808" s="365">
        <v>0.29166666666666669</v>
      </c>
      <c r="M1808" s="365">
        <v>0.72916666666666663</v>
      </c>
      <c r="N1808" s="372" t="str">
        <f t="shared" si="13"/>
        <v>570</v>
      </c>
      <c r="O1808" s="371">
        <f t="shared" si="14"/>
        <v>3945</v>
      </c>
      <c r="P1808" s="366">
        <f t="shared" si="15"/>
        <v>0.29166666666666669</v>
      </c>
      <c r="Q1808" s="366">
        <f t="shared" si="16"/>
        <v>0.72916666666666663</v>
      </c>
      <c r="R1808" s="367" t="str">
        <f t="shared" si="17"/>
        <v>570</v>
      </c>
    </row>
    <row r="1809" spans="1:18" x14ac:dyDescent="0.4">
      <c r="A1809" s="402">
        <v>46063</v>
      </c>
      <c r="B1809" s="392" t="s">
        <v>80</v>
      </c>
      <c r="C1809" s="364" t="s">
        <v>203</v>
      </c>
      <c r="D1809" s="404">
        <v>36</v>
      </c>
      <c r="E1809" s="369">
        <v>6</v>
      </c>
      <c r="F1809" s="370"/>
      <c r="G1809" s="368">
        <v>0.29166666666666669</v>
      </c>
      <c r="H1809" s="368">
        <v>0.5</v>
      </c>
      <c r="I1809" s="372" t="str">
        <f t="shared" si="12"/>
        <v>300</v>
      </c>
      <c r="J1809" s="371">
        <v>5</v>
      </c>
      <c r="K1809" s="371"/>
      <c r="L1809" s="365">
        <v>0.3125</v>
      </c>
      <c r="M1809" s="365">
        <v>0.5</v>
      </c>
      <c r="N1809" s="372" t="str">
        <f t="shared" si="13"/>
        <v>270</v>
      </c>
      <c r="O1809" s="371">
        <f t="shared" si="14"/>
        <v>3150</v>
      </c>
      <c r="P1809" s="366">
        <f t="shared" si="15"/>
        <v>0.29166666666666669</v>
      </c>
      <c r="Q1809" s="366">
        <f t="shared" si="16"/>
        <v>0.5</v>
      </c>
      <c r="R1809" s="367" t="str">
        <f t="shared" si="17"/>
        <v>300</v>
      </c>
    </row>
    <row r="1810" spans="1:18" x14ac:dyDescent="0.4">
      <c r="A1810" s="402">
        <v>46063</v>
      </c>
      <c r="B1810" s="392" t="s">
        <v>87</v>
      </c>
      <c r="C1810" s="364" t="s">
        <v>199</v>
      </c>
      <c r="D1810" s="404">
        <v>36</v>
      </c>
      <c r="E1810" s="369">
        <v>6</v>
      </c>
      <c r="F1810" s="370"/>
      <c r="G1810" s="368">
        <v>0.54166666666666663</v>
      </c>
      <c r="H1810" s="368">
        <v>0.70833333333333337</v>
      </c>
      <c r="I1810" s="372" t="str">
        <f t="shared" si="12"/>
        <v>240</v>
      </c>
      <c r="J1810" s="371">
        <v>5</v>
      </c>
      <c r="K1810" s="371"/>
      <c r="L1810" s="365">
        <v>0.54166666666666663</v>
      </c>
      <c r="M1810" s="365">
        <v>0.72916666666666663</v>
      </c>
      <c r="N1810" s="372" t="str">
        <f t="shared" si="13"/>
        <v>270</v>
      </c>
      <c r="O1810" s="371">
        <f t="shared" si="14"/>
        <v>2790</v>
      </c>
      <c r="P1810" s="366">
        <f t="shared" si="15"/>
        <v>0.54166666666666663</v>
      </c>
      <c r="Q1810" s="366">
        <f t="shared" si="16"/>
        <v>0.72916666666666663</v>
      </c>
      <c r="R1810" s="367" t="str">
        <f t="shared" si="17"/>
        <v>270</v>
      </c>
    </row>
    <row r="1811" spans="1:18" x14ac:dyDescent="0.4">
      <c r="A1811" s="402">
        <v>46063</v>
      </c>
      <c r="B1811" s="392" t="s">
        <v>1046</v>
      </c>
      <c r="C1811" s="364" t="s">
        <v>1057</v>
      </c>
      <c r="D1811" s="404">
        <v>12</v>
      </c>
      <c r="E1811" s="369">
        <v>5</v>
      </c>
      <c r="F1811" s="370"/>
      <c r="G1811" s="368">
        <v>0.40972222222222227</v>
      </c>
      <c r="H1811" s="368">
        <v>0.5</v>
      </c>
      <c r="I1811" s="372" t="str">
        <f t="shared" si="12"/>
        <v>130</v>
      </c>
      <c r="J1811" s="371">
        <v>3</v>
      </c>
      <c r="K1811" s="371"/>
      <c r="L1811" s="365">
        <v>0.44097222222222227</v>
      </c>
      <c r="M1811" s="365">
        <v>0.56944444444444442</v>
      </c>
      <c r="N1811" s="372" t="str">
        <f t="shared" si="13"/>
        <v>125</v>
      </c>
      <c r="O1811" s="371">
        <f t="shared" si="14"/>
        <v>1025</v>
      </c>
      <c r="P1811" s="366">
        <f t="shared" si="15"/>
        <v>0.40972222222222227</v>
      </c>
      <c r="Q1811" s="366">
        <f t="shared" si="16"/>
        <v>0.56944444444444442</v>
      </c>
      <c r="R1811" s="367" t="str">
        <f t="shared" si="17"/>
        <v>170</v>
      </c>
    </row>
    <row r="1812" spans="1:18" x14ac:dyDescent="0.4">
      <c r="A1812" s="402">
        <v>46063</v>
      </c>
      <c r="B1812" s="392" t="s">
        <v>64</v>
      </c>
      <c r="C1812" s="364" t="s">
        <v>271</v>
      </c>
      <c r="D1812" s="404">
        <v>16</v>
      </c>
      <c r="E1812" s="369">
        <v>5</v>
      </c>
      <c r="F1812" s="370"/>
      <c r="G1812" s="368">
        <v>0.54166666666666663</v>
      </c>
      <c r="H1812" s="368">
        <v>0.66666666666666663</v>
      </c>
      <c r="I1812" s="372" t="str">
        <f t="shared" si="12"/>
        <v>180</v>
      </c>
      <c r="J1812" s="371">
        <v>3</v>
      </c>
      <c r="K1812" s="371"/>
      <c r="L1812" s="365">
        <v>0.56944444444444442</v>
      </c>
      <c r="M1812" s="365">
        <v>0.70833333333333337</v>
      </c>
      <c r="N1812" s="372" t="str">
        <f t="shared" si="13"/>
        <v>200</v>
      </c>
      <c r="O1812" s="371">
        <f t="shared" si="14"/>
        <v>1500</v>
      </c>
      <c r="P1812" s="366">
        <f t="shared" si="15"/>
        <v>0.54166666666666663</v>
      </c>
      <c r="Q1812" s="366">
        <f t="shared" si="16"/>
        <v>0.70833333333333337</v>
      </c>
      <c r="R1812" s="367" t="str">
        <f t="shared" si="17"/>
        <v>240</v>
      </c>
    </row>
    <row r="1813" spans="1:18" x14ac:dyDescent="0.4">
      <c r="A1813" s="402">
        <v>46063</v>
      </c>
      <c r="B1813" s="392" t="s">
        <v>76</v>
      </c>
      <c r="C1813" s="364" t="s">
        <v>224</v>
      </c>
      <c r="D1813" s="404">
        <v>12</v>
      </c>
      <c r="E1813" s="369">
        <v>5</v>
      </c>
      <c r="F1813" s="370"/>
      <c r="G1813" s="368">
        <v>0.29166666666666669</v>
      </c>
      <c r="H1813" s="368">
        <v>0.40972222222222227</v>
      </c>
      <c r="I1813" s="372" t="str">
        <f t="shared" si="12"/>
        <v>170</v>
      </c>
      <c r="J1813" s="371">
        <v>3</v>
      </c>
      <c r="K1813" s="371"/>
      <c r="L1813" s="365">
        <v>0.3125</v>
      </c>
      <c r="M1813" s="365">
        <v>0.44097222222222227</v>
      </c>
      <c r="N1813" s="372" t="str">
        <f t="shared" si="13"/>
        <v>185</v>
      </c>
      <c r="O1813" s="371">
        <f t="shared" si="14"/>
        <v>1405</v>
      </c>
      <c r="P1813" s="366">
        <f t="shared" si="15"/>
        <v>0.29166666666666669</v>
      </c>
      <c r="Q1813" s="366">
        <f t="shared" si="16"/>
        <v>0.44097222222222227</v>
      </c>
      <c r="R1813" s="367" t="str">
        <f t="shared" si="17"/>
        <v>215</v>
      </c>
    </row>
    <row r="1814" spans="1:18" x14ac:dyDescent="0.4">
      <c r="A1814" s="402">
        <v>46063</v>
      </c>
      <c r="B1814" s="392" t="s">
        <v>65</v>
      </c>
      <c r="C1814" s="364" t="s">
        <v>189</v>
      </c>
      <c r="D1814" s="404">
        <v>72</v>
      </c>
      <c r="E1814" s="369">
        <v>3</v>
      </c>
      <c r="F1814" s="368">
        <v>3.4722222222222224E-2</v>
      </c>
      <c r="G1814" s="368">
        <v>0.29166666666666669</v>
      </c>
      <c r="H1814" s="368">
        <v>0.67361111111111116</v>
      </c>
      <c r="I1814" s="372" t="str">
        <f t="shared" si="12"/>
        <v>540</v>
      </c>
      <c r="J1814" s="371">
        <v>4</v>
      </c>
      <c r="K1814" s="371"/>
      <c r="L1814" s="365">
        <v>0.29166666666666669</v>
      </c>
      <c r="M1814" s="365">
        <v>0.71180555555555547</v>
      </c>
      <c r="N1814" s="372" t="str">
        <f t="shared" si="13"/>
        <v>545</v>
      </c>
      <c r="O1814" s="371">
        <f t="shared" si="14"/>
        <v>3800</v>
      </c>
      <c r="P1814" s="366">
        <f t="shared" si="15"/>
        <v>0.29166666666666669</v>
      </c>
      <c r="Q1814" s="366">
        <f t="shared" si="16"/>
        <v>0.71180555555555547</v>
      </c>
      <c r="R1814" s="367" t="str">
        <f t="shared" si="17"/>
        <v>545</v>
      </c>
    </row>
    <row r="1815" spans="1:18" x14ac:dyDescent="0.4">
      <c r="A1815" s="402">
        <v>46064</v>
      </c>
      <c r="B1815" s="392" t="s">
        <v>54</v>
      </c>
      <c r="C1815" s="364" t="s">
        <v>251</v>
      </c>
      <c r="D1815" s="404">
        <v>16</v>
      </c>
      <c r="E1815" s="369">
        <v>5</v>
      </c>
      <c r="F1815" s="370"/>
      <c r="G1815" s="368">
        <v>0.3611111111111111</v>
      </c>
      <c r="H1815" s="368">
        <v>0.57222222222222219</v>
      </c>
      <c r="I1815" s="372" t="str">
        <f t="shared" si="12"/>
        <v>244</v>
      </c>
      <c r="J1815" s="371">
        <v>3</v>
      </c>
      <c r="K1815" s="371"/>
      <c r="L1815" s="365">
        <v>0.40277777777777773</v>
      </c>
      <c r="M1815" s="365">
        <v>0.59722222222222221</v>
      </c>
      <c r="N1815" s="372" t="str">
        <f t="shared" si="13"/>
        <v>220</v>
      </c>
      <c r="O1815" s="371">
        <f t="shared" si="14"/>
        <v>1880</v>
      </c>
      <c r="P1815" s="366">
        <f t="shared" si="15"/>
        <v>0.3611111111111111</v>
      </c>
      <c r="Q1815" s="366">
        <f t="shared" si="16"/>
        <v>0.59722222222222221</v>
      </c>
      <c r="R1815" s="367" t="str">
        <f t="shared" si="17"/>
        <v>280</v>
      </c>
    </row>
    <row r="1816" spans="1:18" x14ac:dyDescent="0.4">
      <c r="A1816" s="402">
        <v>46064</v>
      </c>
      <c r="B1816" s="392" t="s">
        <v>51</v>
      </c>
      <c r="C1816" s="364" t="s">
        <v>253</v>
      </c>
      <c r="D1816" s="404">
        <v>16</v>
      </c>
      <c r="E1816" s="369">
        <v>5</v>
      </c>
      <c r="F1816" s="370"/>
      <c r="G1816" s="368">
        <v>0.57222222222222219</v>
      </c>
      <c r="H1816" s="368">
        <v>0.70833333333333337</v>
      </c>
      <c r="I1816" s="372" t="str">
        <f t="shared" si="12"/>
        <v>196</v>
      </c>
      <c r="J1816" s="371">
        <v>3</v>
      </c>
      <c r="K1816" s="371"/>
      <c r="L1816" s="365">
        <v>0.59722222222222221</v>
      </c>
      <c r="M1816" s="365">
        <v>0.75</v>
      </c>
      <c r="N1816" s="372" t="str">
        <f t="shared" si="13"/>
        <v>220</v>
      </c>
      <c r="O1816" s="371">
        <f t="shared" si="14"/>
        <v>1640</v>
      </c>
      <c r="P1816" s="366">
        <f t="shared" si="15"/>
        <v>0.57222222222222219</v>
      </c>
      <c r="Q1816" s="366">
        <f t="shared" si="16"/>
        <v>0.75</v>
      </c>
      <c r="R1816" s="367" t="str">
        <f t="shared" si="17"/>
        <v>256</v>
      </c>
    </row>
    <row r="1817" spans="1:18" x14ac:dyDescent="0.4">
      <c r="A1817" s="402">
        <v>46064</v>
      </c>
      <c r="B1817" s="392" t="s">
        <v>53</v>
      </c>
      <c r="C1817" s="364" t="s">
        <v>261</v>
      </c>
      <c r="D1817" s="404">
        <v>6</v>
      </c>
      <c r="E1817" s="369">
        <v>5</v>
      </c>
      <c r="F1817" s="370"/>
      <c r="G1817" s="368">
        <v>0.29166666666666669</v>
      </c>
      <c r="H1817" s="368">
        <v>0.3611111111111111</v>
      </c>
      <c r="I1817" s="372" t="str">
        <f t="shared" si="12"/>
        <v>100</v>
      </c>
      <c r="J1817" s="371">
        <v>3</v>
      </c>
      <c r="K1817" s="371"/>
      <c r="L1817" s="365">
        <v>0.3125</v>
      </c>
      <c r="M1817" s="365">
        <v>0.40277777777777773</v>
      </c>
      <c r="N1817" s="372" t="str">
        <f t="shared" si="13"/>
        <v>130</v>
      </c>
      <c r="O1817" s="371">
        <f t="shared" si="14"/>
        <v>890</v>
      </c>
      <c r="P1817" s="366">
        <f t="shared" si="15"/>
        <v>0.29166666666666669</v>
      </c>
      <c r="Q1817" s="366">
        <f t="shared" si="16"/>
        <v>0.40277777777777773</v>
      </c>
      <c r="R1817" s="367" t="str">
        <f t="shared" si="17"/>
        <v>160</v>
      </c>
    </row>
    <row r="1818" spans="1:18" x14ac:dyDescent="0.4">
      <c r="A1818" s="402">
        <v>46064</v>
      </c>
      <c r="B1818" s="392" t="s">
        <v>547</v>
      </c>
      <c r="C1818" s="364" t="s">
        <v>205</v>
      </c>
      <c r="D1818" s="404">
        <v>16</v>
      </c>
      <c r="E1818" s="369">
        <v>5</v>
      </c>
      <c r="F1818" s="370"/>
      <c r="G1818" s="368">
        <v>0.29166666666666669</v>
      </c>
      <c r="H1818" s="368">
        <v>0.42708333333333331</v>
      </c>
      <c r="I1818" s="372" t="str">
        <f t="shared" si="12"/>
        <v>195</v>
      </c>
      <c r="J1818" s="371">
        <v>4</v>
      </c>
      <c r="K1818" s="371"/>
      <c r="L1818" s="365">
        <v>0.3125</v>
      </c>
      <c r="M1818" s="365">
        <v>0.46527777777777773</v>
      </c>
      <c r="N1818" s="372" t="str">
        <f t="shared" si="13"/>
        <v>220</v>
      </c>
      <c r="O1818" s="371">
        <f t="shared" si="14"/>
        <v>1855</v>
      </c>
      <c r="P1818" s="366">
        <f t="shared" si="15"/>
        <v>0.29166666666666669</v>
      </c>
      <c r="Q1818" s="366">
        <f t="shared" si="16"/>
        <v>0.46527777777777773</v>
      </c>
      <c r="R1818" s="367" t="str">
        <f t="shared" si="17"/>
        <v>250</v>
      </c>
    </row>
    <row r="1819" spans="1:18" x14ac:dyDescent="0.4">
      <c r="A1819" s="402">
        <v>46064</v>
      </c>
      <c r="B1819" s="392" t="s">
        <v>117</v>
      </c>
      <c r="C1819" s="364" t="s">
        <v>304</v>
      </c>
      <c r="D1819" s="404">
        <v>12</v>
      </c>
      <c r="E1819" s="369">
        <v>5</v>
      </c>
      <c r="F1819" s="370"/>
      <c r="G1819" s="368">
        <v>0.42708333333333331</v>
      </c>
      <c r="H1819" s="368">
        <v>0.61944444444444446</v>
      </c>
      <c r="I1819" s="372" t="str">
        <f t="shared" si="12"/>
        <v>217</v>
      </c>
      <c r="J1819" s="371">
        <v>4</v>
      </c>
      <c r="K1819" s="371"/>
      <c r="L1819" s="365">
        <v>0.46527777777777773</v>
      </c>
      <c r="M1819" s="365">
        <v>0.65972222222222221</v>
      </c>
      <c r="N1819" s="372" t="str">
        <f t="shared" si="13"/>
        <v>220</v>
      </c>
      <c r="O1819" s="371">
        <f t="shared" si="14"/>
        <v>1965</v>
      </c>
      <c r="P1819" s="366">
        <f t="shared" si="15"/>
        <v>0.42708333333333331</v>
      </c>
      <c r="Q1819" s="366">
        <f t="shared" si="16"/>
        <v>0.65972222222222221</v>
      </c>
      <c r="R1819" s="367" t="str">
        <f t="shared" si="17"/>
        <v>275</v>
      </c>
    </row>
    <row r="1820" spans="1:18" x14ac:dyDescent="0.4">
      <c r="A1820" s="402">
        <v>46064</v>
      </c>
      <c r="B1820" s="392" t="s">
        <v>130</v>
      </c>
      <c r="C1820" s="364" t="s">
        <v>216</v>
      </c>
      <c r="D1820" s="404">
        <v>12</v>
      </c>
      <c r="E1820" s="369">
        <v>5</v>
      </c>
      <c r="F1820" s="370"/>
      <c r="G1820" s="368">
        <v>0.61944444444444446</v>
      </c>
      <c r="H1820" s="368">
        <v>0.75</v>
      </c>
      <c r="I1820" s="372" t="str">
        <f t="shared" si="12"/>
        <v>188</v>
      </c>
      <c r="J1820" s="371">
        <v>4</v>
      </c>
      <c r="K1820" s="371"/>
      <c r="L1820" s="365">
        <v>0.65972222222222221</v>
      </c>
      <c r="M1820" s="365">
        <v>0.79166666666666663</v>
      </c>
      <c r="N1820" s="372" t="str">
        <f t="shared" si="13"/>
        <v>190</v>
      </c>
      <c r="O1820" s="371">
        <f t="shared" si="14"/>
        <v>1700</v>
      </c>
      <c r="P1820" s="366">
        <f t="shared" si="15"/>
        <v>0.61944444444444446</v>
      </c>
      <c r="Q1820" s="366">
        <f t="shared" si="16"/>
        <v>0.79166666666666663</v>
      </c>
      <c r="R1820" s="367" t="str">
        <f t="shared" si="17"/>
        <v>248</v>
      </c>
    </row>
    <row r="1821" spans="1:18" x14ac:dyDescent="0.4">
      <c r="A1821" s="402">
        <v>46064</v>
      </c>
      <c r="B1821" s="392" t="s">
        <v>66</v>
      </c>
      <c r="C1821" s="364" t="s">
        <v>195</v>
      </c>
      <c r="D1821" s="404">
        <v>20</v>
      </c>
      <c r="E1821" s="369">
        <v>3</v>
      </c>
      <c r="F1821" s="368">
        <v>1.7361111111111112E-2</v>
      </c>
      <c r="G1821" s="368">
        <v>0.29166666666666669</v>
      </c>
      <c r="H1821" s="368">
        <v>0.4375</v>
      </c>
      <c r="I1821" s="372" t="str">
        <f t="shared" si="12"/>
        <v>235</v>
      </c>
      <c r="J1821" s="371">
        <v>4</v>
      </c>
      <c r="K1821" s="371"/>
      <c r="L1821" s="365">
        <v>0.29166666666666669</v>
      </c>
      <c r="M1821" s="365">
        <v>0.50694444444444442</v>
      </c>
      <c r="N1821" s="372" t="str">
        <f t="shared" si="13"/>
        <v>310</v>
      </c>
      <c r="O1821" s="371">
        <f t="shared" si="14"/>
        <v>1945</v>
      </c>
      <c r="P1821" s="366">
        <f t="shared" si="15"/>
        <v>0.29166666666666669</v>
      </c>
      <c r="Q1821" s="366">
        <f t="shared" si="16"/>
        <v>0.50694444444444442</v>
      </c>
      <c r="R1821" s="367" t="str">
        <f t="shared" si="17"/>
        <v>310</v>
      </c>
    </row>
    <row r="1822" spans="1:18" x14ac:dyDescent="0.4">
      <c r="A1822" s="402">
        <v>46064</v>
      </c>
      <c r="B1822" s="392" t="s">
        <v>642</v>
      </c>
      <c r="C1822" s="364" t="s">
        <v>643</v>
      </c>
      <c r="D1822" s="404">
        <v>20</v>
      </c>
      <c r="E1822" s="369">
        <v>3</v>
      </c>
      <c r="F1822" s="368">
        <v>1.7361111111111112E-2</v>
      </c>
      <c r="G1822" s="368">
        <v>0.4375</v>
      </c>
      <c r="H1822" s="368">
        <v>0.64583333333333337</v>
      </c>
      <c r="I1822" s="372" t="str">
        <f t="shared" si="12"/>
        <v>265</v>
      </c>
      <c r="J1822" s="371">
        <v>4</v>
      </c>
      <c r="K1822" s="371"/>
      <c r="L1822" s="365">
        <v>0.54166666666666663</v>
      </c>
      <c r="M1822" s="365">
        <v>0.72916666666666663</v>
      </c>
      <c r="N1822" s="372" t="str">
        <f t="shared" si="13"/>
        <v>270</v>
      </c>
      <c r="O1822" s="371">
        <f t="shared" si="14"/>
        <v>1875</v>
      </c>
      <c r="P1822" s="366">
        <f t="shared" si="15"/>
        <v>0.4375</v>
      </c>
      <c r="Q1822" s="366">
        <f t="shared" si="16"/>
        <v>0.72916666666666663</v>
      </c>
      <c r="R1822" s="367" t="str">
        <f t="shared" si="17"/>
        <v>360</v>
      </c>
    </row>
    <row r="1823" spans="1:18" x14ac:dyDescent="0.4">
      <c r="A1823" s="402">
        <v>46065</v>
      </c>
      <c r="B1823" s="392" t="s">
        <v>71</v>
      </c>
      <c r="C1823" s="364" t="s">
        <v>176</v>
      </c>
      <c r="D1823" s="404">
        <v>72</v>
      </c>
      <c r="E1823" s="369">
        <v>6</v>
      </c>
      <c r="F1823" s="370"/>
      <c r="G1823" s="368">
        <v>0.29166666666666669</v>
      </c>
      <c r="H1823" s="368">
        <v>0.70833333333333337</v>
      </c>
      <c r="I1823" s="372" t="str">
        <f t="shared" si="12"/>
        <v>540</v>
      </c>
      <c r="J1823" s="371">
        <v>5</v>
      </c>
      <c r="K1823" s="371"/>
      <c r="L1823" s="365">
        <v>0.3125</v>
      </c>
      <c r="M1823" s="365">
        <v>0.72916666666666663</v>
      </c>
      <c r="N1823" s="372" t="str">
        <f t="shared" si="13"/>
        <v>540</v>
      </c>
      <c r="O1823" s="371">
        <f t="shared" si="14"/>
        <v>5940</v>
      </c>
      <c r="P1823" s="366">
        <f t="shared" si="15"/>
        <v>0.29166666666666669</v>
      </c>
      <c r="Q1823" s="366">
        <f t="shared" si="16"/>
        <v>0.72916666666666663</v>
      </c>
      <c r="R1823" s="367" t="str">
        <f t="shared" si="17"/>
        <v>570</v>
      </c>
    </row>
    <row r="1824" spans="1:18" x14ac:dyDescent="0.4">
      <c r="A1824" s="402">
        <v>46065</v>
      </c>
      <c r="B1824" s="392" t="s">
        <v>63</v>
      </c>
      <c r="C1824" s="364" t="s">
        <v>267</v>
      </c>
      <c r="D1824" s="404">
        <v>24</v>
      </c>
      <c r="E1824" s="369">
        <v>5</v>
      </c>
      <c r="F1824" s="370"/>
      <c r="G1824" s="368">
        <v>0.41805555555555557</v>
      </c>
      <c r="H1824" s="368">
        <v>0.66666666666666663</v>
      </c>
      <c r="I1824" s="372" t="str">
        <f t="shared" si="12"/>
        <v>298</v>
      </c>
      <c r="J1824" s="371">
        <v>3</v>
      </c>
      <c r="K1824" s="371"/>
      <c r="L1824" s="365">
        <v>0.44444444444444442</v>
      </c>
      <c r="M1824" s="365">
        <v>0.6875</v>
      </c>
      <c r="N1824" s="372" t="str">
        <f t="shared" si="13"/>
        <v>290</v>
      </c>
      <c r="O1824" s="371">
        <f t="shared" si="14"/>
        <v>2360</v>
      </c>
      <c r="P1824" s="366">
        <f t="shared" si="15"/>
        <v>0.41805555555555557</v>
      </c>
      <c r="Q1824" s="366">
        <f t="shared" si="16"/>
        <v>0.6875</v>
      </c>
      <c r="R1824" s="367" t="str">
        <f t="shared" si="17"/>
        <v>328</v>
      </c>
    </row>
    <row r="1825" spans="1:18" x14ac:dyDescent="0.4">
      <c r="A1825" s="402">
        <v>46065</v>
      </c>
      <c r="B1825" s="392" t="s">
        <v>965</v>
      </c>
      <c r="C1825" s="364" t="s">
        <v>966</v>
      </c>
      <c r="D1825" s="404">
        <v>16</v>
      </c>
      <c r="E1825" s="369">
        <v>5</v>
      </c>
      <c r="F1825" s="370"/>
      <c r="G1825" s="368">
        <v>0.29166666666666669</v>
      </c>
      <c r="H1825" s="368">
        <v>0.41805555555555557</v>
      </c>
      <c r="I1825" s="372" t="str">
        <f t="shared" si="12"/>
        <v>182</v>
      </c>
      <c r="J1825" s="371">
        <v>3</v>
      </c>
      <c r="K1825" s="371"/>
      <c r="L1825" s="365">
        <v>0.3125</v>
      </c>
      <c r="M1825" s="365">
        <v>0.44444444444444442</v>
      </c>
      <c r="N1825" s="372" t="str">
        <f t="shared" si="13"/>
        <v>190</v>
      </c>
      <c r="O1825" s="371">
        <f t="shared" si="14"/>
        <v>1480</v>
      </c>
      <c r="P1825" s="366">
        <f t="shared" si="15"/>
        <v>0.29166666666666669</v>
      </c>
      <c r="Q1825" s="366">
        <f t="shared" si="16"/>
        <v>0.44444444444444442</v>
      </c>
      <c r="R1825" s="367" t="str">
        <f t="shared" si="17"/>
        <v>220</v>
      </c>
    </row>
    <row r="1826" spans="1:18" x14ac:dyDescent="0.4">
      <c r="A1826" s="402">
        <v>46065</v>
      </c>
      <c r="B1826" s="392" t="s">
        <v>471</v>
      </c>
      <c r="C1826" s="364" t="s">
        <v>280</v>
      </c>
      <c r="D1826" s="404">
        <v>8</v>
      </c>
      <c r="E1826" s="369">
        <v>3</v>
      </c>
      <c r="F1826" s="368">
        <v>1.3888888888888888E-2</v>
      </c>
      <c r="G1826" s="368">
        <v>0.35416666666666669</v>
      </c>
      <c r="H1826" s="368">
        <v>0.47222222222222227</v>
      </c>
      <c r="I1826" s="372" t="str">
        <f t="shared" si="12"/>
        <v>190</v>
      </c>
      <c r="J1826" s="371">
        <v>8</v>
      </c>
      <c r="K1826" s="371"/>
      <c r="L1826" s="365">
        <v>0.46875</v>
      </c>
      <c r="M1826" s="365">
        <v>0.70486111111111116</v>
      </c>
      <c r="N1826" s="372" t="str">
        <f t="shared" si="13"/>
        <v>280</v>
      </c>
      <c r="O1826" s="371">
        <f t="shared" si="14"/>
        <v>2810</v>
      </c>
      <c r="P1826" s="366">
        <f t="shared" si="15"/>
        <v>0.35416666666666669</v>
      </c>
      <c r="Q1826" s="366">
        <f t="shared" si="16"/>
        <v>0.70486111111111116</v>
      </c>
      <c r="R1826" s="367" t="str">
        <f t="shared" si="17"/>
        <v>445</v>
      </c>
    </row>
    <row r="1827" spans="1:18" x14ac:dyDescent="0.4">
      <c r="A1827" s="402">
        <v>46065</v>
      </c>
      <c r="B1827" s="392" t="s">
        <v>597</v>
      </c>
      <c r="C1827" s="364" t="s">
        <v>283</v>
      </c>
      <c r="D1827" s="404">
        <v>8</v>
      </c>
      <c r="E1827" s="369">
        <v>3</v>
      </c>
      <c r="F1827" s="368">
        <v>1.3888888888888888E-2</v>
      </c>
      <c r="G1827" s="368">
        <v>0.29166666666666669</v>
      </c>
      <c r="H1827" s="368">
        <v>0.35416666666666669</v>
      </c>
      <c r="I1827" s="372" t="str">
        <f t="shared" si="12"/>
        <v>110</v>
      </c>
      <c r="J1827" s="371">
        <v>8</v>
      </c>
      <c r="K1827" s="371"/>
      <c r="L1827" s="365">
        <v>0.29166666666666669</v>
      </c>
      <c r="M1827" s="365">
        <v>0.46875</v>
      </c>
      <c r="N1827" s="372" t="str">
        <f t="shared" si="13"/>
        <v>255</v>
      </c>
      <c r="O1827" s="371">
        <f t="shared" si="14"/>
        <v>2370</v>
      </c>
      <c r="P1827" s="366">
        <f t="shared" si="15"/>
        <v>0.29166666666666669</v>
      </c>
      <c r="Q1827" s="366">
        <f t="shared" si="16"/>
        <v>0.46875</v>
      </c>
      <c r="R1827" s="367" t="str">
        <f t="shared" si="17"/>
        <v>255</v>
      </c>
    </row>
    <row r="1828" spans="1:18" x14ac:dyDescent="0.4">
      <c r="A1828" s="402">
        <v>46066</v>
      </c>
      <c r="B1828" s="392" t="s">
        <v>61</v>
      </c>
      <c r="C1828" s="375" t="s">
        <v>156</v>
      </c>
      <c r="D1828" s="406">
        <v>8</v>
      </c>
      <c r="E1828" s="369">
        <v>5</v>
      </c>
      <c r="F1828" s="370"/>
      <c r="G1828" s="368">
        <v>0.29166666666666669</v>
      </c>
      <c r="H1828" s="368">
        <v>0.39444444444444443</v>
      </c>
      <c r="I1828" s="372" t="str">
        <f t="shared" si="12"/>
        <v>148</v>
      </c>
      <c r="J1828" s="371">
        <v>10</v>
      </c>
      <c r="K1828" s="371"/>
      <c r="L1828" s="365">
        <v>0.3125</v>
      </c>
      <c r="M1828" s="365">
        <v>0.4513888888888889</v>
      </c>
      <c r="N1828" s="372" t="str">
        <f t="shared" si="13"/>
        <v>200</v>
      </c>
      <c r="O1828" s="371">
        <f t="shared" si="14"/>
        <v>2740</v>
      </c>
      <c r="P1828" s="366">
        <f t="shared" si="15"/>
        <v>0.29166666666666669</v>
      </c>
      <c r="Q1828" s="366">
        <f t="shared" si="16"/>
        <v>0.4513888888888889</v>
      </c>
      <c r="R1828" s="367" t="str">
        <f t="shared" si="17"/>
        <v>230</v>
      </c>
    </row>
    <row r="1829" spans="1:18" x14ac:dyDescent="0.4">
      <c r="A1829" s="402">
        <v>46066</v>
      </c>
      <c r="B1829" s="392" t="s">
        <v>472</v>
      </c>
      <c r="C1829" s="375" t="s">
        <v>285</v>
      </c>
      <c r="D1829" s="406">
        <v>4</v>
      </c>
      <c r="E1829" s="369">
        <v>5</v>
      </c>
      <c r="F1829" s="370"/>
      <c r="G1829" s="368">
        <v>0.39444444444444443</v>
      </c>
      <c r="H1829" s="368">
        <v>0.5</v>
      </c>
      <c r="I1829" s="372" t="str">
        <f t="shared" si="12"/>
        <v>152</v>
      </c>
      <c r="J1829" s="371">
        <v>9</v>
      </c>
      <c r="K1829" s="371"/>
      <c r="L1829" s="365">
        <v>0.4513888888888889</v>
      </c>
      <c r="M1829" s="365">
        <v>0.5625</v>
      </c>
      <c r="N1829" s="372" t="str">
        <f t="shared" si="13"/>
        <v>100</v>
      </c>
      <c r="O1829" s="371">
        <f t="shared" si="14"/>
        <v>1660</v>
      </c>
      <c r="P1829" s="366">
        <f t="shared" si="15"/>
        <v>0.39444444444444443</v>
      </c>
      <c r="Q1829" s="366">
        <f t="shared" si="16"/>
        <v>0.5625</v>
      </c>
      <c r="R1829" s="367" t="str">
        <f t="shared" si="17"/>
        <v>182</v>
      </c>
    </row>
    <row r="1830" spans="1:18" x14ac:dyDescent="0.4">
      <c r="A1830" s="402">
        <v>46066</v>
      </c>
      <c r="B1830" s="392" t="s">
        <v>104</v>
      </c>
      <c r="C1830" s="375" t="s">
        <v>191</v>
      </c>
      <c r="D1830" s="406">
        <v>36</v>
      </c>
      <c r="E1830" s="369">
        <v>3</v>
      </c>
      <c r="F1830" s="368">
        <v>2.0833333333333332E-2</v>
      </c>
      <c r="G1830" s="368">
        <v>0.29166666666666669</v>
      </c>
      <c r="H1830" s="368">
        <v>0.49305555555555558</v>
      </c>
      <c r="I1830" s="372" t="str">
        <f t="shared" si="12"/>
        <v>320</v>
      </c>
      <c r="J1830" s="371">
        <v>4</v>
      </c>
      <c r="K1830" s="371"/>
      <c r="L1830" s="365">
        <v>0.29166666666666669</v>
      </c>
      <c r="M1830" s="365">
        <v>0.60069444444444442</v>
      </c>
      <c r="N1830" s="372" t="str">
        <f t="shared" si="13"/>
        <v>385</v>
      </c>
      <c r="O1830" s="371">
        <f t="shared" si="14"/>
        <v>2500</v>
      </c>
      <c r="P1830" s="366">
        <f t="shared" si="15"/>
        <v>0.29166666666666669</v>
      </c>
      <c r="Q1830" s="366">
        <f t="shared" si="16"/>
        <v>0.60069444444444442</v>
      </c>
      <c r="R1830" s="367" t="str">
        <f t="shared" si="17"/>
        <v>385</v>
      </c>
    </row>
    <row r="1831" spans="1:18" x14ac:dyDescent="0.4">
      <c r="A1831" s="402">
        <v>46076</v>
      </c>
      <c r="B1831" s="392" t="s">
        <v>71</v>
      </c>
      <c r="C1831" s="364" t="s">
        <v>176</v>
      </c>
      <c r="D1831" s="404">
        <v>72</v>
      </c>
      <c r="E1831" s="77">
        <v>6</v>
      </c>
      <c r="F1831" s="1"/>
      <c r="G1831" s="76">
        <v>0.29166666666666669</v>
      </c>
      <c r="H1831" s="76">
        <v>0.70833333333333337</v>
      </c>
      <c r="I1831" s="372" t="str">
        <f t="shared" si="12"/>
        <v>540</v>
      </c>
      <c r="J1831" s="23">
        <v>5</v>
      </c>
      <c r="K1831" s="23"/>
      <c r="L1831" s="68">
        <v>0.3125</v>
      </c>
      <c r="M1831" s="68">
        <v>0.70833333333333337</v>
      </c>
      <c r="N1831" s="173" t="str">
        <f t="shared" si="13"/>
        <v>510</v>
      </c>
      <c r="O1831" s="371">
        <f t="shared" si="14"/>
        <v>5790</v>
      </c>
      <c r="P1831" s="366">
        <f t="shared" si="15"/>
        <v>0.29166666666666669</v>
      </c>
      <c r="Q1831" s="366">
        <f t="shared" si="16"/>
        <v>0.70833333333333337</v>
      </c>
      <c r="R1831" s="367" t="str">
        <f t="shared" si="17"/>
        <v>540</v>
      </c>
    </row>
    <row r="1832" spans="1:18" x14ac:dyDescent="0.4">
      <c r="A1832" s="402">
        <v>46076</v>
      </c>
      <c r="B1832" s="392" t="s">
        <v>88</v>
      </c>
      <c r="C1832" s="364" t="s">
        <v>328</v>
      </c>
      <c r="D1832" s="404">
        <v>16</v>
      </c>
      <c r="E1832" s="77">
        <v>5</v>
      </c>
      <c r="F1832" s="1"/>
      <c r="G1832" s="76">
        <v>0.29166666666666669</v>
      </c>
      <c r="H1832" s="76">
        <v>0.4291666666666667</v>
      </c>
      <c r="I1832" s="372" t="str">
        <f t="shared" si="12"/>
        <v>198</v>
      </c>
      <c r="J1832" s="23">
        <v>3</v>
      </c>
      <c r="K1832" s="23"/>
      <c r="L1832" s="68">
        <v>0.3125</v>
      </c>
      <c r="M1832" s="68">
        <v>0.46527777777777773</v>
      </c>
      <c r="N1832" s="173" t="str">
        <f t="shared" si="13"/>
        <v>220</v>
      </c>
      <c r="O1832" s="371">
        <f t="shared" si="14"/>
        <v>1650</v>
      </c>
      <c r="P1832" s="366">
        <f t="shared" si="15"/>
        <v>0.29166666666666669</v>
      </c>
      <c r="Q1832" s="366">
        <f t="shared" si="16"/>
        <v>0.46527777777777773</v>
      </c>
      <c r="R1832" s="367" t="str">
        <f t="shared" si="17"/>
        <v>250</v>
      </c>
    </row>
    <row r="1833" spans="1:18" x14ac:dyDescent="0.4">
      <c r="A1833" s="402">
        <v>46076</v>
      </c>
      <c r="B1833" s="392" t="s">
        <v>64</v>
      </c>
      <c r="C1833" s="364" t="s">
        <v>271</v>
      </c>
      <c r="D1833" s="404">
        <v>20</v>
      </c>
      <c r="E1833" s="77">
        <v>5</v>
      </c>
      <c r="F1833" s="1"/>
      <c r="G1833" s="76">
        <v>0.4291666666666667</v>
      </c>
      <c r="H1833" s="76">
        <v>0.66666666666666663</v>
      </c>
      <c r="I1833" s="372" t="str">
        <f t="shared" si="12"/>
        <v>282</v>
      </c>
      <c r="J1833" s="23">
        <v>3</v>
      </c>
      <c r="K1833" s="23"/>
      <c r="L1833" s="68">
        <v>0.46527777777777773</v>
      </c>
      <c r="M1833" s="68">
        <v>0.6875</v>
      </c>
      <c r="N1833" s="173" t="str">
        <f t="shared" si="13"/>
        <v>260</v>
      </c>
      <c r="O1833" s="371">
        <f t="shared" si="14"/>
        <v>2190</v>
      </c>
      <c r="P1833" s="366">
        <f t="shared" si="15"/>
        <v>0.4291666666666667</v>
      </c>
      <c r="Q1833" s="366">
        <f t="shared" si="16"/>
        <v>0.6875</v>
      </c>
      <c r="R1833" s="367" t="str">
        <f t="shared" si="17"/>
        <v>312</v>
      </c>
    </row>
    <row r="1834" spans="1:18" x14ac:dyDescent="0.4">
      <c r="A1834" s="402">
        <v>46076</v>
      </c>
      <c r="B1834" s="392" t="s">
        <v>110</v>
      </c>
      <c r="C1834" s="364" t="s">
        <v>231</v>
      </c>
      <c r="D1834" s="404">
        <v>21</v>
      </c>
      <c r="E1834" s="369">
        <v>3</v>
      </c>
      <c r="F1834" s="368">
        <v>2.0833333333333332E-2</v>
      </c>
      <c r="G1834" s="368">
        <v>0.29166666666666669</v>
      </c>
      <c r="H1834" s="368">
        <v>0.6875</v>
      </c>
      <c r="I1834" s="372" t="str">
        <f t="shared" si="12"/>
        <v>540</v>
      </c>
      <c r="J1834" s="371">
        <v>5</v>
      </c>
      <c r="K1834" s="371"/>
      <c r="L1834" s="365">
        <v>0.3125</v>
      </c>
      <c r="M1834" s="365">
        <v>0.75</v>
      </c>
      <c r="N1834" s="372" t="str">
        <f t="shared" si="13"/>
        <v>570</v>
      </c>
      <c r="O1834" s="371">
        <f t="shared" si="14"/>
        <v>4470</v>
      </c>
      <c r="P1834" s="366">
        <f t="shared" si="15"/>
        <v>0.29166666666666669</v>
      </c>
      <c r="Q1834" s="366">
        <f t="shared" si="16"/>
        <v>0.75</v>
      </c>
      <c r="R1834" s="367" t="str">
        <f t="shared" si="17"/>
        <v>600</v>
      </c>
    </row>
    <row r="1835" spans="1:18" x14ac:dyDescent="0.4">
      <c r="A1835" s="402">
        <v>46077</v>
      </c>
      <c r="B1835" s="392" t="s">
        <v>106</v>
      </c>
      <c r="C1835" s="364" t="s">
        <v>173</v>
      </c>
      <c r="D1835" s="404">
        <v>16</v>
      </c>
      <c r="E1835" s="77">
        <v>4</v>
      </c>
      <c r="F1835" s="368"/>
      <c r="G1835" s="76">
        <v>0.29166666666666669</v>
      </c>
      <c r="H1835" s="76">
        <v>0.5</v>
      </c>
      <c r="I1835" s="372" t="str">
        <f t="shared" si="12"/>
        <v>300</v>
      </c>
      <c r="J1835" s="23">
        <v>9</v>
      </c>
      <c r="K1835" s="23"/>
      <c r="L1835" s="68">
        <v>0.3125</v>
      </c>
      <c r="M1835" s="68">
        <v>0.52083333333333337</v>
      </c>
      <c r="N1835" s="173" t="str">
        <f t="shared" si="13"/>
        <v>300</v>
      </c>
      <c r="O1835" s="371">
        <f t="shared" si="14"/>
        <v>3900</v>
      </c>
      <c r="P1835" s="366">
        <f t="shared" si="15"/>
        <v>0.29166666666666669</v>
      </c>
      <c r="Q1835" s="366">
        <f t="shared" si="16"/>
        <v>0.52083333333333337</v>
      </c>
      <c r="R1835" s="367" t="str">
        <f t="shared" si="17"/>
        <v>330</v>
      </c>
    </row>
    <row r="1836" spans="1:18" x14ac:dyDescent="0.4">
      <c r="A1836" s="402">
        <v>46077</v>
      </c>
      <c r="B1836" s="392" t="s">
        <v>75</v>
      </c>
      <c r="C1836" s="364" t="s">
        <v>229</v>
      </c>
      <c r="D1836" s="404">
        <v>16</v>
      </c>
      <c r="E1836" s="77">
        <v>5</v>
      </c>
      <c r="F1836" s="1"/>
      <c r="G1836" s="76">
        <v>0.29166666666666669</v>
      </c>
      <c r="H1836" s="76">
        <v>0.5</v>
      </c>
      <c r="I1836" s="372" t="str">
        <f t="shared" si="12"/>
        <v>300</v>
      </c>
      <c r="J1836" s="23">
        <v>3</v>
      </c>
      <c r="K1836" s="23"/>
      <c r="L1836" s="68">
        <v>0.3125</v>
      </c>
      <c r="M1836" s="68">
        <v>0.5</v>
      </c>
      <c r="N1836" s="173" t="str">
        <f t="shared" si="13"/>
        <v>270</v>
      </c>
      <c r="O1836" s="371">
        <f t="shared" si="14"/>
        <v>2310</v>
      </c>
      <c r="P1836" s="366">
        <f t="shared" si="15"/>
        <v>0.29166666666666669</v>
      </c>
      <c r="Q1836" s="366">
        <f t="shared" si="16"/>
        <v>0.5</v>
      </c>
      <c r="R1836" s="367" t="str">
        <f t="shared" si="17"/>
        <v>300</v>
      </c>
    </row>
    <row r="1837" spans="1:18" x14ac:dyDescent="0.4">
      <c r="A1837" s="402">
        <v>46077</v>
      </c>
      <c r="B1837" s="392" t="s">
        <v>65</v>
      </c>
      <c r="C1837" s="364" t="s">
        <v>189</v>
      </c>
      <c r="D1837" s="404">
        <v>36</v>
      </c>
      <c r="E1837" s="77">
        <v>3</v>
      </c>
      <c r="F1837" s="368">
        <v>2.0833333333333332E-2</v>
      </c>
      <c r="G1837" s="76">
        <v>0.29166666666666669</v>
      </c>
      <c r="H1837" s="76">
        <v>0.47916666666666669</v>
      </c>
      <c r="I1837" s="372" t="str">
        <f t="shared" si="12"/>
        <v>300</v>
      </c>
      <c r="J1837" s="23">
        <v>4</v>
      </c>
      <c r="K1837" s="23"/>
      <c r="L1837" s="68">
        <v>0.29166666666666669</v>
      </c>
      <c r="M1837" s="68">
        <v>0.51388888888888895</v>
      </c>
      <c r="N1837" s="173" t="str">
        <f t="shared" si="13"/>
        <v>320</v>
      </c>
      <c r="O1837" s="371">
        <f t="shared" si="14"/>
        <v>2180</v>
      </c>
      <c r="P1837" s="366">
        <f t="shared" si="15"/>
        <v>0.29166666666666669</v>
      </c>
      <c r="Q1837" s="366">
        <f t="shared" si="16"/>
        <v>0.51388888888888895</v>
      </c>
      <c r="R1837" s="367" t="str">
        <f t="shared" si="17"/>
        <v>320</v>
      </c>
    </row>
    <row r="1838" spans="1:18" x14ac:dyDescent="0.4">
      <c r="A1838" s="402">
        <v>46078</v>
      </c>
      <c r="B1838" s="392" t="s">
        <v>87</v>
      </c>
      <c r="C1838" s="364" t="s">
        <v>199</v>
      </c>
      <c r="D1838" s="404">
        <v>72</v>
      </c>
      <c r="E1838" s="77">
        <v>5</v>
      </c>
      <c r="F1838" s="1"/>
      <c r="G1838" s="76">
        <v>0.29166666666666669</v>
      </c>
      <c r="H1838" s="76">
        <v>0.70833333333333337</v>
      </c>
      <c r="I1838" s="372" t="str">
        <f t="shared" si="12"/>
        <v>540</v>
      </c>
      <c r="J1838" s="23">
        <v>5</v>
      </c>
      <c r="K1838" s="23"/>
      <c r="L1838" s="68">
        <v>0.3125</v>
      </c>
      <c r="M1838" s="68">
        <v>0.72916666666666663</v>
      </c>
      <c r="N1838" s="173" t="str">
        <f t="shared" si="13"/>
        <v>540</v>
      </c>
      <c r="O1838" s="371">
        <f t="shared" si="14"/>
        <v>5400</v>
      </c>
      <c r="P1838" s="366">
        <f t="shared" si="15"/>
        <v>0.29166666666666669</v>
      </c>
      <c r="Q1838" s="366">
        <f t="shared" si="16"/>
        <v>0.72916666666666663</v>
      </c>
      <c r="R1838" s="367" t="str">
        <f t="shared" si="17"/>
        <v>570</v>
      </c>
    </row>
    <row r="1839" spans="1:18" x14ac:dyDescent="0.4">
      <c r="A1839" s="402">
        <v>46078</v>
      </c>
      <c r="B1839" s="392" t="s">
        <v>102</v>
      </c>
      <c r="C1839" s="364" t="s">
        <v>308</v>
      </c>
      <c r="D1839" s="404">
        <v>12</v>
      </c>
      <c r="E1839" s="77">
        <v>5</v>
      </c>
      <c r="F1839" s="1"/>
      <c r="G1839" s="76">
        <v>0.29166666666666669</v>
      </c>
      <c r="H1839" s="76">
        <v>0.39305555555555555</v>
      </c>
      <c r="I1839" s="372" t="str">
        <f t="shared" si="12"/>
        <v>146</v>
      </c>
      <c r="J1839" s="23">
        <v>4</v>
      </c>
      <c r="K1839" s="23"/>
      <c r="L1839" s="68">
        <v>0.3125</v>
      </c>
      <c r="M1839" s="68">
        <v>0.4236111111111111</v>
      </c>
      <c r="N1839" s="173" t="str">
        <f t="shared" si="13"/>
        <v>160</v>
      </c>
      <c r="O1839" s="371">
        <f t="shared" si="14"/>
        <v>1370</v>
      </c>
      <c r="P1839" s="366">
        <f t="shared" si="15"/>
        <v>0.29166666666666669</v>
      </c>
      <c r="Q1839" s="366">
        <f t="shared" si="16"/>
        <v>0.4236111111111111</v>
      </c>
      <c r="R1839" s="367" t="str">
        <f t="shared" si="17"/>
        <v>190</v>
      </c>
    </row>
    <row r="1840" spans="1:18" x14ac:dyDescent="0.4">
      <c r="A1840" s="402">
        <v>46078</v>
      </c>
      <c r="B1840" s="392" t="s">
        <v>55</v>
      </c>
      <c r="C1840" s="364" t="s">
        <v>208</v>
      </c>
      <c r="D1840" s="404">
        <v>28</v>
      </c>
      <c r="E1840" s="77">
        <v>5</v>
      </c>
      <c r="F1840" s="1"/>
      <c r="G1840" s="76">
        <v>0.39305555555555555</v>
      </c>
      <c r="H1840" s="76">
        <v>0.6875</v>
      </c>
      <c r="I1840" s="372" t="str">
        <f t="shared" si="12"/>
        <v>364</v>
      </c>
      <c r="J1840" s="23">
        <v>4</v>
      </c>
      <c r="K1840" s="23"/>
      <c r="L1840" s="68">
        <v>0.4236111111111111</v>
      </c>
      <c r="M1840" s="68">
        <v>0.72916666666666663</v>
      </c>
      <c r="N1840" s="173" t="str">
        <f t="shared" si="13"/>
        <v>380</v>
      </c>
      <c r="O1840" s="371">
        <f t="shared" si="14"/>
        <v>3340</v>
      </c>
      <c r="P1840" s="366">
        <f t="shared" si="15"/>
        <v>0.39305555555555555</v>
      </c>
      <c r="Q1840" s="366">
        <f t="shared" si="16"/>
        <v>0.72916666666666663</v>
      </c>
      <c r="R1840" s="367" t="str">
        <f t="shared" si="17"/>
        <v>424</v>
      </c>
    </row>
    <row r="1841" spans="1:18" x14ac:dyDescent="0.4">
      <c r="A1841" s="402">
        <v>46078</v>
      </c>
      <c r="B1841" s="392" t="s">
        <v>65</v>
      </c>
      <c r="C1841" s="364" t="s">
        <v>189</v>
      </c>
      <c r="D1841" s="404">
        <v>36</v>
      </c>
      <c r="E1841" s="77">
        <v>3</v>
      </c>
      <c r="F1841" s="368">
        <v>2.0833333333333332E-2</v>
      </c>
      <c r="G1841" s="76">
        <v>0.29166666666666669</v>
      </c>
      <c r="H1841" s="76">
        <v>0.45833333333333331</v>
      </c>
      <c r="I1841" s="372" t="str">
        <f t="shared" si="12"/>
        <v>270</v>
      </c>
      <c r="J1841" s="23">
        <v>4</v>
      </c>
      <c r="K1841" s="23"/>
      <c r="L1841" s="68">
        <v>0.29166666666666669</v>
      </c>
      <c r="M1841" s="68">
        <v>0.5</v>
      </c>
      <c r="N1841" s="173" t="str">
        <f t="shared" si="13"/>
        <v>300</v>
      </c>
      <c r="O1841" s="371">
        <f t="shared" si="14"/>
        <v>2010</v>
      </c>
      <c r="P1841" s="366">
        <f t="shared" si="15"/>
        <v>0.29166666666666669</v>
      </c>
      <c r="Q1841" s="366">
        <f t="shared" si="16"/>
        <v>0.5</v>
      </c>
      <c r="R1841" s="367" t="str">
        <f t="shared" si="17"/>
        <v>300</v>
      </c>
    </row>
    <row r="1842" spans="1:18" x14ac:dyDescent="0.4">
      <c r="A1842" s="402">
        <v>46078</v>
      </c>
      <c r="B1842" s="392" t="s">
        <v>82</v>
      </c>
      <c r="C1842" s="364" t="s">
        <v>171</v>
      </c>
      <c r="D1842" s="404">
        <v>20</v>
      </c>
      <c r="E1842" s="77">
        <v>3</v>
      </c>
      <c r="F1842" s="368">
        <v>2.0833333333333332E-2</v>
      </c>
      <c r="G1842" s="76">
        <v>0.45833333333333331</v>
      </c>
      <c r="H1842" s="76">
        <v>0.70138888888888884</v>
      </c>
      <c r="I1842" s="372" t="str">
        <f t="shared" ref="I1842:I1905" si="18">TEXT(IF(AND(G1842&lt;=$S$2,H1842&gt;=$T$2),(H1842-G1842+F1842)-($T$2-$S$2),(H1842-G1842+F1842)),"[m]")</f>
        <v>320</v>
      </c>
      <c r="J1842" s="23">
        <v>7</v>
      </c>
      <c r="K1842" s="23"/>
      <c r="L1842" s="68">
        <v>0.54166666666666663</v>
      </c>
      <c r="M1842" s="68">
        <v>0.79861111111111116</v>
      </c>
      <c r="N1842" s="173" t="str">
        <f t="shared" ref="N1842:N1905" si="19">TEXT(IF(AND(L1842&lt;=$S$2,M1842&gt;=$T$2),(M1842-L1842+K1842)-($T$2-$S$2),(M1842-L1842+K1842)),"[m]")</f>
        <v>370</v>
      </c>
      <c r="O1842" s="371">
        <f t="shared" ref="O1842:O1905" si="20">E1842*I1842+J1842*N1842</f>
        <v>3550</v>
      </c>
      <c r="P1842" s="366">
        <f t="shared" ref="P1842:P1905" si="21">MIN(G1842:H1842,L1842:M1842)</f>
        <v>0.45833333333333331</v>
      </c>
      <c r="Q1842" s="366">
        <f t="shared" ref="Q1842:Q1905" si="22">MAX(G1842:H1842,L1842:M1842)</f>
        <v>0.79861111111111116</v>
      </c>
      <c r="R1842" s="367" t="str">
        <f t="shared" ref="R1842:R1905" si="23">TEXT(IF(AND(P1842&lt;=$S$2,Q1842&gt;=$T$2),(Q1842-P1842)-($T$2-$S$2),(Q1842-P1842)),"[m]")</f>
        <v>430</v>
      </c>
    </row>
    <row r="1843" spans="1:18" x14ac:dyDescent="0.4">
      <c r="A1843" s="402">
        <v>46079</v>
      </c>
      <c r="B1843" s="392" t="s">
        <v>61</v>
      </c>
      <c r="C1843" s="364" t="s">
        <v>156</v>
      </c>
      <c r="D1843" s="404">
        <v>40</v>
      </c>
      <c r="E1843" s="77">
        <v>4</v>
      </c>
      <c r="F1843" s="1"/>
      <c r="G1843" s="76">
        <v>0.29166666666666669</v>
      </c>
      <c r="H1843" s="76">
        <v>0.66666666666666663</v>
      </c>
      <c r="I1843" s="372" t="str">
        <f t="shared" si="18"/>
        <v>480</v>
      </c>
      <c r="J1843" s="23">
        <v>10</v>
      </c>
      <c r="K1843" s="23"/>
      <c r="L1843" s="68">
        <v>0.3125</v>
      </c>
      <c r="M1843" s="68">
        <v>0.70833333333333337</v>
      </c>
      <c r="N1843" s="173" t="str">
        <f t="shared" si="19"/>
        <v>510</v>
      </c>
      <c r="O1843" s="371">
        <f t="shared" si="20"/>
        <v>7020</v>
      </c>
      <c r="P1843" s="366">
        <f t="shared" si="21"/>
        <v>0.29166666666666669</v>
      </c>
      <c r="Q1843" s="366">
        <f t="shared" si="22"/>
        <v>0.70833333333333337</v>
      </c>
      <c r="R1843" s="367" t="str">
        <f t="shared" si="23"/>
        <v>540</v>
      </c>
    </row>
    <row r="1844" spans="1:18" x14ac:dyDescent="0.4">
      <c r="A1844" s="402">
        <v>46079</v>
      </c>
      <c r="B1844" s="392" t="s">
        <v>76</v>
      </c>
      <c r="C1844" s="364" t="s">
        <v>224</v>
      </c>
      <c r="D1844" s="404">
        <v>16</v>
      </c>
      <c r="E1844" s="77">
        <v>5</v>
      </c>
      <c r="F1844" s="1"/>
      <c r="G1844" s="76">
        <v>0.57430555555555551</v>
      </c>
      <c r="H1844" s="76">
        <v>0.6875</v>
      </c>
      <c r="I1844" s="372" t="str">
        <f t="shared" si="18"/>
        <v>163</v>
      </c>
      <c r="J1844" s="23">
        <v>3</v>
      </c>
      <c r="K1844" s="23"/>
      <c r="L1844" s="68">
        <v>0.4236111111111111</v>
      </c>
      <c r="M1844" s="68">
        <v>0.60069444444444442</v>
      </c>
      <c r="N1844" s="173" t="str">
        <f t="shared" si="19"/>
        <v>195</v>
      </c>
      <c r="O1844" s="371">
        <f t="shared" si="20"/>
        <v>1400</v>
      </c>
      <c r="P1844" s="366">
        <f t="shared" si="21"/>
        <v>0.4236111111111111</v>
      </c>
      <c r="Q1844" s="366">
        <f t="shared" si="22"/>
        <v>0.6875</v>
      </c>
      <c r="R1844" s="367" t="str">
        <f t="shared" si="23"/>
        <v>320</v>
      </c>
    </row>
    <row r="1845" spans="1:18" x14ac:dyDescent="0.4">
      <c r="A1845" s="402">
        <v>46079</v>
      </c>
      <c r="B1845" s="392" t="s">
        <v>63</v>
      </c>
      <c r="C1845" s="364" t="s">
        <v>267</v>
      </c>
      <c r="D1845" s="404">
        <v>12</v>
      </c>
      <c r="E1845" s="77">
        <v>5</v>
      </c>
      <c r="F1845" s="1"/>
      <c r="G1845" s="76">
        <v>0.39930555555555558</v>
      </c>
      <c r="H1845" s="76">
        <v>0.57430555555555551</v>
      </c>
      <c r="I1845" s="372" t="str">
        <f t="shared" si="18"/>
        <v>192</v>
      </c>
      <c r="J1845" s="23">
        <v>3</v>
      </c>
      <c r="K1845" s="23"/>
      <c r="L1845" s="68">
        <v>0.60069444444444442</v>
      </c>
      <c r="M1845" s="68">
        <v>0.70833333333333337</v>
      </c>
      <c r="N1845" s="173" t="str">
        <f t="shared" si="19"/>
        <v>155</v>
      </c>
      <c r="O1845" s="371">
        <f t="shared" si="20"/>
        <v>1425</v>
      </c>
      <c r="P1845" s="366">
        <f t="shared" si="21"/>
        <v>0.39930555555555558</v>
      </c>
      <c r="Q1845" s="366">
        <f t="shared" si="22"/>
        <v>0.70833333333333337</v>
      </c>
      <c r="R1845" s="367" t="str">
        <f t="shared" si="23"/>
        <v>385</v>
      </c>
    </row>
    <row r="1846" spans="1:18" x14ac:dyDescent="0.4">
      <c r="A1846" s="402">
        <v>46079</v>
      </c>
      <c r="B1846" s="392" t="s">
        <v>81</v>
      </c>
      <c r="C1846" s="364" t="s">
        <v>235</v>
      </c>
      <c r="D1846" s="404">
        <v>12</v>
      </c>
      <c r="E1846" s="77">
        <v>5</v>
      </c>
      <c r="F1846" s="1"/>
      <c r="G1846" s="76">
        <v>0.29166666666666669</v>
      </c>
      <c r="H1846" s="76">
        <v>0.39930555555555558</v>
      </c>
      <c r="I1846" s="372" t="str">
        <f t="shared" si="18"/>
        <v>155</v>
      </c>
      <c r="J1846" s="23">
        <v>3</v>
      </c>
      <c r="K1846" s="23"/>
      <c r="L1846" s="68">
        <v>0.3125</v>
      </c>
      <c r="M1846" s="68">
        <v>0.4236111111111111</v>
      </c>
      <c r="N1846" s="173" t="str">
        <f t="shared" si="19"/>
        <v>160</v>
      </c>
      <c r="O1846" s="371">
        <f t="shared" si="20"/>
        <v>1255</v>
      </c>
      <c r="P1846" s="366">
        <f t="shared" si="21"/>
        <v>0.29166666666666669</v>
      </c>
      <c r="Q1846" s="366">
        <f t="shared" si="22"/>
        <v>0.4236111111111111</v>
      </c>
      <c r="R1846" s="367" t="str">
        <f t="shared" si="23"/>
        <v>190</v>
      </c>
    </row>
    <row r="1847" spans="1:18" x14ac:dyDescent="0.4">
      <c r="A1847" s="402">
        <v>46079</v>
      </c>
      <c r="B1847" s="392" t="s">
        <v>108</v>
      </c>
      <c r="C1847" s="364" t="s">
        <v>231</v>
      </c>
      <c r="D1847" s="404">
        <v>21</v>
      </c>
      <c r="E1847" s="77">
        <v>3</v>
      </c>
      <c r="F1847" s="368"/>
      <c r="G1847" s="76">
        <v>0.27083333333333331</v>
      </c>
      <c r="H1847" s="76">
        <v>0.67361111111111116</v>
      </c>
      <c r="I1847" s="372" t="str">
        <f t="shared" si="18"/>
        <v>520</v>
      </c>
      <c r="J1847" s="23">
        <v>5</v>
      </c>
      <c r="K1847" s="23"/>
      <c r="L1847" s="68">
        <v>0.3125</v>
      </c>
      <c r="M1847" s="68">
        <v>0.70833333333333337</v>
      </c>
      <c r="N1847" s="173" t="str">
        <f t="shared" si="19"/>
        <v>510</v>
      </c>
      <c r="O1847" s="371">
        <f t="shared" si="20"/>
        <v>4110</v>
      </c>
      <c r="P1847" s="366">
        <f t="shared" si="21"/>
        <v>0.27083333333333331</v>
      </c>
      <c r="Q1847" s="366">
        <f t="shared" si="22"/>
        <v>0.70833333333333337</v>
      </c>
      <c r="R1847" s="367" t="str">
        <f t="shared" si="23"/>
        <v>570</v>
      </c>
    </row>
    <row r="1848" spans="1:18" x14ac:dyDescent="0.4">
      <c r="A1848" s="402">
        <v>46083</v>
      </c>
      <c r="B1848" s="392" t="s">
        <v>71</v>
      </c>
      <c r="C1848" s="364" t="s">
        <v>176</v>
      </c>
      <c r="D1848" s="404">
        <v>72</v>
      </c>
      <c r="E1848" s="77">
        <v>5</v>
      </c>
      <c r="F1848" s="1"/>
      <c r="G1848" s="76">
        <v>0.29166666666666669</v>
      </c>
      <c r="H1848" s="76">
        <v>0.6875</v>
      </c>
      <c r="I1848" s="372" t="str">
        <f t="shared" si="18"/>
        <v>510</v>
      </c>
      <c r="J1848" s="23">
        <v>5</v>
      </c>
      <c r="K1848" s="23"/>
      <c r="L1848" s="68">
        <v>0.3125</v>
      </c>
      <c r="M1848" s="68">
        <v>0.70833333333333337</v>
      </c>
      <c r="N1848" s="173" t="str">
        <f t="shared" si="19"/>
        <v>510</v>
      </c>
      <c r="O1848" s="371">
        <f t="shared" si="20"/>
        <v>5100</v>
      </c>
      <c r="P1848" s="366">
        <f t="shared" si="21"/>
        <v>0.29166666666666669</v>
      </c>
      <c r="Q1848" s="366">
        <f t="shared" si="22"/>
        <v>0.70833333333333337</v>
      </c>
      <c r="R1848" s="367" t="str">
        <f t="shared" si="23"/>
        <v>540</v>
      </c>
    </row>
    <row r="1849" spans="1:18" x14ac:dyDescent="0.4">
      <c r="A1849" s="402">
        <v>46083</v>
      </c>
      <c r="B1849" s="392" t="s">
        <v>73</v>
      </c>
      <c r="C1849" s="364" t="s">
        <v>231</v>
      </c>
      <c r="D1849" s="404">
        <v>21</v>
      </c>
      <c r="E1849" s="369">
        <v>4</v>
      </c>
      <c r="F1849" s="370"/>
      <c r="G1849" s="368">
        <v>0.29166666666666669</v>
      </c>
      <c r="H1849" s="368">
        <v>0.70833333333333337</v>
      </c>
      <c r="I1849" s="372" t="str">
        <f t="shared" si="18"/>
        <v>540</v>
      </c>
      <c r="J1849" s="371">
        <v>3</v>
      </c>
      <c r="K1849" s="371"/>
      <c r="L1849" s="365">
        <v>0.3125</v>
      </c>
      <c r="M1849" s="365">
        <v>0.70833333333333337</v>
      </c>
      <c r="N1849" s="372" t="str">
        <f t="shared" si="19"/>
        <v>510</v>
      </c>
      <c r="O1849" s="371">
        <f t="shared" si="20"/>
        <v>3690</v>
      </c>
      <c r="P1849" s="366">
        <f t="shared" si="21"/>
        <v>0.29166666666666669</v>
      </c>
      <c r="Q1849" s="366">
        <f t="shared" si="22"/>
        <v>0.70833333333333337</v>
      </c>
      <c r="R1849" s="367" t="str">
        <f t="shared" si="23"/>
        <v>540</v>
      </c>
    </row>
    <row r="1850" spans="1:18" x14ac:dyDescent="0.4">
      <c r="A1850" s="402">
        <v>46083</v>
      </c>
      <c r="B1850" s="392" t="s">
        <v>65</v>
      </c>
      <c r="C1850" s="364" t="s">
        <v>189</v>
      </c>
      <c r="D1850" s="404">
        <v>36</v>
      </c>
      <c r="E1850" s="369">
        <v>3</v>
      </c>
      <c r="F1850" s="370"/>
      <c r="G1850" s="368">
        <v>0.46180555555555558</v>
      </c>
      <c r="H1850" s="368">
        <v>0.69791666666666663</v>
      </c>
      <c r="I1850" s="372" t="str">
        <f t="shared" si="18"/>
        <v>280</v>
      </c>
      <c r="J1850" s="371">
        <v>4</v>
      </c>
      <c r="K1850" s="371"/>
      <c r="L1850" s="365">
        <v>0.54166666666666663</v>
      </c>
      <c r="M1850" s="365">
        <v>0.71180555555555547</v>
      </c>
      <c r="N1850" s="372" t="str">
        <f t="shared" si="19"/>
        <v>245</v>
      </c>
      <c r="O1850" s="371">
        <f t="shared" si="20"/>
        <v>1820</v>
      </c>
      <c r="P1850" s="366">
        <f t="shared" si="21"/>
        <v>0.46180555555555558</v>
      </c>
      <c r="Q1850" s="366">
        <f t="shared" si="22"/>
        <v>0.71180555555555547</v>
      </c>
      <c r="R1850" s="367" t="str">
        <f t="shared" si="23"/>
        <v>300</v>
      </c>
    </row>
    <row r="1851" spans="1:18" x14ac:dyDescent="0.4">
      <c r="A1851" s="402">
        <v>46083</v>
      </c>
      <c r="B1851" s="392" t="s">
        <v>131</v>
      </c>
      <c r="C1851" s="364" t="s">
        <v>274</v>
      </c>
      <c r="D1851" s="404">
        <v>32</v>
      </c>
      <c r="E1851" s="369">
        <v>3</v>
      </c>
      <c r="F1851" s="368">
        <v>4.1666666666666664E-2</v>
      </c>
      <c r="G1851" s="368">
        <v>0.29166666666666669</v>
      </c>
      <c r="H1851" s="368">
        <v>0.46180555555555558</v>
      </c>
      <c r="I1851" s="372" t="str">
        <f t="shared" si="18"/>
        <v>305</v>
      </c>
      <c r="J1851" s="371">
        <v>4</v>
      </c>
      <c r="K1851" s="371"/>
      <c r="L1851" s="365">
        <v>0.29166666666666669</v>
      </c>
      <c r="M1851" s="365">
        <v>0.50694444444444442</v>
      </c>
      <c r="N1851" s="372" t="str">
        <f t="shared" si="19"/>
        <v>310</v>
      </c>
      <c r="O1851" s="371">
        <f t="shared" si="20"/>
        <v>2155</v>
      </c>
      <c r="P1851" s="366">
        <f t="shared" si="21"/>
        <v>0.29166666666666669</v>
      </c>
      <c r="Q1851" s="366">
        <f t="shared" si="22"/>
        <v>0.50694444444444442</v>
      </c>
      <c r="R1851" s="367" t="str">
        <f t="shared" si="23"/>
        <v>310</v>
      </c>
    </row>
    <row r="1852" spans="1:18" x14ac:dyDescent="0.4">
      <c r="A1852" s="402">
        <v>46084</v>
      </c>
      <c r="B1852" s="392" t="s">
        <v>86</v>
      </c>
      <c r="C1852" s="364" t="s">
        <v>201</v>
      </c>
      <c r="D1852" s="404">
        <v>20</v>
      </c>
      <c r="E1852" s="369">
        <v>5</v>
      </c>
      <c r="F1852" s="370"/>
      <c r="G1852" s="368">
        <v>0.54166666666666663</v>
      </c>
      <c r="H1852" s="368">
        <v>0.70833333333333337</v>
      </c>
      <c r="I1852" s="372" t="str">
        <f t="shared" si="18"/>
        <v>240</v>
      </c>
      <c r="J1852" s="371">
        <v>5</v>
      </c>
      <c r="K1852" s="371"/>
      <c r="L1852" s="365">
        <v>0.54166666666666663</v>
      </c>
      <c r="M1852" s="365">
        <v>0.70833333333333337</v>
      </c>
      <c r="N1852" s="372" t="str">
        <f t="shared" si="19"/>
        <v>240</v>
      </c>
      <c r="O1852" s="371">
        <f t="shared" si="20"/>
        <v>2400</v>
      </c>
      <c r="P1852" s="366">
        <f t="shared" si="21"/>
        <v>0.54166666666666663</v>
      </c>
      <c r="Q1852" s="366">
        <f t="shared" si="22"/>
        <v>0.70833333333333337</v>
      </c>
      <c r="R1852" s="367" t="str">
        <f t="shared" si="23"/>
        <v>240</v>
      </c>
    </row>
    <row r="1853" spans="1:18" x14ac:dyDescent="0.4">
      <c r="A1853" s="402">
        <v>46084</v>
      </c>
      <c r="B1853" s="392" t="s">
        <v>68</v>
      </c>
      <c r="C1853" s="364" t="s">
        <v>185</v>
      </c>
      <c r="D1853" s="404">
        <v>20</v>
      </c>
      <c r="E1853" s="369">
        <v>5</v>
      </c>
      <c r="F1853" s="370"/>
      <c r="G1853" s="368">
        <v>0.29166666666666669</v>
      </c>
      <c r="H1853" s="368">
        <v>0.5</v>
      </c>
      <c r="I1853" s="372" t="str">
        <f t="shared" si="18"/>
        <v>300</v>
      </c>
      <c r="J1853" s="371">
        <v>5</v>
      </c>
      <c r="K1853" s="371"/>
      <c r="L1853" s="365">
        <v>0.3125</v>
      </c>
      <c r="M1853" s="365">
        <v>0.5</v>
      </c>
      <c r="N1853" s="372" t="str">
        <f t="shared" si="19"/>
        <v>270</v>
      </c>
      <c r="O1853" s="371">
        <f t="shared" si="20"/>
        <v>2850</v>
      </c>
      <c r="P1853" s="366">
        <f t="shared" si="21"/>
        <v>0.29166666666666669</v>
      </c>
      <c r="Q1853" s="366">
        <f t="shared" si="22"/>
        <v>0.5</v>
      </c>
      <c r="R1853" s="367" t="str">
        <f t="shared" si="23"/>
        <v>300</v>
      </c>
    </row>
    <row r="1854" spans="1:18" x14ac:dyDescent="0.4">
      <c r="A1854" s="402">
        <v>46084</v>
      </c>
      <c r="B1854" s="392" t="s">
        <v>63</v>
      </c>
      <c r="C1854" s="364" t="s">
        <v>267</v>
      </c>
      <c r="D1854" s="404">
        <v>16</v>
      </c>
      <c r="E1854" s="369">
        <v>5</v>
      </c>
      <c r="F1854" s="370"/>
      <c r="G1854" s="368">
        <v>0.40208333333333335</v>
      </c>
      <c r="H1854" s="368">
        <v>0.58124999999999993</v>
      </c>
      <c r="I1854" s="372" t="str">
        <f t="shared" si="18"/>
        <v>198</v>
      </c>
      <c r="J1854" s="371">
        <v>3</v>
      </c>
      <c r="K1854" s="371"/>
      <c r="L1854" s="365">
        <v>0.42708333333333331</v>
      </c>
      <c r="M1854" s="365">
        <v>0.61458333333333337</v>
      </c>
      <c r="N1854" s="372" t="str">
        <f t="shared" si="19"/>
        <v>210</v>
      </c>
      <c r="O1854" s="371">
        <f t="shared" si="20"/>
        <v>1620</v>
      </c>
      <c r="P1854" s="366">
        <f t="shared" si="21"/>
        <v>0.40208333333333335</v>
      </c>
      <c r="Q1854" s="366">
        <f t="shared" si="22"/>
        <v>0.61458333333333337</v>
      </c>
      <c r="R1854" s="367" t="str">
        <f t="shared" si="23"/>
        <v>246</v>
      </c>
    </row>
    <row r="1855" spans="1:18" x14ac:dyDescent="0.4">
      <c r="A1855" s="402">
        <v>46084</v>
      </c>
      <c r="B1855" s="392" t="s">
        <v>1046</v>
      </c>
      <c r="C1855" s="364" t="s">
        <v>1057</v>
      </c>
      <c r="D1855" s="404">
        <v>12</v>
      </c>
      <c r="E1855" s="369">
        <v>5</v>
      </c>
      <c r="F1855" s="370"/>
      <c r="G1855" s="368">
        <v>0.58124999999999993</v>
      </c>
      <c r="H1855" s="368">
        <v>0.70833333333333337</v>
      </c>
      <c r="I1855" s="372" t="str">
        <f t="shared" si="18"/>
        <v>183</v>
      </c>
      <c r="J1855" s="371">
        <v>3</v>
      </c>
      <c r="K1855" s="371"/>
      <c r="L1855" s="365">
        <v>0.61458333333333337</v>
      </c>
      <c r="M1855" s="365">
        <v>0.70833333333333337</v>
      </c>
      <c r="N1855" s="372" t="str">
        <f t="shared" si="19"/>
        <v>135</v>
      </c>
      <c r="O1855" s="371">
        <f t="shared" si="20"/>
        <v>1320</v>
      </c>
      <c r="P1855" s="366">
        <f t="shared" si="21"/>
        <v>0.58124999999999993</v>
      </c>
      <c r="Q1855" s="366">
        <f t="shared" si="22"/>
        <v>0.70833333333333337</v>
      </c>
      <c r="R1855" s="367" t="str">
        <f t="shared" si="23"/>
        <v>183</v>
      </c>
    </row>
    <row r="1856" spans="1:18" x14ac:dyDescent="0.4">
      <c r="A1856" s="402">
        <v>46084</v>
      </c>
      <c r="B1856" s="392" t="s">
        <v>72</v>
      </c>
      <c r="C1856" s="364" t="s">
        <v>227</v>
      </c>
      <c r="D1856" s="404">
        <v>12</v>
      </c>
      <c r="E1856" s="369">
        <v>5</v>
      </c>
      <c r="F1856" s="370"/>
      <c r="G1856" s="368">
        <v>0.29166666666666669</v>
      </c>
      <c r="H1856" s="368">
        <v>0.40208333333333335</v>
      </c>
      <c r="I1856" s="372" t="str">
        <f t="shared" si="18"/>
        <v>159</v>
      </c>
      <c r="J1856" s="371">
        <v>3</v>
      </c>
      <c r="K1856" s="371"/>
      <c r="L1856" s="365">
        <v>0.29166666666666669</v>
      </c>
      <c r="M1856" s="365">
        <v>0.42708333333333331</v>
      </c>
      <c r="N1856" s="372" t="str">
        <f t="shared" si="19"/>
        <v>195</v>
      </c>
      <c r="O1856" s="371">
        <f t="shared" si="20"/>
        <v>1380</v>
      </c>
      <c r="P1856" s="366">
        <f t="shared" si="21"/>
        <v>0.29166666666666669</v>
      </c>
      <c r="Q1856" s="366">
        <f t="shared" si="22"/>
        <v>0.42708333333333331</v>
      </c>
      <c r="R1856" s="367" t="str">
        <f t="shared" si="23"/>
        <v>195</v>
      </c>
    </row>
    <row r="1857" spans="1:18" x14ac:dyDescent="0.4">
      <c r="A1857" s="402">
        <v>46084</v>
      </c>
      <c r="B1857" s="392" t="s">
        <v>83</v>
      </c>
      <c r="C1857" s="364" t="s">
        <v>169</v>
      </c>
      <c r="D1857" s="404">
        <v>12</v>
      </c>
      <c r="E1857" s="369">
        <v>3</v>
      </c>
      <c r="F1857" s="370"/>
      <c r="G1857" s="368">
        <v>0.59375</v>
      </c>
      <c r="H1857" s="368">
        <v>0.71527777777777779</v>
      </c>
      <c r="I1857" s="372" t="str">
        <f t="shared" si="18"/>
        <v>175</v>
      </c>
      <c r="J1857" s="371">
        <v>7</v>
      </c>
      <c r="K1857" s="371"/>
      <c r="L1857" s="365">
        <v>0.67361111111111116</v>
      </c>
      <c r="M1857" s="365">
        <v>0.79166666666666663</v>
      </c>
      <c r="N1857" s="372" t="str">
        <f t="shared" si="19"/>
        <v>170</v>
      </c>
      <c r="O1857" s="371">
        <f t="shared" si="20"/>
        <v>1715</v>
      </c>
      <c r="P1857" s="366">
        <f t="shared" si="21"/>
        <v>0.59375</v>
      </c>
      <c r="Q1857" s="366">
        <f t="shared" si="22"/>
        <v>0.79166666666666663</v>
      </c>
      <c r="R1857" s="367" t="str">
        <f t="shared" si="23"/>
        <v>285</v>
      </c>
    </row>
    <row r="1858" spans="1:18" x14ac:dyDescent="0.4">
      <c r="A1858" s="402">
        <v>46084</v>
      </c>
      <c r="B1858" s="392" t="s">
        <v>82</v>
      </c>
      <c r="C1858" s="364" t="s">
        <v>171</v>
      </c>
      <c r="D1858" s="404">
        <v>28</v>
      </c>
      <c r="E1858" s="369">
        <v>3</v>
      </c>
      <c r="F1858" s="368">
        <v>2.7777777777777776E-2</v>
      </c>
      <c r="G1858" s="368">
        <v>0.29166666666666669</v>
      </c>
      <c r="H1858" s="368">
        <v>0.59375</v>
      </c>
      <c r="I1858" s="372" t="str">
        <f t="shared" si="18"/>
        <v>415</v>
      </c>
      <c r="J1858" s="371">
        <v>7</v>
      </c>
      <c r="K1858" s="371"/>
      <c r="L1858" s="365">
        <v>0.29166666666666669</v>
      </c>
      <c r="M1858" s="365">
        <v>0.68055555555555547</v>
      </c>
      <c r="N1858" s="372" t="str">
        <f t="shared" si="19"/>
        <v>500</v>
      </c>
      <c r="O1858" s="371">
        <f t="shared" si="20"/>
        <v>4745</v>
      </c>
      <c r="P1858" s="366">
        <f t="shared" si="21"/>
        <v>0.29166666666666669</v>
      </c>
      <c r="Q1858" s="366">
        <f t="shared" si="22"/>
        <v>0.68055555555555547</v>
      </c>
      <c r="R1858" s="367" t="str">
        <f t="shared" si="23"/>
        <v>500</v>
      </c>
    </row>
    <row r="1859" spans="1:18" x14ac:dyDescent="0.4">
      <c r="A1859" s="403">
        <v>46084</v>
      </c>
      <c r="B1859" s="383" t="s">
        <v>943</v>
      </c>
      <c r="C1859" s="390" t="s">
        <v>1095</v>
      </c>
      <c r="D1859" s="405">
        <v>1</v>
      </c>
      <c r="E1859" s="384"/>
      <c r="F1859" s="385"/>
      <c r="G1859" s="396"/>
      <c r="H1859" s="396"/>
      <c r="I1859" s="386" t="str">
        <f t="shared" si="18"/>
        <v>0</v>
      </c>
      <c r="J1859" s="387"/>
      <c r="K1859" s="387"/>
      <c r="L1859" s="388"/>
      <c r="M1859" s="388"/>
      <c r="N1859" s="386" t="str">
        <f t="shared" si="19"/>
        <v>0</v>
      </c>
      <c r="O1859" s="387">
        <f t="shared" si="20"/>
        <v>0</v>
      </c>
      <c r="P1859" s="391">
        <f t="shared" si="21"/>
        <v>0</v>
      </c>
      <c r="Q1859" s="391">
        <f t="shared" si="22"/>
        <v>0</v>
      </c>
      <c r="R1859" s="389" t="str">
        <f t="shared" si="23"/>
        <v>0</v>
      </c>
    </row>
    <row r="1860" spans="1:18" x14ac:dyDescent="0.4">
      <c r="A1860" s="402">
        <v>46085</v>
      </c>
      <c r="B1860" s="392" t="s">
        <v>91</v>
      </c>
      <c r="C1860" s="364" t="s">
        <v>163</v>
      </c>
      <c r="D1860" s="404">
        <v>12</v>
      </c>
      <c r="E1860" s="369">
        <v>4</v>
      </c>
      <c r="F1860" s="370"/>
      <c r="G1860" s="368">
        <v>0.54166666666666663</v>
      </c>
      <c r="H1860" s="368">
        <v>0.66666666666666663</v>
      </c>
      <c r="I1860" s="372" t="str">
        <f t="shared" si="18"/>
        <v>180</v>
      </c>
      <c r="J1860" s="371">
        <v>4</v>
      </c>
      <c r="K1860" s="371"/>
      <c r="L1860" s="365">
        <v>0.54166666666666663</v>
      </c>
      <c r="M1860" s="365">
        <v>0.70833333333333337</v>
      </c>
      <c r="N1860" s="372" t="str">
        <f t="shared" si="19"/>
        <v>240</v>
      </c>
      <c r="O1860" s="371">
        <f t="shared" si="20"/>
        <v>1680</v>
      </c>
      <c r="P1860" s="366">
        <f t="shared" si="21"/>
        <v>0.54166666666666663</v>
      </c>
      <c r="Q1860" s="366">
        <f t="shared" si="22"/>
        <v>0.70833333333333337</v>
      </c>
      <c r="R1860" s="367" t="str">
        <f t="shared" si="23"/>
        <v>240</v>
      </c>
    </row>
    <row r="1861" spans="1:18" x14ac:dyDescent="0.4">
      <c r="A1861" s="402">
        <v>46085</v>
      </c>
      <c r="B1861" s="392" t="s">
        <v>114</v>
      </c>
      <c r="C1861" s="364" t="s">
        <v>161</v>
      </c>
      <c r="D1861" s="404">
        <v>15</v>
      </c>
      <c r="E1861" s="369">
        <v>5</v>
      </c>
      <c r="F1861" s="370"/>
      <c r="G1861" s="368">
        <v>0.29166666666666669</v>
      </c>
      <c r="H1861" s="368">
        <v>0.5</v>
      </c>
      <c r="I1861" s="372" t="str">
        <f t="shared" si="18"/>
        <v>300</v>
      </c>
      <c r="J1861" s="371">
        <v>13</v>
      </c>
      <c r="K1861" s="365">
        <v>4.1666666666666664E-2</v>
      </c>
      <c r="L1861" s="365">
        <v>0.3125</v>
      </c>
      <c r="M1861" s="365">
        <v>0.5</v>
      </c>
      <c r="N1861" s="372" t="str">
        <f t="shared" si="19"/>
        <v>330</v>
      </c>
      <c r="O1861" s="371">
        <f t="shared" si="20"/>
        <v>5790</v>
      </c>
      <c r="P1861" s="366">
        <f t="shared" si="21"/>
        <v>0.29166666666666669</v>
      </c>
      <c r="Q1861" s="366">
        <f t="shared" si="22"/>
        <v>0.5</v>
      </c>
      <c r="R1861" s="367" t="str">
        <f t="shared" si="23"/>
        <v>300</v>
      </c>
    </row>
    <row r="1862" spans="1:18" x14ac:dyDescent="0.4">
      <c r="A1862" s="402">
        <v>46085</v>
      </c>
      <c r="B1862" s="392" t="s">
        <v>104</v>
      </c>
      <c r="C1862" s="364" t="s">
        <v>191</v>
      </c>
      <c r="D1862" s="404">
        <v>72</v>
      </c>
      <c r="E1862" s="369">
        <v>3</v>
      </c>
      <c r="F1862" s="368">
        <v>4.1666666666666664E-2</v>
      </c>
      <c r="G1862" s="368">
        <v>0.29166666666666669</v>
      </c>
      <c r="H1862" s="368">
        <v>0.70138888888888884</v>
      </c>
      <c r="I1862" s="372" t="str">
        <f t="shared" si="18"/>
        <v>590</v>
      </c>
      <c r="J1862" s="371">
        <v>4</v>
      </c>
      <c r="K1862" s="371"/>
      <c r="L1862" s="365">
        <v>0.29166666666666669</v>
      </c>
      <c r="M1862" s="365">
        <v>0.75</v>
      </c>
      <c r="N1862" s="372" t="str">
        <f t="shared" si="19"/>
        <v>600</v>
      </c>
      <c r="O1862" s="371">
        <f t="shared" si="20"/>
        <v>4170</v>
      </c>
      <c r="P1862" s="366">
        <f t="shared" si="21"/>
        <v>0.29166666666666669</v>
      </c>
      <c r="Q1862" s="366">
        <f t="shared" si="22"/>
        <v>0.75</v>
      </c>
      <c r="R1862" s="367" t="str">
        <f t="shared" si="23"/>
        <v>600</v>
      </c>
    </row>
    <row r="1863" spans="1:18" x14ac:dyDescent="0.4">
      <c r="A1863" s="402">
        <v>46086</v>
      </c>
      <c r="B1863" s="392" t="s">
        <v>54</v>
      </c>
      <c r="C1863" s="364" t="s">
        <v>251</v>
      </c>
      <c r="D1863" s="404">
        <v>36</v>
      </c>
      <c r="E1863" s="369">
        <v>4</v>
      </c>
      <c r="F1863" s="370"/>
      <c r="G1863" s="368">
        <v>0.29166666666666669</v>
      </c>
      <c r="H1863" s="368">
        <v>0.66666666666666663</v>
      </c>
      <c r="I1863" s="372" t="str">
        <f t="shared" si="18"/>
        <v>480</v>
      </c>
      <c r="J1863" s="371">
        <v>3</v>
      </c>
      <c r="K1863" s="371"/>
      <c r="L1863" s="365">
        <v>0.3125</v>
      </c>
      <c r="M1863" s="365">
        <v>0.70833333333333337</v>
      </c>
      <c r="N1863" s="372" t="str">
        <f t="shared" si="19"/>
        <v>510</v>
      </c>
      <c r="O1863" s="371">
        <f t="shared" si="20"/>
        <v>3450</v>
      </c>
      <c r="P1863" s="366">
        <f t="shared" si="21"/>
        <v>0.29166666666666669</v>
      </c>
      <c r="Q1863" s="366">
        <f t="shared" si="22"/>
        <v>0.70833333333333337</v>
      </c>
      <c r="R1863" s="367" t="str">
        <f t="shared" si="23"/>
        <v>540</v>
      </c>
    </row>
    <row r="1864" spans="1:18" x14ac:dyDescent="0.4">
      <c r="A1864" s="402">
        <v>46086</v>
      </c>
      <c r="B1864" s="392" t="s">
        <v>115</v>
      </c>
      <c r="C1864" s="364" t="s">
        <v>214</v>
      </c>
      <c r="D1864" s="404">
        <v>12</v>
      </c>
      <c r="E1864" s="369">
        <v>5</v>
      </c>
      <c r="F1864" s="370"/>
      <c r="G1864" s="368">
        <v>0.54166666666666663</v>
      </c>
      <c r="H1864" s="368">
        <v>0.66666666666666663</v>
      </c>
      <c r="I1864" s="372" t="str">
        <f t="shared" si="18"/>
        <v>180</v>
      </c>
      <c r="J1864" s="371">
        <v>4</v>
      </c>
      <c r="K1864" s="371"/>
      <c r="L1864" s="365">
        <v>0.57291666666666663</v>
      </c>
      <c r="M1864" s="365">
        <v>0.70833333333333337</v>
      </c>
      <c r="N1864" s="372" t="str">
        <f t="shared" si="19"/>
        <v>195</v>
      </c>
      <c r="O1864" s="371">
        <f t="shared" si="20"/>
        <v>1680</v>
      </c>
      <c r="P1864" s="366">
        <f t="shared" si="21"/>
        <v>0.54166666666666663</v>
      </c>
      <c r="Q1864" s="366">
        <f t="shared" si="22"/>
        <v>0.70833333333333337</v>
      </c>
      <c r="R1864" s="367" t="str">
        <f t="shared" si="23"/>
        <v>240</v>
      </c>
    </row>
    <row r="1865" spans="1:18" x14ac:dyDescent="0.4">
      <c r="A1865" s="402">
        <v>46086</v>
      </c>
      <c r="B1865" s="392" t="s">
        <v>55</v>
      </c>
      <c r="C1865" s="364" t="s">
        <v>208</v>
      </c>
      <c r="D1865" s="404">
        <v>24</v>
      </c>
      <c r="E1865" s="369">
        <v>5</v>
      </c>
      <c r="F1865" s="370"/>
      <c r="G1865" s="368">
        <v>0.29166666666666669</v>
      </c>
      <c r="H1865" s="368">
        <v>0.5</v>
      </c>
      <c r="I1865" s="372" t="str">
        <f t="shared" si="18"/>
        <v>300</v>
      </c>
      <c r="J1865" s="371">
        <v>4</v>
      </c>
      <c r="K1865" s="371"/>
      <c r="L1865" s="365">
        <v>0.3125</v>
      </c>
      <c r="M1865" s="365">
        <v>0.57291666666666663</v>
      </c>
      <c r="N1865" s="372" t="str">
        <f t="shared" si="19"/>
        <v>315</v>
      </c>
      <c r="O1865" s="371">
        <f t="shared" si="20"/>
        <v>2760</v>
      </c>
      <c r="P1865" s="366">
        <f t="shared" si="21"/>
        <v>0.29166666666666669</v>
      </c>
      <c r="Q1865" s="366">
        <f t="shared" si="22"/>
        <v>0.57291666666666663</v>
      </c>
      <c r="R1865" s="367" t="str">
        <f t="shared" si="23"/>
        <v>345</v>
      </c>
    </row>
    <row r="1866" spans="1:18" x14ac:dyDescent="0.4">
      <c r="A1866" s="402">
        <v>46086</v>
      </c>
      <c r="B1866" s="392" t="s">
        <v>65</v>
      </c>
      <c r="C1866" s="364" t="s">
        <v>189</v>
      </c>
      <c r="D1866" s="404">
        <v>72</v>
      </c>
      <c r="E1866" s="369">
        <v>3</v>
      </c>
      <c r="F1866" s="368">
        <v>3.4722222222222224E-2</v>
      </c>
      <c r="G1866" s="368">
        <v>0.29166666666666669</v>
      </c>
      <c r="H1866" s="368">
        <v>0.67013888888888884</v>
      </c>
      <c r="I1866" s="372" t="str">
        <f t="shared" si="18"/>
        <v>535</v>
      </c>
      <c r="J1866" s="371">
        <v>4</v>
      </c>
      <c r="K1866" s="371"/>
      <c r="L1866" s="365">
        <v>0.29166666666666669</v>
      </c>
      <c r="M1866" s="365">
        <v>0.70833333333333337</v>
      </c>
      <c r="N1866" s="372" t="str">
        <f t="shared" si="19"/>
        <v>540</v>
      </c>
      <c r="O1866" s="371">
        <f t="shared" si="20"/>
        <v>3765</v>
      </c>
      <c r="P1866" s="366">
        <f t="shared" si="21"/>
        <v>0.29166666666666669</v>
      </c>
      <c r="Q1866" s="366">
        <f t="shared" si="22"/>
        <v>0.70833333333333337</v>
      </c>
      <c r="R1866" s="367" t="str">
        <f t="shared" si="23"/>
        <v>540</v>
      </c>
    </row>
    <row r="1867" spans="1:18" x14ac:dyDescent="0.4">
      <c r="A1867" s="402">
        <v>46087</v>
      </c>
      <c r="B1867" s="392" t="s">
        <v>1260</v>
      </c>
      <c r="C1867" s="364" t="s">
        <v>1269</v>
      </c>
      <c r="D1867" s="404">
        <v>4</v>
      </c>
      <c r="E1867" s="369">
        <v>4</v>
      </c>
      <c r="F1867" s="370"/>
      <c r="G1867" s="368">
        <v>0.34027777777777773</v>
      </c>
      <c r="H1867" s="368">
        <v>0.42638888888888887</v>
      </c>
      <c r="I1867" s="372" t="str">
        <f t="shared" si="18"/>
        <v>124</v>
      </c>
      <c r="J1867" s="371">
        <v>10</v>
      </c>
      <c r="K1867" s="371"/>
      <c r="L1867" s="365">
        <v>0.40277777777777773</v>
      </c>
      <c r="M1867" s="365">
        <v>0.5</v>
      </c>
      <c r="N1867" s="372" t="str">
        <f t="shared" si="19"/>
        <v>140</v>
      </c>
      <c r="O1867" s="371">
        <f t="shared" si="20"/>
        <v>1896</v>
      </c>
      <c r="P1867" s="366">
        <f t="shared" si="21"/>
        <v>0.34027777777777773</v>
      </c>
      <c r="Q1867" s="366">
        <f t="shared" si="22"/>
        <v>0.5</v>
      </c>
      <c r="R1867" s="367" t="str">
        <f t="shared" si="23"/>
        <v>230</v>
      </c>
    </row>
    <row r="1868" spans="1:18" x14ac:dyDescent="0.4">
      <c r="A1868" s="402">
        <v>46087</v>
      </c>
      <c r="B1868" s="392" t="s">
        <v>367</v>
      </c>
      <c r="C1868" s="364" t="s">
        <v>1106</v>
      </c>
      <c r="D1868" s="404">
        <v>3</v>
      </c>
      <c r="E1868" s="369">
        <v>4</v>
      </c>
      <c r="F1868" s="370"/>
      <c r="G1868" s="368">
        <v>0.29166666666666669</v>
      </c>
      <c r="H1868" s="368">
        <v>0.35625000000000001</v>
      </c>
      <c r="I1868" s="372" t="str">
        <f t="shared" si="18"/>
        <v>93</v>
      </c>
      <c r="J1868" s="371">
        <v>10</v>
      </c>
      <c r="K1868" s="371"/>
      <c r="L1868" s="365">
        <v>0.3125</v>
      </c>
      <c r="M1868" s="365">
        <v>0.40277777777777773</v>
      </c>
      <c r="N1868" s="372" t="str">
        <f t="shared" si="19"/>
        <v>130</v>
      </c>
      <c r="O1868" s="371">
        <f t="shared" si="20"/>
        <v>1672</v>
      </c>
      <c r="P1868" s="366">
        <f t="shared" si="21"/>
        <v>0.29166666666666669</v>
      </c>
      <c r="Q1868" s="366">
        <f t="shared" si="22"/>
        <v>0.40277777777777773</v>
      </c>
      <c r="R1868" s="367" t="str">
        <f t="shared" si="23"/>
        <v>160</v>
      </c>
    </row>
    <row r="1869" spans="1:18" x14ac:dyDescent="0.4">
      <c r="A1869" s="402">
        <v>46087</v>
      </c>
      <c r="B1869" s="392" t="s">
        <v>473</v>
      </c>
      <c r="C1869" s="364" t="s">
        <v>289</v>
      </c>
      <c r="D1869" s="404">
        <v>6</v>
      </c>
      <c r="E1869" s="369">
        <v>4</v>
      </c>
      <c r="F1869" s="370"/>
      <c r="G1869" s="368">
        <v>0.54166666666666663</v>
      </c>
      <c r="H1869" s="368">
        <v>0.66666666666666663</v>
      </c>
      <c r="I1869" s="372" t="str">
        <f t="shared" si="18"/>
        <v>180</v>
      </c>
      <c r="J1869" s="371">
        <v>12</v>
      </c>
      <c r="K1869" s="371"/>
      <c r="L1869" s="365">
        <v>0.54166666666666663</v>
      </c>
      <c r="M1869" s="365">
        <v>0.70833333333333337</v>
      </c>
      <c r="N1869" s="372" t="str">
        <f t="shared" si="19"/>
        <v>240</v>
      </c>
      <c r="O1869" s="371">
        <f t="shared" si="20"/>
        <v>3600</v>
      </c>
      <c r="P1869" s="366">
        <f t="shared" si="21"/>
        <v>0.54166666666666663</v>
      </c>
      <c r="Q1869" s="366">
        <f t="shared" si="22"/>
        <v>0.70833333333333337</v>
      </c>
      <c r="R1869" s="367" t="str">
        <f t="shared" si="23"/>
        <v>240</v>
      </c>
    </row>
    <row r="1870" spans="1:18" x14ac:dyDescent="0.4">
      <c r="A1870" s="402">
        <v>46087</v>
      </c>
      <c r="B1870" s="392" t="s">
        <v>1261</v>
      </c>
      <c r="C1870" s="364" t="s">
        <v>1270</v>
      </c>
      <c r="D1870" s="404">
        <v>3</v>
      </c>
      <c r="E1870" s="369">
        <v>5</v>
      </c>
      <c r="F1870" s="370"/>
      <c r="G1870" s="368">
        <v>0.29166666666666669</v>
      </c>
      <c r="H1870" s="368">
        <v>0.35416666666666669</v>
      </c>
      <c r="I1870" s="372" t="str">
        <f t="shared" si="18"/>
        <v>90</v>
      </c>
      <c r="J1870" s="371">
        <v>3</v>
      </c>
      <c r="K1870" s="371"/>
      <c r="L1870" s="365">
        <v>0.29375000000000001</v>
      </c>
      <c r="M1870" s="365">
        <v>0.38194444444444442</v>
      </c>
      <c r="N1870" s="372" t="str">
        <f t="shared" si="19"/>
        <v>127</v>
      </c>
      <c r="O1870" s="371">
        <f t="shared" si="20"/>
        <v>831</v>
      </c>
      <c r="P1870" s="366">
        <f t="shared" si="21"/>
        <v>0.29166666666666669</v>
      </c>
      <c r="Q1870" s="366">
        <f t="shared" si="22"/>
        <v>0.38194444444444442</v>
      </c>
      <c r="R1870" s="367" t="str">
        <f t="shared" si="23"/>
        <v>130</v>
      </c>
    </row>
    <row r="1871" spans="1:18" x14ac:dyDescent="0.4">
      <c r="A1871" s="402">
        <v>46087</v>
      </c>
      <c r="B1871" s="392" t="s">
        <v>109</v>
      </c>
      <c r="C1871" s="364" t="s">
        <v>263</v>
      </c>
      <c r="D1871" s="404">
        <v>12</v>
      </c>
      <c r="E1871" s="369">
        <v>5</v>
      </c>
      <c r="F1871" s="370"/>
      <c r="G1871" s="368">
        <v>0.60555555555555551</v>
      </c>
      <c r="H1871" s="368">
        <v>0.70833333333333337</v>
      </c>
      <c r="I1871" s="372" t="str">
        <f t="shared" si="18"/>
        <v>148</v>
      </c>
      <c r="J1871" s="371">
        <v>3</v>
      </c>
      <c r="K1871" s="371"/>
      <c r="L1871" s="365">
        <v>0.63194444444444442</v>
      </c>
      <c r="M1871" s="365">
        <v>0.70833333333333337</v>
      </c>
      <c r="N1871" s="372" t="str">
        <f t="shared" si="19"/>
        <v>110</v>
      </c>
      <c r="O1871" s="371">
        <f t="shared" si="20"/>
        <v>1070</v>
      </c>
      <c r="P1871" s="366">
        <f t="shared" si="21"/>
        <v>0.60555555555555551</v>
      </c>
      <c r="Q1871" s="366">
        <f t="shared" si="22"/>
        <v>0.70833333333333337</v>
      </c>
      <c r="R1871" s="367" t="str">
        <f t="shared" si="23"/>
        <v>148</v>
      </c>
    </row>
    <row r="1872" spans="1:18" x14ac:dyDescent="0.4">
      <c r="A1872" s="402">
        <v>46087</v>
      </c>
      <c r="B1872" s="392" t="s">
        <v>63</v>
      </c>
      <c r="C1872" s="364" t="s">
        <v>267</v>
      </c>
      <c r="D1872" s="404">
        <v>24</v>
      </c>
      <c r="E1872" s="369">
        <v>5</v>
      </c>
      <c r="F1872" s="370"/>
      <c r="G1872" s="368">
        <v>0.35416666666666669</v>
      </c>
      <c r="H1872" s="368">
        <v>0.60555555555555551</v>
      </c>
      <c r="I1872" s="372" t="str">
        <f t="shared" si="18"/>
        <v>302</v>
      </c>
      <c r="J1872" s="371">
        <v>3</v>
      </c>
      <c r="K1872" s="371"/>
      <c r="L1872" s="365">
        <v>0.38194444444444442</v>
      </c>
      <c r="M1872" s="365">
        <v>0.63194444444444442</v>
      </c>
      <c r="N1872" s="372" t="str">
        <f t="shared" si="19"/>
        <v>300</v>
      </c>
      <c r="O1872" s="371">
        <f t="shared" si="20"/>
        <v>2410</v>
      </c>
      <c r="P1872" s="366">
        <f t="shared" si="21"/>
        <v>0.35416666666666669</v>
      </c>
      <c r="Q1872" s="366">
        <f t="shared" si="22"/>
        <v>0.63194444444444442</v>
      </c>
      <c r="R1872" s="367" t="str">
        <f t="shared" si="23"/>
        <v>340</v>
      </c>
    </row>
    <row r="1873" spans="1:18" x14ac:dyDescent="0.4">
      <c r="A1873" s="402">
        <v>46087</v>
      </c>
      <c r="B1873" s="392" t="s">
        <v>65</v>
      </c>
      <c r="C1873" s="364" t="s">
        <v>189</v>
      </c>
      <c r="D1873" s="404">
        <v>72</v>
      </c>
      <c r="E1873" s="369">
        <v>3</v>
      </c>
      <c r="F1873" s="368">
        <v>6.25E-2</v>
      </c>
      <c r="G1873" s="368">
        <v>0.29166666666666669</v>
      </c>
      <c r="H1873" s="368">
        <v>0.6875</v>
      </c>
      <c r="I1873" s="372" t="str">
        <f t="shared" si="18"/>
        <v>600</v>
      </c>
      <c r="J1873" s="371">
        <v>4</v>
      </c>
      <c r="K1873" s="371"/>
      <c r="L1873" s="365">
        <v>0.29166666666666669</v>
      </c>
      <c r="M1873" s="365">
        <v>0.72916666666666663</v>
      </c>
      <c r="N1873" s="372" t="str">
        <f t="shared" si="19"/>
        <v>570</v>
      </c>
      <c r="O1873" s="371">
        <f t="shared" si="20"/>
        <v>4080</v>
      </c>
      <c r="P1873" s="366">
        <f t="shared" si="21"/>
        <v>0.29166666666666669</v>
      </c>
      <c r="Q1873" s="366">
        <f t="shared" si="22"/>
        <v>0.72916666666666663</v>
      </c>
      <c r="R1873" s="367" t="str">
        <f t="shared" si="23"/>
        <v>570</v>
      </c>
    </row>
    <row r="1874" spans="1:18" x14ac:dyDescent="0.4">
      <c r="A1874" s="402">
        <v>46090</v>
      </c>
      <c r="B1874" s="392" t="s">
        <v>80</v>
      </c>
      <c r="C1874" s="375" t="s">
        <v>203</v>
      </c>
      <c r="D1874" s="406">
        <v>72</v>
      </c>
      <c r="E1874" s="369">
        <v>6</v>
      </c>
      <c r="F1874" s="370"/>
      <c r="G1874" s="368">
        <v>0.29166666666666669</v>
      </c>
      <c r="H1874" s="368">
        <v>0.70833333333333337</v>
      </c>
      <c r="I1874" s="372" t="str">
        <f t="shared" si="18"/>
        <v>540</v>
      </c>
      <c r="J1874" s="371">
        <v>5</v>
      </c>
      <c r="K1874" s="371"/>
      <c r="L1874" s="365">
        <v>0.3125</v>
      </c>
      <c r="M1874" s="365">
        <v>0.70833333333333337</v>
      </c>
      <c r="N1874" s="372" t="str">
        <f t="shared" si="19"/>
        <v>510</v>
      </c>
      <c r="O1874" s="371">
        <f t="shared" si="20"/>
        <v>5790</v>
      </c>
      <c r="P1874" s="366">
        <f t="shared" si="21"/>
        <v>0.29166666666666669</v>
      </c>
      <c r="Q1874" s="366">
        <f t="shared" si="22"/>
        <v>0.70833333333333337</v>
      </c>
      <c r="R1874" s="367" t="str">
        <f t="shared" si="23"/>
        <v>540</v>
      </c>
    </row>
    <row r="1875" spans="1:18" x14ac:dyDescent="0.4">
      <c r="A1875" s="402">
        <v>46090</v>
      </c>
      <c r="B1875" s="392" t="s">
        <v>63</v>
      </c>
      <c r="C1875" s="375" t="s">
        <v>267</v>
      </c>
      <c r="D1875" s="406">
        <v>24</v>
      </c>
      <c r="E1875" s="369">
        <v>5</v>
      </c>
      <c r="F1875" s="370"/>
      <c r="G1875" s="368">
        <v>0.43888888888888888</v>
      </c>
      <c r="H1875" s="368">
        <v>0.70833333333333337</v>
      </c>
      <c r="I1875" s="372" t="str">
        <f t="shared" si="18"/>
        <v>328</v>
      </c>
      <c r="J1875" s="371">
        <v>3</v>
      </c>
      <c r="K1875" s="371"/>
      <c r="L1875" s="365">
        <v>0.46527777777777773</v>
      </c>
      <c r="M1875" s="365">
        <v>0.72916666666666663</v>
      </c>
      <c r="N1875" s="372" t="str">
        <f t="shared" si="19"/>
        <v>320</v>
      </c>
      <c r="O1875" s="371">
        <f t="shared" si="20"/>
        <v>2600</v>
      </c>
      <c r="P1875" s="366">
        <f t="shared" si="21"/>
        <v>0.43888888888888888</v>
      </c>
      <c r="Q1875" s="366">
        <f t="shared" si="22"/>
        <v>0.72916666666666663</v>
      </c>
      <c r="R1875" s="367" t="str">
        <f t="shared" si="23"/>
        <v>358</v>
      </c>
    </row>
    <row r="1876" spans="1:18" x14ac:dyDescent="0.4">
      <c r="A1876" s="402">
        <v>46090</v>
      </c>
      <c r="B1876" s="392" t="s">
        <v>64</v>
      </c>
      <c r="C1876" s="375" t="s">
        <v>271</v>
      </c>
      <c r="D1876" s="406">
        <v>16</v>
      </c>
      <c r="E1876" s="369">
        <v>5</v>
      </c>
      <c r="F1876" s="370"/>
      <c r="G1876" s="368">
        <v>0.29166666666666669</v>
      </c>
      <c r="H1876" s="368">
        <v>0.43888888888888888</v>
      </c>
      <c r="I1876" s="372" t="str">
        <f t="shared" si="18"/>
        <v>212</v>
      </c>
      <c r="J1876" s="371">
        <v>3</v>
      </c>
      <c r="K1876" s="371"/>
      <c r="L1876" s="365">
        <v>0.3125</v>
      </c>
      <c r="M1876" s="365">
        <v>0.46527777777777773</v>
      </c>
      <c r="N1876" s="372" t="str">
        <f t="shared" si="19"/>
        <v>220</v>
      </c>
      <c r="O1876" s="371">
        <f t="shared" si="20"/>
        <v>1720</v>
      </c>
      <c r="P1876" s="366">
        <f t="shared" si="21"/>
        <v>0.29166666666666669</v>
      </c>
      <c r="Q1876" s="366">
        <f t="shared" si="22"/>
        <v>0.46527777777777773</v>
      </c>
      <c r="R1876" s="367" t="str">
        <f t="shared" si="23"/>
        <v>250</v>
      </c>
    </row>
    <row r="1877" spans="1:18" x14ac:dyDescent="0.4">
      <c r="A1877" s="402">
        <v>46090</v>
      </c>
      <c r="B1877" s="392" t="s">
        <v>96</v>
      </c>
      <c r="C1877" s="375" t="s">
        <v>167</v>
      </c>
      <c r="D1877" s="406">
        <v>16</v>
      </c>
      <c r="E1877" s="369">
        <v>3</v>
      </c>
      <c r="F1877" s="368">
        <v>4.1666666666666664E-2</v>
      </c>
      <c r="G1877" s="368">
        <v>0.29166666666666669</v>
      </c>
      <c r="H1877" s="368">
        <v>0.39583333333333331</v>
      </c>
      <c r="I1877" s="372" t="str">
        <f t="shared" si="18"/>
        <v>210</v>
      </c>
      <c r="J1877" s="371">
        <v>6</v>
      </c>
      <c r="K1877" s="371"/>
      <c r="L1877" s="365">
        <v>0.29166666666666669</v>
      </c>
      <c r="M1877" s="365">
        <v>0.5</v>
      </c>
      <c r="N1877" s="372" t="str">
        <f t="shared" si="19"/>
        <v>300</v>
      </c>
      <c r="O1877" s="371">
        <f t="shared" si="20"/>
        <v>2430</v>
      </c>
      <c r="P1877" s="366">
        <f t="shared" si="21"/>
        <v>0.29166666666666669</v>
      </c>
      <c r="Q1877" s="366">
        <f t="shared" si="22"/>
        <v>0.5</v>
      </c>
      <c r="R1877" s="367" t="str">
        <f t="shared" si="23"/>
        <v>300</v>
      </c>
    </row>
    <row r="1878" spans="1:18" x14ac:dyDescent="0.4">
      <c r="A1878" s="402">
        <v>46090</v>
      </c>
      <c r="B1878" s="392" t="s">
        <v>123</v>
      </c>
      <c r="C1878" s="375" t="s">
        <v>277</v>
      </c>
      <c r="D1878" s="406">
        <v>36</v>
      </c>
      <c r="E1878" s="369">
        <v>3</v>
      </c>
      <c r="F1878" s="370"/>
      <c r="G1878" s="368">
        <v>0.39583333333333331</v>
      </c>
      <c r="H1878" s="368">
        <v>0.67361111111111116</v>
      </c>
      <c r="I1878" s="372" t="str">
        <f t="shared" si="18"/>
        <v>340</v>
      </c>
      <c r="J1878" s="371">
        <v>4</v>
      </c>
      <c r="K1878" s="371"/>
      <c r="L1878" s="365">
        <v>0.54166666666666663</v>
      </c>
      <c r="M1878" s="365">
        <v>0.70833333333333337</v>
      </c>
      <c r="N1878" s="372" t="str">
        <f t="shared" si="19"/>
        <v>240</v>
      </c>
      <c r="O1878" s="371">
        <f t="shared" si="20"/>
        <v>1980</v>
      </c>
      <c r="P1878" s="366">
        <f t="shared" si="21"/>
        <v>0.39583333333333331</v>
      </c>
      <c r="Q1878" s="366">
        <f t="shared" si="22"/>
        <v>0.70833333333333337</v>
      </c>
      <c r="R1878" s="367" t="str">
        <f t="shared" si="23"/>
        <v>390</v>
      </c>
    </row>
    <row r="1879" spans="1:18" x14ac:dyDescent="0.4">
      <c r="A1879" s="402">
        <v>46091</v>
      </c>
      <c r="B1879" s="392" t="s">
        <v>158</v>
      </c>
      <c r="C1879" s="375" t="s">
        <v>159</v>
      </c>
      <c r="D1879" s="406">
        <v>6</v>
      </c>
      <c r="E1879" s="369">
        <v>4</v>
      </c>
      <c r="F1879" s="370"/>
      <c r="G1879" s="368">
        <v>0.29166666666666669</v>
      </c>
      <c r="H1879" s="368">
        <v>0.38750000000000001</v>
      </c>
      <c r="I1879" s="372" t="str">
        <f t="shared" si="18"/>
        <v>138</v>
      </c>
      <c r="J1879" s="371">
        <v>9</v>
      </c>
      <c r="K1879" s="371"/>
      <c r="L1879" s="365">
        <v>0.3125</v>
      </c>
      <c r="M1879" s="365">
        <v>0.4513888888888889</v>
      </c>
      <c r="N1879" s="372" t="str">
        <f t="shared" si="19"/>
        <v>200</v>
      </c>
      <c r="O1879" s="371">
        <f t="shared" si="20"/>
        <v>2352</v>
      </c>
      <c r="P1879" s="366">
        <f t="shared" si="21"/>
        <v>0.29166666666666669</v>
      </c>
      <c r="Q1879" s="366">
        <f t="shared" si="22"/>
        <v>0.4513888888888889</v>
      </c>
      <c r="R1879" s="367" t="str">
        <f t="shared" si="23"/>
        <v>230</v>
      </c>
    </row>
    <row r="1880" spans="1:18" x14ac:dyDescent="0.4">
      <c r="A1880" s="402">
        <v>46091</v>
      </c>
      <c r="B1880" s="392" t="s">
        <v>106</v>
      </c>
      <c r="C1880" s="375" t="s">
        <v>173</v>
      </c>
      <c r="D1880" s="406">
        <v>20</v>
      </c>
      <c r="E1880" s="369">
        <v>4</v>
      </c>
      <c r="F1880" s="370"/>
      <c r="G1880" s="368">
        <v>0.38750000000000001</v>
      </c>
      <c r="H1880" s="368">
        <v>0.70833333333333337</v>
      </c>
      <c r="I1880" s="372" t="str">
        <f t="shared" si="18"/>
        <v>402</v>
      </c>
      <c r="J1880" s="371">
        <v>9</v>
      </c>
      <c r="K1880" s="371"/>
      <c r="L1880" s="365">
        <v>0.4513888888888889</v>
      </c>
      <c r="M1880" s="365">
        <v>0.72916666666666663</v>
      </c>
      <c r="N1880" s="372" t="str">
        <f t="shared" si="19"/>
        <v>340</v>
      </c>
      <c r="O1880" s="371">
        <f t="shared" si="20"/>
        <v>4668</v>
      </c>
      <c r="P1880" s="366">
        <f t="shared" si="21"/>
        <v>0.38750000000000001</v>
      </c>
      <c r="Q1880" s="366">
        <f t="shared" si="22"/>
        <v>0.72916666666666663</v>
      </c>
      <c r="R1880" s="367" t="str">
        <f t="shared" si="23"/>
        <v>432</v>
      </c>
    </row>
    <row r="1881" spans="1:18" x14ac:dyDescent="0.4">
      <c r="A1881" s="402">
        <v>46091</v>
      </c>
      <c r="B1881" s="392" t="s">
        <v>73</v>
      </c>
      <c r="C1881" s="375" t="s">
        <v>231</v>
      </c>
      <c r="D1881" s="406">
        <v>21</v>
      </c>
      <c r="E1881" s="369">
        <v>4</v>
      </c>
      <c r="F1881" s="370"/>
      <c r="G1881" s="368">
        <v>0.29166666666666669</v>
      </c>
      <c r="H1881" s="368">
        <v>0.70833333333333337</v>
      </c>
      <c r="I1881" s="372" t="str">
        <f t="shared" si="18"/>
        <v>540</v>
      </c>
      <c r="J1881" s="371">
        <v>3</v>
      </c>
      <c r="K1881" s="371"/>
      <c r="L1881" s="365">
        <v>0.3125</v>
      </c>
      <c r="M1881" s="365">
        <v>0.70833333333333337</v>
      </c>
      <c r="N1881" s="372" t="str">
        <f t="shared" si="19"/>
        <v>510</v>
      </c>
      <c r="O1881" s="371">
        <f t="shared" si="20"/>
        <v>3690</v>
      </c>
      <c r="P1881" s="366">
        <f t="shared" si="21"/>
        <v>0.29166666666666669</v>
      </c>
      <c r="Q1881" s="366">
        <f t="shared" si="22"/>
        <v>0.70833333333333337</v>
      </c>
      <c r="R1881" s="367" t="str">
        <f t="shared" si="23"/>
        <v>540</v>
      </c>
    </row>
    <row r="1882" spans="1:18" x14ac:dyDescent="0.4">
      <c r="A1882" s="402">
        <v>46091</v>
      </c>
      <c r="B1882" s="392" t="s">
        <v>104</v>
      </c>
      <c r="C1882" s="375" t="s">
        <v>191</v>
      </c>
      <c r="D1882" s="406">
        <v>72</v>
      </c>
      <c r="E1882" s="369">
        <v>3</v>
      </c>
      <c r="F1882" s="368">
        <v>4.1666666666666664E-2</v>
      </c>
      <c r="G1882" s="368">
        <v>0.29166666666666669</v>
      </c>
      <c r="H1882" s="368">
        <v>0.75694444444444453</v>
      </c>
      <c r="I1882" s="372" t="str">
        <f t="shared" si="18"/>
        <v>670</v>
      </c>
      <c r="J1882" s="371">
        <v>4</v>
      </c>
      <c r="K1882" s="371"/>
      <c r="L1882" s="365">
        <v>0.29166666666666669</v>
      </c>
      <c r="M1882" s="365">
        <v>0.79513888888888884</v>
      </c>
      <c r="N1882" s="372" t="str">
        <f t="shared" si="19"/>
        <v>665</v>
      </c>
      <c r="O1882" s="371">
        <f t="shared" si="20"/>
        <v>4670</v>
      </c>
      <c r="P1882" s="366">
        <f t="shared" si="21"/>
        <v>0.29166666666666669</v>
      </c>
      <c r="Q1882" s="366">
        <f t="shared" si="22"/>
        <v>0.79513888888888884</v>
      </c>
      <c r="R1882" s="367" t="str">
        <f t="shared" si="23"/>
        <v>665</v>
      </c>
    </row>
    <row r="1883" spans="1:18" x14ac:dyDescent="0.4">
      <c r="A1883" s="403">
        <v>46091</v>
      </c>
      <c r="B1883" s="383">
        <v>111010</v>
      </c>
      <c r="C1883" s="390" t="s">
        <v>480</v>
      </c>
      <c r="D1883" s="405">
        <v>1</v>
      </c>
      <c r="E1883" s="384"/>
      <c r="F1883" s="385"/>
      <c r="G1883" s="396"/>
      <c r="H1883" s="396"/>
      <c r="I1883" s="386" t="str">
        <f t="shared" si="18"/>
        <v>0</v>
      </c>
      <c r="J1883" s="387"/>
      <c r="K1883" s="387"/>
      <c r="L1883" s="388"/>
      <c r="M1883" s="388"/>
      <c r="N1883" s="386" t="str">
        <f t="shared" si="19"/>
        <v>0</v>
      </c>
      <c r="O1883" s="387">
        <f t="shared" si="20"/>
        <v>0</v>
      </c>
      <c r="P1883" s="391">
        <f t="shared" si="21"/>
        <v>0</v>
      </c>
      <c r="Q1883" s="391">
        <f t="shared" si="22"/>
        <v>0</v>
      </c>
      <c r="R1883" s="389" t="str">
        <f t="shared" si="23"/>
        <v>0</v>
      </c>
    </row>
    <row r="1884" spans="1:18" x14ac:dyDescent="0.4">
      <c r="A1884" s="402">
        <v>46092</v>
      </c>
      <c r="B1884" s="392" t="s">
        <v>51</v>
      </c>
      <c r="C1884" s="375" t="s">
        <v>253</v>
      </c>
      <c r="D1884" s="406">
        <v>18</v>
      </c>
      <c r="E1884" s="369">
        <v>4</v>
      </c>
      <c r="F1884" s="370"/>
      <c r="G1884" s="368">
        <v>0.54166666666666663</v>
      </c>
      <c r="H1884" s="368">
        <v>0.70833333333333337</v>
      </c>
      <c r="I1884" s="372" t="str">
        <f t="shared" si="18"/>
        <v>240</v>
      </c>
      <c r="J1884" s="371">
        <v>3</v>
      </c>
      <c r="K1884" s="371"/>
      <c r="L1884" s="365">
        <v>0.54166666666666663</v>
      </c>
      <c r="M1884" s="365">
        <v>0.72916666666666663</v>
      </c>
      <c r="N1884" s="372" t="str">
        <f t="shared" si="19"/>
        <v>270</v>
      </c>
      <c r="O1884" s="371">
        <f t="shared" si="20"/>
        <v>1770</v>
      </c>
      <c r="P1884" s="366">
        <f t="shared" si="21"/>
        <v>0.54166666666666663</v>
      </c>
      <c r="Q1884" s="366">
        <f t="shared" si="22"/>
        <v>0.72916666666666663</v>
      </c>
      <c r="R1884" s="367" t="str">
        <f t="shared" si="23"/>
        <v>270</v>
      </c>
    </row>
    <row r="1885" spans="1:18" x14ac:dyDescent="0.4">
      <c r="A1885" s="402">
        <v>46092</v>
      </c>
      <c r="B1885" s="392" t="s">
        <v>451</v>
      </c>
      <c r="C1885" s="375" t="s">
        <v>255</v>
      </c>
      <c r="D1885" s="406">
        <v>6</v>
      </c>
      <c r="E1885" s="369">
        <v>4</v>
      </c>
      <c r="F1885" s="370"/>
      <c r="G1885" s="368">
        <v>0.29166666666666669</v>
      </c>
      <c r="H1885" s="368">
        <v>0.3576388888888889</v>
      </c>
      <c r="I1885" s="372" t="str">
        <f t="shared" si="18"/>
        <v>95</v>
      </c>
      <c r="J1885" s="371">
        <v>3</v>
      </c>
      <c r="K1885" s="371"/>
      <c r="L1885" s="365">
        <v>0.3125</v>
      </c>
      <c r="M1885" s="365">
        <v>0.40277777777777773</v>
      </c>
      <c r="N1885" s="372" t="str">
        <f t="shared" si="19"/>
        <v>130</v>
      </c>
      <c r="O1885" s="371">
        <f t="shared" si="20"/>
        <v>770</v>
      </c>
      <c r="P1885" s="366">
        <f t="shared" si="21"/>
        <v>0.29166666666666669</v>
      </c>
      <c r="Q1885" s="366">
        <f t="shared" si="22"/>
        <v>0.40277777777777773</v>
      </c>
      <c r="R1885" s="367" t="str">
        <f t="shared" si="23"/>
        <v>160</v>
      </c>
    </row>
    <row r="1886" spans="1:18" x14ac:dyDescent="0.4">
      <c r="A1886" s="402">
        <v>46092</v>
      </c>
      <c r="B1886" s="392" t="s">
        <v>54</v>
      </c>
      <c r="C1886" s="375" t="s">
        <v>251</v>
      </c>
      <c r="D1886" s="406">
        <v>12</v>
      </c>
      <c r="E1886" s="369">
        <v>4</v>
      </c>
      <c r="F1886" s="370"/>
      <c r="G1886" s="368">
        <v>0.3576388888888889</v>
      </c>
      <c r="H1886" s="368">
        <v>0.5</v>
      </c>
      <c r="I1886" s="372" t="str">
        <f t="shared" si="18"/>
        <v>205</v>
      </c>
      <c r="J1886" s="371">
        <v>3</v>
      </c>
      <c r="K1886" s="371"/>
      <c r="L1886" s="365">
        <v>0.40277777777777773</v>
      </c>
      <c r="M1886" s="365">
        <v>0.5</v>
      </c>
      <c r="N1886" s="372" t="str">
        <f t="shared" si="19"/>
        <v>140</v>
      </c>
      <c r="O1886" s="371">
        <f t="shared" si="20"/>
        <v>1240</v>
      </c>
      <c r="P1886" s="366">
        <f t="shared" si="21"/>
        <v>0.3576388888888889</v>
      </c>
      <c r="Q1886" s="366">
        <f t="shared" si="22"/>
        <v>0.5</v>
      </c>
      <c r="R1886" s="367" t="str">
        <f t="shared" si="23"/>
        <v>205</v>
      </c>
    </row>
    <row r="1887" spans="1:18" x14ac:dyDescent="0.4">
      <c r="A1887" s="402">
        <v>46092</v>
      </c>
      <c r="B1887" s="392" t="s">
        <v>56</v>
      </c>
      <c r="C1887" s="375" t="s">
        <v>220</v>
      </c>
      <c r="D1887" s="406">
        <v>8</v>
      </c>
      <c r="E1887" s="369">
        <v>5</v>
      </c>
      <c r="F1887" s="370"/>
      <c r="G1887" s="368">
        <v>0.41666666666666669</v>
      </c>
      <c r="H1887" s="368">
        <v>0.5</v>
      </c>
      <c r="I1887" s="372" t="str">
        <f t="shared" si="18"/>
        <v>120</v>
      </c>
      <c r="J1887" s="371">
        <v>4</v>
      </c>
      <c r="K1887" s="371"/>
      <c r="L1887" s="365">
        <v>0.4513888888888889</v>
      </c>
      <c r="M1887" s="365">
        <v>0.57638888888888895</v>
      </c>
      <c r="N1887" s="372" t="str">
        <f t="shared" si="19"/>
        <v>120</v>
      </c>
      <c r="O1887" s="371">
        <f t="shared" si="20"/>
        <v>1080</v>
      </c>
      <c r="P1887" s="366">
        <f t="shared" si="21"/>
        <v>0.41666666666666669</v>
      </c>
      <c r="Q1887" s="366">
        <f t="shared" si="22"/>
        <v>0.57638888888888895</v>
      </c>
      <c r="R1887" s="367" t="str">
        <f t="shared" si="23"/>
        <v>170</v>
      </c>
    </row>
    <row r="1888" spans="1:18" x14ac:dyDescent="0.4">
      <c r="A1888" s="402">
        <v>46092</v>
      </c>
      <c r="B1888" s="392" t="s">
        <v>548</v>
      </c>
      <c r="C1888" s="375" t="s">
        <v>218</v>
      </c>
      <c r="D1888" s="406">
        <v>12</v>
      </c>
      <c r="E1888" s="369">
        <v>5</v>
      </c>
      <c r="F1888" s="370"/>
      <c r="G1888" s="368">
        <v>0.29166666666666669</v>
      </c>
      <c r="H1888" s="368">
        <v>0.41666666666666669</v>
      </c>
      <c r="I1888" s="372" t="str">
        <f t="shared" si="18"/>
        <v>180</v>
      </c>
      <c r="J1888" s="371">
        <v>4</v>
      </c>
      <c r="K1888" s="371"/>
      <c r="L1888" s="365">
        <v>0.3125</v>
      </c>
      <c r="M1888" s="365">
        <v>0.4513888888888889</v>
      </c>
      <c r="N1888" s="372" t="str">
        <f t="shared" si="19"/>
        <v>200</v>
      </c>
      <c r="O1888" s="371">
        <f t="shared" si="20"/>
        <v>1700</v>
      </c>
      <c r="P1888" s="366">
        <f t="shared" si="21"/>
        <v>0.29166666666666669</v>
      </c>
      <c r="Q1888" s="366">
        <f t="shared" si="22"/>
        <v>0.4513888888888889</v>
      </c>
      <c r="R1888" s="367" t="str">
        <f t="shared" si="23"/>
        <v>230</v>
      </c>
    </row>
    <row r="1889" spans="1:18" x14ac:dyDescent="0.4">
      <c r="A1889" s="402">
        <v>46092</v>
      </c>
      <c r="B1889" s="392" t="s">
        <v>63</v>
      </c>
      <c r="C1889" s="375" t="s">
        <v>267</v>
      </c>
      <c r="D1889" s="406">
        <v>16</v>
      </c>
      <c r="E1889" s="369">
        <v>5</v>
      </c>
      <c r="F1889" s="370"/>
      <c r="G1889" s="368">
        <v>0.54166666666666663</v>
      </c>
      <c r="H1889" s="368">
        <v>0.70833333333333337</v>
      </c>
      <c r="I1889" s="372" t="str">
        <f t="shared" si="18"/>
        <v>240</v>
      </c>
      <c r="J1889" s="371">
        <v>3</v>
      </c>
      <c r="K1889" s="371"/>
      <c r="L1889" s="365">
        <v>0.57638888888888895</v>
      </c>
      <c r="M1889" s="365">
        <v>0.70833333333333337</v>
      </c>
      <c r="N1889" s="372" t="str">
        <f t="shared" si="19"/>
        <v>190</v>
      </c>
      <c r="O1889" s="371">
        <f t="shared" si="20"/>
        <v>1770</v>
      </c>
      <c r="P1889" s="366">
        <f t="shared" si="21"/>
        <v>0.54166666666666663</v>
      </c>
      <c r="Q1889" s="366">
        <f t="shared" si="22"/>
        <v>0.70833333333333337</v>
      </c>
      <c r="R1889" s="367" t="str">
        <f t="shared" si="23"/>
        <v>240</v>
      </c>
    </row>
    <row r="1890" spans="1:18" x14ac:dyDescent="0.4">
      <c r="A1890" s="402">
        <v>46092</v>
      </c>
      <c r="B1890" s="392" t="s">
        <v>65</v>
      </c>
      <c r="C1890" s="375" t="s">
        <v>189</v>
      </c>
      <c r="D1890" s="406">
        <v>72</v>
      </c>
      <c r="E1890" s="369">
        <v>3</v>
      </c>
      <c r="F1890" s="368">
        <v>3.4722222222222224E-2</v>
      </c>
      <c r="G1890" s="368">
        <v>0.29166666666666669</v>
      </c>
      <c r="H1890" s="368">
        <v>0.67013888888888884</v>
      </c>
      <c r="I1890" s="372" t="str">
        <f t="shared" si="18"/>
        <v>535</v>
      </c>
      <c r="J1890" s="371">
        <v>4</v>
      </c>
      <c r="K1890" s="365"/>
      <c r="L1890" s="365">
        <v>0.29166666666666669</v>
      </c>
      <c r="M1890" s="365">
        <v>0.70833333333333337</v>
      </c>
      <c r="N1890" s="372" t="str">
        <f t="shared" si="19"/>
        <v>540</v>
      </c>
      <c r="O1890" s="371">
        <f t="shared" si="20"/>
        <v>3765</v>
      </c>
      <c r="P1890" s="366">
        <f t="shared" si="21"/>
        <v>0.29166666666666669</v>
      </c>
      <c r="Q1890" s="366">
        <f t="shared" si="22"/>
        <v>0.70833333333333337</v>
      </c>
      <c r="R1890" s="367" t="str">
        <f t="shared" si="23"/>
        <v>540</v>
      </c>
    </row>
    <row r="1891" spans="1:18" x14ac:dyDescent="0.4">
      <c r="A1891" s="402">
        <v>46093</v>
      </c>
      <c r="B1891" s="392" t="s">
        <v>61</v>
      </c>
      <c r="C1891" s="375" t="s">
        <v>156</v>
      </c>
      <c r="D1891" s="406">
        <v>40</v>
      </c>
      <c r="E1891" s="369">
        <v>4</v>
      </c>
      <c r="F1891" s="370"/>
      <c r="G1891" s="368">
        <v>0.29166666666666669</v>
      </c>
      <c r="H1891" s="368">
        <v>0.66666666666666663</v>
      </c>
      <c r="I1891" s="372" t="str">
        <f t="shared" si="18"/>
        <v>480</v>
      </c>
      <c r="J1891" s="371">
        <v>10</v>
      </c>
      <c r="K1891" s="371"/>
      <c r="L1891" s="365">
        <v>0.3125</v>
      </c>
      <c r="M1891" s="365">
        <v>0.70833333333333337</v>
      </c>
      <c r="N1891" s="372" t="str">
        <f t="shared" si="19"/>
        <v>510</v>
      </c>
      <c r="O1891" s="371">
        <f t="shared" si="20"/>
        <v>7020</v>
      </c>
      <c r="P1891" s="366">
        <f t="shared" si="21"/>
        <v>0.29166666666666669</v>
      </c>
      <c r="Q1891" s="366">
        <f t="shared" si="22"/>
        <v>0.70833333333333337</v>
      </c>
      <c r="R1891" s="367" t="str">
        <f t="shared" si="23"/>
        <v>540</v>
      </c>
    </row>
    <row r="1892" spans="1:18" x14ac:dyDescent="0.4">
      <c r="A1892" s="402">
        <v>46093</v>
      </c>
      <c r="B1892" s="392" t="s">
        <v>63</v>
      </c>
      <c r="C1892" s="375" t="s">
        <v>267</v>
      </c>
      <c r="D1892" s="406">
        <v>20</v>
      </c>
      <c r="E1892" s="369">
        <v>5</v>
      </c>
      <c r="F1892" s="370"/>
      <c r="G1892" s="368">
        <v>0.54166666666666663</v>
      </c>
      <c r="H1892" s="368">
        <v>0.70833333333333337</v>
      </c>
      <c r="I1892" s="372" t="str">
        <f t="shared" si="18"/>
        <v>240</v>
      </c>
      <c r="J1892" s="371">
        <v>3</v>
      </c>
      <c r="K1892" s="371"/>
      <c r="L1892" s="365">
        <v>0.56944444444444442</v>
      </c>
      <c r="M1892" s="365">
        <v>0.72916666666666663</v>
      </c>
      <c r="N1892" s="372" t="str">
        <f t="shared" si="19"/>
        <v>230</v>
      </c>
      <c r="O1892" s="371">
        <f t="shared" si="20"/>
        <v>1890</v>
      </c>
      <c r="P1892" s="366">
        <f t="shared" si="21"/>
        <v>0.54166666666666663</v>
      </c>
      <c r="Q1892" s="366">
        <f t="shared" si="22"/>
        <v>0.72916666666666663</v>
      </c>
      <c r="R1892" s="367" t="str">
        <f t="shared" si="23"/>
        <v>270</v>
      </c>
    </row>
    <row r="1893" spans="1:18" x14ac:dyDescent="0.4">
      <c r="A1893" s="402">
        <v>46093</v>
      </c>
      <c r="B1893" s="392" t="s">
        <v>72</v>
      </c>
      <c r="C1893" s="375" t="s">
        <v>227</v>
      </c>
      <c r="D1893" s="406">
        <v>20</v>
      </c>
      <c r="E1893" s="369">
        <v>5</v>
      </c>
      <c r="F1893" s="370"/>
      <c r="G1893" s="368">
        <v>0.29166666666666669</v>
      </c>
      <c r="H1893" s="368">
        <v>0.46527777777777773</v>
      </c>
      <c r="I1893" s="372" t="str">
        <f t="shared" si="18"/>
        <v>250</v>
      </c>
      <c r="J1893" s="371">
        <v>3</v>
      </c>
      <c r="K1893" s="371"/>
      <c r="L1893" s="365">
        <v>0.3125</v>
      </c>
      <c r="M1893" s="365">
        <v>0.56944444444444442</v>
      </c>
      <c r="N1893" s="372" t="str">
        <f t="shared" si="19"/>
        <v>310</v>
      </c>
      <c r="O1893" s="371">
        <f t="shared" si="20"/>
        <v>2180</v>
      </c>
      <c r="P1893" s="366">
        <f t="shared" si="21"/>
        <v>0.29166666666666669</v>
      </c>
      <c r="Q1893" s="366">
        <f t="shared" si="22"/>
        <v>0.56944444444444442</v>
      </c>
      <c r="R1893" s="367" t="str">
        <f t="shared" si="23"/>
        <v>340</v>
      </c>
    </row>
    <row r="1894" spans="1:18" x14ac:dyDescent="0.4">
      <c r="A1894" s="402">
        <v>46094</v>
      </c>
      <c r="B1894" s="392" t="s">
        <v>71</v>
      </c>
      <c r="C1894" s="375" t="s">
        <v>176</v>
      </c>
      <c r="D1894" s="406">
        <v>72</v>
      </c>
      <c r="E1894" s="369">
        <v>6</v>
      </c>
      <c r="F1894" s="370"/>
      <c r="G1894" s="368">
        <v>0.29166666666666669</v>
      </c>
      <c r="H1894" s="368">
        <v>0.70833333333333337</v>
      </c>
      <c r="I1894" s="372" t="str">
        <f t="shared" si="18"/>
        <v>540</v>
      </c>
      <c r="J1894" s="371">
        <v>5</v>
      </c>
      <c r="K1894" s="371"/>
      <c r="L1894" s="365">
        <v>0.3125</v>
      </c>
      <c r="M1894" s="365">
        <v>0.70833333333333337</v>
      </c>
      <c r="N1894" s="372" t="str">
        <f t="shared" si="19"/>
        <v>510</v>
      </c>
      <c r="O1894" s="371">
        <f t="shared" si="20"/>
        <v>5790</v>
      </c>
      <c r="P1894" s="366">
        <f t="shared" si="21"/>
        <v>0.29166666666666669</v>
      </c>
      <c r="Q1894" s="366">
        <f t="shared" si="22"/>
        <v>0.70833333333333337</v>
      </c>
      <c r="R1894" s="367" t="str">
        <f t="shared" si="23"/>
        <v>540</v>
      </c>
    </row>
    <row r="1895" spans="1:18" x14ac:dyDescent="0.4">
      <c r="A1895" s="402">
        <v>46094</v>
      </c>
      <c r="B1895" s="392" t="s">
        <v>107</v>
      </c>
      <c r="C1895" s="375" t="s">
        <v>314</v>
      </c>
      <c r="D1895" s="406">
        <v>8</v>
      </c>
      <c r="E1895" s="369">
        <v>5</v>
      </c>
      <c r="F1895" s="370"/>
      <c r="G1895" s="368">
        <v>0.29166666666666669</v>
      </c>
      <c r="H1895" s="368">
        <v>0.37361111111111112</v>
      </c>
      <c r="I1895" s="372" t="str">
        <f t="shared" si="18"/>
        <v>118</v>
      </c>
      <c r="J1895" s="371">
        <v>3</v>
      </c>
      <c r="K1895" s="371"/>
      <c r="L1895" s="365">
        <v>0.3125</v>
      </c>
      <c r="M1895" s="365">
        <v>0.40277777777777773</v>
      </c>
      <c r="N1895" s="372" t="str">
        <f t="shared" si="19"/>
        <v>130</v>
      </c>
      <c r="O1895" s="371">
        <f t="shared" si="20"/>
        <v>980</v>
      </c>
      <c r="P1895" s="366">
        <f t="shared" si="21"/>
        <v>0.29166666666666669</v>
      </c>
      <c r="Q1895" s="366">
        <f t="shared" si="22"/>
        <v>0.40277777777777773</v>
      </c>
      <c r="R1895" s="367" t="str">
        <f t="shared" si="23"/>
        <v>160</v>
      </c>
    </row>
    <row r="1896" spans="1:18" x14ac:dyDescent="0.4">
      <c r="A1896" s="402">
        <v>46094</v>
      </c>
      <c r="B1896" s="392" t="s">
        <v>128</v>
      </c>
      <c r="C1896" s="375" t="s">
        <v>312</v>
      </c>
      <c r="D1896" s="406">
        <v>8</v>
      </c>
      <c r="E1896" s="369">
        <v>5</v>
      </c>
      <c r="F1896" s="370"/>
      <c r="G1896" s="368">
        <v>0.37361111111111112</v>
      </c>
      <c r="H1896" s="368">
        <v>0.44097222222222227</v>
      </c>
      <c r="I1896" s="372" t="str">
        <f t="shared" si="18"/>
        <v>97</v>
      </c>
      <c r="J1896" s="371">
        <v>3</v>
      </c>
      <c r="K1896" s="371"/>
      <c r="L1896" s="365">
        <v>0.40277777777777773</v>
      </c>
      <c r="M1896" s="365">
        <v>0.47222222222222227</v>
      </c>
      <c r="N1896" s="372" t="str">
        <f t="shared" si="19"/>
        <v>100</v>
      </c>
      <c r="O1896" s="371">
        <f t="shared" si="20"/>
        <v>785</v>
      </c>
      <c r="P1896" s="366">
        <f t="shared" si="21"/>
        <v>0.37361111111111112</v>
      </c>
      <c r="Q1896" s="366">
        <f t="shared" si="22"/>
        <v>0.47222222222222227</v>
      </c>
      <c r="R1896" s="367" t="str">
        <f t="shared" si="23"/>
        <v>142</v>
      </c>
    </row>
    <row r="1897" spans="1:18" x14ac:dyDescent="0.4">
      <c r="A1897" s="402">
        <v>46094</v>
      </c>
      <c r="B1897" s="392" t="s">
        <v>63</v>
      </c>
      <c r="C1897" s="375" t="s">
        <v>267</v>
      </c>
      <c r="D1897" s="406">
        <v>24</v>
      </c>
      <c r="E1897" s="369">
        <v>5</v>
      </c>
      <c r="F1897" s="370"/>
      <c r="G1897" s="368">
        <v>0.44097222222222227</v>
      </c>
      <c r="H1897" s="368">
        <v>0.70833333333333337</v>
      </c>
      <c r="I1897" s="372" t="str">
        <f t="shared" si="18"/>
        <v>325</v>
      </c>
      <c r="J1897" s="371">
        <v>3</v>
      </c>
      <c r="K1897" s="371"/>
      <c r="L1897" s="365">
        <v>0.47222222222222227</v>
      </c>
      <c r="M1897" s="365">
        <v>0.72916666666666663</v>
      </c>
      <c r="N1897" s="372" t="str">
        <f t="shared" si="19"/>
        <v>310</v>
      </c>
      <c r="O1897" s="371">
        <f t="shared" si="20"/>
        <v>2555</v>
      </c>
      <c r="P1897" s="366">
        <f t="shared" si="21"/>
        <v>0.44097222222222227</v>
      </c>
      <c r="Q1897" s="366">
        <f t="shared" si="22"/>
        <v>0.72916666666666663</v>
      </c>
      <c r="R1897" s="367" t="str">
        <f t="shared" si="23"/>
        <v>355</v>
      </c>
    </row>
    <row r="1898" spans="1:18" x14ac:dyDescent="0.4">
      <c r="A1898" s="402">
        <v>46094</v>
      </c>
      <c r="B1898" s="392" t="s">
        <v>65</v>
      </c>
      <c r="C1898" s="375" t="s">
        <v>189</v>
      </c>
      <c r="D1898" s="406">
        <v>72</v>
      </c>
      <c r="E1898" s="369">
        <v>3</v>
      </c>
      <c r="F1898" s="368">
        <v>3.4722222222222224E-2</v>
      </c>
      <c r="G1898" s="368">
        <v>0.29166666666666669</v>
      </c>
      <c r="H1898" s="368">
        <v>0.65277777777777779</v>
      </c>
      <c r="I1898" s="372" t="str">
        <f t="shared" si="18"/>
        <v>510</v>
      </c>
      <c r="J1898" s="371">
        <v>4</v>
      </c>
      <c r="K1898" s="371"/>
      <c r="L1898" s="365">
        <v>0.29166666666666669</v>
      </c>
      <c r="M1898" s="365">
        <v>0.71527777777777779</v>
      </c>
      <c r="N1898" s="372" t="str">
        <f t="shared" si="19"/>
        <v>550</v>
      </c>
      <c r="O1898" s="371">
        <f t="shared" si="20"/>
        <v>3730</v>
      </c>
      <c r="P1898" s="366">
        <f t="shared" si="21"/>
        <v>0.29166666666666669</v>
      </c>
      <c r="Q1898" s="366">
        <f t="shared" si="22"/>
        <v>0.71527777777777779</v>
      </c>
      <c r="R1898" s="367" t="str">
        <f t="shared" si="23"/>
        <v>550</v>
      </c>
    </row>
    <row r="1899" spans="1:18" x14ac:dyDescent="0.4">
      <c r="A1899" s="402">
        <v>46097</v>
      </c>
      <c r="B1899" s="392" t="s">
        <v>887</v>
      </c>
      <c r="C1899" s="364" t="s">
        <v>888</v>
      </c>
      <c r="D1899" s="404">
        <v>4</v>
      </c>
      <c r="E1899" s="369">
        <v>4</v>
      </c>
      <c r="F1899" s="370"/>
      <c r="G1899" s="368">
        <v>0.54166666666666663</v>
      </c>
      <c r="H1899" s="368">
        <v>0.58680555555555558</v>
      </c>
      <c r="I1899" s="372" t="str">
        <f t="shared" si="18"/>
        <v>65</v>
      </c>
      <c r="J1899" s="371">
        <v>9</v>
      </c>
      <c r="K1899" s="371"/>
      <c r="L1899" s="365">
        <v>0.54166666666666663</v>
      </c>
      <c r="M1899" s="365">
        <v>0.625</v>
      </c>
      <c r="N1899" s="372" t="str">
        <f t="shared" si="19"/>
        <v>120</v>
      </c>
      <c r="O1899" s="371">
        <f t="shared" si="20"/>
        <v>1340</v>
      </c>
      <c r="P1899" s="366">
        <f t="shared" si="21"/>
        <v>0.54166666666666663</v>
      </c>
      <c r="Q1899" s="366">
        <f t="shared" si="22"/>
        <v>0.625</v>
      </c>
      <c r="R1899" s="367" t="str">
        <f t="shared" si="23"/>
        <v>120</v>
      </c>
    </row>
    <row r="1900" spans="1:18" x14ac:dyDescent="0.4">
      <c r="A1900" s="402">
        <v>46097</v>
      </c>
      <c r="B1900" s="392" t="s">
        <v>456</v>
      </c>
      <c r="C1900" s="364" t="s">
        <v>287</v>
      </c>
      <c r="D1900" s="404">
        <v>3</v>
      </c>
      <c r="E1900" s="369">
        <v>3</v>
      </c>
      <c r="F1900" s="370"/>
      <c r="G1900" s="368">
        <v>0.58680555555555558</v>
      </c>
      <c r="H1900" s="368">
        <v>0.70833333333333337</v>
      </c>
      <c r="I1900" s="372" t="str">
        <f t="shared" si="18"/>
        <v>175</v>
      </c>
      <c r="J1900" s="371">
        <v>12</v>
      </c>
      <c r="K1900" s="371"/>
      <c r="L1900" s="365">
        <v>0.625</v>
      </c>
      <c r="M1900" s="365">
        <v>0.75</v>
      </c>
      <c r="N1900" s="372" t="str">
        <f t="shared" si="19"/>
        <v>180</v>
      </c>
      <c r="O1900" s="371">
        <f t="shared" si="20"/>
        <v>2685</v>
      </c>
      <c r="P1900" s="366">
        <f t="shared" si="21"/>
        <v>0.58680555555555558</v>
      </c>
      <c r="Q1900" s="366">
        <f t="shared" si="22"/>
        <v>0.75</v>
      </c>
      <c r="R1900" s="367" t="str">
        <f t="shared" si="23"/>
        <v>235</v>
      </c>
    </row>
    <row r="1901" spans="1:18" x14ac:dyDescent="0.4">
      <c r="A1901" s="402">
        <v>46097</v>
      </c>
      <c r="B1901" s="392" t="s">
        <v>71</v>
      </c>
      <c r="C1901" s="364" t="s">
        <v>176</v>
      </c>
      <c r="D1901" s="404">
        <v>28</v>
      </c>
      <c r="E1901" s="369">
        <v>6</v>
      </c>
      <c r="F1901" s="370"/>
      <c r="G1901" s="368">
        <v>0.29166666666666669</v>
      </c>
      <c r="H1901" s="368">
        <v>0.5</v>
      </c>
      <c r="I1901" s="372" t="str">
        <f t="shared" si="18"/>
        <v>300</v>
      </c>
      <c r="J1901" s="371">
        <v>5</v>
      </c>
      <c r="K1901" s="371"/>
      <c r="L1901" s="365">
        <v>0.3125</v>
      </c>
      <c r="M1901" s="365">
        <v>0.5</v>
      </c>
      <c r="N1901" s="372" t="str">
        <f t="shared" si="19"/>
        <v>270</v>
      </c>
      <c r="O1901" s="371">
        <f t="shared" si="20"/>
        <v>3150</v>
      </c>
      <c r="P1901" s="366">
        <f t="shared" si="21"/>
        <v>0.29166666666666669</v>
      </c>
      <c r="Q1901" s="366">
        <f t="shared" si="22"/>
        <v>0.5</v>
      </c>
      <c r="R1901" s="367" t="str">
        <f t="shared" si="23"/>
        <v>300</v>
      </c>
    </row>
    <row r="1902" spans="1:18" x14ac:dyDescent="0.4">
      <c r="A1902" s="402">
        <v>46097</v>
      </c>
      <c r="B1902" s="392" t="s">
        <v>88</v>
      </c>
      <c r="C1902" s="364" t="s">
        <v>328</v>
      </c>
      <c r="D1902" s="404">
        <v>32</v>
      </c>
      <c r="E1902" s="369">
        <v>5</v>
      </c>
      <c r="F1902" s="370"/>
      <c r="G1902" s="368">
        <v>0.29166666666666669</v>
      </c>
      <c r="H1902" s="368">
        <v>0.59583333333333333</v>
      </c>
      <c r="I1902" s="372" t="str">
        <f t="shared" si="18"/>
        <v>378</v>
      </c>
      <c r="J1902" s="371">
        <v>3</v>
      </c>
      <c r="K1902" s="371"/>
      <c r="L1902" s="365">
        <v>0.3125</v>
      </c>
      <c r="M1902" s="365">
        <v>0.62152777777777779</v>
      </c>
      <c r="N1902" s="372" t="str">
        <f t="shared" si="19"/>
        <v>385</v>
      </c>
      <c r="O1902" s="371">
        <f t="shared" si="20"/>
        <v>3045</v>
      </c>
      <c r="P1902" s="366">
        <f t="shared" si="21"/>
        <v>0.29166666666666669</v>
      </c>
      <c r="Q1902" s="366">
        <f t="shared" si="22"/>
        <v>0.62152777777777779</v>
      </c>
      <c r="R1902" s="367" t="str">
        <f t="shared" si="23"/>
        <v>415</v>
      </c>
    </row>
    <row r="1903" spans="1:18" x14ac:dyDescent="0.4">
      <c r="A1903" s="402">
        <v>46097</v>
      </c>
      <c r="B1903" s="392" t="s">
        <v>63</v>
      </c>
      <c r="C1903" s="364" t="s">
        <v>267</v>
      </c>
      <c r="D1903" s="404">
        <v>8</v>
      </c>
      <c r="E1903" s="369">
        <v>5</v>
      </c>
      <c r="F1903" s="370"/>
      <c r="G1903" s="368">
        <v>0.6</v>
      </c>
      <c r="H1903" s="368">
        <v>0.6875</v>
      </c>
      <c r="I1903" s="372" t="str">
        <f t="shared" si="18"/>
        <v>126</v>
      </c>
      <c r="J1903" s="371">
        <v>3</v>
      </c>
      <c r="K1903" s="371"/>
      <c r="L1903" s="365">
        <v>0.62152777777777779</v>
      </c>
      <c r="M1903" s="365">
        <v>0.6875</v>
      </c>
      <c r="N1903" s="372" t="str">
        <f t="shared" si="19"/>
        <v>95</v>
      </c>
      <c r="O1903" s="371">
        <f t="shared" si="20"/>
        <v>915</v>
      </c>
      <c r="P1903" s="366">
        <f t="shared" si="21"/>
        <v>0.6</v>
      </c>
      <c r="Q1903" s="366">
        <f t="shared" si="22"/>
        <v>0.6875</v>
      </c>
      <c r="R1903" s="367" t="str">
        <f t="shared" si="23"/>
        <v>126</v>
      </c>
    </row>
    <row r="1904" spans="1:18" x14ac:dyDescent="0.4">
      <c r="A1904" s="402">
        <v>46097</v>
      </c>
      <c r="B1904" s="392" t="s">
        <v>131</v>
      </c>
      <c r="C1904" s="364" t="s">
        <v>274</v>
      </c>
      <c r="D1904" s="404">
        <v>40</v>
      </c>
      <c r="E1904" s="369">
        <v>3</v>
      </c>
      <c r="F1904" s="368">
        <v>1.7361111111111112E-2</v>
      </c>
      <c r="G1904" s="368">
        <v>0.29166666666666669</v>
      </c>
      <c r="H1904" s="368">
        <v>0.5</v>
      </c>
      <c r="I1904" s="372" t="str">
        <f t="shared" si="18"/>
        <v>325</v>
      </c>
      <c r="J1904" s="371">
        <v>4</v>
      </c>
      <c r="K1904" s="371"/>
      <c r="L1904" s="365">
        <v>0.29166666666666669</v>
      </c>
      <c r="M1904" s="365">
        <v>0.58333333333333337</v>
      </c>
      <c r="N1904" s="372" t="str">
        <f t="shared" si="19"/>
        <v>360</v>
      </c>
      <c r="O1904" s="371">
        <f t="shared" si="20"/>
        <v>2415</v>
      </c>
      <c r="P1904" s="366">
        <f t="shared" si="21"/>
        <v>0.29166666666666669</v>
      </c>
      <c r="Q1904" s="366">
        <f t="shared" si="22"/>
        <v>0.58333333333333337</v>
      </c>
      <c r="R1904" s="367" t="str">
        <f t="shared" si="23"/>
        <v>360</v>
      </c>
    </row>
    <row r="1905" spans="1:18" x14ac:dyDescent="0.4">
      <c r="A1905" s="402">
        <v>46097</v>
      </c>
      <c r="B1905" s="392" t="s">
        <v>66</v>
      </c>
      <c r="C1905" s="364" t="s">
        <v>195</v>
      </c>
      <c r="D1905" s="404">
        <v>16</v>
      </c>
      <c r="E1905" s="369">
        <v>3</v>
      </c>
      <c r="F1905" s="368">
        <v>1.7361111111111112E-2</v>
      </c>
      <c r="G1905" s="368">
        <v>0.54166666666666663</v>
      </c>
      <c r="H1905" s="368">
        <v>0.64583333333333337</v>
      </c>
      <c r="I1905" s="372" t="str">
        <f t="shared" si="18"/>
        <v>175</v>
      </c>
      <c r="J1905" s="371">
        <v>4</v>
      </c>
      <c r="K1905" s="371"/>
      <c r="L1905" s="365">
        <v>0.58333333333333337</v>
      </c>
      <c r="M1905" s="365">
        <v>0.70833333333333337</v>
      </c>
      <c r="N1905" s="372" t="str">
        <f t="shared" si="19"/>
        <v>180</v>
      </c>
      <c r="O1905" s="371">
        <f t="shared" si="20"/>
        <v>1245</v>
      </c>
      <c r="P1905" s="366">
        <f t="shared" si="21"/>
        <v>0.54166666666666663</v>
      </c>
      <c r="Q1905" s="366">
        <f t="shared" si="22"/>
        <v>0.70833333333333337</v>
      </c>
      <c r="R1905" s="367" t="str">
        <f t="shared" si="23"/>
        <v>240</v>
      </c>
    </row>
    <row r="1906" spans="1:18" x14ac:dyDescent="0.4">
      <c r="A1906" s="403">
        <v>46097</v>
      </c>
      <c r="B1906" s="383" t="s">
        <v>431</v>
      </c>
      <c r="C1906" s="390" t="s">
        <v>436</v>
      </c>
      <c r="D1906" s="405">
        <v>1</v>
      </c>
      <c r="E1906" s="384"/>
      <c r="F1906" s="385"/>
      <c r="G1906" s="396"/>
      <c r="H1906" s="396"/>
      <c r="I1906" s="386" t="str">
        <f t="shared" ref="I1906:I1969" si="24">TEXT(IF(AND(G1906&lt;=$S$2,H1906&gt;=$T$2),(H1906-G1906+F1906)-($T$2-$S$2),(H1906-G1906+F1906)),"[m]")</f>
        <v>0</v>
      </c>
      <c r="J1906" s="387"/>
      <c r="K1906" s="387"/>
      <c r="L1906" s="388"/>
      <c r="M1906" s="388"/>
      <c r="N1906" s="386" t="str">
        <f t="shared" ref="N1906:N1969" si="25">TEXT(IF(AND(L1906&lt;=$S$2,M1906&gt;=$T$2),(M1906-L1906+K1906)-($T$2-$S$2),(M1906-L1906+K1906)),"[m]")</f>
        <v>0</v>
      </c>
      <c r="O1906" s="387">
        <f t="shared" ref="O1906:O1969" si="26">E1906*I1906+J1906*N1906</f>
        <v>0</v>
      </c>
      <c r="P1906" s="391">
        <f t="shared" ref="P1906:P1969" si="27">MIN(G1906:H1906,L1906:M1906)</f>
        <v>0</v>
      </c>
      <c r="Q1906" s="391">
        <f t="shared" ref="Q1906:Q1969" si="28">MAX(G1906:H1906,L1906:M1906)</f>
        <v>0</v>
      </c>
      <c r="R1906" s="389" t="str">
        <f t="shared" ref="R1906:R1969" si="29">TEXT(IF(AND(P1906&lt;=$S$2,Q1906&gt;=$T$2),(Q1906-P1906)-($T$2-$S$2),(Q1906-P1906)),"[m]")</f>
        <v>0</v>
      </c>
    </row>
    <row r="1907" spans="1:18" x14ac:dyDescent="0.4">
      <c r="A1907" s="403">
        <v>46097</v>
      </c>
      <c r="B1907" s="383">
        <v>153010</v>
      </c>
      <c r="C1907" s="390" t="s">
        <v>484</v>
      </c>
      <c r="D1907" s="405">
        <v>0.5</v>
      </c>
      <c r="E1907" s="384"/>
      <c r="F1907" s="385"/>
      <c r="G1907" s="396"/>
      <c r="H1907" s="396"/>
      <c r="I1907" s="386" t="str">
        <f t="shared" si="24"/>
        <v>0</v>
      </c>
      <c r="J1907" s="387"/>
      <c r="K1907" s="387"/>
      <c r="L1907" s="388"/>
      <c r="M1907" s="388"/>
      <c r="N1907" s="386" t="str">
        <f t="shared" si="25"/>
        <v>0</v>
      </c>
      <c r="O1907" s="387">
        <f t="shared" si="26"/>
        <v>0</v>
      </c>
      <c r="P1907" s="391">
        <f t="shared" si="27"/>
        <v>0</v>
      </c>
      <c r="Q1907" s="391">
        <f t="shared" si="28"/>
        <v>0</v>
      </c>
      <c r="R1907" s="389" t="str">
        <f t="shared" si="29"/>
        <v>0</v>
      </c>
    </row>
    <row r="1908" spans="1:18" x14ac:dyDescent="0.4">
      <c r="A1908" s="402">
        <v>46098</v>
      </c>
      <c r="B1908" s="392" t="s">
        <v>63</v>
      </c>
      <c r="C1908" s="364" t="s">
        <v>267</v>
      </c>
      <c r="D1908" s="404">
        <v>16</v>
      </c>
      <c r="E1908" s="369">
        <v>5</v>
      </c>
      <c r="F1908" s="370"/>
      <c r="G1908" s="368">
        <v>0.54166666666666663</v>
      </c>
      <c r="H1908" s="368">
        <v>0.66875000000000007</v>
      </c>
      <c r="I1908" s="372" t="str">
        <f t="shared" si="24"/>
        <v>183</v>
      </c>
      <c r="J1908" s="371">
        <v>3</v>
      </c>
      <c r="K1908" s="371"/>
      <c r="L1908" s="365">
        <v>0.56597222222222221</v>
      </c>
      <c r="M1908" s="365">
        <v>0.6875</v>
      </c>
      <c r="N1908" s="372" t="str">
        <f t="shared" si="25"/>
        <v>175</v>
      </c>
      <c r="O1908" s="371">
        <f t="shared" si="26"/>
        <v>1440</v>
      </c>
      <c r="P1908" s="366">
        <f t="shared" si="27"/>
        <v>0.54166666666666663</v>
      </c>
      <c r="Q1908" s="366">
        <f t="shared" si="28"/>
        <v>0.6875</v>
      </c>
      <c r="R1908" s="367" t="str">
        <f t="shared" si="29"/>
        <v>210</v>
      </c>
    </row>
    <row r="1909" spans="1:18" x14ac:dyDescent="0.4">
      <c r="A1909" s="402">
        <v>46098</v>
      </c>
      <c r="B1909" s="392" t="s">
        <v>64</v>
      </c>
      <c r="C1909" s="364" t="s">
        <v>271</v>
      </c>
      <c r="D1909" s="404">
        <v>24</v>
      </c>
      <c r="E1909" s="369">
        <v>5</v>
      </c>
      <c r="F1909" s="370"/>
      <c r="G1909" s="368">
        <v>0.29166666666666669</v>
      </c>
      <c r="H1909" s="368">
        <v>0.5</v>
      </c>
      <c r="I1909" s="372" t="str">
        <f t="shared" si="24"/>
        <v>300</v>
      </c>
      <c r="J1909" s="371">
        <v>3</v>
      </c>
      <c r="K1909" s="371"/>
      <c r="L1909" s="365">
        <v>0.3125</v>
      </c>
      <c r="M1909" s="365">
        <v>0.56597222222222221</v>
      </c>
      <c r="N1909" s="372" t="str">
        <f t="shared" si="25"/>
        <v>305</v>
      </c>
      <c r="O1909" s="371">
        <f t="shared" si="26"/>
        <v>2415</v>
      </c>
      <c r="P1909" s="366">
        <f t="shared" si="27"/>
        <v>0.29166666666666669</v>
      </c>
      <c r="Q1909" s="366">
        <f t="shared" si="28"/>
        <v>0.56597222222222221</v>
      </c>
      <c r="R1909" s="367" t="str">
        <f t="shared" si="29"/>
        <v>335</v>
      </c>
    </row>
    <row r="1910" spans="1:18" x14ac:dyDescent="0.4">
      <c r="A1910" s="402">
        <v>46098</v>
      </c>
      <c r="B1910" s="392" t="s">
        <v>110</v>
      </c>
      <c r="C1910" s="364" t="s">
        <v>231</v>
      </c>
      <c r="D1910" s="404">
        <v>21</v>
      </c>
      <c r="E1910" s="369">
        <v>4</v>
      </c>
      <c r="F1910" s="370"/>
      <c r="G1910" s="368">
        <v>0.29166666666666669</v>
      </c>
      <c r="H1910" s="368">
        <v>0.6875</v>
      </c>
      <c r="I1910" s="372" t="str">
        <f t="shared" si="24"/>
        <v>510</v>
      </c>
      <c r="J1910" s="371">
        <v>7</v>
      </c>
      <c r="K1910" s="371"/>
      <c r="L1910" s="365">
        <v>0.3125</v>
      </c>
      <c r="M1910" s="365">
        <v>0.72916666666666663</v>
      </c>
      <c r="N1910" s="372" t="str">
        <f t="shared" si="25"/>
        <v>540</v>
      </c>
      <c r="O1910" s="371">
        <f t="shared" si="26"/>
        <v>5820</v>
      </c>
      <c r="P1910" s="366">
        <f t="shared" si="27"/>
        <v>0.29166666666666669</v>
      </c>
      <c r="Q1910" s="366">
        <f t="shared" si="28"/>
        <v>0.72916666666666663</v>
      </c>
      <c r="R1910" s="367" t="str">
        <f t="shared" si="29"/>
        <v>570</v>
      </c>
    </row>
    <row r="1911" spans="1:18" x14ac:dyDescent="0.4">
      <c r="A1911" s="402">
        <v>46098</v>
      </c>
      <c r="B1911" s="392" t="s">
        <v>96</v>
      </c>
      <c r="C1911" s="364" t="s">
        <v>167</v>
      </c>
      <c r="D1911" s="404">
        <v>20</v>
      </c>
      <c r="E1911" s="369">
        <v>3</v>
      </c>
      <c r="F1911" s="368">
        <v>2.0833333333333332E-2</v>
      </c>
      <c r="G1911" s="368">
        <v>0.29166666666666669</v>
      </c>
      <c r="H1911" s="368">
        <v>0.49305555555555558</v>
      </c>
      <c r="I1911" s="372" t="str">
        <f t="shared" si="24"/>
        <v>320</v>
      </c>
      <c r="J1911" s="371">
        <v>6</v>
      </c>
      <c r="K1911" s="371"/>
      <c r="L1911" s="365">
        <v>0.29166666666666669</v>
      </c>
      <c r="M1911" s="365">
        <v>0.60416666666666663</v>
      </c>
      <c r="N1911" s="372" t="str">
        <f t="shared" si="25"/>
        <v>390</v>
      </c>
      <c r="O1911" s="371">
        <f t="shared" si="26"/>
        <v>3300</v>
      </c>
      <c r="P1911" s="366">
        <f t="shared" si="27"/>
        <v>0.29166666666666669</v>
      </c>
      <c r="Q1911" s="366">
        <f t="shared" si="28"/>
        <v>0.60416666666666663</v>
      </c>
      <c r="R1911" s="367" t="str">
        <f t="shared" si="29"/>
        <v>390</v>
      </c>
    </row>
    <row r="1912" spans="1:18" x14ac:dyDescent="0.4">
      <c r="A1912" s="402">
        <v>46098</v>
      </c>
      <c r="B1912" s="392" t="s">
        <v>83</v>
      </c>
      <c r="C1912" s="364" t="s">
        <v>169</v>
      </c>
      <c r="D1912" s="404">
        <v>16</v>
      </c>
      <c r="E1912" s="369">
        <v>3</v>
      </c>
      <c r="F1912" s="370"/>
      <c r="G1912" s="368">
        <v>0.49305555555555558</v>
      </c>
      <c r="H1912" s="368">
        <v>0.66875000000000007</v>
      </c>
      <c r="I1912" s="372" t="str">
        <f t="shared" si="24"/>
        <v>193</v>
      </c>
      <c r="J1912" s="371">
        <v>7</v>
      </c>
      <c r="K1912" s="371"/>
      <c r="L1912" s="365">
        <v>0.59722222222222221</v>
      </c>
      <c r="M1912" s="365">
        <v>0.79166666666666663</v>
      </c>
      <c r="N1912" s="372" t="str">
        <f t="shared" si="25"/>
        <v>280</v>
      </c>
      <c r="O1912" s="371">
        <f t="shared" si="26"/>
        <v>2539</v>
      </c>
      <c r="P1912" s="366">
        <f t="shared" si="27"/>
        <v>0.49305555555555558</v>
      </c>
      <c r="Q1912" s="366">
        <f t="shared" si="28"/>
        <v>0.79166666666666663</v>
      </c>
      <c r="R1912" s="367" t="str">
        <f t="shared" si="29"/>
        <v>370</v>
      </c>
    </row>
    <row r="1913" spans="1:18" x14ac:dyDescent="0.4">
      <c r="A1913" s="402">
        <v>46099</v>
      </c>
      <c r="B1913" s="392" t="s">
        <v>71</v>
      </c>
      <c r="C1913" s="364" t="s">
        <v>176</v>
      </c>
      <c r="D1913" s="404">
        <v>64</v>
      </c>
      <c r="E1913" s="369">
        <v>6</v>
      </c>
      <c r="F1913" s="370"/>
      <c r="G1913" s="368">
        <v>0.29166666666666669</v>
      </c>
      <c r="H1913" s="368">
        <v>0.62847222222222221</v>
      </c>
      <c r="I1913" s="372" t="str">
        <f t="shared" si="24"/>
        <v>425</v>
      </c>
      <c r="J1913" s="371">
        <v>5</v>
      </c>
      <c r="K1913" s="371"/>
      <c r="L1913" s="365">
        <v>0.3125</v>
      </c>
      <c r="M1913" s="365">
        <v>0.66666666666666663</v>
      </c>
      <c r="N1913" s="372" t="str">
        <f t="shared" si="25"/>
        <v>450</v>
      </c>
      <c r="O1913" s="371">
        <f t="shared" si="26"/>
        <v>4800</v>
      </c>
      <c r="P1913" s="366">
        <f t="shared" si="27"/>
        <v>0.29166666666666669</v>
      </c>
      <c r="Q1913" s="366">
        <f t="shared" si="28"/>
        <v>0.66666666666666663</v>
      </c>
      <c r="R1913" s="367" t="str">
        <f t="shared" si="29"/>
        <v>480</v>
      </c>
    </row>
    <row r="1914" spans="1:18" x14ac:dyDescent="0.4">
      <c r="A1914" s="402">
        <v>46099</v>
      </c>
      <c r="B1914" s="392" t="s">
        <v>460</v>
      </c>
      <c r="C1914" s="364" t="s">
        <v>183</v>
      </c>
      <c r="D1914" s="404">
        <v>8</v>
      </c>
      <c r="E1914" s="369">
        <v>5</v>
      </c>
      <c r="F1914" s="370"/>
      <c r="G1914" s="368">
        <v>0.62847222222222221</v>
      </c>
      <c r="H1914" s="368">
        <v>0.70833333333333337</v>
      </c>
      <c r="I1914" s="372" t="str">
        <f t="shared" si="24"/>
        <v>115</v>
      </c>
      <c r="J1914" s="371">
        <v>5</v>
      </c>
      <c r="K1914" s="371"/>
      <c r="L1914" s="365">
        <v>0.66666666666666663</v>
      </c>
      <c r="M1914" s="365">
        <v>0.72916666666666663</v>
      </c>
      <c r="N1914" s="372" t="str">
        <f t="shared" si="25"/>
        <v>90</v>
      </c>
      <c r="O1914" s="371">
        <f t="shared" si="26"/>
        <v>1025</v>
      </c>
      <c r="P1914" s="366">
        <f t="shared" si="27"/>
        <v>0.62847222222222221</v>
      </c>
      <c r="Q1914" s="366">
        <f t="shared" si="28"/>
        <v>0.72916666666666663</v>
      </c>
      <c r="R1914" s="367" t="str">
        <f t="shared" si="29"/>
        <v>145</v>
      </c>
    </row>
    <row r="1915" spans="1:18" x14ac:dyDescent="0.4">
      <c r="A1915" s="402">
        <v>46099</v>
      </c>
      <c r="B1915" s="392" t="s">
        <v>63</v>
      </c>
      <c r="C1915" s="364" t="s">
        <v>267</v>
      </c>
      <c r="D1915" s="404">
        <v>24</v>
      </c>
      <c r="E1915" s="369">
        <v>5</v>
      </c>
      <c r="F1915" s="370"/>
      <c r="G1915" s="368">
        <v>0.39583333333333331</v>
      </c>
      <c r="H1915" s="368">
        <v>0.66666666666666663</v>
      </c>
      <c r="I1915" s="372" t="str">
        <f t="shared" si="24"/>
        <v>330</v>
      </c>
      <c r="J1915" s="371">
        <v>3</v>
      </c>
      <c r="K1915" s="371"/>
      <c r="L1915" s="365">
        <v>0.4236111111111111</v>
      </c>
      <c r="M1915" s="365">
        <v>0.6875</v>
      </c>
      <c r="N1915" s="372" t="str">
        <f t="shared" si="25"/>
        <v>320</v>
      </c>
      <c r="O1915" s="371">
        <f t="shared" si="26"/>
        <v>2610</v>
      </c>
      <c r="P1915" s="366">
        <f t="shared" si="27"/>
        <v>0.39583333333333331</v>
      </c>
      <c r="Q1915" s="366">
        <f t="shared" si="28"/>
        <v>0.6875</v>
      </c>
      <c r="R1915" s="367" t="str">
        <f t="shared" si="29"/>
        <v>360</v>
      </c>
    </row>
    <row r="1916" spans="1:18" x14ac:dyDescent="0.4">
      <c r="A1916" s="402">
        <v>46099</v>
      </c>
      <c r="B1916" s="392" t="s">
        <v>81</v>
      </c>
      <c r="C1916" s="364" t="s">
        <v>235</v>
      </c>
      <c r="D1916" s="404">
        <v>12</v>
      </c>
      <c r="E1916" s="369">
        <v>5</v>
      </c>
      <c r="F1916" s="370"/>
      <c r="G1916" s="368">
        <v>0.29166666666666669</v>
      </c>
      <c r="H1916" s="368">
        <v>0.39583333333333331</v>
      </c>
      <c r="I1916" s="372" t="str">
        <f t="shared" si="24"/>
        <v>150</v>
      </c>
      <c r="J1916" s="371">
        <v>3</v>
      </c>
      <c r="K1916" s="371"/>
      <c r="L1916" s="365">
        <v>0.3125</v>
      </c>
      <c r="M1916" s="365">
        <v>0.4236111111111111</v>
      </c>
      <c r="N1916" s="372" t="str">
        <f t="shared" si="25"/>
        <v>160</v>
      </c>
      <c r="O1916" s="371">
        <f t="shared" si="26"/>
        <v>1230</v>
      </c>
      <c r="P1916" s="366">
        <f t="shared" si="27"/>
        <v>0.29166666666666669</v>
      </c>
      <c r="Q1916" s="366">
        <f t="shared" si="28"/>
        <v>0.4236111111111111</v>
      </c>
      <c r="R1916" s="367" t="str">
        <f t="shared" si="29"/>
        <v>190</v>
      </c>
    </row>
    <row r="1917" spans="1:18" x14ac:dyDescent="0.4">
      <c r="A1917" s="402">
        <v>46099</v>
      </c>
      <c r="B1917" s="392" t="s">
        <v>65</v>
      </c>
      <c r="C1917" s="364" t="s">
        <v>189</v>
      </c>
      <c r="D1917" s="404">
        <v>72</v>
      </c>
      <c r="E1917" s="369">
        <v>3</v>
      </c>
      <c r="F1917" s="368">
        <v>3.4722222222222224E-2</v>
      </c>
      <c r="G1917" s="368">
        <v>0.29166666666666669</v>
      </c>
      <c r="H1917" s="368">
        <v>0.69791666666666663</v>
      </c>
      <c r="I1917" s="372" t="str">
        <f t="shared" si="24"/>
        <v>575</v>
      </c>
      <c r="J1917" s="371">
        <v>4</v>
      </c>
      <c r="K1917" s="371"/>
      <c r="L1917" s="365">
        <v>0.29166666666666669</v>
      </c>
      <c r="M1917" s="365">
        <v>0.73611111111111116</v>
      </c>
      <c r="N1917" s="372" t="str">
        <f t="shared" si="25"/>
        <v>580</v>
      </c>
      <c r="O1917" s="371">
        <f t="shared" si="26"/>
        <v>4045</v>
      </c>
      <c r="P1917" s="366">
        <f t="shared" si="27"/>
        <v>0.29166666666666669</v>
      </c>
      <c r="Q1917" s="366">
        <f t="shared" si="28"/>
        <v>0.73611111111111116</v>
      </c>
      <c r="R1917" s="367" t="str">
        <f t="shared" si="29"/>
        <v>580</v>
      </c>
    </row>
    <row r="1918" spans="1:18" x14ac:dyDescent="0.4">
      <c r="A1918" s="402">
        <v>46100</v>
      </c>
      <c r="B1918" s="392" t="s">
        <v>54</v>
      </c>
      <c r="C1918" s="364" t="s">
        <v>251</v>
      </c>
      <c r="D1918" s="404">
        <v>32</v>
      </c>
      <c r="E1918" s="369">
        <v>4</v>
      </c>
      <c r="F1918" s="370"/>
      <c r="G1918" s="368">
        <v>0.41666666666666669</v>
      </c>
      <c r="H1918" s="368">
        <v>0.70833333333333337</v>
      </c>
      <c r="I1918" s="372" t="str">
        <f t="shared" si="24"/>
        <v>360</v>
      </c>
      <c r="J1918" s="371">
        <v>3</v>
      </c>
      <c r="K1918" s="371"/>
      <c r="L1918" s="365">
        <v>0.44444444444444442</v>
      </c>
      <c r="M1918" s="365">
        <v>0.77083333333333337</v>
      </c>
      <c r="N1918" s="372" t="str">
        <f t="shared" si="25"/>
        <v>410</v>
      </c>
      <c r="O1918" s="371">
        <f t="shared" si="26"/>
        <v>2670</v>
      </c>
      <c r="P1918" s="366">
        <f t="shared" si="27"/>
        <v>0.41666666666666669</v>
      </c>
      <c r="Q1918" s="366">
        <f t="shared" si="28"/>
        <v>0.77083333333333337</v>
      </c>
      <c r="R1918" s="367" t="str">
        <f t="shared" si="29"/>
        <v>450</v>
      </c>
    </row>
    <row r="1919" spans="1:18" x14ac:dyDescent="0.4">
      <c r="A1919" s="402">
        <v>46100</v>
      </c>
      <c r="B1919" s="392" t="s">
        <v>53</v>
      </c>
      <c r="C1919" s="364" t="s">
        <v>261</v>
      </c>
      <c r="D1919" s="404">
        <v>12</v>
      </c>
      <c r="E1919" s="369">
        <v>4</v>
      </c>
      <c r="F1919" s="370"/>
      <c r="G1919" s="368">
        <v>0.29166666666666669</v>
      </c>
      <c r="H1919" s="368">
        <v>0.41666666666666669</v>
      </c>
      <c r="I1919" s="372" t="str">
        <f t="shared" si="24"/>
        <v>180</v>
      </c>
      <c r="J1919" s="371">
        <v>3</v>
      </c>
      <c r="K1919" s="371"/>
      <c r="L1919" s="365">
        <v>0.3125</v>
      </c>
      <c r="M1919" s="365">
        <v>0.44444444444444442</v>
      </c>
      <c r="N1919" s="372" t="str">
        <f t="shared" si="25"/>
        <v>190</v>
      </c>
      <c r="O1919" s="371">
        <f t="shared" si="26"/>
        <v>1290</v>
      </c>
      <c r="P1919" s="366">
        <f t="shared" si="27"/>
        <v>0.29166666666666669</v>
      </c>
      <c r="Q1919" s="366">
        <f t="shared" si="28"/>
        <v>0.44444444444444442</v>
      </c>
      <c r="R1919" s="367" t="str">
        <f t="shared" si="29"/>
        <v>220</v>
      </c>
    </row>
    <row r="1920" spans="1:18" x14ac:dyDescent="0.4">
      <c r="A1920" s="402">
        <v>46100</v>
      </c>
      <c r="B1920" s="392" t="s">
        <v>532</v>
      </c>
      <c r="C1920" s="364" t="s">
        <v>336</v>
      </c>
      <c r="D1920" s="404">
        <v>12</v>
      </c>
      <c r="E1920" s="369">
        <v>5</v>
      </c>
      <c r="F1920" s="370"/>
      <c r="G1920" s="368">
        <v>0.54166666666666663</v>
      </c>
      <c r="H1920" s="368">
        <v>0.6875</v>
      </c>
      <c r="I1920" s="372" t="str">
        <f t="shared" si="24"/>
        <v>210</v>
      </c>
      <c r="J1920" s="371">
        <v>4</v>
      </c>
      <c r="K1920" s="371"/>
      <c r="L1920" s="365">
        <v>0.57291666666666663</v>
      </c>
      <c r="M1920" s="365">
        <v>0.6875</v>
      </c>
      <c r="N1920" s="372" t="str">
        <f t="shared" si="25"/>
        <v>165</v>
      </c>
      <c r="O1920" s="371">
        <f t="shared" si="26"/>
        <v>1710</v>
      </c>
      <c r="P1920" s="366">
        <f t="shared" si="27"/>
        <v>0.54166666666666663</v>
      </c>
      <c r="Q1920" s="366">
        <f t="shared" si="28"/>
        <v>0.6875</v>
      </c>
      <c r="R1920" s="367" t="str">
        <f t="shared" si="29"/>
        <v>210</v>
      </c>
    </row>
    <row r="1921" spans="1:18" x14ac:dyDescent="0.4">
      <c r="A1921" s="402">
        <v>46100</v>
      </c>
      <c r="B1921" s="392" t="s">
        <v>55</v>
      </c>
      <c r="C1921" s="364" t="s">
        <v>208</v>
      </c>
      <c r="D1921" s="404">
        <v>24</v>
      </c>
      <c r="E1921" s="369">
        <v>5</v>
      </c>
      <c r="F1921" s="370"/>
      <c r="G1921" s="368">
        <v>0.29166666666666669</v>
      </c>
      <c r="H1921" s="368">
        <v>0.5</v>
      </c>
      <c r="I1921" s="372" t="str">
        <f t="shared" si="24"/>
        <v>300</v>
      </c>
      <c r="J1921" s="371">
        <v>4</v>
      </c>
      <c r="K1921" s="371"/>
      <c r="L1921" s="365">
        <v>0.3125</v>
      </c>
      <c r="M1921" s="365">
        <v>0.57291666666666663</v>
      </c>
      <c r="N1921" s="372" t="str">
        <f t="shared" si="25"/>
        <v>315</v>
      </c>
      <c r="O1921" s="371">
        <f t="shared" si="26"/>
        <v>2760</v>
      </c>
      <c r="P1921" s="366">
        <f t="shared" si="27"/>
        <v>0.29166666666666669</v>
      </c>
      <c r="Q1921" s="366">
        <f t="shared" si="28"/>
        <v>0.57291666666666663</v>
      </c>
      <c r="R1921" s="367" t="str">
        <f t="shared" si="29"/>
        <v>345</v>
      </c>
    </row>
    <row r="1922" spans="1:18" x14ac:dyDescent="0.4">
      <c r="A1922" s="402">
        <v>46100</v>
      </c>
      <c r="B1922" s="392" t="s">
        <v>104</v>
      </c>
      <c r="C1922" s="364" t="s">
        <v>191</v>
      </c>
      <c r="D1922" s="404">
        <v>68</v>
      </c>
      <c r="E1922" s="369">
        <v>3</v>
      </c>
      <c r="F1922" s="368">
        <v>3.4722222222222224E-2</v>
      </c>
      <c r="G1922" s="368">
        <v>0.33333333333333331</v>
      </c>
      <c r="H1922" s="368">
        <v>0.68055555555555547</v>
      </c>
      <c r="I1922" s="372" t="str">
        <f t="shared" si="24"/>
        <v>490</v>
      </c>
      <c r="J1922" s="371">
        <v>5</v>
      </c>
      <c r="K1922" s="371"/>
      <c r="L1922" s="365">
        <v>0.33333333333333331</v>
      </c>
      <c r="M1922" s="365">
        <v>0.72222222222222221</v>
      </c>
      <c r="N1922" s="372" t="str">
        <f t="shared" si="25"/>
        <v>500</v>
      </c>
      <c r="O1922" s="371">
        <f t="shared" si="26"/>
        <v>3970</v>
      </c>
      <c r="P1922" s="366">
        <f t="shared" si="27"/>
        <v>0.33333333333333331</v>
      </c>
      <c r="Q1922" s="366">
        <f t="shared" si="28"/>
        <v>0.72222222222222221</v>
      </c>
      <c r="R1922" s="367" t="str">
        <f t="shared" si="29"/>
        <v>500</v>
      </c>
    </row>
    <row r="1923" spans="1:18" x14ac:dyDescent="0.4">
      <c r="A1923" s="402">
        <v>46100</v>
      </c>
      <c r="B1923" s="392" t="s">
        <v>558</v>
      </c>
      <c r="C1923" s="364" t="s">
        <v>191</v>
      </c>
      <c r="D1923" s="404">
        <v>2</v>
      </c>
      <c r="E1923" s="369">
        <v>3</v>
      </c>
      <c r="F1923" s="370"/>
      <c r="G1923" s="368">
        <v>0.29166666666666669</v>
      </c>
      <c r="H1923" s="368">
        <v>0.33333333333333331</v>
      </c>
      <c r="I1923" s="372" t="str">
        <f t="shared" si="24"/>
        <v>60</v>
      </c>
      <c r="J1923" s="371">
        <v>5</v>
      </c>
      <c r="K1923" s="371"/>
      <c r="L1923" s="365">
        <v>0.29166666666666669</v>
      </c>
      <c r="M1923" s="365">
        <v>0.33333333333333331</v>
      </c>
      <c r="N1923" s="372" t="str">
        <f t="shared" si="25"/>
        <v>60</v>
      </c>
      <c r="O1923" s="371">
        <f t="shared" si="26"/>
        <v>480</v>
      </c>
      <c r="P1923" s="366">
        <f t="shared" si="27"/>
        <v>0.29166666666666669</v>
      </c>
      <c r="Q1923" s="366">
        <f t="shared" si="28"/>
        <v>0.33333333333333331</v>
      </c>
      <c r="R1923" s="367" t="str">
        <f t="shared" si="29"/>
        <v>60</v>
      </c>
    </row>
    <row r="1924" spans="1:18" x14ac:dyDescent="0.4">
      <c r="A1924" s="403">
        <v>46100</v>
      </c>
      <c r="B1924" s="383" t="s">
        <v>434</v>
      </c>
      <c r="C1924" s="390" t="s">
        <v>545</v>
      </c>
      <c r="D1924" s="405">
        <v>50</v>
      </c>
      <c r="E1924" s="384"/>
      <c r="F1924" s="385"/>
      <c r="G1924" s="396"/>
      <c r="H1924" s="396"/>
      <c r="I1924" s="386" t="str">
        <f t="shared" si="24"/>
        <v>0</v>
      </c>
      <c r="J1924" s="387"/>
      <c r="K1924" s="387"/>
      <c r="L1924" s="388"/>
      <c r="M1924" s="388"/>
      <c r="N1924" s="386" t="str">
        <f t="shared" si="25"/>
        <v>0</v>
      </c>
      <c r="O1924" s="387">
        <f t="shared" si="26"/>
        <v>0</v>
      </c>
      <c r="P1924" s="391">
        <f t="shared" si="27"/>
        <v>0</v>
      </c>
      <c r="Q1924" s="391">
        <f t="shared" si="28"/>
        <v>0</v>
      </c>
      <c r="R1924" s="389" t="str">
        <f t="shared" si="29"/>
        <v>0</v>
      </c>
    </row>
    <row r="1925" spans="1:18" x14ac:dyDescent="0.4">
      <c r="A1925" s="402">
        <v>46101</v>
      </c>
      <c r="B1925" s="392" t="s">
        <v>75</v>
      </c>
      <c r="C1925" s="364" t="s">
        <v>229</v>
      </c>
      <c r="D1925" s="404">
        <v>12</v>
      </c>
      <c r="E1925" s="371">
        <v>5</v>
      </c>
      <c r="F1925" s="371"/>
      <c r="G1925" s="365">
        <v>0.29166666666666669</v>
      </c>
      <c r="H1925" s="365">
        <v>0.40763888888888888</v>
      </c>
      <c r="I1925" s="372" t="str">
        <f t="shared" si="24"/>
        <v>167</v>
      </c>
      <c r="J1925" s="371">
        <v>3</v>
      </c>
      <c r="K1925" s="371"/>
      <c r="L1925" s="365">
        <v>0.3125</v>
      </c>
      <c r="M1925" s="365">
        <v>0.4375</v>
      </c>
      <c r="N1925" s="372" t="str">
        <f t="shared" si="25"/>
        <v>180</v>
      </c>
      <c r="O1925" s="371">
        <f t="shared" si="26"/>
        <v>1375</v>
      </c>
      <c r="P1925" s="366">
        <f t="shared" si="27"/>
        <v>0.29166666666666669</v>
      </c>
      <c r="Q1925" s="366">
        <f t="shared" si="28"/>
        <v>0.4375</v>
      </c>
      <c r="R1925" s="367" t="str">
        <f t="shared" si="29"/>
        <v>210</v>
      </c>
    </row>
    <row r="1926" spans="1:18" x14ac:dyDescent="0.4">
      <c r="A1926" s="402">
        <v>46101</v>
      </c>
      <c r="B1926" s="392" t="s">
        <v>63</v>
      </c>
      <c r="C1926" s="364" t="s">
        <v>267</v>
      </c>
      <c r="D1926" s="404">
        <v>24</v>
      </c>
      <c r="E1926" s="371">
        <v>5</v>
      </c>
      <c r="F1926" s="371"/>
      <c r="G1926" s="365">
        <v>0.40763888888888888</v>
      </c>
      <c r="H1926" s="365">
        <v>0.66666666666666663</v>
      </c>
      <c r="I1926" s="372" t="str">
        <f t="shared" si="24"/>
        <v>313</v>
      </c>
      <c r="J1926" s="371">
        <v>5</v>
      </c>
      <c r="K1926" s="371"/>
      <c r="L1926" s="365">
        <v>0.4375</v>
      </c>
      <c r="M1926" s="365">
        <v>0.6875</v>
      </c>
      <c r="N1926" s="372" t="str">
        <f t="shared" si="25"/>
        <v>300</v>
      </c>
      <c r="O1926" s="371">
        <f t="shared" si="26"/>
        <v>3065</v>
      </c>
      <c r="P1926" s="366">
        <f t="shared" si="27"/>
        <v>0.40763888888888888</v>
      </c>
      <c r="Q1926" s="366">
        <f t="shared" si="28"/>
        <v>0.6875</v>
      </c>
      <c r="R1926" s="367" t="str">
        <f t="shared" si="29"/>
        <v>343</v>
      </c>
    </row>
    <row r="1927" spans="1:18" x14ac:dyDescent="0.4">
      <c r="A1927" s="402">
        <v>46101</v>
      </c>
      <c r="B1927" s="392" t="s">
        <v>108</v>
      </c>
      <c r="C1927" s="364" t="s">
        <v>231</v>
      </c>
      <c r="D1927" s="404">
        <v>21</v>
      </c>
      <c r="E1927" s="369">
        <v>5</v>
      </c>
      <c r="F1927" s="370"/>
      <c r="G1927" s="368">
        <v>0.29166666666666669</v>
      </c>
      <c r="H1927" s="368">
        <v>0.5</v>
      </c>
      <c r="I1927" s="372" t="str">
        <f t="shared" si="24"/>
        <v>300</v>
      </c>
      <c r="J1927" s="371">
        <v>4</v>
      </c>
      <c r="K1927" s="371"/>
      <c r="L1927" s="365">
        <v>0.3125</v>
      </c>
      <c r="M1927" s="365">
        <v>0.70833333333333337</v>
      </c>
      <c r="N1927" s="372" t="str">
        <f t="shared" si="25"/>
        <v>510</v>
      </c>
      <c r="O1927" s="371">
        <f t="shared" si="26"/>
        <v>3540</v>
      </c>
      <c r="P1927" s="366">
        <f t="shared" si="27"/>
        <v>0.29166666666666669</v>
      </c>
      <c r="Q1927" s="366">
        <f t="shared" si="28"/>
        <v>0.70833333333333337</v>
      </c>
      <c r="R1927" s="367" t="str">
        <f t="shared" si="29"/>
        <v>540</v>
      </c>
    </row>
    <row r="1928" spans="1:18" x14ac:dyDescent="0.4">
      <c r="A1928" s="402">
        <v>46101</v>
      </c>
      <c r="B1928" s="392" t="s">
        <v>82</v>
      </c>
      <c r="C1928" s="364" t="s">
        <v>171</v>
      </c>
      <c r="D1928" s="404">
        <v>40</v>
      </c>
      <c r="E1928" s="369">
        <v>3</v>
      </c>
      <c r="F1928" s="368">
        <v>3.4722222222222224E-2</v>
      </c>
      <c r="G1928" s="368">
        <v>0.29166666666666669</v>
      </c>
      <c r="H1928" s="368">
        <v>0.63888888888888895</v>
      </c>
      <c r="I1928" s="372" t="str">
        <f t="shared" si="24"/>
        <v>490</v>
      </c>
      <c r="J1928" s="371">
        <v>7</v>
      </c>
      <c r="K1928" s="371"/>
      <c r="L1928" s="365">
        <v>0.29166666666666669</v>
      </c>
      <c r="M1928" s="365">
        <v>0.72222222222222221</v>
      </c>
      <c r="N1928" s="372" t="str">
        <f t="shared" si="25"/>
        <v>560</v>
      </c>
      <c r="O1928" s="371">
        <f t="shared" si="26"/>
        <v>5390</v>
      </c>
      <c r="P1928" s="366">
        <f t="shared" si="27"/>
        <v>0.29166666666666669</v>
      </c>
      <c r="Q1928" s="366">
        <f t="shared" si="28"/>
        <v>0.72222222222222221</v>
      </c>
      <c r="R1928" s="367" t="str">
        <f t="shared" si="29"/>
        <v>560</v>
      </c>
    </row>
    <row r="1929" spans="1:18" x14ac:dyDescent="0.4">
      <c r="A1929" s="402">
        <v>46104</v>
      </c>
      <c r="B1929" s="392" t="s">
        <v>68</v>
      </c>
      <c r="C1929" s="364" t="s">
        <v>185</v>
      </c>
      <c r="D1929" s="404">
        <v>40</v>
      </c>
      <c r="E1929" s="369">
        <v>6</v>
      </c>
      <c r="F1929" s="368"/>
      <c r="G1929" s="368">
        <v>0.29166666666666669</v>
      </c>
      <c r="H1929" s="368">
        <v>0.66666666666666663</v>
      </c>
      <c r="I1929" s="372" t="str">
        <f t="shared" si="24"/>
        <v>480</v>
      </c>
      <c r="J1929" s="371">
        <v>5</v>
      </c>
      <c r="K1929" s="371"/>
      <c r="L1929" s="365">
        <v>0.3125</v>
      </c>
      <c r="M1929" s="365">
        <v>0.70833333333333337</v>
      </c>
      <c r="N1929" s="372" t="str">
        <f t="shared" si="25"/>
        <v>510</v>
      </c>
      <c r="O1929" s="371">
        <f t="shared" si="26"/>
        <v>5430</v>
      </c>
      <c r="P1929" s="366">
        <f t="shared" si="27"/>
        <v>0.29166666666666669</v>
      </c>
      <c r="Q1929" s="366">
        <f t="shared" si="28"/>
        <v>0.70833333333333337</v>
      </c>
      <c r="R1929" s="367" t="str">
        <f t="shared" si="29"/>
        <v>540</v>
      </c>
    </row>
    <row r="1930" spans="1:18" x14ac:dyDescent="0.4">
      <c r="A1930" s="402">
        <v>46104</v>
      </c>
      <c r="B1930" s="392" t="s">
        <v>64</v>
      </c>
      <c r="C1930" s="364" t="s">
        <v>271</v>
      </c>
      <c r="D1930" s="404">
        <v>16</v>
      </c>
      <c r="E1930" s="369">
        <v>5</v>
      </c>
      <c r="F1930" s="370"/>
      <c r="G1930" s="368">
        <v>0.29166666666666669</v>
      </c>
      <c r="H1930" s="368">
        <v>0.44305555555555554</v>
      </c>
      <c r="I1930" s="372" t="str">
        <f t="shared" si="24"/>
        <v>218</v>
      </c>
      <c r="J1930" s="371">
        <v>3</v>
      </c>
      <c r="K1930" s="371"/>
      <c r="L1930" s="365">
        <v>0.3125</v>
      </c>
      <c r="M1930" s="365">
        <v>0.47222222222222227</v>
      </c>
      <c r="N1930" s="372" t="str">
        <f t="shared" si="25"/>
        <v>230</v>
      </c>
      <c r="O1930" s="371">
        <f t="shared" si="26"/>
        <v>1780</v>
      </c>
      <c r="P1930" s="366">
        <f t="shared" si="27"/>
        <v>0.29166666666666669</v>
      </c>
      <c r="Q1930" s="366">
        <f t="shared" si="28"/>
        <v>0.47222222222222227</v>
      </c>
      <c r="R1930" s="367" t="str">
        <f t="shared" si="29"/>
        <v>260</v>
      </c>
    </row>
    <row r="1931" spans="1:18" x14ac:dyDescent="0.4">
      <c r="A1931" s="402">
        <v>46104</v>
      </c>
      <c r="B1931" s="392" t="s">
        <v>63</v>
      </c>
      <c r="C1931" s="364" t="s">
        <v>267</v>
      </c>
      <c r="D1931" s="404">
        <v>24</v>
      </c>
      <c r="E1931" s="369">
        <v>5</v>
      </c>
      <c r="F1931" s="370"/>
      <c r="G1931" s="368">
        <v>0.44305555555555554</v>
      </c>
      <c r="H1931" s="368">
        <v>0.70833333333333337</v>
      </c>
      <c r="I1931" s="372" t="str">
        <f t="shared" si="24"/>
        <v>322</v>
      </c>
      <c r="J1931" s="371">
        <v>3</v>
      </c>
      <c r="K1931" s="371"/>
      <c r="L1931" s="365">
        <v>0.47222222222222227</v>
      </c>
      <c r="M1931" s="365">
        <v>0.70833333333333337</v>
      </c>
      <c r="N1931" s="372" t="str">
        <f t="shared" si="25"/>
        <v>280</v>
      </c>
      <c r="O1931" s="371">
        <f t="shared" si="26"/>
        <v>2450</v>
      </c>
      <c r="P1931" s="366">
        <f t="shared" si="27"/>
        <v>0.44305555555555554</v>
      </c>
      <c r="Q1931" s="366">
        <f t="shared" si="28"/>
        <v>0.70833333333333337</v>
      </c>
      <c r="R1931" s="367" t="str">
        <f t="shared" si="29"/>
        <v>322</v>
      </c>
    </row>
    <row r="1932" spans="1:18" x14ac:dyDescent="0.4">
      <c r="A1932" s="402">
        <v>46104</v>
      </c>
      <c r="B1932" s="392" t="s">
        <v>65</v>
      </c>
      <c r="C1932" s="364" t="s">
        <v>189</v>
      </c>
      <c r="D1932" s="404">
        <v>52</v>
      </c>
      <c r="E1932" s="369">
        <v>3</v>
      </c>
      <c r="F1932" s="368">
        <v>3.4722222222222224E-2</v>
      </c>
      <c r="G1932" s="368">
        <v>0.3298611111111111</v>
      </c>
      <c r="H1932" s="368">
        <v>0.625</v>
      </c>
      <c r="I1932" s="372" t="str">
        <f t="shared" si="24"/>
        <v>415</v>
      </c>
      <c r="J1932" s="371">
        <v>4</v>
      </c>
      <c r="K1932" s="371"/>
      <c r="L1932" s="365">
        <v>0.37152777777777773</v>
      </c>
      <c r="M1932" s="365">
        <v>0.65972222222222221</v>
      </c>
      <c r="N1932" s="372" t="str">
        <f t="shared" si="25"/>
        <v>355</v>
      </c>
      <c r="O1932" s="371">
        <f t="shared" si="26"/>
        <v>2665</v>
      </c>
      <c r="P1932" s="366">
        <f t="shared" si="27"/>
        <v>0.3298611111111111</v>
      </c>
      <c r="Q1932" s="366">
        <f t="shared" si="28"/>
        <v>0.65972222222222221</v>
      </c>
      <c r="R1932" s="367" t="str">
        <f t="shared" si="29"/>
        <v>415</v>
      </c>
    </row>
    <row r="1933" spans="1:18" x14ac:dyDescent="0.4">
      <c r="A1933" s="402">
        <v>46104</v>
      </c>
      <c r="B1933" s="392" t="s">
        <v>97</v>
      </c>
      <c r="C1933" s="364" t="s">
        <v>274</v>
      </c>
      <c r="D1933" s="404">
        <v>8</v>
      </c>
      <c r="E1933" s="369">
        <v>3</v>
      </c>
      <c r="F1933" s="370"/>
      <c r="G1933" s="368">
        <v>0.29166666666666669</v>
      </c>
      <c r="H1933" s="368">
        <v>0.33333333333333331</v>
      </c>
      <c r="I1933" s="372" t="str">
        <f t="shared" si="24"/>
        <v>60</v>
      </c>
      <c r="J1933" s="371">
        <v>4</v>
      </c>
      <c r="K1933" s="371"/>
      <c r="L1933" s="365">
        <v>0.29166666666666669</v>
      </c>
      <c r="M1933" s="365">
        <v>0.36805555555555558</v>
      </c>
      <c r="N1933" s="372" t="str">
        <f t="shared" si="25"/>
        <v>110</v>
      </c>
      <c r="O1933" s="371">
        <f t="shared" si="26"/>
        <v>620</v>
      </c>
      <c r="P1933" s="366">
        <f t="shared" si="27"/>
        <v>0.29166666666666669</v>
      </c>
      <c r="Q1933" s="366">
        <f t="shared" si="28"/>
        <v>0.36805555555555558</v>
      </c>
      <c r="R1933" s="367" t="str">
        <f t="shared" si="29"/>
        <v>110</v>
      </c>
    </row>
    <row r="1934" spans="1:18" x14ac:dyDescent="0.4">
      <c r="A1934" s="403">
        <v>46104</v>
      </c>
      <c r="B1934" s="383" t="s">
        <v>431</v>
      </c>
      <c r="C1934" s="390" t="s">
        <v>436</v>
      </c>
      <c r="D1934" s="405">
        <v>1</v>
      </c>
      <c r="E1934" s="384"/>
      <c r="F1934" s="385"/>
      <c r="G1934" s="396"/>
      <c r="H1934" s="396"/>
      <c r="I1934" s="386" t="str">
        <f t="shared" si="24"/>
        <v>0</v>
      </c>
      <c r="J1934" s="387"/>
      <c r="K1934" s="387"/>
      <c r="L1934" s="388"/>
      <c r="M1934" s="388"/>
      <c r="N1934" s="386" t="str">
        <f t="shared" si="25"/>
        <v>0</v>
      </c>
      <c r="O1934" s="387">
        <f t="shared" si="26"/>
        <v>0</v>
      </c>
      <c r="P1934" s="391">
        <f t="shared" si="27"/>
        <v>0</v>
      </c>
      <c r="Q1934" s="391">
        <f t="shared" si="28"/>
        <v>0</v>
      </c>
      <c r="R1934" s="389" t="str">
        <f t="shared" si="29"/>
        <v>0</v>
      </c>
    </row>
    <row r="1935" spans="1:18" x14ac:dyDescent="0.4">
      <c r="A1935" s="402">
        <v>46105</v>
      </c>
      <c r="B1935" s="392" t="s">
        <v>456</v>
      </c>
      <c r="C1935" s="364" t="s">
        <v>287</v>
      </c>
      <c r="D1935" s="404">
        <v>3</v>
      </c>
      <c r="E1935" s="369">
        <v>5</v>
      </c>
      <c r="F1935" s="370"/>
      <c r="G1935" s="368">
        <v>0.35069444444444442</v>
      </c>
      <c r="H1935" s="368">
        <v>0.5</v>
      </c>
      <c r="I1935" s="372" t="str">
        <f t="shared" si="24"/>
        <v>215</v>
      </c>
      <c r="J1935" s="371">
        <v>12</v>
      </c>
      <c r="K1935" s="371"/>
      <c r="L1935" s="365">
        <v>0.33333333333333331</v>
      </c>
      <c r="M1935" s="365">
        <v>0.54166666666666663</v>
      </c>
      <c r="N1935" s="372" t="str">
        <f t="shared" si="25"/>
        <v>240</v>
      </c>
      <c r="O1935" s="371">
        <f t="shared" si="26"/>
        <v>3955</v>
      </c>
      <c r="P1935" s="366">
        <f t="shared" si="27"/>
        <v>0.33333333333333331</v>
      </c>
      <c r="Q1935" s="366">
        <f t="shared" si="28"/>
        <v>0.54166666666666663</v>
      </c>
      <c r="R1935" s="367" t="str">
        <f t="shared" si="29"/>
        <v>240</v>
      </c>
    </row>
    <row r="1936" spans="1:18" x14ac:dyDescent="0.4">
      <c r="A1936" s="402">
        <v>46105</v>
      </c>
      <c r="B1936" s="392" t="s">
        <v>54</v>
      </c>
      <c r="C1936" s="364" t="s">
        <v>251</v>
      </c>
      <c r="D1936" s="404">
        <v>28</v>
      </c>
      <c r="E1936" s="369">
        <v>5</v>
      </c>
      <c r="F1936" s="370"/>
      <c r="G1936" s="368">
        <v>0.5</v>
      </c>
      <c r="H1936" s="368">
        <v>0.75</v>
      </c>
      <c r="I1936" s="372" t="str">
        <f t="shared" si="24"/>
        <v>300</v>
      </c>
      <c r="J1936" s="371">
        <v>4</v>
      </c>
      <c r="K1936" s="371"/>
      <c r="L1936" s="365">
        <v>0.54166666666666663</v>
      </c>
      <c r="M1936" s="365">
        <v>0.77083333333333337</v>
      </c>
      <c r="N1936" s="372" t="str">
        <f t="shared" si="25"/>
        <v>330</v>
      </c>
      <c r="O1936" s="371">
        <f t="shared" si="26"/>
        <v>2820</v>
      </c>
      <c r="P1936" s="366">
        <f t="shared" si="27"/>
        <v>0.5</v>
      </c>
      <c r="Q1936" s="366">
        <f t="shared" si="28"/>
        <v>0.77083333333333337</v>
      </c>
      <c r="R1936" s="367" t="str">
        <f t="shared" si="29"/>
        <v>330</v>
      </c>
    </row>
    <row r="1937" spans="1:18" x14ac:dyDescent="0.4">
      <c r="A1937" s="402">
        <v>46105</v>
      </c>
      <c r="B1937" s="392" t="s">
        <v>73</v>
      </c>
      <c r="C1937" s="364" t="s">
        <v>231</v>
      </c>
      <c r="D1937" s="404">
        <v>21</v>
      </c>
      <c r="E1937" s="369">
        <v>4</v>
      </c>
      <c r="F1937" s="370"/>
      <c r="G1937" s="368">
        <v>0.29166666666666669</v>
      </c>
      <c r="H1937" s="368">
        <v>0.66666666666666663</v>
      </c>
      <c r="I1937" s="372" t="str">
        <f t="shared" si="24"/>
        <v>480</v>
      </c>
      <c r="J1937" s="371">
        <v>7</v>
      </c>
      <c r="K1937" s="371"/>
      <c r="L1937" s="365">
        <v>0.39583333333333331</v>
      </c>
      <c r="M1937" s="365">
        <v>0.6875</v>
      </c>
      <c r="N1937" s="372" t="str">
        <f t="shared" si="25"/>
        <v>360</v>
      </c>
      <c r="O1937" s="371">
        <f t="shared" si="26"/>
        <v>4440</v>
      </c>
      <c r="P1937" s="366">
        <f t="shared" si="27"/>
        <v>0.29166666666666669</v>
      </c>
      <c r="Q1937" s="366">
        <f t="shared" si="28"/>
        <v>0.6875</v>
      </c>
      <c r="R1937" s="367" t="str">
        <f t="shared" si="29"/>
        <v>510</v>
      </c>
    </row>
    <row r="1938" spans="1:18" x14ac:dyDescent="0.4">
      <c r="A1938" s="402">
        <v>46105</v>
      </c>
      <c r="B1938" s="392" t="s">
        <v>65</v>
      </c>
      <c r="C1938" s="364" t="s">
        <v>189</v>
      </c>
      <c r="D1938" s="404">
        <v>60</v>
      </c>
      <c r="E1938" s="369">
        <v>3</v>
      </c>
      <c r="F1938" s="368">
        <v>2.0833333333333332E-2</v>
      </c>
      <c r="G1938" s="368">
        <v>0.29166666666666669</v>
      </c>
      <c r="H1938" s="368">
        <v>0.61458333333333337</v>
      </c>
      <c r="I1938" s="372" t="str">
        <f t="shared" si="24"/>
        <v>435</v>
      </c>
      <c r="J1938" s="371">
        <v>4</v>
      </c>
      <c r="K1938" s="371"/>
      <c r="L1938" s="365">
        <v>0.29166666666666669</v>
      </c>
      <c r="M1938" s="365">
        <v>0.65625</v>
      </c>
      <c r="N1938" s="372" t="str">
        <f t="shared" si="25"/>
        <v>465</v>
      </c>
      <c r="O1938" s="371">
        <f t="shared" si="26"/>
        <v>3165</v>
      </c>
      <c r="P1938" s="366">
        <f t="shared" si="27"/>
        <v>0.29166666666666669</v>
      </c>
      <c r="Q1938" s="366">
        <f t="shared" si="28"/>
        <v>0.65625</v>
      </c>
      <c r="R1938" s="367" t="str">
        <f t="shared" si="29"/>
        <v>465</v>
      </c>
    </row>
    <row r="1939" spans="1:18" x14ac:dyDescent="0.4">
      <c r="A1939" s="402">
        <v>46106</v>
      </c>
      <c r="B1939" s="392" t="s">
        <v>71</v>
      </c>
      <c r="C1939" s="364" t="s">
        <v>176</v>
      </c>
      <c r="D1939" s="404">
        <v>72</v>
      </c>
      <c r="E1939" s="369">
        <v>6</v>
      </c>
      <c r="F1939" s="370"/>
      <c r="G1939" s="368">
        <v>0.29166666666666669</v>
      </c>
      <c r="H1939" s="368">
        <v>0.70833333333333337</v>
      </c>
      <c r="I1939" s="372" t="str">
        <f t="shared" si="24"/>
        <v>540</v>
      </c>
      <c r="J1939" s="371">
        <v>5</v>
      </c>
      <c r="K1939" s="371"/>
      <c r="L1939" s="365">
        <v>0.3125</v>
      </c>
      <c r="M1939" s="365">
        <v>0.74305555555555547</v>
      </c>
      <c r="N1939" s="372" t="str">
        <f t="shared" si="25"/>
        <v>560</v>
      </c>
      <c r="O1939" s="371">
        <f t="shared" si="26"/>
        <v>6040</v>
      </c>
      <c r="P1939" s="366">
        <f t="shared" si="27"/>
        <v>0.29166666666666669</v>
      </c>
      <c r="Q1939" s="366">
        <f t="shared" si="28"/>
        <v>0.74305555555555547</v>
      </c>
      <c r="R1939" s="367" t="str">
        <f t="shared" si="29"/>
        <v>590</v>
      </c>
    </row>
    <row r="1940" spans="1:18" x14ac:dyDescent="0.4">
      <c r="A1940" s="402">
        <v>46106</v>
      </c>
      <c r="B1940" s="392" t="s">
        <v>72</v>
      </c>
      <c r="C1940" s="364" t="s">
        <v>227</v>
      </c>
      <c r="D1940" s="404">
        <v>20</v>
      </c>
      <c r="E1940" s="369">
        <v>5</v>
      </c>
      <c r="F1940" s="370"/>
      <c r="G1940" s="368">
        <v>0.29166666666666669</v>
      </c>
      <c r="H1940" s="368">
        <v>0.4548611111111111</v>
      </c>
      <c r="I1940" s="372" t="str">
        <f t="shared" si="24"/>
        <v>235</v>
      </c>
      <c r="J1940" s="371">
        <v>3</v>
      </c>
      <c r="K1940" s="371"/>
      <c r="L1940" s="365">
        <v>0.3125</v>
      </c>
      <c r="M1940" s="365">
        <v>0.47916666666666669</v>
      </c>
      <c r="N1940" s="372" t="str">
        <f t="shared" si="25"/>
        <v>240</v>
      </c>
      <c r="O1940" s="371">
        <f t="shared" si="26"/>
        <v>1895</v>
      </c>
      <c r="P1940" s="366">
        <f t="shared" si="27"/>
        <v>0.29166666666666669</v>
      </c>
      <c r="Q1940" s="366">
        <f t="shared" si="28"/>
        <v>0.47916666666666669</v>
      </c>
      <c r="R1940" s="367" t="str">
        <f t="shared" si="29"/>
        <v>270</v>
      </c>
    </row>
    <row r="1941" spans="1:18" x14ac:dyDescent="0.4">
      <c r="A1941" s="402">
        <v>46106</v>
      </c>
      <c r="B1941" s="392" t="s">
        <v>63</v>
      </c>
      <c r="C1941" s="364" t="s">
        <v>267</v>
      </c>
      <c r="D1941" s="404">
        <v>20</v>
      </c>
      <c r="E1941" s="369">
        <v>5</v>
      </c>
      <c r="F1941" s="370"/>
      <c r="G1941" s="368">
        <v>0.4548611111111111</v>
      </c>
      <c r="H1941" s="368">
        <v>0.6875</v>
      </c>
      <c r="I1941" s="372" t="str">
        <f t="shared" si="24"/>
        <v>275</v>
      </c>
      <c r="J1941" s="371">
        <v>3</v>
      </c>
      <c r="K1941" s="371"/>
      <c r="L1941" s="365">
        <v>0.47916666666666669</v>
      </c>
      <c r="M1941" s="365">
        <v>0.6875</v>
      </c>
      <c r="N1941" s="372" t="str">
        <f t="shared" si="25"/>
        <v>240</v>
      </c>
      <c r="O1941" s="371">
        <f t="shared" si="26"/>
        <v>2095</v>
      </c>
      <c r="P1941" s="366">
        <f t="shared" si="27"/>
        <v>0.4548611111111111</v>
      </c>
      <c r="Q1941" s="366">
        <f t="shared" si="28"/>
        <v>0.6875</v>
      </c>
      <c r="R1941" s="367" t="str">
        <f t="shared" si="29"/>
        <v>275</v>
      </c>
    </row>
    <row r="1942" spans="1:18" x14ac:dyDescent="0.4">
      <c r="A1942" s="402">
        <v>46106</v>
      </c>
      <c r="B1942" s="392" t="s">
        <v>65</v>
      </c>
      <c r="C1942" s="364" t="s">
        <v>189</v>
      </c>
      <c r="D1942" s="404">
        <v>60</v>
      </c>
      <c r="E1942" s="369">
        <v>3</v>
      </c>
      <c r="F1942" s="368">
        <v>3.4722222222222224E-2</v>
      </c>
      <c r="G1942" s="368">
        <v>0.29166666666666669</v>
      </c>
      <c r="H1942" s="368">
        <v>0.61458333333333337</v>
      </c>
      <c r="I1942" s="372" t="str">
        <f t="shared" si="24"/>
        <v>455</v>
      </c>
      <c r="J1942" s="371">
        <v>4</v>
      </c>
      <c r="K1942" s="371"/>
      <c r="L1942" s="365">
        <v>0.29166666666666669</v>
      </c>
      <c r="M1942" s="365">
        <v>0.65625</v>
      </c>
      <c r="N1942" s="372" t="str">
        <f t="shared" si="25"/>
        <v>465</v>
      </c>
      <c r="O1942" s="371">
        <f t="shared" si="26"/>
        <v>3225</v>
      </c>
      <c r="P1942" s="366">
        <f t="shared" si="27"/>
        <v>0.29166666666666669</v>
      </c>
      <c r="Q1942" s="366">
        <f t="shared" si="28"/>
        <v>0.65625</v>
      </c>
      <c r="R1942" s="367" t="str">
        <f t="shared" si="29"/>
        <v>465</v>
      </c>
    </row>
    <row r="1943" spans="1:18" x14ac:dyDescent="0.4">
      <c r="A1943" s="402">
        <v>46107</v>
      </c>
      <c r="B1943" s="392" t="s">
        <v>61</v>
      </c>
      <c r="C1943" s="364" t="s">
        <v>156</v>
      </c>
      <c r="D1943" s="404">
        <v>40</v>
      </c>
      <c r="E1943" s="369">
        <v>4</v>
      </c>
      <c r="F1943" s="370"/>
      <c r="G1943" s="368">
        <v>0.29166666666666669</v>
      </c>
      <c r="H1943" s="368">
        <v>0.66666666666666663</v>
      </c>
      <c r="I1943" s="372" t="str">
        <f t="shared" si="24"/>
        <v>480</v>
      </c>
      <c r="J1943" s="371">
        <v>10</v>
      </c>
      <c r="K1943" s="371"/>
      <c r="L1943" s="365">
        <v>0.3125</v>
      </c>
      <c r="M1943" s="365">
        <v>0.70833333333333337</v>
      </c>
      <c r="N1943" s="372" t="str">
        <f t="shared" si="25"/>
        <v>510</v>
      </c>
      <c r="O1943" s="371">
        <f t="shared" si="26"/>
        <v>7020</v>
      </c>
      <c r="P1943" s="366">
        <f t="shared" si="27"/>
        <v>0.29166666666666669</v>
      </c>
      <c r="Q1943" s="366">
        <f t="shared" si="28"/>
        <v>0.70833333333333337</v>
      </c>
      <c r="R1943" s="367" t="str">
        <f t="shared" si="29"/>
        <v>540</v>
      </c>
    </row>
    <row r="1944" spans="1:18" x14ac:dyDescent="0.4">
      <c r="A1944" s="402">
        <v>46107</v>
      </c>
      <c r="B1944" s="392" t="s">
        <v>109</v>
      </c>
      <c r="C1944" s="364" t="s">
        <v>263</v>
      </c>
      <c r="D1944" s="404">
        <v>20</v>
      </c>
      <c r="E1944" s="369">
        <v>5</v>
      </c>
      <c r="F1944" s="370"/>
      <c r="G1944" s="368">
        <v>0.54166666666666663</v>
      </c>
      <c r="H1944" s="368">
        <v>0.6875</v>
      </c>
      <c r="I1944" s="372" t="str">
        <f t="shared" si="24"/>
        <v>210</v>
      </c>
      <c r="J1944" s="371">
        <v>3</v>
      </c>
      <c r="K1944" s="371"/>
      <c r="L1944" s="365">
        <v>0.3125</v>
      </c>
      <c r="M1944" s="365">
        <v>0.56944444444444442</v>
      </c>
      <c r="N1944" s="372" t="str">
        <f t="shared" si="25"/>
        <v>310</v>
      </c>
      <c r="O1944" s="371">
        <f t="shared" si="26"/>
        <v>1980</v>
      </c>
      <c r="P1944" s="366">
        <f t="shared" si="27"/>
        <v>0.3125</v>
      </c>
      <c r="Q1944" s="366">
        <f t="shared" si="28"/>
        <v>0.6875</v>
      </c>
      <c r="R1944" s="367" t="str">
        <f t="shared" si="29"/>
        <v>480</v>
      </c>
    </row>
    <row r="1945" spans="1:18" x14ac:dyDescent="0.4">
      <c r="A1945" s="402">
        <v>46107</v>
      </c>
      <c r="B1945" s="392" t="s">
        <v>51</v>
      </c>
      <c r="C1945" s="364" t="s">
        <v>253</v>
      </c>
      <c r="D1945" s="404">
        <v>24</v>
      </c>
      <c r="E1945" s="369">
        <v>5</v>
      </c>
      <c r="F1945" s="370"/>
      <c r="G1945" s="368">
        <v>0.29166666666666669</v>
      </c>
      <c r="H1945" s="368">
        <v>0.5</v>
      </c>
      <c r="I1945" s="372" t="str">
        <f t="shared" si="24"/>
        <v>300</v>
      </c>
      <c r="J1945" s="371">
        <v>3</v>
      </c>
      <c r="K1945" s="371"/>
      <c r="L1945" s="365">
        <v>0.56944444444444442</v>
      </c>
      <c r="M1945" s="365">
        <v>0.70833333333333337</v>
      </c>
      <c r="N1945" s="372" t="str">
        <f t="shared" si="25"/>
        <v>200</v>
      </c>
      <c r="O1945" s="371">
        <f t="shared" si="26"/>
        <v>2100</v>
      </c>
      <c r="P1945" s="366">
        <f t="shared" si="27"/>
        <v>0.29166666666666669</v>
      </c>
      <c r="Q1945" s="366">
        <f t="shared" si="28"/>
        <v>0.70833333333333337</v>
      </c>
      <c r="R1945" s="367" t="str">
        <f t="shared" si="29"/>
        <v>540</v>
      </c>
    </row>
    <row r="1946" spans="1:18" x14ac:dyDescent="0.4">
      <c r="A1946" s="402">
        <v>46107</v>
      </c>
      <c r="B1946" s="392" t="s">
        <v>65</v>
      </c>
      <c r="C1946" s="364" t="s">
        <v>189</v>
      </c>
      <c r="D1946" s="404">
        <v>60</v>
      </c>
      <c r="E1946" s="369">
        <v>3</v>
      </c>
      <c r="F1946" s="368">
        <v>2.0833333333333332E-2</v>
      </c>
      <c r="G1946" s="368">
        <v>0.29166666666666669</v>
      </c>
      <c r="H1946" s="368">
        <v>0.60416666666666663</v>
      </c>
      <c r="I1946" s="372" t="str">
        <f t="shared" si="24"/>
        <v>420</v>
      </c>
      <c r="J1946" s="371">
        <v>4</v>
      </c>
      <c r="K1946" s="371"/>
      <c r="L1946" s="365">
        <v>0.29166666666666669</v>
      </c>
      <c r="M1946" s="365">
        <v>0.63888888888888895</v>
      </c>
      <c r="N1946" s="372" t="str">
        <f t="shared" si="25"/>
        <v>440</v>
      </c>
      <c r="O1946" s="371">
        <f t="shared" si="26"/>
        <v>3020</v>
      </c>
      <c r="P1946" s="366">
        <f t="shared" si="27"/>
        <v>0.29166666666666669</v>
      </c>
      <c r="Q1946" s="366">
        <f t="shared" si="28"/>
        <v>0.63888888888888895</v>
      </c>
      <c r="R1946" s="367" t="str">
        <f t="shared" si="29"/>
        <v>440</v>
      </c>
    </row>
    <row r="1947" spans="1:18" x14ac:dyDescent="0.4">
      <c r="A1947" s="402">
        <v>46108</v>
      </c>
      <c r="B1947" s="392" t="s">
        <v>71</v>
      </c>
      <c r="C1947" s="364" t="s">
        <v>176</v>
      </c>
      <c r="D1947" s="404">
        <v>72</v>
      </c>
      <c r="E1947" s="369">
        <v>6</v>
      </c>
      <c r="F1947" s="370"/>
      <c r="G1947" s="368">
        <v>0.29166666666666669</v>
      </c>
      <c r="H1947" s="368">
        <v>0.72916666666666663</v>
      </c>
      <c r="I1947" s="372" t="str">
        <f t="shared" si="24"/>
        <v>570</v>
      </c>
      <c r="J1947" s="371">
        <v>5</v>
      </c>
      <c r="K1947" s="371"/>
      <c r="L1947" s="365">
        <v>0.3125</v>
      </c>
      <c r="M1947" s="365">
        <v>0.72916666666666663</v>
      </c>
      <c r="N1947" s="372" t="str">
        <f t="shared" si="25"/>
        <v>540</v>
      </c>
      <c r="O1947" s="371">
        <f t="shared" si="26"/>
        <v>6120</v>
      </c>
      <c r="P1947" s="366">
        <f t="shared" si="27"/>
        <v>0.29166666666666669</v>
      </c>
      <c r="Q1947" s="366">
        <f t="shared" si="28"/>
        <v>0.72916666666666663</v>
      </c>
      <c r="R1947" s="367" t="str">
        <f t="shared" si="29"/>
        <v>570</v>
      </c>
    </row>
    <row r="1948" spans="1:18" x14ac:dyDescent="0.4">
      <c r="A1948" s="402">
        <v>46108</v>
      </c>
      <c r="B1948" s="392" t="s">
        <v>75</v>
      </c>
      <c r="C1948" s="364" t="s">
        <v>229</v>
      </c>
      <c r="D1948" s="404">
        <v>16</v>
      </c>
      <c r="E1948" s="369">
        <v>5</v>
      </c>
      <c r="F1948" s="370"/>
      <c r="G1948" s="368">
        <v>0.29166666666666669</v>
      </c>
      <c r="H1948" s="368">
        <v>0.42222222222222222</v>
      </c>
      <c r="I1948" s="372" t="str">
        <f t="shared" si="24"/>
        <v>188</v>
      </c>
      <c r="J1948" s="371">
        <v>3</v>
      </c>
      <c r="K1948" s="371"/>
      <c r="L1948" s="365">
        <v>0.3125</v>
      </c>
      <c r="M1948" s="365">
        <v>0.44444444444444442</v>
      </c>
      <c r="N1948" s="372" t="str">
        <f t="shared" si="25"/>
        <v>190</v>
      </c>
      <c r="O1948" s="371">
        <f t="shared" si="26"/>
        <v>1510</v>
      </c>
      <c r="P1948" s="366">
        <f t="shared" si="27"/>
        <v>0.29166666666666669</v>
      </c>
      <c r="Q1948" s="366">
        <f t="shared" si="28"/>
        <v>0.44444444444444442</v>
      </c>
      <c r="R1948" s="367" t="str">
        <f t="shared" si="29"/>
        <v>220</v>
      </c>
    </row>
    <row r="1949" spans="1:18" x14ac:dyDescent="0.4">
      <c r="A1949" s="402">
        <v>46108</v>
      </c>
      <c r="B1949" s="392" t="s">
        <v>63</v>
      </c>
      <c r="C1949" s="364" t="s">
        <v>267</v>
      </c>
      <c r="D1949" s="404">
        <v>24</v>
      </c>
      <c r="E1949" s="369">
        <v>5</v>
      </c>
      <c r="F1949" s="370"/>
      <c r="G1949" s="368">
        <v>0.42222222222222222</v>
      </c>
      <c r="H1949" s="368">
        <v>0.6875</v>
      </c>
      <c r="I1949" s="372" t="str">
        <f t="shared" si="24"/>
        <v>322</v>
      </c>
      <c r="J1949" s="371">
        <v>3</v>
      </c>
      <c r="K1949" s="371"/>
      <c r="L1949" s="365">
        <v>0.44444444444444442</v>
      </c>
      <c r="M1949" s="365">
        <v>0.6875</v>
      </c>
      <c r="N1949" s="372" t="str">
        <f t="shared" si="25"/>
        <v>290</v>
      </c>
      <c r="O1949" s="371">
        <f t="shared" si="26"/>
        <v>2480</v>
      </c>
      <c r="P1949" s="366">
        <f t="shared" si="27"/>
        <v>0.42222222222222222</v>
      </c>
      <c r="Q1949" s="366">
        <f t="shared" si="28"/>
        <v>0.6875</v>
      </c>
      <c r="R1949" s="367" t="str">
        <f t="shared" si="29"/>
        <v>322</v>
      </c>
    </row>
    <row r="1950" spans="1:18" x14ac:dyDescent="0.4">
      <c r="A1950" s="402">
        <v>46108</v>
      </c>
      <c r="B1950" s="392" t="s">
        <v>104</v>
      </c>
      <c r="C1950" s="364" t="s">
        <v>191</v>
      </c>
      <c r="D1950" s="404">
        <v>60</v>
      </c>
      <c r="E1950" s="369">
        <v>3</v>
      </c>
      <c r="F1950" s="368">
        <v>2.0833333333333332E-2</v>
      </c>
      <c r="G1950" s="368">
        <v>0.29166666666666669</v>
      </c>
      <c r="H1950" s="368">
        <v>0.63888888888888895</v>
      </c>
      <c r="I1950" s="372" t="str">
        <f t="shared" si="24"/>
        <v>470</v>
      </c>
      <c r="J1950" s="371">
        <v>4</v>
      </c>
      <c r="K1950" s="371"/>
      <c r="L1950" s="365">
        <v>0.29166666666666669</v>
      </c>
      <c r="M1950" s="365">
        <v>0.69097222222222221</v>
      </c>
      <c r="N1950" s="372" t="str">
        <f t="shared" si="25"/>
        <v>515</v>
      </c>
      <c r="O1950" s="371">
        <f t="shared" si="26"/>
        <v>3470</v>
      </c>
      <c r="P1950" s="366">
        <f t="shared" si="27"/>
        <v>0.29166666666666669</v>
      </c>
      <c r="Q1950" s="366">
        <f t="shared" si="28"/>
        <v>0.69097222222222221</v>
      </c>
      <c r="R1950" s="367" t="str">
        <f t="shared" si="29"/>
        <v>515</v>
      </c>
    </row>
    <row r="1951" spans="1:18" x14ac:dyDescent="0.4">
      <c r="A1951" s="402">
        <v>46111</v>
      </c>
      <c r="B1951" s="392" t="s">
        <v>86</v>
      </c>
      <c r="C1951" s="375" t="s">
        <v>201</v>
      </c>
      <c r="D1951" s="406">
        <v>20</v>
      </c>
      <c r="E1951" s="369">
        <v>5</v>
      </c>
      <c r="F1951" s="370"/>
      <c r="G1951" s="368">
        <v>0.29166666666666669</v>
      </c>
      <c r="H1951" s="368">
        <v>0.5</v>
      </c>
      <c r="I1951" s="372" t="str">
        <f t="shared" si="24"/>
        <v>300</v>
      </c>
      <c r="J1951" s="371">
        <v>5</v>
      </c>
      <c r="K1951" s="371"/>
      <c r="L1951" s="365">
        <v>0.3125</v>
      </c>
      <c r="M1951" s="365">
        <v>0.52083333333333337</v>
      </c>
      <c r="N1951" s="372" t="str">
        <f t="shared" si="25"/>
        <v>300</v>
      </c>
      <c r="O1951" s="371">
        <f t="shared" si="26"/>
        <v>3000</v>
      </c>
      <c r="P1951" s="366">
        <f t="shared" si="27"/>
        <v>0.29166666666666669</v>
      </c>
      <c r="Q1951" s="366">
        <f t="shared" si="28"/>
        <v>0.52083333333333337</v>
      </c>
      <c r="R1951" s="367" t="str">
        <f t="shared" si="29"/>
        <v>330</v>
      </c>
    </row>
    <row r="1952" spans="1:18" x14ac:dyDescent="0.4">
      <c r="A1952" s="402">
        <v>46111</v>
      </c>
      <c r="B1952" s="392" t="s">
        <v>106</v>
      </c>
      <c r="C1952" s="364" t="s">
        <v>173</v>
      </c>
      <c r="D1952" s="404">
        <v>16</v>
      </c>
      <c r="E1952" s="369">
        <v>5</v>
      </c>
      <c r="F1952" s="370"/>
      <c r="G1952" s="368">
        <v>0.54166666666666663</v>
      </c>
      <c r="H1952" s="368">
        <v>0.72916666666666663</v>
      </c>
      <c r="I1952" s="372" t="str">
        <f t="shared" si="24"/>
        <v>270</v>
      </c>
      <c r="J1952" s="371">
        <v>9</v>
      </c>
      <c r="K1952" s="371"/>
      <c r="L1952" s="365">
        <v>0.54166666666666663</v>
      </c>
      <c r="M1952" s="365">
        <v>0.75</v>
      </c>
      <c r="N1952" s="372" t="str">
        <f t="shared" si="25"/>
        <v>300</v>
      </c>
      <c r="O1952" s="371">
        <f t="shared" si="26"/>
        <v>4050</v>
      </c>
      <c r="P1952" s="366">
        <f t="shared" si="27"/>
        <v>0.54166666666666663</v>
      </c>
      <c r="Q1952" s="366">
        <f t="shared" si="28"/>
        <v>0.75</v>
      </c>
      <c r="R1952" s="367" t="str">
        <f t="shared" si="29"/>
        <v>300</v>
      </c>
    </row>
    <row r="1953" spans="1:18" x14ac:dyDescent="0.4">
      <c r="A1953" s="402">
        <v>46111</v>
      </c>
      <c r="B1953" s="392" t="s">
        <v>965</v>
      </c>
      <c r="C1953" s="364" t="s">
        <v>966</v>
      </c>
      <c r="D1953" s="404">
        <v>12</v>
      </c>
      <c r="E1953" s="369">
        <v>5</v>
      </c>
      <c r="F1953" s="370"/>
      <c r="G1953" s="368">
        <v>0.29166666666666669</v>
      </c>
      <c r="H1953" s="368">
        <v>0.39097222222222222</v>
      </c>
      <c r="I1953" s="372" t="str">
        <f t="shared" si="24"/>
        <v>143</v>
      </c>
      <c r="J1953" s="371">
        <v>3</v>
      </c>
      <c r="K1953" s="371"/>
      <c r="L1953" s="365">
        <v>0.3125</v>
      </c>
      <c r="M1953" s="365">
        <v>0.41666666666666669</v>
      </c>
      <c r="N1953" s="372" t="str">
        <f t="shared" si="25"/>
        <v>150</v>
      </c>
      <c r="O1953" s="371">
        <f t="shared" si="26"/>
        <v>1165</v>
      </c>
      <c r="P1953" s="366">
        <f t="shared" si="27"/>
        <v>0.29166666666666669</v>
      </c>
      <c r="Q1953" s="366">
        <f t="shared" si="28"/>
        <v>0.41666666666666669</v>
      </c>
      <c r="R1953" s="367" t="str">
        <f t="shared" si="29"/>
        <v>180</v>
      </c>
    </row>
    <row r="1954" spans="1:18" x14ac:dyDescent="0.4">
      <c r="A1954" s="402">
        <v>46111</v>
      </c>
      <c r="B1954" s="392" t="s">
        <v>63</v>
      </c>
      <c r="C1954" s="364" t="s">
        <v>267</v>
      </c>
      <c r="D1954" s="404">
        <v>20</v>
      </c>
      <c r="E1954" s="369">
        <v>5</v>
      </c>
      <c r="F1954" s="370"/>
      <c r="G1954" s="368">
        <v>0.39097222222222222</v>
      </c>
      <c r="H1954" s="368">
        <v>0.59791666666666665</v>
      </c>
      <c r="I1954" s="372" t="str">
        <f t="shared" si="24"/>
        <v>238</v>
      </c>
      <c r="J1954" s="371">
        <v>3</v>
      </c>
      <c r="K1954" s="371"/>
      <c r="L1954" s="365">
        <v>0.41666666666666669</v>
      </c>
      <c r="M1954" s="365">
        <v>0.625</v>
      </c>
      <c r="N1954" s="372" t="str">
        <f t="shared" si="25"/>
        <v>240</v>
      </c>
      <c r="O1954" s="371">
        <f t="shared" si="26"/>
        <v>1910</v>
      </c>
      <c r="P1954" s="366">
        <f t="shared" si="27"/>
        <v>0.39097222222222222</v>
      </c>
      <c r="Q1954" s="366">
        <f t="shared" si="28"/>
        <v>0.625</v>
      </c>
      <c r="R1954" s="367" t="str">
        <f t="shared" si="29"/>
        <v>277</v>
      </c>
    </row>
    <row r="1955" spans="1:18" x14ac:dyDescent="0.4">
      <c r="A1955" s="402">
        <v>46111</v>
      </c>
      <c r="B1955" s="392" t="s">
        <v>81</v>
      </c>
      <c r="C1955" s="364" t="s">
        <v>235</v>
      </c>
      <c r="D1955" s="404">
        <v>8</v>
      </c>
      <c r="E1955" s="369">
        <v>5</v>
      </c>
      <c r="F1955" s="370"/>
      <c r="G1955" s="368">
        <v>0.59791666666666665</v>
      </c>
      <c r="H1955" s="368">
        <v>0.6875</v>
      </c>
      <c r="I1955" s="372" t="str">
        <f t="shared" si="24"/>
        <v>129</v>
      </c>
      <c r="J1955" s="371">
        <v>3</v>
      </c>
      <c r="K1955" s="371"/>
      <c r="L1955" s="365">
        <v>0.625</v>
      </c>
      <c r="M1955" s="365">
        <v>0.6875</v>
      </c>
      <c r="N1955" s="372" t="str">
        <f t="shared" si="25"/>
        <v>90</v>
      </c>
      <c r="O1955" s="371">
        <f t="shared" si="26"/>
        <v>915</v>
      </c>
      <c r="P1955" s="366">
        <f t="shared" si="27"/>
        <v>0.59791666666666665</v>
      </c>
      <c r="Q1955" s="366">
        <f t="shared" si="28"/>
        <v>0.6875</v>
      </c>
      <c r="R1955" s="367" t="str">
        <f t="shared" si="29"/>
        <v>129</v>
      </c>
    </row>
    <row r="1956" spans="1:18" x14ac:dyDescent="0.4">
      <c r="A1956" s="402">
        <v>46111</v>
      </c>
      <c r="B1956" s="392" t="s">
        <v>110</v>
      </c>
      <c r="C1956" s="364" t="s">
        <v>231</v>
      </c>
      <c r="D1956" s="404">
        <v>21</v>
      </c>
      <c r="E1956" s="369">
        <v>3</v>
      </c>
      <c r="F1956" s="368">
        <v>2.0833333333333332E-2</v>
      </c>
      <c r="G1956" s="368">
        <v>0.29166666666666669</v>
      </c>
      <c r="H1956" s="368">
        <v>0.68055555555555547</v>
      </c>
      <c r="I1956" s="372" t="str">
        <f t="shared" si="24"/>
        <v>530</v>
      </c>
      <c r="J1956" s="371">
        <v>6</v>
      </c>
      <c r="K1956" s="371"/>
      <c r="L1956" s="365">
        <v>0.3125</v>
      </c>
      <c r="M1956" s="365">
        <v>0.70833333333333337</v>
      </c>
      <c r="N1956" s="372" t="str">
        <f t="shared" si="25"/>
        <v>510</v>
      </c>
      <c r="O1956" s="371">
        <f t="shared" si="26"/>
        <v>4650</v>
      </c>
      <c r="P1956" s="366">
        <f t="shared" si="27"/>
        <v>0.29166666666666669</v>
      </c>
      <c r="Q1956" s="366">
        <f t="shared" si="28"/>
        <v>0.70833333333333337</v>
      </c>
      <c r="R1956" s="367" t="str">
        <f t="shared" si="29"/>
        <v>540</v>
      </c>
    </row>
    <row r="1957" spans="1:18" x14ac:dyDescent="0.4">
      <c r="A1957" s="403">
        <v>46111</v>
      </c>
      <c r="B1957" s="383" t="s">
        <v>431</v>
      </c>
      <c r="C1957" s="390" t="s">
        <v>436</v>
      </c>
      <c r="D1957" s="405">
        <v>1</v>
      </c>
      <c r="E1957" s="384"/>
      <c r="F1957" s="385"/>
      <c r="G1957" s="396"/>
      <c r="H1957" s="396"/>
      <c r="I1957" s="386" t="str">
        <f t="shared" si="24"/>
        <v>0</v>
      </c>
      <c r="J1957" s="387"/>
      <c r="K1957" s="387"/>
      <c r="L1957" s="388"/>
      <c r="M1957" s="388"/>
      <c r="N1957" s="386" t="str">
        <f t="shared" si="25"/>
        <v>0</v>
      </c>
      <c r="O1957" s="387">
        <f t="shared" si="26"/>
        <v>0</v>
      </c>
      <c r="P1957" s="391">
        <f t="shared" si="27"/>
        <v>0</v>
      </c>
      <c r="Q1957" s="391">
        <f t="shared" si="28"/>
        <v>0</v>
      </c>
      <c r="R1957" s="389" t="str">
        <f t="shared" si="29"/>
        <v>0</v>
      </c>
    </row>
    <row r="1958" spans="1:18" x14ac:dyDescent="0.4">
      <c r="A1958" s="402">
        <v>46112</v>
      </c>
      <c r="B1958" s="392" t="s">
        <v>71</v>
      </c>
      <c r="C1958" s="364" t="s">
        <v>176</v>
      </c>
      <c r="D1958" s="404">
        <v>36</v>
      </c>
      <c r="E1958" s="369">
        <v>6</v>
      </c>
      <c r="F1958" s="370"/>
      <c r="G1958" s="368">
        <v>0.29166666666666669</v>
      </c>
      <c r="H1958" s="368">
        <v>0.5</v>
      </c>
      <c r="I1958" s="372" t="str">
        <f t="shared" si="24"/>
        <v>300</v>
      </c>
      <c r="J1958" s="371">
        <v>5</v>
      </c>
      <c r="K1958" s="371"/>
      <c r="L1958" s="365">
        <v>0.3125</v>
      </c>
      <c r="M1958" s="365">
        <v>0.5</v>
      </c>
      <c r="N1958" s="372" t="str">
        <f t="shared" si="25"/>
        <v>270</v>
      </c>
      <c r="O1958" s="371">
        <f t="shared" si="26"/>
        <v>3150</v>
      </c>
      <c r="P1958" s="366">
        <f t="shared" si="27"/>
        <v>0.29166666666666669</v>
      </c>
      <c r="Q1958" s="366">
        <f t="shared" si="28"/>
        <v>0.5</v>
      </c>
      <c r="R1958" s="367" t="str">
        <f t="shared" si="29"/>
        <v>300</v>
      </c>
    </row>
    <row r="1959" spans="1:18" x14ac:dyDescent="0.4">
      <c r="A1959" s="402">
        <v>46112</v>
      </c>
      <c r="B1959" s="392" t="s">
        <v>87</v>
      </c>
      <c r="C1959" s="364" t="s">
        <v>199</v>
      </c>
      <c r="D1959" s="404">
        <v>36</v>
      </c>
      <c r="E1959" s="369">
        <v>6</v>
      </c>
      <c r="F1959" s="370"/>
      <c r="G1959" s="368">
        <v>0.54166666666666663</v>
      </c>
      <c r="H1959" s="368">
        <v>0.70833333333333337</v>
      </c>
      <c r="I1959" s="372" t="str">
        <f t="shared" si="24"/>
        <v>240</v>
      </c>
      <c r="J1959" s="371">
        <v>5</v>
      </c>
      <c r="K1959" s="371"/>
      <c r="L1959" s="365">
        <v>0.54166666666666663</v>
      </c>
      <c r="M1959" s="365">
        <v>0.72916666666666663</v>
      </c>
      <c r="N1959" s="372" t="str">
        <f t="shared" si="25"/>
        <v>270</v>
      </c>
      <c r="O1959" s="371">
        <f t="shared" si="26"/>
        <v>2790</v>
      </c>
      <c r="P1959" s="366">
        <f t="shared" si="27"/>
        <v>0.54166666666666663</v>
      </c>
      <c r="Q1959" s="366">
        <f t="shared" si="28"/>
        <v>0.72916666666666663</v>
      </c>
      <c r="R1959" s="367" t="str">
        <f t="shared" si="29"/>
        <v>270</v>
      </c>
    </row>
    <row r="1960" spans="1:18" x14ac:dyDescent="0.4">
      <c r="A1960" s="402">
        <v>46112</v>
      </c>
      <c r="B1960" s="392" t="s">
        <v>55</v>
      </c>
      <c r="C1960" s="364" t="s">
        <v>208</v>
      </c>
      <c r="D1960" s="404">
        <v>40</v>
      </c>
      <c r="E1960" s="369">
        <v>5</v>
      </c>
      <c r="F1960" s="370"/>
      <c r="G1960" s="368">
        <v>0.29166666666666669</v>
      </c>
      <c r="H1960" s="368">
        <v>0.70833333333333337</v>
      </c>
      <c r="I1960" s="372" t="str">
        <f t="shared" si="24"/>
        <v>540</v>
      </c>
      <c r="J1960" s="371">
        <v>4</v>
      </c>
      <c r="K1960" s="371"/>
      <c r="L1960" s="365">
        <v>0.3125</v>
      </c>
      <c r="M1960" s="365">
        <v>0.72916666666666663</v>
      </c>
      <c r="N1960" s="372" t="str">
        <f t="shared" si="25"/>
        <v>540</v>
      </c>
      <c r="O1960" s="371">
        <f t="shared" si="26"/>
        <v>4860</v>
      </c>
      <c r="P1960" s="366">
        <f t="shared" si="27"/>
        <v>0.29166666666666669</v>
      </c>
      <c r="Q1960" s="366">
        <f t="shared" si="28"/>
        <v>0.72916666666666663</v>
      </c>
      <c r="R1960" s="367" t="str">
        <f t="shared" si="29"/>
        <v>570</v>
      </c>
    </row>
    <row r="1961" spans="1:18" x14ac:dyDescent="0.4">
      <c r="A1961" s="402">
        <v>46112</v>
      </c>
      <c r="B1961" s="392" t="s">
        <v>58</v>
      </c>
      <c r="C1961" s="364" t="s">
        <v>165</v>
      </c>
      <c r="D1961" s="404">
        <v>20</v>
      </c>
      <c r="E1961" s="369">
        <v>3</v>
      </c>
      <c r="F1961" s="368">
        <v>2.0833333333333332E-2</v>
      </c>
      <c r="G1961" s="368">
        <v>0.29166666666666669</v>
      </c>
      <c r="H1961" s="368">
        <v>0.46875</v>
      </c>
      <c r="I1961" s="372" t="str">
        <f t="shared" si="24"/>
        <v>285</v>
      </c>
      <c r="J1961" s="371">
        <v>6</v>
      </c>
      <c r="K1961" s="371"/>
      <c r="L1961" s="365">
        <v>0.29166666666666669</v>
      </c>
      <c r="M1961" s="365">
        <v>0.46875</v>
      </c>
      <c r="N1961" s="372" t="str">
        <f t="shared" si="25"/>
        <v>255</v>
      </c>
      <c r="O1961" s="371">
        <f t="shared" si="26"/>
        <v>2385</v>
      </c>
      <c r="P1961" s="366">
        <f t="shared" si="27"/>
        <v>0.29166666666666669</v>
      </c>
      <c r="Q1961" s="366">
        <f t="shared" si="28"/>
        <v>0.46875</v>
      </c>
      <c r="R1961" s="367" t="str">
        <f t="shared" si="29"/>
        <v>255</v>
      </c>
    </row>
    <row r="1962" spans="1:18" x14ac:dyDescent="0.4">
      <c r="A1962" s="402">
        <v>46112</v>
      </c>
      <c r="B1962" s="392" t="s">
        <v>66</v>
      </c>
      <c r="C1962" s="364" t="s">
        <v>195</v>
      </c>
      <c r="D1962" s="404">
        <v>20</v>
      </c>
      <c r="E1962" s="369">
        <v>3</v>
      </c>
      <c r="F1962" s="370"/>
      <c r="G1962" s="368">
        <v>0.41666666666666669</v>
      </c>
      <c r="H1962" s="368">
        <v>0.63194444444444442</v>
      </c>
      <c r="I1962" s="372" t="str">
        <f t="shared" si="24"/>
        <v>250</v>
      </c>
      <c r="J1962" s="371">
        <v>4</v>
      </c>
      <c r="K1962" s="371"/>
      <c r="L1962" s="365">
        <v>0.46180555555555558</v>
      </c>
      <c r="M1962" s="365">
        <v>0.69791666666666663</v>
      </c>
      <c r="N1962" s="372" t="str">
        <f t="shared" si="25"/>
        <v>280</v>
      </c>
      <c r="O1962" s="371">
        <f t="shared" si="26"/>
        <v>1870</v>
      </c>
      <c r="P1962" s="366">
        <f t="shared" si="27"/>
        <v>0.41666666666666669</v>
      </c>
      <c r="Q1962" s="366">
        <f t="shared" si="28"/>
        <v>0.69791666666666663</v>
      </c>
      <c r="R1962" s="367" t="str">
        <f t="shared" si="29"/>
        <v>345</v>
      </c>
    </row>
    <row r="1963" spans="1:18" x14ac:dyDescent="0.4">
      <c r="A1963" s="402">
        <v>46113</v>
      </c>
      <c r="B1963" s="392" t="s">
        <v>54</v>
      </c>
      <c r="C1963" s="364" t="s">
        <v>251</v>
      </c>
      <c r="D1963" s="404">
        <v>30</v>
      </c>
      <c r="E1963" s="369">
        <v>5</v>
      </c>
      <c r="F1963" s="370"/>
      <c r="G1963" s="368">
        <v>0.41805555555555557</v>
      </c>
      <c r="H1963" s="368">
        <v>0.70833333333333337</v>
      </c>
      <c r="I1963" s="372" t="str">
        <f t="shared" si="24"/>
        <v>358</v>
      </c>
      <c r="J1963" s="371">
        <v>3</v>
      </c>
      <c r="K1963" s="371"/>
      <c r="L1963" s="365">
        <v>0.4513888888888889</v>
      </c>
      <c r="M1963" s="365">
        <v>0.70833333333333337</v>
      </c>
      <c r="N1963" s="372" t="str">
        <f t="shared" si="25"/>
        <v>310</v>
      </c>
      <c r="O1963" s="371">
        <f t="shared" si="26"/>
        <v>2720</v>
      </c>
      <c r="P1963" s="366">
        <f t="shared" si="27"/>
        <v>0.41805555555555557</v>
      </c>
      <c r="Q1963" s="366">
        <f t="shared" si="28"/>
        <v>0.70833333333333337</v>
      </c>
      <c r="R1963" s="367" t="str">
        <f t="shared" si="29"/>
        <v>358</v>
      </c>
    </row>
    <row r="1964" spans="1:18" x14ac:dyDescent="0.4">
      <c r="A1964" s="402">
        <v>46113</v>
      </c>
      <c r="B1964" s="392" t="s">
        <v>99</v>
      </c>
      <c r="C1964" s="364" t="s">
        <v>259</v>
      </c>
      <c r="D1964" s="404">
        <v>6</v>
      </c>
      <c r="E1964" s="369">
        <v>5</v>
      </c>
      <c r="F1964" s="370"/>
      <c r="G1964" s="368">
        <v>0.36458333333333331</v>
      </c>
      <c r="H1964" s="368">
        <v>0.41805555555555557</v>
      </c>
      <c r="I1964" s="372" t="str">
        <f t="shared" si="24"/>
        <v>77</v>
      </c>
      <c r="J1964" s="371">
        <v>3</v>
      </c>
      <c r="K1964" s="371"/>
      <c r="L1964" s="365">
        <v>0.39583333333333331</v>
      </c>
      <c r="M1964" s="365">
        <v>0.4513888888888889</v>
      </c>
      <c r="N1964" s="372" t="str">
        <f t="shared" si="25"/>
        <v>80</v>
      </c>
      <c r="O1964" s="371">
        <f t="shared" si="26"/>
        <v>625</v>
      </c>
      <c r="P1964" s="366">
        <f t="shared" si="27"/>
        <v>0.36458333333333331</v>
      </c>
      <c r="Q1964" s="366">
        <f t="shared" si="28"/>
        <v>0.4513888888888889</v>
      </c>
      <c r="R1964" s="367" t="str">
        <f t="shared" si="29"/>
        <v>125</v>
      </c>
    </row>
    <row r="1965" spans="1:18" x14ac:dyDescent="0.4">
      <c r="A1965" s="402">
        <v>46113</v>
      </c>
      <c r="B1965" s="392" t="s">
        <v>451</v>
      </c>
      <c r="C1965" s="364" t="s">
        <v>255</v>
      </c>
      <c r="D1965" s="404">
        <v>6</v>
      </c>
      <c r="E1965" s="369">
        <v>5</v>
      </c>
      <c r="F1965" s="370"/>
      <c r="G1965" s="368">
        <v>0.29166666666666669</v>
      </c>
      <c r="H1965" s="368">
        <v>0.36458333333333331</v>
      </c>
      <c r="I1965" s="372" t="str">
        <f t="shared" si="24"/>
        <v>105</v>
      </c>
      <c r="J1965" s="371">
        <v>3</v>
      </c>
      <c r="K1965" s="371"/>
      <c r="L1965" s="365">
        <v>0.3125</v>
      </c>
      <c r="M1965" s="365">
        <v>0.39583333333333331</v>
      </c>
      <c r="N1965" s="372" t="str">
        <f t="shared" si="25"/>
        <v>120</v>
      </c>
      <c r="O1965" s="371">
        <f t="shared" si="26"/>
        <v>885</v>
      </c>
      <c r="P1965" s="366">
        <f t="shared" si="27"/>
        <v>0.29166666666666669</v>
      </c>
      <c r="Q1965" s="366">
        <f t="shared" si="28"/>
        <v>0.39583333333333331</v>
      </c>
      <c r="R1965" s="367" t="str">
        <f t="shared" si="29"/>
        <v>150</v>
      </c>
    </row>
    <row r="1966" spans="1:18" x14ac:dyDescent="0.4">
      <c r="A1966" s="402">
        <v>46113</v>
      </c>
      <c r="B1966" s="392" t="s">
        <v>108</v>
      </c>
      <c r="C1966" s="364" t="s">
        <v>231</v>
      </c>
      <c r="D1966" s="404">
        <v>21</v>
      </c>
      <c r="E1966" s="369">
        <v>5</v>
      </c>
      <c r="F1966" s="370"/>
      <c r="G1966" s="368">
        <v>0.29166666666666669</v>
      </c>
      <c r="H1966" s="368">
        <v>0.67361111111111116</v>
      </c>
      <c r="I1966" s="372" t="str">
        <f t="shared" si="24"/>
        <v>490</v>
      </c>
      <c r="J1966" s="371">
        <v>7</v>
      </c>
      <c r="K1966" s="365">
        <v>2.0833333333333332E-2</v>
      </c>
      <c r="L1966" s="365">
        <v>0.3125</v>
      </c>
      <c r="M1966" s="365">
        <v>0.70833333333333337</v>
      </c>
      <c r="N1966" s="372" t="str">
        <f t="shared" si="25"/>
        <v>540</v>
      </c>
      <c r="O1966" s="371">
        <f t="shared" si="26"/>
        <v>6230</v>
      </c>
      <c r="P1966" s="366">
        <f t="shared" si="27"/>
        <v>0.29166666666666669</v>
      </c>
      <c r="Q1966" s="366">
        <f t="shared" si="28"/>
        <v>0.70833333333333337</v>
      </c>
      <c r="R1966" s="367" t="str">
        <f t="shared" si="29"/>
        <v>540</v>
      </c>
    </row>
    <row r="1967" spans="1:18" x14ac:dyDescent="0.4">
      <c r="A1967" s="402">
        <v>46113</v>
      </c>
      <c r="B1967" s="392" t="s">
        <v>104</v>
      </c>
      <c r="C1967" s="364" t="s">
        <v>191</v>
      </c>
      <c r="D1967" s="404">
        <v>72</v>
      </c>
      <c r="E1967" s="369">
        <v>3</v>
      </c>
      <c r="F1967" s="368">
        <v>2.0833333333333332E-2</v>
      </c>
      <c r="G1967" s="368">
        <v>0.29166666666666669</v>
      </c>
      <c r="H1967" s="368">
        <v>0.67013888888888884</v>
      </c>
      <c r="I1967" s="372" t="str">
        <f t="shared" si="24"/>
        <v>515</v>
      </c>
      <c r="J1967" s="371">
        <v>4</v>
      </c>
      <c r="K1967" s="371"/>
      <c r="L1967" s="365">
        <v>0.29166666666666669</v>
      </c>
      <c r="M1967" s="365">
        <v>0.71875</v>
      </c>
      <c r="N1967" s="372" t="str">
        <f t="shared" si="25"/>
        <v>555</v>
      </c>
      <c r="O1967" s="371">
        <f t="shared" si="26"/>
        <v>3765</v>
      </c>
      <c r="P1967" s="366">
        <f t="shared" si="27"/>
        <v>0.29166666666666669</v>
      </c>
      <c r="Q1967" s="366">
        <f t="shared" si="28"/>
        <v>0.71875</v>
      </c>
      <c r="R1967" s="367" t="str">
        <f t="shared" si="29"/>
        <v>555</v>
      </c>
    </row>
    <row r="1968" spans="1:18" x14ac:dyDescent="0.4">
      <c r="A1968" s="402">
        <v>46114</v>
      </c>
      <c r="B1968" s="392" t="s">
        <v>114</v>
      </c>
      <c r="C1968" s="364" t="s">
        <v>161</v>
      </c>
      <c r="D1968" s="404">
        <v>18</v>
      </c>
      <c r="E1968" s="369">
        <v>4</v>
      </c>
      <c r="F1968" s="370"/>
      <c r="G1968" s="368">
        <v>0.29166666666666669</v>
      </c>
      <c r="H1968" s="368">
        <v>0.6479166666666667</v>
      </c>
      <c r="I1968" s="372" t="str">
        <f t="shared" si="24"/>
        <v>453</v>
      </c>
      <c r="J1968" s="371">
        <v>13</v>
      </c>
      <c r="K1968" s="371"/>
      <c r="L1968" s="365">
        <v>0.3125</v>
      </c>
      <c r="M1968" s="365">
        <v>0.65972222222222221</v>
      </c>
      <c r="N1968" s="372" t="str">
        <f t="shared" si="25"/>
        <v>440</v>
      </c>
      <c r="O1968" s="371">
        <f t="shared" si="26"/>
        <v>7532</v>
      </c>
      <c r="P1968" s="366">
        <f t="shared" si="27"/>
        <v>0.29166666666666669</v>
      </c>
      <c r="Q1968" s="366">
        <f t="shared" si="28"/>
        <v>0.65972222222222221</v>
      </c>
      <c r="R1968" s="367" t="str">
        <f t="shared" si="29"/>
        <v>470</v>
      </c>
    </row>
    <row r="1969" spans="1:18" x14ac:dyDescent="0.4">
      <c r="A1969" s="402">
        <v>46114</v>
      </c>
      <c r="B1969" s="392" t="s">
        <v>1282</v>
      </c>
      <c r="C1969" s="364" t="s">
        <v>1283</v>
      </c>
      <c r="D1969" s="404">
        <v>3</v>
      </c>
      <c r="E1969" s="369">
        <v>4</v>
      </c>
      <c r="F1969" s="370"/>
      <c r="G1969" s="368">
        <v>0.6479166666666667</v>
      </c>
      <c r="H1969" s="368">
        <v>0.66666666666666663</v>
      </c>
      <c r="I1969" s="372" t="str">
        <f t="shared" si="24"/>
        <v>27</v>
      </c>
      <c r="J1969" s="371">
        <v>10</v>
      </c>
      <c r="K1969" s="371"/>
      <c r="L1969" s="365">
        <v>0.65972222222222221</v>
      </c>
      <c r="M1969" s="365">
        <v>0.75</v>
      </c>
      <c r="N1969" s="372" t="str">
        <f t="shared" si="25"/>
        <v>130</v>
      </c>
      <c r="O1969" s="371">
        <f t="shared" si="26"/>
        <v>1408</v>
      </c>
      <c r="P1969" s="366">
        <f t="shared" si="27"/>
        <v>0.6479166666666667</v>
      </c>
      <c r="Q1969" s="366">
        <f t="shared" si="28"/>
        <v>0.75</v>
      </c>
      <c r="R1969" s="367" t="str">
        <f t="shared" si="29"/>
        <v>147</v>
      </c>
    </row>
    <row r="1970" spans="1:18" x14ac:dyDescent="0.4">
      <c r="A1970" s="402">
        <v>46114</v>
      </c>
      <c r="B1970" s="392" t="s">
        <v>115</v>
      </c>
      <c r="C1970" s="364" t="s">
        <v>214</v>
      </c>
      <c r="D1970" s="404">
        <v>12</v>
      </c>
      <c r="E1970" s="369">
        <v>5</v>
      </c>
      <c r="F1970" s="370"/>
      <c r="G1970" s="368">
        <v>0.40277777777777773</v>
      </c>
      <c r="H1970" s="368">
        <v>0.58611111111111114</v>
      </c>
      <c r="I1970" s="372" t="str">
        <f t="shared" ref="I1970:I2033" si="30">TEXT(IF(AND(G1970&lt;=$S$2,H1970&gt;=$T$2),(H1970-G1970+F1970)-($T$2-$S$2),(H1970-G1970+F1970)),"[m]")</f>
        <v>204</v>
      </c>
      <c r="J1970" s="371">
        <v>4</v>
      </c>
      <c r="K1970" s="371"/>
      <c r="L1970" s="365">
        <v>0.44444444444444442</v>
      </c>
      <c r="M1970" s="365">
        <v>0.63541666666666663</v>
      </c>
      <c r="N1970" s="372" t="str">
        <f t="shared" ref="N1970:N2033" si="31">TEXT(IF(AND(L1970&lt;=$S$2,M1970&gt;=$T$2),(M1970-L1970+K1970)-($T$2-$S$2),(M1970-L1970+K1970)),"[m]")</f>
        <v>215</v>
      </c>
      <c r="O1970" s="371">
        <f t="shared" ref="O1970:O2033" si="32">E1970*I1970+J1970*N1970</f>
        <v>1880</v>
      </c>
      <c r="P1970" s="366">
        <f t="shared" ref="P1970:P2033" si="33">MIN(G1970:H1970,L1970:M1970)</f>
        <v>0.40277777777777773</v>
      </c>
      <c r="Q1970" s="366">
        <f t="shared" ref="Q1970:Q2033" si="34">MAX(G1970:H1970,L1970:M1970)</f>
        <v>0.63541666666666663</v>
      </c>
      <c r="R1970" s="367" t="str">
        <f t="shared" ref="R1970:R2033" si="35">TEXT(IF(AND(P1970&lt;=$S$2,Q1970&gt;=$T$2),(Q1970-P1970)-($T$2-$S$2),(Q1970-P1970)),"[m]")</f>
        <v>275</v>
      </c>
    </row>
    <row r="1971" spans="1:18" x14ac:dyDescent="0.4">
      <c r="A1971" s="402">
        <v>46114</v>
      </c>
      <c r="B1971" s="392" t="s">
        <v>130</v>
      </c>
      <c r="C1971" s="364" t="s">
        <v>216</v>
      </c>
      <c r="D1971" s="404">
        <v>12</v>
      </c>
      <c r="E1971" s="369">
        <v>5</v>
      </c>
      <c r="F1971" s="370"/>
      <c r="G1971" s="368">
        <v>0.29166666666666669</v>
      </c>
      <c r="H1971" s="368">
        <v>0.40277777777777773</v>
      </c>
      <c r="I1971" s="372" t="str">
        <f t="shared" si="30"/>
        <v>160</v>
      </c>
      <c r="J1971" s="371">
        <v>4</v>
      </c>
      <c r="K1971" s="371"/>
      <c r="L1971" s="365">
        <v>0.3125</v>
      </c>
      <c r="M1971" s="365">
        <v>0.44444444444444442</v>
      </c>
      <c r="N1971" s="372" t="str">
        <f t="shared" si="31"/>
        <v>190</v>
      </c>
      <c r="O1971" s="371">
        <f t="shared" si="32"/>
        <v>1560</v>
      </c>
      <c r="P1971" s="366">
        <f t="shared" si="33"/>
        <v>0.29166666666666669</v>
      </c>
      <c r="Q1971" s="366">
        <f t="shared" si="34"/>
        <v>0.44444444444444442</v>
      </c>
      <c r="R1971" s="367" t="str">
        <f t="shared" si="35"/>
        <v>220</v>
      </c>
    </row>
    <row r="1972" spans="1:18" x14ac:dyDescent="0.4">
      <c r="A1972" s="402">
        <v>46114</v>
      </c>
      <c r="B1972" s="392" t="s">
        <v>63</v>
      </c>
      <c r="C1972" s="364" t="s">
        <v>267</v>
      </c>
      <c r="D1972" s="404">
        <v>16</v>
      </c>
      <c r="E1972" s="369">
        <v>5</v>
      </c>
      <c r="F1972" s="370"/>
      <c r="G1972" s="368">
        <v>0.58611111111111114</v>
      </c>
      <c r="H1972" s="368">
        <v>0.77083333333333337</v>
      </c>
      <c r="I1972" s="372" t="str">
        <f t="shared" si="30"/>
        <v>266</v>
      </c>
      <c r="J1972" s="371">
        <v>3</v>
      </c>
      <c r="K1972" s="371"/>
      <c r="L1972" s="365">
        <v>0.63541666666666663</v>
      </c>
      <c r="M1972" s="365">
        <v>0.77083333333333337</v>
      </c>
      <c r="N1972" s="372" t="str">
        <f t="shared" si="31"/>
        <v>195</v>
      </c>
      <c r="O1972" s="371">
        <f t="shared" si="32"/>
        <v>1915</v>
      </c>
      <c r="P1972" s="366">
        <f t="shared" si="33"/>
        <v>0.58611111111111114</v>
      </c>
      <c r="Q1972" s="366">
        <f t="shared" si="34"/>
        <v>0.77083333333333337</v>
      </c>
      <c r="R1972" s="367" t="str">
        <f t="shared" si="35"/>
        <v>266</v>
      </c>
    </row>
    <row r="1973" spans="1:18" x14ac:dyDescent="0.4">
      <c r="A1973" s="402">
        <v>46114</v>
      </c>
      <c r="B1973" s="392" t="s">
        <v>65</v>
      </c>
      <c r="C1973" s="364" t="s">
        <v>189</v>
      </c>
      <c r="D1973" s="404">
        <v>72</v>
      </c>
      <c r="E1973" s="369">
        <v>3</v>
      </c>
      <c r="F1973" s="370"/>
      <c r="G1973" s="368">
        <v>0.29166666666666669</v>
      </c>
      <c r="H1973" s="368">
        <v>0.6875</v>
      </c>
      <c r="I1973" s="372" t="str">
        <f t="shared" si="30"/>
        <v>510</v>
      </c>
      <c r="J1973" s="371">
        <v>4</v>
      </c>
      <c r="K1973" s="371"/>
      <c r="L1973" s="365">
        <v>0.29166666666666669</v>
      </c>
      <c r="M1973" s="365">
        <v>0.72222222222222221</v>
      </c>
      <c r="N1973" s="372" t="str">
        <f t="shared" si="31"/>
        <v>560</v>
      </c>
      <c r="O1973" s="371">
        <f t="shared" si="32"/>
        <v>3770</v>
      </c>
      <c r="P1973" s="366">
        <f t="shared" si="33"/>
        <v>0.29166666666666669</v>
      </c>
      <c r="Q1973" s="366">
        <f t="shared" si="34"/>
        <v>0.72222222222222221</v>
      </c>
      <c r="R1973" s="367" t="str">
        <f t="shared" si="35"/>
        <v>560</v>
      </c>
    </row>
    <row r="1974" spans="1:18" x14ac:dyDescent="0.4">
      <c r="A1974" s="403">
        <v>46118</v>
      </c>
      <c r="B1974" s="383" t="s">
        <v>431</v>
      </c>
      <c r="C1974" s="390" t="s">
        <v>436</v>
      </c>
      <c r="D1974" s="405">
        <v>1</v>
      </c>
      <c r="E1974" s="384"/>
      <c r="F1974" s="385"/>
      <c r="G1974" s="396"/>
      <c r="H1974" s="396"/>
      <c r="I1974" s="386" t="str">
        <f t="shared" si="30"/>
        <v>0</v>
      </c>
      <c r="J1974" s="387"/>
      <c r="K1974" s="387"/>
      <c r="L1974" s="388"/>
      <c r="M1974" s="388"/>
      <c r="N1974" s="386" t="str">
        <f t="shared" si="31"/>
        <v>0</v>
      </c>
      <c r="O1974" s="387">
        <f t="shared" si="32"/>
        <v>0</v>
      </c>
      <c r="P1974" s="391">
        <f t="shared" si="33"/>
        <v>0</v>
      </c>
      <c r="Q1974" s="391">
        <f t="shared" si="34"/>
        <v>0</v>
      </c>
      <c r="R1974" s="389" t="str">
        <f t="shared" si="35"/>
        <v>0</v>
      </c>
    </row>
    <row r="1975" spans="1:18" x14ac:dyDescent="0.4">
      <c r="A1975" s="402">
        <v>46119</v>
      </c>
      <c r="B1975" s="392" t="s">
        <v>71</v>
      </c>
      <c r="C1975" s="364" t="s">
        <v>176</v>
      </c>
      <c r="D1975" s="404">
        <v>72</v>
      </c>
      <c r="E1975" s="369">
        <v>6</v>
      </c>
      <c r="F1975" s="370"/>
      <c r="G1975" s="368">
        <v>0.29166666666666669</v>
      </c>
      <c r="H1975" s="368">
        <v>0.75</v>
      </c>
      <c r="I1975" s="372" t="str">
        <f t="shared" si="30"/>
        <v>600</v>
      </c>
      <c r="J1975" s="371">
        <v>5</v>
      </c>
      <c r="K1975" s="371"/>
      <c r="L1975" s="365">
        <v>0.3125</v>
      </c>
      <c r="M1975" s="365">
        <v>0.75</v>
      </c>
      <c r="N1975" s="372" t="str">
        <f t="shared" si="31"/>
        <v>570</v>
      </c>
      <c r="O1975" s="371">
        <f t="shared" si="32"/>
        <v>6450</v>
      </c>
      <c r="P1975" s="366">
        <f t="shared" si="33"/>
        <v>0.29166666666666669</v>
      </c>
      <c r="Q1975" s="366">
        <f t="shared" si="34"/>
        <v>0.75</v>
      </c>
      <c r="R1975" s="367" t="str">
        <f t="shared" si="35"/>
        <v>600</v>
      </c>
    </row>
    <row r="1976" spans="1:18" x14ac:dyDescent="0.4">
      <c r="A1976" s="402">
        <v>46119</v>
      </c>
      <c r="B1976" s="392" t="s">
        <v>64</v>
      </c>
      <c r="C1976" s="364" t="s">
        <v>271</v>
      </c>
      <c r="D1976" s="404">
        <v>24</v>
      </c>
      <c r="E1976" s="369">
        <v>5</v>
      </c>
      <c r="F1976" s="370"/>
      <c r="G1976" s="368">
        <v>0.29166666666666669</v>
      </c>
      <c r="H1976" s="368">
        <v>0.5</v>
      </c>
      <c r="I1976" s="372" t="str">
        <f t="shared" si="30"/>
        <v>300</v>
      </c>
      <c r="J1976" s="371">
        <v>3</v>
      </c>
      <c r="K1976" s="371"/>
      <c r="L1976" s="365">
        <v>0.3125</v>
      </c>
      <c r="M1976" s="365">
        <v>0.56944444444444442</v>
      </c>
      <c r="N1976" s="372" t="str">
        <f t="shared" si="31"/>
        <v>310</v>
      </c>
      <c r="O1976" s="371">
        <f t="shared" si="32"/>
        <v>2430</v>
      </c>
      <c r="P1976" s="366">
        <f t="shared" si="33"/>
        <v>0.29166666666666669</v>
      </c>
      <c r="Q1976" s="366">
        <f t="shared" si="34"/>
        <v>0.56944444444444442</v>
      </c>
      <c r="R1976" s="367" t="str">
        <f t="shared" si="35"/>
        <v>340</v>
      </c>
    </row>
    <row r="1977" spans="1:18" x14ac:dyDescent="0.4">
      <c r="A1977" s="402">
        <v>46119</v>
      </c>
      <c r="B1977" s="392" t="s">
        <v>88</v>
      </c>
      <c r="C1977" s="364" t="s">
        <v>328</v>
      </c>
      <c r="D1977" s="404">
        <v>16</v>
      </c>
      <c r="E1977" s="369">
        <v>5</v>
      </c>
      <c r="F1977" s="370"/>
      <c r="G1977" s="368">
        <v>0.54166666666666663</v>
      </c>
      <c r="H1977" s="368">
        <v>0.6875</v>
      </c>
      <c r="I1977" s="372" t="str">
        <f t="shared" si="30"/>
        <v>210</v>
      </c>
      <c r="J1977" s="371">
        <v>3</v>
      </c>
      <c r="K1977" s="371"/>
      <c r="L1977" s="365">
        <v>0.56944444444444442</v>
      </c>
      <c r="M1977" s="365">
        <v>0.6875</v>
      </c>
      <c r="N1977" s="372" t="str">
        <f t="shared" si="31"/>
        <v>170</v>
      </c>
      <c r="O1977" s="371">
        <f t="shared" si="32"/>
        <v>1560</v>
      </c>
      <c r="P1977" s="366">
        <f t="shared" si="33"/>
        <v>0.54166666666666663</v>
      </c>
      <c r="Q1977" s="366">
        <f t="shared" si="34"/>
        <v>0.6875</v>
      </c>
      <c r="R1977" s="367" t="str">
        <f t="shared" si="35"/>
        <v>210</v>
      </c>
    </row>
    <row r="1978" spans="1:18" x14ac:dyDescent="0.4">
      <c r="A1978" s="402">
        <v>46119</v>
      </c>
      <c r="B1978" s="392" t="s">
        <v>597</v>
      </c>
      <c r="C1978" s="364" t="s">
        <v>283</v>
      </c>
      <c r="D1978" s="404">
        <v>8</v>
      </c>
      <c r="E1978" s="369">
        <v>3</v>
      </c>
      <c r="F1978" s="368">
        <v>3.4722222222222224E-2</v>
      </c>
      <c r="G1978" s="368">
        <v>0.29166666666666669</v>
      </c>
      <c r="H1978" s="368">
        <v>0.34722222222222227</v>
      </c>
      <c r="I1978" s="372" t="str">
        <f t="shared" si="30"/>
        <v>130</v>
      </c>
      <c r="J1978" s="371">
        <v>7</v>
      </c>
      <c r="K1978" s="371"/>
      <c r="L1978" s="365">
        <v>0.29166666666666669</v>
      </c>
      <c r="M1978" s="365">
        <v>0.46527777777777773</v>
      </c>
      <c r="N1978" s="372" t="str">
        <f t="shared" si="31"/>
        <v>250</v>
      </c>
      <c r="O1978" s="371">
        <f t="shared" si="32"/>
        <v>2140</v>
      </c>
      <c r="P1978" s="366">
        <f t="shared" si="33"/>
        <v>0.29166666666666669</v>
      </c>
      <c r="Q1978" s="366">
        <f t="shared" si="34"/>
        <v>0.46527777777777773</v>
      </c>
      <c r="R1978" s="367" t="str">
        <f t="shared" si="35"/>
        <v>250</v>
      </c>
    </row>
    <row r="1979" spans="1:18" x14ac:dyDescent="0.4">
      <c r="A1979" s="402">
        <v>46119</v>
      </c>
      <c r="B1979" s="392" t="s">
        <v>123</v>
      </c>
      <c r="C1979" s="364" t="s">
        <v>277</v>
      </c>
      <c r="D1979" s="404">
        <v>36</v>
      </c>
      <c r="E1979" s="369">
        <v>3</v>
      </c>
      <c r="F1979" s="370"/>
      <c r="G1979" s="368">
        <v>0.34722222222222227</v>
      </c>
      <c r="H1979" s="368">
        <v>0.65972222222222221</v>
      </c>
      <c r="I1979" s="372" t="str">
        <f t="shared" si="30"/>
        <v>390</v>
      </c>
      <c r="J1979" s="371">
        <v>4</v>
      </c>
      <c r="K1979" s="371"/>
      <c r="L1979" s="365">
        <v>0.46527777777777773</v>
      </c>
      <c r="M1979" s="365">
        <v>0.70138888888888884</v>
      </c>
      <c r="N1979" s="372" t="str">
        <f t="shared" si="31"/>
        <v>280</v>
      </c>
      <c r="O1979" s="371">
        <f t="shared" si="32"/>
        <v>2290</v>
      </c>
      <c r="P1979" s="366">
        <f t="shared" si="33"/>
        <v>0.34722222222222227</v>
      </c>
      <c r="Q1979" s="366">
        <f t="shared" si="34"/>
        <v>0.70138888888888884</v>
      </c>
      <c r="R1979" s="367" t="str">
        <f t="shared" si="35"/>
        <v>450</v>
      </c>
    </row>
    <row r="1980" spans="1:18" x14ac:dyDescent="0.4">
      <c r="A1980" s="402">
        <v>46120</v>
      </c>
      <c r="B1980" s="392" t="s">
        <v>61</v>
      </c>
      <c r="C1980" s="364" t="s">
        <v>156</v>
      </c>
      <c r="D1980" s="404">
        <v>28</v>
      </c>
      <c r="E1980" s="369">
        <v>4</v>
      </c>
      <c r="F1980" s="370"/>
      <c r="G1980" s="368">
        <v>0.29166666666666669</v>
      </c>
      <c r="H1980" s="368">
        <v>0.56597222222222221</v>
      </c>
      <c r="I1980" s="372" t="str">
        <f t="shared" si="30"/>
        <v>335</v>
      </c>
      <c r="J1980" s="371">
        <v>10</v>
      </c>
      <c r="K1980" s="371"/>
      <c r="L1980" s="365">
        <v>0.3125</v>
      </c>
      <c r="M1980" s="365">
        <v>0.61805555555555558</v>
      </c>
      <c r="N1980" s="372" t="str">
        <f t="shared" si="31"/>
        <v>380</v>
      </c>
      <c r="O1980" s="371">
        <f t="shared" si="32"/>
        <v>5140</v>
      </c>
      <c r="P1980" s="366">
        <f t="shared" si="33"/>
        <v>0.29166666666666669</v>
      </c>
      <c r="Q1980" s="366">
        <f t="shared" si="34"/>
        <v>0.61805555555555558</v>
      </c>
      <c r="R1980" s="367" t="str">
        <f t="shared" si="35"/>
        <v>410</v>
      </c>
    </row>
    <row r="1981" spans="1:18" x14ac:dyDescent="0.4">
      <c r="A1981" s="402">
        <v>46120</v>
      </c>
      <c r="B1981" s="392" t="s">
        <v>608</v>
      </c>
      <c r="C1981" s="364" t="s">
        <v>615</v>
      </c>
      <c r="D1981" s="404">
        <v>3</v>
      </c>
      <c r="E1981" s="369">
        <v>4</v>
      </c>
      <c r="F1981" s="370"/>
      <c r="G1981" s="368">
        <v>0.5625</v>
      </c>
      <c r="H1981" s="368">
        <v>0.66666666666666663</v>
      </c>
      <c r="I1981" s="372" t="str">
        <f t="shared" si="30"/>
        <v>150</v>
      </c>
      <c r="J1981" s="371">
        <v>10</v>
      </c>
      <c r="K1981" s="371"/>
      <c r="L1981" s="365">
        <v>0.61805555555555558</v>
      </c>
      <c r="M1981" s="365">
        <v>0.70833333333333337</v>
      </c>
      <c r="N1981" s="372" t="str">
        <f t="shared" si="31"/>
        <v>130</v>
      </c>
      <c r="O1981" s="371">
        <f t="shared" si="32"/>
        <v>1900</v>
      </c>
      <c r="P1981" s="366">
        <f t="shared" si="33"/>
        <v>0.5625</v>
      </c>
      <c r="Q1981" s="366">
        <f t="shared" si="34"/>
        <v>0.70833333333333337</v>
      </c>
      <c r="R1981" s="367" t="str">
        <f t="shared" si="35"/>
        <v>210</v>
      </c>
    </row>
    <row r="1982" spans="1:18" x14ac:dyDescent="0.4">
      <c r="A1982" s="402">
        <v>46120</v>
      </c>
      <c r="B1982" s="392" t="s">
        <v>63</v>
      </c>
      <c r="C1982" s="364" t="s">
        <v>267</v>
      </c>
      <c r="D1982" s="404">
        <v>16</v>
      </c>
      <c r="E1982" s="369">
        <v>5</v>
      </c>
      <c r="F1982" s="370"/>
      <c r="G1982" s="368">
        <v>0.54166666666666663</v>
      </c>
      <c r="H1982" s="368">
        <v>0.6875</v>
      </c>
      <c r="I1982" s="372" t="str">
        <f t="shared" si="30"/>
        <v>210</v>
      </c>
      <c r="J1982" s="371">
        <v>3</v>
      </c>
      <c r="K1982" s="371"/>
      <c r="L1982" s="365">
        <v>0.56944444444444442</v>
      </c>
      <c r="M1982" s="365">
        <v>0.6875</v>
      </c>
      <c r="N1982" s="372" t="str">
        <f t="shared" si="31"/>
        <v>170</v>
      </c>
      <c r="O1982" s="371">
        <f t="shared" si="32"/>
        <v>1560</v>
      </c>
      <c r="P1982" s="366">
        <f t="shared" si="33"/>
        <v>0.54166666666666663</v>
      </c>
      <c r="Q1982" s="366">
        <f t="shared" si="34"/>
        <v>0.6875</v>
      </c>
      <c r="R1982" s="367" t="str">
        <f t="shared" si="35"/>
        <v>210</v>
      </c>
    </row>
    <row r="1983" spans="1:18" x14ac:dyDescent="0.4">
      <c r="A1983" s="402">
        <v>46120</v>
      </c>
      <c r="B1983" s="392" t="s">
        <v>72</v>
      </c>
      <c r="C1983" s="364" t="s">
        <v>227</v>
      </c>
      <c r="D1983" s="404">
        <v>12</v>
      </c>
      <c r="E1983" s="369">
        <v>5</v>
      </c>
      <c r="F1983" s="370"/>
      <c r="G1983" s="368">
        <v>0.29166666666666669</v>
      </c>
      <c r="H1983" s="368">
        <v>0.39027777777777778</v>
      </c>
      <c r="I1983" s="372" t="str">
        <f t="shared" si="30"/>
        <v>142</v>
      </c>
      <c r="J1983" s="371">
        <v>3</v>
      </c>
      <c r="K1983" s="371"/>
      <c r="L1983" s="365">
        <v>0.3125</v>
      </c>
      <c r="M1983" s="365">
        <v>0.41319444444444442</v>
      </c>
      <c r="N1983" s="372" t="str">
        <f t="shared" si="31"/>
        <v>145</v>
      </c>
      <c r="O1983" s="371">
        <f t="shared" si="32"/>
        <v>1145</v>
      </c>
      <c r="P1983" s="366">
        <f t="shared" si="33"/>
        <v>0.29166666666666669</v>
      </c>
      <c r="Q1983" s="366">
        <f t="shared" si="34"/>
        <v>0.41319444444444442</v>
      </c>
      <c r="R1983" s="367" t="str">
        <f t="shared" si="35"/>
        <v>175</v>
      </c>
    </row>
    <row r="1984" spans="1:18" x14ac:dyDescent="0.4">
      <c r="A1984" s="402">
        <v>46120</v>
      </c>
      <c r="B1984" s="392" t="s">
        <v>76</v>
      </c>
      <c r="C1984" s="364" t="s">
        <v>224</v>
      </c>
      <c r="D1984" s="404">
        <v>12</v>
      </c>
      <c r="E1984" s="369">
        <v>5</v>
      </c>
      <c r="F1984" s="370"/>
      <c r="G1984" s="368">
        <v>0.39027777777777778</v>
      </c>
      <c r="H1984" s="368">
        <v>0.4777777777777778</v>
      </c>
      <c r="I1984" s="372" t="str">
        <f t="shared" si="30"/>
        <v>126</v>
      </c>
      <c r="J1984" s="371">
        <v>3</v>
      </c>
      <c r="K1984" s="371"/>
      <c r="L1984" s="365">
        <v>0.41319444444444442</v>
      </c>
      <c r="M1984" s="365">
        <v>0.56944444444444442</v>
      </c>
      <c r="N1984" s="372" t="str">
        <f t="shared" si="31"/>
        <v>165</v>
      </c>
      <c r="O1984" s="371">
        <f t="shared" si="32"/>
        <v>1125</v>
      </c>
      <c r="P1984" s="366">
        <f t="shared" si="33"/>
        <v>0.39027777777777778</v>
      </c>
      <c r="Q1984" s="366">
        <f t="shared" si="34"/>
        <v>0.56944444444444442</v>
      </c>
      <c r="R1984" s="367" t="str">
        <f t="shared" si="35"/>
        <v>198</v>
      </c>
    </row>
    <row r="1985" spans="1:18" x14ac:dyDescent="0.4">
      <c r="A1985" s="402">
        <v>46120</v>
      </c>
      <c r="B1985" s="392" t="s">
        <v>65</v>
      </c>
      <c r="C1985" s="364" t="s">
        <v>189</v>
      </c>
      <c r="D1985" s="404">
        <v>72</v>
      </c>
      <c r="E1985" s="369">
        <v>3</v>
      </c>
      <c r="F1985" s="368">
        <v>3.4722222222222224E-2</v>
      </c>
      <c r="G1985" s="368">
        <v>0.29166666666666669</v>
      </c>
      <c r="H1985" s="368">
        <v>0.6875</v>
      </c>
      <c r="I1985" s="372" t="str">
        <f t="shared" si="30"/>
        <v>560</v>
      </c>
      <c r="J1985" s="371">
        <v>4</v>
      </c>
      <c r="K1985" s="371"/>
      <c r="L1985" s="365">
        <v>0.29166666666666669</v>
      </c>
      <c r="M1985" s="365">
        <v>0.72222222222222221</v>
      </c>
      <c r="N1985" s="372" t="str">
        <f t="shared" si="31"/>
        <v>560</v>
      </c>
      <c r="O1985" s="371">
        <f t="shared" si="32"/>
        <v>3920</v>
      </c>
      <c r="P1985" s="366">
        <f t="shared" si="33"/>
        <v>0.29166666666666669</v>
      </c>
      <c r="Q1985" s="366">
        <f t="shared" si="34"/>
        <v>0.72222222222222221</v>
      </c>
      <c r="R1985" s="367" t="str">
        <f t="shared" si="35"/>
        <v>560</v>
      </c>
    </row>
    <row r="1986" spans="1:18" x14ac:dyDescent="0.4">
      <c r="A1986" s="402">
        <v>46121</v>
      </c>
      <c r="B1986" s="392" t="s">
        <v>87</v>
      </c>
      <c r="C1986" s="364" t="s">
        <v>199</v>
      </c>
      <c r="D1986" s="404">
        <v>60</v>
      </c>
      <c r="E1986" s="369">
        <v>5</v>
      </c>
      <c r="F1986" s="370"/>
      <c r="G1986" s="368">
        <v>0.29166666666666669</v>
      </c>
      <c r="H1986" s="368">
        <v>0.66666666666666663</v>
      </c>
      <c r="I1986" s="372" t="str">
        <f t="shared" si="30"/>
        <v>480</v>
      </c>
      <c r="J1986" s="371">
        <v>5</v>
      </c>
      <c r="K1986" s="371"/>
      <c r="L1986" s="365">
        <v>0.3125</v>
      </c>
      <c r="M1986" s="365">
        <v>0.70833333333333337</v>
      </c>
      <c r="N1986" s="372" t="str">
        <f t="shared" si="31"/>
        <v>510</v>
      </c>
      <c r="O1986" s="371">
        <f t="shared" si="32"/>
        <v>4950</v>
      </c>
      <c r="P1986" s="366">
        <f t="shared" si="33"/>
        <v>0.29166666666666669</v>
      </c>
      <c r="Q1986" s="366">
        <f t="shared" si="34"/>
        <v>0.70833333333333337</v>
      </c>
      <c r="R1986" s="367" t="str">
        <f t="shared" si="35"/>
        <v>540</v>
      </c>
    </row>
    <row r="1987" spans="1:18" x14ac:dyDescent="0.4">
      <c r="A1987" s="402">
        <v>46121</v>
      </c>
      <c r="B1987" s="392" t="s">
        <v>102</v>
      </c>
      <c r="C1987" s="364" t="s">
        <v>308</v>
      </c>
      <c r="D1987" s="404">
        <v>9</v>
      </c>
      <c r="E1987" s="369">
        <v>5</v>
      </c>
      <c r="F1987" s="370"/>
      <c r="G1987" s="368">
        <v>0.60555555555555551</v>
      </c>
      <c r="H1987" s="368">
        <v>0.70833333333333337</v>
      </c>
      <c r="I1987" s="372" t="str">
        <f t="shared" si="30"/>
        <v>148</v>
      </c>
      <c r="J1987" s="371">
        <v>4</v>
      </c>
      <c r="K1987" s="371"/>
      <c r="L1987" s="365">
        <v>0.64236111111111105</v>
      </c>
      <c r="M1987" s="365">
        <v>0.72916666666666663</v>
      </c>
      <c r="N1987" s="372" t="str">
        <f t="shared" si="31"/>
        <v>125</v>
      </c>
      <c r="O1987" s="371">
        <f t="shared" si="32"/>
        <v>1240</v>
      </c>
      <c r="P1987" s="366">
        <f t="shared" si="33"/>
        <v>0.60555555555555551</v>
      </c>
      <c r="Q1987" s="366">
        <f t="shared" si="34"/>
        <v>0.72916666666666663</v>
      </c>
      <c r="R1987" s="367" t="str">
        <f t="shared" si="35"/>
        <v>178</v>
      </c>
    </row>
    <row r="1988" spans="1:18" x14ac:dyDescent="0.4">
      <c r="A1988" s="402">
        <v>46121</v>
      </c>
      <c r="B1988" s="392" t="s">
        <v>51</v>
      </c>
      <c r="C1988" s="364" t="s">
        <v>253</v>
      </c>
      <c r="D1988" s="404">
        <v>16</v>
      </c>
      <c r="E1988" s="369">
        <v>5</v>
      </c>
      <c r="F1988" s="370"/>
      <c r="G1988" s="368">
        <v>0.29166666666666669</v>
      </c>
      <c r="H1988" s="368">
        <v>0.42083333333333334</v>
      </c>
      <c r="I1988" s="372" t="str">
        <f t="shared" si="30"/>
        <v>186</v>
      </c>
      <c r="J1988" s="371">
        <v>3</v>
      </c>
      <c r="K1988" s="371"/>
      <c r="L1988" s="365">
        <v>0.3125</v>
      </c>
      <c r="M1988" s="365">
        <v>0.44791666666666669</v>
      </c>
      <c r="N1988" s="372" t="str">
        <f t="shared" si="31"/>
        <v>195</v>
      </c>
      <c r="O1988" s="371">
        <f t="shared" si="32"/>
        <v>1515</v>
      </c>
      <c r="P1988" s="366">
        <f t="shared" si="33"/>
        <v>0.29166666666666669</v>
      </c>
      <c r="Q1988" s="366">
        <f t="shared" si="34"/>
        <v>0.44791666666666669</v>
      </c>
      <c r="R1988" s="367" t="str">
        <f t="shared" si="35"/>
        <v>225</v>
      </c>
    </row>
    <row r="1989" spans="1:18" x14ac:dyDescent="0.4">
      <c r="A1989" s="402">
        <v>46121</v>
      </c>
      <c r="B1989" s="392" t="s">
        <v>63</v>
      </c>
      <c r="C1989" s="364" t="s">
        <v>267</v>
      </c>
      <c r="D1989" s="404">
        <v>16</v>
      </c>
      <c r="E1989" s="369">
        <v>5</v>
      </c>
      <c r="F1989" s="370"/>
      <c r="G1989" s="368">
        <v>0.42083333333333334</v>
      </c>
      <c r="H1989" s="368">
        <v>0.60555555555555551</v>
      </c>
      <c r="I1989" s="372" t="str">
        <f t="shared" si="30"/>
        <v>206</v>
      </c>
      <c r="J1989" s="371">
        <v>3</v>
      </c>
      <c r="K1989" s="371"/>
      <c r="L1989" s="365">
        <v>0.44791666666666669</v>
      </c>
      <c r="M1989" s="365">
        <v>0.64236111111111105</v>
      </c>
      <c r="N1989" s="372" t="str">
        <f t="shared" si="31"/>
        <v>220</v>
      </c>
      <c r="O1989" s="371">
        <f t="shared" si="32"/>
        <v>1690</v>
      </c>
      <c r="P1989" s="366">
        <f t="shared" si="33"/>
        <v>0.42083333333333334</v>
      </c>
      <c r="Q1989" s="366">
        <f t="shared" si="34"/>
        <v>0.64236111111111105</v>
      </c>
      <c r="R1989" s="367" t="str">
        <f t="shared" si="35"/>
        <v>259</v>
      </c>
    </row>
    <row r="1990" spans="1:18" x14ac:dyDescent="0.4">
      <c r="A1990" s="402">
        <v>46121</v>
      </c>
      <c r="B1990" s="392" t="s">
        <v>73</v>
      </c>
      <c r="C1990" s="364" t="s">
        <v>231</v>
      </c>
      <c r="D1990" s="404">
        <v>21</v>
      </c>
      <c r="E1990" s="369">
        <v>7</v>
      </c>
      <c r="F1990" s="368">
        <v>2.0833333333333332E-2</v>
      </c>
      <c r="G1990" s="368">
        <v>0.29166666666666669</v>
      </c>
      <c r="H1990" s="368">
        <v>0.65972222222222221</v>
      </c>
      <c r="I1990" s="372" t="str">
        <f t="shared" si="30"/>
        <v>500</v>
      </c>
      <c r="J1990" s="371">
        <v>6</v>
      </c>
      <c r="K1990" s="371"/>
      <c r="L1990" s="365">
        <v>0.3125</v>
      </c>
      <c r="M1990" s="365">
        <v>0.6875</v>
      </c>
      <c r="N1990" s="372" t="str">
        <f t="shared" si="31"/>
        <v>480</v>
      </c>
      <c r="O1990" s="371">
        <f t="shared" si="32"/>
        <v>6380</v>
      </c>
      <c r="P1990" s="366">
        <f t="shared" si="33"/>
        <v>0.29166666666666669</v>
      </c>
      <c r="Q1990" s="366">
        <f t="shared" si="34"/>
        <v>0.6875</v>
      </c>
      <c r="R1990" s="367" t="str">
        <f t="shared" si="35"/>
        <v>510</v>
      </c>
    </row>
    <row r="1991" spans="1:18" x14ac:dyDescent="0.4">
      <c r="A1991" s="402">
        <v>46122</v>
      </c>
      <c r="B1991" s="392" t="s">
        <v>54</v>
      </c>
      <c r="C1991" s="364" t="s">
        <v>251</v>
      </c>
      <c r="D1991" s="404">
        <v>20</v>
      </c>
      <c r="E1991" s="369">
        <v>4</v>
      </c>
      <c r="F1991" s="370"/>
      <c r="G1991" s="368">
        <v>0.29166666666666669</v>
      </c>
      <c r="H1991" s="368">
        <v>0.5</v>
      </c>
      <c r="I1991" s="372" t="str">
        <f t="shared" si="30"/>
        <v>300</v>
      </c>
      <c r="J1991" s="371">
        <v>3</v>
      </c>
      <c r="K1991" s="371"/>
      <c r="L1991" s="365">
        <v>0.3125</v>
      </c>
      <c r="M1991" s="365">
        <v>0.5</v>
      </c>
      <c r="N1991" s="372" t="str">
        <f t="shared" si="31"/>
        <v>270</v>
      </c>
      <c r="O1991" s="371">
        <f t="shared" si="32"/>
        <v>2010</v>
      </c>
      <c r="P1991" s="366">
        <f t="shared" si="33"/>
        <v>0.29166666666666669</v>
      </c>
      <c r="Q1991" s="366">
        <f t="shared" si="34"/>
        <v>0.5</v>
      </c>
      <c r="R1991" s="367" t="str">
        <f t="shared" si="35"/>
        <v>300</v>
      </c>
    </row>
    <row r="1992" spans="1:18" x14ac:dyDescent="0.4">
      <c r="A1992" s="402">
        <v>46122</v>
      </c>
      <c r="B1992" s="392" t="s">
        <v>109</v>
      </c>
      <c r="C1992" s="364" t="s">
        <v>263</v>
      </c>
      <c r="D1992" s="404">
        <v>24</v>
      </c>
      <c r="E1992" s="369">
        <v>4</v>
      </c>
      <c r="F1992" s="370"/>
      <c r="G1992" s="368">
        <v>0.54166666666666663</v>
      </c>
      <c r="H1992" s="368">
        <v>0.72916666666666663</v>
      </c>
      <c r="I1992" s="372" t="str">
        <f t="shared" si="30"/>
        <v>270</v>
      </c>
      <c r="J1992" s="371">
        <v>3</v>
      </c>
      <c r="K1992" s="371"/>
      <c r="L1992" s="365">
        <v>0.54166666666666663</v>
      </c>
      <c r="M1992" s="365">
        <v>0.72916666666666663</v>
      </c>
      <c r="N1992" s="372" t="str">
        <f t="shared" si="31"/>
        <v>270</v>
      </c>
      <c r="O1992" s="371">
        <f t="shared" si="32"/>
        <v>1890</v>
      </c>
      <c r="P1992" s="366">
        <f t="shared" si="33"/>
        <v>0.54166666666666663</v>
      </c>
      <c r="Q1992" s="366">
        <f t="shared" si="34"/>
        <v>0.72916666666666663</v>
      </c>
      <c r="R1992" s="367" t="str">
        <f t="shared" si="35"/>
        <v>270</v>
      </c>
    </row>
    <row r="1993" spans="1:18" x14ac:dyDescent="0.4">
      <c r="A1993" s="402">
        <v>46122</v>
      </c>
      <c r="B1993" s="392" t="s">
        <v>116</v>
      </c>
      <c r="C1993" s="364" t="s">
        <v>212</v>
      </c>
      <c r="D1993" s="404">
        <v>16</v>
      </c>
      <c r="E1993" s="369">
        <v>5</v>
      </c>
      <c r="F1993" s="370"/>
      <c r="G1993" s="368">
        <v>0.57222222222222219</v>
      </c>
      <c r="H1993" s="368">
        <v>0.6875</v>
      </c>
      <c r="I1993" s="372" t="str">
        <f t="shared" si="30"/>
        <v>166</v>
      </c>
      <c r="J1993" s="371">
        <v>4</v>
      </c>
      <c r="K1993" s="371"/>
      <c r="L1993" s="365">
        <v>0.59722222222222221</v>
      </c>
      <c r="M1993" s="365">
        <v>0.72916666666666663</v>
      </c>
      <c r="N1993" s="372" t="str">
        <f t="shared" si="31"/>
        <v>190</v>
      </c>
      <c r="O1993" s="371">
        <f t="shared" si="32"/>
        <v>1590</v>
      </c>
      <c r="P1993" s="366">
        <f t="shared" si="33"/>
        <v>0.57222222222222219</v>
      </c>
      <c r="Q1993" s="366">
        <f t="shared" si="34"/>
        <v>0.72916666666666663</v>
      </c>
      <c r="R1993" s="367" t="str">
        <f t="shared" si="35"/>
        <v>226</v>
      </c>
    </row>
    <row r="1994" spans="1:18" x14ac:dyDescent="0.4">
      <c r="A1994" s="402">
        <v>46122</v>
      </c>
      <c r="B1994" s="392" t="s">
        <v>547</v>
      </c>
      <c r="C1994" s="364" t="s">
        <v>205</v>
      </c>
      <c r="D1994" s="404">
        <v>12</v>
      </c>
      <c r="E1994" s="369">
        <v>5</v>
      </c>
      <c r="F1994" s="370"/>
      <c r="G1994" s="368">
        <v>0.29166666666666669</v>
      </c>
      <c r="H1994" s="368">
        <v>0.4284722222222222</v>
      </c>
      <c r="I1994" s="372" t="str">
        <f t="shared" si="30"/>
        <v>197</v>
      </c>
      <c r="J1994" s="371">
        <v>4</v>
      </c>
      <c r="K1994" s="371"/>
      <c r="L1994" s="365">
        <v>0.3125</v>
      </c>
      <c r="M1994" s="365">
        <v>0.46527777777777773</v>
      </c>
      <c r="N1994" s="372" t="str">
        <f t="shared" si="31"/>
        <v>220</v>
      </c>
      <c r="O1994" s="371">
        <f t="shared" si="32"/>
        <v>1865</v>
      </c>
      <c r="P1994" s="366">
        <f t="shared" si="33"/>
        <v>0.29166666666666669</v>
      </c>
      <c r="Q1994" s="366">
        <f t="shared" si="34"/>
        <v>0.46527777777777773</v>
      </c>
      <c r="R1994" s="367" t="str">
        <f t="shared" si="35"/>
        <v>250</v>
      </c>
    </row>
    <row r="1995" spans="1:18" x14ac:dyDescent="0.4">
      <c r="A1995" s="402">
        <v>46122</v>
      </c>
      <c r="B1995" s="392" t="s">
        <v>57</v>
      </c>
      <c r="C1995" s="364" t="s">
        <v>334</v>
      </c>
      <c r="D1995" s="404">
        <v>12</v>
      </c>
      <c r="E1995" s="369">
        <v>5</v>
      </c>
      <c r="F1995" s="370"/>
      <c r="G1995" s="368">
        <v>0.4284722222222222</v>
      </c>
      <c r="H1995" s="368">
        <v>0.57222222222222219</v>
      </c>
      <c r="I1995" s="372" t="str">
        <f t="shared" si="30"/>
        <v>147</v>
      </c>
      <c r="J1995" s="371">
        <v>4</v>
      </c>
      <c r="K1995" s="371"/>
      <c r="L1995" s="365">
        <v>0.46527777777777773</v>
      </c>
      <c r="M1995" s="365">
        <v>0.59722222222222221</v>
      </c>
      <c r="N1995" s="372" t="str">
        <f t="shared" si="31"/>
        <v>130</v>
      </c>
      <c r="O1995" s="371">
        <f t="shared" si="32"/>
        <v>1255</v>
      </c>
      <c r="P1995" s="366">
        <f t="shared" si="33"/>
        <v>0.4284722222222222</v>
      </c>
      <c r="Q1995" s="366">
        <f t="shared" si="34"/>
        <v>0.59722222222222221</v>
      </c>
      <c r="R1995" s="367" t="str">
        <f t="shared" si="35"/>
        <v>183</v>
      </c>
    </row>
    <row r="1996" spans="1:18" x14ac:dyDescent="0.4">
      <c r="A1996" s="402">
        <v>46122</v>
      </c>
      <c r="B1996" s="392" t="s">
        <v>642</v>
      </c>
      <c r="C1996" s="364" t="s">
        <v>643</v>
      </c>
      <c r="D1996" s="404">
        <v>20</v>
      </c>
      <c r="E1996" s="369">
        <v>3</v>
      </c>
      <c r="F1996" s="370"/>
      <c r="G1996" s="368">
        <v>0.45833333333333331</v>
      </c>
      <c r="H1996" s="368">
        <v>0.625</v>
      </c>
      <c r="I1996" s="372" t="str">
        <f t="shared" si="30"/>
        <v>180</v>
      </c>
      <c r="J1996" s="371">
        <v>4</v>
      </c>
      <c r="K1996" s="371"/>
      <c r="L1996" s="365">
        <v>0.54166666666666663</v>
      </c>
      <c r="M1996" s="365">
        <v>0.70833333333333337</v>
      </c>
      <c r="N1996" s="372" t="str">
        <f t="shared" si="31"/>
        <v>240</v>
      </c>
      <c r="O1996" s="371">
        <f t="shared" si="32"/>
        <v>1500</v>
      </c>
      <c r="P1996" s="366">
        <f t="shared" si="33"/>
        <v>0.45833333333333331</v>
      </c>
      <c r="Q1996" s="366">
        <f t="shared" si="34"/>
        <v>0.70833333333333337</v>
      </c>
      <c r="R1996" s="367" t="str">
        <f t="shared" si="35"/>
        <v>300</v>
      </c>
    </row>
    <row r="1997" spans="1:18" x14ac:dyDescent="0.4">
      <c r="A1997" s="402">
        <v>46122</v>
      </c>
      <c r="B1997" s="392" t="s">
        <v>65</v>
      </c>
      <c r="C1997" s="364" t="s">
        <v>189</v>
      </c>
      <c r="D1997" s="404">
        <v>36</v>
      </c>
      <c r="E1997" s="369">
        <v>3</v>
      </c>
      <c r="F1997" s="368">
        <v>2.0833333333333332E-2</v>
      </c>
      <c r="G1997" s="368">
        <v>0.29166666666666669</v>
      </c>
      <c r="H1997" s="368">
        <v>0.45833333333333331</v>
      </c>
      <c r="I1997" s="372" t="str">
        <f t="shared" si="30"/>
        <v>270</v>
      </c>
      <c r="J1997" s="371">
        <v>4</v>
      </c>
      <c r="K1997" s="371"/>
      <c r="L1997" s="365">
        <v>0.29166666666666669</v>
      </c>
      <c r="M1997" s="365">
        <v>0.50694444444444442</v>
      </c>
      <c r="N1997" s="372" t="str">
        <f t="shared" si="31"/>
        <v>310</v>
      </c>
      <c r="O1997" s="371">
        <f t="shared" si="32"/>
        <v>2050</v>
      </c>
      <c r="P1997" s="366">
        <f t="shared" si="33"/>
        <v>0.29166666666666669</v>
      </c>
      <c r="Q1997" s="366">
        <f t="shared" si="34"/>
        <v>0.50694444444444442</v>
      </c>
      <c r="R1997" s="367" t="str">
        <f t="shared" si="35"/>
        <v>310</v>
      </c>
    </row>
    <row r="1998" spans="1:18" x14ac:dyDescent="0.4">
      <c r="A1998" s="403">
        <v>46122</v>
      </c>
      <c r="B1998" s="383">
        <v>111010</v>
      </c>
      <c r="C1998" s="390" t="s">
        <v>480</v>
      </c>
      <c r="D1998" s="405">
        <v>1</v>
      </c>
      <c r="E1998" s="384"/>
      <c r="F1998" s="385"/>
      <c r="G1998" s="396"/>
      <c r="H1998" s="396"/>
      <c r="I1998" s="386" t="str">
        <f t="shared" si="30"/>
        <v>0</v>
      </c>
      <c r="J1998" s="387"/>
      <c r="K1998" s="387"/>
      <c r="L1998" s="388"/>
      <c r="M1998" s="388"/>
      <c r="N1998" s="386" t="str">
        <f t="shared" si="31"/>
        <v>0</v>
      </c>
      <c r="O1998" s="387">
        <f t="shared" si="32"/>
        <v>0</v>
      </c>
      <c r="P1998" s="391">
        <f t="shared" si="33"/>
        <v>0</v>
      </c>
      <c r="Q1998" s="391">
        <f t="shared" si="34"/>
        <v>0</v>
      </c>
      <c r="R1998" s="389" t="str">
        <f t="shared" si="35"/>
        <v>0</v>
      </c>
    </row>
    <row r="1999" spans="1:18" x14ac:dyDescent="0.4">
      <c r="A1999" s="402">
        <v>46125</v>
      </c>
      <c r="B1999" s="392" t="s">
        <v>71</v>
      </c>
      <c r="C1999" s="364" t="s">
        <v>176</v>
      </c>
      <c r="D1999" s="404">
        <v>60</v>
      </c>
      <c r="E1999" s="369">
        <v>5</v>
      </c>
      <c r="F1999" s="370"/>
      <c r="G1999" s="368">
        <v>0.29166666666666669</v>
      </c>
      <c r="H1999" s="368">
        <v>0.66666666666666663</v>
      </c>
      <c r="I1999" s="372" t="str">
        <f t="shared" si="30"/>
        <v>480</v>
      </c>
      <c r="J1999" s="371">
        <v>5</v>
      </c>
      <c r="K1999" s="371"/>
      <c r="L1999" s="365">
        <v>0.3125</v>
      </c>
      <c r="M1999" s="365">
        <v>0.70833333333333337</v>
      </c>
      <c r="N1999" s="372" t="str">
        <f t="shared" si="31"/>
        <v>510</v>
      </c>
      <c r="O1999" s="371">
        <f t="shared" si="32"/>
        <v>4950</v>
      </c>
      <c r="P1999" s="366">
        <f t="shared" si="33"/>
        <v>0.29166666666666669</v>
      </c>
      <c r="Q1999" s="366">
        <f t="shared" si="34"/>
        <v>0.70833333333333337</v>
      </c>
      <c r="R1999" s="367" t="str">
        <f t="shared" si="35"/>
        <v>540</v>
      </c>
    </row>
    <row r="2000" spans="1:18" x14ac:dyDescent="0.4">
      <c r="A2000" s="402">
        <v>46125</v>
      </c>
      <c r="B2000" s="392" t="s">
        <v>1046</v>
      </c>
      <c r="C2000" s="364" t="s">
        <v>1057</v>
      </c>
      <c r="D2000" s="404">
        <v>18</v>
      </c>
      <c r="E2000" s="369">
        <v>5</v>
      </c>
      <c r="F2000" s="370"/>
      <c r="G2000" s="368">
        <v>0.54166666666666663</v>
      </c>
      <c r="H2000" s="368">
        <v>0.66666666666666663</v>
      </c>
      <c r="I2000" s="372" t="str">
        <f t="shared" si="30"/>
        <v>180</v>
      </c>
      <c r="J2000" s="371">
        <v>3</v>
      </c>
      <c r="K2000" s="371"/>
      <c r="L2000" s="365">
        <v>0.56597222222222221</v>
      </c>
      <c r="M2000" s="365">
        <v>0.6875</v>
      </c>
      <c r="N2000" s="372" t="str">
        <f t="shared" si="31"/>
        <v>175</v>
      </c>
      <c r="O2000" s="371">
        <f t="shared" si="32"/>
        <v>1425</v>
      </c>
      <c r="P2000" s="366">
        <f t="shared" si="33"/>
        <v>0.54166666666666663</v>
      </c>
      <c r="Q2000" s="366">
        <f t="shared" si="34"/>
        <v>0.6875</v>
      </c>
      <c r="R2000" s="367" t="str">
        <f t="shared" si="35"/>
        <v>210</v>
      </c>
    </row>
    <row r="2001" spans="1:18" x14ac:dyDescent="0.4">
      <c r="A2001" s="402">
        <v>46125</v>
      </c>
      <c r="B2001" s="392" t="s">
        <v>51</v>
      </c>
      <c r="C2001" s="364" t="s">
        <v>253</v>
      </c>
      <c r="D2001" s="404">
        <v>24</v>
      </c>
      <c r="E2001" s="369">
        <v>5</v>
      </c>
      <c r="F2001" s="370"/>
      <c r="G2001" s="368">
        <v>0.29166666666666669</v>
      </c>
      <c r="H2001" s="368">
        <v>0.47083333333333338</v>
      </c>
      <c r="I2001" s="372" t="str">
        <f t="shared" si="30"/>
        <v>258</v>
      </c>
      <c r="J2001" s="371">
        <v>3</v>
      </c>
      <c r="K2001" s="371"/>
      <c r="L2001" s="365">
        <v>0.3125</v>
      </c>
      <c r="M2001" s="365">
        <v>0.56597222222222221</v>
      </c>
      <c r="N2001" s="372" t="str">
        <f t="shared" si="31"/>
        <v>305</v>
      </c>
      <c r="O2001" s="371">
        <f t="shared" si="32"/>
        <v>2205</v>
      </c>
      <c r="P2001" s="366">
        <f t="shared" si="33"/>
        <v>0.29166666666666669</v>
      </c>
      <c r="Q2001" s="366">
        <f t="shared" si="34"/>
        <v>0.56597222222222221</v>
      </c>
      <c r="R2001" s="367" t="str">
        <f t="shared" si="35"/>
        <v>335</v>
      </c>
    </row>
    <row r="2002" spans="1:18" x14ac:dyDescent="0.4">
      <c r="A2002" s="402">
        <v>46125</v>
      </c>
      <c r="B2002" s="392" t="s">
        <v>65</v>
      </c>
      <c r="C2002" s="364" t="s">
        <v>189</v>
      </c>
      <c r="D2002" s="404">
        <v>64</v>
      </c>
      <c r="E2002" s="369">
        <v>3</v>
      </c>
      <c r="F2002" s="368">
        <v>2.0833333333333332E-2</v>
      </c>
      <c r="G2002" s="368">
        <v>0.29166666666666669</v>
      </c>
      <c r="H2002" s="368">
        <v>0.63194444444444442</v>
      </c>
      <c r="I2002" s="372" t="str">
        <f t="shared" si="30"/>
        <v>460</v>
      </c>
      <c r="J2002" s="371">
        <v>4</v>
      </c>
      <c r="K2002" s="371"/>
      <c r="L2002" s="365">
        <v>0.29166666666666669</v>
      </c>
      <c r="M2002" s="365">
        <v>0.68055555555555547</v>
      </c>
      <c r="N2002" s="372" t="str">
        <f t="shared" si="31"/>
        <v>500</v>
      </c>
      <c r="O2002" s="371">
        <f t="shared" si="32"/>
        <v>3380</v>
      </c>
      <c r="P2002" s="366">
        <f t="shared" si="33"/>
        <v>0.29166666666666669</v>
      </c>
      <c r="Q2002" s="366">
        <f t="shared" si="34"/>
        <v>0.68055555555555547</v>
      </c>
      <c r="R2002" s="367" t="str">
        <f t="shared" si="35"/>
        <v>500</v>
      </c>
    </row>
    <row r="2003" spans="1:18" x14ac:dyDescent="0.4">
      <c r="A2003" s="402">
        <v>46126</v>
      </c>
      <c r="B2003" s="392" t="s">
        <v>61</v>
      </c>
      <c r="C2003" s="364" t="s">
        <v>156</v>
      </c>
      <c r="D2003" s="404">
        <v>32</v>
      </c>
      <c r="E2003" s="369">
        <v>4</v>
      </c>
      <c r="F2003" s="370"/>
      <c r="G2003" s="368">
        <v>0.29166666666666669</v>
      </c>
      <c r="H2003" s="368">
        <v>0.57986111111111105</v>
      </c>
      <c r="I2003" s="372" t="str">
        <f t="shared" si="30"/>
        <v>355</v>
      </c>
      <c r="J2003" s="371">
        <v>9</v>
      </c>
      <c r="K2003" s="371"/>
      <c r="L2003" s="365">
        <v>0.3125</v>
      </c>
      <c r="M2003" s="365">
        <v>0.625</v>
      </c>
      <c r="N2003" s="372" t="str">
        <f t="shared" si="31"/>
        <v>390</v>
      </c>
      <c r="O2003" s="371">
        <f t="shared" si="32"/>
        <v>4930</v>
      </c>
      <c r="P2003" s="366">
        <f t="shared" si="33"/>
        <v>0.29166666666666669</v>
      </c>
      <c r="Q2003" s="366">
        <f t="shared" si="34"/>
        <v>0.625</v>
      </c>
      <c r="R2003" s="367" t="str">
        <f t="shared" si="35"/>
        <v>420</v>
      </c>
    </row>
    <row r="2004" spans="1:18" x14ac:dyDescent="0.4">
      <c r="A2004" s="402">
        <v>46126</v>
      </c>
      <c r="B2004" s="392" t="s">
        <v>158</v>
      </c>
      <c r="C2004" s="364" t="s">
        <v>159</v>
      </c>
      <c r="D2004" s="404">
        <v>4</v>
      </c>
      <c r="E2004" s="369">
        <v>4</v>
      </c>
      <c r="F2004" s="370"/>
      <c r="G2004" s="368">
        <v>0.54166666666666663</v>
      </c>
      <c r="H2004" s="368">
        <v>0.6875</v>
      </c>
      <c r="I2004" s="372" t="str">
        <f t="shared" si="30"/>
        <v>210</v>
      </c>
      <c r="J2004" s="371">
        <v>9</v>
      </c>
      <c r="K2004" s="371"/>
      <c r="L2004" s="365">
        <v>0.625</v>
      </c>
      <c r="M2004" s="365">
        <v>0.70833333333333337</v>
      </c>
      <c r="N2004" s="372" t="str">
        <f t="shared" si="31"/>
        <v>120</v>
      </c>
      <c r="O2004" s="371">
        <f t="shared" si="32"/>
        <v>1920</v>
      </c>
      <c r="P2004" s="366">
        <f t="shared" si="33"/>
        <v>0.54166666666666663</v>
      </c>
      <c r="Q2004" s="366">
        <f t="shared" si="34"/>
        <v>0.70833333333333337</v>
      </c>
      <c r="R2004" s="367" t="str">
        <f t="shared" si="35"/>
        <v>240</v>
      </c>
    </row>
    <row r="2005" spans="1:18" x14ac:dyDescent="0.4">
      <c r="A2005" s="402">
        <v>46126</v>
      </c>
      <c r="B2005" s="392" t="s">
        <v>1287</v>
      </c>
      <c r="C2005" s="364" t="s">
        <v>1291</v>
      </c>
      <c r="D2005" s="404">
        <v>1</v>
      </c>
      <c r="E2005" s="369">
        <v>5</v>
      </c>
      <c r="F2005" s="370"/>
      <c r="G2005" s="368">
        <v>0.36041666666666666</v>
      </c>
      <c r="H2005" s="368">
        <v>0.40208333333333335</v>
      </c>
      <c r="I2005" s="372" t="str">
        <f t="shared" si="30"/>
        <v>60</v>
      </c>
      <c r="J2005" s="371">
        <v>3</v>
      </c>
      <c r="K2005" s="371"/>
      <c r="L2005" s="365">
        <v>0.39930555555555558</v>
      </c>
      <c r="M2005" s="365">
        <v>0.4236111111111111</v>
      </c>
      <c r="N2005" s="372" t="str">
        <f t="shared" si="31"/>
        <v>35</v>
      </c>
      <c r="O2005" s="371">
        <f t="shared" si="32"/>
        <v>405</v>
      </c>
      <c r="P2005" s="366">
        <f t="shared" si="33"/>
        <v>0.36041666666666666</v>
      </c>
      <c r="Q2005" s="366">
        <f t="shared" si="34"/>
        <v>0.4236111111111111</v>
      </c>
      <c r="R2005" s="367" t="str">
        <f t="shared" si="35"/>
        <v>91</v>
      </c>
    </row>
    <row r="2006" spans="1:18" x14ac:dyDescent="0.4">
      <c r="A2006" s="402">
        <v>46126</v>
      </c>
      <c r="B2006" s="392" t="s">
        <v>81</v>
      </c>
      <c r="C2006" s="364" t="s">
        <v>235</v>
      </c>
      <c r="D2006" s="404">
        <v>12</v>
      </c>
      <c r="E2006" s="369">
        <v>5</v>
      </c>
      <c r="F2006" s="370"/>
      <c r="G2006" s="368">
        <v>0.40208333333333335</v>
      </c>
      <c r="H2006" s="368">
        <v>0.5</v>
      </c>
      <c r="I2006" s="372" t="str">
        <f t="shared" si="30"/>
        <v>141</v>
      </c>
      <c r="J2006" s="371">
        <v>3</v>
      </c>
      <c r="K2006" s="371"/>
      <c r="L2006" s="365">
        <v>0.4236111111111111</v>
      </c>
      <c r="M2006" s="365">
        <v>0.5625</v>
      </c>
      <c r="N2006" s="372" t="str">
        <f t="shared" si="31"/>
        <v>140</v>
      </c>
      <c r="O2006" s="371">
        <f t="shared" si="32"/>
        <v>1125</v>
      </c>
      <c r="P2006" s="366">
        <f t="shared" si="33"/>
        <v>0.40208333333333335</v>
      </c>
      <c r="Q2006" s="366">
        <f t="shared" si="34"/>
        <v>0.5625</v>
      </c>
      <c r="R2006" s="367" t="str">
        <f t="shared" si="35"/>
        <v>171</v>
      </c>
    </row>
    <row r="2007" spans="1:18" x14ac:dyDescent="0.4">
      <c r="A2007" s="402">
        <v>46126</v>
      </c>
      <c r="B2007" s="392" t="s">
        <v>1060</v>
      </c>
      <c r="C2007" s="364" t="s">
        <v>886</v>
      </c>
      <c r="D2007" s="404">
        <v>6</v>
      </c>
      <c r="E2007" s="369">
        <v>5</v>
      </c>
      <c r="F2007" s="370"/>
      <c r="G2007" s="368">
        <v>0.29166666666666669</v>
      </c>
      <c r="H2007" s="368">
        <v>0.36041666666666666</v>
      </c>
      <c r="I2007" s="372" t="str">
        <f t="shared" si="30"/>
        <v>99</v>
      </c>
      <c r="J2007" s="371">
        <v>3</v>
      </c>
      <c r="K2007" s="371"/>
      <c r="L2007" s="365">
        <v>0.3125</v>
      </c>
      <c r="M2007" s="365">
        <v>0.39930555555555558</v>
      </c>
      <c r="N2007" s="372" t="str">
        <f t="shared" si="31"/>
        <v>125</v>
      </c>
      <c r="O2007" s="371">
        <f t="shared" si="32"/>
        <v>870</v>
      </c>
      <c r="P2007" s="366">
        <f t="shared" si="33"/>
        <v>0.29166666666666669</v>
      </c>
      <c r="Q2007" s="366">
        <f t="shared" si="34"/>
        <v>0.39930555555555558</v>
      </c>
      <c r="R2007" s="367" t="str">
        <f t="shared" si="35"/>
        <v>155</v>
      </c>
    </row>
    <row r="2008" spans="1:18" x14ac:dyDescent="0.4">
      <c r="A2008" s="402">
        <v>46126</v>
      </c>
      <c r="B2008" s="392" t="s">
        <v>63</v>
      </c>
      <c r="C2008" s="364" t="s">
        <v>267</v>
      </c>
      <c r="D2008" s="404">
        <v>20</v>
      </c>
      <c r="E2008" s="369">
        <v>5</v>
      </c>
      <c r="F2008" s="370"/>
      <c r="G2008" s="368">
        <v>0.54166666666666663</v>
      </c>
      <c r="H2008" s="368">
        <v>0.6875</v>
      </c>
      <c r="I2008" s="372" t="str">
        <f t="shared" si="30"/>
        <v>210</v>
      </c>
      <c r="J2008" s="371">
        <v>3</v>
      </c>
      <c r="K2008" s="371"/>
      <c r="L2008" s="365">
        <v>0.5625</v>
      </c>
      <c r="M2008" s="365">
        <v>0.6875</v>
      </c>
      <c r="N2008" s="372" t="str">
        <f t="shared" si="31"/>
        <v>180</v>
      </c>
      <c r="O2008" s="371">
        <f t="shared" si="32"/>
        <v>1590</v>
      </c>
      <c r="P2008" s="366">
        <f t="shared" si="33"/>
        <v>0.54166666666666663</v>
      </c>
      <c r="Q2008" s="366">
        <f t="shared" si="34"/>
        <v>0.6875</v>
      </c>
      <c r="R2008" s="367" t="str">
        <f t="shared" si="35"/>
        <v>210</v>
      </c>
    </row>
    <row r="2009" spans="1:18" x14ac:dyDescent="0.4">
      <c r="A2009" s="402">
        <v>46126</v>
      </c>
      <c r="B2009" s="392" t="s">
        <v>65</v>
      </c>
      <c r="C2009" s="364" t="s">
        <v>189</v>
      </c>
      <c r="D2009" s="404">
        <v>72</v>
      </c>
      <c r="E2009" s="369">
        <v>3</v>
      </c>
      <c r="F2009" s="368">
        <v>2.0833333333333332E-2</v>
      </c>
      <c r="G2009" s="368">
        <v>0.29166666666666669</v>
      </c>
      <c r="H2009" s="368">
        <v>0.67013888888888884</v>
      </c>
      <c r="I2009" s="372" t="str">
        <f t="shared" si="30"/>
        <v>515</v>
      </c>
      <c r="J2009" s="371">
        <v>4</v>
      </c>
      <c r="K2009" s="371"/>
      <c r="L2009" s="365">
        <v>0.29166666666666669</v>
      </c>
      <c r="M2009" s="365">
        <v>0.70833333333333337</v>
      </c>
      <c r="N2009" s="372" t="str">
        <f t="shared" si="31"/>
        <v>540</v>
      </c>
      <c r="O2009" s="371">
        <f t="shared" si="32"/>
        <v>3705</v>
      </c>
      <c r="P2009" s="366">
        <f t="shared" si="33"/>
        <v>0.29166666666666669</v>
      </c>
      <c r="Q2009" s="366">
        <f t="shared" si="34"/>
        <v>0.70833333333333337</v>
      </c>
      <c r="R2009" s="367" t="str">
        <f t="shared" si="35"/>
        <v>540</v>
      </c>
    </row>
    <row r="2010" spans="1:18" x14ac:dyDescent="0.4">
      <c r="A2010" s="402">
        <v>46127</v>
      </c>
      <c r="B2010" s="392" t="s">
        <v>54</v>
      </c>
      <c r="C2010" s="364" t="s">
        <v>251</v>
      </c>
      <c r="D2010" s="404">
        <v>40</v>
      </c>
      <c r="E2010" s="369">
        <v>4</v>
      </c>
      <c r="F2010" s="370"/>
      <c r="G2010" s="368">
        <v>0.29166666666666669</v>
      </c>
      <c r="H2010" s="368">
        <v>0.66666666666666663</v>
      </c>
      <c r="I2010" s="372" t="str">
        <f t="shared" si="30"/>
        <v>480</v>
      </c>
      <c r="J2010" s="371">
        <v>3</v>
      </c>
      <c r="K2010" s="371"/>
      <c r="L2010" s="365">
        <v>0.3125</v>
      </c>
      <c r="M2010" s="365">
        <v>0.6875</v>
      </c>
      <c r="N2010" s="372" t="str">
        <f t="shared" si="31"/>
        <v>480</v>
      </c>
      <c r="O2010" s="371">
        <f t="shared" si="32"/>
        <v>3360</v>
      </c>
      <c r="P2010" s="366">
        <f t="shared" si="33"/>
        <v>0.29166666666666669</v>
      </c>
      <c r="Q2010" s="366">
        <f t="shared" si="34"/>
        <v>0.6875</v>
      </c>
      <c r="R2010" s="367" t="str">
        <f t="shared" si="35"/>
        <v>510</v>
      </c>
    </row>
    <row r="2011" spans="1:18" x14ac:dyDescent="0.4">
      <c r="A2011" s="402">
        <v>46127</v>
      </c>
      <c r="B2011" s="392" t="s">
        <v>73</v>
      </c>
      <c r="C2011" s="364" t="s">
        <v>231</v>
      </c>
      <c r="D2011" s="404">
        <v>21</v>
      </c>
      <c r="E2011" s="369">
        <v>3</v>
      </c>
      <c r="F2011" s="370"/>
      <c r="G2011" s="368">
        <v>0.29166666666666669</v>
      </c>
      <c r="H2011" s="368">
        <v>0.65972222222222221</v>
      </c>
      <c r="I2011" s="372" t="str">
        <f t="shared" si="30"/>
        <v>470</v>
      </c>
      <c r="J2011" s="371">
        <v>7</v>
      </c>
      <c r="K2011" s="371"/>
      <c r="L2011" s="365">
        <v>0.3125</v>
      </c>
      <c r="M2011" s="365">
        <v>0.60416666666666663</v>
      </c>
      <c r="N2011" s="372" t="str">
        <f t="shared" si="31"/>
        <v>360</v>
      </c>
      <c r="O2011" s="371">
        <f t="shared" si="32"/>
        <v>3930</v>
      </c>
      <c r="P2011" s="366">
        <f t="shared" si="33"/>
        <v>0.29166666666666669</v>
      </c>
      <c r="Q2011" s="366">
        <f t="shared" si="34"/>
        <v>0.65972222222222221</v>
      </c>
      <c r="R2011" s="367" t="str">
        <f t="shared" si="35"/>
        <v>470</v>
      </c>
    </row>
    <row r="2012" spans="1:18" x14ac:dyDescent="0.4">
      <c r="A2012" s="402">
        <v>46127</v>
      </c>
      <c r="B2012" s="392" t="s">
        <v>65</v>
      </c>
      <c r="C2012" s="364" t="s">
        <v>189</v>
      </c>
      <c r="D2012" s="404">
        <v>72</v>
      </c>
      <c r="E2012" s="369">
        <v>3</v>
      </c>
      <c r="F2012" s="368">
        <v>2.0833333333333332E-2</v>
      </c>
      <c r="G2012" s="368">
        <v>0.29166666666666669</v>
      </c>
      <c r="H2012" s="368">
        <v>0.65625</v>
      </c>
      <c r="I2012" s="372" t="str">
        <f t="shared" si="30"/>
        <v>495</v>
      </c>
      <c r="J2012" s="371">
        <v>4</v>
      </c>
      <c r="K2012" s="371"/>
      <c r="L2012" s="365">
        <v>0.29166666666666669</v>
      </c>
      <c r="M2012" s="365">
        <v>0.66875000000000007</v>
      </c>
      <c r="N2012" s="372" t="str">
        <f t="shared" si="31"/>
        <v>483</v>
      </c>
      <c r="O2012" s="371">
        <f t="shared" si="32"/>
        <v>3417</v>
      </c>
      <c r="P2012" s="366">
        <f t="shared" si="33"/>
        <v>0.29166666666666669</v>
      </c>
      <c r="Q2012" s="366">
        <f t="shared" si="34"/>
        <v>0.66875000000000007</v>
      </c>
      <c r="R2012" s="367" t="str">
        <f t="shared" si="35"/>
        <v>483</v>
      </c>
    </row>
    <row r="2013" spans="1:18" x14ac:dyDescent="0.4">
      <c r="A2013" s="402">
        <v>46128</v>
      </c>
      <c r="B2013" s="392" t="s">
        <v>71</v>
      </c>
      <c r="C2013" s="364" t="s">
        <v>176</v>
      </c>
      <c r="D2013" s="404">
        <v>60</v>
      </c>
      <c r="E2013" s="369">
        <v>5</v>
      </c>
      <c r="F2013" s="370"/>
      <c r="G2013" s="368">
        <v>0.29166666666666669</v>
      </c>
      <c r="H2013" s="368">
        <v>0.66666666666666663</v>
      </c>
      <c r="I2013" s="372" t="str">
        <f t="shared" si="30"/>
        <v>480</v>
      </c>
      <c r="J2013" s="371">
        <v>5</v>
      </c>
      <c r="K2013" s="371"/>
      <c r="L2013" s="365">
        <v>0.3125</v>
      </c>
      <c r="M2013" s="365">
        <v>0.70833333333333337</v>
      </c>
      <c r="N2013" s="372" t="str">
        <f t="shared" si="31"/>
        <v>510</v>
      </c>
      <c r="O2013" s="371">
        <f t="shared" si="32"/>
        <v>4950</v>
      </c>
      <c r="P2013" s="366">
        <f t="shared" si="33"/>
        <v>0.29166666666666669</v>
      </c>
      <c r="Q2013" s="366">
        <f t="shared" si="34"/>
        <v>0.70833333333333337</v>
      </c>
      <c r="R2013" s="367" t="str">
        <f t="shared" si="35"/>
        <v>540</v>
      </c>
    </row>
    <row r="2014" spans="1:18" x14ac:dyDescent="0.4">
      <c r="A2014" s="402">
        <v>46128</v>
      </c>
      <c r="B2014" s="392" t="s">
        <v>1287</v>
      </c>
      <c r="C2014" s="364" t="s">
        <v>1291</v>
      </c>
      <c r="D2014" s="404">
        <v>12</v>
      </c>
      <c r="E2014" s="369">
        <v>5</v>
      </c>
      <c r="F2014" s="370"/>
      <c r="G2014" s="368">
        <v>0.54166666666666663</v>
      </c>
      <c r="H2014" s="368">
        <v>0.6875</v>
      </c>
      <c r="I2014" s="372" t="str">
        <f t="shared" si="30"/>
        <v>210</v>
      </c>
      <c r="J2014" s="371">
        <v>3</v>
      </c>
      <c r="K2014" s="371"/>
      <c r="L2014" s="365">
        <v>0.57638888888888895</v>
      </c>
      <c r="M2014" s="365">
        <v>0.6875</v>
      </c>
      <c r="N2014" s="372" t="str">
        <f t="shared" si="31"/>
        <v>160</v>
      </c>
      <c r="O2014" s="371">
        <f t="shared" si="32"/>
        <v>1530</v>
      </c>
      <c r="P2014" s="366">
        <f t="shared" si="33"/>
        <v>0.54166666666666663</v>
      </c>
      <c r="Q2014" s="366">
        <f t="shared" si="34"/>
        <v>0.6875</v>
      </c>
      <c r="R2014" s="367" t="str">
        <f t="shared" si="35"/>
        <v>210</v>
      </c>
    </row>
    <row r="2015" spans="1:18" x14ac:dyDescent="0.4">
      <c r="A2015" s="402">
        <v>46128</v>
      </c>
      <c r="B2015" s="392" t="s">
        <v>965</v>
      </c>
      <c r="C2015" s="364" t="s">
        <v>966</v>
      </c>
      <c r="D2015" s="404">
        <v>12</v>
      </c>
      <c r="E2015" s="369">
        <v>5</v>
      </c>
      <c r="F2015" s="370"/>
      <c r="G2015" s="368">
        <v>0.29166666666666669</v>
      </c>
      <c r="H2015" s="368">
        <v>0.3888888888888889</v>
      </c>
      <c r="I2015" s="372" t="str">
        <f t="shared" si="30"/>
        <v>140</v>
      </c>
      <c r="J2015" s="371">
        <v>3</v>
      </c>
      <c r="K2015" s="371"/>
      <c r="L2015" s="365">
        <v>0.3125</v>
      </c>
      <c r="M2015" s="365">
        <v>0.40972222222222227</v>
      </c>
      <c r="N2015" s="372" t="str">
        <f t="shared" si="31"/>
        <v>140</v>
      </c>
      <c r="O2015" s="371">
        <f t="shared" si="32"/>
        <v>1120</v>
      </c>
      <c r="P2015" s="366">
        <f t="shared" si="33"/>
        <v>0.29166666666666669</v>
      </c>
      <c r="Q2015" s="366">
        <f t="shared" si="34"/>
        <v>0.40972222222222227</v>
      </c>
      <c r="R2015" s="367" t="str">
        <f t="shared" si="35"/>
        <v>170</v>
      </c>
    </row>
    <row r="2016" spans="1:18" x14ac:dyDescent="0.4">
      <c r="A2016" s="402">
        <v>46128</v>
      </c>
      <c r="B2016" s="392" t="s">
        <v>72</v>
      </c>
      <c r="C2016" s="364" t="s">
        <v>227</v>
      </c>
      <c r="D2016" s="404">
        <v>16</v>
      </c>
      <c r="E2016" s="369">
        <v>5</v>
      </c>
      <c r="F2016" s="370"/>
      <c r="G2016" s="368">
        <v>0.3888888888888889</v>
      </c>
      <c r="H2016" s="368">
        <v>0.5</v>
      </c>
      <c r="I2016" s="372" t="str">
        <f t="shared" si="30"/>
        <v>160</v>
      </c>
      <c r="J2016" s="371">
        <v>3</v>
      </c>
      <c r="K2016" s="371"/>
      <c r="L2016" s="365">
        <v>0.40972222222222227</v>
      </c>
      <c r="M2016" s="365">
        <v>0.57638888888888895</v>
      </c>
      <c r="N2016" s="372" t="str">
        <f t="shared" si="31"/>
        <v>180</v>
      </c>
      <c r="O2016" s="371">
        <f t="shared" si="32"/>
        <v>1340</v>
      </c>
      <c r="P2016" s="366">
        <f t="shared" si="33"/>
        <v>0.3888888888888889</v>
      </c>
      <c r="Q2016" s="366">
        <f t="shared" si="34"/>
        <v>0.57638888888888895</v>
      </c>
      <c r="R2016" s="367" t="str">
        <f t="shared" si="35"/>
        <v>210</v>
      </c>
    </row>
    <row r="2017" spans="1:18" x14ac:dyDescent="0.4">
      <c r="A2017" s="402">
        <v>46128</v>
      </c>
      <c r="B2017" s="392" t="s">
        <v>96</v>
      </c>
      <c r="C2017" s="364" t="s">
        <v>167</v>
      </c>
      <c r="D2017" s="404">
        <v>20</v>
      </c>
      <c r="E2017" s="369">
        <v>3</v>
      </c>
      <c r="F2017" s="368">
        <v>2.0833333333333332E-2</v>
      </c>
      <c r="G2017" s="368">
        <v>0.29166666666666669</v>
      </c>
      <c r="H2017" s="368">
        <v>0.42708333333333331</v>
      </c>
      <c r="I2017" s="372" t="str">
        <f t="shared" si="30"/>
        <v>225</v>
      </c>
      <c r="J2017" s="371">
        <v>6</v>
      </c>
      <c r="K2017" s="371"/>
      <c r="L2017" s="365">
        <v>0.29166666666666669</v>
      </c>
      <c r="M2017" s="365">
        <v>0.48958333333333331</v>
      </c>
      <c r="N2017" s="372" t="str">
        <f t="shared" si="31"/>
        <v>285</v>
      </c>
      <c r="O2017" s="371">
        <f t="shared" si="32"/>
        <v>2385</v>
      </c>
      <c r="P2017" s="366">
        <f t="shared" si="33"/>
        <v>0.29166666666666669</v>
      </c>
      <c r="Q2017" s="366">
        <f t="shared" si="34"/>
        <v>0.48958333333333331</v>
      </c>
      <c r="R2017" s="367" t="str">
        <f t="shared" si="35"/>
        <v>285</v>
      </c>
    </row>
    <row r="2018" spans="1:18" x14ac:dyDescent="0.4">
      <c r="A2018" s="402">
        <v>46128</v>
      </c>
      <c r="B2018" s="392" t="s">
        <v>83</v>
      </c>
      <c r="C2018" s="364" t="s">
        <v>169</v>
      </c>
      <c r="D2018" s="404">
        <v>16</v>
      </c>
      <c r="E2018" s="369">
        <v>3</v>
      </c>
      <c r="F2018" s="370"/>
      <c r="G2018" s="368">
        <v>0.41666666666666669</v>
      </c>
      <c r="H2018" s="368">
        <v>0.60069444444444442</v>
      </c>
      <c r="I2018" s="372" t="str">
        <f t="shared" si="30"/>
        <v>205</v>
      </c>
      <c r="J2018" s="371">
        <v>7</v>
      </c>
      <c r="K2018" s="371"/>
      <c r="L2018" s="365">
        <v>0.47916666666666669</v>
      </c>
      <c r="M2018" s="365">
        <v>0.6875</v>
      </c>
      <c r="N2018" s="372" t="str">
        <f t="shared" si="31"/>
        <v>240</v>
      </c>
      <c r="O2018" s="371">
        <f t="shared" si="32"/>
        <v>2295</v>
      </c>
      <c r="P2018" s="366">
        <f t="shared" si="33"/>
        <v>0.41666666666666669</v>
      </c>
      <c r="Q2018" s="366">
        <f t="shared" si="34"/>
        <v>0.6875</v>
      </c>
      <c r="R2018" s="367" t="str">
        <f t="shared" si="35"/>
        <v>330</v>
      </c>
    </row>
    <row r="2019" spans="1:18" x14ac:dyDescent="0.4">
      <c r="A2019" s="403">
        <v>46128</v>
      </c>
      <c r="B2019" s="383" t="s">
        <v>434</v>
      </c>
      <c r="C2019" s="390" t="s">
        <v>545</v>
      </c>
      <c r="D2019" s="405">
        <v>30</v>
      </c>
      <c r="E2019" s="384"/>
      <c r="F2019" s="385"/>
      <c r="G2019" s="396"/>
      <c r="H2019" s="396"/>
      <c r="I2019" s="386" t="str">
        <f t="shared" si="30"/>
        <v>0</v>
      </c>
      <c r="J2019" s="387"/>
      <c r="K2019" s="387"/>
      <c r="L2019" s="388"/>
      <c r="M2019" s="388"/>
      <c r="N2019" s="386" t="str">
        <f t="shared" si="31"/>
        <v>0</v>
      </c>
      <c r="O2019" s="387">
        <f t="shared" si="32"/>
        <v>0</v>
      </c>
      <c r="P2019" s="391">
        <f t="shared" si="33"/>
        <v>0</v>
      </c>
      <c r="Q2019" s="391">
        <f t="shared" si="34"/>
        <v>0</v>
      </c>
      <c r="R2019" s="389" t="str">
        <f t="shared" si="35"/>
        <v>0</v>
      </c>
    </row>
    <row r="2020" spans="1:18" x14ac:dyDescent="0.4">
      <c r="A2020" s="403">
        <v>46128</v>
      </c>
      <c r="B2020" s="383" t="s">
        <v>500</v>
      </c>
      <c r="C2020" s="390" t="s">
        <v>506</v>
      </c>
      <c r="D2020" s="405">
        <v>25</v>
      </c>
      <c r="E2020" s="384"/>
      <c r="F2020" s="385"/>
      <c r="G2020" s="396"/>
      <c r="H2020" s="396"/>
      <c r="I2020" s="386" t="str">
        <f t="shared" si="30"/>
        <v>0</v>
      </c>
      <c r="J2020" s="387"/>
      <c r="K2020" s="387"/>
      <c r="L2020" s="388"/>
      <c r="M2020" s="388"/>
      <c r="N2020" s="386" t="str">
        <f t="shared" si="31"/>
        <v>0</v>
      </c>
      <c r="O2020" s="387">
        <f t="shared" si="32"/>
        <v>0</v>
      </c>
      <c r="P2020" s="391">
        <f t="shared" si="33"/>
        <v>0</v>
      </c>
      <c r="Q2020" s="391">
        <f t="shared" si="34"/>
        <v>0</v>
      </c>
      <c r="R2020" s="389" t="str">
        <f t="shared" si="35"/>
        <v>0</v>
      </c>
    </row>
    <row r="2021" spans="1:18" x14ac:dyDescent="0.4">
      <c r="A2021" s="402">
        <v>46129</v>
      </c>
      <c r="B2021" s="392" t="s">
        <v>91</v>
      </c>
      <c r="C2021" s="364" t="s">
        <v>163</v>
      </c>
      <c r="D2021" s="404">
        <v>16</v>
      </c>
      <c r="E2021" s="369">
        <v>4</v>
      </c>
      <c r="F2021" s="370"/>
      <c r="G2021" s="368">
        <v>0.54166666666666663</v>
      </c>
      <c r="H2021" s="368">
        <v>0.70833333333333337</v>
      </c>
      <c r="I2021" s="372" t="str">
        <f t="shared" si="30"/>
        <v>240</v>
      </c>
      <c r="J2021" s="371">
        <v>8</v>
      </c>
      <c r="K2021" s="371"/>
      <c r="L2021" s="365">
        <v>0.54166666666666663</v>
      </c>
      <c r="M2021" s="365">
        <v>0.72916666666666663</v>
      </c>
      <c r="N2021" s="372" t="str">
        <f t="shared" si="31"/>
        <v>270</v>
      </c>
      <c r="O2021" s="371">
        <f t="shared" si="32"/>
        <v>3120</v>
      </c>
      <c r="P2021" s="366">
        <f t="shared" si="33"/>
        <v>0.54166666666666663</v>
      </c>
      <c r="Q2021" s="366">
        <f t="shared" si="34"/>
        <v>0.72916666666666663</v>
      </c>
      <c r="R2021" s="367" t="str">
        <f t="shared" si="35"/>
        <v>270</v>
      </c>
    </row>
    <row r="2022" spans="1:18" x14ac:dyDescent="0.4">
      <c r="A2022" s="402">
        <v>46129</v>
      </c>
      <c r="B2022" s="392" t="s">
        <v>61</v>
      </c>
      <c r="C2022" s="364" t="s">
        <v>156</v>
      </c>
      <c r="D2022" s="404">
        <v>20</v>
      </c>
      <c r="E2022" s="369">
        <v>4</v>
      </c>
      <c r="F2022" s="370"/>
      <c r="G2022" s="368">
        <v>0.29166666666666669</v>
      </c>
      <c r="H2022" s="368">
        <v>0.5</v>
      </c>
      <c r="I2022" s="372" t="str">
        <f t="shared" si="30"/>
        <v>300</v>
      </c>
      <c r="J2022" s="371">
        <v>9</v>
      </c>
      <c r="K2022" s="371"/>
      <c r="L2022" s="365">
        <v>0.3125</v>
      </c>
      <c r="M2022" s="365">
        <v>0.5</v>
      </c>
      <c r="N2022" s="372" t="str">
        <f t="shared" si="31"/>
        <v>270</v>
      </c>
      <c r="O2022" s="371">
        <f t="shared" si="32"/>
        <v>3630</v>
      </c>
      <c r="P2022" s="366">
        <f t="shared" si="33"/>
        <v>0.29166666666666669</v>
      </c>
      <c r="Q2022" s="366">
        <f t="shared" si="34"/>
        <v>0.5</v>
      </c>
      <c r="R2022" s="367" t="str">
        <f t="shared" si="35"/>
        <v>300</v>
      </c>
    </row>
    <row r="2023" spans="1:18" x14ac:dyDescent="0.4">
      <c r="A2023" s="402">
        <v>46129</v>
      </c>
      <c r="B2023" s="392" t="s">
        <v>63</v>
      </c>
      <c r="C2023" s="364" t="s">
        <v>267</v>
      </c>
      <c r="D2023" s="404">
        <v>20</v>
      </c>
      <c r="E2023" s="369">
        <v>5</v>
      </c>
      <c r="F2023" s="370"/>
      <c r="G2023" s="368">
        <v>0.52083333333333337</v>
      </c>
      <c r="H2023" s="368">
        <v>0.66666666666666663</v>
      </c>
      <c r="I2023" s="372" t="str">
        <f t="shared" si="30"/>
        <v>210</v>
      </c>
      <c r="J2023" s="371">
        <v>3</v>
      </c>
      <c r="K2023" s="371"/>
      <c r="L2023" s="365">
        <v>0.54166666666666663</v>
      </c>
      <c r="M2023" s="365">
        <v>0.66666666666666663</v>
      </c>
      <c r="N2023" s="372" t="str">
        <f t="shared" si="31"/>
        <v>180</v>
      </c>
      <c r="O2023" s="371">
        <f t="shared" si="32"/>
        <v>1590</v>
      </c>
      <c r="P2023" s="366">
        <f t="shared" si="33"/>
        <v>0.52083333333333337</v>
      </c>
      <c r="Q2023" s="366">
        <f t="shared" si="34"/>
        <v>0.66666666666666663</v>
      </c>
      <c r="R2023" s="367" t="str">
        <f t="shared" si="35"/>
        <v>210</v>
      </c>
    </row>
    <row r="2024" spans="1:18" x14ac:dyDescent="0.4">
      <c r="A2024" s="402">
        <v>46129</v>
      </c>
      <c r="B2024" s="392" t="s">
        <v>55</v>
      </c>
      <c r="C2024" s="364" t="s">
        <v>208</v>
      </c>
      <c r="D2024" s="404">
        <v>20</v>
      </c>
      <c r="E2024" s="369">
        <v>5</v>
      </c>
      <c r="F2024" s="370"/>
      <c r="G2024" s="368">
        <v>0.29166666666666669</v>
      </c>
      <c r="H2024" s="368">
        <v>0.47916666666666669</v>
      </c>
      <c r="I2024" s="372" t="str">
        <f t="shared" si="30"/>
        <v>270</v>
      </c>
      <c r="J2024" s="371">
        <v>4</v>
      </c>
      <c r="K2024" s="371"/>
      <c r="L2024" s="365">
        <v>0.3125</v>
      </c>
      <c r="M2024" s="365">
        <v>0.54166666666666663</v>
      </c>
      <c r="N2024" s="372" t="str">
        <f t="shared" si="31"/>
        <v>270</v>
      </c>
      <c r="O2024" s="371">
        <f t="shared" si="32"/>
        <v>2430</v>
      </c>
      <c r="P2024" s="366">
        <f t="shared" si="33"/>
        <v>0.29166666666666669</v>
      </c>
      <c r="Q2024" s="366">
        <f t="shared" si="34"/>
        <v>0.54166666666666663</v>
      </c>
      <c r="R2024" s="367" t="str">
        <f t="shared" si="35"/>
        <v>300</v>
      </c>
    </row>
    <row r="2025" spans="1:18" x14ac:dyDescent="0.4">
      <c r="A2025" s="402">
        <v>46129</v>
      </c>
      <c r="B2025" s="392" t="s">
        <v>104</v>
      </c>
      <c r="C2025" s="364" t="s">
        <v>191</v>
      </c>
      <c r="D2025" s="404">
        <v>60</v>
      </c>
      <c r="E2025" s="369">
        <v>3</v>
      </c>
      <c r="F2025" s="370"/>
      <c r="G2025" s="368">
        <v>0.3263888888888889</v>
      </c>
      <c r="H2025" s="368">
        <v>0.65625</v>
      </c>
      <c r="I2025" s="372" t="str">
        <f t="shared" si="30"/>
        <v>415</v>
      </c>
      <c r="J2025" s="371">
        <v>4</v>
      </c>
      <c r="K2025" s="371"/>
      <c r="L2025" s="365">
        <v>0.3923611111111111</v>
      </c>
      <c r="M2025" s="365">
        <v>0.70833333333333337</v>
      </c>
      <c r="N2025" s="372" t="str">
        <f t="shared" si="31"/>
        <v>395</v>
      </c>
      <c r="O2025" s="371">
        <f t="shared" si="32"/>
        <v>2825</v>
      </c>
      <c r="P2025" s="366">
        <f t="shared" si="33"/>
        <v>0.3263888888888889</v>
      </c>
      <c r="Q2025" s="366">
        <f t="shared" si="34"/>
        <v>0.70833333333333337</v>
      </c>
      <c r="R2025" s="367" t="str">
        <f t="shared" si="35"/>
        <v>490</v>
      </c>
    </row>
    <row r="2026" spans="1:18" x14ac:dyDescent="0.4">
      <c r="A2026" s="402">
        <v>46129</v>
      </c>
      <c r="B2026" s="392" t="s">
        <v>558</v>
      </c>
      <c r="C2026" s="364" t="s">
        <v>191</v>
      </c>
      <c r="D2026" s="404">
        <v>4</v>
      </c>
      <c r="E2026" s="369">
        <v>3</v>
      </c>
      <c r="F2026" s="370"/>
      <c r="G2026" s="368">
        <v>0.29166666666666669</v>
      </c>
      <c r="H2026" s="368">
        <v>0.3263888888888889</v>
      </c>
      <c r="I2026" s="372" t="str">
        <f t="shared" si="30"/>
        <v>50</v>
      </c>
      <c r="J2026" s="371">
        <v>4</v>
      </c>
      <c r="K2026" s="371"/>
      <c r="L2026" s="365">
        <v>0.29166666666666669</v>
      </c>
      <c r="M2026" s="365">
        <v>0.3923611111111111</v>
      </c>
      <c r="N2026" s="372" t="str">
        <f t="shared" si="31"/>
        <v>145</v>
      </c>
      <c r="O2026" s="371">
        <f t="shared" si="32"/>
        <v>730</v>
      </c>
      <c r="P2026" s="366">
        <f t="shared" si="33"/>
        <v>0.29166666666666669</v>
      </c>
      <c r="Q2026" s="366">
        <f t="shared" si="34"/>
        <v>0.3923611111111111</v>
      </c>
      <c r="R2026" s="367" t="str">
        <f t="shared" si="35"/>
        <v>145</v>
      </c>
    </row>
    <row r="2027" spans="1:18" x14ac:dyDescent="0.4">
      <c r="A2027" s="402">
        <v>46132</v>
      </c>
      <c r="B2027" s="392" t="s">
        <v>71</v>
      </c>
      <c r="C2027" s="364" t="s">
        <v>176</v>
      </c>
      <c r="D2027" s="404">
        <v>72</v>
      </c>
      <c r="E2027" s="369">
        <v>6</v>
      </c>
      <c r="F2027" s="370"/>
      <c r="G2027" s="368">
        <v>0.29166666666666669</v>
      </c>
      <c r="H2027" s="368">
        <v>0.6875</v>
      </c>
      <c r="I2027" s="372" t="str">
        <f t="shared" si="30"/>
        <v>510</v>
      </c>
      <c r="J2027" s="371">
        <v>5</v>
      </c>
      <c r="K2027" s="371"/>
      <c r="L2027" s="365">
        <v>0.3125</v>
      </c>
      <c r="M2027" s="365">
        <v>0.70833333333333337</v>
      </c>
      <c r="N2027" s="372" t="str">
        <f t="shared" si="31"/>
        <v>510</v>
      </c>
      <c r="O2027" s="371">
        <f t="shared" si="32"/>
        <v>5610</v>
      </c>
      <c r="P2027" s="366">
        <f t="shared" si="33"/>
        <v>0.29166666666666669</v>
      </c>
      <c r="Q2027" s="366">
        <f t="shared" si="34"/>
        <v>0.70833333333333337</v>
      </c>
      <c r="R2027" s="367" t="str">
        <f t="shared" si="35"/>
        <v>540</v>
      </c>
    </row>
    <row r="2028" spans="1:18" x14ac:dyDescent="0.4">
      <c r="A2028" s="402">
        <v>46132</v>
      </c>
      <c r="B2028" s="392" t="s">
        <v>88</v>
      </c>
      <c r="C2028" s="364" t="s">
        <v>328</v>
      </c>
      <c r="D2028" s="404">
        <v>16</v>
      </c>
      <c r="E2028" s="369">
        <v>5</v>
      </c>
      <c r="F2028" s="370"/>
      <c r="G2028" s="368">
        <v>0.29166666666666669</v>
      </c>
      <c r="H2028" s="368">
        <v>0.41666666666666669</v>
      </c>
      <c r="I2028" s="372" t="str">
        <f t="shared" si="30"/>
        <v>180</v>
      </c>
      <c r="J2028" s="371">
        <v>3</v>
      </c>
      <c r="K2028" s="371"/>
      <c r="L2028" s="365">
        <v>0.43055555555555558</v>
      </c>
      <c r="M2028" s="365">
        <v>0.6875</v>
      </c>
      <c r="N2028" s="372" t="str">
        <f t="shared" si="31"/>
        <v>310</v>
      </c>
      <c r="O2028" s="371">
        <f t="shared" si="32"/>
        <v>1830</v>
      </c>
      <c r="P2028" s="366">
        <f t="shared" si="33"/>
        <v>0.29166666666666669</v>
      </c>
      <c r="Q2028" s="366">
        <f t="shared" si="34"/>
        <v>0.6875</v>
      </c>
      <c r="R2028" s="367" t="str">
        <f t="shared" si="35"/>
        <v>510</v>
      </c>
    </row>
    <row r="2029" spans="1:18" x14ac:dyDescent="0.4">
      <c r="A2029" s="402">
        <v>46132</v>
      </c>
      <c r="B2029" s="392" t="s">
        <v>63</v>
      </c>
      <c r="C2029" s="364" t="s">
        <v>267</v>
      </c>
      <c r="D2029" s="404">
        <v>24</v>
      </c>
      <c r="E2029" s="369">
        <v>5</v>
      </c>
      <c r="F2029" s="370"/>
      <c r="G2029" s="368">
        <v>0.4201388888888889</v>
      </c>
      <c r="H2029" s="368">
        <v>0.66666666666666663</v>
      </c>
      <c r="I2029" s="372" t="str">
        <f t="shared" si="30"/>
        <v>295</v>
      </c>
      <c r="J2029" s="371">
        <v>3</v>
      </c>
      <c r="K2029" s="371"/>
      <c r="L2029" s="365">
        <v>0.3125</v>
      </c>
      <c r="M2029" s="365">
        <v>0.43055555555555558</v>
      </c>
      <c r="N2029" s="372" t="str">
        <f t="shared" si="31"/>
        <v>170</v>
      </c>
      <c r="O2029" s="371">
        <f t="shared" si="32"/>
        <v>1985</v>
      </c>
      <c r="P2029" s="366">
        <f t="shared" si="33"/>
        <v>0.3125</v>
      </c>
      <c r="Q2029" s="366">
        <f t="shared" si="34"/>
        <v>0.66666666666666663</v>
      </c>
      <c r="R2029" s="367" t="str">
        <f t="shared" si="35"/>
        <v>450</v>
      </c>
    </row>
    <row r="2030" spans="1:18" x14ac:dyDescent="0.4">
      <c r="A2030" s="402">
        <v>46132</v>
      </c>
      <c r="B2030" s="392" t="s">
        <v>58</v>
      </c>
      <c r="C2030" s="364" t="s">
        <v>165</v>
      </c>
      <c r="D2030" s="404">
        <v>20</v>
      </c>
      <c r="E2030" s="369">
        <v>3</v>
      </c>
      <c r="F2030" s="368">
        <v>2.0833333333333332E-2</v>
      </c>
      <c r="G2030" s="368">
        <v>0.29166666666666669</v>
      </c>
      <c r="H2030" s="368">
        <v>0.40277777777777773</v>
      </c>
      <c r="I2030" s="372" t="str">
        <f t="shared" si="30"/>
        <v>190</v>
      </c>
      <c r="J2030" s="371">
        <v>6</v>
      </c>
      <c r="K2030" s="371"/>
      <c r="L2030" s="365">
        <v>0.29166666666666669</v>
      </c>
      <c r="M2030" s="365">
        <v>0.46527777777777773</v>
      </c>
      <c r="N2030" s="372" t="str">
        <f t="shared" si="31"/>
        <v>250</v>
      </c>
      <c r="O2030" s="371">
        <f t="shared" si="32"/>
        <v>2070</v>
      </c>
      <c r="P2030" s="366">
        <f t="shared" si="33"/>
        <v>0.29166666666666669</v>
      </c>
      <c r="Q2030" s="366">
        <f t="shared" si="34"/>
        <v>0.46527777777777773</v>
      </c>
      <c r="R2030" s="367" t="str">
        <f t="shared" si="35"/>
        <v>250</v>
      </c>
    </row>
    <row r="2031" spans="1:18" x14ac:dyDescent="0.4">
      <c r="A2031" s="402">
        <v>46132</v>
      </c>
      <c r="B2031" s="392" t="s">
        <v>65</v>
      </c>
      <c r="C2031" s="364" t="s">
        <v>189</v>
      </c>
      <c r="D2031" s="404">
        <v>32</v>
      </c>
      <c r="E2031" s="369">
        <v>3</v>
      </c>
      <c r="F2031" s="370"/>
      <c r="G2031" s="368">
        <v>0.40277777777777773</v>
      </c>
      <c r="H2031" s="368">
        <v>0.63194444444444442</v>
      </c>
      <c r="I2031" s="372" t="str">
        <f t="shared" si="30"/>
        <v>270</v>
      </c>
      <c r="J2031" s="371">
        <v>4</v>
      </c>
      <c r="K2031" s="371"/>
      <c r="L2031" s="365">
        <v>0.46527777777777773</v>
      </c>
      <c r="M2031" s="365">
        <v>0.67361111111111116</v>
      </c>
      <c r="N2031" s="372" t="str">
        <f t="shared" si="31"/>
        <v>240</v>
      </c>
      <c r="O2031" s="371">
        <f t="shared" si="32"/>
        <v>1770</v>
      </c>
      <c r="P2031" s="366">
        <f t="shared" si="33"/>
        <v>0.40277777777777773</v>
      </c>
      <c r="Q2031" s="366">
        <f t="shared" si="34"/>
        <v>0.67361111111111116</v>
      </c>
      <c r="R2031" s="367" t="str">
        <f t="shared" si="35"/>
        <v>330</v>
      </c>
    </row>
    <row r="2032" spans="1:18" x14ac:dyDescent="0.4">
      <c r="A2032" s="402">
        <v>46133</v>
      </c>
      <c r="B2032" s="392" t="s">
        <v>75</v>
      </c>
      <c r="C2032" s="364" t="s">
        <v>229</v>
      </c>
      <c r="D2032" s="404">
        <v>12</v>
      </c>
      <c r="E2032" s="369">
        <v>3</v>
      </c>
      <c r="F2032" s="370"/>
      <c r="G2032" s="368">
        <v>0.41666666666666669</v>
      </c>
      <c r="H2032" s="368">
        <v>0.5</v>
      </c>
      <c r="I2032" s="372" t="str">
        <f t="shared" si="30"/>
        <v>120</v>
      </c>
      <c r="J2032" s="371">
        <v>3</v>
      </c>
      <c r="K2032" s="371"/>
      <c r="L2032" s="365">
        <v>0.43402777777777773</v>
      </c>
      <c r="M2032" s="365">
        <v>0.56944444444444442</v>
      </c>
      <c r="N2032" s="372" t="str">
        <f t="shared" si="31"/>
        <v>135</v>
      </c>
      <c r="O2032" s="371">
        <f t="shared" si="32"/>
        <v>765</v>
      </c>
      <c r="P2032" s="366">
        <f t="shared" si="33"/>
        <v>0.41666666666666669</v>
      </c>
      <c r="Q2032" s="366">
        <f t="shared" si="34"/>
        <v>0.56944444444444442</v>
      </c>
      <c r="R2032" s="367" t="str">
        <f t="shared" si="35"/>
        <v>160</v>
      </c>
    </row>
    <row r="2033" spans="1:18" x14ac:dyDescent="0.4">
      <c r="A2033" s="402">
        <v>46133</v>
      </c>
      <c r="B2033" s="392" t="s">
        <v>1045</v>
      </c>
      <c r="C2033" s="364" t="s">
        <v>1056</v>
      </c>
      <c r="D2033" s="404">
        <v>12</v>
      </c>
      <c r="E2033" s="369">
        <v>3</v>
      </c>
      <c r="F2033" s="370"/>
      <c r="G2033" s="368">
        <v>0.29166666666666669</v>
      </c>
      <c r="H2033" s="368">
        <v>0.41666666666666669</v>
      </c>
      <c r="I2033" s="372" t="str">
        <f t="shared" si="30"/>
        <v>180</v>
      </c>
      <c r="J2033" s="371">
        <v>3</v>
      </c>
      <c r="K2033" s="371"/>
      <c r="L2033" s="365">
        <v>0.3125</v>
      </c>
      <c r="M2033" s="365">
        <v>0.43402777777777773</v>
      </c>
      <c r="N2033" s="372" t="str">
        <f t="shared" si="31"/>
        <v>175</v>
      </c>
      <c r="O2033" s="371">
        <f t="shared" si="32"/>
        <v>1065</v>
      </c>
      <c r="P2033" s="366">
        <f t="shared" si="33"/>
        <v>0.29166666666666669</v>
      </c>
      <c r="Q2033" s="366">
        <f t="shared" si="34"/>
        <v>0.43402777777777773</v>
      </c>
      <c r="R2033" s="367" t="str">
        <f t="shared" si="35"/>
        <v>205</v>
      </c>
    </row>
    <row r="2034" spans="1:18" x14ac:dyDescent="0.4">
      <c r="A2034" s="402">
        <v>46133</v>
      </c>
      <c r="B2034" s="392" t="s">
        <v>63</v>
      </c>
      <c r="C2034" s="364" t="s">
        <v>267</v>
      </c>
      <c r="D2034" s="404">
        <v>16</v>
      </c>
      <c r="E2034" s="369">
        <v>3</v>
      </c>
      <c r="F2034" s="370"/>
      <c r="G2034" s="368">
        <v>0.54166666666666663</v>
      </c>
      <c r="H2034" s="368">
        <v>0.66666666666666663</v>
      </c>
      <c r="I2034" s="372" t="str">
        <f t="shared" ref="I2034:I2097" si="36">TEXT(IF(AND(G2034&lt;=$S$2,H2034&gt;=$T$2),(H2034-G2034+F2034)-($T$2-$S$2),(H2034-G2034+F2034)),"[m]")</f>
        <v>180</v>
      </c>
      <c r="J2034" s="371">
        <v>3</v>
      </c>
      <c r="K2034" s="371"/>
      <c r="L2034" s="365">
        <v>0.56944444444444442</v>
      </c>
      <c r="M2034" s="365">
        <v>0.6875</v>
      </c>
      <c r="N2034" s="372" t="str">
        <f t="shared" ref="N2034:N2097" si="37">TEXT(IF(AND(L2034&lt;=$S$2,M2034&gt;=$T$2),(M2034-L2034+K2034)-($T$2-$S$2),(M2034-L2034+K2034)),"[m]")</f>
        <v>170</v>
      </c>
      <c r="O2034" s="371">
        <f t="shared" ref="O2034:O2097" si="38">E2034*I2034+J2034*N2034</f>
        <v>1050</v>
      </c>
      <c r="P2034" s="366">
        <f t="shared" ref="P2034:P2097" si="39">MIN(G2034:H2034,L2034:M2034)</f>
        <v>0.54166666666666663</v>
      </c>
      <c r="Q2034" s="366">
        <f t="shared" ref="Q2034:Q2097" si="40">MAX(G2034:H2034,L2034:M2034)</f>
        <v>0.6875</v>
      </c>
      <c r="R2034" s="367" t="str">
        <f t="shared" ref="R2034:R2097" si="41">TEXT(IF(AND(P2034&lt;=$S$2,Q2034&gt;=$T$2),(Q2034-P2034)-($T$2-$S$2),(Q2034-P2034)),"[m]")</f>
        <v>210</v>
      </c>
    </row>
    <row r="2035" spans="1:18" x14ac:dyDescent="0.4">
      <c r="A2035" s="402">
        <v>46133</v>
      </c>
      <c r="B2035" s="392" t="s">
        <v>110</v>
      </c>
      <c r="C2035" s="364" t="s">
        <v>231</v>
      </c>
      <c r="D2035" s="404">
        <v>21</v>
      </c>
      <c r="E2035" s="369">
        <v>3</v>
      </c>
      <c r="F2035" s="370"/>
      <c r="G2035" s="368">
        <v>0.29166666666666669</v>
      </c>
      <c r="H2035" s="368">
        <v>0.67361111111111116</v>
      </c>
      <c r="I2035" s="372" t="str">
        <f t="shared" si="36"/>
        <v>490</v>
      </c>
      <c r="J2035" s="371">
        <v>8</v>
      </c>
      <c r="K2035" s="371"/>
      <c r="L2035" s="365">
        <v>0.3125</v>
      </c>
      <c r="M2035" s="365">
        <v>0.70833333333333337</v>
      </c>
      <c r="N2035" s="372" t="str">
        <f t="shared" si="37"/>
        <v>510</v>
      </c>
      <c r="O2035" s="371">
        <f t="shared" si="38"/>
        <v>5550</v>
      </c>
      <c r="P2035" s="366">
        <f t="shared" si="39"/>
        <v>0.29166666666666669</v>
      </c>
      <c r="Q2035" s="366">
        <f t="shared" si="40"/>
        <v>0.70833333333333337</v>
      </c>
      <c r="R2035" s="367" t="str">
        <f t="shared" si="41"/>
        <v>540</v>
      </c>
    </row>
    <row r="2036" spans="1:18" x14ac:dyDescent="0.4">
      <c r="A2036" s="402">
        <v>46133</v>
      </c>
      <c r="B2036" s="392" t="s">
        <v>65</v>
      </c>
      <c r="C2036" s="364" t="s">
        <v>189</v>
      </c>
      <c r="D2036" s="404">
        <v>68</v>
      </c>
      <c r="E2036" s="369">
        <v>3</v>
      </c>
      <c r="F2036" s="368">
        <v>2.0833333333333332E-2</v>
      </c>
      <c r="G2036" s="368">
        <v>0.29166666666666669</v>
      </c>
      <c r="H2036" s="368">
        <v>0.65972222222222221</v>
      </c>
      <c r="I2036" s="372" t="str">
        <f t="shared" si="36"/>
        <v>500</v>
      </c>
      <c r="J2036" s="371">
        <v>4</v>
      </c>
      <c r="K2036" s="371"/>
      <c r="L2036" s="365">
        <v>0.29166666666666669</v>
      </c>
      <c r="M2036" s="365">
        <v>0.69444444444444453</v>
      </c>
      <c r="N2036" s="372" t="str">
        <f t="shared" si="37"/>
        <v>520</v>
      </c>
      <c r="O2036" s="371">
        <f t="shared" si="38"/>
        <v>3580</v>
      </c>
      <c r="P2036" s="366">
        <f t="shared" si="39"/>
        <v>0.29166666666666669</v>
      </c>
      <c r="Q2036" s="366">
        <f t="shared" si="40"/>
        <v>0.69444444444444453</v>
      </c>
      <c r="R2036" s="367" t="str">
        <f t="shared" si="41"/>
        <v>520</v>
      </c>
    </row>
    <row r="2037" spans="1:18" x14ac:dyDescent="0.4">
      <c r="A2037" s="402">
        <v>46134</v>
      </c>
      <c r="B2037" s="392" t="s">
        <v>68</v>
      </c>
      <c r="C2037" s="364" t="s">
        <v>185</v>
      </c>
      <c r="D2037" s="404">
        <v>40</v>
      </c>
      <c r="E2037" s="369">
        <v>5</v>
      </c>
      <c r="F2037" s="370"/>
      <c r="G2037" s="368">
        <v>0.29166666666666669</v>
      </c>
      <c r="H2037" s="368">
        <v>0.66666666666666663</v>
      </c>
      <c r="I2037" s="372" t="str">
        <f t="shared" si="36"/>
        <v>480</v>
      </c>
      <c r="J2037" s="371">
        <v>5</v>
      </c>
      <c r="K2037" s="371"/>
      <c r="L2037" s="365">
        <v>0.3125</v>
      </c>
      <c r="M2037" s="365">
        <v>0.70833333333333337</v>
      </c>
      <c r="N2037" s="372" t="str">
        <f t="shared" si="37"/>
        <v>510</v>
      </c>
      <c r="O2037" s="371">
        <f t="shared" si="38"/>
        <v>4950</v>
      </c>
      <c r="P2037" s="366">
        <f t="shared" si="39"/>
        <v>0.29166666666666669</v>
      </c>
      <c r="Q2037" s="366">
        <f t="shared" si="40"/>
        <v>0.70833333333333337</v>
      </c>
      <c r="R2037" s="367" t="str">
        <f t="shared" si="41"/>
        <v>540</v>
      </c>
    </row>
    <row r="2038" spans="1:18" x14ac:dyDescent="0.4">
      <c r="A2038" s="402">
        <v>46134</v>
      </c>
      <c r="B2038" s="392" t="s">
        <v>115</v>
      </c>
      <c r="C2038" s="364" t="s">
        <v>214</v>
      </c>
      <c r="D2038" s="404">
        <v>16</v>
      </c>
      <c r="E2038" s="369">
        <v>5</v>
      </c>
      <c r="F2038" s="370"/>
      <c r="G2038" s="368">
        <v>0.54166666666666663</v>
      </c>
      <c r="H2038" s="368">
        <v>0.70833333333333337</v>
      </c>
      <c r="I2038" s="372" t="str">
        <f t="shared" si="36"/>
        <v>240</v>
      </c>
      <c r="J2038" s="371">
        <v>4</v>
      </c>
      <c r="K2038" s="371"/>
      <c r="L2038" s="365">
        <v>0.57291666666666663</v>
      </c>
      <c r="M2038" s="365">
        <v>0.72916666666666663</v>
      </c>
      <c r="N2038" s="372" t="str">
        <f t="shared" si="37"/>
        <v>225</v>
      </c>
      <c r="O2038" s="371">
        <f t="shared" si="38"/>
        <v>2100</v>
      </c>
      <c r="P2038" s="366">
        <f t="shared" si="39"/>
        <v>0.54166666666666663</v>
      </c>
      <c r="Q2038" s="366">
        <f t="shared" si="40"/>
        <v>0.72916666666666663</v>
      </c>
      <c r="R2038" s="367" t="str">
        <f t="shared" si="41"/>
        <v>270</v>
      </c>
    </row>
    <row r="2039" spans="1:18" x14ac:dyDescent="0.4">
      <c r="A2039" s="402">
        <v>46134</v>
      </c>
      <c r="B2039" s="392" t="s">
        <v>130</v>
      </c>
      <c r="C2039" s="364" t="s">
        <v>216</v>
      </c>
      <c r="D2039" s="404">
        <v>12</v>
      </c>
      <c r="E2039" s="369">
        <v>5</v>
      </c>
      <c r="F2039" s="370"/>
      <c r="G2039" s="368">
        <v>0.3833333333333333</v>
      </c>
      <c r="H2039" s="368">
        <v>0.5</v>
      </c>
      <c r="I2039" s="372" t="str">
        <f t="shared" si="36"/>
        <v>168</v>
      </c>
      <c r="J2039" s="371">
        <v>4</v>
      </c>
      <c r="K2039" s="371"/>
      <c r="L2039" s="365">
        <v>0.4236111111111111</v>
      </c>
      <c r="M2039" s="365">
        <v>0.57291666666666663</v>
      </c>
      <c r="N2039" s="372" t="str">
        <f t="shared" si="37"/>
        <v>155</v>
      </c>
      <c r="O2039" s="371">
        <f t="shared" si="38"/>
        <v>1460</v>
      </c>
      <c r="P2039" s="366">
        <f t="shared" si="39"/>
        <v>0.3833333333333333</v>
      </c>
      <c r="Q2039" s="366">
        <f t="shared" si="40"/>
        <v>0.57291666666666663</v>
      </c>
      <c r="R2039" s="367" t="str">
        <f t="shared" si="41"/>
        <v>213</v>
      </c>
    </row>
    <row r="2040" spans="1:18" x14ac:dyDescent="0.4">
      <c r="A2040" s="402">
        <v>46134</v>
      </c>
      <c r="B2040" s="392" t="s">
        <v>117</v>
      </c>
      <c r="C2040" s="364" t="s">
        <v>304</v>
      </c>
      <c r="D2040" s="404">
        <v>8</v>
      </c>
      <c r="E2040" s="369">
        <v>5</v>
      </c>
      <c r="F2040" s="370"/>
      <c r="G2040" s="368">
        <v>0.29166666666666669</v>
      </c>
      <c r="H2040" s="368">
        <v>0.38194444444444442</v>
      </c>
      <c r="I2040" s="372" t="str">
        <f t="shared" si="36"/>
        <v>130</v>
      </c>
      <c r="J2040" s="371">
        <v>4</v>
      </c>
      <c r="K2040" s="371"/>
      <c r="L2040" s="365">
        <v>0.3125</v>
      </c>
      <c r="M2040" s="365">
        <v>0.4236111111111111</v>
      </c>
      <c r="N2040" s="372" t="str">
        <f t="shared" si="37"/>
        <v>160</v>
      </c>
      <c r="O2040" s="371">
        <f t="shared" si="38"/>
        <v>1290</v>
      </c>
      <c r="P2040" s="366">
        <f t="shared" si="39"/>
        <v>0.29166666666666669</v>
      </c>
      <c r="Q2040" s="366">
        <f t="shared" si="40"/>
        <v>0.4236111111111111</v>
      </c>
      <c r="R2040" s="367" t="str">
        <f t="shared" si="41"/>
        <v>190</v>
      </c>
    </row>
    <row r="2041" spans="1:18" x14ac:dyDescent="0.4">
      <c r="A2041" s="402">
        <v>46134</v>
      </c>
      <c r="B2041" s="392" t="s">
        <v>65</v>
      </c>
      <c r="C2041" s="364" t="s">
        <v>189</v>
      </c>
      <c r="D2041" s="404">
        <v>68</v>
      </c>
      <c r="E2041" s="369">
        <v>3</v>
      </c>
      <c r="F2041" s="368">
        <v>2.0833333333333332E-2</v>
      </c>
      <c r="G2041" s="368">
        <v>0.29166666666666669</v>
      </c>
      <c r="H2041" s="368">
        <v>0.63888888888888895</v>
      </c>
      <c r="I2041" s="372" t="str">
        <f t="shared" si="36"/>
        <v>470</v>
      </c>
      <c r="J2041" s="371">
        <v>4</v>
      </c>
      <c r="K2041" s="371"/>
      <c r="L2041" s="365">
        <v>0.29166666666666669</v>
      </c>
      <c r="M2041" s="365">
        <v>0.68055555555555547</v>
      </c>
      <c r="N2041" s="372" t="str">
        <f t="shared" si="37"/>
        <v>500</v>
      </c>
      <c r="O2041" s="371">
        <f t="shared" si="38"/>
        <v>3410</v>
      </c>
      <c r="P2041" s="366">
        <f t="shared" si="39"/>
        <v>0.29166666666666669</v>
      </c>
      <c r="Q2041" s="366">
        <f t="shared" si="40"/>
        <v>0.68055555555555547</v>
      </c>
      <c r="R2041" s="367" t="str">
        <f t="shared" si="41"/>
        <v>500</v>
      </c>
    </row>
    <row r="2042" spans="1:18" x14ac:dyDescent="0.4">
      <c r="A2042" s="402">
        <v>46135</v>
      </c>
      <c r="B2042" s="392" t="s">
        <v>109</v>
      </c>
      <c r="C2042" s="364" t="s">
        <v>263</v>
      </c>
      <c r="D2042" s="404">
        <v>12</v>
      </c>
      <c r="E2042" s="369">
        <v>5</v>
      </c>
      <c r="F2042" s="370"/>
      <c r="G2042" s="368">
        <v>0.57986111111111105</v>
      </c>
      <c r="H2042" s="368">
        <v>0.66666666666666663</v>
      </c>
      <c r="I2042" s="372" t="str">
        <f t="shared" si="36"/>
        <v>125</v>
      </c>
      <c r="J2042" s="371">
        <v>3</v>
      </c>
      <c r="K2042" s="371"/>
      <c r="L2042" s="365">
        <v>0.61111111111111105</v>
      </c>
      <c r="M2042" s="365">
        <v>0.625</v>
      </c>
      <c r="N2042" s="372" t="str">
        <f t="shared" si="37"/>
        <v>20</v>
      </c>
      <c r="O2042" s="371">
        <f t="shared" si="38"/>
        <v>685</v>
      </c>
      <c r="P2042" s="366">
        <f t="shared" si="39"/>
        <v>0.57986111111111105</v>
      </c>
      <c r="Q2042" s="366">
        <f t="shared" si="40"/>
        <v>0.66666666666666663</v>
      </c>
      <c r="R2042" s="367" t="str">
        <f t="shared" si="41"/>
        <v>125</v>
      </c>
    </row>
    <row r="2043" spans="1:18" x14ac:dyDescent="0.4">
      <c r="A2043" s="402">
        <v>46135</v>
      </c>
      <c r="B2043" s="392" t="s">
        <v>54</v>
      </c>
      <c r="C2043" s="364" t="s">
        <v>251</v>
      </c>
      <c r="D2043" s="404">
        <v>28</v>
      </c>
      <c r="E2043" s="369">
        <v>5</v>
      </c>
      <c r="F2043" s="370"/>
      <c r="G2043" s="368">
        <v>0.29166666666666669</v>
      </c>
      <c r="H2043" s="368">
        <v>0.57500000000000007</v>
      </c>
      <c r="I2043" s="372" t="str">
        <f t="shared" si="36"/>
        <v>348</v>
      </c>
      <c r="J2043" s="371">
        <v>3</v>
      </c>
      <c r="K2043" s="371"/>
      <c r="L2043" s="365">
        <v>0.3125</v>
      </c>
      <c r="M2043" s="365">
        <v>0.61111111111111105</v>
      </c>
      <c r="N2043" s="372" t="str">
        <f t="shared" si="37"/>
        <v>370</v>
      </c>
      <c r="O2043" s="371">
        <f t="shared" si="38"/>
        <v>2850</v>
      </c>
      <c r="P2043" s="366">
        <f t="shared" si="39"/>
        <v>0.29166666666666669</v>
      </c>
      <c r="Q2043" s="366">
        <f t="shared" si="40"/>
        <v>0.61111111111111105</v>
      </c>
      <c r="R2043" s="367" t="str">
        <f t="shared" si="41"/>
        <v>400</v>
      </c>
    </row>
    <row r="2044" spans="1:18" x14ac:dyDescent="0.4">
      <c r="A2044" s="402">
        <v>46135</v>
      </c>
      <c r="B2044" s="392" t="s">
        <v>101</v>
      </c>
      <c r="C2044" s="364" t="s">
        <v>222</v>
      </c>
      <c r="D2044" s="404">
        <v>3</v>
      </c>
      <c r="E2044" s="369">
        <v>5</v>
      </c>
      <c r="F2044" s="370"/>
      <c r="G2044" s="368">
        <v>0.61458333333333337</v>
      </c>
      <c r="H2044" s="368">
        <v>0.66666666666666663</v>
      </c>
      <c r="I2044" s="372" t="str">
        <f t="shared" si="36"/>
        <v>75</v>
      </c>
      <c r="J2044" s="371">
        <v>4</v>
      </c>
      <c r="K2044" s="371"/>
      <c r="L2044" s="365">
        <v>0.65277777777777779</v>
      </c>
      <c r="M2044" s="365">
        <v>0.72916666666666663</v>
      </c>
      <c r="N2044" s="372" t="str">
        <f t="shared" si="37"/>
        <v>110</v>
      </c>
      <c r="O2044" s="371">
        <f t="shared" si="38"/>
        <v>815</v>
      </c>
      <c r="P2044" s="366">
        <f t="shared" si="39"/>
        <v>0.61458333333333337</v>
      </c>
      <c r="Q2044" s="366">
        <f t="shared" si="40"/>
        <v>0.72916666666666663</v>
      </c>
      <c r="R2044" s="367" t="str">
        <f t="shared" si="41"/>
        <v>165</v>
      </c>
    </row>
    <row r="2045" spans="1:18" x14ac:dyDescent="0.4">
      <c r="A2045" s="402">
        <v>46135</v>
      </c>
      <c r="B2045" s="392" t="s">
        <v>55</v>
      </c>
      <c r="C2045" s="364" t="s">
        <v>208</v>
      </c>
      <c r="D2045" s="404">
        <v>32</v>
      </c>
      <c r="E2045" s="369">
        <v>5</v>
      </c>
      <c r="F2045" s="370"/>
      <c r="G2045" s="368">
        <v>0.29166666666666669</v>
      </c>
      <c r="H2045" s="368">
        <v>0.61111111111111105</v>
      </c>
      <c r="I2045" s="372" t="str">
        <f t="shared" si="36"/>
        <v>400</v>
      </c>
      <c r="J2045" s="371">
        <v>4</v>
      </c>
      <c r="K2045" s="371"/>
      <c r="L2045" s="365">
        <v>0.3125</v>
      </c>
      <c r="M2045" s="365">
        <v>0.65277777777777779</v>
      </c>
      <c r="N2045" s="372" t="str">
        <f t="shared" si="37"/>
        <v>430</v>
      </c>
      <c r="O2045" s="371">
        <f t="shared" si="38"/>
        <v>3720</v>
      </c>
      <c r="P2045" s="366">
        <f t="shared" si="39"/>
        <v>0.29166666666666669</v>
      </c>
      <c r="Q2045" s="366">
        <f t="shared" si="40"/>
        <v>0.65277777777777779</v>
      </c>
      <c r="R2045" s="367" t="str">
        <f t="shared" si="41"/>
        <v>460</v>
      </c>
    </row>
    <row r="2046" spans="1:18" x14ac:dyDescent="0.4">
      <c r="A2046" s="402">
        <v>46135</v>
      </c>
      <c r="B2046" s="392" t="s">
        <v>65</v>
      </c>
      <c r="C2046" s="364" t="s">
        <v>189</v>
      </c>
      <c r="D2046" s="404">
        <v>68</v>
      </c>
      <c r="E2046" s="369">
        <v>3</v>
      </c>
      <c r="F2046" s="368">
        <v>2.0833333333333332E-2</v>
      </c>
      <c r="G2046" s="368">
        <v>0.29166666666666669</v>
      </c>
      <c r="H2046" s="368">
        <v>0.63194444444444442</v>
      </c>
      <c r="I2046" s="372" t="str">
        <f t="shared" si="36"/>
        <v>460</v>
      </c>
      <c r="J2046" s="371">
        <v>4</v>
      </c>
      <c r="K2046" s="371"/>
      <c r="L2046" s="365">
        <v>0.29166666666666669</v>
      </c>
      <c r="M2046" s="365">
        <v>0.67361111111111116</v>
      </c>
      <c r="N2046" s="372" t="str">
        <f t="shared" si="37"/>
        <v>490</v>
      </c>
      <c r="O2046" s="371">
        <f t="shared" si="38"/>
        <v>3340</v>
      </c>
      <c r="P2046" s="366">
        <f t="shared" si="39"/>
        <v>0.29166666666666669</v>
      </c>
      <c r="Q2046" s="366">
        <f t="shared" si="40"/>
        <v>0.67361111111111116</v>
      </c>
      <c r="R2046" s="367" t="str">
        <f t="shared" si="41"/>
        <v>490</v>
      </c>
    </row>
    <row r="2047" spans="1:18" x14ac:dyDescent="0.4">
      <c r="A2047" s="402">
        <v>46136</v>
      </c>
      <c r="B2047" s="392" t="s">
        <v>71</v>
      </c>
      <c r="C2047" s="364" t="s">
        <v>176</v>
      </c>
      <c r="D2047" s="404">
        <v>72</v>
      </c>
      <c r="E2047" s="369">
        <v>6</v>
      </c>
      <c r="F2047" s="370"/>
      <c r="G2047" s="368">
        <v>0.29166666666666669</v>
      </c>
      <c r="H2047" s="368">
        <v>0.70833333333333337</v>
      </c>
      <c r="I2047" s="372" t="str">
        <f t="shared" si="36"/>
        <v>540</v>
      </c>
      <c r="J2047" s="371">
        <v>5</v>
      </c>
      <c r="K2047" s="371"/>
      <c r="L2047" s="365">
        <v>0.3125</v>
      </c>
      <c r="M2047" s="365">
        <v>0.70833333333333337</v>
      </c>
      <c r="N2047" s="372" t="str">
        <f t="shared" si="37"/>
        <v>510</v>
      </c>
      <c r="O2047" s="371">
        <f t="shared" si="38"/>
        <v>5790</v>
      </c>
      <c r="P2047" s="366">
        <f t="shared" si="39"/>
        <v>0.29166666666666669</v>
      </c>
      <c r="Q2047" s="366">
        <f t="shared" si="40"/>
        <v>0.70833333333333337</v>
      </c>
      <c r="R2047" s="367" t="str">
        <f t="shared" si="41"/>
        <v>540</v>
      </c>
    </row>
    <row r="2048" spans="1:18" x14ac:dyDescent="0.4">
      <c r="A2048" s="402">
        <v>46136</v>
      </c>
      <c r="B2048" s="392" t="s">
        <v>63</v>
      </c>
      <c r="C2048" s="364" t="s">
        <v>267</v>
      </c>
      <c r="D2048" s="404">
        <v>20</v>
      </c>
      <c r="E2048" s="369">
        <v>5</v>
      </c>
      <c r="F2048" s="370"/>
      <c r="G2048" s="368">
        <v>0.4548611111111111</v>
      </c>
      <c r="H2048" s="368">
        <v>0.66666666666666663</v>
      </c>
      <c r="I2048" s="372" t="str">
        <f t="shared" si="36"/>
        <v>245</v>
      </c>
      <c r="J2048" s="371">
        <v>3</v>
      </c>
      <c r="K2048" s="371"/>
      <c r="L2048" s="365">
        <v>0.47569444444444442</v>
      </c>
      <c r="M2048" s="365">
        <v>0.6875</v>
      </c>
      <c r="N2048" s="372" t="str">
        <f t="shared" si="37"/>
        <v>245</v>
      </c>
      <c r="O2048" s="371">
        <f t="shared" si="38"/>
        <v>1960</v>
      </c>
      <c r="P2048" s="366">
        <f t="shared" si="39"/>
        <v>0.4548611111111111</v>
      </c>
      <c r="Q2048" s="366">
        <f t="shared" si="40"/>
        <v>0.6875</v>
      </c>
      <c r="R2048" s="367" t="str">
        <f t="shared" si="41"/>
        <v>275</v>
      </c>
    </row>
    <row r="2049" spans="1:18" x14ac:dyDescent="0.4">
      <c r="A2049" s="402">
        <v>46136</v>
      </c>
      <c r="B2049" s="392" t="s">
        <v>64</v>
      </c>
      <c r="C2049" s="364" t="s">
        <v>271</v>
      </c>
      <c r="D2049" s="404">
        <v>18</v>
      </c>
      <c r="E2049" s="369">
        <v>5</v>
      </c>
      <c r="F2049" s="370"/>
      <c r="G2049" s="368">
        <v>0.29166666666666669</v>
      </c>
      <c r="H2049" s="368">
        <v>0.4513888888888889</v>
      </c>
      <c r="I2049" s="372" t="str">
        <f t="shared" si="36"/>
        <v>230</v>
      </c>
      <c r="J2049" s="371">
        <v>3</v>
      </c>
      <c r="K2049" s="371"/>
      <c r="L2049" s="365">
        <v>0.3125</v>
      </c>
      <c r="M2049" s="365">
        <v>0.47569444444444442</v>
      </c>
      <c r="N2049" s="372" t="str">
        <f t="shared" si="37"/>
        <v>235</v>
      </c>
      <c r="O2049" s="371">
        <f t="shared" si="38"/>
        <v>1855</v>
      </c>
      <c r="P2049" s="366">
        <f t="shared" si="39"/>
        <v>0.29166666666666669</v>
      </c>
      <c r="Q2049" s="366">
        <f t="shared" si="40"/>
        <v>0.47569444444444442</v>
      </c>
      <c r="R2049" s="367" t="str">
        <f t="shared" si="41"/>
        <v>265</v>
      </c>
    </row>
    <row r="2050" spans="1:18" x14ac:dyDescent="0.4">
      <c r="A2050" s="402">
        <v>46136</v>
      </c>
      <c r="B2050" s="392" t="s">
        <v>66</v>
      </c>
      <c r="C2050" s="364" t="s">
        <v>195</v>
      </c>
      <c r="D2050" s="404">
        <v>20</v>
      </c>
      <c r="E2050" s="369">
        <v>3</v>
      </c>
      <c r="F2050" s="368">
        <v>2.0833333333333332E-2</v>
      </c>
      <c r="G2050" s="368">
        <v>0.29166666666666669</v>
      </c>
      <c r="H2050" s="368">
        <v>0.40972222222222227</v>
      </c>
      <c r="I2050" s="372" t="str">
        <f t="shared" si="36"/>
        <v>200</v>
      </c>
      <c r="J2050" s="371">
        <v>4</v>
      </c>
      <c r="K2050" s="371"/>
      <c r="L2050" s="365">
        <v>0.29166666666666669</v>
      </c>
      <c r="M2050" s="365">
        <v>0.48958333333333331</v>
      </c>
      <c r="N2050" s="372" t="str">
        <f t="shared" si="37"/>
        <v>285</v>
      </c>
      <c r="O2050" s="371">
        <f t="shared" si="38"/>
        <v>1740</v>
      </c>
      <c r="P2050" s="366">
        <f t="shared" si="39"/>
        <v>0.29166666666666669</v>
      </c>
      <c r="Q2050" s="366">
        <f t="shared" si="40"/>
        <v>0.48958333333333331</v>
      </c>
      <c r="R2050" s="367" t="str">
        <f t="shared" si="41"/>
        <v>285</v>
      </c>
    </row>
    <row r="2051" spans="1:18" x14ac:dyDescent="0.4">
      <c r="A2051" s="402">
        <v>46136</v>
      </c>
      <c r="B2051" s="392" t="s">
        <v>536</v>
      </c>
      <c r="C2051" s="364" t="s">
        <v>306</v>
      </c>
      <c r="D2051" s="404">
        <v>3</v>
      </c>
      <c r="E2051" s="369">
        <v>4</v>
      </c>
      <c r="F2051" s="370"/>
      <c r="G2051" s="368">
        <v>0.45833333333333331</v>
      </c>
      <c r="H2051" s="368">
        <v>0.5</v>
      </c>
      <c r="I2051" s="372" t="str">
        <f t="shared" si="36"/>
        <v>60</v>
      </c>
      <c r="J2051" s="371">
        <v>8</v>
      </c>
      <c r="K2051" s="371"/>
      <c r="L2051" s="365">
        <v>0.625</v>
      </c>
      <c r="M2051" s="365">
        <v>0.70833333333333337</v>
      </c>
      <c r="N2051" s="372" t="str">
        <f t="shared" si="37"/>
        <v>120</v>
      </c>
      <c r="O2051" s="371">
        <f t="shared" si="38"/>
        <v>1200</v>
      </c>
      <c r="P2051" s="366">
        <f t="shared" si="39"/>
        <v>0.45833333333333331</v>
      </c>
      <c r="Q2051" s="366">
        <f t="shared" si="40"/>
        <v>0.70833333333333337</v>
      </c>
      <c r="R2051" s="367" t="str">
        <f t="shared" si="41"/>
        <v>300</v>
      </c>
    </row>
    <row r="2052" spans="1:18" x14ac:dyDescent="0.4">
      <c r="A2052" s="402">
        <v>46136</v>
      </c>
      <c r="B2052" s="392" t="s">
        <v>1669</v>
      </c>
      <c r="C2052" s="364" t="s">
        <v>306</v>
      </c>
      <c r="D2052" s="404">
        <v>3</v>
      </c>
      <c r="E2052" s="369">
        <v>4</v>
      </c>
      <c r="F2052" s="370"/>
      <c r="G2052" s="368">
        <v>0.41666666666666669</v>
      </c>
      <c r="H2052" s="368">
        <v>0.45833333333333331</v>
      </c>
      <c r="I2052" s="372" t="str">
        <f t="shared" si="36"/>
        <v>60</v>
      </c>
      <c r="J2052" s="371">
        <v>8</v>
      </c>
      <c r="K2052" s="371"/>
      <c r="L2052" s="365">
        <v>0.54166666666666663</v>
      </c>
      <c r="M2052" s="365">
        <v>0.625</v>
      </c>
      <c r="N2052" s="372" t="str">
        <f t="shared" si="37"/>
        <v>120</v>
      </c>
      <c r="O2052" s="371">
        <f t="shared" si="38"/>
        <v>1200</v>
      </c>
      <c r="P2052" s="366">
        <f t="shared" si="39"/>
        <v>0.41666666666666669</v>
      </c>
      <c r="Q2052" s="366">
        <f t="shared" si="40"/>
        <v>0.625</v>
      </c>
      <c r="R2052" s="367" t="str">
        <f t="shared" si="41"/>
        <v>240</v>
      </c>
    </row>
    <row r="2053" spans="1:18" x14ac:dyDescent="0.4">
      <c r="A2053" s="402">
        <v>46139</v>
      </c>
      <c r="B2053" s="392" t="s">
        <v>106</v>
      </c>
      <c r="C2053" s="364" t="s">
        <v>173</v>
      </c>
      <c r="D2053" s="404">
        <v>16</v>
      </c>
      <c r="E2053" s="369">
        <v>4</v>
      </c>
      <c r="F2053" s="370"/>
      <c r="G2053" s="368">
        <v>0.54166666666666663</v>
      </c>
      <c r="H2053" s="368">
        <v>0.66666666666666663</v>
      </c>
      <c r="I2053" s="372" t="str">
        <f t="shared" si="36"/>
        <v>180</v>
      </c>
      <c r="J2053" s="371">
        <v>9</v>
      </c>
      <c r="K2053" s="371"/>
      <c r="L2053" s="365">
        <v>0.3125</v>
      </c>
      <c r="M2053" s="365">
        <v>0.72916666666666663</v>
      </c>
      <c r="N2053" s="372" t="str">
        <f t="shared" si="37"/>
        <v>540</v>
      </c>
      <c r="O2053" s="371">
        <f t="shared" si="38"/>
        <v>5580</v>
      </c>
      <c r="P2053" s="366">
        <f t="shared" si="39"/>
        <v>0.3125</v>
      </c>
      <c r="Q2053" s="366">
        <f t="shared" si="40"/>
        <v>0.72916666666666663</v>
      </c>
      <c r="R2053" s="367" t="str">
        <f t="shared" si="41"/>
        <v>540</v>
      </c>
    </row>
    <row r="2054" spans="1:18" x14ac:dyDescent="0.4">
      <c r="A2054" s="402">
        <v>46139</v>
      </c>
      <c r="B2054" s="392" t="s">
        <v>53</v>
      </c>
      <c r="C2054" s="364" t="s">
        <v>261</v>
      </c>
      <c r="D2054" s="404">
        <v>6</v>
      </c>
      <c r="E2054" s="369">
        <v>4</v>
      </c>
      <c r="F2054" s="370"/>
      <c r="G2054" s="368">
        <v>0.46527777777777773</v>
      </c>
      <c r="H2054" s="368">
        <v>0.5</v>
      </c>
      <c r="I2054" s="372" t="str">
        <f t="shared" si="36"/>
        <v>50</v>
      </c>
      <c r="J2054" s="371">
        <v>3</v>
      </c>
      <c r="K2054" s="371"/>
      <c r="L2054" s="365">
        <v>0.47222222222222227</v>
      </c>
      <c r="M2054" s="365">
        <v>0.56944444444444442</v>
      </c>
      <c r="N2054" s="372" t="str">
        <f t="shared" si="37"/>
        <v>80</v>
      </c>
      <c r="O2054" s="371">
        <f t="shared" si="38"/>
        <v>440</v>
      </c>
      <c r="P2054" s="366">
        <f t="shared" si="39"/>
        <v>0.46527777777777773</v>
      </c>
      <c r="Q2054" s="366">
        <f t="shared" si="40"/>
        <v>0.56944444444444442</v>
      </c>
      <c r="R2054" s="367" t="str">
        <f t="shared" si="41"/>
        <v>90</v>
      </c>
    </row>
    <row r="2055" spans="1:18" x14ac:dyDescent="0.4">
      <c r="A2055" s="402">
        <v>46139</v>
      </c>
      <c r="B2055" s="392" t="s">
        <v>451</v>
      </c>
      <c r="C2055" s="364" t="s">
        <v>255</v>
      </c>
      <c r="D2055" s="404">
        <v>6</v>
      </c>
      <c r="E2055" s="369">
        <v>4</v>
      </c>
      <c r="F2055" s="370"/>
      <c r="G2055" s="368">
        <v>0.29166666666666669</v>
      </c>
      <c r="H2055" s="368">
        <v>0.45833333333333331</v>
      </c>
      <c r="I2055" s="372" t="str">
        <f t="shared" si="36"/>
        <v>240</v>
      </c>
      <c r="J2055" s="371">
        <v>3</v>
      </c>
      <c r="K2055" s="371"/>
      <c r="L2055" s="365">
        <v>0.41666666666666669</v>
      </c>
      <c r="M2055" s="365">
        <v>0.47222222222222227</v>
      </c>
      <c r="N2055" s="372" t="str">
        <f t="shared" si="37"/>
        <v>80</v>
      </c>
      <c r="O2055" s="371">
        <f t="shared" si="38"/>
        <v>1200</v>
      </c>
      <c r="P2055" s="366">
        <f t="shared" si="39"/>
        <v>0.29166666666666669</v>
      </c>
      <c r="Q2055" s="366">
        <f t="shared" si="40"/>
        <v>0.47222222222222227</v>
      </c>
      <c r="R2055" s="367" t="str">
        <f t="shared" si="41"/>
        <v>260</v>
      </c>
    </row>
    <row r="2056" spans="1:18" x14ac:dyDescent="0.4">
      <c r="A2056" s="402">
        <v>46139</v>
      </c>
      <c r="B2056" s="392" t="s">
        <v>1062</v>
      </c>
      <c r="C2056" s="364" t="s">
        <v>1064</v>
      </c>
      <c r="D2056" s="404">
        <v>24</v>
      </c>
      <c r="E2056" s="369">
        <v>5</v>
      </c>
      <c r="F2056" s="370"/>
      <c r="G2056" s="368">
        <v>0.42708333333333331</v>
      </c>
      <c r="H2056" s="368">
        <v>0.66666666666666663</v>
      </c>
      <c r="I2056" s="372" t="str">
        <f t="shared" si="36"/>
        <v>285</v>
      </c>
      <c r="J2056" s="371">
        <v>3</v>
      </c>
      <c r="K2056" s="371"/>
      <c r="L2056" s="365">
        <v>0.4513888888888889</v>
      </c>
      <c r="M2056" s="365">
        <v>0.70833333333333337</v>
      </c>
      <c r="N2056" s="372" t="str">
        <f t="shared" si="37"/>
        <v>310</v>
      </c>
      <c r="O2056" s="371">
        <f t="shared" si="38"/>
        <v>2355</v>
      </c>
      <c r="P2056" s="366">
        <f t="shared" si="39"/>
        <v>0.42708333333333331</v>
      </c>
      <c r="Q2056" s="366">
        <f t="shared" si="40"/>
        <v>0.70833333333333337</v>
      </c>
      <c r="R2056" s="367" t="str">
        <f t="shared" si="41"/>
        <v>345</v>
      </c>
    </row>
    <row r="2057" spans="1:18" x14ac:dyDescent="0.4">
      <c r="A2057" s="402">
        <v>46139</v>
      </c>
      <c r="B2057" s="392" t="s">
        <v>72</v>
      </c>
      <c r="C2057" s="364" t="s">
        <v>227</v>
      </c>
      <c r="D2057" s="404">
        <v>16</v>
      </c>
      <c r="E2057" s="369">
        <v>5</v>
      </c>
      <c r="F2057" s="370"/>
      <c r="G2057" s="368">
        <v>0.29166666666666669</v>
      </c>
      <c r="H2057" s="368">
        <v>0.42499999999999999</v>
      </c>
      <c r="I2057" s="372" t="str">
        <f t="shared" si="36"/>
        <v>192</v>
      </c>
      <c r="J2057" s="371">
        <v>3</v>
      </c>
      <c r="K2057" s="371"/>
      <c r="L2057" s="365">
        <v>0.3125</v>
      </c>
      <c r="M2057" s="365">
        <v>0.4513888888888889</v>
      </c>
      <c r="N2057" s="372" t="str">
        <f t="shared" si="37"/>
        <v>200</v>
      </c>
      <c r="O2057" s="371">
        <f t="shared" si="38"/>
        <v>1560</v>
      </c>
      <c r="P2057" s="366">
        <f t="shared" si="39"/>
        <v>0.29166666666666669</v>
      </c>
      <c r="Q2057" s="366">
        <f t="shared" si="40"/>
        <v>0.4513888888888889</v>
      </c>
      <c r="R2057" s="367" t="str">
        <f t="shared" si="41"/>
        <v>230</v>
      </c>
    </row>
    <row r="2058" spans="1:18" x14ac:dyDescent="0.4">
      <c r="A2058" s="402">
        <v>46139</v>
      </c>
      <c r="B2058" s="392" t="s">
        <v>110</v>
      </c>
      <c r="C2058" s="364" t="s">
        <v>231</v>
      </c>
      <c r="D2058" s="404">
        <v>21</v>
      </c>
      <c r="E2058" s="369">
        <v>4</v>
      </c>
      <c r="F2058" s="368">
        <v>2.0833333333333332E-2</v>
      </c>
      <c r="G2058" s="368">
        <v>0.29166666666666669</v>
      </c>
      <c r="H2058" s="368">
        <v>0.67361111111111116</v>
      </c>
      <c r="I2058" s="372" t="str">
        <f t="shared" si="36"/>
        <v>520</v>
      </c>
      <c r="J2058" s="371">
        <v>8</v>
      </c>
      <c r="K2058" s="371"/>
      <c r="L2058" s="365">
        <v>0.3125</v>
      </c>
      <c r="M2058" s="365">
        <v>0.70833333333333337</v>
      </c>
      <c r="N2058" s="372" t="str">
        <f t="shared" si="37"/>
        <v>510</v>
      </c>
      <c r="O2058" s="371">
        <f t="shared" si="38"/>
        <v>6160</v>
      </c>
      <c r="P2058" s="366">
        <f t="shared" si="39"/>
        <v>0.29166666666666669</v>
      </c>
      <c r="Q2058" s="366">
        <f t="shared" si="40"/>
        <v>0.70833333333333337</v>
      </c>
      <c r="R2058" s="367" t="str">
        <f t="shared" si="41"/>
        <v>540</v>
      </c>
    </row>
    <row r="2059" spans="1:18" x14ac:dyDescent="0.4">
      <c r="A2059" s="402">
        <v>46140</v>
      </c>
      <c r="B2059" s="392" t="s">
        <v>64</v>
      </c>
      <c r="C2059" s="364" t="s">
        <v>271</v>
      </c>
      <c r="D2059" s="404">
        <v>30</v>
      </c>
      <c r="E2059" s="369">
        <v>5</v>
      </c>
      <c r="F2059" s="370"/>
      <c r="G2059" s="368">
        <v>0.40277777777777773</v>
      </c>
      <c r="H2059" s="368">
        <v>0.70833333333333337</v>
      </c>
      <c r="I2059" s="372" t="str">
        <f t="shared" si="36"/>
        <v>380</v>
      </c>
      <c r="J2059" s="371">
        <v>3</v>
      </c>
      <c r="K2059" s="371"/>
      <c r="L2059" s="365">
        <v>0.43402777777777773</v>
      </c>
      <c r="M2059" s="365">
        <v>0.70833333333333337</v>
      </c>
      <c r="N2059" s="372" t="str">
        <f t="shared" si="37"/>
        <v>335</v>
      </c>
      <c r="O2059" s="371">
        <f t="shared" si="38"/>
        <v>2905</v>
      </c>
      <c r="P2059" s="366">
        <f t="shared" si="39"/>
        <v>0.40277777777777773</v>
      </c>
      <c r="Q2059" s="366">
        <f t="shared" si="40"/>
        <v>0.70833333333333337</v>
      </c>
      <c r="R2059" s="367" t="str">
        <f t="shared" si="41"/>
        <v>380</v>
      </c>
    </row>
    <row r="2060" spans="1:18" x14ac:dyDescent="0.4">
      <c r="A2060" s="402">
        <v>46140</v>
      </c>
      <c r="B2060" s="392" t="s">
        <v>75</v>
      </c>
      <c r="C2060" s="364" t="s">
        <v>229</v>
      </c>
      <c r="D2060" s="404">
        <v>12</v>
      </c>
      <c r="E2060" s="369">
        <v>5</v>
      </c>
      <c r="F2060" s="370"/>
      <c r="G2060" s="368">
        <v>0.29166666666666669</v>
      </c>
      <c r="H2060" s="368">
        <v>0.40069444444444446</v>
      </c>
      <c r="I2060" s="372" t="str">
        <f t="shared" si="36"/>
        <v>157</v>
      </c>
      <c r="J2060" s="371">
        <v>3</v>
      </c>
      <c r="K2060" s="371"/>
      <c r="L2060" s="365">
        <v>0.3125</v>
      </c>
      <c r="M2060" s="365">
        <v>0.43402777777777773</v>
      </c>
      <c r="N2060" s="372" t="str">
        <f t="shared" si="37"/>
        <v>175</v>
      </c>
      <c r="O2060" s="371">
        <f t="shared" si="38"/>
        <v>1310</v>
      </c>
      <c r="P2060" s="366">
        <f t="shared" si="39"/>
        <v>0.29166666666666669</v>
      </c>
      <c r="Q2060" s="366">
        <f t="shared" si="40"/>
        <v>0.43402777777777773</v>
      </c>
      <c r="R2060" s="367" t="str">
        <f t="shared" si="41"/>
        <v>205</v>
      </c>
    </row>
    <row r="2061" spans="1:18" x14ac:dyDescent="0.4">
      <c r="A2061" s="402">
        <v>46140</v>
      </c>
      <c r="B2061" s="392" t="s">
        <v>108</v>
      </c>
      <c r="C2061" s="364" t="s">
        <v>231</v>
      </c>
      <c r="D2061" s="404">
        <v>21</v>
      </c>
      <c r="E2061" s="369">
        <v>5</v>
      </c>
      <c r="F2061" s="370"/>
      <c r="G2061" s="368">
        <v>0.29166666666666669</v>
      </c>
      <c r="H2061" s="368">
        <v>0.67361111111111116</v>
      </c>
      <c r="I2061" s="372" t="str">
        <f t="shared" si="36"/>
        <v>490</v>
      </c>
      <c r="J2061" s="371">
        <v>7</v>
      </c>
      <c r="K2061" s="371"/>
      <c r="L2061" s="365">
        <v>0.3125</v>
      </c>
      <c r="M2061" s="365">
        <v>0.70833333333333337</v>
      </c>
      <c r="N2061" s="372" t="str">
        <f t="shared" si="37"/>
        <v>510</v>
      </c>
      <c r="O2061" s="371">
        <f t="shared" si="38"/>
        <v>6020</v>
      </c>
      <c r="P2061" s="366">
        <f t="shared" si="39"/>
        <v>0.29166666666666669</v>
      </c>
      <c r="Q2061" s="366">
        <f t="shared" si="40"/>
        <v>0.70833333333333337</v>
      </c>
      <c r="R2061" s="367" t="str">
        <f t="shared" si="41"/>
        <v>540</v>
      </c>
    </row>
    <row r="2062" spans="1:18" x14ac:dyDescent="0.4">
      <c r="A2062" s="402">
        <v>46140</v>
      </c>
      <c r="B2062" s="392" t="s">
        <v>65</v>
      </c>
      <c r="C2062" s="364" t="s">
        <v>189</v>
      </c>
      <c r="D2062" s="404">
        <v>68</v>
      </c>
      <c r="E2062" s="369">
        <v>3</v>
      </c>
      <c r="F2062" s="368">
        <v>2.0833333333333332E-2</v>
      </c>
      <c r="G2062" s="368">
        <v>0.29166666666666669</v>
      </c>
      <c r="H2062" s="368">
        <v>0.67361111111111116</v>
      </c>
      <c r="I2062" s="372" t="str">
        <f t="shared" si="36"/>
        <v>520</v>
      </c>
      <c r="J2062" s="371">
        <v>4</v>
      </c>
      <c r="K2062" s="371"/>
      <c r="L2062" s="365">
        <v>0.29166666666666669</v>
      </c>
      <c r="M2062" s="365">
        <v>0.70833333333333337</v>
      </c>
      <c r="N2062" s="372" t="str">
        <f t="shared" si="37"/>
        <v>540</v>
      </c>
      <c r="O2062" s="371">
        <f t="shared" si="38"/>
        <v>3720</v>
      </c>
      <c r="P2062" s="366">
        <f t="shared" si="39"/>
        <v>0.29166666666666669</v>
      </c>
      <c r="Q2062" s="366">
        <f t="shared" si="40"/>
        <v>0.70833333333333337</v>
      </c>
      <c r="R2062" s="367" t="str">
        <f t="shared" si="41"/>
        <v>540</v>
      </c>
    </row>
    <row r="2063" spans="1:18" x14ac:dyDescent="0.4">
      <c r="A2063" s="403">
        <v>46140</v>
      </c>
      <c r="B2063" s="383">
        <v>151010</v>
      </c>
      <c r="C2063" s="390" t="s">
        <v>482</v>
      </c>
      <c r="D2063" s="405">
        <v>1</v>
      </c>
      <c r="E2063" s="384"/>
      <c r="F2063" s="385"/>
      <c r="G2063" s="396"/>
      <c r="H2063" s="396"/>
      <c r="I2063" s="386" t="str">
        <f t="shared" si="36"/>
        <v>0</v>
      </c>
      <c r="J2063" s="387"/>
      <c r="K2063" s="387"/>
      <c r="L2063" s="388"/>
      <c r="M2063" s="388"/>
      <c r="N2063" s="386" t="str">
        <f t="shared" si="37"/>
        <v>0</v>
      </c>
      <c r="O2063" s="387">
        <f t="shared" si="38"/>
        <v>0</v>
      </c>
      <c r="P2063" s="391">
        <f t="shared" si="39"/>
        <v>0</v>
      </c>
      <c r="Q2063" s="391">
        <f t="shared" si="40"/>
        <v>0</v>
      </c>
      <c r="R2063" s="389" t="str">
        <f t="shared" si="41"/>
        <v>0</v>
      </c>
    </row>
    <row r="2064" spans="1:18" x14ac:dyDescent="0.4">
      <c r="A2064" s="403">
        <v>46140</v>
      </c>
      <c r="B2064" s="383" t="s">
        <v>434</v>
      </c>
      <c r="C2064" s="390" t="s">
        <v>545</v>
      </c>
      <c r="D2064" s="405">
        <v>30</v>
      </c>
      <c r="E2064" s="384"/>
      <c r="F2064" s="385"/>
      <c r="G2064" s="396"/>
      <c r="H2064" s="396"/>
      <c r="I2064" s="386" t="str">
        <f t="shared" si="36"/>
        <v>0</v>
      </c>
      <c r="J2064" s="387"/>
      <c r="K2064" s="387"/>
      <c r="L2064" s="388"/>
      <c r="M2064" s="388"/>
      <c r="N2064" s="386" t="str">
        <f t="shared" si="37"/>
        <v>0</v>
      </c>
      <c r="O2064" s="387">
        <f t="shared" si="38"/>
        <v>0</v>
      </c>
      <c r="P2064" s="391">
        <f t="shared" si="39"/>
        <v>0</v>
      </c>
      <c r="Q2064" s="391">
        <f t="shared" si="40"/>
        <v>0</v>
      </c>
      <c r="R2064" s="389" t="str">
        <f t="shared" si="41"/>
        <v>0</v>
      </c>
    </row>
    <row r="2065" spans="1:18" x14ac:dyDescent="0.4">
      <c r="A2065" s="403">
        <v>46140</v>
      </c>
      <c r="B2065" s="383" t="s">
        <v>500</v>
      </c>
      <c r="C2065" s="390" t="s">
        <v>506</v>
      </c>
      <c r="D2065" s="405">
        <v>25</v>
      </c>
      <c r="E2065" s="384"/>
      <c r="F2065" s="385"/>
      <c r="G2065" s="396"/>
      <c r="H2065" s="396"/>
      <c r="I2065" s="386" t="str">
        <f t="shared" si="36"/>
        <v>0</v>
      </c>
      <c r="J2065" s="387"/>
      <c r="K2065" s="387"/>
      <c r="L2065" s="388"/>
      <c r="M2065" s="388"/>
      <c r="N2065" s="386" t="str">
        <f t="shared" si="37"/>
        <v>0</v>
      </c>
      <c r="O2065" s="387">
        <f t="shared" si="38"/>
        <v>0</v>
      </c>
      <c r="P2065" s="391">
        <f t="shared" si="39"/>
        <v>0</v>
      </c>
      <c r="Q2065" s="391">
        <f t="shared" si="40"/>
        <v>0</v>
      </c>
      <c r="R2065" s="389" t="str">
        <f t="shared" si="41"/>
        <v>0</v>
      </c>
    </row>
    <row r="2066" spans="1:18" x14ac:dyDescent="0.4">
      <c r="A2066" s="402">
        <v>46141</v>
      </c>
      <c r="B2066" s="392" t="s">
        <v>80</v>
      </c>
      <c r="C2066" s="364" t="s">
        <v>203</v>
      </c>
      <c r="D2066" s="404">
        <v>36</v>
      </c>
      <c r="E2066" s="369">
        <v>6</v>
      </c>
      <c r="F2066" s="370"/>
      <c r="G2066" s="368">
        <v>0.29166666666666669</v>
      </c>
      <c r="H2066" s="368">
        <v>0.5</v>
      </c>
      <c r="I2066" s="372" t="str">
        <f t="shared" si="36"/>
        <v>300</v>
      </c>
      <c r="J2066" s="371">
        <v>5</v>
      </c>
      <c r="K2066" s="371"/>
      <c r="L2066" s="365">
        <v>0.3125</v>
      </c>
      <c r="M2066" s="365">
        <v>0.5</v>
      </c>
      <c r="N2066" s="372" t="str">
        <f t="shared" si="37"/>
        <v>270</v>
      </c>
      <c r="O2066" s="371">
        <f t="shared" si="38"/>
        <v>3150</v>
      </c>
      <c r="P2066" s="366">
        <f t="shared" si="39"/>
        <v>0.29166666666666669</v>
      </c>
      <c r="Q2066" s="366">
        <f t="shared" si="40"/>
        <v>0.5</v>
      </c>
      <c r="R2066" s="367" t="str">
        <f t="shared" si="41"/>
        <v>300</v>
      </c>
    </row>
    <row r="2067" spans="1:18" x14ac:dyDescent="0.4">
      <c r="A2067" s="402">
        <v>46141</v>
      </c>
      <c r="B2067" s="392" t="s">
        <v>86</v>
      </c>
      <c r="C2067" s="364" t="s">
        <v>201</v>
      </c>
      <c r="D2067" s="404">
        <v>20</v>
      </c>
      <c r="E2067" s="369">
        <v>6</v>
      </c>
      <c r="F2067" s="370"/>
      <c r="G2067" s="368">
        <v>0.54166666666666663</v>
      </c>
      <c r="H2067" s="368">
        <v>0.70833333333333337</v>
      </c>
      <c r="I2067" s="372" t="str">
        <f t="shared" si="36"/>
        <v>240</v>
      </c>
      <c r="J2067" s="371">
        <v>5</v>
      </c>
      <c r="K2067" s="371"/>
      <c r="L2067" s="365">
        <v>0.54166666666666663</v>
      </c>
      <c r="M2067" s="365">
        <v>0.66666666666666663</v>
      </c>
      <c r="N2067" s="372" t="str">
        <f t="shared" si="37"/>
        <v>180</v>
      </c>
      <c r="O2067" s="371">
        <f t="shared" si="38"/>
        <v>2340</v>
      </c>
      <c r="P2067" s="366">
        <f t="shared" si="39"/>
        <v>0.54166666666666663</v>
      </c>
      <c r="Q2067" s="366">
        <f t="shared" si="40"/>
        <v>0.70833333333333337</v>
      </c>
      <c r="R2067" s="367" t="str">
        <f t="shared" si="41"/>
        <v>240</v>
      </c>
    </row>
    <row r="2068" spans="1:18" x14ac:dyDescent="0.4">
      <c r="A2068" s="402">
        <v>46141</v>
      </c>
      <c r="B2068" s="392" t="s">
        <v>63</v>
      </c>
      <c r="C2068" s="364" t="s">
        <v>267</v>
      </c>
      <c r="D2068" s="404">
        <v>24</v>
      </c>
      <c r="E2068" s="369">
        <v>5</v>
      </c>
      <c r="F2068" s="370"/>
      <c r="G2068" s="368">
        <v>0.4201388888888889</v>
      </c>
      <c r="H2068" s="368">
        <v>0.6875</v>
      </c>
      <c r="I2068" s="372" t="str">
        <f t="shared" si="36"/>
        <v>325</v>
      </c>
      <c r="J2068" s="371">
        <v>3</v>
      </c>
      <c r="K2068" s="371"/>
      <c r="L2068" s="365">
        <v>0.46875</v>
      </c>
      <c r="M2068" s="365">
        <v>0.6875</v>
      </c>
      <c r="N2068" s="372" t="str">
        <f t="shared" si="37"/>
        <v>255</v>
      </c>
      <c r="O2068" s="371">
        <f t="shared" si="38"/>
        <v>2390</v>
      </c>
      <c r="P2068" s="366">
        <f t="shared" si="39"/>
        <v>0.4201388888888889</v>
      </c>
      <c r="Q2068" s="366">
        <f t="shared" si="40"/>
        <v>0.6875</v>
      </c>
      <c r="R2068" s="367" t="str">
        <f t="shared" si="41"/>
        <v>325</v>
      </c>
    </row>
    <row r="2069" spans="1:18" x14ac:dyDescent="0.4">
      <c r="A2069" s="402">
        <v>46141</v>
      </c>
      <c r="B2069" s="392" t="s">
        <v>81</v>
      </c>
      <c r="C2069" s="364" t="s">
        <v>235</v>
      </c>
      <c r="D2069" s="404">
        <v>12</v>
      </c>
      <c r="E2069" s="369">
        <v>5</v>
      </c>
      <c r="F2069" s="370"/>
      <c r="G2069" s="368">
        <v>0.29166666666666669</v>
      </c>
      <c r="H2069" s="368">
        <v>0.3888888888888889</v>
      </c>
      <c r="I2069" s="372" t="str">
        <f t="shared" si="36"/>
        <v>140</v>
      </c>
      <c r="J2069" s="371">
        <v>3</v>
      </c>
      <c r="K2069" s="371"/>
      <c r="L2069" s="365">
        <v>0.3125</v>
      </c>
      <c r="M2069" s="365">
        <v>0.41666666666666669</v>
      </c>
      <c r="N2069" s="372" t="str">
        <f t="shared" si="37"/>
        <v>150</v>
      </c>
      <c r="O2069" s="371">
        <f t="shared" si="38"/>
        <v>1150</v>
      </c>
      <c r="P2069" s="366">
        <f t="shared" si="39"/>
        <v>0.29166666666666669</v>
      </c>
      <c r="Q2069" s="366">
        <f t="shared" si="40"/>
        <v>0.41666666666666669</v>
      </c>
      <c r="R2069" s="367" t="str">
        <f t="shared" si="41"/>
        <v>180</v>
      </c>
    </row>
    <row r="2070" spans="1:18" x14ac:dyDescent="0.4">
      <c r="A2070" s="402">
        <v>46141</v>
      </c>
      <c r="B2070" s="392" t="s">
        <v>1673</v>
      </c>
      <c r="C2070" s="364" t="s">
        <v>235</v>
      </c>
      <c r="D2070" s="404">
        <v>4</v>
      </c>
      <c r="E2070" s="369">
        <v>5</v>
      </c>
      <c r="F2070" s="370"/>
      <c r="G2070" s="368">
        <v>0.3888888888888889</v>
      </c>
      <c r="H2070" s="368">
        <v>0.41666666666666669</v>
      </c>
      <c r="I2070" s="372" t="str">
        <f t="shared" si="36"/>
        <v>40</v>
      </c>
      <c r="J2070" s="371">
        <v>3</v>
      </c>
      <c r="K2070" s="371"/>
      <c r="L2070" s="365">
        <v>0.41666666666666669</v>
      </c>
      <c r="M2070" s="365">
        <v>0.46875</v>
      </c>
      <c r="N2070" s="372" t="str">
        <f t="shared" si="37"/>
        <v>75</v>
      </c>
      <c r="O2070" s="371">
        <f t="shared" si="38"/>
        <v>425</v>
      </c>
      <c r="P2070" s="366">
        <f t="shared" si="39"/>
        <v>0.3888888888888889</v>
      </c>
      <c r="Q2070" s="366">
        <f t="shared" si="40"/>
        <v>0.46875</v>
      </c>
      <c r="R2070" s="367" t="str">
        <f t="shared" si="41"/>
        <v>115</v>
      </c>
    </row>
    <row r="2071" spans="1:18" x14ac:dyDescent="0.4">
      <c r="A2071" s="402">
        <v>46141</v>
      </c>
      <c r="B2071" s="392" t="s">
        <v>97</v>
      </c>
      <c r="C2071" s="364" t="s">
        <v>274</v>
      </c>
      <c r="D2071" s="404">
        <v>8</v>
      </c>
      <c r="E2071" s="369">
        <v>3</v>
      </c>
      <c r="F2071" s="368">
        <v>2.7777777777777776E-2</v>
      </c>
      <c r="G2071" s="368">
        <v>0.29166666666666669</v>
      </c>
      <c r="H2071" s="368">
        <v>0.33333333333333331</v>
      </c>
      <c r="I2071" s="372" t="str">
        <f t="shared" si="36"/>
        <v>100</v>
      </c>
      <c r="J2071" s="371">
        <v>4</v>
      </c>
      <c r="K2071" s="371"/>
      <c r="L2071" s="365">
        <v>0.29166666666666669</v>
      </c>
      <c r="M2071" s="365">
        <v>0.36805555555555558</v>
      </c>
      <c r="N2071" s="372" t="str">
        <f t="shared" si="37"/>
        <v>110</v>
      </c>
      <c r="O2071" s="371">
        <f t="shared" si="38"/>
        <v>740</v>
      </c>
      <c r="P2071" s="366">
        <f t="shared" si="39"/>
        <v>0.29166666666666669</v>
      </c>
      <c r="Q2071" s="366">
        <f t="shared" si="40"/>
        <v>0.36805555555555558</v>
      </c>
      <c r="R2071" s="367" t="str">
        <f t="shared" si="41"/>
        <v>110</v>
      </c>
    </row>
    <row r="2072" spans="1:18" x14ac:dyDescent="0.4">
      <c r="A2072" s="402">
        <v>46141</v>
      </c>
      <c r="B2072" s="392" t="s">
        <v>131</v>
      </c>
      <c r="C2072" s="364" t="s">
        <v>274</v>
      </c>
      <c r="D2072" s="404">
        <v>24</v>
      </c>
      <c r="E2072" s="369">
        <v>3</v>
      </c>
      <c r="F2072" s="370"/>
      <c r="G2072" s="368">
        <v>0.33333333333333331</v>
      </c>
      <c r="H2072" s="368">
        <v>0.44444444444444442</v>
      </c>
      <c r="I2072" s="372" t="str">
        <f t="shared" si="36"/>
        <v>160</v>
      </c>
      <c r="J2072" s="371">
        <v>4</v>
      </c>
      <c r="K2072" s="371"/>
      <c r="L2072" s="365">
        <v>0.36805555555555558</v>
      </c>
      <c r="M2072" s="365">
        <v>0.4826388888888889</v>
      </c>
      <c r="N2072" s="372" t="str">
        <f t="shared" si="37"/>
        <v>165</v>
      </c>
      <c r="O2072" s="371">
        <f t="shared" si="38"/>
        <v>1140</v>
      </c>
      <c r="P2072" s="366">
        <f t="shared" si="39"/>
        <v>0.33333333333333331</v>
      </c>
      <c r="Q2072" s="366">
        <f t="shared" si="40"/>
        <v>0.4826388888888889</v>
      </c>
      <c r="R2072" s="367" t="str">
        <f t="shared" si="41"/>
        <v>215</v>
      </c>
    </row>
    <row r="2073" spans="1:18" x14ac:dyDescent="0.4">
      <c r="A2073" s="402">
        <v>46141</v>
      </c>
      <c r="B2073" s="392" t="s">
        <v>123</v>
      </c>
      <c r="C2073" s="364" t="s">
        <v>277</v>
      </c>
      <c r="D2073" s="404">
        <v>32</v>
      </c>
      <c r="E2073" s="369">
        <v>3</v>
      </c>
      <c r="F2073" s="370"/>
      <c r="G2073" s="368">
        <v>0.44444444444444442</v>
      </c>
      <c r="H2073" s="368">
        <v>0.63888888888888895</v>
      </c>
      <c r="I2073" s="372" t="str">
        <f t="shared" si="36"/>
        <v>220</v>
      </c>
      <c r="J2073" s="371">
        <v>4</v>
      </c>
      <c r="K2073" s="371"/>
      <c r="L2073" s="365">
        <v>0.4826388888888889</v>
      </c>
      <c r="M2073" s="365">
        <v>0.68055555555555547</v>
      </c>
      <c r="N2073" s="372" t="str">
        <f t="shared" si="37"/>
        <v>225</v>
      </c>
      <c r="O2073" s="371">
        <f t="shared" si="38"/>
        <v>1560</v>
      </c>
      <c r="P2073" s="366">
        <f t="shared" si="39"/>
        <v>0.44444444444444442</v>
      </c>
      <c r="Q2073" s="366">
        <f t="shared" si="40"/>
        <v>0.68055555555555547</v>
      </c>
      <c r="R2073" s="367" t="str">
        <f t="shared" si="41"/>
        <v>280</v>
      </c>
    </row>
    <row r="2074" spans="1:18" x14ac:dyDescent="0.4">
      <c r="A2074" s="402">
        <v>46142</v>
      </c>
      <c r="B2074" s="392" t="s">
        <v>965</v>
      </c>
      <c r="C2074" s="364" t="s">
        <v>966</v>
      </c>
      <c r="D2074" s="404">
        <v>16</v>
      </c>
      <c r="E2074" s="369">
        <v>5</v>
      </c>
      <c r="F2074" s="370"/>
      <c r="G2074" s="368">
        <v>0.29166666666666669</v>
      </c>
      <c r="H2074" s="368">
        <v>0.40972222222222227</v>
      </c>
      <c r="I2074" s="372" t="str">
        <f t="shared" si="36"/>
        <v>170</v>
      </c>
      <c r="J2074" s="371">
        <v>3</v>
      </c>
      <c r="K2074" s="371"/>
      <c r="L2074" s="365">
        <v>0.3125</v>
      </c>
      <c r="M2074" s="365">
        <v>0.4375</v>
      </c>
      <c r="N2074" s="372" t="str">
        <f t="shared" si="37"/>
        <v>180</v>
      </c>
      <c r="O2074" s="371">
        <f t="shared" si="38"/>
        <v>1390</v>
      </c>
      <c r="P2074" s="366">
        <f t="shared" si="39"/>
        <v>0.29166666666666669</v>
      </c>
      <c r="Q2074" s="366">
        <f t="shared" si="40"/>
        <v>0.4375</v>
      </c>
      <c r="R2074" s="367" t="str">
        <f t="shared" si="41"/>
        <v>210</v>
      </c>
    </row>
    <row r="2075" spans="1:18" x14ac:dyDescent="0.4">
      <c r="A2075" s="402">
        <v>46142</v>
      </c>
      <c r="B2075" s="392" t="s">
        <v>63</v>
      </c>
      <c r="C2075" s="364" t="s">
        <v>267</v>
      </c>
      <c r="D2075" s="404">
        <v>24</v>
      </c>
      <c r="E2075" s="369">
        <v>5</v>
      </c>
      <c r="F2075" s="370"/>
      <c r="G2075" s="368">
        <v>0.40972222222222227</v>
      </c>
      <c r="H2075" s="368">
        <v>0.66666666666666663</v>
      </c>
      <c r="I2075" s="372" t="str">
        <f t="shared" si="36"/>
        <v>310</v>
      </c>
      <c r="J2075" s="371">
        <v>3</v>
      </c>
      <c r="K2075" s="371"/>
      <c r="L2075" s="365">
        <v>0.4375</v>
      </c>
      <c r="M2075" s="365">
        <v>0.6875</v>
      </c>
      <c r="N2075" s="372" t="str">
        <f t="shared" si="37"/>
        <v>300</v>
      </c>
      <c r="O2075" s="371">
        <f t="shared" si="38"/>
        <v>2450</v>
      </c>
      <c r="P2075" s="366">
        <f t="shared" si="39"/>
        <v>0.40972222222222227</v>
      </c>
      <c r="Q2075" s="366">
        <f t="shared" si="40"/>
        <v>0.6875</v>
      </c>
      <c r="R2075" s="367" t="str">
        <f t="shared" si="41"/>
        <v>340</v>
      </c>
    </row>
    <row r="2076" spans="1:18" x14ac:dyDescent="0.4">
      <c r="A2076" s="402">
        <v>46142</v>
      </c>
      <c r="B2076" s="392" t="s">
        <v>73</v>
      </c>
      <c r="C2076" s="364" t="s">
        <v>231</v>
      </c>
      <c r="D2076" s="404">
        <v>21</v>
      </c>
      <c r="E2076" s="369">
        <v>5</v>
      </c>
      <c r="F2076" s="370"/>
      <c r="G2076" s="368">
        <v>0.29166666666666669</v>
      </c>
      <c r="H2076" s="368">
        <v>0.66666666666666663</v>
      </c>
      <c r="I2076" s="372" t="str">
        <f t="shared" si="36"/>
        <v>480</v>
      </c>
      <c r="J2076" s="371">
        <v>7</v>
      </c>
      <c r="K2076" s="371"/>
      <c r="L2076" s="365">
        <v>0.3125</v>
      </c>
      <c r="M2076" s="365">
        <v>0.70833333333333337</v>
      </c>
      <c r="N2076" s="372" t="str">
        <f t="shared" si="37"/>
        <v>510</v>
      </c>
      <c r="O2076" s="371">
        <f t="shared" si="38"/>
        <v>5970</v>
      </c>
      <c r="P2076" s="366">
        <f t="shared" si="39"/>
        <v>0.29166666666666669</v>
      </c>
      <c r="Q2076" s="366">
        <f t="shared" si="40"/>
        <v>0.70833333333333337</v>
      </c>
      <c r="R2076" s="367" t="str">
        <f t="shared" si="41"/>
        <v>540</v>
      </c>
    </row>
    <row r="2077" spans="1:18" x14ac:dyDescent="0.4">
      <c r="A2077" s="402">
        <v>46142</v>
      </c>
      <c r="B2077" s="392" t="s">
        <v>82</v>
      </c>
      <c r="C2077" s="364" t="s">
        <v>171</v>
      </c>
      <c r="D2077" s="404">
        <v>16</v>
      </c>
      <c r="E2077" s="369">
        <v>3</v>
      </c>
      <c r="F2077" s="370"/>
      <c r="G2077" s="368">
        <v>0.4861111111111111</v>
      </c>
      <c r="H2077" s="368">
        <v>0.63888888888888895</v>
      </c>
      <c r="I2077" s="372" t="str">
        <f t="shared" si="36"/>
        <v>160</v>
      </c>
      <c r="J2077" s="371">
        <v>7</v>
      </c>
      <c r="K2077" s="371"/>
      <c r="L2077" s="365">
        <v>0.57986111111111105</v>
      </c>
      <c r="M2077" s="365">
        <v>0.70833333333333337</v>
      </c>
      <c r="N2077" s="372" t="str">
        <f t="shared" si="37"/>
        <v>185</v>
      </c>
      <c r="O2077" s="371">
        <f t="shared" si="38"/>
        <v>1775</v>
      </c>
      <c r="P2077" s="366">
        <f t="shared" si="39"/>
        <v>0.4861111111111111</v>
      </c>
      <c r="Q2077" s="366">
        <f t="shared" si="40"/>
        <v>0.70833333333333337</v>
      </c>
      <c r="R2077" s="367" t="str">
        <f t="shared" si="41"/>
        <v>260</v>
      </c>
    </row>
    <row r="2078" spans="1:18" x14ac:dyDescent="0.4">
      <c r="A2078" s="402">
        <v>46142</v>
      </c>
      <c r="B2078" s="392" t="s">
        <v>104</v>
      </c>
      <c r="C2078" s="364" t="s">
        <v>191</v>
      </c>
      <c r="D2078" s="404">
        <v>28</v>
      </c>
      <c r="E2078" s="369">
        <v>3</v>
      </c>
      <c r="F2078" s="368">
        <v>2.0833333333333332E-2</v>
      </c>
      <c r="G2078" s="368">
        <v>0.375</v>
      </c>
      <c r="H2078" s="368">
        <v>0.47222222222222227</v>
      </c>
      <c r="I2078" s="372" t="str">
        <f t="shared" si="36"/>
        <v>170</v>
      </c>
      <c r="J2078" s="371">
        <v>4</v>
      </c>
      <c r="K2078" s="371"/>
      <c r="L2078" s="365">
        <v>0.29166666666666669</v>
      </c>
      <c r="M2078" s="365">
        <v>0.57638888888888895</v>
      </c>
      <c r="N2078" s="372" t="str">
        <f t="shared" si="37"/>
        <v>350</v>
      </c>
      <c r="O2078" s="371">
        <f t="shared" si="38"/>
        <v>1910</v>
      </c>
      <c r="P2078" s="366">
        <f t="shared" si="39"/>
        <v>0.29166666666666669</v>
      </c>
      <c r="Q2078" s="366">
        <f t="shared" si="40"/>
        <v>0.57638888888888895</v>
      </c>
      <c r="R2078" s="367" t="str">
        <f t="shared" si="41"/>
        <v>350</v>
      </c>
    </row>
    <row r="2079" spans="1:18" x14ac:dyDescent="0.4">
      <c r="A2079" s="402">
        <v>46142</v>
      </c>
      <c r="B2079" s="392" t="s">
        <v>558</v>
      </c>
      <c r="C2079" s="364" t="s">
        <v>191</v>
      </c>
      <c r="D2079" s="404">
        <v>4</v>
      </c>
      <c r="E2079" s="369">
        <v>3</v>
      </c>
      <c r="F2079" s="368">
        <v>2.0833333333333332E-2</v>
      </c>
      <c r="G2079" s="368">
        <v>0.29166666666666669</v>
      </c>
      <c r="H2079" s="368">
        <v>0.375</v>
      </c>
      <c r="I2079" s="372" t="str">
        <f t="shared" si="36"/>
        <v>150</v>
      </c>
      <c r="J2079" s="371">
        <v>4</v>
      </c>
      <c r="K2079" s="371"/>
      <c r="L2079" s="365">
        <v>0.29166666666666669</v>
      </c>
      <c r="M2079" s="365">
        <v>0.37847222222222227</v>
      </c>
      <c r="N2079" s="372" t="str">
        <f t="shared" si="37"/>
        <v>125</v>
      </c>
      <c r="O2079" s="371">
        <f t="shared" si="38"/>
        <v>950</v>
      </c>
      <c r="P2079" s="366">
        <f t="shared" si="39"/>
        <v>0.29166666666666669</v>
      </c>
      <c r="Q2079" s="366">
        <f t="shared" si="40"/>
        <v>0.37847222222222227</v>
      </c>
      <c r="R2079" s="367" t="str">
        <f t="shared" si="41"/>
        <v>125</v>
      </c>
    </row>
    <row r="2080" spans="1:18" x14ac:dyDescent="0.4">
      <c r="A2080" s="403">
        <v>46142</v>
      </c>
      <c r="B2080" s="383">
        <v>111010</v>
      </c>
      <c r="C2080" s="390" t="s">
        <v>480</v>
      </c>
      <c r="D2080" s="405">
        <v>1</v>
      </c>
      <c r="E2080" s="384"/>
      <c r="F2080" s="385"/>
      <c r="G2080" s="396"/>
      <c r="H2080" s="396"/>
      <c r="I2080" s="386" t="str">
        <f t="shared" si="36"/>
        <v>0</v>
      </c>
      <c r="J2080" s="387"/>
      <c r="K2080" s="387"/>
      <c r="L2080" s="388"/>
      <c r="M2080" s="388"/>
      <c r="N2080" s="386" t="str">
        <f t="shared" si="37"/>
        <v>0</v>
      </c>
      <c r="O2080" s="387">
        <f t="shared" si="38"/>
        <v>0</v>
      </c>
      <c r="P2080" s="391">
        <f t="shared" si="39"/>
        <v>0</v>
      </c>
      <c r="Q2080" s="391">
        <f t="shared" si="40"/>
        <v>0</v>
      </c>
      <c r="R2080" s="389" t="str">
        <f t="shared" si="41"/>
        <v>0</v>
      </c>
    </row>
    <row r="2081" spans="1:18" x14ac:dyDescent="0.4">
      <c r="A2081" s="402">
        <v>46146</v>
      </c>
      <c r="B2081" s="392" t="s">
        <v>71</v>
      </c>
      <c r="C2081" s="364" t="s">
        <v>176</v>
      </c>
      <c r="D2081" s="404">
        <v>68</v>
      </c>
      <c r="E2081" s="369">
        <v>6</v>
      </c>
      <c r="F2081" s="370"/>
      <c r="G2081" s="368">
        <v>0.29166666666666669</v>
      </c>
      <c r="H2081" s="368">
        <v>0.66666666666666663</v>
      </c>
      <c r="I2081" s="372" t="str">
        <f t="shared" si="36"/>
        <v>480</v>
      </c>
      <c r="J2081" s="371">
        <v>5</v>
      </c>
      <c r="K2081" s="371"/>
      <c r="L2081" s="365">
        <v>0.3125</v>
      </c>
      <c r="M2081" s="365">
        <v>0.70833333333333337</v>
      </c>
      <c r="N2081" s="372" t="str">
        <f t="shared" si="37"/>
        <v>510</v>
      </c>
      <c r="O2081" s="371">
        <f t="shared" si="38"/>
        <v>5430</v>
      </c>
      <c r="P2081" s="366">
        <f t="shared" si="39"/>
        <v>0.29166666666666669</v>
      </c>
      <c r="Q2081" s="366">
        <f t="shared" si="40"/>
        <v>0.70833333333333337</v>
      </c>
      <c r="R2081" s="367" t="str">
        <f t="shared" si="41"/>
        <v>540</v>
      </c>
    </row>
    <row r="2082" spans="1:18" x14ac:dyDescent="0.4">
      <c r="A2082" s="402">
        <v>46146</v>
      </c>
      <c r="B2082" s="392" t="s">
        <v>77</v>
      </c>
      <c r="C2082" s="364" t="s">
        <v>293</v>
      </c>
      <c r="D2082" s="404">
        <v>8</v>
      </c>
      <c r="E2082" s="369">
        <v>5</v>
      </c>
      <c r="F2082" s="370"/>
      <c r="G2082" s="368">
        <v>0.37152777777777773</v>
      </c>
      <c r="H2082" s="368">
        <v>0.44444444444444442</v>
      </c>
      <c r="I2082" s="372" t="str">
        <f t="shared" si="36"/>
        <v>105</v>
      </c>
      <c r="J2082" s="371">
        <v>3</v>
      </c>
      <c r="K2082" s="371"/>
      <c r="L2082" s="365">
        <v>0.40972222222222227</v>
      </c>
      <c r="M2082" s="365">
        <v>0.48958333333333331</v>
      </c>
      <c r="N2082" s="372" t="str">
        <f t="shared" si="37"/>
        <v>115</v>
      </c>
      <c r="O2082" s="371">
        <f t="shared" si="38"/>
        <v>870</v>
      </c>
      <c r="P2082" s="366">
        <f t="shared" si="39"/>
        <v>0.37152777777777773</v>
      </c>
      <c r="Q2082" s="366">
        <f t="shared" si="40"/>
        <v>0.48958333333333331</v>
      </c>
      <c r="R2082" s="367" t="str">
        <f t="shared" si="41"/>
        <v>170</v>
      </c>
    </row>
    <row r="2083" spans="1:18" x14ac:dyDescent="0.4">
      <c r="A2083" s="402">
        <v>46146</v>
      </c>
      <c r="B2083" s="392" t="s">
        <v>63</v>
      </c>
      <c r="C2083" s="364" t="s">
        <v>267</v>
      </c>
      <c r="D2083" s="404">
        <v>24</v>
      </c>
      <c r="E2083" s="369">
        <v>5</v>
      </c>
      <c r="F2083" s="370"/>
      <c r="G2083" s="368">
        <v>0.44444444444444442</v>
      </c>
      <c r="H2083" s="368">
        <v>0.6875</v>
      </c>
      <c r="I2083" s="372" t="str">
        <f t="shared" si="36"/>
        <v>290</v>
      </c>
      <c r="J2083" s="371">
        <v>3</v>
      </c>
      <c r="K2083" s="371"/>
      <c r="L2083" s="365">
        <v>0.48958333333333331</v>
      </c>
      <c r="M2083" s="365">
        <v>0.70833333333333337</v>
      </c>
      <c r="N2083" s="372" t="str">
        <f t="shared" si="37"/>
        <v>255</v>
      </c>
      <c r="O2083" s="371">
        <f t="shared" si="38"/>
        <v>2215</v>
      </c>
      <c r="P2083" s="366">
        <f t="shared" si="39"/>
        <v>0.44444444444444442</v>
      </c>
      <c r="Q2083" s="366">
        <f t="shared" si="40"/>
        <v>0.70833333333333337</v>
      </c>
      <c r="R2083" s="367" t="str">
        <f t="shared" si="41"/>
        <v>320</v>
      </c>
    </row>
    <row r="2084" spans="1:18" x14ac:dyDescent="0.4">
      <c r="A2084" s="402">
        <v>46146</v>
      </c>
      <c r="B2084" s="392" t="s">
        <v>128</v>
      </c>
      <c r="C2084" s="364" t="s">
        <v>312</v>
      </c>
      <c r="D2084" s="404">
        <v>8</v>
      </c>
      <c r="E2084" s="369">
        <v>5</v>
      </c>
      <c r="F2084" s="370"/>
      <c r="G2084" s="368">
        <v>0.29166666666666669</v>
      </c>
      <c r="H2084" s="368">
        <v>0.37152777777777773</v>
      </c>
      <c r="I2084" s="372" t="str">
        <f t="shared" si="36"/>
        <v>115</v>
      </c>
      <c r="J2084" s="371">
        <v>3</v>
      </c>
      <c r="K2084" s="371"/>
      <c r="L2084" s="365">
        <v>0.3125</v>
      </c>
      <c r="M2084" s="365">
        <v>0.40972222222222227</v>
      </c>
      <c r="N2084" s="372" t="str">
        <f t="shared" si="37"/>
        <v>140</v>
      </c>
      <c r="O2084" s="371">
        <f t="shared" si="38"/>
        <v>995</v>
      </c>
      <c r="P2084" s="366">
        <f t="shared" si="39"/>
        <v>0.29166666666666669</v>
      </c>
      <c r="Q2084" s="366">
        <f t="shared" si="40"/>
        <v>0.40972222222222227</v>
      </c>
      <c r="R2084" s="367" t="str">
        <f t="shared" si="41"/>
        <v>170</v>
      </c>
    </row>
    <row r="2085" spans="1:18" x14ac:dyDescent="0.4">
      <c r="A2085" s="402">
        <v>46146</v>
      </c>
      <c r="B2085" s="392" t="s">
        <v>65</v>
      </c>
      <c r="C2085" s="364" t="s">
        <v>189</v>
      </c>
      <c r="D2085" s="404">
        <v>60</v>
      </c>
      <c r="E2085" s="369">
        <v>3</v>
      </c>
      <c r="F2085" s="368">
        <v>3.4722222222222224E-2</v>
      </c>
      <c r="G2085" s="368">
        <v>0.29166666666666669</v>
      </c>
      <c r="H2085" s="368">
        <v>0.63194444444444442</v>
      </c>
      <c r="I2085" s="372" t="str">
        <f t="shared" si="36"/>
        <v>480</v>
      </c>
      <c r="J2085" s="371">
        <v>4</v>
      </c>
      <c r="K2085" s="371"/>
      <c r="L2085" s="365">
        <v>0.29166666666666669</v>
      </c>
      <c r="M2085" s="365">
        <v>0.67361111111111116</v>
      </c>
      <c r="N2085" s="372" t="str">
        <f t="shared" si="37"/>
        <v>490</v>
      </c>
      <c r="O2085" s="371">
        <f t="shared" si="38"/>
        <v>3400</v>
      </c>
      <c r="P2085" s="366">
        <f t="shared" si="39"/>
        <v>0.29166666666666669</v>
      </c>
      <c r="Q2085" s="366">
        <f t="shared" si="40"/>
        <v>0.67361111111111116</v>
      </c>
      <c r="R2085" s="367" t="str">
        <f t="shared" si="41"/>
        <v>490</v>
      </c>
    </row>
    <row r="2086" spans="1:18" x14ac:dyDescent="0.4">
      <c r="A2086" s="403">
        <v>46146</v>
      </c>
      <c r="B2086" s="383">
        <v>153010</v>
      </c>
      <c r="C2086" s="390" t="s">
        <v>484</v>
      </c>
      <c r="D2086" s="405">
        <v>0.5</v>
      </c>
      <c r="E2086" s="384"/>
      <c r="F2086" s="385"/>
      <c r="G2086" s="396"/>
      <c r="H2086" s="396"/>
      <c r="I2086" s="386" t="str">
        <f t="shared" si="36"/>
        <v>0</v>
      </c>
      <c r="J2086" s="387"/>
      <c r="K2086" s="387"/>
      <c r="L2086" s="388"/>
      <c r="M2086" s="388"/>
      <c r="N2086" s="386" t="str">
        <f t="shared" si="37"/>
        <v>0</v>
      </c>
      <c r="O2086" s="387">
        <f t="shared" si="38"/>
        <v>0</v>
      </c>
      <c r="P2086" s="391">
        <f t="shared" si="39"/>
        <v>0</v>
      </c>
      <c r="Q2086" s="391">
        <f t="shared" si="40"/>
        <v>0</v>
      </c>
      <c r="R2086" s="389" t="str">
        <f t="shared" si="41"/>
        <v>0</v>
      </c>
    </row>
    <row r="2087" spans="1:18" s="22" customFormat="1" x14ac:dyDescent="0.4">
      <c r="A2087" s="417">
        <v>46147</v>
      </c>
      <c r="B2087" s="373" t="s">
        <v>61</v>
      </c>
      <c r="C2087" s="364" t="s">
        <v>156</v>
      </c>
      <c r="D2087" s="404">
        <v>40</v>
      </c>
      <c r="E2087" s="67">
        <v>4</v>
      </c>
      <c r="F2087" s="371"/>
      <c r="G2087" s="365">
        <v>0.29166666666666669</v>
      </c>
      <c r="H2087" s="365">
        <v>0.6875</v>
      </c>
      <c r="I2087" s="372" t="str">
        <f t="shared" si="36"/>
        <v>510</v>
      </c>
      <c r="J2087" s="371">
        <v>10</v>
      </c>
      <c r="K2087" s="371"/>
      <c r="L2087" s="365">
        <v>0.3125</v>
      </c>
      <c r="M2087" s="365">
        <v>0.70833333333333337</v>
      </c>
      <c r="N2087" s="372" t="str">
        <f t="shared" si="37"/>
        <v>510</v>
      </c>
      <c r="O2087" s="371">
        <f t="shared" si="38"/>
        <v>7140</v>
      </c>
      <c r="P2087" s="366">
        <f t="shared" si="39"/>
        <v>0.29166666666666669</v>
      </c>
      <c r="Q2087" s="366">
        <f t="shared" si="40"/>
        <v>0.70833333333333337</v>
      </c>
      <c r="R2087" s="367" t="str">
        <f t="shared" si="41"/>
        <v>540</v>
      </c>
    </row>
    <row r="2088" spans="1:18" x14ac:dyDescent="0.4">
      <c r="A2088" s="402">
        <v>46147</v>
      </c>
      <c r="B2088" s="392" t="s">
        <v>64</v>
      </c>
      <c r="C2088" s="364" t="s">
        <v>271</v>
      </c>
      <c r="D2088" s="404">
        <v>28</v>
      </c>
      <c r="E2088" s="369">
        <v>5</v>
      </c>
      <c r="F2088" s="370"/>
      <c r="G2088" s="368">
        <v>0.3979166666666667</v>
      </c>
      <c r="H2088" s="368">
        <v>0.6875</v>
      </c>
      <c r="I2088" s="372" t="str">
        <f t="shared" si="36"/>
        <v>357</v>
      </c>
      <c r="J2088" s="371">
        <v>3</v>
      </c>
      <c r="K2088" s="371"/>
      <c r="L2088" s="365">
        <v>0.4201388888888889</v>
      </c>
      <c r="M2088" s="365">
        <v>0.6875</v>
      </c>
      <c r="N2088" s="372" t="str">
        <f t="shared" si="37"/>
        <v>325</v>
      </c>
      <c r="O2088" s="371">
        <f t="shared" si="38"/>
        <v>2760</v>
      </c>
      <c r="P2088" s="366">
        <f t="shared" si="39"/>
        <v>0.3979166666666667</v>
      </c>
      <c r="Q2088" s="366">
        <f t="shared" si="40"/>
        <v>0.6875</v>
      </c>
      <c r="R2088" s="367" t="str">
        <f t="shared" si="41"/>
        <v>357</v>
      </c>
    </row>
    <row r="2089" spans="1:18" x14ac:dyDescent="0.4">
      <c r="A2089" s="402">
        <v>46147</v>
      </c>
      <c r="B2089" s="392" t="s">
        <v>133</v>
      </c>
      <c r="C2089" s="364" t="s">
        <v>271</v>
      </c>
      <c r="D2089" s="404">
        <v>6</v>
      </c>
      <c r="E2089" s="369">
        <v>5</v>
      </c>
      <c r="F2089" s="370"/>
      <c r="G2089" s="368">
        <v>0.34097222222222223</v>
      </c>
      <c r="H2089" s="368">
        <v>0.3979166666666667</v>
      </c>
      <c r="I2089" s="372" t="str">
        <f t="shared" si="36"/>
        <v>82</v>
      </c>
      <c r="J2089" s="371">
        <v>3</v>
      </c>
      <c r="K2089" s="371"/>
      <c r="L2089" s="365">
        <v>0.375</v>
      </c>
      <c r="M2089" s="365">
        <v>0.4201388888888889</v>
      </c>
      <c r="N2089" s="372" t="str">
        <f t="shared" si="37"/>
        <v>65</v>
      </c>
      <c r="O2089" s="371">
        <f t="shared" si="38"/>
        <v>605</v>
      </c>
      <c r="P2089" s="366">
        <f t="shared" si="39"/>
        <v>0.34097222222222223</v>
      </c>
      <c r="Q2089" s="366">
        <f t="shared" si="40"/>
        <v>0.4201388888888889</v>
      </c>
      <c r="R2089" s="367" t="str">
        <f t="shared" si="41"/>
        <v>114</v>
      </c>
    </row>
    <row r="2090" spans="1:18" x14ac:dyDescent="0.4">
      <c r="A2090" s="402">
        <v>46147</v>
      </c>
      <c r="B2090" s="392" t="s">
        <v>1060</v>
      </c>
      <c r="C2090" s="364" t="s">
        <v>886</v>
      </c>
      <c r="D2090" s="404">
        <v>4</v>
      </c>
      <c r="E2090" s="369">
        <v>5</v>
      </c>
      <c r="F2090" s="370"/>
      <c r="G2090" s="368">
        <v>0.29166666666666669</v>
      </c>
      <c r="H2090" s="368">
        <v>0.34097222222222223</v>
      </c>
      <c r="I2090" s="372" t="str">
        <f t="shared" si="36"/>
        <v>71</v>
      </c>
      <c r="J2090" s="371">
        <v>3</v>
      </c>
      <c r="K2090" s="371"/>
      <c r="L2090" s="365">
        <v>0.3125</v>
      </c>
      <c r="M2090" s="365">
        <v>0.375</v>
      </c>
      <c r="N2090" s="372" t="str">
        <f t="shared" si="37"/>
        <v>90</v>
      </c>
      <c r="O2090" s="371">
        <f t="shared" si="38"/>
        <v>625</v>
      </c>
      <c r="P2090" s="366">
        <f t="shared" si="39"/>
        <v>0.29166666666666669</v>
      </c>
      <c r="Q2090" s="366">
        <f t="shared" si="40"/>
        <v>0.375</v>
      </c>
      <c r="R2090" s="367" t="str">
        <f t="shared" si="41"/>
        <v>120</v>
      </c>
    </row>
    <row r="2091" spans="1:18" x14ac:dyDescent="0.4">
      <c r="A2091" s="402">
        <v>46147</v>
      </c>
      <c r="B2091" s="392" t="s">
        <v>65</v>
      </c>
      <c r="C2091" s="364" t="s">
        <v>189</v>
      </c>
      <c r="D2091" s="404">
        <v>60</v>
      </c>
      <c r="E2091" s="369">
        <v>3</v>
      </c>
      <c r="F2091" s="368">
        <v>2.0833333333333332E-2</v>
      </c>
      <c r="G2091" s="368">
        <v>0.29166666666666669</v>
      </c>
      <c r="H2091" s="368">
        <v>0.61805555555555558</v>
      </c>
      <c r="I2091" s="372" t="str">
        <f t="shared" si="36"/>
        <v>440</v>
      </c>
      <c r="J2091" s="371">
        <v>4</v>
      </c>
      <c r="K2091" s="371"/>
      <c r="L2091" s="365">
        <v>0.29166666666666669</v>
      </c>
      <c r="M2091" s="365">
        <v>0.65972222222222221</v>
      </c>
      <c r="N2091" s="372" t="str">
        <f t="shared" si="37"/>
        <v>470</v>
      </c>
      <c r="O2091" s="371">
        <f t="shared" si="38"/>
        <v>3200</v>
      </c>
      <c r="P2091" s="366">
        <f t="shared" si="39"/>
        <v>0.29166666666666669</v>
      </c>
      <c r="Q2091" s="366">
        <f t="shared" si="40"/>
        <v>0.65972222222222221</v>
      </c>
      <c r="R2091" s="367" t="str">
        <f t="shared" si="41"/>
        <v>470</v>
      </c>
    </row>
    <row r="2092" spans="1:18" x14ac:dyDescent="0.4">
      <c r="A2092" s="403">
        <v>46147</v>
      </c>
      <c r="B2092" s="383">
        <v>152010</v>
      </c>
      <c r="C2092" s="390" t="s">
        <v>483</v>
      </c>
      <c r="D2092" s="405">
        <v>1</v>
      </c>
      <c r="E2092" s="384"/>
      <c r="F2092" s="385"/>
      <c r="G2092" s="396"/>
      <c r="H2092" s="396"/>
      <c r="I2092" s="386" t="str">
        <f t="shared" si="36"/>
        <v>0</v>
      </c>
      <c r="J2092" s="387"/>
      <c r="K2092" s="387"/>
      <c r="L2092" s="388"/>
      <c r="M2092" s="388"/>
      <c r="N2092" s="386" t="str">
        <f t="shared" si="37"/>
        <v>0</v>
      </c>
      <c r="O2092" s="387">
        <f t="shared" si="38"/>
        <v>0</v>
      </c>
      <c r="P2092" s="391">
        <f t="shared" si="39"/>
        <v>0</v>
      </c>
      <c r="Q2092" s="391">
        <f t="shared" si="40"/>
        <v>0</v>
      </c>
      <c r="R2092" s="389" t="str">
        <f t="shared" si="41"/>
        <v>0</v>
      </c>
    </row>
    <row r="2093" spans="1:18" x14ac:dyDescent="0.4">
      <c r="A2093" s="402">
        <v>46148</v>
      </c>
      <c r="B2093" s="392" t="s">
        <v>87</v>
      </c>
      <c r="C2093" s="364" t="s">
        <v>199</v>
      </c>
      <c r="D2093" s="404">
        <v>32</v>
      </c>
      <c r="E2093" s="369">
        <v>6</v>
      </c>
      <c r="F2093" s="370"/>
      <c r="G2093" s="368">
        <v>0.54166666666666663</v>
      </c>
      <c r="H2093" s="368">
        <v>0.70833333333333337</v>
      </c>
      <c r="I2093" s="372" t="str">
        <f t="shared" si="36"/>
        <v>240</v>
      </c>
      <c r="J2093" s="371">
        <v>5</v>
      </c>
      <c r="K2093" s="371"/>
      <c r="L2093" s="365">
        <v>0.54166666666666663</v>
      </c>
      <c r="M2093" s="365">
        <v>0.72916666666666663</v>
      </c>
      <c r="N2093" s="372" t="str">
        <f t="shared" si="37"/>
        <v>270</v>
      </c>
      <c r="O2093" s="371">
        <f t="shared" si="38"/>
        <v>2790</v>
      </c>
      <c r="P2093" s="366">
        <f t="shared" si="39"/>
        <v>0.54166666666666663</v>
      </c>
      <c r="Q2093" s="366">
        <f t="shared" si="40"/>
        <v>0.72916666666666663</v>
      </c>
      <c r="R2093" s="367" t="str">
        <f t="shared" si="41"/>
        <v>270</v>
      </c>
    </row>
    <row r="2094" spans="1:18" x14ac:dyDescent="0.4">
      <c r="A2094" s="402">
        <v>46148</v>
      </c>
      <c r="B2094" s="392" t="s">
        <v>68</v>
      </c>
      <c r="C2094" s="364" t="s">
        <v>185</v>
      </c>
      <c r="D2094" s="404">
        <v>20</v>
      </c>
      <c r="E2094" s="369">
        <v>6</v>
      </c>
      <c r="F2094" s="370"/>
      <c r="G2094" s="368">
        <v>0.29166666666666669</v>
      </c>
      <c r="H2094" s="368">
        <v>0.5</v>
      </c>
      <c r="I2094" s="372" t="str">
        <f t="shared" si="36"/>
        <v>300</v>
      </c>
      <c r="J2094" s="371">
        <v>5</v>
      </c>
      <c r="K2094" s="371"/>
      <c r="L2094" s="365">
        <v>0.3125</v>
      </c>
      <c r="M2094" s="365">
        <v>0.5</v>
      </c>
      <c r="N2094" s="372" t="str">
        <f t="shared" si="37"/>
        <v>270</v>
      </c>
      <c r="O2094" s="371">
        <f t="shared" si="38"/>
        <v>3150</v>
      </c>
      <c r="P2094" s="366">
        <f t="shared" si="39"/>
        <v>0.29166666666666669</v>
      </c>
      <c r="Q2094" s="366">
        <f t="shared" si="40"/>
        <v>0.5</v>
      </c>
      <c r="R2094" s="367" t="str">
        <f t="shared" si="41"/>
        <v>300</v>
      </c>
    </row>
    <row r="2095" spans="1:18" x14ac:dyDescent="0.4">
      <c r="A2095" s="402">
        <v>46148</v>
      </c>
      <c r="B2095" s="392" t="s">
        <v>54</v>
      </c>
      <c r="C2095" s="364" t="s">
        <v>251</v>
      </c>
      <c r="D2095" s="404">
        <v>30</v>
      </c>
      <c r="E2095" s="369">
        <v>5</v>
      </c>
      <c r="F2095" s="370"/>
      <c r="G2095" s="368">
        <v>0.29166666666666669</v>
      </c>
      <c r="H2095" s="368">
        <v>0.5</v>
      </c>
      <c r="I2095" s="372" t="str">
        <f t="shared" si="36"/>
        <v>300</v>
      </c>
      <c r="J2095" s="371">
        <v>3</v>
      </c>
      <c r="K2095" s="371"/>
      <c r="L2095" s="365">
        <v>0.3125</v>
      </c>
      <c r="M2095" s="365">
        <v>0.55902777777777779</v>
      </c>
      <c r="N2095" s="372" t="str">
        <f t="shared" si="37"/>
        <v>295</v>
      </c>
      <c r="O2095" s="371">
        <f t="shared" si="38"/>
        <v>2385</v>
      </c>
      <c r="P2095" s="366">
        <f t="shared" si="39"/>
        <v>0.29166666666666669</v>
      </c>
      <c r="Q2095" s="366">
        <f t="shared" si="40"/>
        <v>0.55902777777777779</v>
      </c>
      <c r="R2095" s="367" t="str">
        <f t="shared" si="41"/>
        <v>325</v>
      </c>
    </row>
    <row r="2096" spans="1:18" x14ac:dyDescent="0.4">
      <c r="A2096" s="402">
        <v>46148</v>
      </c>
      <c r="B2096" s="392" t="s">
        <v>63</v>
      </c>
      <c r="C2096" s="364" t="s">
        <v>267</v>
      </c>
      <c r="D2096" s="404">
        <v>16</v>
      </c>
      <c r="E2096" s="369">
        <v>5</v>
      </c>
      <c r="F2096" s="370"/>
      <c r="G2096" s="368">
        <v>0.54166666666666663</v>
      </c>
      <c r="H2096" s="368">
        <v>0.66666666666666663</v>
      </c>
      <c r="I2096" s="372" t="str">
        <f t="shared" si="36"/>
        <v>180</v>
      </c>
      <c r="J2096" s="371">
        <v>3</v>
      </c>
      <c r="K2096" s="371"/>
      <c r="L2096" s="365">
        <v>0.55902777777777779</v>
      </c>
      <c r="M2096" s="365">
        <v>0.6875</v>
      </c>
      <c r="N2096" s="372" t="str">
        <f t="shared" si="37"/>
        <v>185</v>
      </c>
      <c r="O2096" s="371">
        <f t="shared" si="38"/>
        <v>1455</v>
      </c>
      <c r="P2096" s="366">
        <f t="shared" si="39"/>
        <v>0.54166666666666663</v>
      </c>
      <c r="Q2096" s="366">
        <f t="shared" si="40"/>
        <v>0.6875</v>
      </c>
      <c r="R2096" s="367" t="str">
        <f t="shared" si="41"/>
        <v>210</v>
      </c>
    </row>
    <row r="2097" spans="1:18" x14ac:dyDescent="0.4">
      <c r="A2097" s="402">
        <v>46148</v>
      </c>
      <c r="B2097" s="392" t="s">
        <v>58</v>
      </c>
      <c r="C2097" s="364" t="s">
        <v>165</v>
      </c>
      <c r="D2097" s="404">
        <v>24</v>
      </c>
      <c r="E2097" s="369">
        <v>3</v>
      </c>
      <c r="F2097" s="368">
        <v>2.0833333333333332E-2</v>
      </c>
      <c r="G2097" s="368">
        <v>0.35416666666666669</v>
      </c>
      <c r="H2097" s="368">
        <v>0.57291666666666663</v>
      </c>
      <c r="I2097" s="372" t="str">
        <f t="shared" si="36"/>
        <v>285</v>
      </c>
      <c r="J2097" s="371">
        <v>6</v>
      </c>
      <c r="K2097" s="371"/>
      <c r="L2097" s="365">
        <v>0.41319444444444442</v>
      </c>
      <c r="M2097" s="365">
        <v>0.63541666666666663</v>
      </c>
      <c r="N2097" s="372" t="str">
        <f t="shared" si="37"/>
        <v>260</v>
      </c>
      <c r="O2097" s="371">
        <f t="shared" si="38"/>
        <v>2415</v>
      </c>
      <c r="P2097" s="366">
        <f t="shared" si="39"/>
        <v>0.35416666666666669</v>
      </c>
      <c r="Q2097" s="366">
        <f t="shared" si="40"/>
        <v>0.63541666666666663</v>
      </c>
      <c r="R2097" s="367" t="str">
        <f t="shared" si="41"/>
        <v>345</v>
      </c>
    </row>
    <row r="2098" spans="1:18" x14ac:dyDescent="0.4">
      <c r="A2098" s="402">
        <v>46148</v>
      </c>
      <c r="B2098" s="392" t="s">
        <v>96</v>
      </c>
      <c r="C2098" s="364" t="s">
        <v>167</v>
      </c>
      <c r="D2098" s="404">
        <v>12</v>
      </c>
      <c r="E2098" s="369">
        <v>3</v>
      </c>
      <c r="F2098" s="370"/>
      <c r="G2098" s="368">
        <v>0.29166666666666669</v>
      </c>
      <c r="H2098" s="368">
        <v>0.3576388888888889</v>
      </c>
      <c r="I2098" s="372" t="str">
        <f t="shared" ref="I2098:I2161" si="42">TEXT(IF(AND(G2098&lt;=$S$2,H2098&gt;=$T$2),(H2098-G2098+F2098)-($T$2-$S$2),(H2098-G2098+F2098)),"[m]")</f>
        <v>95</v>
      </c>
      <c r="J2098" s="371">
        <v>6</v>
      </c>
      <c r="K2098" s="371"/>
      <c r="L2098" s="365">
        <v>0.29166666666666669</v>
      </c>
      <c r="M2098" s="365">
        <v>0.40972222222222227</v>
      </c>
      <c r="N2098" s="372" t="str">
        <f t="shared" ref="N2098:N2161" si="43">TEXT(IF(AND(L2098&lt;=$S$2,M2098&gt;=$T$2),(M2098-L2098+K2098)-($T$2-$S$2),(M2098-L2098+K2098)),"[m]")</f>
        <v>170</v>
      </c>
      <c r="O2098" s="371">
        <f t="shared" ref="O2098:O2161" si="44">E2098*I2098+J2098*N2098</f>
        <v>1305</v>
      </c>
      <c r="P2098" s="366">
        <f t="shared" ref="P2098:P2161" si="45">MIN(G2098:H2098,L2098:M2098)</f>
        <v>0.29166666666666669</v>
      </c>
      <c r="Q2098" s="366">
        <f t="shared" ref="Q2098:Q2161" si="46">MAX(G2098:H2098,L2098:M2098)</f>
        <v>0.40972222222222227</v>
      </c>
      <c r="R2098" s="367" t="str">
        <f t="shared" ref="R2098:R2161" si="47">TEXT(IF(AND(P2098&lt;=$S$2,Q2098&gt;=$T$2),(Q2098-P2098)-($T$2-$S$2),(Q2098-P2098)),"[m]")</f>
        <v>170</v>
      </c>
    </row>
    <row r="2099" spans="1:18" x14ac:dyDescent="0.4">
      <c r="A2099" s="402">
        <v>46149</v>
      </c>
      <c r="B2099" s="392" t="s">
        <v>114</v>
      </c>
      <c r="C2099" s="364" t="s">
        <v>161</v>
      </c>
      <c r="D2099" s="404">
        <v>15</v>
      </c>
      <c r="E2099" s="369">
        <v>5</v>
      </c>
      <c r="F2099" s="370"/>
      <c r="G2099" s="368">
        <v>0.29166666666666669</v>
      </c>
      <c r="H2099" s="368">
        <v>0.5</v>
      </c>
      <c r="I2099" s="372" t="str">
        <f t="shared" si="42"/>
        <v>300</v>
      </c>
      <c r="J2099" s="371">
        <v>13</v>
      </c>
      <c r="K2099" s="371"/>
      <c r="L2099" s="365">
        <v>0.3125</v>
      </c>
      <c r="M2099" s="365">
        <v>0.5</v>
      </c>
      <c r="N2099" s="372" t="str">
        <f t="shared" si="43"/>
        <v>270</v>
      </c>
      <c r="O2099" s="371">
        <f t="shared" si="44"/>
        <v>5010</v>
      </c>
      <c r="P2099" s="366">
        <f t="shared" si="45"/>
        <v>0.29166666666666669</v>
      </c>
      <c r="Q2099" s="366">
        <f t="shared" si="46"/>
        <v>0.5</v>
      </c>
      <c r="R2099" s="367" t="str">
        <f t="shared" si="47"/>
        <v>300</v>
      </c>
    </row>
    <row r="2100" spans="1:18" x14ac:dyDescent="0.4">
      <c r="A2100" s="402">
        <v>46149</v>
      </c>
      <c r="B2100" s="392" t="s">
        <v>106</v>
      </c>
      <c r="C2100" s="364" t="s">
        <v>173</v>
      </c>
      <c r="D2100" s="404">
        <v>16</v>
      </c>
      <c r="E2100" s="369">
        <v>5</v>
      </c>
      <c r="F2100" s="370"/>
      <c r="G2100" s="368">
        <v>0.54166666666666663</v>
      </c>
      <c r="H2100" s="368">
        <v>0.72916666666666663</v>
      </c>
      <c r="I2100" s="372" t="str">
        <f t="shared" si="42"/>
        <v>270</v>
      </c>
      <c r="J2100" s="371">
        <v>10</v>
      </c>
      <c r="K2100" s="371"/>
      <c r="L2100" s="365">
        <v>0.54166666666666663</v>
      </c>
      <c r="M2100" s="365">
        <v>0.77083333333333337</v>
      </c>
      <c r="N2100" s="372" t="str">
        <f t="shared" si="43"/>
        <v>330</v>
      </c>
      <c r="O2100" s="371">
        <f t="shared" si="44"/>
        <v>4650</v>
      </c>
      <c r="P2100" s="366">
        <f t="shared" si="45"/>
        <v>0.54166666666666663</v>
      </c>
      <c r="Q2100" s="366">
        <f t="shared" si="46"/>
        <v>0.77083333333333337</v>
      </c>
      <c r="R2100" s="367" t="str">
        <f t="shared" si="47"/>
        <v>330</v>
      </c>
    </row>
    <row r="2101" spans="1:18" x14ac:dyDescent="0.4">
      <c r="A2101" s="402">
        <v>46149</v>
      </c>
      <c r="B2101" s="392" t="s">
        <v>1287</v>
      </c>
      <c r="C2101" s="364" t="s">
        <v>1291</v>
      </c>
      <c r="D2101" s="404">
        <v>12</v>
      </c>
      <c r="E2101" s="369">
        <v>5</v>
      </c>
      <c r="F2101" s="370"/>
      <c r="G2101" s="368">
        <v>0.57708333333333328</v>
      </c>
      <c r="H2101" s="368">
        <v>0.70833333333333337</v>
      </c>
      <c r="I2101" s="372" t="str">
        <f t="shared" si="42"/>
        <v>189</v>
      </c>
      <c r="J2101" s="371">
        <v>3</v>
      </c>
      <c r="K2101" s="371"/>
      <c r="L2101" s="365">
        <v>0.41319444444444442</v>
      </c>
      <c r="M2101" s="365">
        <v>0.61111111111111105</v>
      </c>
      <c r="N2101" s="372" t="str">
        <f t="shared" si="43"/>
        <v>225</v>
      </c>
      <c r="O2101" s="371">
        <f t="shared" si="44"/>
        <v>1620</v>
      </c>
      <c r="P2101" s="366">
        <f t="shared" si="45"/>
        <v>0.41319444444444442</v>
      </c>
      <c r="Q2101" s="366">
        <f t="shared" si="46"/>
        <v>0.70833333333333337</v>
      </c>
      <c r="R2101" s="367" t="str">
        <f t="shared" si="47"/>
        <v>365</v>
      </c>
    </row>
    <row r="2102" spans="1:18" x14ac:dyDescent="0.4">
      <c r="A2102" s="402">
        <v>46149</v>
      </c>
      <c r="B2102" s="392" t="s">
        <v>63</v>
      </c>
      <c r="C2102" s="364" t="s">
        <v>267</v>
      </c>
      <c r="D2102" s="404">
        <v>16</v>
      </c>
      <c r="E2102" s="369">
        <v>5</v>
      </c>
      <c r="F2102" s="370"/>
      <c r="G2102" s="368">
        <v>0.38958333333333334</v>
      </c>
      <c r="H2102" s="368">
        <v>0.57708333333333328</v>
      </c>
      <c r="I2102" s="372" t="str">
        <f t="shared" si="42"/>
        <v>210</v>
      </c>
      <c r="J2102" s="371">
        <v>3</v>
      </c>
      <c r="K2102" s="371"/>
      <c r="L2102" s="365">
        <v>0.61111111111111105</v>
      </c>
      <c r="M2102" s="365">
        <v>0.70833333333333337</v>
      </c>
      <c r="N2102" s="372" t="str">
        <f t="shared" si="43"/>
        <v>140</v>
      </c>
      <c r="O2102" s="371">
        <f t="shared" si="44"/>
        <v>1470</v>
      </c>
      <c r="P2102" s="366">
        <f t="shared" si="45"/>
        <v>0.38958333333333334</v>
      </c>
      <c r="Q2102" s="366">
        <f t="shared" si="46"/>
        <v>0.70833333333333337</v>
      </c>
      <c r="R2102" s="367" t="str">
        <f t="shared" si="47"/>
        <v>399</v>
      </c>
    </row>
    <row r="2103" spans="1:18" x14ac:dyDescent="0.4">
      <c r="A2103" s="402">
        <v>46149</v>
      </c>
      <c r="B2103" s="392" t="s">
        <v>72</v>
      </c>
      <c r="C2103" s="364" t="s">
        <v>227</v>
      </c>
      <c r="D2103" s="404">
        <v>12</v>
      </c>
      <c r="E2103" s="369">
        <v>5</v>
      </c>
      <c r="F2103" s="370"/>
      <c r="G2103" s="368">
        <v>0.29166666666666669</v>
      </c>
      <c r="H2103" s="368">
        <v>0.38958333333333334</v>
      </c>
      <c r="I2103" s="372" t="str">
        <f t="shared" si="42"/>
        <v>141</v>
      </c>
      <c r="J2103" s="371">
        <v>3</v>
      </c>
      <c r="K2103" s="371"/>
      <c r="L2103" s="365">
        <v>0.3125</v>
      </c>
      <c r="M2103" s="365">
        <v>0.41319444444444442</v>
      </c>
      <c r="N2103" s="372" t="str">
        <f t="shared" si="43"/>
        <v>145</v>
      </c>
      <c r="O2103" s="371">
        <f t="shared" si="44"/>
        <v>1140</v>
      </c>
      <c r="P2103" s="366">
        <f t="shared" si="45"/>
        <v>0.29166666666666669</v>
      </c>
      <c r="Q2103" s="366">
        <f t="shared" si="46"/>
        <v>0.41319444444444442</v>
      </c>
      <c r="R2103" s="367" t="str">
        <f t="shared" si="47"/>
        <v>175</v>
      </c>
    </row>
    <row r="2104" spans="1:18" x14ac:dyDescent="0.4">
      <c r="A2104" s="402">
        <v>46149</v>
      </c>
      <c r="B2104" s="392" t="s">
        <v>65</v>
      </c>
      <c r="C2104" s="364" t="s">
        <v>189</v>
      </c>
      <c r="D2104" s="404">
        <v>56</v>
      </c>
      <c r="E2104" s="369">
        <v>3</v>
      </c>
      <c r="F2104" s="370"/>
      <c r="G2104" s="368">
        <v>0.3298611111111111</v>
      </c>
      <c r="H2104" s="368">
        <v>0.64930555555555558</v>
      </c>
      <c r="I2104" s="372" t="str">
        <f t="shared" si="42"/>
        <v>400</v>
      </c>
      <c r="J2104" s="371">
        <v>4</v>
      </c>
      <c r="K2104" s="371"/>
      <c r="L2104" s="365">
        <v>0.36805555555555558</v>
      </c>
      <c r="M2104" s="365">
        <v>0.6875</v>
      </c>
      <c r="N2104" s="372" t="str">
        <f t="shared" si="43"/>
        <v>400</v>
      </c>
      <c r="O2104" s="371">
        <f t="shared" si="44"/>
        <v>2800</v>
      </c>
      <c r="P2104" s="366">
        <f t="shared" si="45"/>
        <v>0.3298611111111111</v>
      </c>
      <c r="Q2104" s="366">
        <f t="shared" si="46"/>
        <v>0.6875</v>
      </c>
      <c r="R2104" s="367" t="str">
        <f t="shared" si="47"/>
        <v>455</v>
      </c>
    </row>
    <row r="2105" spans="1:18" x14ac:dyDescent="0.4">
      <c r="A2105" s="402">
        <v>46149</v>
      </c>
      <c r="B2105" s="392" t="s">
        <v>558</v>
      </c>
      <c r="C2105" s="364" t="s">
        <v>191</v>
      </c>
      <c r="D2105" s="404">
        <v>4</v>
      </c>
      <c r="E2105" s="369">
        <v>3</v>
      </c>
      <c r="F2105" s="370"/>
      <c r="G2105" s="368">
        <v>0.29166666666666669</v>
      </c>
      <c r="H2105" s="368">
        <v>0.34027777777777773</v>
      </c>
      <c r="I2105" s="372" t="str">
        <f t="shared" si="42"/>
        <v>70</v>
      </c>
      <c r="J2105" s="371">
        <v>4</v>
      </c>
      <c r="K2105" s="371"/>
      <c r="L2105" s="365">
        <v>0.29166666666666669</v>
      </c>
      <c r="M2105" s="365">
        <v>0.37847222222222227</v>
      </c>
      <c r="N2105" s="372" t="str">
        <f t="shared" si="43"/>
        <v>125</v>
      </c>
      <c r="O2105" s="371">
        <f t="shared" si="44"/>
        <v>710</v>
      </c>
      <c r="P2105" s="366">
        <f t="shared" si="45"/>
        <v>0.29166666666666669</v>
      </c>
      <c r="Q2105" s="366">
        <f t="shared" si="46"/>
        <v>0.37847222222222227</v>
      </c>
      <c r="R2105" s="367" t="str">
        <f t="shared" si="47"/>
        <v>125</v>
      </c>
    </row>
    <row r="2106" spans="1:18" x14ac:dyDescent="0.4">
      <c r="A2106" s="402">
        <v>46150</v>
      </c>
      <c r="B2106" s="392" t="s">
        <v>71</v>
      </c>
      <c r="C2106" s="364" t="s">
        <v>176</v>
      </c>
      <c r="D2106" s="404">
        <v>68</v>
      </c>
      <c r="E2106" s="369">
        <v>6</v>
      </c>
      <c r="F2106" s="370"/>
      <c r="G2106" s="368">
        <v>0.29166666666666669</v>
      </c>
      <c r="H2106" s="368">
        <v>0.66666666666666663</v>
      </c>
      <c r="I2106" s="372" t="str">
        <f t="shared" si="42"/>
        <v>480</v>
      </c>
      <c r="J2106" s="371">
        <v>5</v>
      </c>
      <c r="K2106" s="371"/>
      <c r="L2106" s="365">
        <v>0.3125</v>
      </c>
      <c r="M2106" s="365">
        <v>0.70833333333333337</v>
      </c>
      <c r="N2106" s="372" t="str">
        <f t="shared" si="43"/>
        <v>510</v>
      </c>
      <c r="O2106" s="371">
        <f t="shared" si="44"/>
        <v>5430</v>
      </c>
      <c r="P2106" s="366">
        <f t="shared" si="45"/>
        <v>0.29166666666666669</v>
      </c>
      <c r="Q2106" s="366">
        <f t="shared" si="46"/>
        <v>0.70833333333333337</v>
      </c>
      <c r="R2106" s="367" t="str">
        <f t="shared" si="47"/>
        <v>540</v>
      </c>
    </row>
    <row r="2107" spans="1:18" x14ac:dyDescent="0.4">
      <c r="A2107" s="402">
        <v>46150</v>
      </c>
      <c r="B2107" s="392" t="s">
        <v>51</v>
      </c>
      <c r="C2107" s="364" t="s">
        <v>253</v>
      </c>
      <c r="D2107" s="404">
        <v>30</v>
      </c>
      <c r="E2107" s="369">
        <v>5</v>
      </c>
      <c r="F2107" s="370"/>
      <c r="G2107" s="368">
        <v>0.29166666666666669</v>
      </c>
      <c r="H2107" s="368">
        <v>0.5708333333333333</v>
      </c>
      <c r="I2107" s="372" t="str">
        <f t="shared" si="42"/>
        <v>342</v>
      </c>
      <c r="J2107" s="371">
        <v>3</v>
      </c>
      <c r="K2107" s="371"/>
      <c r="L2107" s="365">
        <v>0.29166666666666669</v>
      </c>
      <c r="M2107" s="365">
        <v>0.59375</v>
      </c>
      <c r="N2107" s="372" t="str">
        <f t="shared" si="43"/>
        <v>375</v>
      </c>
      <c r="O2107" s="371">
        <f t="shared" si="44"/>
        <v>2835</v>
      </c>
      <c r="P2107" s="366">
        <f t="shared" si="45"/>
        <v>0.29166666666666669</v>
      </c>
      <c r="Q2107" s="366">
        <f t="shared" si="46"/>
        <v>0.59375</v>
      </c>
      <c r="R2107" s="367" t="str">
        <f t="shared" si="47"/>
        <v>375</v>
      </c>
    </row>
    <row r="2108" spans="1:18" x14ac:dyDescent="0.4">
      <c r="A2108" s="402">
        <v>46150</v>
      </c>
      <c r="B2108" s="392" t="s">
        <v>451</v>
      </c>
      <c r="C2108" s="364" t="s">
        <v>255</v>
      </c>
      <c r="D2108" s="404">
        <v>6</v>
      </c>
      <c r="E2108" s="369">
        <v>5</v>
      </c>
      <c r="F2108" s="370"/>
      <c r="G2108" s="368">
        <v>0.5708333333333333</v>
      </c>
      <c r="H2108" s="368">
        <v>0.62291666666666667</v>
      </c>
      <c r="I2108" s="372" t="str">
        <f t="shared" si="42"/>
        <v>75</v>
      </c>
      <c r="J2108" s="371">
        <v>3</v>
      </c>
      <c r="K2108" s="371"/>
      <c r="L2108" s="365">
        <v>0.59375</v>
      </c>
      <c r="M2108" s="365">
        <v>0.64236111111111105</v>
      </c>
      <c r="N2108" s="372" t="str">
        <f t="shared" si="43"/>
        <v>70</v>
      </c>
      <c r="O2108" s="371">
        <f t="shared" si="44"/>
        <v>585</v>
      </c>
      <c r="P2108" s="366">
        <f t="shared" si="45"/>
        <v>0.5708333333333333</v>
      </c>
      <c r="Q2108" s="366">
        <f t="shared" si="46"/>
        <v>0.64236111111111105</v>
      </c>
      <c r="R2108" s="367" t="str">
        <f t="shared" si="47"/>
        <v>103</v>
      </c>
    </row>
    <row r="2109" spans="1:18" x14ac:dyDescent="0.4">
      <c r="A2109" s="402">
        <v>46150</v>
      </c>
      <c r="B2109" s="392" t="s">
        <v>99</v>
      </c>
      <c r="C2109" s="364" t="s">
        <v>259</v>
      </c>
      <c r="D2109" s="404">
        <v>6</v>
      </c>
      <c r="E2109" s="369">
        <v>5</v>
      </c>
      <c r="F2109" s="370"/>
      <c r="G2109" s="368">
        <v>0.62291666666666667</v>
      </c>
      <c r="H2109" s="368">
        <v>0.6875</v>
      </c>
      <c r="I2109" s="372" t="str">
        <f t="shared" si="42"/>
        <v>93</v>
      </c>
      <c r="J2109" s="371">
        <v>3</v>
      </c>
      <c r="K2109" s="371"/>
      <c r="L2109" s="365">
        <v>0.64236111111111105</v>
      </c>
      <c r="M2109" s="365">
        <v>0.6875</v>
      </c>
      <c r="N2109" s="372" t="str">
        <f t="shared" si="43"/>
        <v>65</v>
      </c>
      <c r="O2109" s="371">
        <f t="shared" si="44"/>
        <v>660</v>
      </c>
      <c r="P2109" s="366">
        <f t="shared" si="45"/>
        <v>0.62291666666666667</v>
      </c>
      <c r="Q2109" s="366">
        <f t="shared" si="46"/>
        <v>0.6875</v>
      </c>
      <c r="R2109" s="367" t="str">
        <f t="shared" si="47"/>
        <v>93</v>
      </c>
    </row>
    <row r="2110" spans="1:18" x14ac:dyDescent="0.4">
      <c r="A2110" s="402">
        <v>46150</v>
      </c>
      <c r="B2110" s="392" t="s">
        <v>597</v>
      </c>
      <c r="C2110" s="364" t="s">
        <v>283</v>
      </c>
      <c r="D2110" s="404">
        <v>3</v>
      </c>
      <c r="E2110" s="369">
        <v>3</v>
      </c>
      <c r="F2110" s="368">
        <v>2.0833333333333332E-2</v>
      </c>
      <c r="G2110" s="368">
        <v>0.29166666666666669</v>
      </c>
      <c r="H2110" s="368">
        <v>0.3263888888888889</v>
      </c>
      <c r="I2110" s="372" t="str">
        <f t="shared" si="42"/>
        <v>80</v>
      </c>
      <c r="J2110" s="371">
        <v>7</v>
      </c>
      <c r="K2110" s="371"/>
      <c r="L2110" s="365">
        <v>0.29166666666666669</v>
      </c>
      <c r="M2110" s="365">
        <v>0.4375</v>
      </c>
      <c r="N2110" s="372" t="str">
        <f t="shared" si="43"/>
        <v>210</v>
      </c>
      <c r="O2110" s="371">
        <f t="shared" si="44"/>
        <v>1710</v>
      </c>
      <c r="P2110" s="366">
        <f t="shared" si="45"/>
        <v>0.29166666666666669</v>
      </c>
      <c r="Q2110" s="366">
        <f t="shared" si="46"/>
        <v>0.4375</v>
      </c>
      <c r="R2110" s="367" t="str">
        <f t="shared" si="47"/>
        <v>210</v>
      </c>
    </row>
    <row r="2111" spans="1:18" x14ac:dyDescent="0.4">
      <c r="A2111" s="402">
        <v>46150</v>
      </c>
      <c r="B2111" s="392" t="s">
        <v>65</v>
      </c>
      <c r="C2111" s="364" t="s">
        <v>189</v>
      </c>
      <c r="D2111" s="404">
        <v>40</v>
      </c>
      <c r="E2111" s="369">
        <v>3</v>
      </c>
      <c r="F2111" s="370"/>
      <c r="G2111" s="368">
        <v>0.32291666666666669</v>
      </c>
      <c r="H2111" s="368">
        <v>0.64930555555555558</v>
      </c>
      <c r="I2111" s="372" t="str">
        <f t="shared" si="42"/>
        <v>410</v>
      </c>
      <c r="J2111" s="371">
        <v>4</v>
      </c>
      <c r="K2111" s="371"/>
      <c r="L2111" s="365">
        <v>0.44791666666666669</v>
      </c>
      <c r="M2111" s="365">
        <v>0.6875</v>
      </c>
      <c r="N2111" s="372" t="str">
        <f t="shared" si="43"/>
        <v>285</v>
      </c>
      <c r="O2111" s="371">
        <f t="shared" si="44"/>
        <v>2370</v>
      </c>
      <c r="P2111" s="366">
        <f t="shared" si="45"/>
        <v>0.32291666666666669</v>
      </c>
      <c r="Q2111" s="366">
        <f t="shared" si="46"/>
        <v>0.6875</v>
      </c>
      <c r="R2111" s="367" t="str">
        <f t="shared" si="47"/>
        <v>465</v>
      </c>
    </row>
    <row r="2112" spans="1:18" x14ac:dyDescent="0.4">
      <c r="A2112" s="402">
        <v>46153</v>
      </c>
      <c r="B2112" s="392" t="s">
        <v>64</v>
      </c>
      <c r="C2112" s="364" t="s">
        <v>271</v>
      </c>
      <c r="D2112" s="404">
        <v>20</v>
      </c>
      <c r="E2112" s="369">
        <v>5</v>
      </c>
      <c r="F2112" s="370"/>
      <c r="G2112" s="368">
        <v>0.29166666666666669</v>
      </c>
      <c r="H2112" s="368">
        <v>0.44791666666666669</v>
      </c>
      <c r="I2112" s="372" t="str">
        <f t="shared" si="42"/>
        <v>225</v>
      </c>
      <c r="J2112" s="371">
        <v>3</v>
      </c>
      <c r="K2112" s="371"/>
      <c r="L2112" s="365">
        <v>0.3125</v>
      </c>
      <c r="M2112" s="365">
        <v>0.4826388888888889</v>
      </c>
      <c r="N2112" s="372" t="str">
        <f t="shared" si="43"/>
        <v>245</v>
      </c>
      <c r="O2112" s="371">
        <f t="shared" si="44"/>
        <v>1860</v>
      </c>
      <c r="P2112" s="366">
        <f t="shared" si="45"/>
        <v>0.29166666666666669</v>
      </c>
      <c r="Q2112" s="366">
        <f t="shared" si="46"/>
        <v>0.4826388888888889</v>
      </c>
      <c r="R2112" s="367" t="str">
        <f t="shared" si="47"/>
        <v>275</v>
      </c>
    </row>
    <row r="2113" spans="1:18" x14ac:dyDescent="0.4">
      <c r="A2113" s="402">
        <v>46153</v>
      </c>
      <c r="B2113" s="392" t="s">
        <v>63</v>
      </c>
      <c r="C2113" s="364" t="s">
        <v>267</v>
      </c>
      <c r="D2113" s="404">
        <v>20</v>
      </c>
      <c r="E2113" s="369">
        <v>5</v>
      </c>
      <c r="F2113" s="370"/>
      <c r="G2113" s="368">
        <v>0.44791666666666669</v>
      </c>
      <c r="H2113" s="368">
        <v>0.66666666666666663</v>
      </c>
      <c r="I2113" s="372" t="str">
        <f t="shared" si="42"/>
        <v>255</v>
      </c>
      <c r="J2113" s="371">
        <v>3</v>
      </c>
      <c r="K2113" s="371"/>
      <c r="L2113" s="365">
        <v>0.46180555555555558</v>
      </c>
      <c r="M2113" s="365">
        <v>0.6875</v>
      </c>
      <c r="N2113" s="372" t="str">
        <f t="shared" si="43"/>
        <v>265</v>
      </c>
      <c r="O2113" s="371">
        <f t="shared" si="44"/>
        <v>2070</v>
      </c>
      <c r="P2113" s="366">
        <f t="shared" si="45"/>
        <v>0.44791666666666669</v>
      </c>
      <c r="Q2113" s="366">
        <f t="shared" si="46"/>
        <v>0.6875</v>
      </c>
      <c r="R2113" s="367" t="str">
        <f t="shared" si="47"/>
        <v>285</v>
      </c>
    </row>
    <row r="2114" spans="1:18" x14ac:dyDescent="0.4">
      <c r="A2114" s="402">
        <v>46153</v>
      </c>
      <c r="B2114" s="392" t="s">
        <v>110</v>
      </c>
      <c r="C2114" s="364" t="s">
        <v>231</v>
      </c>
      <c r="D2114" s="404">
        <v>21</v>
      </c>
      <c r="E2114" s="369">
        <v>4</v>
      </c>
      <c r="F2114" s="368">
        <v>2.0833333333333332E-2</v>
      </c>
      <c r="G2114" s="368">
        <v>0.29166666666666669</v>
      </c>
      <c r="H2114" s="368">
        <v>0.67361111111111116</v>
      </c>
      <c r="I2114" s="372" t="str">
        <f t="shared" si="42"/>
        <v>520</v>
      </c>
      <c r="J2114" s="371">
        <v>8</v>
      </c>
      <c r="K2114" s="371"/>
      <c r="L2114" s="365">
        <v>0.3125</v>
      </c>
      <c r="M2114" s="365">
        <v>0.70833333333333337</v>
      </c>
      <c r="N2114" s="372" t="str">
        <f t="shared" si="43"/>
        <v>510</v>
      </c>
      <c r="O2114" s="371">
        <f t="shared" si="44"/>
        <v>6160</v>
      </c>
      <c r="P2114" s="366">
        <f t="shared" si="45"/>
        <v>0.29166666666666669</v>
      </c>
      <c r="Q2114" s="366">
        <f t="shared" si="46"/>
        <v>0.70833333333333337</v>
      </c>
      <c r="R2114" s="367" t="str">
        <f t="shared" si="47"/>
        <v>540</v>
      </c>
    </row>
    <row r="2115" spans="1:18" x14ac:dyDescent="0.4">
      <c r="A2115" s="402">
        <v>46153</v>
      </c>
      <c r="B2115" s="392" t="s">
        <v>131</v>
      </c>
      <c r="C2115" s="364" t="s">
        <v>274</v>
      </c>
      <c r="D2115" s="404">
        <v>24</v>
      </c>
      <c r="E2115" s="369">
        <v>3</v>
      </c>
      <c r="F2115" s="368">
        <v>2.0833333333333332E-2</v>
      </c>
      <c r="G2115" s="368">
        <v>0.29166666666666669</v>
      </c>
      <c r="H2115" s="368">
        <v>0.3923611111111111</v>
      </c>
      <c r="I2115" s="372" t="str">
        <f t="shared" si="42"/>
        <v>175</v>
      </c>
      <c r="J2115" s="371">
        <v>4</v>
      </c>
      <c r="K2115" s="371"/>
      <c r="L2115" s="365">
        <v>0.29166666666666669</v>
      </c>
      <c r="M2115" s="365">
        <v>0.4513888888888889</v>
      </c>
      <c r="N2115" s="372" t="str">
        <f t="shared" si="43"/>
        <v>230</v>
      </c>
      <c r="O2115" s="371">
        <f t="shared" si="44"/>
        <v>1445</v>
      </c>
      <c r="P2115" s="366">
        <f t="shared" si="45"/>
        <v>0.29166666666666669</v>
      </c>
      <c r="Q2115" s="366">
        <f t="shared" si="46"/>
        <v>0.4513888888888889</v>
      </c>
      <c r="R2115" s="367" t="str">
        <f t="shared" si="47"/>
        <v>230</v>
      </c>
    </row>
    <row r="2116" spans="1:18" x14ac:dyDescent="0.4">
      <c r="A2116" s="402">
        <v>46153</v>
      </c>
      <c r="B2116" s="392" t="s">
        <v>123</v>
      </c>
      <c r="C2116" s="364" t="s">
        <v>277</v>
      </c>
      <c r="D2116" s="404">
        <v>32</v>
      </c>
      <c r="E2116" s="369">
        <v>3</v>
      </c>
      <c r="F2116" s="370"/>
      <c r="G2116" s="368">
        <v>0.41666666666666669</v>
      </c>
      <c r="H2116" s="368">
        <v>0.625</v>
      </c>
      <c r="I2116" s="372" t="str">
        <f t="shared" si="42"/>
        <v>240</v>
      </c>
      <c r="J2116" s="371">
        <v>4</v>
      </c>
      <c r="K2116" s="371"/>
      <c r="L2116" s="365">
        <v>0.45833333333333331</v>
      </c>
      <c r="M2116" s="365">
        <v>0.67361111111111116</v>
      </c>
      <c r="N2116" s="372" t="str">
        <f t="shared" si="43"/>
        <v>250</v>
      </c>
      <c r="O2116" s="371">
        <f t="shared" si="44"/>
        <v>1720</v>
      </c>
      <c r="P2116" s="366">
        <f t="shared" si="45"/>
        <v>0.41666666666666669</v>
      </c>
      <c r="Q2116" s="366">
        <f t="shared" si="46"/>
        <v>0.67361111111111116</v>
      </c>
      <c r="R2116" s="367" t="str">
        <f t="shared" si="47"/>
        <v>310</v>
      </c>
    </row>
    <row r="2117" spans="1:18" x14ac:dyDescent="0.4">
      <c r="A2117" s="403">
        <v>46153</v>
      </c>
      <c r="B2117" s="383" t="s">
        <v>434</v>
      </c>
      <c r="C2117" s="390" t="s">
        <v>545</v>
      </c>
      <c r="D2117" s="405">
        <v>30</v>
      </c>
      <c r="E2117" s="384"/>
      <c r="F2117" s="385"/>
      <c r="G2117" s="396"/>
      <c r="H2117" s="396"/>
      <c r="I2117" s="386" t="str">
        <f t="shared" si="42"/>
        <v>0</v>
      </c>
      <c r="J2117" s="387"/>
      <c r="K2117" s="387"/>
      <c r="L2117" s="388"/>
      <c r="M2117" s="388"/>
      <c r="N2117" s="386" t="str">
        <f t="shared" si="43"/>
        <v>0</v>
      </c>
      <c r="O2117" s="387">
        <f t="shared" si="44"/>
        <v>0</v>
      </c>
      <c r="P2117" s="391">
        <f t="shared" si="45"/>
        <v>0</v>
      </c>
      <c r="Q2117" s="391">
        <f t="shared" si="46"/>
        <v>0</v>
      </c>
      <c r="R2117" s="389" t="str">
        <f t="shared" si="47"/>
        <v>0</v>
      </c>
    </row>
    <row r="2118" spans="1:18" x14ac:dyDescent="0.4">
      <c r="A2118" s="403">
        <v>46153</v>
      </c>
      <c r="B2118" s="383" t="s">
        <v>500</v>
      </c>
      <c r="C2118" s="390" t="s">
        <v>506</v>
      </c>
      <c r="D2118" s="405">
        <v>25</v>
      </c>
      <c r="E2118" s="384"/>
      <c r="F2118" s="385"/>
      <c r="G2118" s="396"/>
      <c r="H2118" s="396"/>
      <c r="I2118" s="386" t="str">
        <f t="shared" si="42"/>
        <v>0</v>
      </c>
      <c r="J2118" s="387"/>
      <c r="K2118" s="387"/>
      <c r="L2118" s="388"/>
      <c r="M2118" s="388"/>
      <c r="N2118" s="386" t="str">
        <f t="shared" si="43"/>
        <v>0</v>
      </c>
      <c r="O2118" s="387">
        <f t="shared" si="44"/>
        <v>0</v>
      </c>
      <c r="P2118" s="391">
        <f t="shared" si="45"/>
        <v>0</v>
      </c>
      <c r="Q2118" s="391">
        <f t="shared" si="46"/>
        <v>0</v>
      </c>
      <c r="R2118" s="389" t="str">
        <f t="shared" si="47"/>
        <v>0</v>
      </c>
    </row>
    <row r="2119" spans="1:18" x14ac:dyDescent="0.4">
      <c r="A2119" s="402">
        <v>46154</v>
      </c>
      <c r="B2119" s="392" t="s">
        <v>51</v>
      </c>
      <c r="C2119" s="364" t="s">
        <v>253</v>
      </c>
      <c r="D2119" s="404">
        <v>20</v>
      </c>
      <c r="E2119" s="369">
        <v>5</v>
      </c>
      <c r="F2119" s="370"/>
      <c r="G2119" s="368">
        <v>0.44791666666666669</v>
      </c>
      <c r="H2119" s="368">
        <v>0.66666666666666663</v>
      </c>
      <c r="I2119" s="372" t="str">
        <f t="shared" si="42"/>
        <v>255</v>
      </c>
      <c r="J2119" s="371">
        <v>3</v>
      </c>
      <c r="K2119" s="371"/>
      <c r="L2119" s="365">
        <v>0.4861111111111111</v>
      </c>
      <c r="M2119" s="365">
        <v>0.70833333333333337</v>
      </c>
      <c r="N2119" s="372" t="str">
        <f t="shared" si="43"/>
        <v>260</v>
      </c>
      <c r="O2119" s="371">
        <f t="shared" si="44"/>
        <v>2055</v>
      </c>
      <c r="P2119" s="366">
        <f t="shared" si="45"/>
        <v>0.44791666666666669</v>
      </c>
      <c r="Q2119" s="366">
        <f t="shared" si="46"/>
        <v>0.70833333333333337</v>
      </c>
      <c r="R2119" s="367" t="str">
        <f t="shared" si="47"/>
        <v>315</v>
      </c>
    </row>
    <row r="2120" spans="1:18" x14ac:dyDescent="0.4">
      <c r="A2120" s="402">
        <v>46154</v>
      </c>
      <c r="B2120" s="392" t="s">
        <v>109</v>
      </c>
      <c r="C2120" s="364" t="s">
        <v>263</v>
      </c>
      <c r="D2120" s="404">
        <v>12</v>
      </c>
      <c r="E2120" s="369">
        <v>5</v>
      </c>
      <c r="F2120" s="370"/>
      <c r="G2120" s="368">
        <v>0.36527777777777781</v>
      </c>
      <c r="H2120" s="368">
        <v>0.44791666666666669</v>
      </c>
      <c r="I2120" s="372" t="str">
        <f t="shared" si="42"/>
        <v>119</v>
      </c>
      <c r="J2120" s="371">
        <v>3</v>
      </c>
      <c r="K2120" s="371"/>
      <c r="L2120" s="365">
        <v>0.39583333333333331</v>
      </c>
      <c r="M2120" s="365">
        <v>0.4861111111111111</v>
      </c>
      <c r="N2120" s="372" t="str">
        <f t="shared" si="43"/>
        <v>130</v>
      </c>
      <c r="O2120" s="371">
        <f t="shared" si="44"/>
        <v>985</v>
      </c>
      <c r="P2120" s="366">
        <f t="shared" si="45"/>
        <v>0.36527777777777781</v>
      </c>
      <c r="Q2120" s="366">
        <f t="shared" si="46"/>
        <v>0.4861111111111111</v>
      </c>
      <c r="R2120" s="367" t="str">
        <f t="shared" si="47"/>
        <v>174</v>
      </c>
    </row>
    <row r="2121" spans="1:18" x14ac:dyDescent="0.4">
      <c r="A2121" s="402">
        <v>46154</v>
      </c>
      <c r="B2121" s="392" t="s">
        <v>53</v>
      </c>
      <c r="C2121" s="364" t="s">
        <v>261</v>
      </c>
      <c r="D2121" s="404">
        <v>6</v>
      </c>
      <c r="E2121" s="369">
        <v>5</v>
      </c>
      <c r="F2121" s="370"/>
      <c r="G2121" s="368">
        <v>0.29166666666666669</v>
      </c>
      <c r="H2121" s="368">
        <v>0.36527777777777781</v>
      </c>
      <c r="I2121" s="372" t="str">
        <f t="shared" si="42"/>
        <v>106</v>
      </c>
      <c r="J2121" s="371">
        <v>3</v>
      </c>
      <c r="K2121" s="371"/>
      <c r="L2121" s="365">
        <v>0.3125</v>
      </c>
      <c r="M2121" s="365">
        <v>0.39583333333333331</v>
      </c>
      <c r="N2121" s="372" t="str">
        <f t="shared" si="43"/>
        <v>120</v>
      </c>
      <c r="O2121" s="371">
        <f t="shared" si="44"/>
        <v>890</v>
      </c>
      <c r="P2121" s="366">
        <f t="shared" si="45"/>
        <v>0.29166666666666669</v>
      </c>
      <c r="Q2121" s="366">
        <f t="shared" si="46"/>
        <v>0.39583333333333331</v>
      </c>
      <c r="R2121" s="367" t="str">
        <f t="shared" si="47"/>
        <v>150</v>
      </c>
    </row>
    <row r="2122" spans="1:18" x14ac:dyDescent="0.4">
      <c r="A2122" s="402">
        <v>46154</v>
      </c>
      <c r="B2122" s="392" t="s">
        <v>118</v>
      </c>
      <c r="C2122" s="364" t="s">
        <v>318</v>
      </c>
      <c r="D2122" s="404">
        <v>8</v>
      </c>
      <c r="E2122" s="369">
        <v>5</v>
      </c>
      <c r="F2122" s="370"/>
      <c r="G2122" s="368">
        <v>0.29166666666666669</v>
      </c>
      <c r="H2122" s="368">
        <v>0.38055555555555554</v>
      </c>
      <c r="I2122" s="372" t="str">
        <f t="shared" si="42"/>
        <v>128</v>
      </c>
      <c r="J2122" s="371">
        <v>4</v>
      </c>
      <c r="K2122" s="371"/>
      <c r="L2122" s="365">
        <v>0.3125</v>
      </c>
      <c r="M2122" s="365">
        <v>0.4236111111111111</v>
      </c>
      <c r="N2122" s="372" t="str">
        <f t="shared" si="43"/>
        <v>160</v>
      </c>
      <c r="O2122" s="371">
        <f t="shared" si="44"/>
        <v>1280</v>
      </c>
      <c r="P2122" s="366">
        <f t="shared" si="45"/>
        <v>0.29166666666666669</v>
      </c>
      <c r="Q2122" s="366">
        <f t="shared" si="46"/>
        <v>0.4236111111111111</v>
      </c>
      <c r="R2122" s="367" t="str">
        <f t="shared" si="47"/>
        <v>190</v>
      </c>
    </row>
    <row r="2123" spans="1:18" x14ac:dyDescent="0.4">
      <c r="A2123" s="402">
        <v>46154</v>
      </c>
      <c r="B2123" s="392" t="s">
        <v>548</v>
      </c>
      <c r="C2123" s="364" t="s">
        <v>218</v>
      </c>
      <c r="D2123" s="404">
        <v>12</v>
      </c>
      <c r="E2123" s="369">
        <v>5</v>
      </c>
      <c r="F2123" s="370"/>
      <c r="G2123" s="368">
        <v>0.54166666666666663</v>
      </c>
      <c r="H2123" s="368">
        <v>0.66666666666666663</v>
      </c>
      <c r="I2123" s="372" t="str">
        <f t="shared" si="42"/>
        <v>180</v>
      </c>
      <c r="J2123" s="371">
        <v>4</v>
      </c>
      <c r="K2123" s="371"/>
      <c r="L2123" s="365">
        <v>0.56944444444444442</v>
      </c>
      <c r="M2123" s="365">
        <v>0.6875</v>
      </c>
      <c r="N2123" s="372" t="str">
        <f t="shared" si="43"/>
        <v>170</v>
      </c>
      <c r="O2123" s="371">
        <f t="shared" si="44"/>
        <v>1580</v>
      </c>
      <c r="P2123" s="366">
        <f t="shared" si="45"/>
        <v>0.54166666666666663</v>
      </c>
      <c r="Q2123" s="366">
        <f t="shared" si="46"/>
        <v>0.6875</v>
      </c>
      <c r="R2123" s="367" t="str">
        <f t="shared" si="47"/>
        <v>210</v>
      </c>
    </row>
    <row r="2124" spans="1:18" x14ac:dyDescent="0.4">
      <c r="A2124" s="402">
        <v>46154</v>
      </c>
      <c r="B2124" s="392" t="s">
        <v>56</v>
      </c>
      <c r="C2124" s="364" t="s">
        <v>220</v>
      </c>
      <c r="D2124" s="404">
        <v>12</v>
      </c>
      <c r="E2124" s="369">
        <v>5</v>
      </c>
      <c r="F2124" s="370"/>
      <c r="G2124" s="368">
        <v>0.38055555555555554</v>
      </c>
      <c r="H2124" s="368">
        <v>0.5</v>
      </c>
      <c r="I2124" s="372" t="str">
        <f t="shared" si="42"/>
        <v>172</v>
      </c>
      <c r="J2124" s="371">
        <v>4</v>
      </c>
      <c r="K2124" s="371"/>
      <c r="L2124" s="365">
        <v>0.4236111111111111</v>
      </c>
      <c r="M2124" s="365">
        <v>0.56944444444444442</v>
      </c>
      <c r="N2124" s="372" t="str">
        <f t="shared" si="43"/>
        <v>150</v>
      </c>
      <c r="O2124" s="371">
        <f t="shared" si="44"/>
        <v>1460</v>
      </c>
      <c r="P2124" s="366">
        <f t="shared" si="45"/>
        <v>0.38055555555555554</v>
      </c>
      <c r="Q2124" s="366">
        <f t="shared" si="46"/>
        <v>0.56944444444444442</v>
      </c>
      <c r="R2124" s="367" t="str">
        <f t="shared" si="47"/>
        <v>212</v>
      </c>
    </row>
    <row r="2125" spans="1:18" x14ac:dyDescent="0.4">
      <c r="A2125" s="402">
        <v>46154</v>
      </c>
      <c r="B2125" s="392" t="s">
        <v>96</v>
      </c>
      <c r="C2125" s="364" t="s">
        <v>167</v>
      </c>
      <c r="D2125" s="404">
        <v>12</v>
      </c>
      <c r="E2125" s="369">
        <v>3</v>
      </c>
      <c r="F2125" s="368">
        <v>2.0833333333333332E-2</v>
      </c>
      <c r="G2125" s="368">
        <v>0.29166666666666669</v>
      </c>
      <c r="H2125" s="368">
        <v>0.37152777777777773</v>
      </c>
      <c r="I2125" s="372" t="str">
        <f t="shared" si="42"/>
        <v>145</v>
      </c>
      <c r="J2125" s="371">
        <v>6</v>
      </c>
      <c r="K2125" s="371"/>
      <c r="L2125" s="365">
        <v>0.29166666666666669</v>
      </c>
      <c r="M2125" s="365">
        <v>0.43402777777777773</v>
      </c>
      <c r="N2125" s="372" t="str">
        <f t="shared" si="43"/>
        <v>205</v>
      </c>
      <c r="O2125" s="371">
        <f t="shared" si="44"/>
        <v>1665</v>
      </c>
      <c r="P2125" s="366">
        <f t="shared" si="45"/>
        <v>0.29166666666666669</v>
      </c>
      <c r="Q2125" s="366">
        <f t="shared" si="46"/>
        <v>0.43402777777777773</v>
      </c>
      <c r="R2125" s="367" t="str">
        <f t="shared" si="47"/>
        <v>205</v>
      </c>
    </row>
    <row r="2126" spans="1:18" x14ac:dyDescent="0.4">
      <c r="A2126" s="402">
        <v>46154</v>
      </c>
      <c r="B2126" s="392" t="s">
        <v>82</v>
      </c>
      <c r="C2126" s="364" t="s">
        <v>171</v>
      </c>
      <c r="D2126" s="404">
        <v>12</v>
      </c>
      <c r="E2126" s="369">
        <v>3</v>
      </c>
      <c r="F2126" s="370"/>
      <c r="G2126" s="368">
        <v>0.3611111111111111</v>
      </c>
      <c r="H2126" s="368">
        <v>0.44444444444444442</v>
      </c>
      <c r="I2126" s="372" t="str">
        <f t="shared" si="42"/>
        <v>120</v>
      </c>
      <c r="J2126" s="371">
        <v>7</v>
      </c>
      <c r="K2126" s="371"/>
      <c r="L2126" s="365">
        <v>0.43055555555555558</v>
      </c>
      <c r="M2126" s="365">
        <v>0.56597222222222221</v>
      </c>
      <c r="N2126" s="372" t="str">
        <f t="shared" si="43"/>
        <v>135</v>
      </c>
      <c r="O2126" s="371">
        <f t="shared" si="44"/>
        <v>1305</v>
      </c>
      <c r="P2126" s="366">
        <f t="shared" si="45"/>
        <v>0.3611111111111111</v>
      </c>
      <c r="Q2126" s="366">
        <f t="shared" si="46"/>
        <v>0.56597222222222221</v>
      </c>
      <c r="R2126" s="367" t="str">
        <f t="shared" si="47"/>
        <v>235</v>
      </c>
    </row>
    <row r="2127" spans="1:18" x14ac:dyDescent="0.4">
      <c r="A2127" s="402">
        <v>46154</v>
      </c>
      <c r="B2127" s="392" t="s">
        <v>83</v>
      </c>
      <c r="C2127" s="364" t="s">
        <v>169</v>
      </c>
      <c r="D2127" s="404">
        <v>12</v>
      </c>
      <c r="E2127" s="369">
        <v>3</v>
      </c>
      <c r="F2127" s="370"/>
      <c r="G2127" s="368">
        <v>0.44444444444444442</v>
      </c>
      <c r="H2127" s="368">
        <v>0.60416666666666663</v>
      </c>
      <c r="I2127" s="372" t="str">
        <f t="shared" si="42"/>
        <v>170</v>
      </c>
      <c r="J2127" s="371">
        <v>7</v>
      </c>
      <c r="K2127" s="371"/>
      <c r="L2127" s="365">
        <v>0.56944444444444442</v>
      </c>
      <c r="M2127" s="365">
        <v>0.69097222222222221</v>
      </c>
      <c r="N2127" s="372" t="str">
        <f t="shared" si="43"/>
        <v>175</v>
      </c>
      <c r="O2127" s="371">
        <f t="shared" si="44"/>
        <v>1735</v>
      </c>
      <c r="P2127" s="366">
        <f t="shared" si="45"/>
        <v>0.44444444444444442</v>
      </c>
      <c r="Q2127" s="366">
        <f t="shared" si="46"/>
        <v>0.69097222222222221</v>
      </c>
      <c r="R2127" s="367" t="str">
        <f t="shared" si="47"/>
        <v>295</v>
      </c>
    </row>
    <row r="2128" spans="1:18" x14ac:dyDescent="0.4">
      <c r="A2128" s="402">
        <v>46155</v>
      </c>
      <c r="B2128" s="392" t="s">
        <v>158</v>
      </c>
      <c r="C2128" s="364" t="s">
        <v>159</v>
      </c>
      <c r="D2128" s="404">
        <v>4</v>
      </c>
      <c r="E2128" s="369">
        <v>5</v>
      </c>
      <c r="F2128" s="370"/>
      <c r="G2128" s="368">
        <v>0.29166666666666669</v>
      </c>
      <c r="H2128" s="368">
        <v>0.3611111111111111</v>
      </c>
      <c r="I2128" s="372" t="str">
        <f t="shared" si="42"/>
        <v>100</v>
      </c>
      <c r="J2128" s="371">
        <v>9</v>
      </c>
      <c r="K2128" s="371"/>
      <c r="L2128" s="365">
        <v>0.29166666666666669</v>
      </c>
      <c r="M2128" s="365">
        <v>0.41666666666666669</v>
      </c>
      <c r="N2128" s="372" t="str">
        <f t="shared" si="43"/>
        <v>180</v>
      </c>
      <c r="O2128" s="371">
        <f t="shared" si="44"/>
        <v>2120</v>
      </c>
      <c r="P2128" s="366">
        <f t="shared" si="45"/>
        <v>0.29166666666666669</v>
      </c>
      <c r="Q2128" s="366">
        <f t="shared" si="46"/>
        <v>0.41666666666666669</v>
      </c>
      <c r="R2128" s="367" t="str">
        <f t="shared" si="47"/>
        <v>180</v>
      </c>
    </row>
    <row r="2129" spans="1:18" x14ac:dyDescent="0.4">
      <c r="A2129" s="402">
        <v>46155</v>
      </c>
      <c r="B2129" s="392" t="s">
        <v>91</v>
      </c>
      <c r="C2129" s="364" t="s">
        <v>163</v>
      </c>
      <c r="D2129" s="404">
        <v>8</v>
      </c>
      <c r="E2129" s="369">
        <v>4</v>
      </c>
      <c r="F2129" s="370"/>
      <c r="G2129" s="368">
        <v>0.3576388888888889</v>
      </c>
      <c r="H2129" s="368">
        <v>0.5</v>
      </c>
      <c r="I2129" s="372" t="str">
        <f t="shared" si="42"/>
        <v>205</v>
      </c>
      <c r="J2129" s="371">
        <v>9</v>
      </c>
      <c r="K2129" s="371"/>
      <c r="L2129" s="365">
        <v>0.41666666666666669</v>
      </c>
      <c r="M2129" s="365">
        <v>0.5</v>
      </c>
      <c r="N2129" s="372" t="str">
        <f t="shared" si="43"/>
        <v>120</v>
      </c>
      <c r="O2129" s="371">
        <f t="shared" si="44"/>
        <v>1900</v>
      </c>
      <c r="P2129" s="366">
        <f t="shared" si="45"/>
        <v>0.3576388888888889</v>
      </c>
      <c r="Q2129" s="366">
        <f t="shared" si="46"/>
        <v>0.5</v>
      </c>
      <c r="R2129" s="367" t="str">
        <f t="shared" si="47"/>
        <v>205</v>
      </c>
    </row>
    <row r="2130" spans="1:18" x14ac:dyDescent="0.4">
      <c r="A2130" s="402">
        <v>46155</v>
      </c>
      <c r="B2130" s="392" t="s">
        <v>86</v>
      </c>
      <c r="C2130" s="364" t="s">
        <v>201</v>
      </c>
      <c r="D2130" s="404">
        <v>20</v>
      </c>
      <c r="E2130" s="369">
        <v>5</v>
      </c>
      <c r="F2130" s="370"/>
      <c r="G2130" s="368">
        <v>0.54166666666666663</v>
      </c>
      <c r="H2130" s="368">
        <v>0.70833333333333337</v>
      </c>
      <c r="I2130" s="372" t="str">
        <f t="shared" si="42"/>
        <v>240</v>
      </c>
      <c r="J2130" s="371">
        <v>5</v>
      </c>
      <c r="K2130" s="371"/>
      <c r="L2130" s="365">
        <v>0.54166666666666663</v>
      </c>
      <c r="M2130" s="365">
        <v>0.77083333333333337</v>
      </c>
      <c r="N2130" s="372" t="str">
        <f t="shared" si="43"/>
        <v>330</v>
      </c>
      <c r="O2130" s="371">
        <f t="shared" si="44"/>
        <v>2850</v>
      </c>
      <c r="P2130" s="366">
        <f t="shared" si="45"/>
        <v>0.54166666666666663</v>
      </c>
      <c r="Q2130" s="366">
        <f t="shared" si="46"/>
        <v>0.77083333333333337</v>
      </c>
      <c r="R2130" s="367" t="str">
        <f t="shared" si="47"/>
        <v>330</v>
      </c>
    </row>
    <row r="2131" spans="1:18" x14ac:dyDescent="0.4">
      <c r="A2131" s="402">
        <v>46155</v>
      </c>
      <c r="B2131" s="392" t="s">
        <v>75</v>
      </c>
      <c r="C2131" s="364" t="s">
        <v>229</v>
      </c>
      <c r="D2131" s="404">
        <v>16</v>
      </c>
      <c r="E2131" s="371">
        <v>5</v>
      </c>
      <c r="F2131" s="371"/>
      <c r="G2131" s="365">
        <v>0.29166666666666669</v>
      </c>
      <c r="H2131" s="365">
        <v>0.42291666666666666</v>
      </c>
      <c r="I2131" s="372" t="str">
        <f t="shared" si="42"/>
        <v>189</v>
      </c>
      <c r="J2131" s="371">
        <v>3</v>
      </c>
      <c r="K2131" s="371"/>
      <c r="L2131" s="365">
        <v>0.3125</v>
      </c>
      <c r="M2131" s="365">
        <v>0.4513888888888889</v>
      </c>
      <c r="N2131" s="372" t="str">
        <f t="shared" si="43"/>
        <v>200</v>
      </c>
      <c r="O2131" s="371">
        <f t="shared" si="44"/>
        <v>1545</v>
      </c>
      <c r="P2131" s="366">
        <f t="shared" si="45"/>
        <v>0.29166666666666669</v>
      </c>
      <c r="Q2131" s="366">
        <f t="shared" si="46"/>
        <v>0.4513888888888889</v>
      </c>
      <c r="R2131" s="367" t="str">
        <f t="shared" si="47"/>
        <v>230</v>
      </c>
    </row>
    <row r="2132" spans="1:18" x14ac:dyDescent="0.4">
      <c r="A2132" s="402">
        <v>46155</v>
      </c>
      <c r="B2132" s="392" t="s">
        <v>63</v>
      </c>
      <c r="C2132" s="364" t="s">
        <v>267</v>
      </c>
      <c r="D2132" s="404">
        <v>24</v>
      </c>
      <c r="E2132" s="371">
        <v>5</v>
      </c>
      <c r="F2132" s="371"/>
      <c r="G2132" s="365">
        <v>0.42291666666666666</v>
      </c>
      <c r="H2132" s="365">
        <v>0.66666666666666663</v>
      </c>
      <c r="I2132" s="372" t="str">
        <f t="shared" si="42"/>
        <v>291</v>
      </c>
      <c r="J2132" s="371">
        <v>3</v>
      </c>
      <c r="K2132" s="371"/>
      <c r="L2132" s="365">
        <v>0.4513888888888889</v>
      </c>
      <c r="M2132" s="365">
        <v>0.6875</v>
      </c>
      <c r="N2132" s="372" t="str">
        <f t="shared" si="43"/>
        <v>280</v>
      </c>
      <c r="O2132" s="371">
        <f t="shared" si="44"/>
        <v>2295</v>
      </c>
      <c r="P2132" s="366">
        <f t="shared" si="45"/>
        <v>0.42291666666666666</v>
      </c>
      <c r="Q2132" s="366">
        <f t="shared" si="46"/>
        <v>0.6875</v>
      </c>
      <c r="R2132" s="367" t="str">
        <f t="shared" si="47"/>
        <v>321</v>
      </c>
    </row>
    <row r="2133" spans="1:18" x14ac:dyDescent="0.4">
      <c r="A2133" s="402">
        <v>46155</v>
      </c>
      <c r="B2133" s="392" t="s">
        <v>558</v>
      </c>
      <c r="C2133" s="364" t="s">
        <v>191</v>
      </c>
      <c r="D2133" s="404">
        <v>60</v>
      </c>
      <c r="E2133" s="369">
        <v>3</v>
      </c>
      <c r="F2133" s="368">
        <v>2.0833333333333332E-2</v>
      </c>
      <c r="G2133" s="368">
        <v>0.29166666666666669</v>
      </c>
      <c r="H2133" s="368">
        <v>0.62847222222222221</v>
      </c>
      <c r="I2133" s="372" t="str">
        <f t="shared" si="42"/>
        <v>455</v>
      </c>
      <c r="J2133" s="371">
        <v>4</v>
      </c>
      <c r="K2133" s="371"/>
      <c r="L2133" s="365">
        <v>0.29166666666666669</v>
      </c>
      <c r="M2133" s="365">
        <v>0.68055555555555547</v>
      </c>
      <c r="N2133" s="372" t="str">
        <f t="shared" si="43"/>
        <v>500</v>
      </c>
      <c r="O2133" s="371">
        <f t="shared" si="44"/>
        <v>3365</v>
      </c>
      <c r="P2133" s="366">
        <f t="shared" si="45"/>
        <v>0.29166666666666669</v>
      </c>
      <c r="Q2133" s="366">
        <f t="shared" si="46"/>
        <v>0.68055555555555547</v>
      </c>
      <c r="R2133" s="367" t="str">
        <f t="shared" si="47"/>
        <v>500</v>
      </c>
    </row>
    <row r="2134" spans="1:18" x14ac:dyDescent="0.4">
      <c r="A2134" s="402">
        <v>46156</v>
      </c>
      <c r="B2134" s="392" t="s">
        <v>71</v>
      </c>
      <c r="C2134" s="364" t="s">
        <v>176</v>
      </c>
      <c r="D2134" s="404">
        <v>68</v>
      </c>
      <c r="E2134" s="369">
        <v>6</v>
      </c>
      <c r="F2134" s="370"/>
      <c r="G2134" s="368">
        <v>0.29166666666666669</v>
      </c>
      <c r="H2134" s="368">
        <v>0.66666666666666663</v>
      </c>
      <c r="I2134" s="372" t="str">
        <f t="shared" si="42"/>
        <v>480</v>
      </c>
      <c r="J2134" s="371">
        <v>5</v>
      </c>
      <c r="K2134" s="371"/>
      <c r="L2134" s="365">
        <v>0.3125</v>
      </c>
      <c r="M2134" s="365">
        <v>0.70833333333333337</v>
      </c>
      <c r="N2134" s="372" t="str">
        <f t="shared" si="43"/>
        <v>510</v>
      </c>
      <c r="O2134" s="371">
        <f t="shared" si="44"/>
        <v>5430</v>
      </c>
      <c r="P2134" s="366">
        <f t="shared" si="45"/>
        <v>0.29166666666666669</v>
      </c>
      <c r="Q2134" s="366">
        <f t="shared" si="46"/>
        <v>0.70833333333333337</v>
      </c>
      <c r="R2134" s="367" t="str">
        <f t="shared" si="47"/>
        <v>540</v>
      </c>
    </row>
    <row r="2135" spans="1:18" x14ac:dyDescent="0.4">
      <c r="A2135" s="402">
        <v>46156</v>
      </c>
      <c r="B2135" s="392" t="s">
        <v>76</v>
      </c>
      <c r="C2135" s="364" t="s">
        <v>224</v>
      </c>
      <c r="D2135" s="404">
        <v>12</v>
      </c>
      <c r="E2135" s="369">
        <v>5</v>
      </c>
      <c r="F2135" s="370"/>
      <c r="G2135" s="368">
        <v>0.29166666666666669</v>
      </c>
      <c r="H2135" s="368">
        <v>0.39027777777777778</v>
      </c>
      <c r="I2135" s="372" t="str">
        <f t="shared" si="42"/>
        <v>142</v>
      </c>
      <c r="J2135" s="371">
        <v>3</v>
      </c>
      <c r="K2135" s="371"/>
      <c r="L2135" s="365">
        <v>0.3125</v>
      </c>
      <c r="M2135" s="365">
        <v>0.4201388888888889</v>
      </c>
      <c r="N2135" s="372" t="str">
        <f t="shared" si="43"/>
        <v>155</v>
      </c>
      <c r="O2135" s="371">
        <f t="shared" si="44"/>
        <v>1175</v>
      </c>
      <c r="P2135" s="366">
        <f t="shared" si="45"/>
        <v>0.29166666666666669</v>
      </c>
      <c r="Q2135" s="366">
        <f t="shared" si="46"/>
        <v>0.4201388888888889</v>
      </c>
      <c r="R2135" s="367" t="str">
        <f t="shared" si="47"/>
        <v>185</v>
      </c>
    </row>
    <row r="2136" spans="1:18" x14ac:dyDescent="0.4">
      <c r="A2136" s="402">
        <v>46156</v>
      </c>
      <c r="B2136" s="392" t="s">
        <v>72</v>
      </c>
      <c r="C2136" s="364" t="s">
        <v>227</v>
      </c>
      <c r="D2136" s="404">
        <v>12</v>
      </c>
      <c r="E2136" s="369">
        <v>5</v>
      </c>
      <c r="F2136" s="370"/>
      <c r="G2136" s="368">
        <v>0.39027777777777778</v>
      </c>
      <c r="H2136" s="368">
        <v>0.48819444444444443</v>
      </c>
      <c r="I2136" s="372" t="str">
        <f t="shared" si="42"/>
        <v>141</v>
      </c>
      <c r="J2136" s="371">
        <v>3</v>
      </c>
      <c r="K2136" s="371"/>
      <c r="L2136" s="365">
        <v>0.4201388888888889</v>
      </c>
      <c r="M2136" s="365">
        <v>0.5625</v>
      </c>
      <c r="N2136" s="372" t="str">
        <f t="shared" si="43"/>
        <v>145</v>
      </c>
      <c r="O2136" s="371">
        <f t="shared" si="44"/>
        <v>1140</v>
      </c>
      <c r="P2136" s="366">
        <f t="shared" si="45"/>
        <v>0.39027777777777778</v>
      </c>
      <c r="Q2136" s="366">
        <f t="shared" si="46"/>
        <v>0.5625</v>
      </c>
      <c r="R2136" s="367" t="str">
        <f t="shared" si="47"/>
        <v>188</v>
      </c>
    </row>
    <row r="2137" spans="1:18" x14ac:dyDescent="0.4">
      <c r="A2137" s="402">
        <v>46156</v>
      </c>
      <c r="B2137" s="392" t="s">
        <v>63</v>
      </c>
      <c r="C2137" s="364" t="s">
        <v>267</v>
      </c>
      <c r="D2137" s="404">
        <v>16</v>
      </c>
      <c r="E2137" s="369">
        <v>5</v>
      </c>
      <c r="F2137" s="370"/>
      <c r="G2137" s="368">
        <v>0.54166666666666663</v>
      </c>
      <c r="H2137" s="368">
        <v>0.66666666666666663</v>
      </c>
      <c r="I2137" s="372" t="str">
        <f t="shared" si="42"/>
        <v>180</v>
      </c>
      <c r="J2137" s="371">
        <v>3</v>
      </c>
      <c r="K2137" s="371"/>
      <c r="L2137" s="365">
        <v>0.5625</v>
      </c>
      <c r="M2137" s="365">
        <v>0.64930555555555558</v>
      </c>
      <c r="N2137" s="372" t="str">
        <f t="shared" si="43"/>
        <v>125</v>
      </c>
      <c r="O2137" s="371">
        <f t="shared" si="44"/>
        <v>1275</v>
      </c>
      <c r="P2137" s="366">
        <f t="shared" si="45"/>
        <v>0.54166666666666663</v>
      </c>
      <c r="Q2137" s="366">
        <f t="shared" si="46"/>
        <v>0.66666666666666663</v>
      </c>
      <c r="R2137" s="367" t="str">
        <f t="shared" si="47"/>
        <v>180</v>
      </c>
    </row>
    <row r="2138" spans="1:18" x14ac:dyDescent="0.4">
      <c r="A2138" s="402">
        <v>46156</v>
      </c>
      <c r="B2138" s="392" t="s">
        <v>65</v>
      </c>
      <c r="C2138" s="364" t="s">
        <v>189</v>
      </c>
      <c r="D2138" s="404">
        <v>60</v>
      </c>
      <c r="E2138" s="369">
        <v>3</v>
      </c>
      <c r="F2138" s="368">
        <v>2.0833333333333332E-2</v>
      </c>
      <c r="G2138" s="368">
        <v>0.29166666666666669</v>
      </c>
      <c r="H2138" s="368">
        <v>0.66666666666666663</v>
      </c>
      <c r="I2138" s="372" t="str">
        <f t="shared" si="42"/>
        <v>510</v>
      </c>
      <c r="J2138" s="371">
        <v>4</v>
      </c>
      <c r="K2138" s="371"/>
      <c r="L2138" s="365">
        <v>0.29166666666666669</v>
      </c>
      <c r="M2138" s="365">
        <v>0.68055555555555547</v>
      </c>
      <c r="N2138" s="372" t="str">
        <f t="shared" si="43"/>
        <v>500</v>
      </c>
      <c r="O2138" s="371">
        <f t="shared" si="44"/>
        <v>3530</v>
      </c>
      <c r="P2138" s="366">
        <f t="shared" si="45"/>
        <v>0.29166666666666669</v>
      </c>
      <c r="Q2138" s="366">
        <f t="shared" si="46"/>
        <v>0.68055555555555547</v>
      </c>
      <c r="R2138" s="367" t="str">
        <f t="shared" si="47"/>
        <v>500</v>
      </c>
    </row>
    <row r="2139" spans="1:18" x14ac:dyDescent="0.4">
      <c r="A2139" s="402">
        <v>46157</v>
      </c>
      <c r="B2139" s="392" t="s">
        <v>54</v>
      </c>
      <c r="C2139" s="364" t="s">
        <v>251</v>
      </c>
      <c r="D2139" s="404">
        <v>36</v>
      </c>
      <c r="E2139" s="369">
        <v>5</v>
      </c>
      <c r="F2139" s="370"/>
      <c r="G2139" s="368">
        <v>0.29166666666666669</v>
      </c>
      <c r="H2139" s="368">
        <v>0.66666666666666663</v>
      </c>
      <c r="I2139" s="372" t="str">
        <f t="shared" si="42"/>
        <v>480</v>
      </c>
      <c r="J2139" s="371">
        <v>3</v>
      </c>
      <c r="K2139" s="371"/>
      <c r="L2139" s="365">
        <v>0.3125</v>
      </c>
      <c r="M2139" s="365">
        <v>0.6875</v>
      </c>
      <c r="N2139" s="372" t="str">
        <f t="shared" si="43"/>
        <v>480</v>
      </c>
      <c r="O2139" s="371">
        <f t="shared" si="44"/>
        <v>3840</v>
      </c>
      <c r="P2139" s="366">
        <f t="shared" si="45"/>
        <v>0.29166666666666669</v>
      </c>
      <c r="Q2139" s="366">
        <f t="shared" si="46"/>
        <v>0.6875</v>
      </c>
      <c r="R2139" s="367" t="str">
        <f t="shared" si="47"/>
        <v>510</v>
      </c>
    </row>
    <row r="2140" spans="1:18" x14ac:dyDescent="0.4">
      <c r="A2140" s="402">
        <v>46157</v>
      </c>
      <c r="B2140" s="392" t="s">
        <v>646</v>
      </c>
      <c r="C2140" s="364" t="s">
        <v>310</v>
      </c>
      <c r="D2140" s="404">
        <v>3</v>
      </c>
      <c r="E2140" s="369">
        <v>5</v>
      </c>
      <c r="F2140" s="370"/>
      <c r="G2140" s="368">
        <v>0.29166666666666669</v>
      </c>
      <c r="H2140" s="368">
        <v>0.3444444444444445</v>
      </c>
      <c r="I2140" s="372" t="str">
        <f t="shared" si="42"/>
        <v>76</v>
      </c>
      <c r="J2140" s="371">
        <v>4</v>
      </c>
      <c r="K2140" s="371"/>
      <c r="L2140" s="365">
        <v>0.3125</v>
      </c>
      <c r="M2140" s="365">
        <v>0.37847222222222227</v>
      </c>
      <c r="N2140" s="372" t="str">
        <f t="shared" si="43"/>
        <v>95</v>
      </c>
      <c r="O2140" s="371">
        <f t="shared" si="44"/>
        <v>760</v>
      </c>
      <c r="P2140" s="366">
        <f t="shared" si="45"/>
        <v>0.29166666666666669</v>
      </c>
      <c r="Q2140" s="366">
        <f t="shared" si="46"/>
        <v>0.37847222222222227</v>
      </c>
      <c r="R2140" s="367" t="str">
        <f t="shared" si="47"/>
        <v>125</v>
      </c>
    </row>
    <row r="2141" spans="1:18" x14ac:dyDescent="0.4">
      <c r="A2141" s="402">
        <v>46157</v>
      </c>
      <c r="B2141" s="392" t="s">
        <v>547</v>
      </c>
      <c r="C2141" s="364" t="s">
        <v>205</v>
      </c>
      <c r="D2141" s="404">
        <v>12</v>
      </c>
      <c r="E2141" s="369">
        <v>5</v>
      </c>
      <c r="F2141" s="370"/>
      <c r="G2141" s="368">
        <v>0.3444444444444445</v>
      </c>
      <c r="H2141" s="368">
        <v>0.44375000000000003</v>
      </c>
      <c r="I2141" s="372" t="str">
        <f t="shared" si="42"/>
        <v>143</v>
      </c>
      <c r="J2141" s="371">
        <v>4</v>
      </c>
      <c r="K2141" s="371"/>
      <c r="L2141" s="365">
        <v>0.37847222222222227</v>
      </c>
      <c r="M2141" s="365">
        <v>0.48958333333333331</v>
      </c>
      <c r="N2141" s="372" t="str">
        <f t="shared" si="43"/>
        <v>160</v>
      </c>
      <c r="O2141" s="371">
        <f t="shared" si="44"/>
        <v>1355</v>
      </c>
      <c r="P2141" s="366">
        <f t="shared" si="45"/>
        <v>0.3444444444444445</v>
      </c>
      <c r="Q2141" s="366">
        <f t="shared" si="46"/>
        <v>0.48958333333333331</v>
      </c>
      <c r="R2141" s="367" t="str">
        <f t="shared" si="47"/>
        <v>209</v>
      </c>
    </row>
    <row r="2142" spans="1:18" x14ac:dyDescent="0.4">
      <c r="A2142" s="402">
        <v>46157</v>
      </c>
      <c r="B2142" s="392" t="s">
        <v>63</v>
      </c>
      <c r="C2142" s="364" t="s">
        <v>267</v>
      </c>
      <c r="D2142" s="404">
        <v>20</v>
      </c>
      <c r="E2142" s="369">
        <v>5</v>
      </c>
      <c r="F2142" s="370"/>
      <c r="G2142" s="368">
        <v>0.44375000000000003</v>
      </c>
      <c r="H2142" s="368">
        <v>0.66666666666666663</v>
      </c>
      <c r="I2142" s="372" t="str">
        <f t="shared" si="42"/>
        <v>261</v>
      </c>
      <c r="J2142" s="371">
        <v>3</v>
      </c>
      <c r="K2142" s="371"/>
      <c r="L2142" s="365">
        <v>0.48958333333333331</v>
      </c>
      <c r="M2142" s="365">
        <v>0.6875</v>
      </c>
      <c r="N2142" s="372" t="str">
        <f t="shared" si="43"/>
        <v>225</v>
      </c>
      <c r="O2142" s="371">
        <f t="shared" si="44"/>
        <v>1980</v>
      </c>
      <c r="P2142" s="366">
        <f t="shared" si="45"/>
        <v>0.44375000000000003</v>
      </c>
      <c r="Q2142" s="366">
        <f t="shared" si="46"/>
        <v>0.6875</v>
      </c>
      <c r="R2142" s="367" t="str">
        <f t="shared" si="47"/>
        <v>291</v>
      </c>
    </row>
    <row r="2143" spans="1:18" x14ac:dyDescent="0.4">
      <c r="A2143" s="402">
        <v>46157</v>
      </c>
      <c r="B2143" s="392" t="s">
        <v>73</v>
      </c>
      <c r="C2143" s="364" t="s">
        <v>231</v>
      </c>
      <c r="D2143" s="404">
        <v>21</v>
      </c>
      <c r="E2143" s="369">
        <v>3</v>
      </c>
      <c r="F2143" s="368">
        <v>2.0833333333333332E-2</v>
      </c>
      <c r="G2143" s="368">
        <v>0.29166666666666669</v>
      </c>
      <c r="H2143" s="368">
        <v>0.64583333333333337</v>
      </c>
      <c r="I2143" s="372" t="str">
        <f t="shared" si="42"/>
        <v>480</v>
      </c>
      <c r="J2143" s="371">
        <v>5</v>
      </c>
      <c r="K2143" s="371"/>
      <c r="L2143" s="365">
        <v>0.3125</v>
      </c>
      <c r="M2143" s="365">
        <v>0.6875</v>
      </c>
      <c r="N2143" s="372" t="str">
        <f t="shared" si="43"/>
        <v>480</v>
      </c>
      <c r="O2143" s="371">
        <f t="shared" si="44"/>
        <v>3840</v>
      </c>
      <c r="P2143" s="366">
        <f t="shared" si="45"/>
        <v>0.29166666666666669</v>
      </c>
      <c r="Q2143" s="366">
        <f t="shared" si="46"/>
        <v>0.6875</v>
      </c>
      <c r="R2143" s="367" t="str">
        <f t="shared" si="47"/>
        <v>510</v>
      </c>
    </row>
    <row r="2144" spans="1:18" x14ac:dyDescent="0.4">
      <c r="A2144" s="402">
        <v>46160</v>
      </c>
      <c r="B2144" s="392" t="s">
        <v>71</v>
      </c>
      <c r="C2144" s="364" t="s">
        <v>176</v>
      </c>
      <c r="D2144" s="404">
        <v>68</v>
      </c>
      <c r="E2144" s="369">
        <v>6</v>
      </c>
      <c r="F2144" s="370"/>
      <c r="G2144" s="368">
        <v>0.29166666666666669</v>
      </c>
      <c r="H2144" s="368">
        <v>0.66666666666666663</v>
      </c>
      <c r="I2144" s="372" t="str">
        <f t="shared" si="42"/>
        <v>480</v>
      </c>
      <c r="J2144" s="371">
        <v>5</v>
      </c>
      <c r="K2144" s="371"/>
      <c r="L2144" s="365">
        <v>0.3125</v>
      </c>
      <c r="M2144" s="365">
        <v>0.70833333333333337</v>
      </c>
      <c r="N2144" s="372" t="str">
        <f t="shared" si="43"/>
        <v>510</v>
      </c>
      <c r="O2144" s="371">
        <f t="shared" si="44"/>
        <v>5430</v>
      </c>
      <c r="P2144" s="366">
        <f t="shared" si="45"/>
        <v>0.29166666666666669</v>
      </c>
      <c r="Q2144" s="366">
        <f t="shared" si="46"/>
        <v>0.70833333333333337</v>
      </c>
      <c r="R2144" s="367" t="str">
        <f t="shared" si="47"/>
        <v>540</v>
      </c>
    </row>
    <row r="2145" spans="1:18" x14ac:dyDescent="0.4">
      <c r="A2145" s="402">
        <v>46160</v>
      </c>
      <c r="B2145" s="392" t="s">
        <v>115</v>
      </c>
      <c r="C2145" s="364" t="s">
        <v>214</v>
      </c>
      <c r="D2145" s="404">
        <v>12</v>
      </c>
      <c r="E2145" s="369">
        <v>5</v>
      </c>
      <c r="F2145" s="370"/>
      <c r="G2145" s="368">
        <v>0.38680555555555557</v>
      </c>
      <c r="H2145" s="368">
        <v>0.56666666666666665</v>
      </c>
      <c r="I2145" s="372" t="str">
        <f t="shared" si="42"/>
        <v>199</v>
      </c>
      <c r="J2145" s="371">
        <v>4</v>
      </c>
      <c r="K2145" s="371"/>
      <c r="L2145" s="365">
        <v>0.4236111111111111</v>
      </c>
      <c r="M2145" s="365">
        <v>0.60763888888888895</v>
      </c>
      <c r="N2145" s="372" t="str">
        <f t="shared" si="43"/>
        <v>205</v>
      </c>
      <c r="O2145" s="371">
        <f t="shared" si="44"/>
        <v>1815</v>
      </c>
      <c r="P2145" s="366">
        <f t="shared" si="45"/>
        <v>0.38680555555555557</v>
      </c>
      <c r="Q2145" s="366">
        <f t="shared" si="46"/>
        <v>0.60763888888888895</v>
      </c>
      <c r="R2145" s="367" t="str">
        <f t="shared" si="47"/>
        <v>258</v>
      </c>
    </row>
    <row r="2146" spans="1:18" x14ac:dyDescent="0.4">
      <c r="A2146" s="402">
        <v>46160</v>
      </c>
      <c r="B2146" s="392" t="s">
        <v>116</v>
      </c>
      <c r="C2146" s="364" t="s">
        <v>212</v>
      </c>
      <c r="D2146" s="404">
        <v>12</v>
      </c>
      <c r="E2146" s="369">
        <v>5</v>
      </c>
      <c r="F2146" s="370"/>
      <c r="G2146" s="368">
        <v>0.56666666666666665</v>
      </c>
      <c r="H2146" s="368">
        <v>0.6875</v>
      </c>
      <c r="I2146" s="372" t="str">
        <f t="shared" si="42"/>
        <v>174</v>
      </c>
      <c r="J2146" s="371">
        <v>4</v>
      </c>
      <c r="K2146" s="371"/>
      <c r="L2146" s="365">
        <v>0.60763888888888895</v>
      </c>
      <c r="M2146" s="365">
        <v>0.70833333333333337</v>
      </c>
      <c r="N2146" s="372" t="str">
        <f t="shared" si="43"/>
        <v>145</v>
      </c>
      <c r="O2146" s="371">
        <f t="shared" si="44"/>
        <v>1450</v>
      </c>
      <c r="P2146" s="366">
        <f t="shared" si="45"/>
        <v>0.56666666666666665</v>
      </c>
      <c r="Q2146" s="366">
        <f t="shared" si="46"/>
        <v>0.70833333333333337</v>
      </c>
      <c r="R2146" s="367" t="str">
        <f t="shared" si="47"/>
        <v>204</v>
      </c>
    </row>
    <row r="2147" spans="1:18" x14ac:dyDescent="0.4">
      <c r="A2147" s="402">
        <v>46160</v>
      </c>
      <c r="B2147" s="392" t="s">
        <v>81</v>
      </c>
      <c r="C2147" s="364" t="s">
        <v>235</v>
      </c>
      <c r="D2147" s="404">
        <v>12</v>
      </c>
      <c r="E2147" s="369">
        <v>5</v>
      </c>
      <c r="F2147" s="370"/>
      <c r="G2147" s="368">
        <v>0.29166666666666669</v>
      </c>
      <c r="H2147" s="368">
        <v>0.38680555555555557</v>
      </c>
      <c r="I2147" s="372" t="str">
        <f t="shared" si="42"/>
        <v>137</v>
      </c>
      <c r="J2147" s="371">
        <v>3</v>
      </c>
      <c r="K2147" s="371"/>
      <c r="L2147" s="365">
        <v>0.3125</v>
      </c>
      <c r="M2147" s="365">
        <v>0.4236111111111111</v>
      </c>
      <c r="N2147" s="372" t="str">
        <f t="shared" si="43"/>
        <v>160</v>
      </c>
      <c r="O2147" s="371">
        <f t="shared" si="44"/>
        <v>1165</v>
      </c>
      <c r="P2147" s="366">
        <f t="shared" si="45"/>
        <v>0.29166666666666669</v>
      </c>
      <c r="Q2147" s="366">
        <f t="shared" si="46"/>
        <v>0.4236111111111111</v>
      </c>
      <c r="R2147" s="367" t="str">
        <f t="shared" si="47"/>
        <v>190</v>
      </c>
    </row>
    <row r="2148" spans="1:18" x14ac:dyDescent="0.4">
      <c r="A2148" s="402">
        <v>46160</v>
      </c>
      <c r="B2148" s="392" t="s">
        <v>65</v>
      </c>
      <c r="C2148" s="364" t="s">
        <v>189</v>
      </c>
      <c r="D2148" s="404">
        <v>60</v>
      </c>
      <c r="E2148" s="369">
        <v>3</v>
      </c>
      <c r="F2148" s="368">
        <v>2.0833333333333332E-2</v>
      </c>
      <c r="G2148" s="368">
        <v>0.29166666666666669</v>
      </c>
      <c r="H2148" s="368">
        <v>0.61458333333333337</v>
      </c>
      <c r="I2148" s="372" t="str">
        <f t="shared" si="42"/>
        <v>435</v>
      </c>
      <c r="J2148" s="371">
        <v>4</v>
      </c>
      <c r="K2148" s="371"/>
      <c r="L2148" s="365">
        <v>0.29166666666666669</v>
      </c>
      <c r="M2148" s="365">
        <v>0.65972222222222221</v>
      </c>
      <c r="N2148" s="372" t="str">
        <f t="shared" si="43"/>
        <v>470</v>
      </c>
      <c r="O2148" s="371">
        <f t="shared" si="44"/>
        <v>3185</v>
      </c>
      <c r="P2148" s="366">
        <f t="shared" si="45"/>
        <v>0.29166666666666669</v>
      </c>
      <c r="Q2148" s="366">
        <f t="shared" si="46"/>
        <v>0.65972222222222221</v>
      </c>
      <c r="R2148" s="367" t="str">
        <f t="shared" si="47"/>
        <v>470</v>
      </c>
    </row>
    <row r="2149" spans="1:18" x14ac:dyDescent="0.4">
      <c r="A2149" s="402">
        <v>46161</v>
      </c>
      <c r="B2149" s="392" t="s">
        <v>106</v>
      </c>
      <c r="C2149" s="364" t="s">
        <v>173</v>
      </c>
      <c r="D2149" s="404">
        <v>20</v>
      </c>
      <c r="E2149" s="369">
        <v>4</v>
      </c>
      <c r="F2149" s="370"/>
      <c r="G2149" s="368">
        <v>0.38750000000000001</v>
      </c>
      <c r="H2149" s="368">
        <v>0.66666666666666663</v>
      </c>
      <c r="I2149" s="372" t="str">
        <f t="shared" si="42"/>
        <v>342</v>
      </c>
      <c r="J2149" s="371">
        <v>9</v>
      </c>
      <c r="K2149" s="371"/>
      <c r="L2149" s="365">
        <v>0.41666666666666669</v>
      </c>
      <c r="M2149" s="365">
        <v>0.70833333333333337</v>
      </c>
      <c r="N2149" s="372" t="str">
        <f t="shared" si="43"/>
        <v>360</v>
      </c>
      <c r="O2149" s="371">
        <f t="shared" si="44"/>
        <v>4608</v>
      </c>
      <c r="P2149" s="366">
        <f t="shared" si="45"/>
        <v>0.38750000000000001</v>
      </c>
      <c r="Q2149" s="366">
        <f t="shared" si="46"/>
        <v>0.70833333333333337</v>
      </c>
      <c r="R2149" s="367" t="str">
        <f t="shared" si="47"/>
        <v>402</v>
      </c>
    </row>
    <row r="2150" spans="1:18" x14ac:dyDescent="0.4">
      <c r="A2150" s="402">
        <v>46161</v>
      </c>
      <c r="B2150" s="392" t="s">
        <v>91</v>
      </c>
      <c r="C2150" s="364" t="s">
        <v>163</v>
      </c>
      <c r="D2150" s="404">
        <v>8</v>
      </c>
      <c r="E2150" s="369">
        <v>4</v>
      </c>
      <c r="F2150" s="370"/>
      <c r="G2150" s="368">
        <v>0.29166666666666669</v>
      </c>
      <c r="H2150" s="368">
        <v>0.3833333333333333</v>
      </c>
      <c r="I2150" s="372" t="str">
        <f t="shared" si="42"/>
        <v>132</v>
      </c>
      <c r="J2150" s="371">
        <v>9</v>
      </c>
      <c r="K2150" s="371"/>
      <c r="L2150" s="365">
        <v>0.3125</v>
      </c>
      <c r="M2150" s="365">
        <v>0.41666666666666669</v>
      </c>
      <c r="N2150" s="372" t="str">
        <f t="shared" si="43"/>
        <v>150</v>
      </c>
      <c r="O2150" s="371">
        <f t="shared" si="44"/>
        <v>1878</v>
      </c>
      <c r="P2150" s="366">
        <f t="shared" si="45"/>
        <v>0.29166666666666669</v>
      </c>
      <c r="Q2150" s="366">
        <f t="shared" si="46"/>
        <v>0.41666666666666669</v>
      </c>
      <c r="R2150" s="367" t="str">
        <f t="shared" si="47"/>
        <v>180</v>
      </c>
    </row>
    <row r="2151" spans="1:18" x14ac:dyDescent="0.4">
      <c r="A2151" s="402">
        <v>46161</v>
      </c>
      <c r="B2151" s="392" t="s">
        <v>63</v>
      </c>
      <c r="C2151" s="364" t="s">
        <v>267</v>
      </c>
      <c r="D2151" s="404">
        <v>20</v>
      </c>
      <c r="E2151" s="369">
        <v>5</v>
      </c>
      <c r="F2151" s="370"/>
      <c r="G2151" s="368">
        <v>0.41388888888888892</v>
      </c>
      <c r="H2151" s="368">
        <v>0.66666666666666663</v>
      </c>
      <c r="I2151" s="372" t="str">
        <f t="shared" si="42"/>
        <v>304</v>
      </c>
      <c r="J2151" s="371">
        <v>3</v>
      </c>
      <c r="K2151" s="371"/>
      <c r="L2151" s="365">
        <v>0.44097222222222227</v>
      </c>
      <c r="M2151" s="365">
        <v>0.6875</v>
      </c>
      <c r="N2151" s="372" t="str">
        <f t="shared" si="43"/>
        <v>295</v>
      </c>
      <c r="O2151" s="371">
        <f t="shared" si="44"/>
        <v>2405</v>
      </c>
      <c r="P2151" s="366">
        <f t="shared" si="45"/>
        <v>0.41388888888888892</v>
      </c>
      <c r="Q2151" s="366">
        <f t="shared" si="46"/>
        <v>0.6875</v>
      </c>
      <c r="R2151" s="367" t="str">
        <f t="shared" si="47"/>
        <v>334</v>
      </c>
    </row>
    <row r="2152" spans="1:18" x14ac:dyDescent="0.4">
      <c r="A2152" s="402">
        <v>46161</v>
      </c>
      <c r="B2152" s="392" t="s">
        <v>965</v>
      </c>
      <c r="C2152" s="364" t="s">
        <v>966</v>
      </c>
      <c r="D2152" s="404">
        <v>16</v>
      </c>
      <c r="E2152" s="369">
        <v>5</v>
      </c>
      <c r="F2152" s="370"/>
      <c r="G2152" s="368">
        <v>0.29166666666666669</v>
      </c>
      <c r="H2152" s="368">
        <v>0.41388888888888892</v>
      </c>
      <c r="I2152" s="372" t="str">
        <f t="shared" si="42"/>
        <v>176</v>
      </c>
      <c r="J2152" s="371">
        <v>3</v>
      </c>
      <c r="K2152" s="371"/>
      <c r="L2152" s="365">
        <v>0.3125</v>
      </c>
      <c r="M2152" s="365">
        <v>0.44097222222222227</v>
      </c>
      <c r="N2152" s="372" t="str">
        <f t="shared" si="43"/>
        <v>185</v>
      </c>
      <c r="O2152" s="371">
        <f t="shared" si="44"/>
        <v>1435</v>
      </c>
      <c r="P2152" s="366">
        <f t="shared" si="45"/>
        <v>0.29166666666666669</v>
      </c>
      <c r="Q2152" s="366">
        <f t="shared" si="46"/>
        <v>0.44097222222222227</v>
      </c>
      <c r="R2152" s="367" t="str">
        <f t="shared" si="47"/>
        <v>215</v>
      </c>
    </row>
    <row r="2153" spans="1:18" x14ac:dyDescent="0.4">
      <c r="A2153" s="402">
        <v>46161</v>
      </c>
      <c r="B2153" s="392" t="s">
        <v>108</v>
      </c>
      <c r="C2153" s="364" t="s">
        <v>231</v>
      </c>
      <c r="D2153" s="404">
        <v>21</v>
      </c>
      <c r="E2153" s="369">
        <v>4</v>
      </c>
      <c r="F2153" s="370"/>
      <c r="G2153" s="368">
        <v>0.27083333333333331</v>
      </c>
      <c r="H2153" s="368">
        <v>0.67361111111111116</v>
      </c>
      <c r="I2153" s="372" t="str">
        <f t="shared" si="42"/>
        <v>520</v>
      </c>
      <c r="J2153" s="371">
        <v>5</v>
      </c>
      <c r="K2153" s="371"/>
      <c r="L2153" s="365">
        <v>0.3125</v>
      </c>
      <c r="M2153" s="365">
        <v>0.70833333333333337</v>
      </c>
      <c r="N2153" s="372" t="str">
        <f t="shared" si="43"/>
        <v>510</v>
      </c>
      <c r="O2153" s="371">
        <f t="shared" si="44"/>
        <v>4630</v>
      </c>
      <c r="P2153" s="366">
        <f t="shared" si="45"/>
        <v>0.27083333333333331</v>
      </c>
      <c r="Q2153" s="366">
        <f t="shared" si="46"/>
        <v>0.70833333333333337</v>
      </c>
      <c r="R2153" s="367" t="str">
        <f t="shared" si="47"/>
        <v>570</v>
      </c>
    </row>
    <row r="2154" spans="1:18" x14ac:dyDescent="0.4">
      <c r="A2154" s="402">
        <v>46162</v>
      </c>
      <c r="B2154" s="392" t="s">
        <v>87</v>
      </c>
      <c r="C2154" s="364" t="s">
        <v>199</v>
      </c>
      <c r="D2154" s="404">
        <v>68</v>
      </c>
      <c r="E2154" s="369">
        <v>6</v>
      </c>
      <c r="F2154" s="370"/>
      <c r="G2154" s="368">
        <v>0.29166666666666669</v>
      </c>
      <c r="H2154" s="368">
        <v>0.66666666666666663</v>
      </c>
      <c r="I2154" s="372" t="str">
        <f t="shared" si="42"/>
        <v>480</v>
      </c>
      <c r="J2154" s="371">
        <v>5</v>
      </c>
      <c r="K2154" s="371"/>
      <c r="L2154" s="365">
        <v>0.3125</v>
      </c>
      <c r="M2154" s="365">
        <v>0.70833333333333337</v>
      </c>
      <c r="N2154" s="372" t="str">
        <f t="shared" si="43"/>
        <v>510</v>
      </c>
      <c r="O2154" s="371">
        <f t="shared" si="44"/>
        <v>5430</v>
      </c>
      <c r="P2154" s="366">
        <f t="shared" si="45"/>
        <v>0.29166666666666669</v>
      </c>
      <c r="Q2154" s="366">
        <f t="shared" si="46"/>
        <v>0.70833333333333337</v>
      </c>
      <c r="R2154" s="367" t="str">
        <f t="shared" si="47"/>
        <v>540</v>
      </c>
    </row>
    <row r="2155" spans="1:18" x14ac:dyDescent="0.4">
      <c r="A2155" s="402">
        <v>46162</v>
      </c>
      <c r="B2155" s="392" t="s">
        <v>107</v>
      </c>
      <c r="C2155" s="364" t="s">
        <v>314</v>
      </c>
      <c r="D2155" s="404">
        <v>8</v>
      </c>
      <c r="E2155" s="369">
        <v>5</v>
      </c>
      <c r="F2155" s="370"/>
      <c r="G2155" s="368">
        <v>0.39444444444444443</v>
      </c>
      <c r="H2155" s="368">
        <v>0.5</v>
      </c>
      <c r="I2155" s="372" t="str">
        <f t="shared" si="42"/>
        <v>152</v>
      </c>
      <c r="J2155" s="371">
        <v>3</v>
      </c>
      <c r="K2155" s="371"/>
      <c r="L2155" s="365">
        <v>0.4201388888888889</v>
      </c>
      <c r="M2155" s="365">
        <v>0.5625</v>
      </c>
      <c r="N2155" s="372" t="str">
        <f t="shared" si="43"/>
        <v>145</v>
      </c>
      <c r="O2155" s="371">
        <f t="shared" si="44"/>
        <v>1195</v>
      </c>
      <c r="P2155" s="366">
        <f t="shared" si="45"/>
        <v>0.39444444444444443</v>
      </c>
      <c r="Q2155" s="366">
        <f t="shared" si="46"/>
        <v>0.5625</v>
      </c>
      <c r="R2155" s="367" t="str">
        <f t="shared" si="47"/>
        <v>182</v>
      </c>
    </row>
    <row r="2156" spans="1:18" x14ac:dyDescent="0.4">
      <c r="A2156" s="402">
        <v>46162</v>
      </c>
      <c r="B2156" s="392" t="s">
        <v>63</v>
      </c>
      <c r="C2156" s="364" t="s">
        <v>267</v>
      </c>
      <c r="D2156" s="404">
        <v>16</v>
      </c>
      <c r="E2156" s="369">
        <v>5</v>
      </c>
      <c r="F2156" s="370"/>
      <c r="G2156" s="368">
        <v>0.54166666666666663</v>
      </c>
      <c r="H2156" s="368">
        <v>0.66666666666666663</v>
      </c>
      <c r="I2156" s="372" t="str">
        <f t="shared" si="42"/>
        <v>180</v>
      </c>
      <c r="J2156" s="371">
        <v>3</v>
      </c>
      <c r="K2156" s="371"/>
      <c r="L2156" s="365">
        <v>0.5625</v>
      </c>
      <c r="M2156" s="365">
        <v>0.6875</v>
      </c>
      <c r="N2156" s="372" t="str">
        <f t="shared" si="43"/>
        <v>180</v>
      </c>
      <c r="O2156" s="371">
        <f t="shared" si="44"/>
        <v>1440</v>
      </c>
      <c r="P2156" s="366">
        <f t="shared" si="45"/>
        <v>0.54166666666666663</v>
      </c>
      <c r="Q2156" s="366">
        <f t="shared" si="46"/>
        <v>0.6875</v>
      </c>
      <c r="R2156" s="367" t="str">
        <f t="shared" si="47"/>
        <v>210</v>
      </c>
    </row>
    <row r="2157" spans="1:18" x14ac:dyDescent="0.4">
      <c r="A2157" s="402">
        <v>46162</v>
      </c>
      <c r="B2157" s="392" t="s">
        <v>64</v>
      </c>
      <c r="C2157" s="364" t="s">
        <v>271</v>
      </c>
      <c r="D2157" s="404">
        <v>12</v>
      </c>
      <c r="E2157" s="369">
        <v>5</v>
      </c>
      <c r="F2157" s="370"/>
      <c r="G2157" s="368">
        <v>0.29166666666666669</v>
      </c>
      <c r="H2157" s="368">
        <v>0.39444444444444443</v>
      </c>
      <c r="I2157" s="372" t="str">
        <f t="shared" si="42"/>
        <v>148</v>
      </c>
      <c r="J2157" s="371">
        <v>3</v>
      </c>
      <c r="K2157" s="371"/>
      <c r="L2157" s="365">
        <v>0.3125</v>
      </c>
      <c r="M2157" s="365">
        <v>0.4201388888888889</v>
      </c>
      <c r="N2157" s="372" t="str">
        <f t="shared" si="43"/>
        <v>155</v>
      </c>
      <c r="O2157" s="371">
        <f t="shared" si="44"/>
        <v>1205</v>
      </c>
      <c r="P2157" s="366">
        <f t="shared" si="45"/>
        <v>0.29166666666666669</v>
      </c>
      <c r="Q2157" s="366">
        <f t="shared" si="46"/>
        <v>0.4201388888888889</v>
      </c>
      <c r="R2157" s="367" t="str">
        <f t="shared" si="47"/>
        <v>185</v>
      </c>
    </row>
    <row r="2158" spans="1:18" x14ac:dyDescent="0.4">
      <c r="A2158" s="402">
        <v>46162</v>
      </c>
      <c r="B2158" s="392" t="s">
        <v>65</v>
      </c>
      <c r="C2158" s="364" t="s">
        <v>189</v>
      </c>
      <c r="D2158" s="404">
        <v>28</v>
      </c>
      <c r="E2158" s="369">
        <v>3</v>
      </c>
      <c r="F2158" s="368">
        <v>2.0833333333333332E-2</v>
      </c>
      <c r="G2158" s="368">
        <v>0.29166666666666669</v>
      </c>
      <c r="H2158" s="368">
        <v>0.4236111111111111</v>
      </c>
      <c r="I2158" s="372" t="str">
        <f t="shared" si="42"/>
        <v>220</v>
      </c>
      <c r="J2158" s="371">
        <v>4</v>
      </c>
      <c r="K2158" s="371"/>
      <c r="L2158" s="365">
        <v>0.29166666666666669</v>
      </c>
      <c r="M2158" s="365">
        <v>0.46527777777777773</v>
      </c>
      <c r="N2158" s="372" t="str">
        <f t="shared" si="43"/>
        <v>250</v>
      </c>
      <c r="O2158" s="371">
        <f t="shared" si="44"/>
        <v>1660</v>
      </c>
      <c r="P2158" s="366">
        <f t="shared" si="45"/>
        <v>0.29166666666666669</v>
      </c>
      <c r="Q2158" s="366">
        <f t="shared" si="46"/>
        <v>0.46527777777777773</v>
      </c>
      <c r="R2158" s="367" t="str">
        <f t="shared" si="47"/>
        <v>250</v>
      </c>
    </row>
    <row r="2159" spans="1:18" x14ac:dyDescent="0.4">
      <c r="A2159" s="402">
        <v>46162</v>
      </c>
      <c r="B2159" s="392" t="s">
        <v>558</v>
      </c>
      <c r="C2159" s="364" t="s">
        <v>191</v>
      </c>
      <c r="D2159" s="404">
        <v>28</v>
      </c>
      <c r="E2159" s="369">
        <v>3</v>
      </c>
      <c r="F2159" s="370"/>
      <c r="G2159" s="368">
        <v>0.41319444444444442</v>
      </c>
      <c r="H2159" s="368">
        <v>0.60763888888888895</v>
      </c>
      <c r="I2159" s="372" t="str">
        <f t="shared" si="42"/>
        <v>220</v>
      </c>
      <c r="J2159" s="371">
        <v>4</v>
      </c>
      <c r="K2159" s="371"/>
      <c r="L2159" s="365">
        <v>0.45833333333333331</v>
      </c>
      <c r="M2159" s="365">
        <v>0.64930555555555558</v>
      </c>
      <c r="N2159" s="372" t="str">
        <f t="shared" si="43"/>
        <v>215</v>
      </c>
      <c r="O2159" s="371">
        <f t="shared" si="44"/>
        <v>1520</v>
      </c>
      <c r="P2159" s="366">
        <f t="shared" si="45"/>
        <v>0.41319444444444442</v>
      </c>
      <c r="Q2159" s="366">
        <f t="shared" si="46"/>
        <v>0.64930555555555558</v>
      </c>
      <c r="R2159" s="367" t="str">
        <f t="shared" si="47"/>
        <v>280</v>
      </c>
    </row>
    <row r="2160" spans="1:18" x14ac:dyDescent="0.4">
      <c r="A2160" s="402">
        <v>46163</v>
      </c>
      <c r="B2160" s="392" t="s">
        <v>72</v>
      </c>
      <c r="C2160" s="364" t="s">
        <v>227</v>
      </c>
      <c r="D2160" s="404">
        <v>16</v>
      </c>
      <c r="E2160" s="369">
        <v>5</v>
      </c>
      <c r="F2160" s="370"/>
      <c r="G2160" s="368">
        <v>0.29166666666666669</v>
      </c>
      <c r="H2160" s="368">
        <v>0.41944444444444445</v>
      </c>
      <c r="I2160" s="372" t="str">
        <f t="shared" si="42"/>
        <v>184</v>
      </c>
      <c r="J2160" s="371">
        <v>3</v>
      </c>
      <c r="K2160" s="371"/>
      <c r="L2160" s="365">
        <v>0.3125</v>
      </c>
      <c r="M2160" s="365">
        <v>0.44444444444444442</v>
      </c>
      <c r="N2160" s="372" t="str">
        <f t="shared" si="43"/>
        <v>190</v>
      </c>
      <c r="O2160" s="371">
        <f t="shared" si="44"/>
        <v>1490</v>
      </c>
      <c r="P2160" s="366">
        <f t="shared" si="45"/>
        <v>0.29166666666666669</v>
      </c>
      <c r="Q2160" s="366">
        <f t="shared" si="46"/>
        <v>0.44444444444444442</v>
      </c>
      <c r="R2160" s="367" t="str">
        <f t="shared" si="47"/>
        <v>220</v>
      </c>
    </row>
    <row r="2161" spans="1:18" x14ac:dyDescent="0.4">
      <c r="A2161" s="402">
        <v>46163</v>
      </c>
      <c r="B2161" s="392" t="s">
        <v>63</v>
      </c>
      <c r="C2161" s="364" t="s">
        <v>267</v>
      </c>
      <c r="D2161" s="404">
        <v>20</v>
      </c>
      <c r="E2161" s="369">
        <v>5</v>
      </c>
      <c r="F2161" s="370"/>
      <c r="G2161" s="368">
        <v>0.4201388888888889</v>
      </c>
      <c r="H2161" s="368">
        <v>0.66666666666666663</v>
      </c>
      <c r="I2161" s="372" t="str">
        <f t="shared" si="42"/>
        <v>295</v>
      </c>
      <c r="J2161" s="371">
        <v>3</v>
      </c>
      <c r="K2161" s="371"/>
      <c r="L2161" s="365">
        <v>0.44444444444444442</v>
      </c>
      <c r="M2161" s="365">
        <v>0.6875</v>
      </c>
      <c r="N2161" s="372" t="str">
        <f t="shared" si="43"/>
        <v>290</v>
      </c>
      <c r="O2161" s="371">
        <f t="shared" si="44"/>
        <v>2345</v>
      </c>
      <c r="P2161" s="366">
        <f t="shared" si="45"/>
        <v>0.4201388888888889</v>
      </c>
      <c r="Q2161" s="366">
        <f t="shared" si="46"/>
        <v>0.6875</v>
      </c>
      <c r="R2161" s="367" t="str">
        <f t="shared" si="47"/>
        <v>325</v>
      </c>
    </row>
    <row r="2162" spans="1:18" x14ac:dyDescent="0.4">
      <c r="A2162" s="402">
        <v>46163</v>
      </c>
      <c r="B2162" s="392" t="s">
        <v>73</v>
      </c>
      <c r="C2162" s="364" t="s">
        <v>231</v>
      </c>
      <c r="D2162" s="404">
        <v>21</v>
      </c>
      <c r="E2162" s="369">
        <v>3</v>
      </c>
      <c r="F2162" s="368">
        <v>2.0833333333333332E-2</v>
      </c>
      <c r="G2162" s="368">
        <v>0.29166666666666669</v>
      </c>
      <c r="H2162" s="368">
        <v>0.64583333333333337</v>
      </c>
      <c r="I2162" s="372" t="str">
        <f t="shared" ref="I2162" si="48">TEXT(IF(AND(G2162&lt;=$S$2,H2162&gt;=$T$2),(H2162-G2162+F2162)-($T$2-$S$2),(H2162-G2162+F2162)),"[m]")</f>
        <v>480</v>
      </c>
      <c r="J2162" s="371">
        <v>5</v>
      </c>
      <c r="K2162" s="371"/>
      <c r="L2162" s="365">
        <v>0.3125</v>
      </c>
      <c r="M2162" s="365">
        <v>0.6875</v>
      </c>
      <c r="N2162" s="372" t="str">
        <f t="shared" ref="N2162" si="49">TEXT(IF(AND(L2162&lt;=$S$2,M2162&gt;=$T$2),(M2162-L2162+K2162)-($T$2-$S$2),(M2162-L2162+K2162)),"[m]")</f>
        <v>480</v>
      </c>
      <c r="O2162" s="371">
        <f t="shared" ref="O2162:O2225" si="50">E2162*I2162+J2162*N2162</f>
        <v>3840</v>
      </c>
      <c r="P2162" s="366">
        <f t="shared" ref="P2162:P2225" si="51">MIN(G2162:H2162,L2162:M2162)</f>
        <v>0.29166666666666669</v>
      </c>
      <c r="Q2162" s="366">
        <f t="shared" ref="Q2162:Q2225" si="52">MAX(G2162:H2162,L2162:M2162)</f>
        <v>0.6875</v>
      </c>
      <c r="R2162" s="367" t="str">
        <f t="shared" ref="R2162:R2225" si="53">TEXT(IF(AND(P2162&lt;=$S$2,Q2162&gt;=$T$2),(Q2162-P2162)-($T$2-$S$2),(Q2162-P2162)),"[m]")</f>
        <v>510</v>
      </c>
    </row>
    <row r="2163" spans="1:18" x14ac:dyDescent="0.4">
      <c r="A2163" s="402">
        <v>46163</v>
      </c>
      <c r="B2163" s="392" t="s">
        <v>558</v>
      </c>
      <c r="C2163" s="364" t="s">
        <v>191</v>
      </c>
      <c r="D2163" s="404">
        <v>60</v>
      </c>
      <c r="E2163" s="369">
        <v>3</v>
      </c>
      <c r="F2163" s="368">
        <v>2.0833333333333332E-2</v>
      </c>
      <c r="G2163" s="368">
        <v>0.29166666666666669</v>
      </c>
      <c r="H2163" s="368">
        <v>0.66666666666666663</v>
      </c>
      <c r="I2163" s="372" t="str">
        <f t="shared" ref="I2163:I2225" si="54">TEXT(IF(AND(G2163&lt;=$S$2,H2163&gt;=$T$2),(H2163-G2163+F2163)-($T$2-$S$2),(H2163-G2163+F2163)),"[m]")</f>
        <v>510</v>
      </c>
      <c r="J2163" s="371">
        <v>4</v>
      </c>
      <c r="K2163" s="371"/>
      <c r="L2163" s="365">
        <v>0.29166666666666669</v>
      </c>
      <c r="M2163" s="365">
        <v>0.70486111111111116</v>
      </c>
      <c r="N2163" s="372" t="str">
        <f t="shared" ref="N2163:N2225" si="55">TEXT(IF(AND(L2163&lt;=$S$2,M2163&gt;=$T$2),(M2163-L2163+K2163)-($T$2-$S$2),(M2163-L2163+K2163)),"[m]")</f>
        <v>535</v>
      </c>
      <c r="O2163" s="371">
        <f t="shared" si="50"/>
        <v>3670</v>
      </c>
      <c r="P2163" s="366">
        <f t="shared" si="51"/>
        <v>0.29166666666666669</v>
      </c>
      <c r="Q2163" s="366">
        <f t="shared" si="52"/>
        <v>0.70486111111111116</v>
      </c>
      <c r="R2163" s="367" t="str">
        <f t="shared" si="53"/>
        <v>535</v>
      </c>
    </row>
    <row r="2164" spans="1:18" x14ac:dyDescent="0.4">
      <c r="A2164" s="403">
        <v>46163</v>
      </c>
      <c r="B2164" s="383" t="s">
        <v>434</v>
      </c>
      <c r="C2164" s="390" t="s">
        <v>545</v>
      </c>
      <c r="D2164" s="405">
        <v>50</v>
      </c>
      <c r="E2164" s="384"/>
      <c r="F2164" s="385"/>
      <c r="G2164" s="396"/>
      <c r="H2164" s="396"/>
      <c r="I2164" s="386" t="str">
        <f t="shared" si="54"/>
        <v>0</v>
      </c>
      <c r="J2164" s="387"/>
      <c r="K2164" s="387"/>
      <c r="L2164" s="388"/>
      <c r="M2164" s="388"/>
      <c r="N2164" s="386" t="str">
        <f t="shared" si="55"/>
        <v>0</v>
      </c>
      <c r="O2164" s="387">
        <f t="shared" si="50"/>
        <v>0</v>
      </c>
      <c r="P2164" s="391">
        <f t="shared" si="51"/>
        <v>0</v>
      </c>
      <c r="Q2164" s="391">
        <f t="shared" si="52"/>
        <v>0</v>
      </c>
      <c r="R2164" s="389" t="str">
        <f t="shared" si="53"/>
        <v>0</v>
      </c>
    </row>
    <row r="2165" spans="1:18" x14ac:dyDescent="0.4">
      <c r="A2165" s="402">
        <v>46164</v>
      </c>
      <c r="B2165" s="392" t="s">
        <v>80</v>
      </c>
      <c r="C2165" s="364" t="s">
        <v>203</v>
      </c>
      <c r="D2165" s="404">
        <v>36</v>
      </c>
      <c r="E2165" s="369">
        <v>6</v>
      </c>
      <c r="F2165" s="370"/>
      <c r="G2165" s="368">
        <v>0.29166666666666669</v>
      </c>
      <c r="H2165" s="368">
        <v>0.5</v>
      </c>
      <c r="I2165" s="372" t="str">
        <f t="shared" si="54"/>
        <v>300</v>
      </c>
      <c r="J2165" s="371">
        <v>5</v>
      </c>
      <c r="K2165" s="371"/>
      <c r="L2165" s="365">
        <v>0.3125</v>
      </c>
      <c r="M2165" s="365">
        <v>0.5</v>
      </c>
      <c r="N2165" s="372" t="str">
        <f t="shared" si="55"/>
        <v>270</v>
      </c>
      <c r="O2165" s="371">
        <f t="shared" si="50"/>
        <v>3150</v>
      </c>
      <c r="P2165" s="366">
        <f t="shared" si="51"/>
        <v>0.29166666666666669</v>
      </c>
      <c r="Q2165" s="366">
        <f t="shared" si="52"/>
        <v>0.5</v>
      </c>
      <c r="R2165" s="367" t="str">
        <f t="shared" si="53"/>
        <v>300</v>
      </c>
    </row>
    <row r="2166" spans="1:18" x14ac:dyDescent="0.4">
      <c r="A2166" s="402">
        <v>46164</v>
      </c>
      <c r="B2166" s="392" t="s">
        <v>54</v>
      </c>
      <c r="C2166" s="364" t="s">
        <v>251</v>
      </c>
      <c r="D2166" s="404">
        <v>20</v>
      </c>
      <c r="E2166" s="369">
        <v>5</v>
      </c>
      <c r="F2166" s="370"/>
      <c r="G2166" s="368">
        <v>0.29166666666666669</v>
      </c>
      <c r="H2166" s="368">
        <v>0.5</v>
      </c>
      <c r="I2166" s="372" t="str">
        <f t="shared" si="54"/>
        <v>300</v>
      </c>
      <c r="J2166" s="371">
        <v>3</v>
      </c>
      <c r="K2166" s="371"/>
      <c r="L2166" s="365">
        <v>0.3125</v>
      </c>
      <c r="M2166" s="365">
        <v>0.5</v>
      </c>
      <c r="N2166" s="372" t="str">
        <f t="shared" si="55"/>
        <v>270</v>
      </c>
      <c r="O2166" s="371">
        <f t="shared" si="50"/>
        <v>2310</v>
      </c>
      <c r="P2166" s="366">
        <f t="shared" si="51"/>
        <v>0.29166666666666669</v>
      </c>
      <c r="Q2166" s="366">
        <f t="shared" si="52"/>
        <v>0.5</v>
      </c>
      <c r="R2166" s="367" t="str">
        <f t="shared" si="53"/>
        <v>300</v>
      </c>
    </row>
    <row r="2167" spans="1:18" x14ac:dyDescent="0.4">
      <c r="A2167" s="402">
        <v>46164</v>
      </c>
      <c r="B2167" s="392" t="s">
        <v>65</v>
      </c>
      <c r="C2167" s="364" t="s">
        <v>189</v>
      </c>
      <c r="D2167" s="404">
        <v>36</v>
      </c>
      <c r="E2167" s="369">
        <v>3</v>
      </c>
      <c r="F2167" s="368">
        <v>2.0833333333333332E-2</v>
      </c>
      <c r="G2167" s="368">
        <v>0.29166666666666669</v>
      </c>
      <c r="H2167" s="368">
        <v>0.41666666666666669</v>
      </c>
      <c r="I2167" s="372" t="str">
        <f t="shared" si="54"/>
        <v>210</v>
      </c>
      <c r="J2167" s="371">
        <v>4</v>
      </c>
      <c r="K2167" s="371"/>
      <c r="L2167" s="365">
        <v>0.29166666666666669</v>
      </c>
      <c r="M2167" s="365">
        <v>0.4548611111111111</v>
      </c>
      <c r="N2167" s="372" t="str">
        <f t="shared" si="55"/>
        <v>235</v>
      </c>
      <c r="O2167" s="371">
        <f t="shared" si="50"/>
        <v>1570</v>
      </c>
      <c r="P2167" s="366">
        <f t="shared" si="51"/>
        <v>0.29166666666666669</v>
      </c>
      <c r="Q2167" s="366">
        <f t="shared" si="52"/>
        <v>0.4548611111111111</v>
      </c>
      <c r="R2167" s="367" t="str">
        <f t="shared" si="53"/>
        <v>235</v>
      </c>
    </row>
    <row r="2168" spans="1:18" x14ac:dyDescent="0.4">
      <c r="A2168" s="402">
        <v>46167</v>
      </c>
      <c r="B2168" s="392" t="s">
        <v>71</v>
      </c>
      <c r="C2168" s="364" t="s">
        <v>176</v>
      </c>
      <c r="D2168" s="404">
        <v>68</v>
      </c>
      <c r="E2168" s="369">
        <v>6</v>
      </c>
      <c r="F2168" s="370"/>
      <c r="G2168" s="368">
        <v>0.29166666666666669</v>
      </c>
      <c r="H2168" s="368">
        <v>0.66666666666666663</v>
      </c>
      <c r="I2168" s="372" t="str">
        <f t="shared" si="54"/>
        <v>480</v>
      </c>
      <c r="J2168" s="371">
        <v>5</v>
      </c>
      <c r="K2168" s="371"/>
      <c r="L2168" s="365">
        <v>0.3125</v>
      </c>
      <c r="M2168" s="365">
        <v>0.70833333333333337</v>
      </c>
      <c r="N2168" s="372" t="str">
        <f t="shared" si="55"/>
        <v>510</v>
      </c>
      <c r="O2168" s="371">
        <f t="shared" si="50"/>
        <v>5430</v>
      </c>
      <c r="P2168" s="366">
        <f t="shared" si="51"/>
        <v>0.29166666666666669</v>
      </c>
      <c r="Q2168" s="366">
        <f t="shared" si="52"/>
        <v>0.70833333333333337</v>
      </c>
      <c r="R2168" s="367" t="str">
        <f t="shared" si="53"/>
        <v>540</v>
      </c>
    </row>
    <row r="2169" spans="1:18" s="381" customFormat="1" x14ac:dyDescent="0.4">
      <c r="A2169" s="402">
        <v>46167</v>
      </c>
      <c r="B2169" s="392" t="s">
        <v>63</v>
      </c>
      <c r="C2169" s="375" t="s">
        <v>267</v>
      </c>
      <c r="D2169" s="406">
        <v>20</v>
      </c>
      <c r="E2169" s="376">
        <v>5</v>
      </c>
      <c r="F2169" s="395"/>
      <c r="G2169" s="377">
        <v>0.4548611111111111</v>
      </c>
      <c r="H2169" s="377">
        <v>0.66666666666666663</v>
      </c>
      <c r="I2169" s="378" t="str">
        <f t="shared" si="54"/>
        <v>245</v>
      </c>
      <c r="J2169" s="374">
        <v>3</v>
      </c>
      <c r="K2169" s="374"/>
      <c r="L2169" s="379">
        <v>0.47916666666666669</v>
      </c>
      <c r="M2169" s="379">
        <v>0.6875</v>
      </c>
      <c r="N2169" s="378" t="str">
        <f t="shared" si="55"/>
        <v>240</v>
      </c>
      <c r="O2169" s="374">
        <f t="shared" si="50"/>
        <v>1945</v>
      </c>
      <c r="P2169" s="407">
        <f t="shared" si="51"/>
        <v>0.4548611111111111</v>
      </c>
      <c r="Q2169" s="407">
        <f t="shared" si="52"/>
        <v>0.6875</v>
      </c>
      <c r="R2169" s="380" t="str">
        <f t="shared" si="53"/>
        <v>275</v>
      </c>
    </row>
    <row r="2170" spans="1:18" x14ac:dyDescent="0.4">
      <c r="A2170" s="402">
        <v>46167</v>
      </c>
      <c r="B2170" s="392" t="s">
        <v>54</v>
      </c>
      <c r="C2170" s="364" t="s">
        <v>251</v>
      </c>
      <c r="D2170" s="404">
        <v>12</v>
      </c>
      <c r="E2170" s="369">
        <v>5</v>
      </c>
      <c r="F2170" s="370"/>
      <c r="G2170" s="368">
        <v>0.36805555555555558</v>
      </c>
      <c r="H2170" s="368">
        <v>0.4548611111111111</v>
      </c>
      <c r="I2170" s="372" t="str">
        <f t="shared" si="54"/>
        <v>125</v>
      </c>
      <c r="J2170" s="371">
        <v>3</v>
      </c>
      <c r="K2170" s="371"/>
      <c r="L2170" s="365">
        <v>0.39583333333333331</v>
      </c>
      <c r="M2170" s="365">
        <v>0.47916666666666669</v>
      </c>
      <c r="N2170" s="372" t="str">
        <f t="shared" si="55"/>
        <v>120</v>
      </c>
      <c r="O2170" s="371">
        <f t="shared" si="50"/>
        <v>985</v>
      </c>
      <c r="P2170" s="366">
        <f t="shared" si="51"/>
        <v>0.36805555555555558</v>
      </c>
      <c r="Q2170" s="366">
        <f t="shared" si="52"/>
        <v>0.47916666666666669</v>
      </c>
      <c r="R2170" s="367" t="str">
        <f t="shared" si="53"/>
        <v>160</v>
      </c>
    </row>
    <row r="2171" spans="1:18" x14ac:dyDescent="0.4">
      <c r="A2171" s="402">
        <v>46167</v>
      </c>
      <c r="B2171" s="392" t="s">
        <v>1046</v>
      </c>
      <c r="C2171" s="364" t="s">
        <v>1057</v>
      </c>
      <c r="D2171" s="404">
        <v>6</v>
      </c>
      <c r="E2171" s="369">
        <v>5</v>
      </c>
      <c r="F2171" s="370"/>
      <c r="G2171" s="368">
        <v>0.29166666666666669</v>
      </c>
      <c r="H2171" s="368">
        <v>0.36805555555555558</v>
      </c>
      <c r="I2171" s="372" t="str">
        <f t="shared" si="54"/>
        <v>110</v>
      </c>
      <c r="J2171" s="371">
        <v>3</v>
      </c>
      <c r="K2171" s="371"/>
      <c r="L2171" s="365">
        <v>0.3125</v>
      </c>
      <c r="M2171" s="365">
        <v>0.39583333333333331</v>
      </c>
      <c r="N2171" s="372" t="str">
        <f t="shared" si="55"/>
        <v>120</v>
      </c>
      <c r="O2171" s="371">
        <f t="shared" si="50"/>
        <v>910</v>
      </c>
      <c r="P2171" s="366">
        <f t="shared" si="51"/>
        <v>0.29166666666666669</v>
      </c>
      <c r="Q2171" s="366">
        <f t="shared" si="52"/>
        <v>0.39583333333333331</v>
      </c>
      <c r="R2171" s="367" t="str">
        <f t="shared" si="53"/>
        <v>150</v>
      </c>
    </row>
    <row r="2172" spans="1:18" x14ac:dyDescent="0.4">
      <c r="A2172" s="402">
        <v>46167</v>
      </c>
      <c r="B2172" s="392" t="s">
        <v>58</v>
      </c>
      <c r="C2172" s="364" t="s">
        <v>165</v>
      </c>
      <c r="D2172" s="404">
        <v>36</v>
      </c>
      <c r="E2172" s="369">
        <v>3</v>
      </c>
      <c r="F2172" s="368">
        <v>2.0833333333333332E-2</v>
      </c>
      <c r="G2172" s="368">
        <v>0.29166666666666669</v>
      </c>
      <c r="H2172" s="368">
        <v>0.625</v>
      </c>
      <c r="I2172" s="372" t="str">
        <f t="shared" si="54"/>
        <v>450</v>
      </c>
      <c r="J2172" s="371">
        <v>6</v>
      </c>
      <c r="K2172" s="371"/>
      <c r="L2172" s="365">
        <v>0.29166666666666669</v>
      </c>
      <c r="M2172" s="365">
        <v>0.68055555555555547</v>
      </c>
      <c r="N2172" s="372" t="str">
        <f t="shared" si="55"/>
        <v>500</v>
      </c>
      <c r="O2172" s="371">
        <f t="shared" si="50"/>
        <v>4350</v>
      </c>
      <c r="P2172" s="366">
        <f t="shared" si="51"/>
        <v>0.29166666666666669</v>
      </c>
      <c r="Q2172" s="366">
        <f t="shared" si="52"/>
        <v>0.68055555555555547</v>
      </c>
      <c r="R2172" s="367" t="str">
        <f t="shared" si="53"/>
        <v>500</v>
      </c>
    </row>
    <row r="2173" spans="1:18" x14ac:dyDescent="0.4">
      <c r="A2173" s="403">
        <v>46167</v>
      </c>
      <c r="B2173" s="383">
        <v>153010</v>
      </c>
      <c r="C2173" s="390" t="s">
        <v>484</v>
      </c>
      <c r="D2173" s="405">
        <v>1</v>
      </c>
      <c r="E2173" s="384"/>
      <c r="F2173" s="385"/>
      <c r="G2173" s="396"/>
      <c r="H2173" s="396"/>
      <c r="I2173" s="386" t="str">
        <f t="shared" si="54"/>
        <v>0</v>
      </c>
      <c r="J2173" s="387"/>
      <c r="K2173" s="387"/>
      <c r="L2173" s="388"/>
      <c r="M2173" s="388"/>
      <c r="N2173" s="386" t="str">
        <f t="shared" si="55"/>
        <v>0</v>
      </c>
      <c r="O2173" s="387">
        <f t="shared" si="50"/>
        <v>0</v>
      </c>
      <c r="P2173" s="391">
        <f t="shared" si="51"/>
        <v>0</v>
      </c>
      <c r="Q2173" s="391">
        <f t="shared" si="52"/>
        <v>0</v>
      </c>
      <c r="R2173" s="389" t="str">
        <f t="shared" si="53"/>
        <v>0</v>
      </c>
    </row>
    <row r="2174" spans="1:18" x14ac:dyDescent="0.4">
      <c r="A2174" s="402">
        <v>46168</v>
      </c>
      <c r="B2174" s="392" t="s">
        <v>61</v>
      </c>
      <c r="C2174" s="364" t="s">
        <v>156</v>
      </c>
      <c r="D2174" s="404">
        <v>28</v>
      </c>
      <c r="E2174" s="369">
        <v>3</v>
      </c>
      <c r="F2174" s="370"/>
      <c r="G2174" s="368">
        <v>0.375</v>
      </c>
      <c r="H2174" s="368">
        <v>0.66666666666666663</v>
      </c>
      <c r="I2174" s="372" t="str">
        <f t="shared" si="54"/>
        <v>360</v>
      </c>
      <c r="J2174" s="371">
        <v>10</v>
      </c>
      <c r="K2174" s="371"/>
      <c r="L2174" s="365">
        <v>0.44444444444444442</v>
      </c>
      <c r="M2174" s="365">
        <v>0.70833333333333337</v>
      </c>
      <c r="N2174" s="372" t="str">
        <f t="shared" si="55"/>
        <v>320</v>
      </c>
      <c r="O2174" s="371">
        <f t="shared" si="50"/>
        <v>4280</v>
      </c>
      <c r="P2174" s="366">
        <f t="shared" si="51"/>
        <v>0.375</v>
      </c>
      <c r="Q2174" s="366">
        <f t="shared" si="52"/>
        <v>0.70833333333333337</v>
      </c>
      <c r="R2174" s="367" t="str">
        <f t="shared" si="53"/>
        <v>420</v>
      </c>
    </row>
    <row r="2175" spans="1:18" x14ac:dyDescent="0.4">
      <c r="A2175" s="402">
        <v>46168</v>
      </c>
      <c r="B2175" s="392" t="s">
        <v>473</v>
      </c>
      <c r="C2175" s="364" t="s">
        <v>289</v>
      </c>
      <c r="D2175" s="404">
        <v>6</v>
      </c>
      <c r="E2175" s="369">
        <v>3</v>
      </c>
      <c r="F2175" s="370"/>
      <c r="G2175" s="368">
        <v>0.29166666666666669</v>
      </c>
      <c r="H2175" s="368">
        <v>0.37847222222222227</v>
      </c>
      <c r="I2175" s="372" t="str">
        <f t="shared" si="54"/>
        <v>125</v>
      </c>
      <c r="J2175" s="371">
        <v>10</v>
      </c>
      <c r="K2175" s="371"/>
      <c r="L2175" s="365">
        <v>0.3125</v>
      </c>
      <c r="M2175" s="365">
        <v>0.44444444444444442</v>
      </c>
      <c r="N2175" s="372" t="str">
        <f t="shared" si="55"/>
        <v>190</v>
      </c>
      <c r="O2175" s="371">
        <f t="shared" si="50"/>
        <v>2275</v>
      </c>
      <c r="P2175" s="366">
        <f t="shared" si="51"/>
        <v>0.29166666666666669</v>
      </c>
      <c r="Q2175" s="366">
        <f t="shared" si="52"/>
        <v>0.44444444444444442</v>
      </c>
      <c r="R2175" s="367" t="str">
        <f t="shared" si="53"/>
        <v>220</v>
      </c>
    </row>
    <row r="2176" spans="1:18" x14ac:dyDescent="0.4">
      <c r="A2176" s="402">
        <v>46168</v>
      </c>
      <c r="B2176" s="392" t="s">
        <v>57</v>
      </c>
      <c r="C2176" s="364" t="s">
        <v>334</v>
      </c>
      <c r="D2176" s="404">
        <v>12</v>
      </c>
      <c r="E2176" s="369">
        <v>5</v>
      </c>
      <c r="F2176" s="370"/>
      <c r="G2176" s="368">
        <v>0.54166666666666663</v>
      </c>
      <c r="H2176" s="368">
        <v>0.66666666666666663</v>
      </c>
      <c r="I2176" s="372" t="str">
        <f t="shared" si="54"/>
        <v>180</v>
      </c>
      <c r="J2176" s="371">
        <v>3</v>
      </c>
      <c r="K2176" s="371"/>
      <c r="L2176" s="365">
        <v>0.56944444444444442</v>
      </c>
      <c r="M2176" s="365">
        <v>0.6875</v>
      </c>
      <c r="N2176" s="372" t="str">
        <f t="shared" si="55"/>
        <v>170</v>
      </c>
      <c r="O2176" s="371">
        <f t="shared" si="50"/>
        <v>1410</v>
      </c>
      <c r="P2176" s="366">
        <f t="shared" si="51"/>
        <v>0.54166666666666663</v>
      </c>
      <c r="Q2176" s="366">
        <f t="shared" si="52"/>
        <v>0.6875</v>
      </c>
      <c r="R2176" s="367" t="str">
        <f t="shared" si="53"/>
        <v>210</v>
      </c>
    </row>
    <row r="2177" spans="1:18" x14ac:dyDescent="0.4">
      <c r="A2177" s="402">
        <v>46168</v>
      </c>
      <c r="B2177" s="392" t="s">
        <v>63</v>
      </c>
      <c r="C2177" s="364" t="s">
        <v>267</v>
      </c>
      <c r="D2177" s="404">
        <v>12</v>
      </c>
      <c r="E2177" s="369">
        <v>5</v>
      </c>
      <c r="F2177" s="370"/>
      <c r="G2177" s="368">
        <v>0.39166666666666666</v>
      </c>
      <c r="H2177" s="368">
        <v>0.5</v>
      </c>
      <c r="I2177" s="372" t="str">
        <f t="shared" si="54"/>
        <v>156</v>
      </c>
      <c r="J2177" s="371">
        <v>3</v>
      </c>
      <c r="K2177" s="371"/>
      <c r="L2177" s="365">
        <v>0.41319444444444442</v>
      </c>
      <c r="M2177" s="365">
        <v>0.56944444444444442</v>
      </c>
      <c r="N2177" s="372" t="str">
        <f t="shared" si="55"/>
        <v>165</v>
      </c>
      <c r="O2177" s="371">
        <f t="shared" si="50"/>
        <v>1275</v>
      </c>
      <c r="P2177" s="366">
        <f t="shared" si="51"/>
        <v>0.39166666666666666</v>
      </c>
      <c r="Q2177" s="366">
        <f t="shared" si="52"/>
        <v>0.56944444444444442</v>
      </c>
      <c r="R2177" s="367" t="str">
        <f t="shared" si="53"/>
        <v>196</v>
      </c>
    </row>
    <row r="2178" spans="1:18" x14ac:dyDescent="0.4">
      <c r="A2178" s="402">
        <v>46168</v>
      </c>
      <c r="B2178" s="392" t="s">
        <v>76</v>
      </c>
      <c r="C2178" s="364" t="s">
        <v>224</v>
      </c>
      <c r="D2178" s="404">
        <v>12</v>
      </c>
      <c r="E2178" s="369">
        <v>5</v>
      </c>
      <c r="F2178" s="370"/>
      <c r="G2178" s="368">
        <v>0.29166666666666669</v>
      </c>
      <c r="H2178" s="368">
        <v>0.39166666666666666</v>
      </c>
      <c r="I2178" s="372" t="str">
        <f t="shared" si="54"/>
        <v>144</v>
      </c>
      <c r="J2178" s="371">
        <v>3</v>
      </c>
      <c r="K2178" s="371"/>
      <c r="L2178" s="365">
        <v>0.3125</v>
      </c>
      <c r="M2178" s="365">
        <v>0.41319444444444442</v>
      </c>
      <c r="N2178" s="372" t="str">
        <f t="shared" si="55"/>
        <v>145</v>
      </c>
      <c r="O2178" s="371">
        <f t="shared" si="50"/>
        <v>1155</v>
      </c>
      <c r="P2178" s="366">
        <f t="shared" si="51"/>
        <v>0.29166666666666669</v>
      </c>
      <c r="Q2178" s="366">
        <f t="shared" si="52"/>
        <v>0.41319444444444442</v>
      </c>
      <c r="R2178" s="367" t="str">
        <f t="shared" si="53"/>
        <v>175</v>
      </c>
    </row>
    <row r="2179" spans="1:18" x14ac:dyDescent="0.4">
      <c r="A2179" s="402">
        <v>46168</v>
      </c>
      <c r="B2179" s="392" t="s">
        <v>66</v>
      </c>
      <c r="C2179" s="364" t="s">
        <v>195</v>
      </c>
      <c r="D2179" s="404">
        <v>20</v>
      </c>
      <c r="E2179" s="369">
        <v>3</v>
      </c>
      <c r="F2179" s="370"/>
      <c r="G2179" s="368">
        <v>0.4236111111111111</v>
      </c>
      <c r="H2179" s="368">
        <v>0.60069444444444442</v>
      </c>
      <c r="I2179" s="372" t="str">
        <f t="shared" si="54"/>
        <v>195</v>
      </c>
      <c r="J2179" s="371">
        <v>4</v>
      </c>
      <c r="K2179" s="371"/>
      <c r="L2179" s="365">
        <v>0.46527777777777773</v>
      </c>
      <c r="M2179" s="365">
        <v>0.67361111111111116</v>
      </c>
      <c r="N2179" s="372" t="str">
        <f t="shared" si="55"/>
        <v>240</v>
      </c>
      <c r="O2179" s="371">
        <f t="shared" si="50"/>
        <v>1545</v>
      </c>
      <c r="P2179" s="366">
        <f t="shared" si="51"/>
        <v>0.4236111111111111</v>
      </c>
      <c r="Q2179" s="366">
        <f t="shared" si="52"/>
        <v>0.67361111111111116</v>
      </c>
      <c r="R2179" s="367" t="str">
        <f t="shared" si="53"/>
        <v>300</v>
      </c>
    </row>
    <row r="2180" spans="1:18" x14ac:dyDescent="0.4">
      <c r="A2180" s="402">
        <v>46168</v>
      </c>
      <c r="B2180" s="392" t="s">
        <v>131</v>
      </c>
      <c r="C2180" s="364" t="s">
        <v>274</v>
      </c>
      <c r="D2180" s="404">
        <v>28</v>
      </c>
      <c r="E2180" s="369">
        <v>3</v>
      </c>
      <c r="F2180" s="368">
        <v>2.0833333333333332E-2</v>
      </c>
      <c r="G2180" s="368">
        <v>0.29166666666666669</v>
      </c>
      <c r="H2180" s="368">
        <v>0.42708333333333331</v>
      </c>
      <c r="I2180" s="372" t="str">
        <f t="shared" si="54"/>
        <v>225</v>
      </c>
      <c r="J2180" s="371">
        <v>4</v>
      </c>
      <c r="K2180" s="371"/>
      <c r="L2180" s="365">
        <v>0.29166666666666669</v>
      </c>
      <c r="M2180" s="365">
        <v>0.46527777777777773</v>
      </c>
      <c r="N2180" s="372" t="str">
        <f t="shared" si="55"/>
        <v>250</v>
      </c>
      <c r="O2180" s="371">
        <f t="shared" si="50"/>
        <v>1675</v>
      </c>
      <c r="P2180" s="366">
        <f t="shared" si="51"/>
        <v>0.29166666666666669</v>
      </c>
      <c r="Q2180" s="366">
        <f t="shared" si="52"/>
        <v>0.46527777777777773</v>
      </c>
      <c r="R2180" s="367" t="str">
        <f t="shared" si="53"/>
        <v>250</v>
      </c>
    </row>
    <row r="2181" spans="1:18" x14ac:dyDescent="0.4">
      <c r="A2181" s="402">
        <v>46169</v>
      </c>
      <c r="B2181" s="392" t="s">
        <v>68</v>
      </c>
      <c r="C2181" s="364" t="s">
        <v>185</v>
      </c>
      <c r="D2181" s="404">
        <v>36</v>
      </c>
      <c r="E2181" s="369">
        <v>6</v>
      </c>
      <c r="F2181" s="370"/>
      <c r="G2181" s="368">
        <v>0.29166666666666669</v>
      </c>
      <c r="H2181" s="368">
        <v>0.66666666666666663</v>
      </c>
      <c r="I2181" s="372" t="str">
        <f t="shared" si="54"/>
        <v>480</v>
      </c>
      <c r="J2181" s="371">
        <v>5</v>
      </c>
      <c r="K2181" s="371"/>
      <c r="L2181" s="365">
        <v>0.3125</v>
      </c>
      <c r="M2181" s="365">
        <v>0.70833333333333337</v>
      </c>
      <c r="N2181" s="372" t="str">
        <f t="shared" si="55"/>
        <v>510</v>
      </c>
      <c r="O2181" s="371">
        <f t="shared" si="50"/>
        <v>5430</v>
      </c>
      <c r="P2181" s="366">
        <f t="shared" si="51"/>
        <v>0.29166666666666669</v>
      </c>
      <c r="Q2181" s="366">
        <f t="shared" si="52"/>
        <v>0.70833333333333337</v>
      </c>
      <c r="R2181" s="367" t="str">
        <f t="shared" si="53"/>
        <v>540</v>
      </c>
    </row>
    <row r="2182" spans="1:18" x14ac:dyDescent="0.4">
      <c r="A2182" s="402">
        <v>46169</v>
      </c>
      <c r="B2182" s="392" t="s">
        <v>75</v>
      </c>
      <c r="C2182" s="364" t="s">
        <v>229</v>
      </c>
      <c r="D2182" s="404">
        <v>16</v>
      </c>
      <c r="E2182" s="369">
        <v>5</v>
      </c>
      <c r="F2182" s="370"/>
      <c r="G2182" s="368">
        <v>0.43541666666666662</v>
      </c>
      <c r="H2182" s="368">
        <v>0.66666666666666663</v>
      </c>
      <c r="I2182" s="372" t="str">
        <f t="shared" si="54"/>
        <v>273</v>
      </c>
      <c r="J2182" s="371">
        <v>3</v>
      </c>
      <c r="K2182" s="371"/>
      <c r="L2182" s="365">
        <v>0.46875</v>
      </c>
      <c r="M2182" s="365">
        <v>0.6875</v>
      </c>
      <c r="N2182" s="372" t="str">
        <f t="shared" si="55"/>
        <v>255</v>
      </c>
      <c r="O2182" s="371">
        <f t="shared" si="50"/>
        <v>2130</v>
      </c>
      <c r="P2182" s="366">
        <f t="shared" si="51"/>
        <v>0.43541666666666662</v>
      </c>
      <c r="Q2182" s="366">
        <f t="shared" si="52"/>
        <v>0.6875</v>
      </c>
      <c r="R2182" s="367" t="str">
        <f t="shared" si="53"/>
        <v>303</v>
      </c>
    </row>
    <row r="2183" spans="1:18" x14ac:dyDescent="0.4">
      <c r="A2183" s="402">
        <v>46169</v>
      </c>
      <c r="B2183" s="392" t="s">
        <v>72</v>
      </c>
      <c r="C2183" s="364" t="s">
        <v>227</v>
      </c>
      <c r="D2183" s="404">
        <v>16</v>
      </c>
      <c r="E2183" s="369">
        <v>5</v>
      </c>
      <c r="F2183" s="370"/>
      <c r="G2183" s="368">
        <v>0.29166666666666669</v>
      </c>
      <c r="H2183" s="368">
        <v>0.43541666666666662</v>
      </c>
      <c r="I2183" s="372" t="str">
        <f t="shared" si="54"/>
        <v>207</v>
      </c>
      <c r="J2183" s="371">
        <v>3</v>
      </c>
      <c r="K2183" s="371"/>
      <c r="L2183" s="365">
        <v>0.3125</v>
      </c>
      <c r="M2183" s="365">
        <v>0.46875</v>
      </c>
      <c r="N2183" s="372" t="str">
        <f t="shared" si="55"/>
        <v>225</v>
      </c>
      <c r="O2183" s="371">
        <f t="shared" si="50"/>
        <v>1710</v>
      </c>
      <c r="P2183" s="366">
        <f t="shared" si="51"/>
        <v>0.29166666666666669</v>
      </c>
      <c r="Q2183" s="366">
        <f t="shared" si="52"/>
        <v>0.46875</v>
      </c>
      <c r="R2183" s="367" t="str">
        <f t="shared" si="53"/>
        <v>255</v>
      </c>
    </row>
    <row r="2184" spans="1:18" x14ac:dyDescent="0.4">
      <c r="A2184" s="402">
        <v>46169</v>
      </c>
      <c r="B2184" s="392" t="s">
        <v>82</v>
      </c>
      <c r="C2184" s="364" t="s">
        <v>171</v>
      </c>
      <c r="D2184" s="404">
        <v>32</v>
      </c>
      <c r="E2184" s="369">
        <v>3</v>
      </c>
      <c r="F2184" s="368">
        <v>2.0833333333333332E-2</v>
      </c>
      <c r="G2184" s="368">
        <v>0.29166666666666669</v>
      </c>
      <c r="H2184" s="368">
        <v>0.57638888888888895</v>
      </c>
      <c r="I2184" s="372" t="str">
        <f t="shared" si="54"/>
        <v>380</v>
      </c>
      <c r="J2184" s="371">
        <v>7</v>
      </c>
      <c r="K2184" s="371"/>
      <c r="L2184" s="365">
        <v>0.29166666666666669</v>
      </c>
      <c r="M2184" s="365">
        <v>0.65277777777777779</v>
      </c>
      <c r="N2184" s="372" t="str">
        <f t="shared" si="55"/>
        <v>460</v>
      </c>
      <c r="O2184" s="371">
        <f t="shared" si="50"/>
        <v>4360</v>
      </c>
      <c r="P2184" s="366">
        <f t="shared" si="51"/>
        <v>0.29166666666666669</v>
      </c>
      <c r="Q2184" s="366">
        <f t="shared" si="52"/>
        <v>0.65277777777777779</v>
      </c>
      <c r="R2184" s="367" t="str">
        <f t="shared" si="53"/>
        <v>460</v>
      </c>
    </row>
    <row r="2185" spans="1:18" x14ac:dyDescent="0.4">
      <c r="A2185" s="402">
        <v>46170</v>
      </c>
      <c r="B2185" s="392" t="s">
        <v>456</v>
      </c>
      <c r="C2185" s="364" t="s">
        <v>287</v>
      </c>
      <c r="D2185" s="404">
        <v>3</v>
      </c>
      <c r="E2185" s="369">
        <v>4</v>
      </c>
      <c r="F2185" s="370"/>
      <c r="G2185" s="368">
        <v>0.54166666666666663</v>
      </c>
      <c r="H2185" s="368">
        <v>0.66666666666666663</v>
      </c>
      <c r="I2185" s="372" t="str">
        <f t="shared" si="54"/>
        <v>180</v>
      </c>
      <c r="J2185" s="371">
        <v>12</v>
      </c>
      <c r="K2185" s="371"/>
      <c r="L2185" s="365">
        <v>0.57291666666666663</v>
      </c>
      <c r="M2185" s="365">
        <v>0.6875</v>
      </c>
      <c r="N2185" s="372" t="str">
        <f t="shared" si="55"/>
        <v>165</v>
      </c>
      <c r="O2185" s="371">
        <f t="shared" si="50"/>
        <v>2700</v>
      </c>
      <c r="P2185" s="366">
        <f t="shared" si="51"/>
        <v>0.54166666666666663</v>
      </c>
      <c r="Q2185" s="366">
        <f t="shared" si="52"/>
        <v>0.6875</v>
      </c>
      <c r="R2185" s="367" t="str">
        <f t="shared" si="53"/>
        <v>210</v>
      </c>
    </row>
    <row r="2186" spans="1:18" x14ac:dyDescent="0.4">
      <c r="A2186" s="402">
        <v>46170</v>
      </c>
      <c r="B2186" s="392" t="s">
        <v>91</v>
      </c>
      <c r="C2186" s="364" t="s">
        <v>163</v>
      </c>
      <c r="D2186" s="404">
        <v>16</v>
      </c>
      <c r="E2186" s="369">
        <v>4</v>
      </c>
      <c r="F2186" s="370"/>
      <c r="G2186" s="368">
        <v>0.29166666666666669</v>
      </c>
      <c r="H2186" s="368">
        <v>0.5</v>
      </c>
      <c r="I2186" s="372" t="str">
        <f t="shared" si="54"/>
        <v>300</v>
      </c>
      <c r="J2186" s="371">
        <v>9</v>
      </c>
      <c r="K2186" s="371"/>
      <c r="L2186" s="365">
        <v>0.3125</v>
      </c>
      <c r="M2186" s="365">
        <v>0.5</v>
      </c>
      <c r="N2186" s="372" t="str">
        <f t="shared" si="55"/>
        <v>270</v>
      </c>
      <c r="O2186" s="371">
        <f t="shared" si="50"/>
        <v>3630</v>
      </c>
      <c r="P2186" s="366">
        <f t="shared" si="51"/>
        <v>0.29166666666666669</v>
      </c>
      <c r="Q2186" s="366">
        <f t="shared" si="52"/>
        <v>0.5</v>
      </c>
      <c r="R2186" s="367" t="str">
        <f t="shared" si="53"/>
        <v>300</v>
      </c>
    </row>
    <row r="2187" spans="1:18" x14ac:dyDescent="0.4">
      <c r="A2187" s="402">
        <v>46170</v>
      </c>
      <c r="B2187" s="392" t="s">
        <v>123</v>
      </c>
      <c r="C2187" s="364" t="s">
        <v>277</v>
      </c>
      <c r="D2187" s="404">
        <v>56</v>
      </c>
      <c r="E2187" s="369">
        <v>3</v>
      </c>
      <c r="F2187" s="368">
        <v>2.0833333333333332E-2</v>
      </c>
      <c r="G2187" s="368">
        <v>0.29166666666666669</v>
      </c>
      <c r="H2187" s="368">
        <v>0.625</v>
      </c>
      <c r="I2187" s="372" t="str">
        <f t="shared" si="54"/>
        <v>450</v>
      </c>
      <c r="J2187" s="371">
        <v>4</v>
      </c>
      <c r="K2187" s="371"/>
      <c r="L2187" s="365">
        <v>0.29166666666666669</v>
      </c>
      <c r="M2187" s="365">
        <v>0.66319444444444442</v>
      </c>
      <c r="N2187" s="372" t="str">
        <f t="shared" si="55"/>
        <v>475</v>
      </c>
      <c r="O2187" s="371">
        <f t="shared" si="50"/>
        <v>3250</v>
      </c>
      <c r="P2187" s="366">
        <f t="shared" si="51"/>
        <v>0.29166666666666669</v>
      </c>
      <c r="Q2187" s="366">
        <f t="shared" si="52"/>
        <v>0.66319444444444442</v>
      </c>
      <c r="R2187" s="367" t="str">
        <f t="shared" si="53"/>
        <v>475</v>
      </c>
    </row>
    <row r="2188" spans="1:18" x14ac:dyDescent="0.4">
      <c r="A2188" s="402">
        <v>46171</v>
      </c>
      <c r="B2188" s="392" t="s">
        <v>71</v>
      </c>
      <c r="C2188" s="364" t="s">
        <v>176</v>
      </c>
      <c r="D2188" s="404">
        <v>68</v>
      </c>
      <c r="E2188" s="369">
        <v>6</v>
      </c>
      <c r="F2188" s="370"/>
      <c r="G2188" s="368">
        <v>0.29166666666666669</v>
      </c>
      <c r="H2188" s="368">
        <v>0.66666666666666663</v>
      </c>
      <c r="I2188" s="372" t="str">
        <f t="shared" si="54"/>
        <v>480</v>
      </c>
      <c r="J2188" s="371">
        <v>5</v>
      </c>
      <c r="K2188" s="371"/>
      <c r="L2188" s="365">
        <v>0.3125</v>
      </c>
      <c r="M2188" s="365">
        <v>0.70833333333333337</v>
      </c>
      <c r="N2188" s="372" t="str">
        <f t="shared" si="55"/>
        <v>510</v>
      </c>
      <c r="O2188" s="371">
        <f t="shared" si="50"/>
        <v>5430</v>
      </c>
      <c r="P2188" s="366">
        <f t="shared" si="51"/>
        <v>0.29166666666666669</v>
      </c>
      <c r="Q2188" s="366">
        <f t="shared" si="52"/>
        <v>0.70833333333333337</v>
      </c>
      <c r="R2188" s="367" t="str">
        <f t="shared" si="53"/>
        <v>540</v>
      </c>
    </row>
    <row r="2189" spans="1:18" x14ac:dyDescent="0.4">
      <c r="A2189" s="402">
        <v>46171</v>
      </c>
      <c r="B2189" s="392" t="s">
        <v>54</v>
      </c>
      <c r="C2189" s="364" t="s">
        <v>251</v>
      </c>
      <c r="D2189" s="404">
        <v>20</v>
      </c>
      <c r="E2189" s="369">
        <v>5</v>
      </c>
      <c r="F2189" s="370"/>
      <c r="G2189" s="368">
        <v>0.29166666666666669</v>
      </c>
      <c r="H2189" s="368">
        <v>0.43055555555555558</v>
      </c>
      <c r="I2189" s="372" t="str">
        <f t="shared" si="54"/>
        <v>200</v>
      </c>
      <c r="J2189" s="371">
        <v>3</v>
      </c>
      <c r="K2189" s="371"/>
      <c r="L2189" s="365">
        <v>0.3125</v>
      </c>
      <c r="M2189" s="365">
        <v>0.46527777777777773</v>
      </c>
      <c r="N2189" s="372" t="str">
        <f t="shared" si="55"/>
        <v>220</v>
      </c>
      <c r="O2189" s="371">
        <f t="shared" si="50"/>
        <v>1660</v>
      </c>
      <c r="P2189" s="366">
        <f t="shared" si="51"/>
        <v>0.29166666666666669</v>
      </c>
      <c r="Q2189" s="366">
        <f t="shared" si="52"/>
        <v>0.46527777777777773</v>
      </c>
      <c r="R2189" s="367" t="str">
        <f t="shared" si="53"/>
        <v>250</v>
      </c>
    </row>
    <row r="2190" spans="1:18" x14ac:dyDescent="0.4">
      <c r="A2190" s="402">
        <v>46171</v>
      </c>
      <c r="B2190" s="392" t="s">
        <v>51</v>
      </c>
      <c r="C2190" s="364" t="s">
        <v>253</v>
      </c>
      <c r="D2190" s="404">
        <v>16</v>
      </c>
      <c r="E2190" s="369">
        <v>5</v>
      </c>
      <c r="F2190" s="370"/>
      <c r="G2190" s="368">
        <v>0.43055555555555558</v>
      </c>
      <c r="H2190" s="368">
        <v>0.66666666666666663</v>
      </c>
      <c r="I2190" s="372" t="str">
        <f t="shared" si="54"/>
        <v>280</v>
      </c>
      <c r="J2190" s="371">
        <v>3</v>
      </c>
      <c r="K2190" s="371"/>
      <c r="L2190" s="365">
        <v>0.46527777777777773</v>
      </c>
      <c r="M2190" s="365">
        <v>0.70833333333333337</v>
      </c>
      <c r="N2190" s="372" t="str">
        <f t="shared" si="55"/>
        <v>290</v>
      </c>
      <c r="O2190" s="371">
        <f t="shared" si="50"/>
        <v>2270</v>
      </c>
      <c r="P2190" s="366">
        <f t="shared" si="51"/>
        <v>0.43055555555555558</v>
      </c>
      <c r="Q2190" s="366">
        <f t="shared" si="52"/>
        <v>0.70833333333333337</v>
      </c>
      <c r="R2190" s="367" t="str">
        <f t="shared" si="53"/>
        <v>340</v>
      </c>
    </row>
    <row r="2191" spans="1:18" x14ac:dyDescent="0.4">
      <c r="A2191" s="402">
        <v>46171</v>
      </c>
      <c r="B2191" s="392" t="s">
        <v>597</v>
      </c>
      <c r="C2191" s="364" t="s">
        <v>283</v>
      </c>
      <c r="D2191" s="404">
        <v>8</v>
      </c>
      <c r="E2191" s="369">
        <v>3</v>
      </c>
      <c r="F2191" s="368">
        <v>2.0833333333333332E-2</v>
      </c>
      <c r="G2191" s="368">
        <v>0.29166666666666669</v>
      </c>
      <c r="H2191" s="368">
        <v>0.34722222222222227</v>
      </c>
      <c r="I2191" s="372" t="str">
        <f t="shared" si="54"/>
        <v>110</v>
      </c>
      <c r="J2191" s="371">
        <v>7</v>
      </c>
      <c r="K2191" s="371"/>
      <c r="L2191" s="365">
        <v>0.29166666666666669</v>
      </c>
      <c r="M2191" s="365">
        <v>0.4548611111111111</v>
      </c>
      <c r="N2191" s="372" t="str">
        <f t="shared" si="55"/>
        <v>235</v>
      </c>
      <c r="O2191" s="371">
        <f t="shared" si="50"/>
        <v>1975</v>
      </c>
      <c r="P2191" s="366">
        <f t="shared" si="51"/>
        <v>0.29166666666666669</v>
      </c>
      <c r="Q2191" s="366">
        <f t="shared" si="52"/>
        <v>0.4548611111111111</v>
      </c>
      <c r="R2191" s="367" t="str">
        <f t="shared" si="53"/>
        <v>235</v>
      </c>
    </row>
    <row r="2192" spans="1:18" x14ac:dyDescent="0.4">
      <c r="A2192" s="402">
        <v>46171</v>
      </c>
      <c r="B2192" s="392" t="s">
        <v>471</v>
      </c>
      <c r="C2192" s="364" t="s">
        <v>280</v>
      </c>
      <c r="D2192" s="404">
        <v>8</v>
      </c>
      <c r="E2192" s="369">
        <v>3</v>
      </c>
      <c r="F2192" s="370"/>
      <c r="G2192" s="368">
        <v>0.34722222222222227</v>
      </c>
      <c r="H2192" s="368">
        <v>0.5625</v>
      </c>
      <c r="I2192" s="372" t="str">
        <f t="shared" si="54"/>
        <v>250</v>
      </c>
      <c r="J2192" s="371">
        <v>9</v>
      </c>
      <c r="K2192" s="371"/>
      <c r="L2192" s="365">
        <v>0.4548611111111111</v>
      </c>
      <c r="M2192" s="365">
        <v>0.65625</v>
      </c>
      <c r="N2192" s="372" t="str">
        <f t="shared" si="55"/>
        <v>230</v>
      </c>
      <c r="O2192" s="371">
        <f t="shared" si="50"/>
        <v>2820</v>
      </c>
      <c r="P2192" s="366">
        <f t="shared" si="51"/>
        <v>0.34722222222222227</v>
      </c>
      <c r="Q2192" s="366">
        <f t="shared" si="52"/>
        <v>0.65625</v>
      </c>
      <c r="R2192" s="367" t="str">
        <f t="shared" si="53"/>
        <v>385</v>
      </c>
    </row>
    <row r="2193" spans="1:18" x14ac:dyDescent="0.4">
      <c r="A2193" s="403">
        <v>46174</v>
      </c>
      <c r="B2193" s="383" t="s">
        <v>431</v>
      </c>
      <c r="C2193" s="390" t="s">
        <v>436</v>
      </c>
      <c r="D2193" s="405">
        <v>2</v>
      </c>
      <c r="E2193" s="384"/>
      <c r="F2193" s="385"/>
      <c r="G2193" s="396"/>
      <c r="H2193" s="396"/>
      <c r="I2193" s="386" t="str">
        <f t="shared" si="54"/>
        <v>0</v>
      </c>
      <c r="J2193" s="387"/>
      <c r="K2193" s="387"/>
      <c r="L2193" s="388"/>
      <c r="M2193" s="388"/>
      <c r="N2193" s="386" t="str">
        <f t="shared" si="55"/>
        <v>0</v>
      </c>
      <c r="O2193" s="387">
        <f t="shared" si="50"/>
        <v>0</v>
      </c>
      <c r="P2193" s="391">
        <f t="shared" si="51"/>
        <v>0</v>
      </c>
      <c r="Q2193" s="391">
        <f t="shared" si="52"/>
        <v>0</v>
      </c>
      <c r="R2193" s="389" t="str">
        <f t="shared" si="53"/>
        <v>0</v>
      </c>
    </row>
    <row r="2194" spans="1:18" x14ac:dyDescent="0.4">
      <c r="A2194" s="402">
        <v>46175</v>
      </c>
      <c r="B2194" s="392" t="s">
        <v>1062</v>
      </c>
      <c r="C2194" s="364" t="s">
        <v>1064</v>
      </c>
      <c r="D2194" s="404">
        <v>24</v>
      </c>
      <c r="E2194" s="369">
        <v>5</v>
      </c>
      <c r="F2194" s="370"/>
      <c r="G2194" s="368">
        <v>0.29166666666666669</v>
      </c>
      <c r="H2194" s="368">
        <v>0.57291666666666663</v>
      </c>
      <c r="I2194" s="372" t="str">
        <f t="shared" si="54"/>
        <v>345</v>
      </c>
      <c r="J2194" s="371">
        <v>4</v>
      </c>
      <c r="K2194" s="365">
        <v>4.1666666666666664E-2</v>
      </c>
      <c r="L2194" s="365">
        <v>0.33333333333333331</v>
      </c>
      <c r="M2194" s="365">
        <v>0.63541666666666663</v>
      </c>
      <c r="N2194" s="372" t="str">
        <f t="shared" si="55"/>
        <v>435</v>
      </c>
      <c r="O2194" s="371">
        <f t="shared" si="50"/>
        <v>3465</v>
      </c>
      <c r="P2194" s="366">
        <f t="shared" si="51"/>
        <v>0.29166666666666669</v>
      </c>
      <c r="Q2194" s="366">
        <f t="shared" si="52"/>
        <v>0.63541666666666663</v>
      </c>
      <c r="R2194" s="367" t="str">
        <f t="shared" si="53"/>
        <v>435</v>
      </c>
    </row>
    <row r="2195" spans="1:18" x14ac:dyDescent="0.4">
      <c r="A2195" s="402">
        <v>46175</v>
      </c>
      <c r="B2195" s="392" t="s">
        <v>53</v>
      </c>
      <c r="C2195" s="364" t="s">
        <v>261</v>
      </c>
      <c r="D2195" s="404">
        <v>6</v>
      </c>
      <c r="E2195" s="369">
        <v>5</v>
      </c>
      <c r="F2195" s="370"/>
      <c r="G2195" s="368">
        <v>0.55833333333333335</v>
      </c>
      <c r="H2195" s="368">
        <v>0.67013888888888884</v>
      </c>
      <c r="I2195" s="372" t="str">
        <f t="shared" si="54"/>
        <v>161</v>
      </c>
      <c r="J2195" s="371">
        <v>4</v>
      </c>
      <c r="K2195" s="371"/>
      <c r="L2195" s="365">
        <v>0.63541666666666663</v>
      </c>
      <c r="M2195" s="365">
        <v>0.68055555555555547</v>
      </c>
      <c r="N2195" s="372" t="str">
        <f t="shared" si="55"/>
        <v>65</v>
      </c>
      <c r="O2195" s="371">
        <f t="shared" si="50"/>
        <v>1065</v>
      </c>
      <c r="P2195" s="366">
        <f t="shared" si="51"/>
        <v>0.55833333333333335</v>
      </c>
      <c r="Q2195" s="366">
        <f t="shared" si="52"/>
        <v>0.68055555555555547</v>
      </c>
      <c r="R2195" s="367" t="str">
        <f t="shared" si="53"/>
        <v>176</v>
      </c>
    </row>
    <row r="2196" spans="1:18" x14ac:dyDescent="0.4">
      <c r="A2196" s="402">
        <v>46175</v>
      </c>
      <c r="B2196" s="392" t="s">
        <v>99</v>
      </c>
      <c r="C2196" s="364" t="s">
        <v>259</v>
      </c>
      <c r="D2196" s="404">
        <v>6</v>
      </c>
      <c r="E2196" s="369">
        <v>5</v>
      </c>
      <c r="F2196" s="370"/>
      <c r="G2196" s="368">
        <v>0.67013888888888884</v>
      </c>
      <c r="H2196" s="368">
        <v>0.72916666666666663</v>
      </c>
      <c r="I2196" s="372" t="str">
        <f t="shared" si="54"/>
        <v>85</v>
      </c>
      <c r="J2196" s="371">
        <v>4</v>
      </c>
      <c r="K2196" s="371"/>
      <c r="L2196" s="365">
        <v>0.68055555555555547</v>
      </c>
      <c r="M2196" s="365">
        <v>0.72916666666666663</v>
      </c>
      <c r="N2196" s="372" t="str">
        <f t="shared" si="55"/>
        <v>70</v>
      </c>
      <c r="O2196" s="371">
        <f t="shared" si="50"/>
        <v>705</v>
      </c>
      <c r="P2196" s="366">
        <f t="shared" si="51"/>
        <v>0.67013888888888884</v>
      </c>
      <c r="Q2196" s="366">
        <f t="shared" si="52"/>
        <v>0.72916666666666663</v>
      </c>
      <c r="R2196" s="367" t="str">
        <f t="shared" si="53"/>
        <v>85</v>
      </c>
    </row>
    <row r="2197" spans="1:18" x14ac:dyDescent="0.4">
      <c r="A2197" s="402">
        <v>46175</v>
      </c>
      <c r="B2197" s="392" t="s">
        <v>110</v>
      </c>
      <c r="C2197" s="364" t="s">
        <v>231</v>
      </c>
      <c r="D2197" s="404">
        <v>21</v>
      </c>
      <c r="E2197" s="369">
        <v>4</v>
      </c>
      <c r="F2197" s="368">
        <v>2.0833333333333332E-2</v>
      </c>
      <c r="G2197" s="368">
        <v>0.29166666666666669</v>
      </c>
      <c r="H2197" s="368">
        <v>0.67361111111111116</v>
      </c>
      <c r="I2197" s="372" t="str">
        <f t="shared" si="54"/>
        <v>520</v>
      </c>
      <c r="J2197" s="371">
        <v>8</v>
      </c>
      <c r="K2197" s="371"/>
      <c r="L2197" s="365">
        <v>0.3125</v>
      </c>
      <c r="M2197" s="365">
        <v>0.70833333333333337</v>
      </c>
      <c r="N2197" s="372" t="str">
        <f t="shared" si="55"/>
        <v>510</v>
      </c>
      <c r="O2197" s="371">
        <f t="shared" si="50"/>
        <v>6160</v>
      </c>
      <c r="P2197" s="366">
        <f t="shared" si="51"/>
        <v>0.29166666666666669</v>
      </c>
      <c r="Q2197" s="366">
        <f t="shared" si="52"/>
        <v>0.70833333333333337</v>
      </c>
      <c r="R2197" s="367" t="str">
        <f t="shared" si="53"/>
        <v>540</v>
      </c>
    </row>
    <row r="2198" spans="1:18" x14ac:dyDescent="0.4">
      <c r="A2198" s="402">
        <v>46175</v>
      </c>
      <c r="B2198" s="392" t="s">
        <v>97</v>
      </c>
      <c r="C2198" s="364" t="s">
        <v>274</v>
      </c>
      <c r="D2198" s="404">
        <v>12</v>
      </c>
      <c r="E2198" s="369">
        <v>3</v>
      </c>
      <c r="F2198" s="368">
        <v>2.0833333333333332E-2</v>
      </c>
      <c r="G2198" s="368">
        <v>0.29166666666666669</v>
      </c>
      <c r="H2198" s="368">
        <v>0.36458333333333331</v>
      </c>
      <c r="I2198" s="372" t="str">
        <f t="shared" si="54"/>
        <v>135</v>
      </c>
      <c r="J2198" s="371">
        <v>4</v>
      </c>
      <c r="K2198" s="371"/>
      <c r="L2198" s="365">
        <v>0.29166666666666669</v>
      </c>
      <c r="M2198" s="365">
        <v>0.39583333333333331</v>
      </c>
      <c r="N2198" s="372" t="str">
        <f t="shared" si="55"/>
        <v>150</v>
      </c>
      <c r="O2198" s="371">
        <f t="shared" si="50"/>
        <v>1005</v>
      </c>
      <c r="P2198" s="366">
        <f t="shared" si="51"/>
        <v>0.29166666666666669</v>
      </c>
      <c r="Q2198" s="366">
        <f t="shared" si="52"/>
        <v>0.39583333333333331</v>
      </c>
      <c r="R2198" s="367" t="str">
        <f t="shared" si="53"/>
        <v>150</v>
      </c>
    </row>
    <row r="2199" spans="1:18" x14ac:dyDescent="0.4">
      <c r="A2199" s="402">
        <v>46175</v>
      </c>
      <c r="B2199" s="392" t="s">
        <v>65</v>
      </c>
      <c r="C2199" s="364" t="s">
        <v>189</v>
      </c>
      <c r="D2199" s="404">
        <v>48</v>
      </c>
      <c r="E2199" s="369">
        <v>3</v>
      </c>
      <c r="F2199" s="370"/>
      <c r="G2199" s="368">
        <v>0.3611111111111111</v>
      </c>
      <c r="H2199" s="368">
        <v>0.63541666666666663</v>
      </c>
      <c r="I2199" s="372" t="str">
        <f t="shared" si="54"/>
        <v>335</v>
      </c>
      <c r="J2199" s="371">
        <v>4</v>
      </c>
      <c r="K2199" s="371"/>
      <c r="L2199" s="365">
        <v>0.39930555555555558</v>
      </c>
      <c r="M2199" s="365">
        <v>0.67708333333333337</v>
      </c>
      <c r="N2199" s="372" t="str">
        <f t="shared" si="55"/>
        <v>340</v>
      </c>
      <c r="O2199" s="371">
        <f t="shared" si="50"/>
        <v>2365</v>
      </c>
      <c r="P2199" s="366">
        <f t="shared" si="51"/>
        <v>0.3611111111111111</v>
      </c>
      <c r="Q2199" s="366">
        <f t="shared" si="52"/>
        <v>0.67708333333333337</v>
      </c>
      <c r="R2199" s="367" t="str">
        <f t="shared" si="53"/>
        <v>395</v>
      </c>
    </row>
    <row r="2200" spans="1:18" x14ac:dyDescent="0.4">
      <c r="A2200" s="402">
        <v>46176</v>
      </c>
      <c r="B2200" s="392" t="s">
        <v>1667</v>
      </c>
      <c r="C2200" s="364" t="s">
        <v>1668</v>
      </c>
      <c r="D2200" s="404">
        <v>1</v>
      </c>
      <c r="E2200" s="369">
        <v>5</v>
      </c>
      <c r="F2200" s="370"/>
      <c r="G2200" s="368">
        <v>0.59722222222222221</v>
      </c>
      <c r="H2200" s="368">
        <v>0.63194444444444442</v>
      </c>
      <c r="I2200" s="372" t="str">
        <f t="shared" si="54"/>
        <v>50</v>
      </c>
      <c r="J2200" s="371">
        <v>3</v>
      </c>
      <c r="K2200" s="371"/>
      <c r="L2200" s="365">
        <v>0.63194444444444442</v>
      </c>
      <c r="M2200" s="365">
        <v>0.66666666666666663</v>
      </c>
      <c r="N2200" s="372" t="str">
        <f t="shared" si="55"/>
        <v>50</v>
      </c>
      <c r="O2200" s="371">
        <f t="shared" si="50"/>
        <v>400</v>
      </c>
      <c r="P2200" s="366">
        <f t="shared" si="51"/>
        <v>0.59722222222222221</v>
      </c>
      <c r="Q2200" s="366">
        <f t="shared" si="52"/>
        <v>0.66666666666666663</v>
      </c>
      <c r="R2200" s="367" t="str">
        <f t="shared" si="53"/>
        <v>100</v>
      </c>
    </row>
    <row r="2201" spans="1:18" x14ac:dyDescent="0.4">
      <c r="A2201" s="402">
        <v>46176</v>
      </c>
      <c r="B2201" s="392" t="s">
        <v>63</v>
      </c>
      <c r="C2201" s="364" t="s">
        <v>267</v>
      </c>
      <c r="D2201" s="404">
        <v>16</v>
      </c>
      <c r="E2201" s="369">
        <v>5</v>
      </c>
      <c r="F2201" s="370"/>
      <c r="G2201" s="368">
        <v>0.41319444444444442</v>
      </c>
      <c r="H2201" s="368">
        <v>0.60833333333333328</v>
      </c>
      <c r="I2201" s="372" t="str">
        <f t="shared" si="54"/>
        <v>221</v>
      </c>
      <c r="J2201" s="371">
        <v>3</v>
      </c>
      <c r="K2201" s="371"/>
      <c r="L2201" s="365">
        <v>0.44444444444444442</v>
      </c>
      <c r="M2201" s="365">
        <v>0.63194444444444442</v>
      </c>
      <c r="N2201" s="372" t="str">
        <f t="shared" si="55"/>
        <v>210</v>
      </c>
      <c r="O2201" s="371">
        <f t="shared" si="50"/>
        <v>1735</v>
      </c>
      <c r="P2201" s="366">
        <f t="shared" si="51"/>
        <v>0.41319444444444442</v>
      </c>
      <c r="Q2201" s="366">
        <f t="shared" si="52"/>
        <v>0.63194444444444442</v>
      </c>
      <c r="R2201" s="367" t="str">
        <f t="shared" si="53"/>
        <v>255</v>
      </c>
    </row>
    <row r="2202" spans="1:18" x14ac:dyDescent="0.4">
      <c r="A2202" s="402">
        <v>46176</v>
      </c>
      <c r="B2202" s="392" t="s">
        <v>72</v>
      </c>
      <c r="C2202" s="364" t="s">
        <v>227</v>
      </c>
      <c r="D2202" s="404">
        <v>16</v>
      </c>
      <c r="E2202" s="369">
        <v>5</v>
      </c>
      <c r="F2202" s="370"/>
      <c r="G2202" s="368">
        <v>0.2951388888888889</v>
      </c>
      <c r="H2202" s="368">
        <v>0.41319444444444442</v>
      </c>
      <c r="I2202" s="372" t="str">
        <f t="shared" si="54"/>
        <v>170</v>
      </c>
      <c r="J2202" s="371">
        <v>3</v>
      </c>
      <c r="K2202" s="365">
        <v>2.0833333333333332E-2</v>
      </c>
      <c r="L2202" s="365">
        <v>0.33333333333333331</v>
      </c>
      <c r="M2202" s="365">
        <v>0.44444444444444442</v>
      </c>
      <c r="N2202" s="372" t="str">
        <f t="shared" si="55"/>
        <v>190</v>
      </c>
      <c r="O2202" s="371">
        <f t="shared" si="50"/>
        <v>1420</v>
      </c>
      <c r="P2202" s="366">
        <f t="shared" si="51"/>
        <v>0.2951388888888889</v>
      </c>
      <c r="Q2202" s="366">
        <f t="shared" si="52"/>
        <v>0.44444444444444442</v>
      </c>
      <c r="R2202" s="367" t="str">
        <f t="shared" si="53"/>
        <v>215</v>
      </c>
    </row>
    <row r="2203" spans="1:18" x14ac:dyDescent="0.4">
      <c r="A2203" s="402">
        <v>46176</v>
      </c>
      <c r="B2203" s="392" t="s">
        <v>1162</v>
      </c>
      <c r="C2203" s="364" t="s">
        <v>271</v>
      </c>
      <c r="D2203" s="404">
        <v>1</v>
      </c>
      <c r="E2203" s="369">
        <v>5</v>
      </c>
      <c r="F2203" s="370"/>
      <c r="G2203" s="368">
        <v>0.62152777777777779</v>
      </c>
      <c r="H2203" s="368">
        <v>0.6875</v>
      </c>
      <c r="I2203" s="372" t="str">
        <f t="shared" si="54"/>
        <v>95</v>
      </c>
      <c r="J2203" s="371">
        <v>3</v>
      </c>
      <c r="K2203" s="365">
        <v>4.1666666666666664E-2</v>
      </c>
      <c r="L2203" s="365">
        <v>0.66666666666666663</v>
      </c>
      <c r="M2203" s="365">
        <v>0.70833333333333337</v>
      </c>
      <c r="N2203" s="372" t="str">
        <f t="shared" si="55"/>
        <v>120</v>
      </c>
      <c r="O2203" s="371">
        <f t="shared" si="50"/>
        <v>835</v>
      </c>
      <c r="P2203" s="366">
        <f t="shared" si="51"/>
        <v>0.62152777777777779</v>
      </c>
      <c r="Q2203" s="366">
        <f t="shared" si="52"/>
        <v>0.70833333333333337</v>
      </c>
      <c r="R2203" s="367" t="str">
        <f t="shared" si="53"/>
        <v>125</v>
      </c>
    </row>
    <row r="2204" spans="1:18" x14ac:dyDescent="0.4">
      <c r="A2204" s="402">
        <v>46176</v>
      </c>
      <c r="B2204" s="392" t="s">
        <v>108</v>
      </c>
      <c r="C2204" s="364" t="s">
        <v>231</v>
      </c>
      <c r="D2204" s="404">
        <v>15</v>
      </c>
      <c r="E2204" s="369">
        <v>4</v>
      </c>
      <c r="F2204" s="370"/>
      <c r="G2204" s="368">
        <v>0.29166666666666669</v>
      </c>
      <c r="H2204" s="368">
        <v>0.67361111111111116</v>
      </c>
      <c r="I2204" s="372" t="str">
        <f t="shared" si="54"/>
        <v>490</v>
      </c>
      <c r="J2204" s="371">
        <v>5</v>
      </c>
      <c r="K2204" s="371"/>
      <c r="L2204" s="365">
        <v>0.3125</v>
      </c>
      <c r="M2204" s="365">
        <v>0.70833333333333337</v>
      </c>
      <c r="N2204" s="372" t="str">
        <f t="shared" si="55"/>
        <v>510</v>
      </c>
      <c r="O2204" s="371">
        <f t="shared" si="50"/>
        <v>4510</v>
      </c>
      <c r="P2204" s="366">
        <f t="shared" si="51"/>
        <v>0.29166666666666669</v>
      </c>
      <c r="Q2204" s="366">
        <f t="shared" si="52"/>
        <v>0.70833333333333337</v>
      </c>
      <c r="R2204" s="367" t="str">
        <f t="shared" si="53"/>
        <v>540</v>
      </c>
    </row>
    <row r="2205" spans="1:18" x14ac:dyDescent="0.4">
      <c r="A2205" s="402">
        <v>46176</v>
      </c>
      <c r="B2205" s="392" t="s">
        <v>65</v>
      </c>
      <c r="C2205" s="364" t="s">
        <v>189</v>
      </c>
      <c r="D2205" s="404">
        <v>48</v>
      </c>
      <c r="E2205" s="369">
        <v>3</v>
      </c>
      <c r="F2205" s="370">
        <v>0.20833333333333334</v>
      </c>
      <c r="G2205" s="368">
        <v>0.29166666666666669</v>
      </c>
      <c r="H2205" s="420">
        <v>0.79166666666666663</v>
      </c>
      <c r="I2205" s="372" t="str">
        <f t="shared" si="54"/>
        <v>960</v>
      </c>
      <c r="J2205" s="371">
        <v>4</v>
      </c>
      <c r="K2205" s="371"/>
      <c r="L2205" s="365">
        <v>0.29166666666666669</v>
      </c>
      <c r="M2205" s="365">
        <v>0.64930555555555558</v>
      </c>
      <c r="N2205" s="372" t="str">
        <f t="shared" si="55"/>
        <v>455</v>
      </c>
      <c r="O2205" s="371">
        <f t="shared" si="50"/>
        <v>4700</v>
      </c>
      <c r="P2205" s="366">
        <f t="shared" si="51"/>
        <v>0.29166666666666669</v>
      </c>
      <c r="Q2205" s="366">
        <f t="shared" si="52"/>
        <v>0.79166666666666663</v>
      </c>
      <c r="R2205" s="367" t="str">
        <f t="shared" si="53"/>
        <v>660</v>
      </c>
    </row>
    <row r="2206" spans="1:18" x14ac:dyDescent="0.4">
      <c r="A2206" s="402">
        <v>46177</v>
      </c>
      <c r="B2206" s="392" t="s">
        <v>473</v>
      </c>
      <c r="C2206" s="375" t="s">
        <v>289</v>
      </c>
      <c r="D2206" s="406">
        <v>6</v>
      </c>
      <c r="E2206" s="369">
        <v>4</v>
      </c>
      <c r="F2206" s="370"/>
      <c r="G2206" s="368">
        <v>0.54513888888888895</v>
      </c>
      <c r="H2206" s="368">
        <v>0.66666666666666663</v>
      </c>
      <c r="I2206" s="372" t="str">
        <f t="shared" si="54"/>
        <v>175</v>
      </c>
      <c r="J2206" s="371">
        <v>13</v>
      </c>
      <c r="K2206" s="371"/>
      <c r="L2206" s="365">
        <v>0.54166666666666663</v>
      </c>
      <c r="M2206" s="365">
        <v>0.70833333333333337</v>
      </c>
      <c r="N2206" s="372" t="str">
        <f t="shared" si="55"/>
        <v>240</v>
      </c>
      <c r="O2206" s="371">
        <f t="shared" si="50"/>
        <v>3820</v>
      </c>
      <c r="P2206" s="366">
        <f t="shared" si="51"/>
        <v>0.54166666666666663</v>
      </c>
      <c r="Q2206" s="366">
        <f t="shared" si="52"/>
        <v>0.70833333333333337</v>
      </c>
      <c r="R2206" s="367" t="str">
        <f t="shared" si="53"/>
        <v>240</v>
      </c>
    </row>
    <row r="2207" spans="1:18" x14ac:dyDescent="0.4">
      <c r="A2207" s="402">
        <v>46177</v>
      </c>
      <c r="B2207" s="392" t="s">
        <v>61</v>
      </c>
      <c r="C2207" s="375" t="s">
        <v>156</v>
      </c>
      <c r="D2207" s="406">
        <v>20</v>
      </c>
      <c r="E2207" s="369">
        <v>5</v>
      </c>
      <c r="F2207" s="370"/>
      <c r="G2207" s="368">
        <v>0.29166666666666669</v>
      </c>
      <c r="H2207" s="368">
        <v>0.5</v>
      </c>
      <c r="I2207" s="372" t="str">
        <f t="shared" si="54"/>
        <v>300</v>
      </c>
      <c r="J2207" s="371">
        <v>10</v>
      </c>
      <c r="K2207" s="371"/>
      <c r="L2207" s="365">
        <v>0.3125</v>
      </c>
      <c r="M2207" s="365">
        <v>0.5</v>
      </c>
      <c r="N2207" s="372" t="str">
        <f t="shared" si="55"/>
        <v>270</v>
      </c>
      <c r="O2207" s="371">
        <f t="shared" si="50"/>
        <v>4200</v>
      </c>
      <c r="P2207" s="366">
        <f t="shared" si="51"/>
        <v>0.29166666666666669</v>
      </c>
      <c r="Q2207" s="366">
        <f t="shared" si="52"/>
        <v>0.5</v>
      </c>
      <c r="R2207" s="367" t="str">
        <f t="shared" si="53"/>
        <v>300</v>
      </c>
    </row>
    <row r="2208" spans="1:18" x14ac:dyDescent="0.4">
      <c r="A2208" s="402">
        <v>46177</v>
      </c>
      <c r="B2208" s="392" t="s">
        <v>1162</v>
      </c>
      <c r="C2208" s="364" t="s">
        <v>271</v>
      </c>
      <c r="D2208" s="404">
        <v>24</v>
      </c>
      <c r="E2208" s="369">
        <v>5</v>
      </c>
      <c r="F2208" s="370"/>
      <c r="G2208" s="368">
        <v>0.3125</v>
      </c>
      <c r="H2208" s="368">
        <v>0.58680555555555558</v>
      </c>
      <c r="I2208" s="372" t="str">
        <f t="shared" si="54"/>
        <v>335</v>
      </c>
      <c r="J2208" s="371">
        <v>3</v>
      </c>
      <c r="K2208" s="371"/>
      <c r="L2208" s="365">
        <v>0.33333333333333331</v>
      </c>
      <c r="M2208" s="365">
        <v>0.625</v>
      </c>
      <c r="N2208" s="372" t="str">
        <f t="shared" si="55"/>
        <v>360</v>
      </c>
      <c r="O2208" s="371">
        <f t="shared" si="50"/>
        <v>2755</v>
      </c>
      <c r="P2208" s="366">
        <f t="shared" si="51"/>
        <v>0.3125</v>
      </c>
      <c r="Q2208" s="366">
        <f t="shared" si="52"/>
        <v>0.625</v>
      </c>
      <c r="R2208" s="367" t="str">
        <f t="shared" si="53"/>
        <v>390</v>
      </c>
    </row>
    <row r="2209" spans="1:18" x14ac:dyDescent="0.4">
      <c r="A2209" s="402">
        <v>46177</v>
      </c>
      <c r="B2209" s="392" t="s">
        <v>1667</v>
      </c>
      <c r="C2209" s="364" t="s">
        <v>1668</v>
      </c>
      <c r="D2209" s="404">
        <v>12</v>
      </c>
      <c r="E2209" s="369">
        <v>5</v>
      </c>
      <c r="F2209" s="370"/>
      <c r="G2209" s="368">
        <v>0.58680555555555558</v>
      </c>
      <c r="H2209" s="368">
        <v>0.72916666666666663</v>
      </c>
      <c r="I2209" s="372" t="str">
        <f t="shared" si="54"/>
        <v>205</v>
      </c>
      <c r="J2209" s="371">
        <v>3</v>
      </c>
      <c r="K2209" s="371"/>
      <c r="L2209" s="365">
        <v>0.625</v>
      </c>
      <c r="M2209" s="365">
        <v>0.72916666666666663</v>
      </c>
      <c r="N2209" s="372" t="str">
        <f t="shared" si="55"/>
        <v>150</v>
      </c>
      <c r="O2209" s="371">
        <f t="shared" si="50"/>
        <v>1475</v>
      </c>
      <c r="P2209" s="366">
        <f t="shared" si="51"/>
        <v>0.58680555555555558</v>
      </c>
      <c r="Q2209" s="366">
        <f t="shared" si="52"/>
        <v>0.72916666666666663</v>
      </c>
      <c r="R2209" s="367" t="str">
        <f t="shared" si="53"/>
        <v>205</v>
      </c>
    </row>
    <row r="2210" spans="1:18" x14ac:dyDescent="0.4">
      <c r="A2210" s="402">
        <v>46177</v>
      </c>
      <c r="B2210" s="392" t="s">
        <v>108</v>
      </c>
      <c r="C2210" s="364" t="s">
        <v>231</v>
      </c>
      <c r="D2210" s="404">
        <v>6</v>
      </c>
      <c r="E2210" s="369">
        <v>4</v>
      </c>
      <c r="F2210" s="370"/>
      <c r="G2210" s="368">
        <v>0.54166666666666663</v>
      </c>
      <c r="H2210" s="368">
        <v>0.67361111111111116</v>
      </c>
      <c r="I2210" s="372" t="str">
        <f t="shared" si="54"/>
        <v>190</v>
      </c>
      <c r="J2210" s="371">
        <v>5</v>
      </c>
      <c r="K2210" s="371"/>
      <c r="L2210" s="365">
        <v>0.54166666666666663</v>
      </c>
      <c r="M2210" s="365">
        <v>0.70833333333333337</v>
      </c>
      <c r="N2210" s="372" t="str">
        <f t="shared" si="55"/>
        <v>240</v>
      </c>
      <c r="O2210" s="371">
        <f t="shared" si="50"/>
        <v>1960</v>
      </c>
      <c r="P2210" s="366">
        <f t="shared" si="51"/>
        <v>0.54166666666666663</v>
      </c>
      <c r="Q2210" s="366">
        <f t="shared" si="52"/>
        <v>0.70833333333333337</v>
      </c>
      <c r="R2210" s="367" t="str">
        <f t="shared" si="53"/>
        <v>240</v>
      </c>
    </row>
    <row r="2211" spans="1:18" x14ac:dyDescent="0.4">
      <c r="A2211" s="402">
        <v>46178</v>
      </c>
      <c r="B2211" s="392" t="s">
        <v>71</v>
      </c>
      <c r="C2211" s="364" t="s">
        <v>176</v>
      </c>
      <c r="D2211" s="404">
        <v>68</v>
      </c>
      <c r="E2211" s="369">
        <v>6</v>
      </c>
      <c r="F2211" s="370"/>
      <c r="G2211" s="368">
        <v>0.29166666666666669</v>
      </c>
      <c r="H2211" s="368">
        <v>0.66666666666666663</v>
      </c>
      <c r="I2211" s="372" t="str">
        <f t="shared" si="54"/>
        <v>480</v>
      </c>
      <c r="J2211" s="371">
        <v>5</v>
      </c>
      <c r="K2211" s="371"/>
      <c r="L2211" s="365">
        <v>0.3125</v>
      </c>
      <c r="M2211" s="365">
        <v>0.75</v>
      </c>
      <c r="N2211" s="372" t="str">
        <f t="shared" si="55"/>
        <v>570</v>
      </c>
      <c r="O2211" s="371">
        <f t="shared" si="50"/>
        <v>5730</v>
      </c>
      <c r="P2211" s="366">
        <f t="shared" si="51"/>
        <v>0.29166666666666669</v>
      </c>
      <c r="Q2211" s="366">
        <f t="shared" si="52"/>
        <v>0.75</v>
      </c>
      <c r="R2211" s="367" t="str">
        <f t="shared" si="53"/>
        <v>600</v>
      </c>
    </row>
    <row r="2212" spans="1:18" x14ac:dyDescent="0.4">
      <c r="A2212" s="402">
        <v>46178</v>
      </c>
      <c r="B2212" s="392" t="s">
        <v>63</v>
      </c>
      <c r="C2212" s="364" t="s">
        <v>267</v>
      </c>
      <c r="D2212" s="404">
        <v>20</v>
      </c>
      <c r="E2212" s="369">
        <v>5</v>
      </c>
      <c r="F2212" s="370"/>
      <c r="G2212" s="368">
        <v>0.43402777777777773</v>
      </c>
      <c r="H2212" s="368">
        <v>0.66666666666666663</v>
      </c>
      <c r="I2212" s="372" t="str">
        <f t="shared" si="54"/>
        <v>275</v>
      </c>
      <c r="J2212" s="371">
        <v>3</v>
      </c>
      <c r="K2212" s="371"/>
      <c r="L2212" s="365">
        <v>0.46875</v>
      </c>
      <c r="M2212" s="365">
        <v>0.6875</v>
      </c>
      <c r="N2212" s="372" t="str">
        <f t="shared" si="55"/>
        <v>255</v>
      </c>
      <c r="O2212" s="371">
        <f t="shared" si="50"/>
        <v>2140</v>
      </c>
      <c r="P2212" s="366">
        <f t="shared" si="51"/>
        <v>0.43402777777777773</v>
      </c>
      <c r="Q2212" s="366">
        <f t="shared" si="52"/>
        <v>0.6875</v>
      </c>
      <c r="R2212" s="367" t="str">
        <f t="shared" si="53"/>
        <v>305</v>
      </c>
    </row>
    <row r="2213" spans="1:18" x14ac:dyDescent="0.4">
      <c r="A2213" s="402">
        <v>46178</v>
      </c>
      <c r="B2213" s="392" t="s">
        <v>64</v>
      </c>
      <c r="C2213" s="364" t="s">
        <v>271</v>
      </c>
      <c r="D2213" s="404">
        <v>16</v>
      </c>
      <c r="E2213" s="369">
        <v>5</v>
      </c>
      <c r="F2213" s="370"/>
      <c r="G2213" s="368">
        <v>0.29166666666666669</v>
      </c>
      <c r="H2213" s="368">
        <v>0.43402777777777773</v>
      </c>
      <c r="I2213" s="372" t="str">
        <f t="shared" si="54"/>
        <v>205</v>
      </c>
      <c r="J2213" s="371">
        <v>3</v>
      </c>
      <c r="K2213" s="371"/>
      <c r="L2213" s="365">
        <v>0.3125</v>
      </c>
      <c r="M2213" s="365">
        <v>0.46875</v>
      </c>
      <c r="N2213" s="372" t="str">
        <f t="shared" si="55"/>
        <v>225</v>
      </c>
      <c r="O2213" s="371">
        <f t="shared" si="50"/>
        <v>1700</v>
      </c>
      <c r="P2213" s="366">
        <f t="shared" si="51"/>
        <v>0.29166666666666669</v>
      </c>
      <c r="Q2213" s="366">
        <f t="shared" si="52"/>
        <v>0.46875</v>
      </c>
      <c r="R2213" s="367" t="str">
        <f t="shared" si="53"/>
        <v>255</v>
      </c>
    </row>
    <row r="2214" spans="1:18" x14ac:dyDescent="0.4">
      <c r="A2214" s="402">
        <v>46178</v>
      </c>
      <c r="B2214" s="392" t="s">
        <v>65</v>
      </c>
      <c r="C2214" s="364" t="s">
        <v>189</v>
      </c>
      <c r="D2214" s="404">
        <v>60</v>
      </c>
      <c r="E2214" s="369">
        <v>3</v>
      </c>
      <c r="F2214" s="368">
        <v>2.0833333333333332E-2</v>
      </c>
      <c r="G2214" s="368">
        <v>0.29166666666666669</v>
      </c>
      <c r="H2214" s="368">
        <v>0.60763888888888895</v>
      </c>
      <c r="I2214" s="372" t="str">
        <f t="shared" si="54"/>
        <v>425</v>
      </c>
      <c r="J2214" s="371">
        <v>4</v>
      </c>
      <c r="K2214" s="371"/>
      <c r="L2214" s="365">
        <v>0.29166666666666669</v>
      </c>
      <c r="M2214" s="365">
        <v>0.65972222222222221</v>
      </c>
      <c r="N2214" s="372" t="str">
        <f t="shared" si="55"/>
        <v>470</v>
      </c>
      <c r="O2214" s="371">
        <f t="shared" si="50"/>
        <v>3155</v>
      </c>
      <c r="P2214" s="366">
        <f t="shared" si="51"/>
        <v>0.29166666666666669</v>
      </c>
      <c r="Q2214" s="366">
        <f t="shared" si="52"/>
        <v>0.65972222222222221</v>
      </c>
      <c r="R2214" s="367" t="str">
        <f t="shared" si="53"/>
        <v>470</v>
      </c>
    </row>
    <row r="2215" spans="1:18" x14ac:dyDescent="0.4">
      <c r="A2215" s="402">
        <v>46181</v>
      </c>
      <c r="B2215" s="392" t="s">
        <v>86</v>
      </c>
      <c r="C2215" s="364" t="s">
        <v>201</v>
      </c>
      <c r="D2215" s="404">
        <v>20</v>
      </c>
      <c r="E2215" s="369">
        <v>5</v>
      </c>
      <c r="F2215" s="370"/>
      <c r="G2215" s="368">
        <v>0.54166666666666663</v>
      </c>
      <c r="H2215" s="368">
        <v>0.66666666666666663</v>
      </c>
      <c r="I2215" s="372" t="str">
        <f t="shared" si="54"/>
        <v>180</v>
      </c>
      <c r="J2215" s="371">
        <v>6</v>
      </c>
      <c r="K2215" s="371"/>
      <c r="L2215" s="365">
        <v>0.4861111111111111</v>
      </c>
      <c r="M2215" s="365">
        <v>0.75</v>
      </c>
      <c r="N2215" s="372" t="str">
        <f t="shared" si="55"/>
        <v>320</v>
      </c>
      <c r="O2215" s="371">
        <f t="shared" si="50"/>
        <v>2820</v>
      </c>
      <c r="P2215" s="366">
        <f t="shared" si="51"/>
        <v>0.4861111111111111</v>
      </c>
      <c r="Q2215" s="366">
        <f t="shared" si="52"/>
        <v>0.75</v>
      </c>
      <c r="R2215" s="367" t="str">
        <f t="shared" si="53"/>
        <v>320</v>
      </c>
    </row>
    <row r="2216" spans="1:18" x14ac:dyDescent="0.4">
      <c r="A2216" s="402">
        <v>46181</v>
      </c>
      <c r="B2216" s="392" t="s">
        <v>87</v>
      </c>
      <c r="C2216" s="364" t="s">
        <v>199</v>
      </c>
      <c r="D2216" s="404">
        <v>32</v>
      </c>
      <c r="E2216" s="369">
        <v>6</v>
      </c>
      <c r="F2216" s="370"/>
      <c r="G2216" s="368">
        <v>0.29166666666666669</v>
      </c>
      <c r="H2216" s="368">
        <v>0.5</v>
      </c>
      <c r="I2216" s="372" t="str">
        <f t="shared" si="54"/>
        <v>300</v>
      </c>
      <c r="J2216" s="371">
        <v>6</v>
      </c>
      <c r="K2216" s="371"/>
      <c r="L2216" s="365">
        <v>0.3125</v>
      </c>
      <c r="M2216" s="365">
        <v>0.4861111111111111</v>
      </c>
      <c r="N2216" s="372" t="str">
        <f t="shared" si="55"/>
        <v>250</v>
      </c>
      <c r="O2216" s="371">
        <f t="shared" si="50"/>
        <v>3300</v>
      </c>
      <c r="P2216" s="366">
        <f t="shared" si="51"/>
        <v>0.29166666666666669</v>
      </c>
      <c r="Q2216" s="366">
        <f t="shared" si="52"/>
        <v>0.5</v>
      </c>
      <c r="R2216" s="367" t="str">
        <f t="shared" si="53"/>
        <v>300</v>
      </c>
    </row>
    <row r="2217" spans="1:18" x14ac:dyDescent="0.4">
      <c r="A2217" s="402">
        <v>46181</v>
      </c>
      <c r="B2217" s="392" t="s">
        <v>63</v>
      </c>
      <c r="C2217" s="364" t="s">
        <v>267</v>
      </c>
      <c r="D2217" s="404">
        <v>24</v>
      </c>
      <c r="E2217" s="369">
        <v>5</v>
      </c>
      <c r="F2217" s="370"/>
      <c r="G2217" s="368">
        <v>0.4055555555555555</v>
      </c>
      <c r="H2217" s="368">
        <v>0.66666666666666663</v>
      </c>
      <c r="I2217" s="372" t="str">
        <f t="shared" si="54"/>
        <v>316</v>
      </c>
      <c r="J2217" s="371">
        <v>3</v>
      </c>
      <c r="K2217" s="371"/>
      <c r="L2217" s="365">
        <v>0.43055555555555558</v>
      </c>
      <c r="M2217" s="365">
        <v>0.6875</v>
      </c>
      <c r="N2217" s="372" t="str">
        <f t="shared" si="55"/>
        <v>310</v>
      </c>
      <c r="O2217" s="371">
        <f t="shared" si="50"/>
        <v>2510</v>
      </c>
      <c r="P2217" s="366">
        <f t="shared" si="51"/>
        <v>0.4055555555555555</v>
      </c>
      <c r="Q2217" s="366">
        <f t="shared" si="52"/>
        <v>0.6875</v>
      </c>
      <c r="R2217" s="367" t="str">
        <f t="shared" si="53"/>
        <v>346</v>
      </c>
    </row>
    <row r="2218" spans="1:18" x14ac:dyDescent="0.4">
      <c r="A2218" s="402">
        <v>46181</v>
      </c>
      <c r="B2218" s="392" t="s">
        <v>1046</v>
      </c>
      <c r="C2218" s="364" t="s">
        <v>1057</v>
      </c>
      <c r="D2218" s="404">
        <v>12</v>
      </c>
      <c r="E2218" s="369">
        <v>5</v>
      </c>
      <c r="F2218" s="370"/>
      <c r="G2218" s="368">
        <v>0.29166666666666669</v>
      </c>
      <c r="H2218" s="368">
        <v>0.4055555555555555</v>
      </c>
      <c r="I2218" s="372" t="str">
        <f t="shared" si="54"/>
        <v>164</v>
      </c>
      <c r="J2218" s="371">
        <v>3</v>
      </c>
      <c r="K2218" s="371"/>
      <c r="L2218" s="365">
        <v>0.3125</v>
      </c>
      <c r="M2218" s="365">
        <v>0.43055555555555558</v>
      </c>
      <c r="N2218" s="372" t="str">
        <f t="shared" si="55"/>
        <v>170</v>
      </c>
      <c r="O2218" s="371">
        <f t="shared" si="50"/>
        <v>1330</v>
      </c>
      <c r="P2218" s="366">
        <f t="shared" si="51"/>
        <v>0.29166666666666669</v>
      </c>
      <c r="Q2218" s="366">
        <f t="shared" si="52"/>
        <v>0.43055555555555558</v>
      </c>
      <c r="R2218" s="367" t="str">
        <f t="shared" si="53"/>
        <v>200</v>
      </c>
    </row>
    <row r="2219" spans="1:18" x14ac:dyDescent="0.4">
      <c r="A2219" s="402">
        <v>46181</v>
      </c>
      <c r="B2219" s="392" t="s">
        <v>65</v>
      </c>
      <c r="C2219" s="364" t="s">
        <v>189</v>
      </c>
      <c r="D2219" s="404">
        <v>24</v>
      </c>
      <c r="E2219" s="369">
        <v>3</v>
      </c>
      <c r="F2219" s="368">
        <v>2.0833333333333332E-2</v>
      </c>
      <c r="G2219" s="368">
        <v>0.29166666666666669</v>
      </c>
      <c r="H2219" s="368">
        <v>0.40972222222222227</v>
      </c>
      <c r="I2219" s="372" t="str">
        <f t="shared" si="54"/>
        <v>200</v>
      </c>
      <c r="J2219" s="371">
        <v>4</v>
      </c>
      <c r="K2219" s="371"/>
      <c r="L2219" s="365">
        <v>0.29166666666666669</v>
      </c>
      <c r="M2219" s="365">
        <v>0.44444444444444442</v>
      </c>
      <c r="N2219" s="372" t="str">
        <f t="shared" si="55"/>
        <v>220</v>
      </c>
      <c r="O2219" s="371">
        <f t="shared" si="50"/>
        <v>1480</v>
      </c>
      <c r="P2219" s="366">
        <f t="shared" si="51"/>
        <v>0.29166666666666669</v>
      </c>
      <c r="Q2219" s="366">
        <f t="shared" si="52"/>
        <v>0.44444444444444442</v>
      </c>
      <c r="R2219" s="367" t="str">
        <f t="shared" si="53"/>
        <v>220</v>
      </c>
    </row>
    <row r="2220" spans="1:18" x14ac:dyDescent="0.4">
      <c r="A2220" s="402">
        <v>46181</v>
      </c>
      <c r="B2220" s="392" t="s">
        <v>96</v>
      </c>
      <c r="C2220" s="364" t="s">
        <v>167</v>
      </c>
      <c r="D2220" s="404">
        <v>12</v>
      </c>
      <c r="E2220" s="369">
        <v>3</v>
      </c>
      <c r="F2220" s="370"/>
      <c r="G2220" s="368">
        <v>0.40625</v>
      </c>
      <c r="H2220" s="368">
        <v>0.49305555555555558</v>
      </c>
      <c r="I2220" s="372" t="str">
        <f t="shared" si="54"/>
        <v>125</v>
      </c>
      <c r="J2220" s="371">
        <v>6</v>
      </c>
      <c r="K2220" s="371"/>
      <c r="L2220" s="365">
        <v>0.45833333333333331</v>
      </c>
      <c r="M2220" s="365">
        <v>0.61805555555555558</v>
      </c>
      <c r="N2220" s="372" t="str">
        <f t="shared" si="55"/>
        <v>170</v>
      </c>
      <c r="O2220" s="371">
        <f t="shared" si="50"/>
        <v>1395</v>
      </c>
      <c r="P2220" s="366">
        <f t="shared" si="51"/>
        <v>0.40625</v>
      </c>
      <c r="Q2220" s="366">
        <f t="shared" si="52"/>
        <v>0.61805555555555558</v>
      </c>
      <c r="R2220" s="367" t="str">
        <f t="shared" si="53"/>
        <v>245</v>
      </c>
    </row>
    <row r="2221" spans="1:18" x14ac:dyDescent="0.4">
      <c r="A2221" s="403">
        <v>46181</v>
      </c>
      <c r="B2221" s="383" t="s">
        <v>431</v>
      </c>
      <c r="C2221" s="390" t="s">
        <v>436</v>
      </c>
      <c r="D2221" s="405">
        <v>2</v>
      </c>
      <c r="E2221" s="384"/>
      <c r="F2221" s="385"/>
      <c r="G2221" s="396"/>
      <c r="H2221" s="396"/>
      <c r="I2221" s="386" t="str">
        <f t="shared" si="54"/>
        <v>0</v>
      </c>
      <c r="J2221" s="387"/>
      <c r="K2221" s="387"/>
      <c r="L2221" s="388"/>
      <c r="M2221" s="388"/>
      <c r="N2221" s="386" t="str">
        <f t="shared" si="55"/>
        <v>0</v>
      </c>
      <c r="O2221" s="387">
        <f t="shared" si="50"/>
        <v>0</v>
      </c>
      <c r="P2221" s="391">
        <f t="shared" si="51"/>
        <v>0</v>
      </c>
      <c r="Q2221" s="391">
        <f t="shared" si="52"/>
        <v>0</v>
      </c>
      <c r="R2221" s="389" t="str">
        <f t="shared" si="53"/>
        <v>0</v>
      </c>
    </row>
    <row r="2222" spans="1:18" x14ac:dyDescent="0.4">
      <c r="A2222" s="402">
        <v>46182</v>
      </c>
      <c r="B2222" s="392" t="s">
        <v>54</v>
      </c>
      <c r="C2222" s="364" t="s">
        <v>251</v>
      </c>
      <c r="D2222" s="404">
        <v>28</v>
      </c>
      <c r="E2222" s="369">
        <v>5</v>
      </c>
      <c r="F2222" s="370"/>
      <c r="G2222" s="368">
        <v>0.29166666666666669</v>
      </c>
      <c r="H2222" s="368">
        <v>0.57500000000000007</v>
      </c>
      <c r="I2222" s="372" t="str">
        <f t="shared" si="54"/>
        <v>348</v>
      </c>
      <c r="J2222" s="371">
        <v>3</v>
      </c>
      <c r="K2222" s="371"/>
      <c r="L2222" s="365">
        <v>0.3125</v>
      </c>
      <c r="M2222" s="365">
        <v>0.60416666666666663</v>
      </c>
      <c r="N2222" s="372" t="str">
        <f t="shared" si="55"/>
        <v>360</v>
      </c>
      <c r="O2222" s="371">
        <f t="shared" si="50"/>
        <v>2820</v>
      </c>
      <c r="P2222" s="366">
        <f t="shared" si="51"/>
        <v>0.29166666666666669</v>
      </c>
      <c r="Q2222" s="366">
        <f t="shared" si="52"/>
        <v>0.60416666666666663</v>
      </c>
      <c r="R2222" s="367" t="str">
        <f t="shared" si="53"/>
        <v>390</v>
      </c>
    </row>
    <row r="2223" spans="1:18" x14ac:dyDescent="0.4">
      <c r="A2223" s="402">
        <v>46182</v>
      </c>
      <c r="B2223" s="392" t="s">
        <v>64</v>
      </c>
      <c r="C2223" s="364" t="s">
        <v>271</v>
      </c>
      <c r="D2223" s="404">
        <v>8</v>
      </c>
      <c r="E2223" s="369">
        <v>5</v>
      </c>
      <c r="F2223" s="370"/>
      <c r="G2223" s="368">
        <v>0.57500000000000007</v>
      </c>
      <c r="H2223" s="368">
        <v>0.66666666666666663</v>
      </c>
      <c r="I2223" s="372" t="str">
        <f t="shared" si="54"/>
        <v>132</v>
      </c>
      <c r="J2223" s="371">
        <v>3</v>
      </c>
      <c r="K2223" s="371"/>
      <c r="L2223" s="365">
        <v>0.60416666666666663</v>
      </c>
      <c r="M2223" s="365">
        <v>0.6875</v>
      </c>
      <c r="N2223" s="372" t="str">
        <f t="shared" si="55"/>
        <v>120</v>
      </c>
      <c r="O2223" s="371">
        <f t="shared" si="50"/>
        <v>1020</v>
      </c>
      <c r="P2223" s="366">
        <f t="shared" si="51"/>
        <v>0.57500000000000007</v>
      </c>
      <c r="Q2223" s="366">
        <f t="shared" si="52"/>
        <v>0.6875</v>
      </c>
      <c r="R2223" s="367" t="str">
        <f t="shared" si="53"/>
        <v>162</v>
      </c>
    </row>
    <row r="2224" spans="1:18" x14ac:dyDescent="0.4">
      <c r="A2224" s="402">
        <v>46182</v>
      </c>
      <c r="B2224" s="392" t="s">
        <v>73</v>
      </c>
      <c r="C2224" s="364" t="s">
        <v>231</v>
      </c>
      <c r="D2224" s="404">
        <v>21</v>
      </c>
      <c r="E2224" s="369">
        <v>3</v>
      </c>
      <c r="F2224" s="368">
        <v>2.0833333333333332E-2</v>
      </c>
      <c r="G2224" s="368">
        <v>0.29166666666666669</v>
      </c>
      <c r="H2224" s="368">
        <v>0.64583333333333337</v>
      </c>
      <c r="I2224" s="372" t="str">
        <f t="shared" si="54"/>
        <v>480</v>
      </c>
      <c r="J2224" s="371">
        <v>5</v>
      </c>
      <c r="K2224" s="371"/>
      <c r="L2224" s="365">
        <v>0.3125</v>
      </c>
      <c r="M2224" s="365">
        <v>0.6875</v>
      </c>
      <c r="N2224" s="372" t="str">
        <f t="shared" si="55"/>
        <v>480</v>
      </c>
      <c r="O2224" s="371">
        <f t="shared" si="50"/>
        <v>3840</v>
      </c>
      <c r="P2224" s="366">
        <f t="shared" si="51"/>
        <v>0.29166666666666669</v>
      </c>
      <c r="Q2224" s="366">
        <f t="shared" si="52"/>
        <v>0.6875</v>
      </c>
      <c r="R2224" s="367" t="str">
        <f t="shared" si="53"/>
        <v>510</v>
      </c>
    </row>
    <row r="2225" spans="1:18" x14ac:dyDescent="0.4">
      <c r="A2225" s="403">
        <v>46182</v>
      </c>
      <c r="B2225" s="383" t="s">
        <v>1697</v>
      </c>
      <c r="C2225" s="390" t="s">
        <v>1717</v>
      </c>
      <c r="D2225" s="405">
        <v>300</v>
      </c>
      <c r="E2225" s="384"/>
      <c r="F2225" s="385"/>
      <c r="G2225" s="396"/>
      <c r="H2225" s="396"/>
      <c r="I2225" s="386" t="str">
        <f t="shared" si="54"/>
        <v>0</v>
      </c>
      <c r="J2225" s="387"/>
      <c r="K2225" s="387"/>
      <c r="L2225" s="388"/>
      <c r="M2225" s="388"/>
      <c r="N2225" s="386" t="str">
        <f t="shared" si="55"/>
        <v>0</v>
      </c>
      <c r="O2225" s="387">
        <f t="shared" si="50"/>
        <v>0</v>
      </c>
      <c r="P2225" s="391">
        <f t="shared" si="51"/>
        <v>0</v>
      </c>
      <c r="Q2225" s="391">
        <f t="shared" si="52"/>
        <v>0</v>
      </c>
      <c r="R2225" s="389" t="str">
        <f t="shared" si="53"/>
        <v>0</v>
      </c>
    </row>
    <row r="2226" spans="1:18" x14ac:dyDescent="0.4">
      <c r="A2226" s="403">
        <v>46182</v>
      </c>
      <c r="B2226" s="383" t="s">
        <v>500</v>
      </c>
      <c r="C2226" s="390" t="s">
        <v>506</v>
      </c>
      <c r="D2226" s="405">
        <v>30</v>
      </c>
      <c r="E2226" s="384"/>
      <c r="F2226" s="385"/>
      <c r="G2226" s="396"/>
      <c r="H2226" s="396"/>
      <c r="I2226" s="386" t="str">
        <f t="shared" ref="I2226:I2260" si="56">TEXT(IF(AND(G2226&lt;=$S$2,H2226&gt;=$T$2),(H2226-G2226+F2226)-($T$2-$S$2),(H2226-G2226+F2226)),"[m]")</f>
        <v>0</v>
      </c>
      <c r="J2226" s="387"/>
      <c r="K2226" s="387"/>
      <c r="L2226" s="388"/>
      <c r="M2226" s="388"/>
      <c r="N2226" s="386" t="str">
        <f t="shared" ref="N2226:N2261" si="57">TEXT(IF(AND(L2226&lt;=$S$2,M2226&gt;=$T$2),(M2226-L2226+K2226)-($T$2-$S$2),(M2226-L2226+K2226)),"[m]")</f>
        <v>0</v>
      </c>
      <c r="O2226" s="387">
        <f t="shared" ref="O2226:O2261" si="58">E2226*I2226+J2226*N2226</f>
        <v>0</v>
      </c>
      <c r="P2226" s="391">
        <f t="shared" ref="P2226:P2261" si="59">MIN(G2226:H2226,L2226:M2226)</f>
        <v>0</v>
      </c>
      <c r="Q2226" s="391">
        <f t="shared" ref="Q2226:Q2261" si="60">MAX(G2226:H2226,L2226:M2226)</f>
        <v>0</v>
      </c>
      <c r="R2226" s="389" t="str">
        <f t="shared" ref="R2226:R2261" si="61">TEXT(IF(AND(P2226&lt;=$S$2,Q2226&gt;=$T$2),(Q2226-P2226)-($T$2-$S$2),(Q2226-P2226)),"[m]")</f>
        <v>0</v>
      </c>
    </row>
    <row r="2227" spans="1:18" x14ac:dyDescent="0.4">
      <c r="A2227" s="403">
        <v>46182</v>
      </c>
      <c r="B2227" s="383" t="s">
        <v>434</v>
      </c>
      <c r="C2227" s="390" t="s">
        <v>545</v>
      </c>
      <c r="D2227" s="405">
        <v>20</v>
      </c>
      <c r="E2227" s="384"/>
      <c r="F2227" s="385"/>
      <c r="G2227" s="396"/>
      <c r="H2227" s="396"/>
      <c r="I2227" s="386" t="str">
        <f t="shared" si="56"/>
        <v>0</v>
      </c>
      <c r="J2227" s="387"/>
      <c r="K2227" s="387"/>
      <c r="L2227" s="388"/>
      <c r="M2227" s="388"/>
      <c r="N2227" s="386" t="str">
        <f t="shared" si="57"/>
        <v>0</v>
      </c>
      <c r="O2227" s="387">
        <f t="shared" si="58"/>
        <v>0</v>
      </c>
      <c r="P2227" s="391">
        <f t="shared" si="59"/>
        <v>0</v>
      </c>
      <c r="Q2227" s="391">
        <f t="shared" si="60"/>
        <v>0</v>
      </c>
      <c r="R2227" s="389" t="str">
        <f t="shared" si="61"/>
        <v>0</v>
      </c>
    </row>
    <row r="2228" spans="1:18" x14ac:dyDescent="0.4">
      <c r="A2228" s="402">
        <v>46183</v>
      </c>
      <c r="B2228" s="392" t="s">
        <v>81</v>
      </c>
      <c r="C2228" s="364" t="s">
        <v>235</v>
      </c>
      <c r="D2228" s="404">
        <v>12</v>
      </c>
      <c r="E2228" s="369">
        <v>5</v>
      </c>
      <c r="F2228" s="370"/>
      <c r="G2228" s="368">
        <v>0.60069444444444442</v>
      </c>
      <c r="H2228" s="368">
        <v>0.72916666666666663</v>
      </c>
      <c r="I2228" s="372" t="str">
        <f t="shared" si="56"/>
        <v>185</v>
      </c>
      <c r="J2228" s="371">
        <v>4</v>
      </c>
      <c r="K2228" s="371"/>
      <c r="L2228" s="365">
        <v>0.65972222222222221</v>
      </c>
      <c r="M2228" s="365">
        <v>0.66666666666666663</v>
      </c>
      <c r="N2228" s="372" t="str">
        <f t="shared" si="57"/>
        <v>10</v>
      </c>
      <c r="O2228" s="371">
        <f t="shared" si="58"/>
        <v>965</v>
      </c>
      <c r="P2228" s="366">
        <f t="shared" si="59"/>
        <v>0.60069444444444442</v>
      </c>
      <c r="Q2228" s="366">
        <f t="shared" si="60"/>
        <v>0.72916666666666663</v>
      </c>
      <c r="R2228" s="367" t="str">
        <f t="shared" si="61"/>
        <v>185</v>
      </c>
    </row>
    <row r="2229" spans="1:18" x14ac:dyDescent="0.4">
      <c r="A2229" s="402">
        <v>46183</v>
      </c>
      <c r="B2229" s="392" t="s">
        <v>1698</v>
      </c>
      <c r="C2229" s="364" t="s">
        <v>1734</v>
      </c>
      <c r="D2229" s="404">
        <v>20</v>
      </c>
      <c r="E2229" s="369">
        <v>5</v>
      </c>
      <c r="F2229" s="370"/>
      <c r="G2229" s="368">
        <v>0.29166666666666669</v>
      </c>
      <c r="H2229" s="368">
        <v>0.5</v>
      </c>
      <c r="I2229" s="372" t="str">
        <f t="shared" si="56"/>
        <v>300</v>
      </c>
      <c r="J2229" s="371">
        <v>4</v>
      </c>
      <c r="K2229" s="365">
        <v>2.0833333333333332E-2</v>
      </c>
      <c r="L2229" s="365">
        <v>0.3125</v>
      </c>
      <c r="M2229" s="365">
        <v>0.5</v>
      </c>
      <c r="N2229" s="372" t="str">
        <f t="shared" si="57"/>
        <v>300</v>
      </c>
      <c r="O2229" s="371">
        <f t="shared" si="58"/>
        <v>2700</v>
      </c>
      <c r="P2229" s="366">
        <f t="shared" si="59"/>
        <v>0.29166666666666669</v>
      </c>
      <c r="Q2229" s="366">
        <f t="shared" si="60"/>
        <v>0.5</v>
      </c>
      <c r="R2229" s="367" t="str">
        <f t="shared" si="61"/>
        <v>300</v>
      </c>
    </row>
    <row r="2230" spans="1:18" x14ac:dyDescent="0.4">
      <c r="A2230" s="402">
        <v>46183</v>
      </c>
      <c r="B2230" s="392" t="s">
        <v>1699</v>
      </c>
      <c r="C2230" s="364" t="s">
        <v>1064</v>
      </c>
      <c r="D2230" s="404">
        <v>8</v>
      </c>
      <c r="E2230" s="369">
        <v>5</v>
      </c>
      <c r="F2230" s="370"/>
      <c r="G2230" s="368">
        <v>0.52083333333333337</v>
      </c>
      <c r="H2230" s="368">
        <v>0.60069444444444442</v>
      </c>
      <c r="I2230" s="372" t="str">
        <f t="shared" si="56"/>
        <v>115</v>
      </c>
      <c r="J2230" s="371">
        <v>4</v>
      </c>
      <c r="K2230" s="371"/>
      <c r="L2230" s="365">
        <v>0.54166666666666663</v>
      </c>
      <c r="M2230" s="365">
        <v>0.57638888888888895</v>
      </c>
      <c r="N2230" s="372" t="str">
        <f t="shared" si="57"/>
        <v>50</v>
      </c>
      <c r="O2230" s="371">
        <f t="shared" si="58"/>
        <v>775</v>
      </c>
      <c r="P2230" s="366">
        <f t="shared" si="59"/>
        <v>0.52083333333333337</v>
      </c>
      <c r="Q2230" s="366">
        <f t="shared" si="60"/>
        <v>0.60069444444444442</v>
      </c>
      <c r="R2230" s="367" t="str">
        <f t="shared" si="61"/>
        <v>115</v>
      </c>
    </row>
    <row r="2231" spans="1:18" x14ac:dyDescent="0.4">
      <c r="A2231" s="402">
        <v>46183</v>
      </c>
      <c r="B2231" s="392" t="s">
        <v>65</v>
      </c>
      <c r="C2231" s="364" t="s">
        <v>189</v>
      </c>
      <c r="D2231" s="404">
        <v>56</v>
      </c>
      <c r="E2231" s="369">
        <v>3</v>
      </c>
      <c r="F2231" s="368">
        <v>2.0833333333333332E-2</v>
      </c>
      <c r="G2231" s="368">
        <v>0.29166666666666669</v>
      </c>
      <c r="H2231" s="368">
        <v>0.60069444444444442</v>
      </c>
      <c r="I2231" s="372" t="str">
        <f t="shared" si="56"/>
        <v>415</v>
      </c>
      <c r="J2231" s="371">
        <v>4</v>
      </c>
      <c r="K2231" s="371"/>
      <c r="L2231" s="365">
        <v>0.29166666666666669</v>
      </c>
      <c r="M2231" s="365">
        <v>0.65277777777777779</v>
      </c>
      <c r="N2231" s="372" t="str">
        <f>TEXT(IF(AND(L2231&lt;=$S$2,M2231&gt;=$T$2),(M2231-L2231+K2231)-($T$2-$S$2),(M2231-L2231+K2231)),"[m]")</f>
        <v>460</v>
      </c>
      <c r="O2231" s="371">
        <f>E2231*I2231+J2231*N2231</f>
        <v>3085</v>
      </c>
      <c r="P2231" s="366">
        <f t="shared" si="59"/>
        <v>0.29166666666666669</v>
      </c>
      <c r="Q2231" s="366">
        <f t="shared" si="60"/>
        <v>0.65277777777777779</v>
      </c>
      <c r="R2231" s="367" t="str">
        <f t="shared" si="61"/>
        <v>460</v>
      </c>
    </row>
    <row r="2232" spans="1:18" x14ac:dyDescent="0.4">
      <c r="A2232" s="402">
        <v>46184</v>
      </c>
      <c r="B2232" s="392" t="s">
        <v>106</v>
      </c>
      <c r="C2232" s="364" t="s">
        <v>173</v>
      </c>
      <c r="D2232" s="404">
        <v>16</v>
      </c>
      <c r="E2232" s="369">
        <v>6</v>
      </c>
      <c r="F2232" s="370"/>
      <c r="G2232" s="368">
        <v>0.54166666666666663</v>
      </c>
      <c r="H2232" s="368">
        <v>0.72916666666666663</v>
      </c>
      <c r="I2232" s="372" t="str">
        <f>TEXT(IF(AND(G2232&lt;=$S$2,H2232&gt;=$T$2),(H2232-G2232+F2232)-($T$2-$S$2),(H2232-G2232+F2232)),"[m]")</f>
        <v>270</v>
      </c>
      <c r="J2232" s="371">
        <v>9</v>
      </c>
      <c r="K2232" s="371"/>
      <c r="L2232" s="365">
        <v>0.54166666666666663</v>
      </c>
      <c r="M2232" s="365">
        <v>0.79166666666666663</v>
      </c>
      <c r="N2232" s="372" t="str">
        <f>TEXT(IF(AND(L2232&lt;=$S$2,M2232&gt;=$T$2),(M2232-L2232+K2232)-($T$2-$S$2),(M2232-L2232+K2232)),"[m]")</f>
        <v>360</v>
      </c>
      <c r="O2232" s="371">
        <f>E2232*I2232+J2232*N2232</f>
        <v>4860</v>
      </c>
      <c r="P2232" s="366">
        <f>MIN(G2232:H2232,L2232:M2232)</f>
        <v>0.54166666666666663</v>
      </c>
      <c r="Q2232" s="366">
        <f>MAX(G2232:H2232,L2232:M2232)</f>
        <v>0.79166666666666663</v>
      </c>
      <c r="R2232" s="367" t="str">
        <f>TEXT(IF(AND(P2232&lt;=$S$2,Q2232&gt;=$T$2),(Q2232-P2232)-($T$2-$S$2),(Q2232-P2232)),"[m]")</f>
        <v>360</v>
      </c>
    </row>
    <row r="2233" spans="1:18" x14ac:dyDescent="0.4">
      <c r="A2233" s="402">
        <v>46184</v>
      </c>
      <c r="B2233" s="392" t="s">
        <v>80</v>
      </c>
      <c r="C2233" s="364" t="s">
        <v>203</v>
      </c>
      <c r="D2233" s="404">
        <v>28</v>
      </c>
      <c r="E2233" s="369">
        <v>6</v>
      </c>
      <c r="F2233" s="370"/>
      <c r="G2233" s="368">
        <v>0.29166666666666669</v>
      </c>
      <c r="H2233" s="368">
        <v>0.5</v>
      </c>
      <c r="I2233" s="372" t="str">
        <f t="shared" si="56"/>
        <v>300</v>
      </c>
      <c r="J2233" s="371">
        <v>5</v>
      </c>
      <c r="K2233" s="371"/>
      <c r="L2233" s="365">
        <v>0.3125</v>
      </c>
      <c r="M2233" s="365">
        <v>0.5</v>
      </c>
      <c r="N2233" s="372" t="str">
        <f t="shared" si="57"/>
        <v>270</v>
      </c>
      <c r="O2233" s="371">
        <f t="shared" si="58"/>
        <v>3150</v>
      </c>
      <c r="P2233" s="366">
        <f t="shared" si="59"/>
        <v>0.29166666666666669</v>
      </c>
      <c r="Q2233" s="366">
        <f t="shared" si="60"/>
        <v>0.5</v>
      </c>
      <c r="R2233" s="367" t="str">
        <f t="shared" si="61"/>
        <v>300</v>
      </c>
    </row>
    <row r="2234" spans="1:18" x14ac:dyDescent="0.4">
      <c r="A2234" s="402">
        <v>46184</v>
      </c>
      <c r="B2234" s="392" t="s">
        <v>63</v>
      </c>
      <c r="C2234" s="364" t="s">
        <v>267</v>
      </c>
      <c r="D2234" s="404">
        <v>16</v>
      </c>
      <c r="E2234" s="369">
        <v>5</v>
      </c>
      <c r="F2234" s="370"/>
      <c r="G2234" s="368">
        <v>0.52083333333333337</v>
      </c>
      <c r="H2234" s="368">
        <v>0.66666666666666663</v>
      </c>
      <c r="I2234" s="372" t="str">
        <f t="shared" si="56"/>
        <v>210</v>
      </c>
      <c r="J2234" s="371">
        <v>3</v>
      </c>
      <c r="K2234" s="371"/>
      <c r="L2234" s="365">
        <v>0.55902777777777779</v>
      </c>
      <c r="M2234" s="365">
        <v>0.6875</v>
      </c>
      <c r="N2234" s="372" t="str">
        <f t="shared" si="57"/>
        <v>185</v>
      </c>
      <c r="O2234" s="371">
        <f t="shared" si="58"/>
        <v>1605</v>
      </c>
      <c r="P2234" s="366">
        <f t="shared" si="59"/>
        <v>0.52083333333333337</v>
      </c>
      <c r="Q2234" s="366">
        <f t="shared" si="60"/>
        <v>0.6875</v>
      </c>
      <c r="R2234" s="367" t="str">
        <f t="shared" si="61"/>
        <v>240</v>
      </c>
    </row>
    <row r="2235" spans="1:18" x14ac:dyDescent="0.4">
      <c r="A2235" s="402">
        <v>46184</v>
      </c>
      <c r="B2235" s="392" t="s">
        <v>1162</v>
      </c>
      <c r="C2235" s="364" t="s">
        <v>271</v>
      </c>
      <c r="D2235" s="404">
        <v>20</v>
      </c>
      <c r="E2235" s="369">
        <v>5</v>
      </c>
      <c r="F2235" s="370"/>
      <c r="G2235" s="368">
        <v>0.29166666666666669</v>
      </c>
      <c r="H2235" s="368">
        <v>0.5</v>
      </c>
      <c r="I2235" s="372" t="str">
        <f t="shared" si="56"/>
        <v>300</v>
      </c>
      <c r="J2235" s="371">
        <v>3</v>
      </c>
      <c r="K2235" s="371"/>
      <c r="L2235" s="365">
        <v>0.3125</v>
      </c>
      <c r="M2235" s="365">
        <v>0.55902777777777779</v>
      </c>
      <c r="N2235" s="372" t="str">
        <f t="shared" si="57"/>
        <v>295</v>
      </c>
      <c r="O2235" s="371">
        <f t="shared" si="58"/>
        <v>2385</v>
      </c>
      <c r="P2235" s="366">
        <f t="shared" si="59"/>
        <v>0.29166666666666669</v>
      </c>
      <c r="Q2235" s="366">
        <f t="shared" si="60"/>
        <v>0.55902777777777779</v>
      </c>
      <c r="R2235" s="367" t="str">
        <f t="shared" si="61"/>
        <v>325</v>
      </c>
    </row>
    <row r="2236" spans="1:18" x14ac:dyDescent="0.4">
      <c r="A2236" s="402">
        <v>46185</v>
      </c>
      <c r="B2236" s="392" t="s">
        <v>71</v>
      </c>
      <c r="C2236" s="364" t="s">
        <v>176</v>
      </c>
      <c r="D2236" s="404">
        <v>68</v>
      </c>
      <c r="E2236" s="369">
        <v>6</v>
      </c>
      <c r="F2236" s="370"/>
      <c r="G2236" s="368">
        <v>0.29166666666666669</v>
      </c>
      <c r="H2236" s="368">
        <v>0.70833333333333337</v>
      </c>
      <c r="I2236" s="372" t="str">
        <f t="shared" si="56"/>
        <v>540</v>
      </c>
      <c r="J2236" s="371">
        <v>5</v>
      </c>
      <c r="K2236" s="371"/>
      <c r="L2236" s="365">
        <v>0.3125</v>
      </c>
      <c r="M2236" s="365">
        <v>0.70833333333333337</v>
      </c>
      <c r="N2236" s="372" t="str">
        <f t="shared" si="57"/>
        <v>510</v>
      </c>
      <c r="O2236" s="371">
        <f t="shared" si="58"/>
        <v>5790</v>
      </c>
      <c r="P2236" s="366">
        <f t="shared" si="59"/>
        <v>0.29166666666666669</v>
      </c>
      <c r="Q2236" s="366">
        <f t="shared" si="60"/>
        <v>0.70833333333333337</v>
      </c>
      <c r="R2236" s="367" t="str">
        <f t="shared" si="61"/>
        <v>540</v>
      </c>
    </row>
    <row r="2237" spans="1:18" x14ac:dyDescent="0.4">
      <c r="A2237" s="402">
        <v>46185</v>
      </c>
      <c r="B2237" s="392" t="s">
        <v>63</v>
      </c>
      <c r="C2237" s="364" t="s">
        <v>267</v>
      </c>
      <c r="D2237" s="404">
        <v>20</v>
      </c>
      <c r="E2237" s="369">
        <v>5</v>
      </c>
      <c r="F2237" s="370"/>
      <c r="G2237" s="368">
        <v>0.40972222222222227</v>
      </c>
      <c r="H2237" s="368">
        <v>0.66666666666666663</v>
      </c>
      <c r="I2237" s="372" t="str">
        <f t="shared" si="56"/>
        <v>310</v>
      </c>
      <c r="J2237" s="371">
        <v>3</v>
      </c>
      <c r="K2237" s="371"/>
      <c r="L2237" s="365">
        <v>0.44444444444444442</v>
      </c>
      <c r="M2237" s="365">
        <v>0.6875</v>
      </c>
      <c r="N2237" s="372" t="str">
        <f t="shared" si="57"/>
        <v>290</v>
      </c>
      <c r="O2237" s="371">
        <f t="shared" si="58"/>
        <v>2420</v>
      </c>
      <c r="P2237" s="366">
        <f t="shared" si="59"/>
        <v>0.40972222222222227</v>
      </c>
      <c r="Q2237" s="366">
        <f t="shared" si="60"/>
        <v>0.6875</v>
      </c>
      <c r="R2237" s="367" t="str">
        <f t="shared" si="61"/>
        <v>340</v>
      </c>
    </row>
    <row r="2238" spans="1:18" x14ac:dyDescent="0.4">
      <c r="A2238" s="402">
        <v>46185</v>
      </c>
      <c r="B2238" s="392" t="s">
        <v>109</v>
      </c>
      <c r="C2238" s="364" t="s">
        <v>263</v>
      </c>
      <c r="D2238" s="404">
        <v>16</v>
      </c>
      <c r="E2238" s="369">
        <v>5</v>
      </c>
      <c r="F2238" s="370"/>
      <c r="G2238" s="368">
        <v>0.29166666666666669</v>
      </c>
      <c r="H2238" s="368">
        <v>0.40972222222222227</v>
      </c>
      <c r="I2238" s="372" t="str">
        <f t="shared" si="56"/>
        <v>170</v>
      </c>
      <c r="J2238" s="371">
        <v>3</v>
      </c>
      <c r="K2238" s="371"/>
      <c r="L2238" s="365">
        <v>0.3125</v>
      </c>
      <c r="M2238" s="365">
        <v>0.44444444444444442</v>
      </c>
      <c r="N2238" s="372" t="str">
        <f t="shared" si="57"/>
        <v>190</v>
      </c>
      <c r="O2238" s="371">
        <f t="shared" si="58"/>
        <v>1420</v>
      </c>
      <c r="P2238" s="366">
        <f t="shared" si="59"/>
        <v>0.29166666666666669</v>
      </c>
      <c r="Q2238" s="366">
        <f t="shared" si="60"/>
        <v>0.44444444444444442</v>
      </c>
      <c r="R2238" s="367" t="str">
        <f t="shared" si="61"/>
        <v>220</v>
      </c>
    </row>
    <row r="2239" spans="1:18" x14ac:dyDescent="0.4">
      <c r="A2239" s="402">
        <v>46185</v>
      </c>
      <c r="B2239" s="392" t="s">
        <v>65</v>
      </c>
      <c r="C2239" s="364" t="s">
        <v>189</v>
      </c>
      <c r="D2239" s="404">
        <v>56</v>
      </c>
      <c r="E2239" s="369">
        <v>3</v>
      </c>
      <c r="F2239" s="368">
        <v>2.0833333333333332E-2</v>
      </c>
      <c r="G2239" s="368">
        <v>0.29166666666666669</v>
      </c>
      <c r="H2239" s="368">
        <v>0.60069444444444442</v>
      </c>
      <c r="I2239" s="372" t="str">
        <f t="shared" si="56"/>
        <v>415</v>
      </c>
      <c r="J2239" s="371">
        <v>4</v>
      </c>
      <c r="K2239" s="371"/>
      <c r="L2239" s="365">
        <v>0.29166666666666669</v>
      </c>
      <c r="M2239" s="365">
        <v>0.63888888888888895</v>
      </c>
      <c r="N2239" s="372" t="str">
        <f t="shared" si="57"/>
        <v>440</v>
      </c>
      <c r="O2239" s="371">
        <f t="shared" si="58"/>
        <v>3005</v>
      </c>
      <c r="P2239" s="366">
        <f t="shared" si="59"/>
        <v>0.29166666666666669</v>
      </c>
      <c r="Q2239" s="366">
        <f t="shared" si="60"/>
        <v>0.63888888888888895</v>
      </c>
      <c r="R2239" s="367" t="str">
        <f t="shared" si="61"/>
        <v>440</v>
      </c>
    </row>
    <row r="2240" spans="1:18" x14ac:dyDescent="0.4">
      <c r="A2240" s="402">
        <v>46188</v>
      </c>
      <c r="B2240" s="392" t="s">
        <v>61</v>
      </c>
      <c r="C2240" s="364" t="s">
        <v>156</v>
      </c>
      <c r="D2240" s="404">
        <v>36</v>
      </c>
      <c r="E2240" s="369">
        <v>4</v>
      </c>
      <c r="F2240" s="370"/>
      <c r="G2240" s="368">
        <v>0.29166666666666669</v>
      </c>
      <c r="H2240" s="368">
        <v>0.70833333333333337</v>
      </c>
      <c r="I2240" s="372" t="str">
        <f t="shared" si="56"/>
        <v>540</v>
      </c>
      <c r="J2240" s="371">
        <v>9</v>
      </c>
      <c r="K2240" s="371"/>
      <c r="L2240" s="365">
        <v>0.3125</v>
      </c>
      <c r="M2240" s="365">
        <v>0.75</v>
      </c>
      <c r="N2240" s="372" t="str">
        <f t="shared" si="57"/>
        <v>570</v>
      </c>
      <c r="O2240" s="371">
        <f t="shared" si="58"/>
        <v>7290</v>
      </c>
      <c r="P2240" s="366">
        <f t="shared" si="59"/>
        <v>0.29166666666666669</v>
      </c>
      <c r="Q2240" s="366">
        <f t="shared" si="60"/>
        <v>0.75</v>
      </c>
      <c r="R2240" s="367" t="str">
        <f t="shared" si="61"/>
        <v>600</v>
      </c>
    </row>
    <row r="2241" spans="1:18" x14ac:dyDescent="0.4">
      <c r="A2241" s="402">
        <v>46188</v>
      </c>
      <c r="B2241" s="392" t="s">
        <v>63</v>
      </c>
      <c r="C2241" s="364" t="s">
        <v>267</v>
      </c>
      <c r="D2241" s="404">
        <v>20</v>
      </c>
      <c r="E2241" s="369">
        <v>5</v>
      </c>
      <c r="F2241" s="370"/>
      <c r="G2241" s="368">
        <v>0.41805555555555557</v>
      </c>
      <c r="H2241" s="368">
        <v>0.66666666666666663</v>
      </c>
      <c r="I2241" s="372" t="str">
        <f t="shared" si="56"/>
        <v>298</v>
      </c>
      <c r="J2241" s="371">
        <v>3</v>
      </c>
      <c r="K2241" s="371"/>
      <c r="L2241" s="365">
        <v>0.44791666666666669</v>
      </c>
      <c r="M2241" s="365">
        <v>0.6875</v>
      </c>
      <c r="N2241" s="372" t="str">
        <f t="shared" si="57"/>
        <v>285</v>
      </c>
      <c r="O2241" s="371">
        <f t="shared" si="58"/>
        <v>2345</v>
      </c>
      <c r="P2241" s="366">
        <f t="shared" si="59"/>
        <v>0.41805555555555557</v>
      </c>
      <c r="Q2241" s="366">
        <f t="shared" si="60"/>
        <v>0.6875</v>
      </c>
      <c r="R2241" s="367" t="str">
        <f t="shared" si="61"/>
        <v>328</v>
      </c>
    </row>
    <row r="2242" spans="1:18" x14ac:dyDescent="0.4">
      <c r="A2242" s="402">
        <v>46188</v>
      </c>
      <c r="B2242" s="392" t="s">
        <v>72</v>
      </c>
      <c r="C2242" s="364" t="s">
        <v>227</v>
      </c>
      <c r="D2242" s="404">
        <v>16</v>
      </c>
      <c r="E2242" s="369">
        <v>5</v>
      </c>
      <c r="F2242" s="370"/>
      <c r="G2242" s="368">
        <v>0.29166666666666669</v>
      </c>
      <c r="H2242" s="368">
        <v>0.41805555555555557</v>
      </c>
      <c r="I2242" s="372" t="str">
        <f t="shared" si="56"/>
        <v>182</v>
      </c>
      <c r="J2242" s="371">
        <v>3</v>
      </c>
      <c r="K2242" s="371"/>
      <c r="L2242" s="365">
        <v>0.3125</v>
      </c>
      <c r="M2242" s="365">
        <v>0.44791666666666669</v>
      </c>
      <c r="N2242" s="372" t="str">
        <f t="shared" si="57"/>
        <v>195</v>
      </c>
      <c r="O2242" s="371">
        <f t="shared" si="58"/>
        <v>1495</v>
      </c>
      <c r="P2242" s="366">
        <f t="shared" si="59"/>
        <v>0.29166666666666669</v>
      </c>
      <c r="Q2242" s="366">
        <f t="shared" si="60"/>
        <v>0.44791666666666669</v>
      </c>
      <c r="R2242" s="367" t="str">
        <f t="shared" si="61"/>
        <v>225</v>
      </c>
    </row>
    <row r="2243" spans="1:18" x14ac:dyDescent="0.4">
      <c r="A2243" s="402">
        <v>46188</v>
      </c>
      <c r="B2243" s="392" t="s">
        <v>110</v>
      </c>
      <c r="C2243" s="364" t="s">
        <v>231</v>
      </c>
      <c r="D2243" s="404">
        <v>21</v>
      </c>
      <c r="E2243" s="369">
        <v>4</v>
      </c>
      <c r="F2243" s="368">
        <v>2.0833333333333332E-2</v>
      </c>
      <c r="G2243" s="368">
        <v>0.29166666666666669</v>
      </c>
      <c r="H2243" s="368">
        <v>0.67361111111111116</v>
      </c>
      <c r="I2243" s="372" t="str">
        <f t="shared" si="56"/>
        <v>520</v>
      </c>
      <c r="J2243" s="371">
        <v>8</v>
      </c>
      <c r="K2243" s="371"/>
      <c r="L2243" s="365">
        <v>0.3125</v>
      </c>
      <c r="M2243" s="365">
        <v>0.70833333333333337</v>
      </c>
      <c r="N2243" s="372" t="str">
        <f t="shared" si="57"/>
        <v>510</v>
      </c>
      <c r="O2243" s="371">
        <f t="shared" si="58"/>
        <v>6160</v>
      </c>
      <c r="P2243" s="366">
        <f t="shared" si="59"/>
        <v>0.29166666666666669</v>
      </c>
      <c r="Q2243" s="366">
        <f t="shared" si="60"/>
        <v>0.70833333333333337</v>
      </c>
      <c r="R2243" s="367" t="str">
        <f t="shared" si="61"/>
        <v>540</v>
      </c>
    </row>
    <row r="2244" spans="1:18" x14ac:dyDescent="0.4">
      <c r="A2244" s="403">
        <v>46188</v>
      </c>
      <c r="B2244" s="383" t="s">
        <v>431</v>
      </c>
      <c r="C2244" s="390" t="s">
        <v>436</v>
      </c>
      <c r="D2244" s="405">
        <v>2</v>
      </c>
      <c r="E2244" s="384"/>
      <c r="F2244" s="385"/>
      <c r="G2244" s="396"/>
      <c r="H2244" s="396"/>
      <c r="I2244" s="386" t="str">
        <f t="shared" si="56"/>
        <v>0</v>
      </c>
      <c r="J2244" s="387"/>
      <c r="K2244" s="387"/>
      <c r="L2244" s="388"/>
      <c r="M2244" s="388"/>
      <c r="N2244" s="386" t="str">
        <f t="shared" si="57"/>
        <v>0</v>
      </c>
      <c r="O2244" s="387">
        <f t="shared" si="58"/>
        <v>0</v>
      </c>
      <c r="P2244" s="391">
        <f t="shared" si="59"/>
        <v>0</v>
      </c>
      <c r="Q2244" s="391">
        <f t="shared" si="60"/>
        <v>0</v>
      </c>
      <c r="R2244" s="389" t="str">
        <f t="shared" si="61"/>
        <v>0</v>
      </c>
    </row>
    <row r="2245" spans="1:18" s="22" customFormat="1" x14ac:dyDescent="0.4">
      <c r="A2245" s="417">
        <v>46189</v>
      </c>
      <c r="B2245" s="373" t="s">
        <v>51</v>
      </c>
      <c r="C2245" s="364" t="s">
        <v>253</v>
      </c>
      <c r="D2245" s="404">
        <v>16</v>
      </c>
      <c r="E2245" s="67">
        <v>4</v>
      </c>
      <c r="F2245" s="371"/>
      <c r="G2245" s="365">
        <v>0.54166666666666663</v>
      </c>
      <c r="H2245" s="365">
        <v>0.66666666666666663</v>
      </c>
      <c r="I2245" s="372" t="str">
        <f t="shared" si="56"/>
        <v>180</v>
      </c>
      <c r="J2245" s="371">
        <v>3</v>
      </c>
      <c r="K2245" s="371"/>
      <c r="L2245" s="365">
        <v>0.54166666666666663</v>
      </c>
      <c r="M2245" s="365">
        <v>0.70833333333333337</v>
      </c>
      <c r="N2245" s="372" t="str">
        <f t="shared" si="57"/>
        <v>240</v>
      </c>
      <c r="O2245" s="371">
        <f t="shared" si="58"/>
        <v>1440</v>
      </c>
      <c r="P2245" s="366">
        <f t="shared" si="59"/>
        <v>0.54166666666666663</v>
      </c>
      <c r="Q2245" s="366">
        <f t="shared" si="60"/>
        <v>0.70833333333333337</v>
      </c>
      <c r="R2245" s="367" t="str">
        <f t="shared" si="61"/>
        <v>240</v>
      </c>
    </row>
    <row r="2246" spans="1:18" s="22" customFormat="1" x14ac:dyDescent="0.4">
      <c r="A2246" s="417">
        <v>46189</v>
      </c>
      <c r="B2246" s="373" t="s">
        <v>54</v>
      </c>
      <c r="C2246" s="364" t="s">
        <v>251</v>
      </c>
      <c r="D2246" s="404">
        <v>20</v>
      </c>
      <c r="E2246" s="67">
        <v>4</v>
      </c>
      <c r="F2246" s="371"/>
      <c r="G2246" s="365">
        <v>0.29166666666666669</v>
      </c>
      <c r="H2246" s="365">
        <v>0.5</v>
      </c>
      <c r="I2246" s="372" t="str">
        <f t="shared" si="56"/>
        <v>300</v>
      </c>
      <c r="J2246" s="371">
        <v>3</v>
      </c>
      <c r="K2246" s="371"/>
      <c r="L2246" s="365">
        <v>0.3125</v>
      </c>
      <c r="M2246" s="365">
        <v>0.5</v>
      </c>
      <c r="N2246" s="372" t="str">
        <f t="shared" si="57"/>
        <v>270</v>
      </c>
      <c r="O2246" s="371">
        <f t="shared" si="58"/>
        <v>2010</v>
      </c>
      <c r="P2246" s="366">
        <f t="shared" si="59"/>
        <v>0.29166666666666669</v>
      </c>
      <c r="Q2246" s="366">
        <f t="shared" si="60"/>
        <v>0.5</v>
      </c>
      <c r="R2246" s="367" t="str">
        <f t="shared" si="61"/>
        <v>300</v>
      </c>
    </row>
    <row r="2247" spans="1:18" x14ac:dyDescent="0.4">
      <c r="A2247" s="402">
        <v>46189</v>
      </c>
      <c r="B2247" s="392" t="s">
        <v>1062</v>
      </c>
      <c r="C2247" s="364" t="s">
        <v>1064</v>
      </c>
      <c r="D2247" s="404">
        <v>16</v>
      </c>
      <c r="E2247" s="369">
        <v>5</v>
      </c>
      <c r="F2247" s="370"/>
      <c r="G2247" s="368">
        <v>0.29166666666666669</v>
      </c>
      <c r="H2247" s="368">
        <v>0.47916666666666669</v>
      </c>
      <c r="I2247" s="372" t="str">
        <f t="shared" si="56"/>
        <v>270</v>
      </c>
      <c r="J2247" s="371">
        <v>4</v>
      </c>
      <c r="K2247" s="371"/>
      <c r="L2247" s="365">
        <v>0.3125</v>
      </c>
      <c r="M2247" s="365">
        <v>0.5</v>
      </c>
      <c r="N2247" s="372" t="str">
        <f t="shared" si="57"/>
        <v>270</v>
      </c>
      <c r="O2247" s="371">
        <f t="shared" si="58"/>
        <v>2430</v>
      </c>
      <c r="P2247" s="366">
        <f t="shared" si="59"/>
        <v>0.29166666666666669</v>
      </c>
      <c r="Q2247" s="366">
        <f t="shared" si="60"/>
        <v>0.5</v>
      </c>
      <c r="R2247" s="367" t="str">
        <f t="shared" si="61"/>
        <v>300</v>
      </c>
    </row>
    <row r="2248" spans="1:18" x14ac:dyDescent="0.4">
      <c r="A2248" s="402">
        <v>46189</v>
      </c>
      <c r="B2248" s="392" t="s">
        <v>117</v>
      </c>
      <c r="C2248" s="364" t="s">
        <v>304</v>
      </c>
      <c r="D2248" s="404">
        <v>8</v>
      </c>
      <c r="E2248" s="369">
        <v>5</v>
      </c>
      <c r="F2248" s="370"/>
      <c r="G2248" s="368">
        <v>0.52083333333333337</v>
      </c>
      <c r="H2248" s="368">
        <v>0.60763888888888895</v>
      </c>
      <c r="I2248" s="372" t="str">
        <f t="shared" si="56"/>
        <v>125</v>
      </c>
      <c r="J2248" s="371">
        <v>4</v>
      </c>
      <c r="K2248" s="371"/>
      <c r="L2248" s="365">
        <v>0.54166666666666663</v>
      </c>
      <c r="M2248" s="365">
        <v>0.67361111111111116</v>
      </c>
      <c r="N2248" s="372" t="str">
        <f t="shared" si="57"/>
        <v>190</v>
      </c>
      <c r="O2248" s="371">
        <f t="shared" si="58"/>
        <v>1385</v>
      </c>
      <c r="P2248" s="366">
        <f t="shared" si="59"/>
        <v>0.52083333333333337</v>
      </c>
      <c r="Q2248" s="366">
        <f t="shared" si="60"/>
        <v>0.67361111111111116</v>
      </c>
      <c r="R2248" s="367" t="str">
        <f t="shared" si="61"/>
        <v>220</v>
      </c>
    </row>
    <row r="2249" spans="1:18" x14ac:dyDescent="0.4">
      <c r="A2249" s="402">
        <v>46189</v>
      </c>
      <c r="B2249" s="392" t="s">
        <v>1696</v>
      </c>
      <c r="C2249" s="364" t="s">
        <v>249</v>
      </c>
      <c r="D2249" s="404">
        <v>4</v>
      </c>
      <c r="E2249" s="369">
        <v>5</v>
      </c>
      <c r="F2249" s="370"/>
      <c r="G2249" s="368">
        <v>0.60763888888888895</v>
      </c>
      <c r="H2249" s="368">
        <v>0.70833333333333337</v>
      </c>
      <c r="I2249" s="372" t="str">
        <f t="shared" si="56"/>
        <v>145</v>
      </c>
      <c r="J2249" s="371">
        <v>4</v>
      </c>
      <c r="K2249" s="371"/>
      <c r="L2249" s="365">
        <v>0.67361111111111116</v>
      </c>
      <c r="M2249" s="365">
        <v>0.72916666666666663</v>
      </c>
      <c r="N2249" s="372" t="str">
        <f t="shared" si="57"/>
        <v>80</v>
      </c>
      <c r="O2249" s="371">
        <f t="shared" si="58"/>
        <v>1045</v>
      </c>
      <c r="P2249" s="366">
        <f t="shared" si="59"/>
        <v>0.60763888888888895</v>
      </c>
      <c r="Q2249" s="366">
        <f t="shared" si="60"/>
        <v>0.72916666666666663</v>
      </c>
      <c r="R2249" s="367" t="str">
        <f t="shared" si="61"/>
        <v>175</v>
      </c>
    </row>
    <row r="2250" spans="1:18" s="22" customFormat="1" x14ac:dyDescent="0.4">
      <c r="A2250" s="417">
        <v>46189</v>
      </c>
      <c r="B2250" s="373" t="s">
        <v>58</v>
      </c>
      <c r="C2250" s="364" t="s">
        <v>165</v>
      </c>
      <c r="D2250" s="404">
        <v>24</v>
      </c>
      <c r="E2250" s="67">
        <v>3</v>
      </c>
      <c r="F2250" s="365">
        <v>2.0833333333333332E-2</v>
      </c>
      <c r="G2250" s="365">
        <v>0.3576388888888889</v>
      </c>
      <c r="H2250" s="365">
        <v>0.58680555555555558</v>
      </c>
      <c r="I2250" s="372" t="str">
        <f t="shared" si="56"/>
        <v>300</v>
      </c>
      <c r="J2250" s="371">
        <v>6</v>
      </c>
      <c r="K2250" s="371"/>
      <c r="L2250" s="365">
        <v>0.4236111111111111</v>
      </c>
      <c r="M2250" s="365">
        <v>0.65277777777777779</v>
      </c>
      <c r="N2250" s="372" t="str">
        <f t="shared" si="57"/>
        <v>270</v>
      </c>
      <c r="O2250" s="371">
        <f t="shared" si="58"/>
        <v>2520</v>
      </c>
      <c r="P2250" s="366">
        <f t="shared" si="59"/>
        <v>0.3576388888888889</v>
      </c>
      <c r="Q2250" s="366">
        <f t="shared" si="60"/>
        <v>0.65277777777777779</v>
      </c>
      <c r="R2250" s="367" t="str">
        <f t="shared" si="61"/>
        <v>365</v>
      </c>
    </row>
    <row r="2251" spans="1:18" s="22" customFormat="1" x14ac:dyDescent="0.4">
      <c r="A2251" s="417">
        <v>46189</v>
      </c>
      <c r="B2251" s="373" t="s">
        <v>96</v>
      </c>
      <c r="C2251" s="364" t="s">
        <v>167</v>
      </c>
      <c r="D2251" s="404">
        <v>12</v>
      </c>
      <c r="E2251" s="67">
        <v>3</v>
      </c>
      <c r="F2251" s="371"/>
      <c r="G2251" s="365">
        <v>0.29166666666666669</v>
      </c>
      <c r="H2251" s="365">
        <v>0.3576388888888889</v>
      </c>
      <c r="I2251" s="372" t="str">
        <f t="shared" si="56"/>
        <v>95</v>
      </c>
      <c r="J2251" s="371">
        <v>6</v>
      </c>
      <c r="K2251" s="371"/>
      <c r="L2251" s="365">
        <v>0.29166666666666669</v>
      </c>
      <c r="M2251" s="365">
        <v>0.4236111111111111</v>
      </c>
      <c r="N2251" s="372" t="str">
        <f t="shared" si="57"/>
        <v>190</v>
      </c>
      <c r="O2251" s="371">
        <f t="shared" si="58"/>
        <v>1425</v>
      </c>
      <c r="P2251" s="366">
        <f t="shared" si="59"/>
        <v>0.29166666666666669</v>
      </c>
      <c r="Q2251" s="366">
        <f t="shared" si="60"/>
        <v>0.4236111111111111</v>
      </c>
      <c r="R2251" s="367" t="str">
        <f t="shared" si="61"/>
        <v>190</v>
      </c>
    </row>
    <row r="2252" spans="1:18" x14ac:dyDescent="0.4">
      <c r="A2252" s="402">
        <v>46190</v>
      </c>
      <c r="B2252" s="392" t="s">
        <v>114</v>
      </c>
      <c r="C2252" s="364" t="s">
        <v>161</v>
      </c>
      <c r="D2252" s="404">
        <v>15</v>
      </c>
      <c r="E2252" s="369">
        <v>5</v>
      </c>
      <c r="F2252" s="370"/>
      <c r="G2252" s="368">
        <v>0.29166666666666669</v>
      </c>
      <c r="H2252" s="368">
        <v>0.5</v>
      </c>
      <c r="I2252" s="372" t="str">
        <f t="shared" si="56"/>
        <v>300</v>
      </c>
      <c r="J2252" s="371">
        <v>13</v>
      </c>
      <c r="K2252" s="365">
        <v>4.1666666666666664E-2</v>
      </c>
      <c r="L2252" s="365">
        <v>0.3125</v>
      </c>
      <c r="M2252" s="365">
        <v>0.5</v>
      </c>
      <c r="N2252" s="372" t="str">
        <f t="shared" si="57"/>
        <v>330</v>
      </c>
      <c r="O2252" s="371">
        <f t="shared" si="58"/>
        <v>5790</v>
      </c>
      <c r="P2252" s="366">
        <f t="shared" si="59"/>
        <v>0.29166666666666669</v>
      </c>
      <c r="Q2252" s="366">
        <f t="shared" si="60"/>
        <v>0.5</v>
      </c>
      <c r="R2252" s="367" t="str">
        <f t="shared" si="61"/>
        <v>300</v>
      </c>
    </row>
    <row r="2253" spans="1:18" x14ac:dyDescent="0.4">
      <c r="A2253" s="402">
        <v>46190</v>
      </c>
      <c r="B2253" s="392" t="s">
        <v>158</v>
      </c>
      <c r="C2253" s="364" t="s">
        <v>159</v>
      </c>
      <c r="D2253" s="404">
        <v>4</v>
      </c>
      <c r="E2253" s="369">
        <v>5</v>
      </c>
      <c r="F2253" s="370"/>
      <c r="G2253" s="368">
        <v>0.54166666666666663</v>
      </c>
      <c r="H2253" s="368">
        <v>0.58680555555555558</v>
      </c>
      <c r="I2253" s="372" t="str">
        <f t="shared" si="56"/>
        <v>65</v>
      </c>
      <c r="J2253" s="371">
        <v>9</v>
      </c>
      <c r="K2253" s="371"/>
      <c r="L2253" s="365">
        <v>0.58333333333333337</v>
      </c>
      <c r="M2253" s="365">
        <v>0.65277777777777779</v>
      </c>
      <c r="N2253" s="372" t="str">
        <f t="shared" si="57"/>
        <v>100</v>
      </c>
      <c r="O2253" s="371">
        <f t="shared" si="58"/>
        <v>1225</v>
      </c>
      <c r="P2253" s="366">
        <f t="shared" si="59"/>
        <v>0.54166666666666663</v>
      </c>
      <c r="Q2253" s="366">
        <f t="shared" si="60"/>
        <v>0.65277777777777779</v>
      </c>
      <c r="R2253" s="367" t="str">
        <f t="shared" si="61"/>
        <v>160</v>
      </c>
    </row>
    <row r="2254" spans="1:18" x14ac:dyDescent="0.4">
      <c r="A2254" s="402">
        <v>46190</v>
      </c>
      <c r="B2254" s="392" t="s">
        <v>887</v>
      </c>
      <c r="C2254" s="364" t="s">
        <v>888</v>
      </c>
      <c r="D2254" s="404">
        <v>3</v>
      </c>
      <c r="E2254" s="369">
        <v>5</v>
      </c>
      <c r="F2254" s="370"/>
      <c r="G2254" s="368">
        <v>0.59375</v>
      </c>
      <c r="H2254" s="368">
        <v>0.6875</v>
      </c>
      <c r="I2254" s="372" t="str">
        <f t="shared" si="56"/>
        <v>135</v>
      </c>
      <c r="J2254" s="371">
        <v>9</v>
      </c>
      <c r="K2254" s="371"/>
      <c r="L2254" s="365">
        <v>0.65277777777777779</v>
      </c>
      <c r="M2254" s="365">
        <v>0.64583333333333337</v>
      </c>
      <c r="N2254" s="372" t="str">
        <f t="shared" si="57"/>
        <v>-10</v>
      </c>
      <c r="O2254" s="371">
        <f t="shared" si="58"/>
        <v>585</v>
      </c>
      <c r="P2254" s="366">
        <f t="shared" si="59"/>
        <v>0.59375</v>
      </c>
      <c r="Q2254" s="366">
        <f t="shared" si="60"/>
        <v>0.6875</v>
      </c>
      <c r="R2254" s="367" t="str">
        <f t="shared" si="61"/>
        <v>135</v>
      </c>
    </row>
    <row r="2255" spans="1:18" x14ac:dyDescent="0.4">
      <c r="A2255" s="402">
        <v>46190</v>
      </c>
      <c r="B2255" s="392" t="s">
        <v>53</v>
      </c>
      <c r="C2255" s="364" t="s">
        <v>261</v>
      </c>
      <c r="D2255" s="404">
        <v>6</v>
      </c>
      <c r="E2255" s="369">
        <v>5</v>
      </c>
      <c r="F2255" s="370"/>
      <c r="G2255" s="368">
        <v>0.29166666666666669</v>
      </c>
      <c r="H2255" s="368">
        <v>0.3611111111111111</v>
      </c>
      <c r="I2255" s="372" t="str">
        <f t="shared" si="56"/>
        <v>100</v>
      </c>
      <c r="J2255" s="371">
        <v>3</v>
      </c>
      <c r="K2255" s="371"/>
      <c r="L2255" s="365">
        <v>0.3125</v>
      </c>
      <c r="M2255" s="365">
        <v>0.3888888888888889</v>
      </c>
      <c r="N2255" s="372" t="str">
        <f t="shared" si="57"/>
        <v>110</v>
      </c>
      <c r="O2255" s="371">
        <f t="shared" si="58"/>
        <v>830</v>
      </c>
      <c r="P2255" s="366">
        <f t="shared" si="59"/>
        <v>0.29166666666666669</v>
      </c>
      <c r="Q2255" s="366">
        <f t="shared" si="60"/>
        <v>0.3888888888888889</v>
      </c>
      <c r="R2255" s="367" t="str">
        <f t="shared" si="61"/>
        <v>140</v>
      </c>
    </row>
    <row r="2256" spans="1:18" x14ac:dyDescent="0.4">
      <c r="A2256" s="402">
        <v>46190</v>
      </c>
      <c r="B2256" s="392" t="s">
        <v>63</v>
      </c>
      <c r="C2256" s="364" t="s">
        <v>267</v>
      </c>
      <c r="D2256" s="404">
        <v>24</v>
      </c>
      <c r="E2256" s="369">
        <v>5</v>
      </c>
      <c r="F2256" s="370"/>
      <c r="G2256" s="368">
        <v>0.42291666666666666</v>
      </c>
      <c r="H2256" s="368">
        <v>0.66666666666666663</v>
      </c>
      <c r="I2256" s="372" t="str">
        <f t="shared" si="56"/>
        <v>291</v>
      </c>
      <c r="J2256" s="371">
        <v>3</v>
      </c>
      <c r="K2256" s="371"/>
      <c r="L2256" s="365">
        <v>0.4513888888888889</v>
      </c>
      <c r="M2256" s="365">
        <v>0.6875</v>
      </c>
      <c r="N2256" s="372" t="str">
        <f t="shared" si="57"/>
        <v>280</v>
      </c>
      <c r="O2256" s="371">
        <f t="shared" si="58"/>
        <v>2295</v>
      </c>
      <c r="P2256" s="366">
        <f t="shared" si="59"/>
        <v>0.42291666666666666</v>
      </c>
      <c r="Q2256" s="366">
        <f t="shared" si="60"/>
        <v>0.6875</v>
      </c>
      <c r="R2256" s="367" t="str">
        <f t="shared" si="61"/>
        <v>321</v>
      </c>
    </row>
    <row r="2257" spans="1:18" x14ac:dyDescent="0.4">
      <c r="A2257" s="402">
        <v>46190</v>
      </c>
      <c r="B2257" s="392" t="s">
        <v>107</v>
      </c>
      <c r="C2257" s="364" t="s">
        <v>314</v>
      </c>
      <c r="D2257" s="404">
        <v>8</v>
      </c>
      <c r="E2257" s="369">
        <v>5</v>
      </c>
      <c r="F2257" s="370"/>
      <c r="G2257" s="368">
        <v>0.3611111111111111</v>
      </c>
      <c r="H2257" s="368">
        <v>0.42291666666666666</v>
      </c>
      <c r="I2257" s="372" t="str">
        <f t="shared" si="56"/>
        <v>89</v>
      </c>
      <c r="J2257" s="371">
        <v>3</v>
      </c>
      <c r="K2257" s="371"/>
      <c r="L2257" s="365">
        <v>0.3888888888888889</v>
      </c>
      <c r="M2257" s="365">
        <v>0.4513888888888889</v>
      </c>
      <c r="N2257" s="372" t="str">
        <f t="shared" si="57"/>
        <v>90</v>
      </c>
      <c r="O2257" s="371">
        <f t="shared" si="58"/>
        <v>715</v>
      </c>
      <c r="P2257" s="366">
        <f t="shared" si="59"/>
        <v>0.3611111111111111</v>
      </c>
      <c r="Q2257" s="366">
        <f t="shared" si="60"/>
        <v>0.4513888888888889</v>
      </c>
      <c r="R2257" s="367" t="str">
        <f t="shared" si="61"/>
        <v>130</v>
      </c>
    </row>
    <row r="2258" spans="1:18" x14ac:dyDescent="0.4">
      <c r="A2258" s="402">
        <v>46191</v>
      </c>
      <c r="B2258" s="392" t="s">
        <v>1162</v>
      </c>
      <c r="C2258" s="364" t="s">
        <v>271</v>
      </c>
      <c r="D2258" s="404">
        <v>16</v>
      </c>
      <c r="E2258" s="369">
        <v>5</v>
      </c>
      <c r="F2258" s="370"/>
      <c r="G2258" s="368">
        <v>0.29166666666666669</v>
      </c>
      <c r="H2258" s="368">
        <v>0.43402777777777773</v>
      </c>
      <c r="I2258" s="372" t="str">
        <f t="shared" si="56"/>
        <v>205</v>
      </c>
      <c r="J2258" s="371">
        <v>3</v>
      </c>
      <c r="K2258" s="365"/>
      <c r="L2258" s="365">
        <v>0.3125</v>
      </c>
      <c r="M2258" s="365">
        <v>0.46527777777777773</v>
      </c>
      <c r="N2258" s="372" t="str">
        <f t="shared" si="57"/>
        <v>220</v>
      </c>
      <c r="O2258" s="371">
        <f t="shared" si="58"/>
        <v>1685</v>
      </c>
      <c r="P2258" s="366">
        <f t="shared" si="59"/>
        <v>0.29166666666666669</v>
      </c>
      <c r="Q2258" s="366">
        <f t="shared" si="60"/>
        <v>0.46527777777777773</v>
      </c>
      <c r="R2258" s="367" t="str">
        <f t="shared" si="61"/>
        <v>250</v>
      </c>
    </row>
    <row r="2259" spans="1:18" x14ac:dyDescent="0.4">
      <c r="A2259" s="402">
        <v>46191</v>
      </c>
      <c r="B2259" s="392" t="s">
        <v>63</v>
      </c>
      <c r="C2259" s="364" t="s">
        <v>267</v>
      </c>
      <c r="D2259" s="404">
        <v>20</v>
      </c>
      <c r="E2259" s="369">
        <v>5</v>
      </c>
      <c r="F2259" s="370"/>
      <c r="G2259" s="368">
        <v>0.43402777777777773</v>
      </c>
      <c r="H2259" s="368">
        <v>0.70833333333333337</v>
      </c>
      <c r="I2259" s="372" t="str">
        <f t="shared" si="56"/>
        <v>335</v>
      </c>
      <c r="J2259" s="371">
        <v>3</v>
      </c>
      <c r="K2259" s="371"/>
      <c r="L2259" s="365">
        <v>0.46527777777777773</v>
      </c>
      <c r="M2259" s="365">
        <v>0.66875000000000007</v>
      </c>
      <c r="N2259" s="372" t="str">
        <f t="shared" si="57"/>
        <v>233</v>
      </c>
      <c r="O2259" s="371">
        <f t="shared" si="58"/>
        <v>2374</v>
      </c>
      <c r="P2259" s="366">
        <f t="shared" si="59"/>
        <v>0.43402777777777773</v>
      </c>
      <c r="Q2259" s="366">
        <f t="shared" si="60"/>
        <v>0.70833333333333337</v>
      </c>
      <c r="R2259" s="367" t="str">
        <f t="shared" si="61"/>
        <v>335</v>
      </c>
    </row>
    <row r="2260" spans="1:18" x14ac:dyDescent="0.4">
      <c r="A2260" s="402">
        <v>46191</v>
      </c>
      <c r="B2260" s="392" t="s">
        <v>73</v>
      </c>
      <c r="C2260" s="364" t="s">
        <v>231</v>
      </c>
      <c r="D2260" s="404">
        <v>21</v>
      </c>
      <c r="E2260" s="369">
        <v>3</v>
      </c>
      <c r="F2260" s="368">
        <v>2.0833333333333332E-2</v>
      </c>
      <c r="G2260" s="368">
        <v>0.29166666666666669</v>
      </c>
      <c r="H2260" s="368">
        <v>0.64583333333333337</v>
      </c>
      <c r="I2260" s="372" t="str">
        <f t="shared" si="56"/>
        <v>480</v>
      </c>
      <c r="J2260" s="371">
        <v>5</v>
      </c>
      <c r="K2260" s="371"/>
      <c r="L2260" s="365">
        <v>0.3125</v>
      </c>
      <c r="M2260" s="365">
        <v>0.6875</v>
      </c>
      <c r="N2260" s="372" t="str">
        <f t="shared" si="57"/>
        <v>480</v>
      </c>
      <c r="O2260" s="371">
        <f t="shared" si="58"/>
        <v>3840</v>
      </c>
      <c r="P2260" s="366">
        <f t="shared" si="59"/>
        <v>0.29166666666666669</v>
      </c>
      <c r="Q2260" s="366">
        <f t="shared" si="60"/>
        <v>0.6875</v>
      </c>
      <c r="R2260" s="367" t="str">
        <f t="shared" si="61"/>
        <v>510</v>
      </c>
    </row>
    <row r="2261" spans="1:18" x14ac:dyDescent="0.4">
      <c r="A2261" s="403">
        <v>46191</v>
      </c>
      <c r="B2261" s="383" t="s">
        <v>1697</v>
      </c>
      <c r="C2261" s="390" t="s">
        <v>1717</v>
      </c>
      <c r="D2261" s="405">
        <v>468</v>
      </c>
      <c r="E2261" s="384"/>
      <c r="F2261" s="385"/>
      <c r="G2261" s="396"/>
      <c r="H2261" s="396"/>
      <c r="I2261" s="386" t="str">
        <f t="shared" ref="I2261:I2281" si="62">TEXT(IF(AND(G2261&lt;=$S$2,H2261&gt;=$T$2),(H2261-G2261+F2261)-($T$2-$S$2),(H2261-G2261+F2261)),"[m]")</f>
        <v>0</v>
      </c>
      <c r="J2261" s="387"/>
      <c r="K2261" s="387"/>
      <c r="L2261" s="388"/>
      <c r="M2261" s="388"/>
      <c r="N2261" s="386" t="str">
        <f t="shared" si="57"/>
        <v>0</v>
      </c>
      <c r="O2261" s="387">
        <f t="shared" si="58"/>
        <v>0</v>
      </c>
      <c r="P2261" s="391">
        <f t="shared" si="59"/>
        <v>0</v>
      </c>
      <c r="Q2261" s="391">
        <f t="shared" si="60"/>
        <v>0</v>
      </c>
      <c r="R2261" s="389" t="str">
        <f t="shared" si="61"/>
        <v>0</v>
      </c>
    </row>
    <row r="2262" spans="1:18" x14ac:dyDescent="0.4">
      <c r="A2262" s="403">
        <v>46191</v>
      </c>
      <c r="B2262" s="383"/>
      <c r="C2262" s="390" t="s">
        <v>1718</v>
      </c>
      <c r="D2262" s="405">
        <v>1</v>
      </c>
      <c r="E2262" s="384"/>
      <c r="F2262" s="385"/>
      <c r="G2262" s="396"/>
      <c r="H2262" s="396"/>
      <c r="I2262" s="386" t="str">
        <f t="shared" si="62"/>
        <v>0</v>
      </c>
      <c r="J2262" s="387"/>
      <c r="K2262" s="387"/>
      <c r="L2262" s="388"/>
      <c r="M2262" s="388"/>
      <c r="N2262" s="386" t="str">
        <f t="shared" ref="N2262:N2281" si="63">TEXT(IF(AND(L2262&lt;=$S$2,M2262&gt;=$T$2),(M2262-L2262+K2262)-($T$2-$S$2),(M2262-L2262+K2262)),"[m]")</f>
        <v>0</v>
      </c>
      <c r="O2262" s="387">
        <f t="shared" ref="O2262:O2281" si="64">E2262*I2262+J2262*N2262</f>
        <v>0</v>
      </c>
      <c r="P2262" s="391">
        <f t="shared" ref="P2262:P2281" si="65">MIN(G2262:H2262,L2262:M2262)</f>
        <v>0</v>
      </c>
      <c r="Q2262" s="391">
        <f t="shared" ref="Q2262:Q2281" si="66">MAX(G2262:H2262,L2262:M2262)</f>
        <v>0</v>
      </c>
      <c r="R2262" s="389" t="str">
        <f t="shared" ref="R2262:R2281" si="67">TEXT(IF(AND(P2262&lt;=$S$2,Q2262&gt;=$T$2),(Q2262-P2262)-($T$2-$S$2),(Q2262-P2262)),"[m]")</f>
        <v>0</v>
      </c>
    </row>
    <row r="2263" spans="1:18" x14ac:dyDescent="0.4">
      <c r="A2263" s="403">
        <v>46191</v>
      </c>
      <c r="B2263" s="383"/>
      <c r="C2263" s="390" t="s">
        <v>1719</v>
      </c>
      <c r="D2263" s="405">
        <v>1</v>
      </c>
      <c r="E2263" s="384"/>
      <c r="F2263" s="385"/>
      <c r="G2263" s="396"/>
      <c r="H2263" s="396"/>
      <c r="I2263" s="386" t="str">
        <f t="shared" si="62"/>
        <v>0</v>
      </c>
      <c r="J2263" s="387"/>
      <c r="K2263" s="387"/>
      <c r="L2263" s="388"/>
      <c r="M2263" s="388"/>
      <c r="N2263" s="386" t="str">
        <f t="shared" si="63"/>
        <v>0</v>
      </c>
      <c r="O2263" s="387">
        <f t="shared" si="64"/>
        <v>0</v>
      </c>
      <c r="P2263" s="391">
        <f t="shared" si="65"/>
        <v>0</v>
      </c>
      <c r="Q2263" s="391">
        <f t="shared" si="66"/>
        <v>0</v>
      </c>
      <c r="R2263" s="389" t="str">
        <f t="shared" si="67"/>
        <v>0</v>
      </c>
    </row>
    <row r="2264" spans="1:18" x14ac:dyDescent="0.4">
      <c r="A2264" s="403">
        <v>46191</v>
      </c>
      <c r="B2264" s="383"/>
      <c r="C2264" s="390" t="s">
        <v>1720</v>
      </c>
      <c r="D2264" s="405">
        <v>1</v>
      </c>
      <c r="E2264" s="384"/>
      <c r="F2264" s="385"/>
      <c r="G2264" s="396"/>
      <c r="H2264" s="396"/>
      <c r="I2264" s="386" t="str">
        <f t="shared" si="62"/>
        <v>0</v>
      </c>
      <c r="J2264" s="387"/>
      <c r="K2264" s="387"/>
      <c r="L2264" s="388"/>
      <c r="M2264" s="388"/>
      <c r="N2264" s="386" t="str">
        <f t="shared" si="63"/>
        <v>0</v>
      </c>
      <c r="O2264" s="387">
        <f t="shared" si="64"/>
        <v>0</v>
      </c>
      <c r="P2264" s="391">
        <f t="shared" si="65"/>
        <v>0</v>
      </c>
      <c r="Q2264" s="391">
        <f t="shared" si="66"/>
        <v>0</v>
      </c>
      <c r="R2264" s="389" t="str">
        <f t="shared" si="67"/>
        <v>0</v>
      </c>
    </row>
    <row r="2265" spans="1:18" x14ac:dyDescent="0.4">
      <c r="A2265" s="402">
        <v>46195</v>
      </c>
      <c r="B2265" s="392" t="s">
        <v>63</v>
      </c>
      <c r="C2265" s="364" t="s">
        <v>267</v>
      </c>
      <c r="D2265" s="404">
        <v>24</v>
      </c>
      <c r="E2265" s="369">
        <v>5</v>
      </c>
      <c r="F2265" s="370"/>
      <c r="G2265" s="368">
        <v>0.40138888888888885</v>
      </c>
      <c r="H2265" s="368">
        <v>0.66666666666666663</v>
      </c>
      <c r="I2265" s="372" t="str">
        <f t="shared" si="62"/>
        <v>322</v>
      </c>
      <c r="J2265" s="371">
        <v>3</v>
      </c>
      <c r="K2265" s="371"/>
      <c r="L2265" s="365">
        <v>0.3888888888888889</v>
      </c>
      <c r="M2265" s="365">
        <v>0.6875</v>
      </c>
      <c r="N2265" s="372" t="str">
        <f t="shared" si="63"/>
        <v>370</v>
      </c>
      <c r="O2265" s="371">
        <f t="shared" si="64"/>
        <v>2720</v>
      </c>
      <c r="P2265" s="366">
        <f t="shared" si="65"/>
        <v>0.3888888888888889</v>
      </c>
      <c r="Q2265" s="366">
        <f t="shared" si="66"/>
        <v>0.6875</v>
      </c>
      <c r="R2265" s="367" t="str">
        <f t="shared" si="67"/>
        <v>370</v>
      </c>
    </row>
    <row r="2266" spans="1:18" x14ac:dyDescent="0.4">
      <c r="A2266" s="402">
        <v>46195</v>
      </c>
      <c r="B2266" s="392" t="s">
        <v>91</v>
      </c>
      <c r="C2266" s="364" t="s">
        <v>163</v>
      </c>
      <c r="D2266" s="404">
        <v>6</v>
      </c>
      <c r="E2266" s="369">
        <v>5</v>
      </c>
      <c r="F2266" s="370"/>
      <c r="G2266" s="368">
        <v>0.29166666666666669</v>
      </c>
      <c r="H2266" s="368">
        <v>0.40138888888888885</v>
      </c>
      <c r="I2266" s="372" t="str">
        <f t="shared" si="62"/>
        <v>158</v>
      </c>
      <c r="J2266" s="371">
        <v>9</v>
      </c>
      <c r="K2266" s="371"/>
      <c r="L2266" s="365">
        <v>0.3125</v>
      </c>
      <c r="M2266" s="365">
        <v>0.45833333333333331</v>
      </c>
      <c r="N2266" s="372" t="str">
        <f t="shared" si="63"/>
        <v>210</v>
      </c>
      <c r="O2266" s="371">
        <f t="shared" si="64"/>
        <v>2680</v>
      </c>
      <c r="P2266" s="366">
        <f t="shared" si="65"/>
        <v>0.29166666666666669</v>
      </c>
      <c r="Q2266" s="366">
        <f t="shared" si="66"/>
        <v>0.45833333333333331</v>
      </c>
      <c r="R2266" s="367" t="str">
        <f t="shared" si="67"/>
        <v>240</v>
      </c>
    </row>
    <row r="2267" spans="1:18" x14ac:dyDescent="0.4">
      <c r="A2267" s="402">
        <v>46195</v>
      </c>
      <c r="B2267" s="392" t="s">
        <v>73</v>
      </c>
      <c r="C2267" s="364" t="s">
        <v>231</v>
      </c>
      <c r="D2267" s="404">
        <v>21</v>
      </c>
      <c r="E2267" s="369">
        <v>3</v>
      </c>
      <c r="F2267" s="368">
        <v>2.0833333333333332E-2</v>
      </c>
      <c r="G2267" s="368">
        <v>0.29166666666666669</v>
      </c>
      <c r="H2267" s="368">
        <v>0.64583333333333337</v>
      </c>
      <c r="I2267" s="372" t="str">
        <f t="shared" si="62"/>
        <v>480</v>
      </c>
      <c r="J2267" s="371">
        <v>5</v>
      </c>
      <c r="K2267" s="371"/>
      <c r="L2267" s="365">
        <v>0.3125</v>
      </c>
      <c r="M2267" s="365">
        <v>0.6875</v>
      </c>
      <c r="N2267" s="372" t="str">
        <f t="shared" si="63"/>
        <v>480</v>
      </c>
      <c r="O2267" s="371">
        <f t="shared" si="64"/>
        <v>3840</v>
      </c>
      <c r="P2267" s="366">
        <f t="shared" si="65"/>
        <v>0.29166666666666669</v>
      </c>
      <c r="Q2267" s="366">
        <f t="shared" si="66"/>
        <v>0.6875</v>
      </c>
      <c r="R2267" s="367" t="str">
        <f t="shared" si="67"/>
        <v>510</v>
      </c>
    </row>
    <row r="2268" spans="1:18" s="22" customFormat="1" x14ac:dyDescent="0.4">
      <c r="A2268" s="417">
        <v>46195</v>
      </c>
      <c r="B2268" s="373" t="s">
        <v>83</v>
      </c>
      <c r="C2268" s="364" t="s">
        <v>169</v>
      </c>
      <c r="D2268" s="404">
        <v>8</v>
      </c>
      <c r="E2268" s="67">
        <v>3</v>
      </c>
      <c r="F2268" s="365">
        <v>2.0833333333333332E-2</v>
      </c>
      <c r="G2268" s="365">
        <v>0.29166666666666669</v>
      </c>
      <c r="H2268" s="365">
        <v>0.33333333333333331</v>
      </c>
      <c r="I2268" s="372" t="str">
        <f t="shared" si="62"/>
        <v>90</v>
      </c>
      <c r="J2268" s="371">
        <v>7</v>
      </c>
      <c r="K2268" s="371"/>
      <c r="L2268" s="365">
        <v>0.29166666666666669</v>
      </c>
      <c r="M2268" s="365">
        <v>0.40277777777777773</v>
      </c>
      <c r="N2268" s="372" t="str">
        <f t="shared" si="63"/>
        <v>160</v>
      </c>
      <c r="O2268" s="371">
        <f t="shared" si="64"/>
        <v>1390</v>
      </c>
      <c r="P2268" s="366">
        <f t="shared" si="65"/>
        <v>0.29166666666666669</v>
      </c>
      <c r="Q2268" s="366">
        <f t="shared" si="66"/>
        <v>0.40277777777777773</v>
      </c>
      <c r="R2268" s="367" t="str">
        <f t="shared" si="67"/>
        <v>160</v>
      </c>
    </row>
    <row r="2269" spans="1:18" s="22" customFormat="1" x14ac:dyDescent="0.4">
      <c r="A2269" s="417">
        <v>46195</v>
      </c>
      <c r="B2269" s="373" t="s">
        <v>82</v>
      </c>
      <c r="C2269" s="364" t="s">
        <v>171</v>
      </c>
      <c r="D2269" s="404">
        <v>28</v>
      </c>
      <c r="E2269" s="67">
        <v>3</v>
      </c>
      <c r="F2269" s="371"/>
      <c r="G2269" s="365">
        <v>0.33333333333333331</v>
      </c>
      <c r="H2269" s="365">
        <v>0.60416666666666663</v>
      </c>
      <c r="I2269" s="372" t="str">
        <f t="shared" si="62"/>
        <v>330</v>
      </c>
      <c r="J2269" s="371">
        <v>7</v>
      </c>
      <c r="K2269" s="371"/>
      <c r="L2269" s="365">
        <v>0.40625</v>
      </c>
      <c r="M2269" s="365">
        <v>0.68055555555555547</v>
      </c>
      <c r="N2269" s="372" t="str">
        <f t="shared" si="63"/>
        <v>335</v>
      </c>
      <c r="O2269" s="371">
        <f t="shared" si="64"/>
        <v>3335</v>
      </c>
      <c r="P2269" s="366">
        <f t="shared" si="65"/>
        <v>0.33333333333333331</v>
      </c>
      <c r="Q2269" s="366">
        <f t="shared" si="66"/>
        <v>0.68055555555555547</v>
      </c>
      <c r="R2269" s="367" t="str">
        <f t="shared" si="67"/>
        <v>440</v>
      </c>
    </row>
    <row r="2270" spans="1:18" x14ac:dyDescent="0.4">
      <c r="A2270" s="403">
        <v>46195</v>
      </c>
      <c r="B2270" s="383" t="s">
        <v>594</v>
      </c>
      <c r="C2270" s="390" t="s">
        <v>595</v>
      </c>
      <c r="D2270" s="405">
        <v>1</v>
      </c>
      <c r="E2270" s="384"/>
      <c r="F2270" s="385"/>
      <c r="G2270" s="396"/>
      <c r="H2270" s="396"/>
      <c r="I2270" s="386" t="str">
        <f t="shared" si="62"/>
        <v>0</v>
      </c>
      <c r="J2270" s="387"/>
      <c r="K2270" s="387"/>
      <c r="L2270" s="388"/>
      <c r="M2270" s="388"/>
      <c r="N2270" s="386" t="str">
        <f t="shared" si="63"/>
        <v>0</v>
      </c>
      <c r="O2270" s="387">
        <f t="shared" si="64"/>
        <v>0</v>
      </c>
      <c r="P2270" s="391">
        <f t="shared" si="65"/>
        <v>0</v>
      </c>
      <c r="Q2270" s="391">
        <f t="shared" si="66"/>
        <v>0</v>
      </c>
      <c r="R2270" s="389" t="str">
        <f t="shared" si="67"/>
        <v>0</v>
      </c>
    </row>
    <row r="2271" spans="1:18" x14ac:dyDescent="0.4">
      <c r="A2271" s="402">
        <v>46196</v>
      </c>
      <c r="B2271" s="392" t="s">
        <v>54</v>
      </c>
      <c r="C2271" s="364" t="s">
        <v>251</v>
      </c>
      <c r="D2271" s="404">
        <v>24</v>
      </c>
      <c r="E2271" s="369">
        <v>4</v>
      </c>
      <c r="F2271" s="370"/>
      <c r="G2271" s="368">
        <v>0.29166666666666669</v>
      </c>
      <c r="H2271" s="368">
        <v>0.5</v>
      </c>
      <c r="I2271" s="372" t="str">
        <f t="shared" si="62"/>
        <v>300</v>
      </c>
      <c r="J2271" s="371">
        <v>3</v>
      </c>
      <c r="K2271" s="371"/>
      <c r="L2271" s="365">
        <v>0.3125</v>
      </c>
      <c r="M2271" s="365">
        <v>0.5</v>
      </c>
      <c r="N2271" s="372" t="str">
        <f t="shared" si="63"/>
        <v>270</v>
      </c>
      <c r="O2271" s="371">
        <f t="shared" si="64"/>
        <v>2010</v>
      </c>
      <c r="P2271" s="366">
        <f t="shared" si="65"/>
        <v>0.29166666666666669</v>
      </c>
      <c r="Q2271" s="366">
        <f t="shared" si="66"/>
        <v>0.5</v>
      </c>
      <c r="R2271" s="367" t="str">
        <f t="shared" si="67"/>
        <v>300</v>
      </c>
    </row>
    <row r="2272" spans="1:18" x14ac:dyDescent="0.4">
      <c r="A2272" s="402">
        <v>46196</v>
      </c>
      <c r="B2272" s="392" t="s">
        <v>51</v>
      </c>
      <c r="C2272" s="364" t="s">
        <v>253</v>
      </c>
      <c r="D2272" s="404">
        <v>12</v>
      </c>
      <c r="E2272" s="369">
        <v>4</v>
      </c>
      <c r="F2272" s="370"/>
      <c r="G2272" s="368">
        <v>0.54166666666666663</v>
      </c>
      <c r="H2272" s="368">
        <v>0.66666666666666663</v>
      </c>
      <c r="I2272" s="372" t="str">
        <f t="shared" si="62"/>
        <v>180</v>
      </c>
      <c r="J2272" s="371">
        <v>3</v>
      </c>
      <c r="K2272" s="371"/>
      <c r="L2272" s="365">
        <v>0.54166666666666663</v>
      </c>
      <c r="M2272" s="365">
        <v>0.6875</v>
      </c>
      <c r="N2272" s="372" t="str">
        <f t="shared" si="63"/>
        <v>210</v>
      </c>
      <c r="O2272" s="371">
        <f t="shared" si="64"/>
        <v>1350</v>
      </c>
      <c r="P2272" s="366">
        <f t="shared" si="65"/>
        <v>0.54166666666666663</v>
      </c>
      <c r="Q2272" s="366">
        <f t="shared" si="66"/>
        <v>0.6875</v>
      </c>
      <c r="R2272" s="367" t="str">
        <f t="shared" si="67"/>
        <v>210</v>
      </c>
    </row>
    <row r="2273" spans="1:18" x14ac:dyDescent="0.4">
      <c r="A2273" s="402">
        <v>46196</v>
      </c>
      <c r="B2273" s="392" t="s">
        <v>1722</v>
      </c>
      <c r="C2273" s="364" t="s">
        <v>1728</v>
      </c>
      <c r="D2273" s="404">
        <v>12</v>
      </c>
      <c r="E2273" s="369">
        <v>5</v>
      </c>
      <c r="F2273" s="370"/>
      <c r="G2273" s="368">
        <v>0.55555555555555558</v>
      </c>
      <c r="H2273" s="368">
        <v>0.6875</v>
      </c>
      <c r="I2273" s="372" t="str">
        <f t="shared" si="62"/>
        <v>190</v>
      </c>
      <c r="J2273" s="371">
        <v>4</v>
      </c>
      <c r="K2273" s="371"/>
      <c r="L2273" s="365">
        <v>0.59722222222222221</v>
      </c>
      <c r="M2273" s="365">
        <v>0.75</v>
      </c>
      <c r="N2273" s="372" t="str">
        <f t="shared" si="63"/>
        <v>220</v>
      </c>
      <c r="O2273" s="371">
        <f t="shared" si="64"/>
        <v>1830</v>
      </c>
      <c r="P2273" s="366">
        <f t="shared" si="65"/>
        <v>0.55555555555555558</v>
      </c>
      <c r="Q2273" s="366">
        <f t="shared" si="66"/>
        <v>0.75</v>
      </c>
      <c r="R2273" s="367" t="str">
        <f t="shared" si="67"/>
        <v>280</v>
      </c>
    </row>
    <row r="2274" spans="1:18" x14ac:dyDescent="0.4">
      <c r="A2274" s="402">
        <v>46196</v>
      </c>
      <c r="B2274" s="392" t="s">
        <v>1698</v>
      </c>
      <c r="C2274" s="364" t="s">
        <v>1734</v>
      </c>
      <c r="D2274" s="404">
        <v>20</v>
      </c>
      <c r="E2274" s="369">
        <v>5</v>
      </c>
      <c r="F2274" s="370"/>
      <c r="G2274" s="368">
        <v>0.29166666666666669</v>
      </c>
      <c r="H2274" s="368">
        <v>0.55555555555555558</v>
      </c>
      <c r="I2274" s="372" t="str">
        <f t="shared" si="62"/>
        <v>320</v>
      </c>
      <c r="J2274" s="371">
        <v>4</v>
      </c>
      <c r="K2274" s="371"/>
      <c r="L2274" s="365">
        <v>0.3125</v>
      </c>
      <c r="M2274" s="365">
        <v>0.59722222222222221</v>
      </c>
      <c r="N2274" s="372" t="str">
        <f t="shared" si="63"/>
        <v>350</v>
      </c>
      <c r="O2274" s="371">
        <f t="shared" si="64"/>
        <v>3000</v>
      </c>
      <c r="P2274" s="366">
        <f t="shared" si="65"/>
        <v>0.29166666666666669</v>
      </c>
      <c r="Q2274" s="366">
        <f t="shared" si="66"/>
        <v>0.59722222222222221</v>
      </c>
      <c r="R2274" s="367" t="str">
        <f t="shared" si="67"/>
        <v>380</v>
      </c>
    </row>
    <row r="2275" spans="1:18" x14ac:dyDescent="0.4">
      <c r="A2275" s="402">
        <v>46196</v>
      </c>
      <c r="B2275" s="392" t="s">
        <v>536</v>
      </c>
      <c r="C2275" s="364" t="s">
        <v>306</v>
      </c>
      <c r="D2275" s="404">
        <v>6</v>
      </c>
      <c r="E2275" s="369">
        <v>3</v>
      </c>
      <c r="F2275" s="368">
        <v>4.1666666666666664E-2</v>
      </c>
      <c r="G2275" s="368">
        <v>0.41666666666666669</v>
      </c>
      <c r="H2275" s="368">
        <v>0.63888888888888895</v>
      </c>
      <c r="I2275" s="372" t="str">
        <f t="shared" si="62"/>
        <v>320</v>
      </c>
      <c r="J2275" s="371">
        <v>7</v>
      </c>
      <c r="K2275" s="365">
        <v>6.25E-2</v>
      </c>
      <c r="L2275" s="365">
        <v>0.5625</v>
      </c>
      <c r="M2275" s="365">
        <v>0.70833333333333337</v>
      </c>
      <c r="N2275" s="372" t="str">
        <f t="shared" si="63"/>
        <v>300</v>
      </c>
      <c r="O2275" s="371">
        <f t="shared" si="64"/>
        <v>3060</v>
      </c>
      <c r="P2275" s="366">
        <f t="shared" si="65"/>
        <v>0.41666666666666669</v>
      </c>
      <c r="Q2275" s="366">
        <f t="shared" si="66"/>
        <v>0.70833333333333337</v>
      </c>
      <c r="R2275" s="367" t="str">
        <f t="shared" si="67"/>
        <v>360</v>
      </c>
    </row>
    <row r="2276" spans="1:18" x14ac:dyDescent="0.4">
      <c r="A2276" s="402">
        <v>46196</v>
      </c>
      <c r="B2276" s="392" t="s">
        <v>597</v>
      </c>
      <c r="C2276" s="364" t="s">
        <v>283</v>
      </c>
      <c r="D2276" s="404">
        <v>8</v>
      </c>
      <c r="E2276" s="369">
        <v>3</v>
      </c>
      <c r="F2276" s="368">
        <v>2.0833333333333332E-2</v>
      </c>
      <c r="G2276" s="368">
        <v>0.29166666666666669</v>
      </c>
      <c r="H2276" s="368">
        <v>0.3923611111111111</v>
      </c>
      <c r="I2276" s="372" t="str">
        <f t="shared" si="62"/>
        <v>175</v>
      </c>
      <c r="J2276" s="371">
        <v>7</v>
      </c>
      <c r="K2276" s="371"/>
      <c r="L2276" s="365">
        <v>0.29166666666666669</v>
      </c>
      <c r="M2276" s="365">
        <v>0.47222222222222227</v>
      </c>
      <c r="N2276" s="372" t="str">
        <f t="shared" si="63"/>
        <v>260</v>
      </c>
      <c r="O2276" s="371">
        <f t="shared" si="64"/>
        <v>2345</v>
      </c>
      <c r="P2276" s="366">
        <f t="shared" si="65"/>
        <v>0.29166666666666669</v>
      </c>
      <c r="Q2276" s="366">
        <f t="shared" si="66"/>
        <v>0.47222222222222227</v>
      </c>
      <c r="R2276" s="367" t="str">
        <f t="shared" si="67"/>
        <v>260</v>
      </c>
    </row>
    <row r="2277" spans="1:18" x14ac:dyDescent="0.4">
      <c r="A2277" s="402">
        <v>46197</v>
      </c>
      <c r="B2277" s="392" t="s">
        <v>87</v>
      </c>
      <c r="C2277" s="364" t="s">
        <v>199</v>
      </c>
      <c r="D2277" s="404">
        <v>28</v>
      </c>
      <c r="E2277" s="369">
        <v>5</v>
      </c>
      <c r="F2277" s="370"/>
      <c r="G2277" s="368">
        <v>0.54166666666666663</v>
      </c>
      <c r="H2277" s="368">
        <v>0.66666666666666663</v>
      </c>
      <c r="I2277" s="372" t="str">
        <f t="shared" si="62"/>
        <v>180</v>
      </c>
      <c r="J2277" s="369">
        <v>5</v>
      </c>
      <c r="K2277" s="370"/>
      <c r="L2277" s="368">
        <v>0.54166666666666663</v>
      </c>
      <c r="M2277" s="368">
        <v>0.70833333333333337</v>
      </c>
      <c r="N2277" s="372" t="str">
        <f t="shared" si="63"/>
        <v>240</v>
      </c>
      <c r="O2277" s="371">
        <f t="shared" si="64"/>
        <v>2100</v>
      </c>
      <c r="P2277" s="366">
        <f t="shared" si="65"/>
        <v>0.54166666666666663</v>
      </c>
      <c r="Q2277" s="366">
        <f t="shared" si="66"/>
        <v>0.70833333333333337</v>
      </c>
      <c r="R2277" s="367" t="str">
        <f t="shared" si="67"/>
        <v>240</v>
      </c>
    </row>
    <row r="2278" spans="1:18" x14ac:dyDescent="0.4">
      <c r="A2278" s="402">
        <v>46197</v>
      </c>
      <c r="B2278" s="392" t="s">
        <v>68</v>
      </c>
      <c r="C2278" s="364" t="s">
        <v>185</v>
      </c>
      <c r="D2278" s="404">
        <v>16</v>
      </c>
      <c r="E2278" s="369">
        <v>5</v>
      </c>
      <c r="F2278" s="370"/>
      <c r="G2278" s="368">
        <v>0.3125</v>
      </c>
      <c r="H2278" s="368">
        <v>0.5</v>
      </c>
      <c r="I2278" s="372" t="str">
        <f t="shared" si="62"/>
        <v>270</v>
      </c>
      <c r="J2278" s="369">
        <v>5</v>
      </c>
      <c r="K2278" s="370"/>
      <c r="L2278" s="368">
        <v>0.3125</v>
      </c>
      <c r="M2278" s="368">
        <v>0.5</v>
      </c>
      <c r="N2278" s="372" t="str">
        <f t="shared" si="63"/>
        <v>270</v>
      </c>
      <c r="O2278" s="371">
        <f t="shared" si="64"/>
        <v>2700</v>
      </c>
      <c r="P2278" s="366">
        <f t="shared" si="65"/>
        <v>0.3125</v>
      </c>
      <c r="Q2278" s="366">
        <f t="shared" si="66"/>
        <v>0.5</v>
      </c>
      <c r="R2278" s="367" t="str">
        <f t="shared" si="67"/>
        <v>270</v>
      </c>
    </row>
    <row r="2279" spans="1:18" x14ac:dyDescent="0.4">
      <c r="A2279" s="402">
        <v>46197</v>
      </c>
      <c r="B2279" s="392" t="s">
        <v>63</v>
      </c>
      <c r="C2279" s="364" t="s">
        <v>267</v>
      </c>
      <c r="D2279" s="404">
        <v>20</v>
      </c>
      <c r="E2279" s="369">
        <v>5</v>
      </c>
      <c r="F2279" s="370"/>
      <c r="G2279" s="368">
        <v>0.43194444444444446</v>
      </c>
      <c r="H2279" s="368">
        <v>0.66666666666666663</v>
      </c>
      <c r="I2279" s="372" t="str">
        <f t="shared" si="62"/>
        <v>278</v>
      </c>
      <c r="J2279" s="371">
        <v>3</v>
      </c>
      <c r="K2279" s="371"/>
      <c r="L2279" s="365">
        <v>0.45833333333333331</v>
      </c>
      <c r="M2279" s="365">
        <v>0.6875</v>
      </c>
      <c r="N2279" s="372" t="str">
        <f t="shared" si="63"/>
        <v>270</v>
      </c>
      <c r="O2279" s="371">
        <f t="shared" si="64"/>
        <v>2200</v>
      </c>
      <c r="P2279" s="366">
        <f t="shared" si="65"/>
        <v>0.43194444444444446</v>
      </c>
      <c r="Q2279" s="366">
        <f t="shared" si="66"/>
        <v>0.6875</v>
      </c>
      <c r="R2279" s="367" t="str">
        <f t="shared" si="67"/>
        <v>308</v>
      </c>
    </row>
    <row r="2280" spans="1:18" x14ac:dyDescent="0.4">
      <c r="A2280" s="402">
        <v>46197</v>
      </c>
      <c r="B2280" s="392" t="s">
        <v>72</v>
      </c>
      <c r="C2280" s="364" t="s">
        <v>227</v>
      </c>
      <c r="D2280" s="404">
        <v>16</v>
      </c>
      <c r="E2280" s="369">
        <v>5</v>
      </c>
      <c r="F2280" s="370"/>
      <c r="G2280" s="368">
        <v>0.29166666666666669</v>
      </c>
      <c r="H2280" s="368">
        <v>0.43194444444444446</v>
      </c>
      <c r="I2280" s="372" t="str">
        <f t="shared" si="62"/>
        <v>202</v>
      </c>
      <c r="J2280" s="371">
        <v>3</v>
      </c>
      <c r="K2280" s="371"/>
      <c r="L2280" s="365">
        <v>0.3125</v>
      </c>
      <c r="M2280" s="365">
        <v>0.45833333333333331</v>
      </c>
      <c r="N2280" s="372" t="str">
        <f t="shared" si="63"/>
        <v>210</v>
      </c>
      <c r="O2280" s="371">
        <f t="shared" si="64"/>
        <v>1640</v>
      </c>
      <c r="P2280" s="366">
        <f t="shared" si="65"/>
        <v>0.29166666666666669</v>
      </c>
      <c r="Q2280" s="366">
        <f t="shared" si="66"/>
        <v>0.45833333333333331</v>
      </c>
      <c r="R2280" s="367" t="str">
        <f t="shared" si="67"/>
        <v>240</v>
      </c>
    </row>
    <row r="2281" spans="1:18" x14ac:dyDescent="0.4">
      <c r="A2281" s="402">
        <v>46197</v>
      </c>
      <c r="B2281" s="392" t="s">
        <v>104</v>
      </c>
      <c r="C2281" s="364" t="s">
        <v>191</v>
      </c>
      <c r="D2281" s="404">
        <v>28</v>
      </c>
      <c r="E2281" s="369">
        <v>3</v>
      </c>
      <c r="F2281" s="370"/>
      <c r="G2281" s="368">
        <v>0.43402777777777773</v>
      </c>
      <c r="H2281" s="368">
        <v>0.63194444444444442</v>
      </c>
      <c r="I2281" s="372" t="str">
        <f t="shared" si="62"/>
        <v>225</v>
      </c>
      <c r="J2281" s="371">
        <v>4</v>
      </c>
      <c r="K2281" s="371"/>
      <c r="L2281" s="365">
        <v>0.4826388888888889</v>
      </c>
      <c r="M2281" s="365">
        <v>0.68055555555555547</v>
      </c>
      <c r="N2281" s="372" t="str">
        <f t="shared" si="63"/>
        <v>225</v>
      </c>
      <c r="O2281" s="371">
        <f t="shared" si="64"/>
        <v>1575</v>
      </c>
      <c r="P2281" s="366">
        <f t="shared" si="65"/>
        <v>0.43402777777777773</v>
      </c>
      <c r="Q2281" s="366">
        <f t="shared" si="66"/>
        <v>0.68055555555555547</v>
      </c>
      <c r="R2281" s="367" t="str">
        <f t="shared" si="67"/>
        <v>295</v>
      </c>
    </row>
    <row r="2282" spans="1:18" x14ac:dyDescent="0.4">
      <c r="A2282" s="402">
        <v>46197</v>
      </c>
      <c r="B2282" s="392" t="s">
        <v>65</v>
      </c>
      <c r="C2282" s="364" t="s">
        <v>189</v>
      </c>
      <c r="D2282" s="404">
        <v>28</v>
      </c>
      <c r="E2282" s="369">
        <v>3</v>
      </c>
      <c r="F2282" s="368">
        <v>2.0833333333333332E-2</v>
      </c>
      <c r="G2282" s="368">
        <v>0.29166666666666669</v>
      </c>
      <c r="H2282" s="368">
        <v>0.63194444444444442</v>
      </c>
      <c r="I2282" s="372" t="str">
        <f t="shared" ref="I2282:I2345" si="68">TEXT(IF(AND(G2282&lt;=$S$2,H2282&gt;=$T$2),(H2282-G2282+F2282)-($T$2-$S$2),(H2282-G2282+F2282)),"[m]")</f>
        <v>460</v>
      </c>
      <c r="J2282" s="371">
        <v>4</v>
      </c>
      <c r="K2282" s="371"/>
      <c r="L2282" s="365">
        <v>0.29166666666666669</v>
      </c>
      <c r="M2282" s="365">
        <v>0.49305555555555558</v>
      </c>
      <c r="N2282" s="372" t="str">
        <f t="shared" ref="N2282:N2345" si="69">TEXT(IF(AND(L2282&lt;=$S$2,M2282&gt;=$T$2),(M2282-L2282+K2282)-($T$2-$S$2),(M2282-L2282+K2282)),"[m]")</f>
        <v>290</v>
      </c>
      <c r="O2282" s="371">
        <f t="shared" ref="O2282:O2345" si="70">E2282*I2282+J2282*N2282</f>
        <v>2540</v>
      </c>
      <c r="P2282" s="366">
        <f t="shared" ref="P2282:P2345" si="71">MIN(G2282:H2282,L2282:M2282)</f>
        <v>0.29166666666666669</v>
      </c>
      <c r="Q2282" s="366">
        <f t="shared" ref="Q2282:Q2345" si="72">MAX(G2282:H2282,L2282:M2282)</f>
        <v>0.63194444444444442</v>
      </c>
      <c r="R2282" s="367" t="str">
        <f t="shared" ref="R2282:R2345" si="73">TEXT(IF(AND(P2282&lt;=$S$2,Q2282&gt;=$T$2),(Q2282-P2282)-($T$2-$S$2),(Q2282-P2282)),"[m]")</f>
        <v>430</v>
      </c>
    </row>
    <row r="2283" spans="1:18" x14ac:dyDescent="0.4">
      <c r="A2283" s="402">
        <v>46198</v>
      </c>
      <c r="B2283" s="392" t="s">
        <v>1162</v>
      </c>
      <c r="C2283" s="364" t="s">
        <v>271</v>
      </c>
      <c r="D2283" s="404">
        <v>20</v>
      </c>
      <c r="E2283" s="369">
        <v>5</v>
      </c>
      <c r="F2283" s="370"/>
      <c r="G2283" s="368">
        <v>0.29166666666666669</v>
      </c>
      <c r="H2283" s="368">
        <v>0.5</v>
      </c>
      <c r="I2283" s="372" t="str">
        <f t="shared" si="68"/>
        <v>300</v>
      </c>
      <c r="J2283" s="371">
        <v>4</v>
      </c>
      <c r="K2283" s="371"/>
      <c r="L2283" s="365">
        <v>0.33333333333333331</v>
      </c>
      <c r="M2283" s="365">
        <v>0.5</v>
      </c>
      <c r="N2283" s="372" t="str">
        <f t="shared" si="69"/>
        <v>240</v>
      </c>
      <c r="O2283" s="371">
        <f t="shared" si="70"/>
        <v>2460</v>
      </c>
      <c r="P2283" s="366">
        <f t="shared" si="71"/>
        <v>0.29166666666666669</v>
      </c>
      <c r="Q2283" s="366">
        <f t="shared" si="72"/>
        <v>0.5</v>
      </c>
      <c r="R2283" s="367" t="str">
        <f t="shared" si="73"/>
        <v>300</v>
      </c>
    </row>
    <row r="2284" spans="1:18" x14ac:dyDescent="0.4">
      <c r="A2284" s="402">
        <v>46198</v>
      </c>
      <c r="B2284" s="392" t="s">
        <v>63</v>
      </c>
      <c r="C2284" s="364" t="s">
        <v>267</v>
      </c>
      <c r="D2284" s="404">
        <v>12</v>
      </c>
      <c r="E2284" s="369">
        <v>5</v>
      </c>
      <c r="F2284" s="370"/>
      <c r="G2284" s="368">
        <v>0.54166666666666663</v>
      </c>
      <c r="H2284" s="368">
        <v>0.66666666666666663</v>
      </c>
      <c r="I2284" s="372" t="str">
        <f t="shared" si="68"/>
        <v>180</v>
      </c>
      <c r="J2284" s="371">
        <v>4</v>
      </c>
      <c r="K2284" s="371"/>
      <c r="L2284" s="365">
        <v>0.54166666666666663</v>
      </c>
      <c r="M2284" s="365">
        <v>0.70833333333333337</v>
      </c>
      <c r="N2284" s="372" t="str">
        <f t="shared" si="69"/>
        <v>240</v>
      </c>
      <c r="O2284" s="371">
        <f t="shared" si="70"/>
        <v>1860</v>
      </c>
      <c r="P2284" s="366">
        <f t="shared" si="71"/>
        <v>0.54166666666666663</v>
      </c>
      <c r="Q2284" s="366">
        <f t="shared" si="72"/>
        <v>0.70833333333333337</v>
      </c>
      <c r="R2284" s="367" t="str">
        <f t="shared" si="73"/>
        <v>240</v>
      </c>
    </row>
    <row r="2285" spans="1:18" x14ac:dyDescent="0.4">
      <c r="A2285" s="402">
        <v>46198</v>
      </c>
      <c r="B2285" s="392" t="s">
        <v>108</v>
      </c>
      <c r="C2285" s="364" t="s">
        <v>231</v>
      </c>
      <c r="D2285" s="404">
        <v>18</v>
      </c>
      <c r="E2285" s="369">
        <v>3</v>
      </c>
      <c r="F2285" s="370"/>
      <c r="G2285" s="368">
        <v>0.29166666666666669</v>
      </c>
      <c r="H2285" s="368">
        <v>0.6875</v>
      </c>
      <c r="I2285" s="372" t="str">
        <f t="shared" si="68"/>
        <v>510</v>
      </c>
      <c r="J2285" s="371">
        <v>4</v>
      </c>
      <c r="K2285" s="371"/>
      <c r="L2285" s="365">
        <v>0.29166666666666669</v>
      </c>
      <c r="M2285" s="365">
        <v>0.6875</v>
      </c>
      <c r="N2285" s="372" t="str">
        <f t="shared" si="69"/>
        <v>510</v>
      </c>
      <c r="O2285" s="371">
        <f t="shared" si="70"/>
        <v>3570</v>
      </c>
      <c r="P2285" s="366">
        <f t="shared" si="71"/>
        <v>0.29166666666666669</v>
      </c>
      <c r="Q2285" s="366">
        <f t="shared" si="72"/>
        <v>0.6875</v>
      </c>
      <c r="R2285" s="367" t="str">
        <f t="shared" si="73"/>
        <v>510</v>
      </c>
    </row>
    <row r="2286" spans="1:18" x14ac:dyDescent="0.4">
      <c r="A2286" s="403">
        <v>46202</v>
      </c>
      <c r="B2286" s="383" t="s">
        <v>488</v>
      </c>
      <c r="C2286" s="390" t="s">
        <v>475</v>
      </c>
      <c r="D2286" s="405">
        <v>1</v>
      </c>
      <c r="E2286" s="384"/>
      <c r="F2286" s="385"/>
      <c r="G2286" s="396"/>
      <c r="H2286" s="396"/>
      <c r="I2286" s="386" t="str">
        <f t="shared" si="68"/>
        <v>0</v>
      </c>
      <c r="J2286" s="387"/>
      <c r="K2286" s="387"/>
      <c r="L2286" s="388"/>
      <c r="M2286" s="388"/>
      <c r="N2286" s="386" t="str">
        <f t="shared" si="69"/>
        <v>0</v>
      </c>
      <c r="O2286" s="387">
        <f t="shared" si="70"/>
        <v>0</v>
      </c>
      <c r="P2286" s="391">
        <f t="shared" si="71"/>
        <v>0</v>
      </c>
      <c r="Q2286" s="391">
        <f t="shared" si="72"/>
        <v>0</v>
      </c>
      <c r="R2286" s="389" t="str">
        <f t="shared" si="73"/>
        <v>0</v>
      </c>
    </row>
    <row r="2287" spans="1:18" s="22" customFormat="1" ht="15.75" customHeight="1" x14ac:dyDescent="0.4">
      <c r="A2287" s="417">
        <v>46203</v>
      </c>
      <c r="B2287" s="373" t="s">
        <v>71</v>
      </c>
      <c r="C2287" s="364" t="s">
        <v>176</v>
      </c>
      <c r="D2287" s="404">
        <v>32</v>
      </c>
      <c r="E2287" s="67">
        <v>6</v>
      </c>
      <c r="F2287" s="371"/>
      <c r="G2287" s="365">
        <v>0.29166666666666669</v>
      </c>
      <c r="H2287" s="365">
        <v>0.47916666666666669</v>
      </c>
      <c r="I2287" s="372" t="str">
        <f t="shared" si="68"/>
        <v>270</v>
      </c>
      <c r="J2287" s="371">
        <v>5</v>
      </c>
      <c r="K2287" s="371"/>
      <c r="L2287" s="365">
        <v>0.3125</v>
      </c>
      <c r="M2287" s="365">
        <v>0.5</v>
      </c>
      <c r="N2287" s="372" t="str">
        <f t="shared" si="69"/>
        <v>270</v>
      </c>
      <c r="O2287" s="371">
        <f t="shared" si="70"/>
        <v>2970</v>
      </c>
      <c r="P2287" s="366">
        <f t="shared" si="71"/>
        <v>0.29166666666666669</v>
      </c>
      <c r="Q2287" s="366">
        <f t="shared" si="72"/>
        <v>0.5</v>
      </c>
      <c r="R2287" s="367" t="str">
        <f t="shared" si="73"/>
        <v>300</v>
      </c>
    </row>
    <row r="2288" spans="1:18" s="22" customFormat="1" x14ac:dyDescent="0.4">
      <c r="A2288" s="417">
        <v>46203</v>
      </c>
      <c r="B2288" s="373" t="s">
        <v>109</v>
      </c>
      <c r="C2288" s="364" t="s">
        <v>263</v>
      </c>
      <c r="D2288" s="404">
        <v>8</v>
      </c>
      <c r="E2288" s="67">
        <v>4</v>
      </c>
      <c r="F2288" s="371"/>
      <c r="G2288" s="365">
        <v>0.625</v>
      </c>
      <c r="H2288" s="365">
        <v>0.66666666666666663</v>
      </c>
      <c r="I2288" s="372" t="str">
        <f t="shared" si="68"/>
        <v>60</v>
      </c>
      <c r="J2288" s="371">
        <v>4</v>
      </c>
      <c r="K2288" s="371"/>
      <c r="L2288" s="365">
        <v>0.64583333333333337</v>
      </c>
      <c r="M2288" s="365">
        <v>0.70833333333333337</v>
      </c>
      <c r="N2288" s="372" t="str">
        <f t="shared" si="69"/>
        <v>90</v>
      </c>
      <c r="O2288" s="371">
        <f t="shared" si="70"/>
        <v>600</v>
      </c>
      <c r="P2288" s="366">
        <f t="shared" si="71"/>
        <v>0.625</v>
      </c>
      <c r="Q2288" s="366">
        <f t="shared" si="72"/>
        <v>0.70833333333333337</v>
      </c>
      <c r="R2288" s="367" t="str">
        <f t="shared" si="73"/>
        <v>120</v>
      </c>
    </row>
    <row r="2289" spans="1:18" s="22" customFormat="1" x14ac:dyDescent="0.4">
      <c r="A2289" s="417">
        <v>46203</v>
      </c>
      <c r="B2289" s="373" t="s">
        <v>1046</v>
      </c>
      <c r="C2289" s="364" t="s">
        <v>1057</v>
      </c>
      <c r="D2289" s="404">
        <v>6</v>
      </c>
      <c r="E2289" s="67">
        <v>4</v>
      </c>
      <c r="F2289" s="371"/>
      <c r="G2289" s="365">
        <v>0.5625</v>
      </c>
      <c r="H2289" s="365">
        <v>0.625</v>
      </c>
      <c r="I2289" s="372" t="str">
        <f t="shared" si="68"/>
        <v>90</v>
      </c>
      <c r="J2289" s="371">
        <v>4</v>
      </c>
      <c r="K2289" s="371"/>
      <c r="L2289" s="365">
        <v>0.54166666666666663</v>
      </c>
      <c r="M2289" s="365">
        <v>0.64583333333333337</v>
      </c>
      <c r="N2289" s="372" t="str">
        <f t="shared" si="69"/>
        <v>150</v>
      </c>
      <c r="O2289" s="371">
        <f t="shared" si="70"/>
        <v>960</v>
      </c>
      <c r="P2289" s="366">
        <f t="shared" si="71"/>
        <v>0.54166666666666663</v>
      </c>
      <c r="Q2289" s="366">
        <f t="shared" si="72"/>
        <v>0.64583333333333337</v>
      </c>
      <c r="R2289" s="367" t="str">
        <f t="shared" si="73"/>
        <v>150</v>
      </c>
    </row>
    <row r="2290" spans="1:18" s="160" customFormat="1" x14ac:dyDescent="0.4">
      <c r="A2290" s="417">
        <v>46203</v>
      </c>
      <c r="B2290" s="373" t="s">
        <v>97</v>
      </c>
      <c r="C2290" s="375" t="s">
        <v>274</v>
      </c>
      <c r="D2290" s="406">
        <v>8</v>
      </c>
      <c r="E2290" s="159">
        <v>3</v>
      </c>
      <c r="F2290" s="379">
        <v>2.0833333333333332E-2</v>
      </c>
      <c r="G2290" s="379">
        <v>0.29166666666666669</v>
      </c>
      <c r="H2290" s="379">
        <v>0.33333333333333331</v>
      </c>
      <c r="I2290" s="378" t="str">
        <f t="shared" si="68"/>
        <v>90</v>
      </c>
      <c r="J2290" s="374">
        <v>4</v>
      </c>
      <c r="K2290" s="374"/>
      <c r="L2290" s="379">
        <v>0.29166666666666669</v>
      </c>
      <c r="M2290" s="379">
        <v>0.37152777777777773</v>
      </c>
      <c r="N2290" s="378" t="str">
        <f t="shared" si="69"/>
        <v>115</v>
      </c>
      <c r="O2290" s="374">
        <f t="shared" si="70"/>
        <v>730</v>
      </c>
      <c r="P2290" s="407">
        <f t="shared" si="71"/>
        <v>0.29166666666666669</v>
      </c>
      <c r="Q2290" s="407">
        <f t="shared" si="72"/>
        <v>0.37152777777777773</v>
      </c>
      <c r="R2290" s="380" t="str">
        <f t="shared" si="73"/>
        <v>115</v>
      </c>
    </row>
    <row r="2291" spans="1:18" s="160" customFormat="1" x14ac:dyDescent="0.4">
      <c r="A2291" s="417">
        <v>46203</v>
      </c>
      <c r="B2291" s="373" t="s">
        <v>65</v>
      </c>
      <c r="C2291" s="375" t="s">
        <v>189</v>
      </c>
      <c r="D2291" s="406">
        <v>48</v>
      </c>
      <c r="E2291" s="159">
        <v>3</v>
      </c>
      <c r="F2291" s="374"/>
      <c r="G2291" s="379">
        <v>0.33333333333333331</v>
      </c>
      <c r="H2291" s="379">
        <v>0.61111111111111105</v>
      </c>
      <c r="I2291" s="378" t="str">
        <f t="shared" si="68"/>
        <v>340</v>
      </c>
      <c r="J2291" s="374">
        <v>4</v>
      </c>
      <c r="K2291" s="374"/>
      <c r="L2291" s="379">
        <v>0.375</v>
      </c>
      <c r="M2291" s="379">
        <v>0.65277777777777779</v>
      </c>
      <c r="N2291" s="378" t="str">
        <f t="shared" si="69"/>
        <v>340</v>
      </c>
      <c r="O2291" s="374">
        <f t="shared" si="70"/>
        <v>2380</v>
      </c>
      <c r="P2291" s="407">
        <f t="shared" si="71"/>
        <v>0.33333333333333331</v>
      </c>
      <c r="Q2291" s="407">
        <f t="shared" si="72"/>
        <v>0.65277777777777779</v>
      </c>
      <c r="R2291" s="380" t="str">
        <f t="shared" si="73"/>
        <v>400</v>
      </c>
    </row>
    <row r="2292" spans="1:18" s="160" customFormat="1" x14ac:dyDescent="0.4">
      <c r="A2292" s="417">
        <v>46204</v>
      </c>
      <c r="B2292" s="373" t="s">
        <v>114</v>
      </c>
      <c r="C2292" s="375" t="s">
        <v>161</v>
      </c>
      <c r="D2292" s="406">
        <v>12</v>
      </c>
      <c r="E2292" s="159">
        <v>4</v>
      </c>
      <c r="F2292" s="374"/>
      <c r="G2292" s="379">
        <v>0.29166666666666669</v>
      </c>
      <c r="H2292" s="379">
        <v>0.45833333333333331</v>
      </c>
      <c r="I2292" s="378" t="str">
        <f t="shared" si="68"/>
        <v>240</v>
      </c>
      <c r="J2292" s="374">
        <v>13</v>
      </c>
      <c r="K2292" s="374"/>
      <c r="L2292" s="379">
        <v>0.3125</v>
      </c>
      <c r="M2292" s="379">
        <v>0.54166666666666663</v>
      </c>
      <c r="N2292" s="378" t="str">
        <f t="shared" si="69"/>
        <v>270</v>
      </c>
      <c r="O2292" s="374">
        <f t="shared" si="70"/>
        <v>4470</v>
      </c>
      <c r="P2292" s="407">
        <f t="shared" si="71"/>
        <v>0.29166666666666669</v>
      </c>
      <c r="Q2292" s="407">
        <f t="shared" si="72"/>
        <v>0.54166666666666663</v>
      </c>
      <c r="R2292" s="380" t="str">
        <f t="shared" si="73"/>
        <v>300</v>
      </c>
    </row>
    <row r="2293" spans="1:18" s="160" customFormat="1" x14ac:dyDescent="0.4">
      <c r="A2293" s="417">
        <v>46204</v>
      </c>
      <c r="B2293" s="373" t="s">
        <v>53</v>
      </c>
      <c r="C2293" s="375" t="s">
        <v>261</v>
      </c>
      <c r="D2293" s="406">
        <v>6</v>
      </c>
      <c r="E2293" s="159">
        <v>4</v>
      </c>
      <c r="F2293" s="374"/>
      <c r="G2293" s="379">
        <v>0.65625</v>
      </c>
      <c r="H2293" s="379">
        <v>0.70833333333333337</v>
      </c>
      <c r="I2293" s="378" t="str">
        <f t="shared" si="68"/>
        <v>75</v>
      </c>
      <c r="J2293" s="374">
        <v>3</v>
      </c>
      <c r="K2293" s="374"/>
      <c r="L2293" s="379">
        <v>0.67361111111111116</v>
      </c>
      <c r="M2293" s="379">
        <v>0.72916666666666663</v>
      </c>
      <c r="N2293" s="378" t="str">
        <f t="shared" si="69"/>
        <v>80</v>
      </c>
      <c r="O2293" s="374">
        <f t="shared" si="70"/>
        <v>540</v>
      </c>
      <c r="P2293" s="407">
        <f t="shared" si="71"/>
        <v>0.65625</v>
      </c>
      <c r="Q2293" s="407">
        <f t="shared" si="72"/>
        <v>0.72916666666666663</v>
      </c>
      <c r="R2293" s="380" t="str">
        <f t="shared" si="73"/>
        <v>105</v>
      </c>
    </row>
    <row r="2294" spans="1:18" x14ac:dyDescent="0.4">
      <c r="A2294" s="402">
        <v>46204</v>
      </c>
      <c r="B2294" s="392" t="s">
        <v>1699</v>
      </c>
      <c r="C2294" s="364" t="s">
        <v>1064</v>
      </c>
      <c r="D2294" s="404">
        <v>8</v>
      </c>
      <c r="E2294" s="369">
        <v>5</v>
      </c>
      <c r="F2294" s="370"/>
      <c r="G2294" s="368">
        <v>0.33333333333333331</v>
      </c>
      <c r="H2294" s="368">
        <v>0.4513888888888889</v>
      </c>
      <c r="I2294" s="372" t="str">
        <f t="shared" si="68"/>
        <v>170</v>
      </c>
      <c r="J2294" s="371">
        <v>4</v>
      </c>
      <c r="K2294" s="371"/>
      <c r="L2294" s="365">
        <v>0.33333333333333331</v>
      </c>
      <c r="M2294" s="365">
        <v>0.48958333333333331</v>
      </c>
      <c r="N2294" s="372" t="str">
        <f t="shared" si="69"/>
        <v>225</v>
      </c>
      <c r="O2294" s="371">
        <f t="shared" si="70"/>
        <v>1750</v>
      </c>
      <c r="P2294" s="366">
        <f t="shared" si="71"/>
        <v>0.33333333333333331</v>
      </c>
      <c r="Q2294" s="366">
        <f t="shared" si="72"/>
        <v>0.48958333333333331</v>
      </c>
      <c r="R2294" s="367" t="str">
        <f t="shared" si="73"/>
        <v>225</v>
      </c>
    </row>
    <row r="2295" spans="1:18" x14ac:dyDescent="0.4">
      <c r="A2295" s="402">
        <v>46204</v>
      </c>
      <c r="B2295" s="392" t="s">
        <v>63</v>
      </c>
      <c r="C2295" s="364" t="s">
        <v>267</v>
      </c>
      <c r="D2295" s="404">
        <v>20</v>
      </c>
      <c r="E2295" s="369">
        <v>5</v>
      </c>
      <c r="F2295" s="370"/>
      <c r="G2295" s="368">
        <v>0.52083333333333337</v>
      </c>
      <c r="H2295" s="368">
        <v>0.65277777777777779</v>
      </c>
      <c r="I2295" s="372" t="str">
        <f t="shared" si="68"/>
        <v>190</v>
      </c>
      <c r="J2295" s="371">
        <v>3</v>
      </c>
      <c r="K2295" s="371"/>
      <c r="L2295" s="365">
        <v>0.54861111111111105</v>
      </c>
      <c r="M2295" s="365">
        <v>0.67361111111111116</v>
      </c>
      <c r="N2295" s="372" t="str">
        <f t="shared" si="69"/>
        <v>180</v>
      </c>
      <c r="O2295" s="371">
        <f t="shared" si="70"/>
        <v>1490</v>
      </c>
      <c r="P2295" s="366">
        <f t="shared" si="71"/>
        <v>0.52083333333333337</v>
      </c>
      <c r="Q2295" s="366">
        <f t="shared" si="72"/>
        <v>0.67361111111111116</v>
      </c>
      <c r="R2295" s="367" t="str">
        <f t="shared" si="73"/>
        <v>220</v>
      </c>
    </row>
    <row r="2296" spans="1:18" x14ac:dyDescent="0.4">
      <c r="A2296" s="402">
        <v>46204</v>
      </c>
      <c r="B2296" s="392" t="s">
        <v>1746</v>
      </c>
      <c r="C2296" s="364" t="s">
        <v>1747</v>
      </c>
      <c r="D2296" s="404">
        <v>1</v>
      </c>
      <c r="E2296" s="369">
        <v>5</v>
      </c>
      <c r="F2296" s="370"/>
      <c r="G2296" s="368">
        <v>0.4513888888888889</v>
      </c>
      <c r="H2296" s="368">
        <v>0.48541666666666666</v>
      </c>
      <c r="I2296" s="372" t="str">
        <f t="shared" si="68"/>
        <v>49</v>
      </c>
      <c r="J2296" s="371">
        <v>3</v>
      </c>
      <c r="K2296" s="371"/>
      <c r="L2296" s="365">
        <v>0.48958333333333331</v>
      </c>
      <c r="M2296" s="365">
        <v>0.54861111111111105</v>
      </c>
      <c r="N2296" s="372" t="str">
        <f t="shared" si="69"/>
        <v>25</v>
      </c>
      <c r="O2296" s="371">
        <f t="shared" si="70"/>
        <v>320</v>
      </c>
      <c r="P2296" s="366">
        <f t="shared" si="71"/>
        <v>0.4513888888888889</v>
      </c>
      <c r="Q2296" s="366">
        <f t="shared" si="72"/>
        <v>0.54861111111111105</v>
      </c>
      <c r="R2296" s="367" t="str">
        <f t="shared" si="73"/>
        <v>80</v>
      </c>
    </row>
    <row r="2297" spans="1:18" x14ac:dyDescent="0.4">
      <c r="A2297" s="402">
        <v>46205</v>
      </c>
      <c r="B2297" s="392" t="s">
        <v>71</v>
      </c>
      <c r="C2297" s="364" t="s">
        <v>176</v>
      </c>
      <c r="D2297" s="404">
        <v>68</v>
      </c>
      <c r="E2297" s="369">
        <v>6</v>
      </c>
      <c r="F2297" s="370"/>
      <c r="G2297" s="368">
        <v>0.29166666666666669</v>
      </c>
      <c r="H2297" s="368">
        <v>0.66666666666666663</v>
      </c>
      <c r="I2297" s="372" t="str">
        <f t="shared" si="68"/>
        <v>480</v>
      </c>
      <c r="J2297" s="371">
        <v>5</v>
      </c>
      <c r="K2297" s="371"/>
      <c r="L2297" s="365">
        <v>0.3125</v>
      </c>
      <c r="M2297" s="365">
        <v>0.70833333333333337</v>
      </c>
      <c r="N2297" s="372" t="str">
        <f t="shared" si="69"/>
        <v>510</v>
      </c>
      <c r="O2297" s="371">
        <f t="shared" si="70"/>
        <v>5430</v>
      </c>
      <c r="P2297" s="366">
        <f t="shared" si="71"/>
        <v>0.29166666666666669</v>
      </c>
      <c r="Q2297" s="366">
        <f t="shared" si="72"/>
        <v>0.70833333333333337</v>
      </c>
      <c r="R2297" s="367" t="str">
        <f t="shared" si="73"/>
        <v>540</v>
      </c>
    </row>
    <row r="2298" spans="1:18" x14ac:dyDescent="0.4">
      <c r="A2298" s="402">
        <v>46205</v>
      </c>
      <c r="B2298" s="392" t="s">
        <v>1749</v>
      </c>
      <c r="C2298" s="364" t="s">
        <v>205</v>
      </c>
      <c r="D2298" s="404">
        <v>8</v>
      </c>
      <c r="E2298" s="369">
        <v>5</v>
      </c>
      <c r="F2298" s="370"/>
      <c r="G2298" s="368">
        <v>0.29166666666666669</v>
      </c>
      <c r="H2298" s="368">
        <v>0.38541666666666669</v>
      </c>
      <c r="I2298" s="372" t="str">
        <f t="shared" si="68"/>
        <v>135</v>
      </c>
      <c r="J2298" s="371">
        <v>5</v>
      </c>
      <c r="K2298" s="371"/>
      <c r="L2298" s="365">
        <v>0.29166666666666669</v>
      </c>
      <c r="M2298" s="365">
        <v>0.38541666666666669</v>
      </c>
      <c r="N2298" s="372" t="str">
        <f t="shared" si="69"/>
        <v>135</v>
      </c>
      <c r="O2298" s="371">
        <f t="shared" si="70"/>
        <v>1350</v>
      </c>
      <c r="P2298" s="366">
        <f t="shared" si="71"/>
        <v>0.29166666666666669</v>
      </c>
      <c r="Q2298" s="366">
        <f t="shared" si="72"/>
        <v>0.38541666666666669</v>
      </c>
      <c r="R2298" s="367" t="str">
        <f t="shared" si="73"/>
        <v>135</v>
      </c>
    </row>
    <row r="2299" spans="1:18" x14ac:dyDescent="0.4">
      <c r="A2299" s="402">
        <v>46205</v>
      </c>
      <c r="B2299" s="392" t="s">
        <v>75</v>
      </c>
      <c r="C2299" s="364" t="s">
        <v>229</v>
      </c>
      <c r="D2299" s="404">
        <v>8</v>
      </c>
      <c r="E2299" s="369">
        <v>5</v>
      </c>
      <c r="F2299" s="370"/>
      <c r="G2299" s="368">
        <v>0.38541666666666669</v>
      </c>
      <c r="H2299" s="368">
        <v>0.47916666666666669</v>
      </c>
      <c r="I2299" s="372" t="str">
        <f t="shared" si="68"/>
        <v>135</v>
      </c>
      <c r="J2299" s="371">
        <v>5</v>
      </c>
      <c r="K2299" s="371"/>
      <c r="L2299" s="365">
        <v>0.38541666666666669</v>
      </c>
      <c r="M2299" s="365">
        <v>0.47916666666666669</v>
      </c>
      <c r="N2299" s="372" t="str">
        <f t="shared" si="69"/>
        <v>135</v>
      </c>
      <c r="O2299" s="371">
        <f t="shared" si="70"/>
        <v>1350</v>
      </c>
      <c r="P2299" s="366">
        <f t="shared" si="71"/>
        <v>0.38541666666666669</v>
      </c>
      <c r="Q2299" s="366">
        <f t="shared" si="72"/>
        <v>0.47916666666666669</v>
      </c>
      <c r="R2299" s="367" t="str">
        <f t="shared" si="73"/>
        <v>135</v>
      </c>
    </row>
    <row r="2300" spans="1:18" x14ac:dyDescent="0.4">
      <c r="A2300" s="402">
        <v>46205</v>
      </c>
      <c r="B2300" s="392" t="s">
        <v>1162</v>
      </c>
      <c r="C2300" s="364" t="s">
        <v>271</v>
      </c>
      <c r="D2300" s="404">
        <v>16</v>
      </c>
      <c r="E2300" s="369">
        <v>5</v>
      </c>
      <c r="F2300" s="370"/>
      <c r="G2300" s="368">
        <v>0.52083333333333337</v>
      </c>
      <c r="H2300" s="368">
        <v>0.66666666666666663</v>
      </c>
      <c r="I2300" s="372" t="str">
        <f t="shared" si="68"/>
        <v>210</v>
      </c>
      <c r="J2300" s="371">
        <v>5</v>
      </c>
      <c r="K2300" s="371"/>
      <c r="L2300" s="365">
        <v>0.52083333333333337</v>
      </c>
      <c r="M2300" s="365">
        <v>0.66666666666666663</v>
      </c>
      <c r="N2300" s="372" t="str">
        <f t="shared" si="69"/>
        <v>210</v>
      </c>
      <c r="O2300" s="371">
        <f t="shared" si="70"/>
        <v>2100</v>
      </c>
      <c r="P2300" s="366">
        <f t="shared" si="71"/>
        <v>0.52083333333333337</v>
      </c>
      <c r="Q2300" s="366">
        <f t="shared" si="72"/>
        <v>0.66666666666666663</v>
      </c>
      <c r="R2300" s="367" t="str">
        <f t="shared" si="73"/>
        <v>210</v>
      </c>
    </row>
    <row r="2301" spans="1:18" x14ac:dyDescent="0.4">
      <c r="A2301" s="402">
        <v>46205</v>
      </c>
      <c r="B2301" s="392" t="s">
        <v>9</v>
      </c>
      <c r="C2301" s="364" t="s">
        <v>189</v>
      </c>
      <c r="D2301" s="404">
        <v>56</v>
      </c>
      <c r="E2301" s="369">
        <v>3</v>
      </c>
      <c r="F2301" s="368">
        <v>2.0833333333333332E-2</v>
      </c>
      <c r="G2301" s="368">
        <v>0.29166666666666669</v>
      </c>
      <c r="H2301" s="368">
        <v>0.60416666666666663</v>
      </c>
      <c r="I2301" s="372" t="str">
        <f t="shared" si="68"/>
        <v>420</v>
      </c>
      <c r="J2301" s="371">
        <v>4</v>
      </c>
      <c r="K2301" s="371"/>
      <c r="L2301" s="365">
        <v>0.29166666666666669</v>
      </c>
      <c r="M2301" s="365">
        <v>0.64583333333333337</v>
      </c>
      <c r="N2301" s="372" t="str">
        <f t="shared" si="69"/>
        <v>450</v>
      </c>
      <c r="O2301" s="371">
        <f t="shared" si="70"/>
        <v>3060</v>
      </c>
      <c r="P2301" s="366">
        <f t="shared" si="71"/>
        <v>0.29166666666666669</v>
      </c>
      <c r="Q2301" s="366">
        <f t="shared" si="72"/>
        <v>0.64583333333333337</v>
      </c>
      <c r="R2301" s="367" t="str">
        <f t="shared" si="73"/>
        <v>450</v>
      </c>
    </row>
    <row r="2302" spans="1:18" s="22" customFormat="1" x14ac:dyDescent="0.4">
      <c r="A2302" s="417">
        <v>46206</v>
      </c>
      <c r="B2302" s="373" t="s">
        <v>61</v>
      </c>
      <c r="C2302" s="364" t="s">
        <v>156</v>
      </c>
      <c r="D2302" s="404">
        <v>36</v>
      </c>
      <c r="E2302" s="67">
        <v>4</v>
      </c>
      <c r="F2302" s="371"/>
      <c r="G2302" s="365">
        <v>0.29166666666666669</v>
      </c>
      <c r="H2302" s="365">
        <v>0.66666666666666663</v>
      </c>
      <c r="I2302" s="372" t="str">
        <f t="shared" si="68"/>
        <v>480</v>
      </c>
      <c r="J2302" s="371">
        <v>10</v>
      </c>
      <c r="K2302" s="371"/>
      <c r="L2302" s="365">
        <v>0.3125</v>
      </c>
      <c r="M2302" s="365">
        <v>0.70833333333333337</v>
      </c>
      <c r="N2302" s="372" t="str">
        <f t="shared" si="69"/>
        <v>510</v>
      </c>
      <c r="O2302" s="371">
        <f t="shared" si="70"/>
        <v>7020</v>
      </c>
      <c r="P2302" s="366">
        <f t="shared" si="71"/>
        <v>0.29166666666666669</v>
      </c>
      <c r="Q2302" s="366">
        <f t="shared" si="72"/>
        <v>0.70833333333333337</v>
      </c>
      <c r="R2302" s="367" t="str">
        <f t="shared" si="73"/>
        <v>540</v>
      </c>
    </row>
    <row r="2303" spans="1:18" x14ac:dyDescent="0.4">
      <c r="A2303" s="402">
        <v>46206</v>
      </c>
      <c r="B2303" s="392" t="s">
        <v>1737</v>
      </c>
      <c r="C2303" s="364" t="s">
        <v>235</v>
      </c>
      <c r="D2303" s="404">
        <v>12</v>
      </c>
      <c r="E2303" s="369">
        <v>5</v>
      </c>
      <c r="F2303" s="370"/>
      <c r="G2303" s="368">
        <v>0.29166666666666669</v>
      </c>
      <c r="H2303" s="368">
        <v>0.39930555555555558</v>
      </c>
      <c r="I2303" s="372" t="str">
        <f t="shared" si="68"/>
        <v>155</v>
      </c>
      <c r="J2303" s="371">
        <v>3</v>
      </c>
      <c r="K2303" s="371"/>
      <c r="L2303" s="365">
        <v>0.3125</v>
      </c>
      <c r="M2303" s="365">
        <v>0.4236111111111111</v>
      </c>
      <c r="N2303" s="372" t="str">
        <f t="shared" si="69"/>
        <v>160</v>
      </c>
      <c r="O2303" s="371">
        <f t="shared" si="70"/>
        <v>1255</v>
      </c>
      <c r="P2303" s="366">
        <f t="shared" si="71"/>
        <v>0.29166666666666669</v>
      </c>
      <c r="Q2303" s="366">
        <f t="shared" si="72"/>
        <v>0.4236111111111111</v>
      </c>
      <c r="R2303" s="367" t="str">
        <f t="shared" si="73"/>
        <v>190</v>
      </c>
    </row>
    <row r="2304" spans="1:18" x14ac:dyDescent="0.4">
      <c r="A2304" s="402">
        <v>46206</v>
      </c>
      <c r="B2304" s="392" t="s">
        <v>63</v>
      </c>
      <c r="C2304" s="364" t="s">
        <v>267</v>
      </c>
      <c r="D2304" s="404">
        <v>24</v>
      </c>
      <c r="E2304" s="369">
        <v>5</v>
      </c>
      <c r="F2304" s="370"/>
      <c r="G2304" s="368">
        <v>0.42152777777777778</v>
      </c>
      <c r="H2304" s="368">
        <v>0.66666666666666663</v>
      </c>
      <c r="I2304" s="372" t="str">
        <f t="shared" si="68"/>
        <v>293</v>
      </c>
      <c r="J2304" s="371">
        <v>3</v>
      </c>
      <c r="K2304" s="371"/>
      <c r="L2304" s="365">
        <v>0.44444444444444442</v>
      </c>
      <c r="M2304" s="365">
        <v>0.6875</v>
      </c>
      <c r="N2304" s="372" t="str">
        <f t="shared" si="69"/>
        <v>290</v>
      </c>
      <c r="O2304" s="371">
        <f t="shared" si="70"/>
        <v>2335</v>
      </c>
      <c r="P2304" s="366">
        <f t="shared" si="71"/>
        <v>0.42152777777777778</v>
      </c>
      <c r="Q2304" s="366">
        <f t="shared" si="72"/>
        <v>0.6875</v>
      </c>
      <c r="R2304" s="367" t="str">
        <f t="shared" si="73"/>
        <v>323</v>
      </c>
    </row>
    <row r="2305" spans="1:18" s="361" customFormat="1" x14ac:dyDescent="0.4">
      <c r="A2305" s="402">
        <v>46206</v>
      </c>
      <c r="B2305" s="392" t="s">
        <v>1745</v>
      </c>
      <c r="C2305" s="364" t="s">
        <v>1747</v>
      </c>
      <c r="D2305" s="404">
        <v>1</v>
      </c>
      <c r="E2305" s="369">
        <v>5</v>
      </c>
      <c r="F2305" s="370"/>
      <c r="G2305" s="368">
        <v>0.39930555555555558</v>
      </c>
      <c r="H2305" s="368">
        <v>0.42152777777777778</v>
      </c>
      <c r="I2305" s="372" t="str">
        <f t="shared" si="68"/>
        <v>32</v>
      </c>
      <c r="J2305" s="371">
        <v>3</v>
      </c>
      <c r="K2305" s="371"/>
      <c r="L2305" s="365">
        <v>0.4236111111111111</v>
      </c>
      <c r="M2305" s="365">
        <v>0.44444444444444442</v>
      </c>
      <c r="N2305" s="372" t="str">
        <f t="shared" ref="N2305" si="74">TEXT(IF(AND(L2305&lt;=$S$2,M2305&gt;=$T$2),(M2305-L2305+K2305)-($T$2-$S$2),(M2305-L2305+K2305)),"[m]")</f>
        <v>30</v>
      </c>
      <c r="O2305" s="371">
        <f t="shared" ref="O2305" si="75">E2305*I2305+J2305*N2305</f>
        <v>250</v>
      </c>
      <c r="P2305" s="366">
        <f t="shared" ref="P2305" si="76">MIN(G2305:H2305,L2305:M2305)</f>
        <v>0.39930555555555558</v>
      </c>
      <c r="Q2305" s="366">
        <f t="shared" ref="Q2305" si="77">MAX(G2305:H2305,L2305:M2305)</f>
        <v>0.44444444444444442</v>
      </c>
      <c r="R2305" s="367" t="str">
        <f t="shared" ref="R2305" si="78">TEXT(IF(AND(P2305&lt;=$S$2,Q2305&gt;=$T$2),(Q2305-P2305)-($T$2-$S$2),(Q2305-P2305)),"[m]")</f>
        <v>65</v>
      </c>
    </row>
    <row r="2306" spans="1:18" x14ac:dyDescent="0.4">
      <c r="A2306" s="402">
        <v>46206</v>
      </c>
      <c r="B2306" s="392" t="s">
        <v>1748</v>
      </c>
      <c r="C2306" s="364" t="s">
        <v>189</v>
      </c>
      <c r="D2306" s="404">
        <v>56</v>
      </c>
      <c r="E2306" s="369">
        <v>3</v>
      </c>
      <c r="F2306" s="368">
        <v>2.0833333333333332E-2</v>
      </c>
      <c r="G2306" s="368">
        <v>0.29166666666666669</v>
      </c>
      <c r="H2306" s="368">
        <v>0.59722222222222221</v>
      </c>
      <c r="I2306" s="372" t="str">
        <f t="shared" si="68"/>
        <v>410</v>
      </c>
      <c r="J2306" s="371">
        <v>4</v>
      </c>
      <c r="K2306" s="371"/>
      <c r="L2306" s="365">
        <v>0.29166666666666669</v>
      </c>
      <c r="M2306" s="365">
        <v>0.63888888888888895</v>
      </c>
      <c r="N2306" s="372" t="str">
        <f t="shared" si="69"/>
        <v>440</v>
      </c>
      <c r="O2306" s="371">
        <f t="shared" si="70"/>
        <v>2990</v>
      </c>
      <c r="P2306" s="366">
        <f t="shared" si="71"/>
        <v>0.29166666666666669</v>
      </c>
      <c r="Q2306" s="366">
        <f t="shared" si="72"/>
        <v>0.63888888888888895</v>
      </c>
      <c r="R2306" s="367" t="str">
        <f t="shared" si="73"/>
        <v>440</v>
      </c>
    </row>
    <row r="2307" spans="1:18" x14ac:dyDescent="0.4">
      <c r="A2307" s="402">
        <v>46209</v>
      </c>
      <c r="B2307" s="392" t="s">
        <v>71</v>
      </c>
      <c r="C2307" s="364" t="s">
        <v>176</v>
      </c>
      <c r="D2307" s="404">
        <v>68</v>
      </c>
      <c r="E2307" s="369">
        <v>6</v>
      </c>
      <c r="F2307" s="370"/>
      <c r="G2307" s="368">
        <v>0.29166666666666669</v>
      </c>
      <c r="H2307" s="368">
        <v>0.70833333333333337</v>
      </c>
      <c r="I2307" s="372" t="str">
        <f t="shared" si="68"/>
        <v>540</v>
      </c>
      <c r="J2307" s="371">
        <v>5</v>
      </c>
      <c r="K2307" s="371"/>
      <c r="L2307" s="365">
        <v>0.3125</v>
      </c>
      <c r="M2307" s="365">
        <v>0.72916666666666663</v>
      </c>
      <c r="N2307" s="372" t="str">
        <f t="shared" si="69"/>
        <v>540</v>
      </c>
      <c r="O2307" s="371">
        <f t="shared" si="70"/>
        <v>5940</v>
      </c>
      <c r="P2307" s="366">
        <f t="shared" si="71"/>
        <v>0.29166666666666669</v>
      </c>
      <c r="Q2307" s="366">
        <f t="shared" si="72"/>
        <v>0.72916666666666663</v>
      </c>
      <c r="R2307" s="367" t="str">
        <f t="shared" si="73"/>
        <v>570</v>
      </c>
    </row>
    <row r="2308" spans="1:18" x14ac:dyDescent="0.4">
      <c r="A2308" s="402">
        <v>46209</v>
      </c>
      <c r="B2308" s="392" t="s">
        <v>77</v>
      </c>
      <c r="C2308" s="364" t="s">
        <v>293</v>
      </c>
      <c r="D2308" s="404">
        <v>8</v>
      </c>
      <c r="E2308" s="369">
        <v>5</v>
      </c>
      <c r="F2308" s="370"/>
      <c r="G2308" s="368">
        <v>0.29166666666666669</v>
      </c>
      <c r="H2308" s="368">
        <v>0.36180555555555555</v>
      </c>
      <c r="I2308" s="372" t="str">
        <f t="shared" si="68"/>
        <v>101</v>
      </c>
      <c r="J2308" s="371">
        <v>3</v>
      </c>
      <c r="K2308" s="371"/>
      <c r="L2308" s="365">
        <v>0.3125</v>
      </c>
      <c r="M2308" s="365">
        <v>0.3888888888888889</v>
      </c>
      <c r="N2308" s="372" t="str">
        <f t="shared" si="69"/>
        <v>110</v>
      </c>
      <c r="O2308" s="371">
        <f t="shared" si="70"/>
        <v>835</v>
      </c>
      <c r="P2308" s="366">
        <f t="shared" si="71"/>
        <v>0.29166666666666669</v>
      </c>
      <c r="Q2308" s="366">
        <f t="shared" si="72"/>
        <v>0.3888888888888889</v>
      </c>
      <c r="R2308" s="367" t="str">
        <f t="shared" si="73"/>
        <v>140</v>
      </c>
    </row>
    <row r="2309" spans="1:18" x14ac:dyDescent="0.4">
      <c r="A2309" s="402">
        <v>46209</v>
      </c>
      <c r="B2309" s="392" t="s">
        <v>76</v>
      </c>
      <c r="C2309" s="364" t="s">
        <v>224</v>
      </c>
      <c r="D2309" s="404">
        <v>16</v>
      </c>
      <c r="E2309" s="369">
        <v>5</v>
      </c>
      <c r="F2309" s="370"/>
      <c r="G2309" s="368">
        <v>0.36180555555555555</v>
      </c>
      <c r="H2309" s="368">
        <v>0.5</v>
      </c>
      <c r="I2309" s="372" t="str">
        <f t="shared" si="68"/>
        <v>199</v>
      </c>
      <c r="J2309" s="371">
        <v>3</v>
      </c>
      <c r="K2309" s="371"/>
      <c r="L2309" s="365">
        <v>0.56597222222222221</v>
      </c>
      <c r="M2309" s="365">
        <v>0.6875</v>
      </c>
      <c r="N2309" s="372" t="str">
        <f t="shared" si="69"/>
        <v>175</v>
      </c>
      <c r="O2309" s="371">
        <f t="shared" si="70"/>
        <v>1520</v>
      </c>
      <c r="P2309" s="366">
        <f t="shared" si="71"/>
        <v>0.36180555555555555</v>
      </c>
      <c r="Q2309" s="366">
        <f t="shared" si="72"/>
        <v>0.6875</v>
      </c>
      <c r="R2309" s="367" t="str">
        <f t="shared" si="73"/>
        <v>409</v>
      </c>
    </row>
    <row r="2310" spans="1:18" x14ac:dyDescent="0.4">
      <c r="A2310" s="402">
        <v>46209</v>
      </c>
      <c r="B2310" s="392" t="s">
        <v>64</v>
      </c>
      <c r="C2310" s="364" t="s">
        <v>271</v>
      </c>
      <c r="D2310" s="404">
        <v>12</v>
      </c>
      <c r="E2310" s="369">
        <v>5</v>
      </c>
      <c r="F2310" s="370"/>
      <c r="G2310" s="368">
        <v>0.54166666666666663</v>
      </c>
      <c r="H2310" s="368">
        <v>0.66666666666666663</v>
      </c>
      <c r="I2310" s="372" t="str">
        <f t="shared" si="68"/>
        <v>180</v>
      </c>
      <c r="J2310" s="371">
        <v>3</v>
      </c>
      <c r="K2310" s="371"/>
      <c r="L2310" s="365">
        <v>0.3888888888888889</v>
      </c>
      <c r="M2310" s="365">
        <v>0.56597222222222221</v>
      </c>
      <c r="N2310" s="372" t="str">
        <f t="shared" si="69"/>
        <v>195</v>
      </c>
      <c r="O2310" s="371">
        <f t="shared" si="70"/>
        <v>1485</v>
      </c>
      <c r="P2310" s="366">
        <f t="shared" si="71"/>
        <v>0.3888888888888889</v>
      </c>
      <c r="Q2310" s="366">
        <f t="shared" si="72"/>
        <v>0.66666666666666663</v>
      </c>
      <c r="R2310" s="367" t="str">
        <f t="shared" si="73"/>
        <v>340</v>
      </c>
    </row>
    <row r="2311" spans="1:18" s="22" customFormat="1" x14ac:dyDescent="0.4">
      <c r="A2311" s="417">
        <v>46209</v>
      </c>
      <c r="B2311" s="373" t="s">
        <v>96</v>
      </c>
      <c r="C2311" s="364" t="s">
        <v>167</v>
      </c>
      <c r="D2311" s="404">
        <v>12</v>
      </c>
      <c r="E2311" s="67">
        <v>3</v>
      </c>
      <c r="F2311" s="365">
        <v>2.0833333333333332E-2</v>
      </c>
      <c r="G2311" s="365">
        <v>0.29166666666666669</v>
      </c>
      <c r="H2311" s="365">
        <v>0.3611111111111111</v>
      </c>
      <c r="I2311" s="372" t="str">
        <f t="shared" si="68"/>
        <v>130</v>
      </c>
      <c r="J2311" s="371">
        <v>6</v>
      </c>
      <c r="K2311" s="371"/>
      <c r="L2311" s="365">
        <v>0.29166666666666669</v>
      </c>
      <c r="M2311" s="365">
        <v>0.42708333333333331</v>
      </c>
      <c r="N2311" s="372" t="str">
        <f t="shared" si="69"/>
        <v>195</v>
      </c>
      <c r="O2311" s="371">
        <f t="shared" si="70"/>
        <v>1560</v>
      </c>
      <c r="P2311" s="366">
        <f t="shared" si="71"/>
        <v>0.29166666666666669</v>
      </c>
      <c r="Q2311" s="366">
        <f t="shared" si="72"/>
        <v>0.42708333333333331</v>
      </c>
      <c r="R2311" s="367" t="str">
        <f t="shared" si="73"/>
        <v>195</v>
      </c>
    </row>
    <row r="2312" spans="1:18" s="22" customFormat="1" x14ac:dyDescent="0.4">
      <c r="A2312" s="417">
        <v>46209</v>
      </c>
      <c r="B2312" s="373" t="s">
        <v>58</v>
      </c>
      <c r="C2312" s="364" t="s">
        <v>165</v>
      </c>
      <c r="D2312" s="404">
        <v>24</v>
      </c>
      <c r="E2312" s="67">
        <v>3</v>
      </c>
      <c r="F2312" s="371"/>
      <c r="G2312" s="365">
        <v>0.36458333333333331</v>
      </c>
      <c r="H2312" s="365">
        <v>0.64236111111111105</v>
      </c>
      <c r="I2312" s="372" t="str">
        <f t="shared" si="68"/>
        <v>340</v>
      </c>
      <c r="J2312" s="371">
        <v>6</v>
      </c>
      <c r="K2312" s="371"/>
      <c r="L2312" s="365">
        <v>0.43055555555555558</v>
      </c>
      <c r="M2312" s="365">
        <v>0.71527777777777779</v>
      </c>
      <c r="N2312" s="372" t="str">
        <f t="shared" si="69"/>
        <v>350</v>
      </c>
      <c r="O2312" s="371">
        <f t="shared" si="70"/>
        <v>3120</v>
      </c>
      <c r="P2312" s="366">
        <f t="shared" si="71"/>
        <v>0.36458333333333331</v>
      </c>
      <c r="Q2312" s="366">
        <f t="shared" si="72"/>
        <v>0.71527777777777779</v>
      </c>
      <c r="R2312" s="367" t="str">
        <f t="shared" si="73"/>
        <v>445</v>
      </c>
    </row>
    <row r="2313" spans="1:18" s="83" customFormat="1" x14ac:dyDescent="0.4">
      <c r="A2313" s="431">
        <v>46209</v>
      </c>
      <c r="B2313" s="401" t="s">
        <v>943</v>
      </c>
      <c r="C2313" s="390" t="s">
        <v>1095</v>
      </c>
      <c r="D2313" s="405">
        <v>1</v>
      </c>
      <c r="E2313" s="411"/>
      <c r="F2313" s="387"/>
      <c r="G2313" s="388"/>
      <c r="H2313" s="388"/>
      <c r="I2313" s="386" t="str">
        <f t="shared" si="68"/>
        <v>0</v>
      </c>
      <c r="J2313" s="387"/>
      <c r="K2313" s="387"/>
      <c r="L2313" s="388"/>
      <c r="M2313" s="388"/>
      <c r="N2313" s="386" t="str">
        <f t="shared" si="69"/>
        <v>0</v>
      </c>
      <c r="O2313" s="387">
        <f t="shared" si="70"/>
        <v>0</v>
      </c>
      <c r="P2313" s="391">
        <f t="shared" si="71"/>
        <v>0</v>
      </c>
      <c r="Q2313" s="391">
        <f t="shared" si="72"/>
        <v>0</v>
      </c>
      <c r="R2313" s="389" t="str">
        <f t="shared" si="73"/>
        <v>0</v>
      </c>
    </row>
    <row r="2314" spans="1:18" s="22" customFormat="1" x14ac:dyDescent="0.4">
      <c r="A2314" s="417">
        <v>46210</v>
      </c>
      <c r="B2314" s="373" t="s">
        <v>1070</v>
      </c>
      <c r="C2314" s="364" t="s">
        <v>298</v>
      </c>
      <c r="D2314" s="404">
        <v>3</v>
      </c>
      <c r="E2314" s="67">
        <v>4</v>
      </c>
      <c r="F2314" s="371"/>
      <c r="G2314" s="365">
        <v>0.60625000000000007</v>
      </c>
      <c r="H2314" s="365">
        <v>0.66666666666666663</v>
      </c>
      <c r="I2314" s="372" t="str">
        <f t="shared" si="68"/>
        <v>87</v>
      </c>
      <c r="J2314" s="371">
        <v>14</v>
      </c>
      <c r="K2314" s="371"/>
      <c r="L2314" s="365">
        <v>0.61805555555555558</v>
      </c>
      <c r="M2314" s="365">
        <v>0.75</v>
      </c>
      <c r="N2314" s="372" t="str">
        <f t="shared" si="69"/>
        <v>190</v>
      </c>
      <c r="O2314" s="371">
        <f t="shared" si="70"/>
        <v>3008</v>
      </c>
      <c r="P2314" s="366">
        <f t="shared" si="71"/>
        <v>0.60625000000000007</v>
      </c>
      <c r="Q2314" s="366">
        <f t="shared" si="72"/>
        <v>0.75</v>
      </c>
      <c r="R2314" s="367" t="str">
        <f t="shared" si="73"/>
        <v>207</v>
      </c>
    </row>
    <row r="2315" spans="1:18" s="22" customFormat="1" x14ac:dyDescent="0.4">
      <c r="A2315" s="417">
        <v>46210</v>
      </c>
      <c r="B2315" s="373" t="s">
        <v>106</v>
      </c>
      <c r="C2315" s="364" t="s">
        <v>173</v>
      </c>
      <c r="D2315" s="404">
        <v>20</v>
      </c>
      <c r="E2315" s="67">
        <v>4</v>
      </c>
      <c r="F2315" s="371"/>
      <c r="G2315" s="365">
        <v>0.29166666666666669</v>
      </c>
      <c r="H2315" s="365">
        <v>0.60416666666666663</v>
      </c>
      <c r="I2315" s="372" t="str">
        <f t="shared" si="68"/>
        <v>390</v>
      </c>
      <c r="J2315" s="371">
        <v>9</v>
      </c>
      <c r="K2315" s="371"/>
      <c r="L2315" s="365">
        <v>0.3125</v>
      </c>
      <c r="M2315" s="365">
        <v>0.54166666666666663</v>
      </c>
      <c r="N2315" s="372" t="str">
        <f t="shared" si="69"/>
        <v>270</v>
      </c>
      <c r="O2315" s="371">
        <f t="shared" si="70"/>
        <v>3990</v>
      </c>
      <c r="P2315" s="366">
        <f t="shared" si="71"/>
        <v>0.29166666666666669</v>
      </c>
      <c r="Q2315" s="366">
        <f t="shared" si="72"/>
        <v>0.60416666666666663</v>
      </c>
      <c r="R2315" s="367" t="str">
        <f t="shared" si="73"/>
        <v>390</v>
      </c>
    </row>
    <row r="2316" spans="1:18" x14ac:dyDescent="0.4">
      <c r="A2316" s="402">
        <v>46210</v>
      </c>
      <c r="B2316" s="392" t="s">
        <v>1696</v>
      </c>
      <c r="C2316" s="364" t="s">
        <v>249</v>
      </c>
      <c r="D2316" s="404">
        <v>8</v>
      </c>
      <c r="E2316" s="369">
        <v>5</v>
      </c>
      <c r="F2316" s="370"/>
      <c r="G2316" s="368">
        <v>0.3756944444444445</v>
      </c>
      <c r="H2316" s="368">
        <v>0.4381944444444445</v>
      </c>
      <c r="I2316" s="372" t="str">
        <f t="shared" si="68"/>
        <v>90</v>
      </c>
      <c r="J2316" s="371">
        <v>3</v>
      </c>
      <c r="K2316" s="371"/>
      <c r="L2316" s="365">
        <v>0.39930555555555558</v>
      </c>
      <c r="M2316" s="365">
        <v>0.47222222222222227</v>
      </c>
      <c r="N2316" s="372" t="str">
        <f t="shared" si="69"/>
        <v>105</v>
      </c>
      <c r="O2316" s="371">
        <f t="shared" si="70"/>
        <v>765</v>
      </c>
      <c r="P2316" s="366">
        <f t="shared" si="71"/>
        <v>0.3756944444444445</v>
      </c>
      <c r="Q2316" s="366">
        <f t="shared" si="72"/>
        <v>0.47222222222222227</v>
      </c>
      <c r="R2316" s="367" t="str">
        <f t="shared" si="73"/>
        <v>139</v>
      </c>
    </row>
    <row r="2317" spans="1:18" x14ac:dyDescent="0.4">
      <c r="A2317" s="402">
        <v>46210</v>
      </c>
      <c r="B2317" s="392" t="s">
        <v>1667</v>
      </c>
      <c r="C2317" s="364" t="s">
        <v>1668</v>
      </c>
      <c r="D2317" s="404">
        <v>6</v>
      </c>
      <c r="E2317" s="369">
        <v>5</v>
      </c>
      <c r="F2317" s="370"/>
      <c r="G2317" s="368">
        <v>0.29166666666666669</v>
      </c>
      <c r="H2317" s="368">
        <v>0.3756944444444445</v>
      </c>
      <c r="I2317" s="372" t="str">
        <f t="shared" si="68"/>
        <v>121</v>
      </c>
      <c r="J2317" s="371">
        <v>3</v>
      </c>
      <c r="K2317" s="371"/>
      <c r="L2317" s="365">
        <v>0.3125</v>
      </c>
      <c r="M2317" s="365">
        <v>0.39930555555555558</v>
      </c>
      <c r="N2317" s="372" t="str">
        <f t="shared" si="69"/>
        <v>125</v>
      </c>
      <c r="O2317" s="371">
        <f t="shared" si="70"/>
        <v>980</v>
      </c>
      <c r="P2317" s="366">
        <f t="shared" si="71"/>
        <v>0.29166666666666669</v>
      </c>
      <c r="Q2317" s="366">
        <f t="shared" si="72"/>
        <v>0.39930555555555558</v>
      </c>
      <c r="R2317" s="367" t="str">
        <f t="shared" si="73"/>
        <v>155</v>
      </c>
    </row>
    <row r="2318" spans="1:18" x14ac:dyDescent="0.4">
      <c r="A2318" s="402">
        <v>46210</v>
      </c>
      <c r="B2318" s="392" t="s">
        <v>63</v>
      </c>
      <c r="C2318" s="364" t="s">
        <v>267</v>
      </c>
      <c r="D2318" s="404">
        <v>24</v>
      </c>
      <c r="E2318" s="369">
        <v>5</v>
      </c>
      <c r="F2318" s="370"/>
      <c r="G2318" s="368">
        <v>0.4381944444444445</v>
      </c>
      <c r="H2318" s="368">
        <v>0.66666666666666663</v>
      </c>
      <c r="I2318" s="372" t="str">
        <f t="shared" si="68"/>
        <v>269</v>
      </c>
      <c r="J2318" s="371">
        <v>3</v>
      </c>
      <c r="K2318" s="371"/>
      <c r="L2318" s="365">
        <v>0.47222222222222227</v>
      </c>
      <c r="M2318" s="365">
        <v>0.6875</v>
      </c>
      <c r="N2318" s="372" t="str">
        <f t="shared" si="69"/>
        <v>250</v>
      </c>
      <c r="O2318" s="371">
        <f t="shared" si="70"/>
        <v>2095</v>
      </c>
      <c r="P2318" s="366">
        <f t="shared" si="71"/>
        <v>0.4381944444444445</v>
      </c>
      <c r="Q2318" s="366">
        <f t="shared" si="72"/>
        <v>0.6875</v>
      </c>
      <c r="R2318" s="367" t="str">
        <f t="shared" si="73"/>
        <v>299</v>
      </c>
    </row>
    <row r="2319" spans="1:18" x14ac:dyDescent="0.4">
      <c r="A2319" s="402">
        <v>46210</v>
      </c>
      <c r="B2319" s="392" t="s">
        <v>104</v>
      </c>
      <c r="C2319" s="364" t="s">
        <v>191</v>
      </c>
      <c r="D2319" s="404">
        <v>60</v>
      </c>
      <c r="E2319" s="369">
        <v>3</v>
      </c>
      <c r="F2319" s="368">
        <v>2.0833333333333332E-2</v>
      </c>
      <c r="G2319" s="368">
        <v>0.29166666666666669</v>
      </c>
      <c r="H2319" s="368">
        <v>0.63541666666666663</v>
      </c>
      <c r="I2319" s="372" t="str">
        <f t="shared" si="68"/>
        <v>465</v>
      </c>
      <c r="J2319" s="371">
        <v>4</v>
      </c>
      <c r="K2319" s="371"/>
      <c r="L2319" s="365">
        <v>0.29166666666666669</v>
      </c>
      <c r="M2319" s="365">
        <v>0.68055555555555547</v>
      </c>
      <c r="N2319" s="372" t="str">
        <f t="shared" si="69"/>
        <v>500</v>
      </c>
      <c r="O2319" s="371">
        <f t="shared" si="70"/>
        <v>3395</v>
      </c>
      <c r="P2319" s="366">
        <f t="shared" si="71"/>
        <v>0.29166666666666669</v>
      </c>
      <c r="Q2319" s="366">
        <f t="shared" si="72"/>
        <v>0.68055555555555547</v>
      </c>
      <c r="R2319" s="367" t="str">
        <f t="shared" si="73"/>
        <v>500</v>
      </c>
    </row>
    <row r="2320" spans="1:18" x14ac:dyDescent="0.4">
      <c r="A2320" s="402">
        <v>46211</v>
      </c>
      <c r="B2320" s="392" t="s">
        <v>51</v>
      </c>
      <c r="C2320" s="364" t="s">
        <v>253</v>
      </c>
      <c r="D2320" s="404">
        <v>16</v>
      </c>
      <c r="E2320" s="369">
        <v>4</v>
      </c>
      <c r="F2320" s="370"/>
      <c r="G2320" s="368">
        <v>0.54166666666666663</v>
      </c>
      <c r="H2320" s="368">
        <v>0.6875</v>
      </c>
      <c r="I2320" s="372" t="str">
        <f t="shared" si="68"/>
        <v>210</v>
      </c>
      <c r="J2320" s="371">
        <v>3</v>
      </c>
      <c r="K2320" s="371"/>
      <c r="L2320" s="365">
        <v>0.54166666666666663</v>
      </c>
      <c r="M2320" s="365">
        <v>0.70833333333333337</v>
      </c>
      <c r="N2320" s="372" t="str">
        <f t="shared" si="69"/>
        <v>240</v>
      </c>
      <c r="O2320" s="371">
        <f t="shared" si="70"/>
        <v>1560</v>
      </c>
      <c r="P2320" s="366">
        <f t="shared" si="71"/>
        <v>0.54166666666666663</v>
      </c>
      <c r="Q2320" s="366">
        <f t="shared" si="72"/>
        <v>0.70833333333333337</v>
      </c>
      <c r="R2320" s="367" t="str">
        <f t="shared" si="73"/>
        <v>240</v>
      </c>
    </row>
    <row r="2321" spans="1:18" x14ac:dyDescent="0.4">
      <c r="A2321" s="402">
        <v>46211</v>
      </c>
      <c r="B2321" s="392" t="s">
        <v>54</v>
      </c>
      <c r="C2321" s="364" t="s">
        <v>251</v>
      </c>
      <c r="D2321" s="404">
        <v>24</v>
      </c>
      <c r="E2321" s="369">
        <v>4</v>
      </c>
      <c r="F2321" s="370"/>
      <c r="G2321" s="368">
        <v>0.29166666666666669</v>
      </c>
      <c r="H2321" s="368">
        <v>0.5</v>
      </c>
      <c r="I2321" s="372" t="str">
        <f t="shared" si="68"/>
        <v>300</v>
      </c>
      <c r="J2321" s="371">
        <v>3</v>
      </c>
      <c r="K2321" s="371"/>
      <c r="L2321" s="365">
        <v>0.3125</v>
      </c>
      <c r="M2321" s="365">
        <v>0.5</v>
      </c>
      <c r="N2321" s="372" t="str">
        <f t="shared" si="69"/>
        <v>270</v>
      </c>
      <c r="O2321" s="371">
        <f t="shared" si="70"/>
        <v>2010</v>
      </c>
      <c r="P2321" s="366">
        <f t="shared" si="71"/>
        <v>0.29166666666666669</v>
      </c>
      <c r="Q2321" s="366">
        <f t="shared" si="72"/>
        <v>0.5</v>
      </c>
      <c r="R2321" s="367" t="str">
        <f t="shared" si="73"/>
        <v>300</v>
      </c>
    </row>
    <row r="2322" spans="1:18" x14ac:dyDescent="0.4">
      <c r="A2322" s="402">
        <v>46211</v>
      </c>
      <c r="B2322" s="392" t="s">
        <v>116</v>
      </c>
      <c r="C2322" s="364" t="s">
        <v>212</v>
      </c>
      <c r="D2322" s="404">
        <v>8</v>
      </c>
      <c r="E2322" s="369">
        <v>5</v>
      </c>
      <c r="F2322" s="370"/>
      <c r="G2322" s="368">
        <v>0.58402777777777781</v>
      </c>
      <c r="H2322" s="368">
        <v>0.6875</v>
      </c>
      <c r="I2322" s="372" t="str">
        <f t="shared" si="68"/>
        <v>149</v>
      </c>
      <c r="J2322" s="371">
        <v>4</v>
      </c>
      <c r="K2322" s="371"/>
      <c r="L2322" s="365">
        <v>0.63194444444444442</v>
      </c>
      <c r="M2322" s="365">
        <v>0.70833333333333337</v>
      </c>
      <c r="N2322" s="372" t="str">
        <f t="shared" si="69"/>
        <v>110</v>
      </c>
      <c r="O2322" s="371">
        <f t="shared" si="70"/>
        <v>1185</v>
      </c>
      <c r="P2322" s="366">
        <f t="shared" si="71"/>
        <v>0.58402777777777781</v>
      </c>
      <c r="Q2322" s="366">
        <f t="shared" si="72"/>
        <v>0.70833333333333337</v>
      </c>
      <c r="R2322" s="367" t="str">
        <f t="shared" si="73"/>
        <v>179</v>
      </c>
    </row>
    <row r="2323" spans="1:18" x14ac:dyDescent="0.4">
      <c r="A2323" s="402">
        <v>46211</v>
      </c>
      <c r="B2323" s="392" t="s">
        <v>1698</v>
      </c>
      <c r="C2323" s="364" t="s">
        <v>1734</v>
      </c>
      <c r="D2323" s="404">
        <v>16</v>
      </c>
      <c r="E2323" s="369">
        <v>5</v>
      </c>
      <c r="F2323" s="370"/>
      <c r="G2323" s="368">
        <v>0.29166666666666669</v>
      </c>
      <c r="H2323" s="368">
        <v>0.47916666666666669</v>
      </c>
      <c r="I2323" s="372" t="str">
        <f t="shared" si="68"/>
        <v>270</v>
      </c>
      <c r="J2323" s="371">
        <v>4</v>
      </c>
      <c r="K2323" s="371"/>
      <c r="L2323" s="365">
        <v>0.3125</v>
      </c>
      <c r="M2323" s="365">
        <v>0.54861111111111105</v>
      </c>
      <c r="N2323" s="372" t="str">
        <f t="shared" si="69"/>
        <v>280</v>
      </c>
      <c r="O2323" s="371">
        <f t="shared" si="70"/>
        <v>2470</v>
      </c>
      <c r="P2323" s="366">
        <f t="shared" si="71"/>
        <v>0.29166666666666669</v>
      </c>
      <c r="Q2323" s="366">
        <f t="shared" si="72"/>
        <v>0.54861111111111105</v>
      </c>
      <c r="R2323" s="367" t="str">
        <f t="shared" si="73"/>
        <v>310</v>
      </c>
    </row>
    <row r="2324" spans="1:18" x14ac:dyDescent="0.4">
      <c r="A2324" s="402">
        <v>46211</v>
      </c>
      <c r="B2324" s="392" t="s">
        <v>1753</v>
      </c>
      <c r="C2324" s="364" t="s">
        <v>645</v>
      </c>
      <c r="D2324" s="404">
        <v>8</v>
      </c>
      <c r="E2324" s="369">
        <v>5</v>
      </c>
      <c r="F2324" s="370"/>
      <c r="G2324" s="368">
        <v>0.52083333333333337</v>
      </c>
      <c r="H2324" s="368">
        <v>0.58402777777777781</v>
      </c>
      <c r="I2324" s="372" t="str">
        <f t="shared" si="68"/>
        <v>91</v>
      </c>
      <c r="J2324" s="371">
        <v>4</v>
      </c>
      <c r="K2324" s="371"/>
      <c r="L2324" s="365">
        <v>0.54861111111111105</v>
      </c>
      <c r="M2324" s="365">
        <v>0.63194444444444442</v>
      </c>
      <c r="N2324" s="372" t="str">
        <f t="shared" si="69"/>
        <v>120</v>
      </c>
      <c r="O2324" s="371">
        <f t="shared" si="70"/>
        <v>935</v>
      </c>
      <c r="P2324" s="366">
        <f t="shared" si="71"/>
        <v>0.52083333333333337</v>
      </c>
      <c r="Q2324" s="366">
        <f t="shared" si="72"/>
        <v>0.63194444444444442</v>
      </c>
      <c r="R2324" s="367" t="str">
        <f t="shared" si="73"/>
        <v>160</v>
      </c>
    </row>
    <row r="2325" spans="1:18" s="22" customFormat="1" x14ac:dyDescent="0.4">
      <c r="A2325" s="417">
        <v>46211</v>
      </c>
      <c r="B2325" s="373" t="s">
        <v>66</v>
      </c>
      <c r="C2325" s="364" t="s">
        <v>195</v>
      </c>
      <c r="D2325" s="404">
        <v>20</v>
      </c>
      <c r="E2325" s="67">
        <v>3</v>
      </c>
      <c r="F2325" s="365">
        <v>2.0833333333333332E-2</v>
      </c>
      <c r="G2325" s="365">
        <v>0.43402777777777773</v>
      </c>
      <c r="H2325" s="365">
        <v>0.625</v>
      </c>
      <c r="I2325" s="372" t="str">
        <f t="shared" si="68"/>
        <v>245</v>
      </c>
      <c r="J2325" s="371">
        <v>4</v>
      </c>
      <c r="K2325" s="371"/>
      <c r="L2325" s="365">
        <v>0.47916666666666669</v>
      </c>
      <c r="M2325" s="365">
        <v>0.67361111111111116</v>
      </c>
      <c r="N2325" s="372" t="str">
        <f t="shared" si="69"/>
        <v>220</v>
      </c>
      <c r="O2325" s="371">
        <f t="shared" si="70"/>
        <v>1615</v>
      </c>
      <c r="P2325" s="366">
        <f t="shared" si="71"/>
        <v>0.43402777777777773</v>
      </c>
      <c r="Q2325" s="366">
        <f t="shared" si="72"/>
        <v>0.67361111111111116</v>
      </c>
      <c r="R2325" s="367" t="str">
        <f t="shared" si="73"/>
        <v>285</v>
      </c>
    </row>
    <row r="2326" spans="1:18" s="22" customFormat="1" x14ac:dyDescent="0.4">
      <c r="A2326" s="417">
        <v>46211</v>
      </c>
      <c r="B2326" s="373" t="s">
        <v>65</v>
      </c>
      <c r="C2326" s="364" t="s">
        <v>189</v>
      </c>
      <c r="D2326" s="404">
        <v>32</v>
      </c>
      <c r="E2326" s="67">
        <v>3</v>
      </c>
      <c r="F2326" s="371"/>
      <c r="G2326" s="365">
        <v>0.29166666666666669</v>
      </c>
      <c r="H2326" s="365">
        <v>0.43402777777777773</v>
      </c>
      <c r="I2326" s="372" t="str">
        <f t="shared" si="68"/>
        <v>205</v>
      </c>
      <c r="J2326" s="371">
        <v>4</v>
      </c>
      <c r="K2326" s="371"/>
      <c r="L2326" s="365">
        <v>0.29166666666666669</v>
      </c>
      <c r="M2326" s="365">
        <v>0.47569444444444442</v>
      </c>
      <c r="N2326" s="372" t="str">
        <f t="shared" si="69"/>
        <v>265</v>
      </c>
      <c r="O2326" s="371">
        <f t="shared" si="70"/>
        <v>1675</v>
      </c>
      <c r="P2326" s="366">
        <f t="shared" si="71"/>
        <v>0.29166666666666669</v>
      </c>
      <c r="Q2326" s="366">
        <f t="shared" si="72"/>
        <v>0.47569444444444442</v>
      </c>
      <c r="R2326" s="367" t="str">
        <f t="shared" si="73"/>
        <v>265</v>
      </c>
    </row>
    <row r="2327" spans="1:18" s="22" customFormat="1" x14ac:dyDescent="0.4">
      <c r="A2327" s="417">
        <v>46212</v>
      </c>
      <c r="B2327" s="373" t="s">
        <v>965</v>
      </c>
      <c r="C2327" s="364" t="s">
        <v>966</v>
      </c>
      <c r="D2327" s="404">
        <v>12</v>
      </c>
      <c r="E2327" s="67">
        <v>5</v>
      </c>
      <c r="F2327" s="371"/>
      <c r="G2327" s="365">
        <v>0.29166666666666669</v>
      </c>
      <c r="H2327" s="365">
        <v>0.42083333333333334</v>
      </c>
      <c r="I2327" s="372" t="str">
        <f t="shared" si="68"/>
        <v>186</v>
      </c>
      <c r="J2327" s="371">
        <v>3</v>
      </c>
      <c r="K2327" s="371"/>
      <c r="L2327" s="365">
        <v>0.3125</v>
      </c>
      <c r="M2327" s="365">
        <v>0.44791666666666669</v>
      </c>
      <c r="N2327" s="372" t="str">
        <f t="shared" si="69"/>
        <v>195</v>
      </c>
      <c r="O2327" s="371">
        <f t="shared" si="70"/>
        <v>1515</v>
      </c>
      <c r="P2327" s="366">
        <f t="shared" si="71"/>
        <v>0.29166666666666669</v>
      </c>
      <c r="Q2327" s="366">
        <f t="shared" si="72"/>
        <v>0.44791666666666669</v>
      </c>
      <c r="R2327" s="367" t="str">
        <f t="shared" si="73"/>
        <v>225</v>
      </c>
    </row>
    <row r="2328" spans="1:18" s="22" customFormat="1" x14ac:dyDescent="0.4">
      <c r="A2328" s="417">
        <v>46212</v>
      </c>
      <c r="B2328" s="373" t="s">
        <v>72</v>
      </c>
      <c r="C2328" s="364" t="s">
        <v>227</v>
      </c>
      <c r="D2328" s="404">
        <v>16</v>
      </c>
      <c r="E2328" s="67">
        <v>5</v>
      </c>
      <c r="F2328" s="371"/>
      <c r="G2328" s="365">
        <v>0.42083333333333334</v>
      </c>
      <c r="H2328" s="365">
        <v>0.66666666666666663</v>
      </c>
      <c r="I2328" s="372" t="str">
        <f t="shared" si="68"/>
        <v>294</v>
      </c>
      <c r="J2328" s="371">
        <v>3</v>
      </c>
      <c r="K2328" s="371"/>
      <c r="L2328" s="365">
        <v>0.44791666666666669</v>
      </c>
      <c r="M2328" s="365">
        <v>0.64583333333333337</v>
      </c>
      <c r="N2328" s="372" t="str">
        <f t="shared" si="69"/>
        <v>225</v>
      </c>
      <c r="O2328" s="371">
        <f t="shared" si="70"/>
        <v>2145</v>
      </c>
      <c r="P2328" s="366">
        <f t="shared" si="71"/>
        <v>0.42083333333333334</v>
      </c>
      <c r="Q2328" s="366">
        <f t="shared" si="72"/>
        <v>0.66666666666666663</v>
      </c>
      <c r="R2328" s="367" t="str">
        <f t="shared" si="73"/>
        <v>294</v>
      </c>
    </row>
    <row r="2329" spans="1:18" s="22" customFormat="1" x14ac:dyDescent="0.4">
      <c r="A2329" s="417">
        <v>46212</v>
      </c>
      <c r="B2329" s="373" t="s">
        <v>1745</v>
      </c>
      <c r="C2329" s="364" t="s">
        <v>1747</v>
      </c>
      <c r="D2329" s="404">
        <v>1</v>
      </c>
      <c r="E2329" s="67">
        <v>5</v>
      </c>
      <c r="F2329" s="371"/>
      <c r="G2329" s="365">
        <v>0.29166666666666669</v>
      </c>
      <c r="H2329" s="365">
        <v>0.33680555555555558</v>
      </c>
      <c r="I2329" s="372" t="str">
        <f>TEXT(IF(AND(G2329&lt;=$S$2,H2329&gt;=$T$2),(H2329-G2329+F2329)-($T$2-$S$2),(H2329-G2329+F2329)),"[m]")</f>
        <v>65</v>
      </c>
      <c r="J2329" s="371">
        <v>4</v>
      </c>
      <c r="K2329" s="371"/>
      <c r="L2329" s="365">
        <v>0.3125</v>
      </c>
      <c r="M2329" s="365">
        <v>0.41666666666666669</v>
      </c>
      <c r="N2329" s="372" t="str">
        <f>TEXT(IF(AND(L2329&lt;=$S$2,M2329&gt;=$T$2),(M2329-L2329+K2329)-($T$2-$S$2),(M2329-L2329+K2329)),"[m]")</f>
        <v>150</v>
      </c>
      <c r="O2329" s="371">
        <f>E2329*I2329+J2329*N2329</f>
        <v>925</v>
      </c>
      <c r="P2329" s="366">
        <f>MIN(G2329:H2329,L2329:M2329)</f>
        <v>0.29166666666666669</v>
      </c>
      <c r="Q2329" s="366">
        <f>MAX(G2329:H2329,L2329:M2329)</f>
        <v>0.41666666666666669</v>
      </c>
      <c r="R2329" s="367" t="str">
        <f>TEXT(IF(AND(P2329&lt;=$S$2,Q2329&gt;=$T$2),(Q2329-P2329)-($T$2-$S$2),(Q2329-P2329)),"[m]")</f>
        <v>180</v>
      </c>
    </row>
    <row r="2330" spans="1:18" s="22" customFormat="1" x14ac:dyDescent="0.4">
      <c r="A2330" s="417">
        <v>46212</v>
      </c>
      <c r="B2330" s="373" t="s">
        <v>83</v>
      </c>
      <c r="C2330" s="364" t="s">
        <v>169</v>
      </c>
      <c r="D2330" s="404">
        <v>12</v>
      </c>
      <c r="E2330" s="67">
        <v>3</v>
      </c>
      <c r="F2330" s="365">
        <v>2.0833333333333332E-2</v>
      </c>
      <c r="G2330" s="365">
        <v>0.3611111111111111</v>
      </c>
      <c r="H2330" s="365">
        <v>0.61458333333333337</v>
      </c>
      <c r="I2330" s="372" t="str">
        <f t="shared" si="68"/>
        <v>335</v>
      </c>
      <c r="J2330" s="371">
        <v>7</v>
      </c>
      <c r="K2330" s="371"/>
      <c r="L2330" s="365">
        <v>0.59375</v>
      </c>
      <c r="M2330" s="365">
        <v>0.70833333333333337</v>
      </c>
      <c r="N2330" s="372" t="str">
        <f t="shared" si="69"/>
        <v>165</v>
      </c>
      <c r="O2330" s="371">
        <f t="shared" si="70"/>
        <v>2160</v>
      </c>
      <c r="P2330" s="366">
        <f t="shared" si="71"/>
        <v>0.3611111111111111</v>
      </c>
      <c r="Q2330" s="366">
        <f t="shared" si="72"/>
        <v>0.70833333333333337</v>
      </c>
      <c r="R2330" s="367" t="str">
        <f t="shared" si="73"/>
        <v>440</v>
      </c>
    </row>
    <row r="2331" spans="1:18" s="22" customFormat="1" x14ac:dyDescent="0.4">
      <c r="A2331" s="417">
        <v>46212</v>
      </c>
      <c r="B2331" s="373" t="s">
        <v>82</v>
      </c>
      <c r="C2331" s="364" t="s">
        <v>171</v>
      </c>
      <c r="D2331" s="404">
        <v>24</v>
      </c>
      <c r="E2331" s="67">
        <v>3</v>
      </c>
      <c r="F2331" s="371"/>
      <c r="G2331" s="365">
        <v>0.29166666666666669</v>
      </c>
      <c r="H2331" s="365">
        <v>0.3576388888888889</v>
      </c>
      <c r="I2331" s="372" t="str">
        <f t="shared" si="68"/>
        <v>95</v>
      </c>
      <c r="J2331" s="371">
        <v>7</v>
      </c>
      <c r="K2331" s="371"/>
      <c r="L2331" s="365">
        <v>0.29166666666666669</v>
      </c>
      <c r="M2331" s="365">
        <v>0.59027777777777779</v>
      </c>
      <c r="N2331" s="372" t="str">
        <f t="shared" si="69"/>
        <v>370</v>
      </c>
      <c r="O2331" s="371">
        <f t="shared" si="70"/>
        <v>2875</v>
      </c>
      <c r="P2331" s="366">
        <f t="shared" si="71"/>
        <v>0.29166666666666669</v>
      </c>
      <c r="Q2331" s="366">
        <f t="shared" si="72"/>
        <v>0.59027777777777779</v>
      </c>
      <c r="R2331" s="367" t="str">
        <f t="shared" si="73"/>
        <v>370</v>
      </c>
    </row>
    <row r="2332" spans="1:18" s="22" customFormat="1" x14ac:dyDescent="0.4">
      <c r="A2332" s="417">
        <v>46216</v>
      </c>
      <c r="B2332" s="373" t="s">
        <v>87</v>
      </c>
      <c r="C2332" s="364" t="s">
        <v>199</v>
      </c>
      <c r="D2332" s="404">
        <v>36</v>
      </c>
      <c r="E2332" s="67">
        <v>6</v>
      </c>
      <c r="F2332" s="371"/>
      <c r="G2332" s="365">
        <v>0.54166666666666663</v>
      </c>
      <c r="H2332" s="365">
        <v>0.6875</v>
      </c>
      <c r="I2332" s="372" t="str">
        <f t="shared" si="68"/>
        <v>210</v>
      </c>
      <c r="J2332" s="371">
        <v>5</v>
      </c>
      <c r="K2332" s="371"/>
      <c r="L2332" s="365">
        <v>0.54166666666666663</v>
      </c>
      <c r="M2332" s="365">
        <v>0.75</v>
      </c>
      <c r="N2332" s="372" t="str">
        <f t="shared" si="69"/>
        <v>300</v>
      </c>
      <c r="O2332" s="371">
        <f t="shared" si="70"/>
        <v>2760</v>
      </c>
      <c r="P2332" s="366">
        <f t="shared" si="71"/>
        <v>0.54166666666666663</v>
      </c>
      <c r="Q2332" s="366">
        <f t="shared" si="72"/>
        <v>0.75</v>
      </c>
      <c r="R2332" s="367" t="str">
        <f t="shared" si="73"/>
        <v>300</v>
      </c>
    </row>
    <row r="2333" spans="1:18" s="22" customFormat="1" x14ac:dyDescent="0.4">
      <c r="A2333" s="417">
        <v>46216</v>
      </c>
      <c r="B2333" s="373" t="s">
        <v>80</v>
      </c>
      <c r="C2333" s="364" t="s">
        <v>203</v>
      </c>
      <c r="D2333" s="404">
        <v>32</v>
      </c>
      <c r="E2333" s="67">
        <v>6</v>
      </c>
      <c r="F2333" s="371"/>
      <c r="G2333" s="365">
        <v>0.29166666666666669</v>
      </c>
      <c r="H2333" s="365">
        <v>0.54166666666666663</v>
      </c>
      <c r="I2333" s="372" t="str">
        <f t="shared" si="68"/>
        <v>300</v>
      </c>
      <c r="J2333" s="371">
        <v>5</v>
      </c>
      <c r="K2333" s="371"/>
      <c r="L2333" s="365">
        <v>0.3125</v>
      </c>
      <c r="M2333" s="365">
        <v>0.5</v>
      </c>
      <c r="N2333" s="372" t="str">
        <f t="shared" si="69"/>
        <v>270</v>
      </c>
      <c r="O2333" s="371">
        <f t="shared" si="70"/>
        <v>3150</v>
      </c>
      <c r="P2333" s="366">
        <f t="shared" si="71"/>
        <v>0.29166666666666669</v>
      </c>
      <c r="Q2333" s="366">
        <f t="shared" si="72"/>
        <v>0.54166666666666663</v>
      </c>
      <c r="R2333" s="367" t="str">
        <f t="shared" si="73"/>
        <v>300</v>
      </c>
    </row>
    <row r="2334" spans="1:18" x14ac:dyDescent="0.4">
      <c r="A2334" s="402">
        <v>46216</v>
      </c>
      <c r="B2334" s="392" t="s">
        <v>1046</v>
      </c>
      <c r="C2334" s="364" t="s">
        <v>1057</v>
      </c>
      <c r="D2334" s="404">
        <v>12</v>
      </c>
      <c r="E2334" s="369">
        <v>5</v>
      </c>
      <c r="F2334" s="370"/>
      <c r="G2334" s="368">
        <v>0.55902777777777779</v>
      </c>
      <c r="H2334" s="368">
        <v>0.66666666666666663</v>
      </c>
      <c r="I2334" s="372" t="str">
        <f t="shared" si="68"/>
        <v>155</v>
      </c>
      <c r="J2334" s="371">
        <v>3</v>
      </c>
      <c r="K2334" s="371"/>
      <c r="L2334" s="365">
        <v>0.58680555555555558</v>
      </c>
      <c r="M2334" s="365">
        <v>0.6875</v>
      </c>
      <c r="N2334" s="372" t="str">
        <f t="shared" si="69"/>
        <v>145</v>
      </c>
      <c r="O2334" s="371">
        <f t="shared" si="70"/>
        <v>1210</v>
      </c>
      <c r="P2334" s="366">
        <f t="shared" si="71"/>
        <v>0.55902777777777779</v>
      </c>
      <c r="Q2334" s="366">
        <f t="shared" si="72"/>
        <v>0.6875</v>
      </c>
      <c r="R2334" s="367" t="str">
        <f t="shared" si="73"/>
        <v>185</v>
      </c>
    </row>
    <row r="2335" spans="1:18" x14ac:dyDescent="0.4">
      <c r="A2335" s="402">
        <v>46216</v>
      </c>
      <c r="B2335" s="392" t="s">
        <v>63</v>
      </c>
      <c r="C2335" s="364" t="s">
        <v>267</v>
      </c>
      <c r="D2335" s="404">
        <v>20</v>
      </c>
      <c r="E2335" s="369">
        <v>5</v>
      </c>
      <c r="F2335" s="370"/>
      <c r="G2335" s="368">
        <v>0.39930555555555558</v>
      </c>
      <c r="H2335" s="368">
        <v>0.55902777777777779</v>
      </c>
      <c r="I2335" s="372" t="str">
        <f t="shared" si="68"/>
        <v>170</v>
      </c>
      <c r="J2335" s="371">
        <v>3</v>
      </c>
      <c r="K2335" s="371"/>
      <c r="L2335" s="365">
        <v>0.4236111111111111</v>
      </c>
      <c r="M2335" s="365">
        <v>0.58680555555555558</v>
      </c>
      <c r="N2335" s="372" t="str">
        <f t="shared" si="69"/>
        <v>175</v>
      </c>
      <c r="O2335" s="371">
        <f t="shared" si="70"/>
        <v>1375</v>
      </c>
      <c r="P2335" s="366">
        <f t="shared" si="71"/>
        <v>0.39930555555555558</v>
      </c>
      <c r="Q2335" s="366">
        <f t="shared" si="72"/>
        <v>0.58680555555555558</v>
      </c>
      <c r="R2335" s="367" t="str">
        <f t="shared" si="73"/>
        <v>210</v>
      </c>
    </row>
    <row r="2336" spans="1:18" x14ac:dyDescent="0.4">
      <c r="A2336" s="402">
        <v>46216</v>
      </c>
      <c r="B2336" s="392" t="s">
        <v>75</v>
      </c>
      <c r="C2336" s="364" t="s">
        <v>229</v>
      </c>
      <c r="D2336" s="404">
        <v>6</v>
      </c>
      <c r="E2336" s="369">
        <v>5</v>
      </c>
      <c r="F2336" s="370"/>
      <c r="G2336" s="368">
        <v>0.29166666666666669</v>
      </c>
      <c r="H2336" s="368">
        <v>0.3979166666666667</v>
      </c>
      <c r="I2336" s="372" t="str">
        <f t="shared" si="68"/>
        <v>153</v>
      </c>
      <c r="J2336" s="371">
        <v>3</v>
      </c>
      <c r="K2336" s="371"/>
      <c r="L2336" s="365">
        <v>0.3125</v>
      </c>
      <c r="M2336" s="365">
        <v>0.4236111111111111</v>
      </c>
      <c r="N2336" s="372" t="str">
        <f t="shared" si="69"/>
        <v>160</v>
      </c>
      <c r="O2336" s="371">
        <f t="shared" si="70"/>
        <v>1245</v>
      </c>
      <c r="P2336" s="366">
        <f t="shared" si="71"/>
        <v>0.29166666666666669</v>
      </c>
      <c r="Q2336" s="366">
        <f t="shared" si="72"/>
        <v>0.4236111111111111</v>
      </c>
      <c r="R2336" s="367" t="str">
        <f t="shared" si="73"/>
        <v>190</v>
      </c>
    </row>
    <row r="2337" spans="1:18" x14ac:dyDescent="0.4">
      <c r="A2337" s="402">
        <v>46216</v>
      </c>
      <c r="B2337" s="392" t="s">
        <v>65</v>
      </c>
      <c r="C2337" s="364" t="s">
        <v>189</v>
      </c>
      <c r="D2337" s="404">
        <v>60</v>
      </c>
      <c r="E2337" s="369">
        <v>3</v>
      </c>
      <c r="F2337" s="368">
        <v>2.0833333333333332E-2</v>
      </c>
      <c r="G2337" s="368">
        <v>0.29166666666666669</v>
      </c>
      <c r="H2337" s="368">
        <v>0.62152777777777779</v>
      </c>
      <c r="I2337" s="372" t="str">
        <f t="shared" si="68"/>
        <v>445</v>
      </c>
      <c r="J2337" s="371">
        <v>4</v>
      </c>
      <c r="K2337" s="371"/>
      <c r="L2337" s="365">
        <v>0.29166666666666669</v>
      </c>
      <c r="M2337" s="365">
        <v>0.66666666666666663</v>
      </c>
      <c r="N2337" s="372" t="str">
        <f t="shared" si="69"/>
        <v>480</v>
      </c>
      <c r="O2337" s="371">
        <f t="shared" si="70"/>
        <v>3255</v>
      </c>
      <c r="P2337" s="366">
        <f t="shared" si="71"/>
        <v>0.29166666666666669</v>
      </c>
      <c r="Q2337" s="366">
        <f t="shared" si="72"/>
        <v>0.66666666666666663</v>
      </c>
      <c r="R2337" s="367" t="str">
        <f t="shared" si="73"/>
        <v>480</v>
      </c>
    </row>
    <row r="2338" spans="1:18" x14ac:dyDescent="0.4">
      <c r="A2338" s="402">
        <v>46217</v>
      </c>
      <c r="B2338" s="392" t="s">
        <v>68</v>
      </c>
      <c r="C2338" s="364" t="s">
        <v>185</v>
      </c>
      <c r="D2338" s="404">
        <v>28</v>
      </c>
      <c r="E2338" s="369">
        <v>5</v>
      </c>
      <c r="F2338" s="370"/>
      <c r="G2338" s="368">
        <v>0.29166666666666669</v>
      </c>
      <c r="H2338" s="368">
        <v>0.58680555555555558</v>
      </c>
      <c r="I2338" s="372" t="str">
        <f t="shared" si="68"/>
        <v>365</v>
      </c>
      <c r="J2338" s="371">
        <v>5</v>
      </c>
      <c r="K2338" s="371"/>
      <c r="L2338" s="365">
        <v>0.3125</v>
      </c>
      <c r="M2338" s="365">
        <v>0.61805555555555558</v>
      </c>
      <c r="N2338" s="372" t="str">
        <f t="shared" si="69"/>
        <v>380</v>
      </c>
      <c r="O2338" s="371">
        <f t="shared" si="70"/>
        <v>3725</v>
      </c>
      <c r="P2338" s="366">
        <f t="shared" si="71"/>
        <v>0.29166666666666669</v>
      </c>
      <c r="Q2338" s="366">
        <f t="shared" si="72"/>
        <v>0.61805555555555558</v>
      </c>
      <c r="R2338" s="367" t="str">
        <f t="shared" si="73"/>
        <v>410</v>
      </c>
    </row>
    <row r="2339" spans="1:18" x14ac:dyDescent="0.4">
      <c r="A2339" s="402">
        <v>46217</v>
      </c>
      <c r="B2339" s="392" t="s">
        <v>1746</v>
      </c>
      <c r="C2339" s="364" t="s">
        <v>1747</v>
      </c>
      <c r="D2339" s="404">
        <v>10</v>
      </c>
      <c r="E2339" s="369">
        <v>5</v>
      </c>
      <c r="F2339" s="370"/>
      <c r="G2339" s="368">
        <v>0.5625</v>
      </c>
      <c r="H2339" s="368">
        <v>0.70833333333333337</v>
      </c>
      <c r="I2339" s="372" t="str">
        <f t="shared" si="68"/>
        <v>210</v>
      </c>
      <c r="J2339" s="371">
        <v>5</v>
      </c>
      <c r="K2339" s="371"/>
      <c r="L2339" s="365">
        <v>0.61805555555555558</v>
      </c>
      <c r="M2339" s="365">
        <v>0.70833333333333337</v>
      </c>
      <c r="N2339" s="372" t="str">
        <f t="shared" si="69"/>
        <v>130</v>
      </c>
      <c r="O2339" s="371">
        <f t="shared" si="70"/>
        <v>1700</v>
      </c>
      <c r="P2339" s="366">
        <f t="shared" si="71"/>
        <v>0.5625</v>
      </c>
      <c r="Q2339" s="366">
        <f t="shared" si="72"/>
        <v>0.70833333333333337</v>
      </c>
      <c r="R2339" s="367" t="str">
        <f t="shared" si="73"/>
        <v>210</v>
      </c>
    </row>
    <row r="2340" spans="1:18" s="22" customFormat="1" x14ac:dyDescent="0.4">
      <c r="A2340" s="417">
        <v>46217</v>
      </c>
      <c r="B2340" s="373" t="s">
        <v>110</v>
      </c>
      <c r="C2340" s="364" t="s">
        <v>231</v>
      </c>
      <c r="D2340" s="404">
        <v>21</v>
      </c>
      <c r="E2340" s="67">
        <v>3</v>
      </c>
      <c r="F2340" s="371"/>
      <c r="G2340" s="365">
        <v>0.29166666666666669</v>
      </c>
      <c r="H2340" s="365">
        <v>0.55902777777777779</v>
      </c>
      <c r="I2340" s="372" t="str">
        <f t="shared" si="68"/>
        <v>325</v>
      </c>
      <c r="J2340" s="371">
        <v>4</v>
      </c>
      <c r="K2340" s="371"/>
      <c r="L2340" s="365">
        <v>0.41319444444444442</v>
      </c>
      <c r="M2340" s="365">
        <v>0.70833333333333337</v>
      </c>
      <c r="N2340" s="372" t="str">
        <f t="shared" si="69"/>
        <v>365</v>
      </c>
      <c r="O2340" s="371">
        <f t="shared" si="70"/>
        <v>2435</v>
      </c>
      <c r="P2340" s="366">
        <f t="shared" si="71"/>
        <v>0.29166666666666669</v>
      </c>
      <c r="Q2340" s="366">
        <f t="shared" si="72"/>
        <v>0.70833333333333337</v>
      </c>
      <c r="R2340" s="367" t="str">
        <f t="shared" si="73"/>
        <v>540</v>
      </c>
    </row>
    <row r="2341" spans="1:18" x14ac:dyDescent="0.4">
      <c r="A2341" s="402">
        <v>46217</v>
      </c>
      <c r="B2341" s="392" t="s">
        <v>602</v>
      </c>
      <c r="C2341" s="364" t="s">
        <v>324</v>
      </c>
      <c r="D2341" s="404">
        <v>8</v>
      </c>
      <c r="E2341" s="369">
        <v>3</v>
      </c>
      <c r="F2341" s="368">
        <v>2.0833333333333332E-2</v>
      </c>
      <c r="G2341" s="368">
        <v>0.44444444444444442</v>
      </c>
      <c r="H2341" s="368">
        <v>0.65625</v>
      </c>
      <c r="I2341" s="372" t="str">
        <f t="shared" si="68"/>
        <v>275</v>
      </c>
      <c r="J2341" s="371">
        <v>4</v>
      </c>
      <c r="K2341" s="371"/>
      <c r="L2341" s="365">
        <v>0.54166666666666663</v>
      </c>
      <c r="M2341" s="365">
        <v>0.66319444444444442</v>
      </c>
      <c r="N2341" s="372" t="str">
        <f t="shared" si="69"/>
        <v>175</v>
      </c>
      <c r="O2341" s="371">
        <f t="shared" si="70"/>
        <v>1525</v>
      </c>
      <c r="P2341" s="366">
        <f t="shared" si="71"/>
        <v>0.44444444444444442</v>
      </c>
      <c r="Q2341" s="366">
        <f t="shared" si="72"/>
        <v>0.66319444444444442</v>
      </c>
      <c r="R2341" s="367" t="str">
        <f t="shared" si="73"/>
        <v>255</v>
      </c>
    </row>
    <row r="2342" spans="1:18" x14ac:dyDescent="0.4">
      <c r="A2342" s="402">
        <v>46217</v>
      </c>
      <c r="B2342" s="392" t="s">
        <v>65</v>
      </c>
      <c r="C2342" s="364" t="s">
        <v>189</v>
      </c>
      <c r="D2342" s="404">
        <v>32</v>
      </c>
      <c r="E2342" s="369">
        <v>3</v>
      </c>
      <c r="F2342" s="370"/>
      <c r="G2342" s="368">
        <v>0.29166666666666669</v>
      </c>
      <c r="H2342" s="368">
        <v>0.4513888888888889</v>
      </c>
      <c r="I2342" s="372" t="str">
        <f t="shared" si="68"/>
        <v>230</v>
      </c>
      <c r="J2342" s="371">
        <v>4</v>
      </c>
      <c r="K2342" s="371"/>
      <c r="L2342" s="365">
        <v>0.29166666666666669</v>
      </c>
      <c r="M2342" s="365">
        <v>0.49305555555555558</v>
      </c>
      <c r="N2342" s="372" t="str">
        <f t="shared" si="69"/>
        <v>290</v>
      </c>
      <c r="O2342" s="371">
        <f t="shared" si="70"/>
        <v>1850</v>
      </c>
      <c r="P2342" s="366">
        <f t="shared" si="71"/>
        <v>0.29166666666666669</v>
      </c>
      <c r="Q2342" s="366">
        <f t="shared" si="72"/>
        <v>0.49305555555555558</v>
      </c>
      <c r="R2342" s="367" t="str">
        <f t="shared" si="73"/>
        <v>290</v>
      </c>
    </row>
    <row r="2343" spans="1:18" x14ac:dyDescent="0.4">
      <c r="A2343" s="402">
        <v>46218</v>
      </c>
      <c r="B2343" s="392" t="s">
        <v>61</v>
      </c>
      <c r="C2343" s="364" t="s">
        <v>156</v>
      </c>
      <c r="D2343" s="404">
        <v>36</v>
      </c>
      <c r="E2343" s="369">
        <v>4</v>
      </c>
      <c r="F2343" s="370"/>
      <c r="G2343" s="368">
        <v>0.29166666666666669</v>
      </c>
      <c r="H2343" s="368">
        <v>0.66666666666666663</v>
      </c>
      <c r="I2343" s="372" t="str">
        <f t="shared" si="68"/>
        <v>480</v>
      </c>
      <c r="J2343" s="371">
        <v>10</v>
      </c>
      <c r="K2343" s="371"/>
      <c r="L2343" s="365">
        <v>0.3125</v>
      </c>
      <c r="M2343" s="365">
        <v>0.70833333333333337</v>
      </c>
      <c r="N2343" s="372" t="str">
        <f t="shared" si="69"/>
        <v>510</v>
      </c>
      <c r="O2343" s="371">
        <f t="shared" si="70"/>
        <v>7020</v>
      </c>
      <c r="P2343" s="366">
        <f t="shared" si="71"/>
        <v>0.29166666666666669</v>
      </c>
      <c r="Q2343" s="366">
        <f t="shared" si="72"/>
        <v>0.70833333333333337</v>
      </c>
      <c r="R2343" s="367" t="str">
        <f t="shared" si="73"/>
        <v>540</v>
      </c>
    </row>
    <row r="2344" spans="1:18" x14ac:dyDescent="0.4">
      <c r="A2344" s="402">
        <v>46218</v>
      </c>
      <c r="B2344" s="392" t="s">
        <v>1667</v>
      </c>
      <c r="C2344" s="364" t="s">
        <v>1668</v>
      </c>
      <c r="D2344" s="404">
        <v>10</v>
      </c>
      <c r="E2344" s="369">
        <v>5</v>
      </c>
      <c r="F2344" s="370"/>
      <c r="G2344" s="368">
        <v>0.29166666666666669</v>
      </c>
      <c r="H2344" s="368">
        <v>0.40138888888888885</v>
      </c>
      <c r="I2344" s="372" t="str">
        <f t="shared" si="68"/>
        <v>158</v>
      </c>
      <c r="J2344" s="371">
        <v>3</v>
      </c>
      <c r="K2344" s="371"/>
      <c r="L2344" s="365">
        <v>0.3125</v>
      </c>
      <c r="M2344" s="365">
        <v>0.43055555555555558</v>
      </c>
      <c r="N2344" s="372" t="str">
        <f t="shared" si="69"/>
        <v>170</v>
      </c>
      <c r="O2344" s="371">
        <f t="shared" si="70"/>
        <v>1300</v>
      </c>
      <c r="P2344" s="366">
        <f t="shared" si="71"/>
        <v>0.29166666666666669</v>
      </c>
      <c r="Q2344" s="366">
        <f t="shared" si="72"/>
        <v>0.43055555555555558</v>
      </c>
      <c r="R2344" s="367" t="str">
        <f t="shared" si="73"/>
        <v>200</v>
      </c>
    </row>
    <row r="2345" spans="1:18" s="22" customFormat="1" x14ac:dyDescent="0.4">
      <c r="A2345" s="417">
        <v>46218</v>
      </c>
      <c r="B2345" s="373" t="s">
        <v>109</v>
      </c>
      <c r="C2345" s="364" t="s">
        <v>263</v>
      </c>
      <c r="D2345" s="404">
        <v>12</v>
      </c>
      <c r="E2345" s="67">
        <v>5</v>
      </c>
      <c r="F2345" s="371"/>
      <c r="G2345" s="365">
        <v>0.40138888888888885</v>
      </c>
      <c r="H2345" s="365">
        <v>0.5</v>
      </c>
      <c r="I2345" s="372" t="str">
        <f t="shared" si="68"/>
        <v>142</v>
      </c>
      <c r="J2345" s="371">
        <v>3</v>
      </c>
      <c r="K2345" s="371"/>
      <c r="L2345" s="365">
        <v>0.43055555555555558</v>
      </c>
      <c r="M2345" s="365">
        <v>0.5625</v>
      </c>
      <c r="N2345" s="372" t="str">
        <f t="shared" si="69"/>
        <v>130</v>
      </c>
      <c r="O2345" s="371">
        <f t="shared" si="70"/>
        <v>1100</v>
      </c>
      <c r="P2345" s="366">
        <f t="shared" si="71"/>
        <v>0.40138888888888885</v>
      </c>
      <c r="Q2345" s="366">
        <f t="shared" si="72"/>
        <v>0.5625</v>
      </c>
      <c r="R2345" s="367" t="str">
        <f t="shared" si="73"/>
        <v>172</v>
      </c>
    </row>
    <row r="2346" spans="1:18" s="22" customFormat="1" x14ac:dyDescent="0.4">
      <c r="A2346" s="417">
        <v>46218</v>
      </c>
      <c r="B2346" s="373" t="s">
        <v>63</v>
      </c>
      <c r="C2346" s="364" t="s">
        <v>267</v>
      </c>
      <c r="D2346" s="404">
        <v>16</v>
      </c>
      <c r="E2346" s="67">
        <v>5</v>
      </c>
      <c r="F2346" s="371"/>
      <c r="G2346" s="365">
        <v>0.55625000000000002</v>
      </c>
      <c r="H2346" s="365">
        <v>0.66666666666666663</v>
      </c>
      <c r="I2346" s="372" t="str">
        <f t="shared" ref="I2346:I2409" si="79">TEXT(IF(AND(G2346&lt;=$S$2,H2346&gt;=$T$2),(H2346-G2346+F2346)-($T$2-$S$2),(H2346-G2346+F2346)),"[m]")</f>
        <v>159</v>
      </c>
      <c r="J2346" s="371">
        <v>3</v>
      </c>
      <c r="K2346" s="371"/>
      <c r="L2346" s="365">
        <v>0.5625</v>
      </c>
      <c r="M2346" s="365">
        <v>0.6875</v>
      </c>
      <c r="N2346" s="372" t="str">
        <f t="shared" ref="N2346:N2409" si="80">TEXT(IF(AND(L2346&lt;=$S$2,M2346&gt;=$T$2),(M2346-L2346+K2346)-($T$2-$S$2),(M2346-L2346+K2346)),"[m]")</f>
        <v>180</v>
      </c>
      <c r="O2346" s="371">
        <f t="shared" ref="O2346:O2409" si="81">E2346*I2346+J2346*N2346</f>
        <v>1335</v>
      </c>
      <c r="P2346" s="366">
        <f t="shared" ref="P2346:P2409" si="82">MIN(G2346:H2346,L2346:M2346)</f>
        <v>0.55625000000000002</v>
      </c>
      <c r="Q2346" s="366">
        <f t="shared" ref="Q2346:Q2409" si="83">MAX(G2346:H2346,L2346:M2346)</f>
        <v>0.6875</v>
      </c>
      <c r="R2346" s="367" t="str">
        <f t="shared" ref="R2346:R2409" si="84">TEXT(IF(AND(P2346&lt;=$S$2,Q2346&gt;=$T$2),(Q2346-P2346)-($T$2-$S$2),(Q2346-P2346)),"[m]")</f>
        <v>189</v>
      </c>
    </row>
    <row r="2347" spans="1:18" x14ac:dyDescent="0.4">
      <c r="A2347" s="402">
        <v>46218</v>
      </c>
      <c r="B2347" s="392" t="s">
        <v>65</v>
      </c>
      <c r="C2347" s="364" t="s">
        <v>189</v>
      </c>
      <c r="D2347" s="404">
        <v>60</v>
      </c>
      <c r="E2347" s="369">
        <v>3</v>
      </c>
      <c r="F2347" s="368">
        <v>2.0833333333333332E-2</v>
      </c>
      <c r="G2347" s="368">
        <v>0.29166666666666669</v>
      </c>
      <c r="H2347" s="368">
        <v>0.61111111111111105</v>
      </c>
      <c r="I2347" s="372" t="str">
        <f t="shared" si="79"/>
        <v>430</v>
      </c>
      <c r="J2347" s="371">
        <v>4</v>
      </c>
      <c r="K2347" s="371"/>
      <c r="L2347" s="365">
        <v>0.29166666666666669</v>
      </c>
      <c r="M2347" s="365">
        <v>0.65277777777777779</v>
      </c>
      <c r="N2347" s="372" t="str">
        <f t="shared" si="80"/>
        <v>460</v>
      </c>
      <c r="O2347" s="371">
        <f t="shared" si="81"/>
        <v>3130</v>
      </c>
      <c r="P2347" s="366">
        <f t="shared" si="82"/>
        <v>0.29166666666666669</v>
      </c>
      <c r="Q2347" s="366">
        <f t="shared" si="83"/>
        <v>0.65277777777777779</v>
      </c>
      <c r="R2347" s="367" t="str">
        <f t="shared" si="84"/>
        <v>460</v>
      </c>
    </row>
    <row r="2348" spans="1:18" s="22" customFormat="1" x14ac:dyDescent="0.4">
      <c r="A2348" s="417">
        <v>46219</v>
      </c>
      <c r="B2348" s="373" t="s">
        <v>71</v>
      </c>
      <c r="C2348" s="364" t="s">
        <v>176</v>
      </c>
      <c r="D2348" s="404">
        <v>44</v>
      </c>
      <c r="E2348" s="67">
        <v>6</v>
      </c>
      <c r="F2348" s="371"/>
      <c r="G2348" s="365">
        <v>0.29166666666666669</v>
      </c>
      <c r="H2348" s="365">
        <v>0.5625</v>
      </c>
      <c r="I2348" s="372" t="str">
        <f t="shared" si="79"/>
        <v>330</v>
      </c>
      <c r="J2348" s="371">
        <v>5</v>
      </c>
      <c r="K2348" s="371"/>
      <c r="L2348" s="365">
        <v>0.3125</v>
      </c>
      <c r="M2348" s="365">
        <v>0.625</v>
      </c>
      <c r="N2348" s="372" t="str">
        <f t="shared" si="80"/>
        <v>390</v>
      </c>
      <c r="O2348" s="371">
        <f t="shared" si="81"/>
        <v>3930</v>
      </c>
      <c r="P2348" s="366">
        <f t="shared" si="82"/>
        <v>0.29166666666666669</v>
      </c>
      <c r="Q2348" s="366">
        <f t="shared" si="83"/>
        <v>0.625</v>
      </c>
      <c r="R2348" s="367" t="str">
        <f t="shared" si="84"/>
        <v>420</v>
      </c>
    </row>
    <row r="2349" spans="1:18" s="22" customFormat="1" x14ac:dyDescent="0.4">
      <c r="A2349" s="417">
        <v>46219</v>
      </c>
      <c r="B2349" s="373" t="s">
        <v>1760</v>
      </c>
      <c r="C2349" s="364" t="s">
        <v>1767</v>
      </c>
      <c r="D2349" s="404">
        <v>3.8</v>
      </c>
      <c r="E2349" s="67">
        <v>4</v>
      </c>
      <c r="F2349" s="371"/>
      <c r="G2349" s="365">
        <v>0.61805555555555558</v>
      </c>
      <c r="H2349" s="365">
        <v>0.6875</v>
      </c>
      <c r="I2349" s="372" t="str">
        <f t="shared" si="79"/>
        <v>100</v>
      </c>
      <c r="J2349" s="371">
        <v>10</v>
      </c>
      <c r="K2349" s="371"/>
      <c r="L2349" s="365">
        <v>0.625</v>
      </c>
      <c r="M2349" s="365">
        <v>0.70833333333333337</v>
      </c>
      <c r="N2349" s="372" t="str">
        <f t="shared" si="80"/>
        <v>120</v>
      </c>
      <c r="O2349" s="371">
        <f t="shared" si="81"/>
        <v>1600</v>
      </c>
      <c r="P2349" s="366">
        <f t="shared" si="82"/>
        <v>0.61805555555555558</v>
      </c>
      <c r="Q2349" s="366">
        <f t="shared" si="83"/>
        <v>0.70833333333333337</v>
      </c>
      <c r="R2349" s="367" t="str">
        <f t="shared" si="84"/>
        <v>130</v>
      </c>
    </row>
    <row r="2350" spans="1:18" x14ac:dyDescent="0.4">
      <c r="A2350" s="402">
        <v>46219</v>
      </c>
      <c r="B2350" s="392" t="s">
        <v>54</v>
      </c>
      <c r="C2350" s="364" t="s">
        <v>251</v>
      </c>
      <c r="D2350" s="404">
        <v>32</v>
      </c>
      <c r="E2350" s="369">
        <v>5</v>
      </c>
      <c r="F2350" s="370"/>
      <c r="G2350" s="368">
        <v>0.3576388888888889</v>
      </c>
      <c r="H2350" s="368">
        <v>0.66666666666666663</v>
      </c>
      <c r="I2350" s="372" t="str">
        <f t="shared" si="79"/>
        <v>385</v>
      </c>
      <c r="J2350" s="371">
        <v>3</v>
      </c>
      <c r="K2350" s="371"/>
      <c r="L2350" s="365">
        <v>0.38194444444444442</v>
      </c>
      <c r="M2350" s="365">
        <v>0.6875</v>
      </c>
      <c r="N2350" s="372" t="str">
        <f t="shared" si="80"/>
        <v>380</v>
      </c>
      <c r="O2350" s="371">
        <f t="shared" si="81"/>
        <v>3065</v>
      </c>
      <c r="P2350" s="366">
        <f t="shared" si="82"/>
        <v>0.3576388888888889</v>
      </c>
      <c r="Q2350" s="366">
        <f t="shared" si="83"/>
        <v>0.6875</v>
      </c>
      <c r="R2350" s="367" t="str">
        <f t="shared" si="84"/>
        <v>415</v>
      </c>
    </row>
    <row r="2351" spans="1:18" x14ac:dyDescent="0.4">
      <c r="A2351" s="402">
        <v>46219</v>
      </c>
      <c r="B2351" s="392" t="s">
        <v>53</v>
      </c>
      <c r="C2351" s="364" t="s">
        <v>261</v>
      </c>
      <c r="D2351" s="404">
        <v>6</v>
      </c>
      <c r="E2351" s="369">
        <v>5</v>
      </c>
      <c r="F2351" s="370"/>
      <c r="G2351" s="368">
        <v>0.29166666666666669</v>
      </c>
      <c r="H2351" s="368">
        <v>0.3576388888888889</v>
      </c>
      <c r="I2351" s="372" t="str">
        <f t="shared" si="79"/>
        <v>95</v>
      </c>
      <c r="J2351" s="371">
        <v>3</v>
      </c>
      <c r="K2351" s="371"/>
      <c r="L2351" s="365">
        <v>0.3125</v>
      </c>
      <c r="M2351" s="365">
        <v>0.38194444444444442</v>
      </c>
      <c r="N2351" s="372" t="str">
        <f t="shared" si="80"/>
        <v>100</v>
      </c>
      <c r="O2351" s="371">
        <f t="shared" si="81"/>
        <v>775</v>
      </c>
      <c r="P2351" s="366">
        <f t="shared" si="82"/>
        <v>0.29166666666666669</v>
      </c>
      <c r="Q2351" s="366">
        <f t="shared" si="83"/>
        <v>0.38194444444444442</v>
      </c>
      <c r="R2351" s="367" t="str">
        <f t="shared" si="84"/>
        <v>130</v>
      </c>
    </row>
    <row r="2352" spans="1:18" x14ac:dyDescent="0.4">
      <c r="A2352" s="402">
        <v>46219</v>
      </c>
      <c r="B2352" s="392" t="s">
        <v>104</v>
      </c>
      <c r="C2352" s="364" t="s">
        <v>191</v>
      </c>
      <c r="D2352" s="404">
        <v>60</v>
      </c>
      <c r="E2352" s="369">
        <v>3</v>
      </c>
      <c r="F2352" s="368">
        <v>2.0833333333333332E-2</v>
      </c>
      <c r="G2352" s="368">
        <v>0.29166666666666669</v>
      </c>
      <c r="H2352" s="368">
        <v>0.61111111111111105</v>
      </c>
      <c r="I2352" s="372" t="str">
        <f t="shared" si="79"/>
        <v>430</v>
      </c>
      <c r="J2352" s="371">
        <v>4</v>
      </c>
      <c r="K2352" s="371"/>
      <c r="L2352" s="365">
        <v>0.29166666666666669</v>
      </c>
      <c r="M2352" s="365">
        <v>0.65972222222222221</v>
      </c>
      <c r="N2352" s="372" t="str">
        <f t="shared" si="80"/>
        <v>470</v>
      </c>
      <c r="O2352" s="371">
        <f t="shared" si="81"/>
        <v>3170</v>
      </c>
      <c r="P2352" s="366">
        <f t="shared" si="82"/>
        <v>0.29166666666666669</v>
      </c>
      <c r="Q2352" s="366">
        <f t="shared" si="83"/>
        <v>0.65972222222222221</v>
      </c>
      <c r="R2352" s="367" t="str">
        <f t="shared" si="84"/>
        <v>470</v>
      </c>
    </row>
    <row r="2353" spans="1:18" s="22" customFormat="1" x14ac:dyDescent="0.4">
      <c r="A2353" s="417">
        <v>46220</v>
      </c>
      <c r="B2353" s="373" t="s">
        <v>1162</v>
      </c>
      <c r="C2353" s="364" t="s">
        <v>271</v>
      </c>
      <c r="D2353" s="404">
        <v>16</v>
      </c>
      <c r="E2353" s="67">
        <v>5</v>
      </c>
      <c r="F2353" s="371"/>
      <c r="G2353" s="365">
        <v>0.57500000000000007</v>
      </c>
      <c r="H2353" s="365">
        <v>0.66666666666666663</v>
      </c>
      <c r="I2353" s="372" t="str">
        <f t="shared" si="79"/>
        <v>132</v>
      </c>
      <c r="J2353" s="371">
        <v>3</v>
      </c>
      <c r="K2353" s="371"/>
      <c r="L2353" s="365">
        <v>0.56944444444444442</v>
      </c>
      <c r="M2353" s="365">
        <v>0.77083333333333337</v>
      </c>
      <c r="N2353" s="372" t="str">
        <f t="shared" si="80"/>
        <v>290</v>
      </c>
      <c r="O2353" s="371">
        <f t="shared" si="81"/>
        <v>1530</v>
      </c>
      <c r="P2353" s="366">
        <f t="shared" si="82"/>
        <v>0.56944444444444442</v>
      </c>
      <c r="Q2353" s="366">
        <f t="shared" si="83"/>
        <v>0.77083333333333337</v>
      </c>
      <c r="R2353" s="367" t="str">
        <f t="shared" si="84"/>
        <v>290</v>
      </c>
    </row>
    <row r="2354" spans="1:18" s="22" customFormat="1" x14ac:dyDescent="0.4">
      <c r="A2354" s="417">
        <v>46220</v>
      </c>
      <c r="B2354" s="373" t="s">
        <v>72</v>
      </c>
      <c r="C2354" s="364" t="s">
        <v>227</v>
      </c>
      <c r="D2354" s="404">
        <v>12</v>
      </c>
      <c r="E2354" s="67">
        <v>5</v>
      </c>
      <c r="F2354" s="371"/>
      <c r="G2354" s="365">
        <v>0.29166666666666669</v>
      </c>
      <c r="H2354" s="365">
        <v>0.45</v>
      </c>
      <c r="I2354" s="372" t="str">
        <f t="shared" si="79"/>
        <v>228</v>
      </c>
      <c r="J2354" s="371">
        <v>3</v>
      </c>
      <c r="K2354" s="371"/>
      <c r="L2354" s="365">
        <v>0.3125</v>
      </c>
      <c r="M2354" s="365">
        <v>0.45833333333333331</v>
      </c>
      <c r="N2354" s="372" t="str">
        <f t="shared" si="80"/>
        <v>210</v>
      </c>
      <c r="O2354" s="371">
        <f t="shared" si="81"/>
        <v>1770</v>
      </c>
      <c r="P2354" s="366">
        <f t="shared" si="82"/>
        <v>0.29166666666666669</v>
      </c>
      <c r="Q2354" s="366">
        <f t="shared" si="83"/>
        <v>0.45833333333333331</v>
      </c>
      <c r="R2354" s="367" t="str">
        <f t="shared" si="84"/>
        <v>240</v>
      </c>
    </row>
    <row r="2355" spans="1:18" s="22" customFormat="1" x14ac:dyDescent="0.4">
      <c r="A2355" s="417">
        <v>46220</v>
      </c>
      <c r="B2355" s="373" t="s">
        <v>81</v>
      </c>
      <c r="C2355" s="364" t="s">
        <v>235</v>
      </c>
      <c r="D2355" s="404">
        <v>8</v>
      </c>
      <c r="E2355" s="67">
        <v>5</v>
      </c>
      <c r="F2355" s="371"/>
      <c r="G2355" s="365">
        <v>0.45</v>
      </c>
      <c r="H2355" s="365">
        <v>0.57500000000000007</v>
      </c>
      <c r="I2355" s="372" t="str">
        <f t="shared" si="79"/>
        <v>120</v>
      </c>
      <c r="J2355" s="371">
        <v>3</v>
      </c>
      <c r="K2355" s="371"/>
      <c r="L2355" s="365">
        <v>0.45833333333333331</v>
      </c>
      <c r="M2355" s="365">
        <v>0.56944444444444442</v>
      </c>
      <c r="N2355" s="372" t="str">
        <f t="shared" si="80"/>
        <v>100</v>
      </c>
      <c r="O2355" s="371">
        <f t="shared" si="81"/>
        <v>900</v>
      </c>
      <c r="P2355" s="366">
        <f t="shared" si="82"/>
        <v>0.45</v>
      </c>
      <c r="Q2355" s="366">
        <f t="shared" si="83"/>
        <v>0.57500000000000007</v>
      </c>
      <c r="R2355" s="367" t="str">
        <f t="shared" si="84"/>
        <v>120</v>
      </c>
    </row>
    <row r="2356" spans="1:18" x14ac:dyDescent="0.4">
      <c r="A2356" s="402">
        <v>46220</v>
      </c>
      <c r="B2356" s="392" t="s">
        <v>73</v>
      </c>
      <c r="C2356" s="364" t="s">
        <v>231</v>
      </c>
      <c r="D2356" s="404">
        <v>21</v>
      </c>
      <c r="E2356" s="369">
        <v>3</v>
      </c>
      <c r="F2356" s="370"/>
      <c r="G2356" s="368">
        <v>0.29166666666666669</v>
      </c>
      <c r="H2356" s="368">
        <v>0.39583333333333331</v>
      </c>
      <c r="I2356" s="372" t="str">
        <f t="shared" si="79"/>
        <v>150</v>
      </c>
      <c r="J2356" s="371">
        <v>4</v>
      </c>
      <c r="K2356" s="371"/>
      <c r="L2356" s="365">
        <v>0.39583333333333331</v>
      </c>
      <c r="M2356" s="365">
        <v>0.6875</v>
      </c>
      <c r="N2356" s="372" t="str">
        <f t="shared" si="80"/>
        <v>360</v>
      </c>
      <c r="O2356" s="371">
        <f t="shared" si="81"/>
        <v>1890</v>
      </c>
      <c r="P2356" s="366">
        <f t="shared" si="82"/>
        <v>0.29166666666666669</v>
      </c>
      <c r="Q2356" s="366">
        <f t="shared" si="83"/>
        <v>0.6875</v>
      </c>
      <c r="R2356" s="367" t="str">
        <f t="shared" si="84"/>
        <v>510</v>
      </c>
    </row>
    <row r="2357" spans="1:18" x14ac:dyDescent="0.4">
      <c r="A2357" s="402">
        <v>46220</v>
      </c>
      <c r="B2357" s="392" t="s">
        <v>96</v>
      </c>
      <c r="C2357" s="364" t="s">
        <v>167</v>
      </c>
      <c r="D2357" s="404">
        <v>16</v>
      </c>
      <c r="E2357" s="369">
        <v>3</v>
      </c>
      <c r="F2357" s="368">
        <v>2.0833333333333332E-2</v>
      </c>
      <c r="G2357" s="368">
        <v>0.4375</v>
      </c>
      <c r="H2357" s="368">
        <v>0.60416666666666663</v>
      </c>
      <c r="I2357" s="372" t="str">
        <f t="shared" si="79"/>
        <v>210</v>
      </c>
      <c r="J2357" s="371">
        <v>6</v>
      </c>
      <c r="K2357" s="371"/>
      <c r="L2357" s="365">
        <v>0.47916666666666669</v>
      </c>
      <c r="M2357" s="365">
        <v>0.67361111111111116</v>
      </c>
      <c r="N2357" s="372" t="str">
        <f t="shared" si="80"/>
        <v>220</v>
      </c>
      <c r="O2357" s="371">
        <f t="shared" si="81"/>
        <v>1950</v>
      </c>
      <c r="P2357" s="366">
        <f t="shared" si="82"/>
        <v>0.4375</v>
      </c>
      <c r="Q2357" s="366">
        <f t="shared" si="83"/>
        <v>0.67361111111111116</v>
      </c>
      <c r="R2357" s="367" t="str">
        <f t="shared" si="84"/>
        <v>280</v>
      </c>
    </row>
    <row r="2358" spans="1:18" x14ac:dyDescent="0.4">
      <c r="A2358" s="402">
        <v>46220</v>
      </c>
      <c r="B2358" s="392" t="s">
        <v>83</v>
      </c>
      <c r="C2358" s="364" t="s">
        <v>169</v>
      </c>
      <c r="D2358" s="404">
        <v>16</v>
      </c>
      <c r="E2358" s="369">
        <v>3</v>
      </c>
      <c r="F2358" s="370"/>
      <c r="G2358" s="368">
        <v>0.29166666666666669</v>
      </c>
      <c r="H2358" s="368">
        <v>0.39583333333333331</v>
      </c>
      <c r="I2358" s="372" t="str">
        <f t="shared" si="79"/>
        <v>150</v>
      </c>
      <c r="J2358" s="371">
        <v>7</v>
      </c>
      <c r="K2358" s="371"/>
      <c r="L2358" s="365">
        <v>0.29166666666666669</v>
      </c>
      <c r="M2358" s="365">
        <v>0.4861111111111111</v>
      </c>
      <c r="N2358" s="372" t="str">
        <f t="shared" si="80"/>
        <v>280</v>
      </c>
      <c r="O2358" s="371">
        <f t="shared" si="81"/>
        <v>2410</v>
      </c>
      <c r="P2358" s="366">
        <f t="shared" si="82"/>
        <v>0.29166666666666669</v>
      </c>
      <c r="Q2358" s="366">
        <f t="shared" si="83"/>
        <v>0.4861111111111111</v>
      </c>
      <c r="R2358" s="367" t="str">
        <f t="shared" si="84"/>
        <v>280</v>
      </c>
    </row>
    <row r="2359" spans="1:18" x14ac:dyDescent="0.4">
      <c r="A2359" s="402">
        <v>46223</v>
      </c>
      <c r="B2359" s="392" t="s">
        <v>71</v>
      </c>
      <c r="C2359" s="364" t="s">
        <v>176</v>
      </c>
      <c r="D2359" s="404">
        <v>68</v>
      </c>
      <c r="E2359" s="369">
        <v>6</v>
      </c>
      <c r="F2359" s="370"/>
      <c r="G2359" s="368">
        <v>0.29166666666666669</v>
      </c>
      <c r="H2359" s="368">
        <v>0.70833333333333337</v>
      </c>
      <c r="I2359" s="372" t="str">
        <f t="shared" si="79"/>
        <v>540</v>
      </c>
      <c r="J2359" s="371">
        <v>5</v>
      </c>
      <c r="K2359" s="371"/>
      <c r="L2359" s="365">
        <v>0.3125</v>
      </c>
      <c r="M2359" s="365">
        <v>0.72916666666666663</v>
      </c>
      <c r="N2359" s="372" t="str">
        <f t="shared" si="80"/>
        <v>540</v>
      </c>
      <c r="O2359" s="371">
        <f t="shared" si="81"/>
        <v>5940</v>
      </c>
      <c r="P2359" s="366">
        <f t="shared" si="82"/>
        <v>0.29166666666666669</v>
      </c>
      <c r="Q2359" s="366">
        <f t="shared" si="83"/>
        <v>0.72916666666666663</v>
      </c>
      <c r="R2359" s="367" t="str">
        <f t="shared" si="84"/>
        <v>570</v>
      </c>
    </row>
    <row r="2360" spans="1:18" x14ac:dyDescent="0.4">
      <c r="A2360" s="402">
        <v>46223</v>
      </c>
      <c r="B2360" s="392" t="s">
        <v>1062</v>
      </c>
      <c r="C2360" s="364" t="s">
        <v>1064</v>
      </c>
      <c r="D2360" s="404">
        <v>8</v>
      </c>
      <c r="E2360" s="369">
        <v>5</v>
      </c>
      <c r="F2360" s="370"/>
      <c r="G2360" s="368">
        <v>0.29166666666666669</v>
      </c>
      <c r="H2360" s="368">
        <v>0.38055555555555554</v>
      </c>
      <c r="I2360" s="372" t="str">
        <f t="shared" si="79"/>
        <v>128</v>
      </c>
      <c r="J2360" s="371">
        <v>4</v>
      </c>
      <c r="K2360" s="371"/>
      <c r="L2360" s="365">
        <v>0.3125</v>
      </c>
      <c r="M2360" s="365">
        <v>0.4375</v>
      </c>
      <c r="N2360" s="372" t="str">
        <f t="shared" si="80"/>
        <v>180</v>
      </c>
      <c r="O2360" s="371">
        <f t="shared" si="81"/>
        <v>1360</v>
      </c>
      <c r="P2360" s="366">
        <f t="shared" si="82"/>
        <v>0.29166666666666669</v>
      </c>
      <c r="Q2360" s="366">
        <f t="shared" si="83"/>
        <v>0.4375</v>
      </c>
      <c r="R2360" s="367" t="str">
        <f t="shared" si="84"/>
        <v>210</v>
      </c>
    </row>
    <row r="2361" spans="1:18" x14ac:dyDescent="0.4">
      <c r="A2361" s="402">
        <v>46223</v>
      </c>
      <c r="B2361" s="392" t="s">
        <v>75</v>
      </c>
      <c r="C2361" s="364" t="s">
        <v>229</v>
      </c>
      <c r="D2361" s="404">
        <v>16</v>
      </c>
      <c r="E2361" s="369">
        <v>5</v>
      </c>
      <c r="F2361" s="370"/>
      <c r="G2361" s="368">
        <v>0.38055555555555554</v>
      </c>
      <c r="H2361" s="368">
        <v>0.58888888888888891</v>
      </c>
      <c r="I2361" s="372" t="str">
        <f t="shared" si="79"/>
        <v>240</v>
      </c>
      <c r="J2361" s="371">
        <v>3</v>
      </c>
      <c r="K2361" s="371"/>
      <c r="L2361" s="365">
        <v>0.4375</v>
      </c>
      <c r="M2361" s="365">
        <v>0.61805555555555558</v>
      </c>
      <c r="N2361" s="372" t="str">
        <f t="shared" si="80"/>
        <v>200</v>
      </c>
      <c r="O2361" s="371">
        <f t="shared" si="81"/>
        <v>1800</v>
      </c>
      <c r="P2361" s="366">
        <f t="shared" si="82"/>
        <v>0.38055555555555554</v>
      </c>
      <c r="Q2361" s="366">
        <f t="shared" si="83"/>
        <v>0.61805555555555558</v>
      </c>
      <c r="R2361" s="367" t="str">
        <f t="shared" si="84"/>
        <v>282</v>
      </c>
    </row>
    <row r="2362" spans="1:18" x14ac:dyDescent="0.4">
      <c r="A2362" s="402">
        <v>46223</v>
      </c>
      <c r="B2362" s="392" t="s">
        <v>63</v>
      </c>
      <c r="C2362" s="364" t="s">
        <v>267</v>
      </c>
      <c r="D2362" s="404">
        <v>16</v>
      </c>
      <c r="E2362" s="369">
        <v>5</v>
      </c>
      <c r="F2362" s="370"/>
      <c r="G2362" s="368">
        <v>0.58888888888888891</v>
      </c>
      <c r="H2362" s="368">
        <v>0.6875</v>
      </c>
      <c r="I2362" s="372" t="str">
        <f t="shared" si="79"/>
        <v>142</v>
      </c>
      <c r="J2362" s="371">
        <v>3</v>
      </c>
      <c r="K2362" s="371"/>
      <c r="L2362" s="365">
        <v>0.61805555555555558</v>
      </c>
      <c r="M2362" s="365">
        <v>0.72916666666666663</v>
      </c>
      <c r="N2362" s="372" t="str">
        <f t="shared" si="80"/>
        <v>160</v>
      </c>
      <c r="O2362" s="371">
        <f t="shared" si="81"/>
        <v>1190</v>
      </c>
      <c r="P2362" s="366">
        <f t="shared" si="82"/>
        <v>0.58888888888888891</v>
      </c>
      <c r="Q2362" s="366">
        <f t="shared" si="83"/>
        <v>0.72916666666666663</v>
      </c>
      <c r="R2362" s="367" t="str">
        <f t="shared" si="84"/>
        <v>202</v>
      </c>
    </row>
    <row r="2363" spans="1:18" x14ac:dyDescent="0.4">
      <c r="A2363" s="402">
        <v>46223</v>
      </c>
      <c r="B2363" s="392" t="s">
        <v>65</v>
      </c>
      <c r="C2363" s="364" t="s">
        <v>189</v>
      </c>
      <c r="D2363" s="404">
        <v>68</v>
      </c>
      <c r="E2363" s="369">
        <v>3</v>
      </c>
      <c r="F2363" s="368">
        <v>2.0833333333333332E-2</v>
      </c>
      <c r="G2363" s="368">
        <v>0.29166666666666669</v>
      </c>
      <c r="H2363" s="368">
        <v>0.63888888888888895</v>
      </c>
      <c r="I2363" s="372" t="str">
        <f t="shared" si="79"/>
        <v>470</v>
      </c>
      <c r="J2363" s="371">
        <v>4</v>
      </c>
      <c r="K2363" s="371"/>
      <c r="L2363" s="365">
        <v>0.29166666666666669</v>
      </c>
      <c r="M2363" s="365">
        <v>0.68055555555555547</v>
      </c>
      <c r="N2363" s="372" t="str">
        <f t="shared" si="80"/>
        <v>500</v>
      </c>
      <c r="O2363" s="371">
        <f t="shared" si="81"/>
        <v>3410</v>
      </c>
      <c r="P2363" s="366">
        <f t="shared" si="82"/>
        <v>0.29166666666666669</v>
      </c>
      <c r="Q2363" s="366">
        <f t="shared" si="83"/>
        <v>0.68055555555555547</v>
      </c>
      <c r="R2363" s="367" t="str">
        <f t="shared" si="84"/>
        <v>500</v>
      </c>
    </row>
    <row r="2364" spans="1:18" x14ac:dyDescent="0.4">
      <c r="A2364" s="403">
        <v>46223</v>
      </c>
      <c r="B2364" s="383">
        <v>153010</v>
      </c>
      <c r="C2364" s="390" t="s">
        <v>484</v>
      </c>
      <c r="D2364" s="405">
        <v>1</v>
      </c>
      <c r="E2364" s="384"/>
      <c r="F2364" s="385"/>
      <c r="G2364" s="396"/>
      <c r="H2364" s="396"/>
      <c r="I2364" s="386" t="str">
        <f t="shared" si="79"/>
        <v>0</v>
      </c>
      <c r="J2364" s="387"/>
      <c r="K2364" s="387"/>
      <c r="L2364" s="388"/>
      <c r="M2364" s="388"/>
      <c r="N2364" s="386" t="str">
        <f t="shared" si="80"/>
        <v>0</v>
      </c>
      <c r="O2364" s="387">
        <f t="shared" si="81"/>
        <v>0</v>
      </c>
      <c r="P2364" s="391">
        <f t="shared" si="82"/>
        <v>0</v>
      </c>
      <c r="Q2364" s="391">
        <f t="shared" si="83"/>
        <v>0</v>
      </c>
      <c r="R2364" s="389" t="str">
        <f t="shared" si="84"/>
        <v>0</v>
      </c>
    </row>
    <row r="2365" spans="1:18" x14ac:dyDescent="0.4">
      <c r="A2365" s="402">
        <v>46224</v>
      </c>
      <c r="B2365" s="392" t="s">
        <v>64</v>
      </c>
      <c r="C2365" s="364" t="s">
        <v>271</v>
      </c>
      <c r="D2365" s="404">
        <v>8</v>
      </c>
      <c r="E2365" s="371">
        <v>5</v>
      </c>
      <c r="F2365" s="371"/>
      <c r="G2365" s="365">
        <v>0.36805555555555558</v>
      </c>
      <c r="H2365" s="365">
        <v>0.43402777777777773</v>
      </c>
      <c r="I2365" s="372" t="str">
        <f t="shared" si="79"/>
        <v>95</v>
      </c>
      <c r="J2365" s="371">
        <v>3</v>
      </c>
      <c r="K2365" s="371"/>
      <c r="L2365" s="365">
        <v>0.40972222222222227</v>
      </c>
      <c r="M2365" s="365">
        <v>0.47222222222222227</v>
      </c>
      <c r="N2365" s="372" t="str">
        <f t="shared" si="80"/>
        <v>90</v>
      </c>
      <c r="O2365" s="371">
        <f t="shared" si="81"/>
        <v>745</v>
      </c>
      <c r="P2365" s="366">
        <f t="shared" si="82"/>
        <v>0.36805555555555558</v>
      </c>
      <c r="Q2365" s="366">
        <f t="shared" si="83"/>
        <v>0.47222222222222227</v>
      </c>
      <c r="R2365" s="367" t="str">
        <f t="shared" si="84"/>
        <v>150</v>
      </c>
    </row>
    <row r="2366" spans="1:18" x14ac:dyDescent="0.4">
      <c r="A2366" s="402">
        <v>46224</v>
      </c>
      <c r="B2366" s="392" t="s">
        <v>107</v>
      </c>
      <c r="C2366" s="364" t="s">
        <v>314</v>
      </c>
      <c r="D2366" s="404">
        <v>24</v>
      </c>
      <c r="E2366" s="371">
        <v>5</v>
      </c>
      <c r="F2366" s="371"/>
      <c r="G2366" s="365">
        <v>0.43402777777777773</v>
      </c>
      <c r="H2366" s="365">
        <v>0.6875</v>
      </c>
      <c r="I2366" s="372" t="str">
        <f t="shared" si="79"/>
        <v>305</v>
      </c>
      <c r="J2366" s="371">
        <v>3</v>
      </c>
      <c r="K2366" s="371"/>
      <c r="L2366" s="365">
        <v>0.47222222222222227</v>
      </c>
      <c r="M2366" s="365">
        <v>0.70833333333333337</v>
      </c>
      <c r="N2366" s="372" t="str">
        <f t="shared" si="80"/>
        <v>280</v>
      </c>
      <c r="O2366" s="371">
        <f t="shared" si="81"/>
        <v>2365</v>
      </c>
      <c r="P2366" s="366">
        <f t="shared" si="82"/>
        <v>0.43402777777777773</v>
      </c>
      <c r="Q2366" s="366">
        <f t="shared" si="83"/>
        <v>0.70833333333333337</v>
      </c>
      <c r="R2366" s="367" t="str">
        <f t="shared" si="84"/>
        <v>335</v>
      </c>
    </row>
    <row r="2367" spans="1:18" x14ac:dyDescent="0.4">
      <c r="A2367" s="402">
        <v>46224</v>
      </c>
      <c r="B2367" s="392" t="s">
        <v>53</v>
      </c>
      <c r="C2367" s="364" t="s">
        <v>261</v>
      </c>
      <c r="D2367" s="404">
        <v>6</v>
      </c>
      <c r="E2367" s="371">
        <v>5</v>
      </c>
      <c r="F2367" s="371"/>
      <c r="G2367" s="365">
        <v>0.29166666666666669</v>
      </c>
      <c r="H2367" s="365">
        <v>0.36805555555555558</v>
      </c>
      <c r="I2367" s="372" t="str">
        <f t="shared" si="79"/>
        <v>110</v>
      </c>
      <c r="J2367" s="371">
        <v>3</v>
      </c>
      <c r="K2367" s="371"/>
      <c r="L2367" s="365">
        <v>0.3125</v>
      </c>
      <c r="M2367" s="365">
        <v>0.40972222222222227</v>
      </c>
      <c r="N2367" s="372" t="str">
        <f t="shared" si="80"/>
        <v>140</v>
      </c>
      <c r="O2367" s="371">
        <f t="shared" si="81"/>
        <v>970</v>
      </c>
      <c r="P2367" s="366">
        <f t="shared" si="82"/>
        <v>0.29166666666666669</v>
      </c>
      <c r="Q2367" s="366">
        <f t="shared" si="83"/>
        <v>0.40972222222222227</v>
      </c>
      <c r="R2367" s="367" t="str">
        <f t="shared" si="84"/>
        <v>170</v>
      </c>
    </row>
    <row r="2368" spans="1:18" x14ac:dyDescent="0.4">
      <c r="A2368" s="402">
        <v>46224</v>
      </c>
      <c r="B2368" s="392" t="s">
        <v>108</v>
      </c>
      <c r="C2368" s="364" t="s">
        <v>231</v>
      </c>
      <c r="D2368" s="404">
        <v>21</v>
      </c>
      <c r="E2368" s="369">
        <v>4</v>
      </c>
      <c r="F2368" s="370"/>
      <c r="G2368" s="368">
        <v>0.29166666666666669</v>
      </c>
      <c r="H2368" s="368">
        <v>0.41666666666666669</v>
      </c>
      <c r="I2368" s="372" t="str">
        <f t="shared" si="79"/>
        <v>180</v>
      </c>
      <c r="J2368" s="371">
        <v>4</v>
      </c>
      <c r="K2368" s="371"/>
      <c r="L2368" s="365">
        <v>0.41666666666666669</v>
      </c>
      <c r="M2368" s="365">
        <v>0.70833333333333337</v>
      </c>
      <c r="N2368" s="372" t="str">
        <f t="shared" si="80"/>
        <v>360</v>
      </c>
      <c r="O2368" s="371">
        <f t="shared" si="81"/>
        <v>2160</v>
      </c>
      <c r="P2368" s="366">
        <f t="shared" si="82"/>
        <v>0.29166666666666669</v>
      </c>
      <c r="Q2368" s="366">
        <f t="shared" si="83"/>
        <v>0.70833333333333337</v>
      </c>
      <c r="R2368" s="367" t="str">
        <f t="shared" si="84"/>
        <v>540</v>
      </c>
    </row>
    <row r="2369" spans="1:18" x14ac:dyDescent="0.4">
      <c r="A2369" s="402">
        <v>46224</v>
      </c>
      <c r="B2369" s="392" t="s">
        <v>58</v>
      </c>
      <c r="C2369" s="364" t="s">
        <v>165</v>
      </c>
      <c r="D2369" s="404">
        <v>24</v>
      </c>
      <c r="E2369" s="369">
        <v>3</v>
      </c>
      <c r="F2369" s="368">
        <v>2.0833333333333332E-2</v>
      </c>
      <c r="G2369" s="368">
        <v>0.29166666666666669</v>
      </c>
      <c r="H2369" s="368">
        <v>0.44097222222222227</v>
      </c>
      <c r="I2369" s="372" t="str">
        <f t="shared" si="79"/>
        <v>245</v>
      </c>
      <c r="J2369" s="371">
        <v>6</v>
      </c>
      <c r="K2369" s="371"/>
      <c r="L2369" s="365">
        <v>0.29166666666666669</v>
      </c>
      <c r="M2369" s="365">
        <v>0.49652777777777773</v>
      </c>
      <c r="N2369" s="372" t="str">
        <f t="shared" si="80"/>
        <v>295</v>
      </c>
      <c r="O2369" s="371">
        <f t="shared" si="81"/>
        <v>2505</v>
      </c>
      <c r="P2369" s="366">
        <f t="shared" si="82"/>
        <v>0.29166666666666669</v>
      </c>
      <c r="Q2369" s="366">
        <f t="shared" si="83"/>
        <v>0.49652777777777773</v>
      </c>
      <c r="R2369" s="367" t="str">
        <f t="shared" si="84"/>
        <v>295</v>
      </c>
    </row>
    <row r="2370" spans="1:18" x14ac:dyDescent="0.4">
      <c r="A2370" s="402">
        <v>46224</v>
      </c>
      <c r="B2370" s="392" t="s">
        <v>131</v>
      </c>
      <c r="C2370" s="364" t="s">
        <v>274</v>
      </c>
      <c r="D2370" s="404">
        <v>32</v>
      </c>
      <c r="E2370" s="369">
        <v>3</v>
      </c>
      <c r="F2370" s="370"/>
      <c r="G2370" s="368">
        <v>0.4375</v>
      </c>
      <c r="H2370" s="368">
        <v>0.65277777777777779</v>
      </c>
      <c r="I2370" s="372" t="str">
        <f t="shared" si="79"/>
        <v>250</v>
      </c>
      <c r="J2370" s="371">
        <v>4</v>
      </c>
      <c r="K2370" s="371"/>
      <c r="L2370" s="365">
        <v>0.54166666666666663</v>
      </c>
      <c r="M2370" s="365">
        <v>0.69791666666666663</v>
      </c>
      <c r="N2370" s="372" t="str">
        <f t="shared" si="80"/>
        <v>225</v>
      </c>
      <c r="O2370" s="371">
        <f t="shared" si="81"/>
        <v>1650</v>
      </c>
      <c r="P2370" s="366">
        <f t="shared" si="82"/>
        <v>0.4375</v>
      </c>
      <c r="Q2370" s="366">
        <f t="shared" si="83"/>
        <v>0.69791666666666663</v>
      </c>
      <c r="R2370" s="367" t="str">
        <f t="shared" si="84"/>
        <v>315</v>
      </c>
    </row>
    <row r="2371" spans="1:18" x14ac:dyDescent="0.4">
      <c r="A2371" s="402">
        <v>46225</v>
      </c>
      <c r="B2371" s="392" t="s">
        <v>61</v>
      </c>
      <c r="C2371" s="364" t="s">
        <v>156</v>
      </c>
      <c r="D2371" s="404">
        <v>40</v>
      </c>
      <c r="E2371" s="369">
        <v>4</v>
      </c>
      <c r="F2371" s="370"/>
      <c r="G2371" s="368">
        <v>0.29166666666666669</v>
      </c>
      <c r="H2371" s="368">
        <v>0.6875</v>
      </c>
      <c r="I2371" s="372" t="str">
        <f t="shared" si="79"/>
        <v>510</v>
      </c>
      <c r="J2371" s="371">
        <v>10</v>
      </c>
      <c r="K2371" s="371"/>
      <c r="L2371" s="365">
        <v>0.3125</v>
      </c>
      <c r="M2371" s="365">
        <v>0.72916666666666663</v>
      </c>
      <c r="N2371" s="372" t="str">
        <f t="shared" si="80"/>
        <v>540</v>
      </c>
      <c r="O2371" s="371">
        <f t="shared" si="81"/>
        <v>7440</v>
      </c>
      <c r="P2371" s="366">
        <f t="shared" si="82"/>
        <v>0.29166666666666669</v>
      </c>
      <c r="Q2371" s="366">
        <f t="shared" si="83"/>
        <v>0.72916666666666663</v>
      </c>
      <c r="R2371" s="367" t="str">
        <f t="shared" si="84"/>
        <v>570</v>
      </c>
    </row>
    <row r="2372" spans="1:18" x14ac:dyDescent="0.4">
      <c r="A2372" s="402">
        <v>46225</v>
      </c>
      <c r="B2372" s="392" t="s">
        <v>81</v>
      </c>
      <c r="C2372" s="364" t="s">
        <v>235</v>
      </c>
      <c r="D2372" s="404">
        <v>16</v>
      </c>
      <c r="E2372" s="369">
        <v>5</v>
      </c>
      <c r="F2372" s="370"/>
      <c r="G2372" s="368">
        <v>0.29166666666666669</v>
      </c>
      <c r="H2372" s="368">
        <v>0.4236111111111111</v>
      </c>
      <c r="I2372" s="372" t="str">
        <f t="shared" si="79"/>
        <v>190</v>
      </c>
      <c r="J2372" s="371">
        <v>3</v>
      </c>
      <c r="K2372" s="371"/>
      <c r="L2372" s="365">
        <v>0.3125</v>
      </c>
      <c r="M2372" s="365">
        <v>0.4513888888888889</v>
      </c>
      <c r="N2372" s="372" t="str">
        <f t="shared" si="80"/>
        <v>200</v>
      </c>
      <c r="O2372" s="371">
        <f t="shared" si="81"/>
        <v>1550</v>
      </c>
      <c r="P2372" s="366">
        <f t="shared" si="82"/>
        <v>0.29166666666666669</v>
      </c>
      <c r="Q2372" s="366">
        <f t="shared" si="83"/>
        <v>0.4513888888888889</v>
      </c>
      <c r="R2372" s="367" t="str">
        <f t="shared" si="84"/>
        <v>230</v>
      </c>
    </row>
    <row r="2373" spans="1:18" x14ac:dyDescent="0.4">
      <c r="A2373" s="402">
        <v>46225</v>
      </c>
      <c r="B2373" s="392" t="s">
        <v>63</v>
      </c>
      <c r="C2373" s="364" t="s">
        <v>267</v>
      </c>
      <c r="D2373" s="404">
        <v>24</v>
      </c>
      <c r="E2373" s="369">
        <v>5</v>
      </c>
      <c r="F2373" s="370"/>
      <c r="G2373" s="368">
        <v>0.4236111111111111</v>
      </c>
      <c r="H2373" s="368">
        <v>0.66666666666666663</v>
      </c>
      <c r="I2373" s="372" t="str">
        <f t="shared" si="79"/>
        <v>290</v>
      </c>
      <c r="J2373" s="371">
        <v>3</v>
      </c>
      <c r="K2373" s="371"/>
      <c r="L2373" s="365">
        <v>0.4513888888888889</v>
      </c>
      <c r="M2373" s="365">
        <v>0.6875</v>
      </c>
      <c r="N2373" s="372" t="str">
        <f t="shared" si="80"/>
        <v>280</v>
      </c>
      <c r="O2373" s="371">
        <f t="shared" si="81"/>
        <v>2290</v>
      </c>
      <c r="P2373" s="366">
        <f t="shared" si="82"/>
        <v>0.4236111111111111</v>
      </c>
      <c r="Q2373" s="366">
        <f t="shared" si="83"/>
        <v>0.6875</v>
      </c>
      <c r="R2373" s="367" t="str">
        <f t="shared" si="84"/>
        <v>320</v>
      </c>
    </row>
    <row r="2374" spans="1:18" x14ac:dyDescent="0.4">
      <c r="A2374" s="402">
        <v>46225</v>
      </c>
      <c r="B2374" s="392" t="s">
        <v>65</v>
      </c>
      <c r="C2374" s="364" t="s">
        <v>189</v>
      </c>
      <c r="D2374" s="404">
        <v>68</v>
      </c>
      <c r="E2374" s="369">
        <v>3</v>
      </c>
      <c r="F2374" s="368">
        <v>2.0833333333333332E-2</v>
      </c>
      <c r="G2374" s="368">
        <v>0.29166666666666669</v>
      </c>
      <c r="H2374" s="368">
        <v>0.63541666666666663</v>
      </c>
      <c r="I2374" s="372" t="str">
        <f t="shared" si="79"/>
        <v>465</v>
      </c>
      <c r="J2374" s="371">
        <v>4</v>
      </c>
      <c r="K2374" s="371"/>
      <c r="L2374" s="365">
        <v>0.29166666666666669</v>
      </c>
      <c r="M2374" s="365">
        <v>0.68055555555555547</v>
      </c>
      <c r="N2374" s="372" t="str">
        <f t="shared" si="80"/>
        <v>500</v>
      </c>
      <c r="O2374" s="371">
        <f t="shared" si="81"/>
        <v>3395</v>
      </c>
      <c r="P2374" s="366">
        <f t="shared" si="82"/>
        <v>0.29166666666666669</v>
      </c>
      <c r="Q2374" s="366">
        <f t="shared" si="83"/>
        <v>0.68055555555555547</v>
      </c>
      <c r="R2374" s="367" t="str">
        <f t="shared" si="84"/>
        <v>500</v>
      </c>
    </row>
    <row r="2375" spans="1:18" x14ac:dyDescent="0.4">
      <c r="A2375" s="402">
        <v>46226</v>
      </c>
      <c r="B2375" s="392" t="s">
        <v>51</v>
      </c>
      <c r="C2375" s="364" t="s">
        <v>253</v>
      </c>
      <c r="D2375" s="404">
        <v>12</v>
      </c>
      <c r="E2375" s="369">
        <v>4</v>
      </c>
      <c r="F2375" s="370"/>
      <c r="G2375" s="368">
        <v>0.43194444444444446</v>
      </c>
      <c r="H2375" s="368">
        <v>0.57291666666666663</v>
      </c>
      <c r="I2375" s="372" t="str">
        <f t="shared" si="79"/>
        <v>143</v>
      </c>
      <c r="J2375" s="371">
        <v>3</v>
      </c>
      <c r="K2375" s="371"/>
      <c r="L2375" s="365">
        <v>0.45833333333333331</v>
      </c>
      <c r="M2375" s="365">
        <v>0.61111111111111105</v>
      </c>
      <c r="N2375" s="372" t="str">
        <f t="shared" si="80"/>
        <v>160</v>
      </c>
      <c r="O2375" s="371">
        <f t="shared" si="81"/>
        <v>1052</v>
      </c>
      <c r="P2375" s="366">
        <f t="shared" si="82"/>
        <v>0.43194444444444446</v>
      </c>
      <c r="Q2375" s="366">
        <f t="shared" si="83"/>
        <v>0.61111111111111105</v>
      </c>
      <c r="R2375" s="367" t="str">
        <f t="shared" si="84"/>
        <v>198</v>
      </c>
    </row>
    <row r="2376" spans="1:18" x14ac:dyDescent="0.4">
      <c r="A2376" s="402">
        <v>46226</v>
      </c>
      <c r="B2376" s="392" t="s">
        <v>54</v>
      </c>
      <c r="C2376" s="364" t="s">
        <v>251</v>
      </c>
      <c r="D2376" s="404">
        <v>16</v>
      </c>
      <c r="E2376" s="369">
        <v>4</v>
      </c>
      <c r="F2376" s="370"/>
      <c r="G2376" s="368">
        <v>0.29166666666666669</v>
      </c>
      <c r="H2376" s="368">
        <v>0.43194444444444446</v>
      </c>
      <c r="I2376" s="372" t="str">
        <f t="shared" si="79"/>
        <v>202</v>
      </c>
      <c r="J2376" s="371">
        <v>3</v>
      </c>
      <c r="K2376" s="371"/>
      <c r="L2376" s="365">
        <v>0.3125</v>
      </c>
      <c r="M2376" s="365">
        <v>0.45833333333333331</v>
      </c>
      <c r="N2376" s="372" t="str">
        <f t="shared" si="80"/>
        <v>210</v>
      </c>
      <c r="O2376" s="371">
        <f t="shared" si="81"/>
        <v>1438</v>
      </c>
      <c r="P2376" s="366">
        <f t="shared" si="82"/>
        <v>0.29166666666666669</v>
      </c>
      <c r="Q2376" s="366">
        <f t="shared" si="83"/>
        <v>0.45833333333333331</v>
      </c>
      <c r="R2376" s="367" t="str">
        <f t="shared" si="84"/>
        <v>240</v>
      </c>
    </row>
    <row r="2377" spans="1:18" x14ac:dyDescent="0.4">
      <c r="A2377" s="402">
        <v>46226</v>
      </c>
      <c r="B2377" s="392" t="s">
        <v>109</v>
      </c>
      <c r="C2377" s="364" t="s">
        <v>263</v>
      </c>
      <c r="D2377" s="404">
        <v>12</v>
      </c>
      <c r="E2377" s="369">
        <v>4</v>
      </c>
      <c r="F2377" s="370"/>
      <c r="G2377" s="368">
        <v>0.57291666666666663</v>
      </c>
      <c r="H2377" s="368">
        <v>0.6875</v>
      </c>
      <c r="I2377" s="372" t="str">
        <f t="shared" si="79"/>
        <v>165</v>
      </c>
      <c r="J2377" s="371">
        <v>3</v>
      </c>
      <c r="K2377" s="371"/>
      <c r="L2377" s="365">
        <v>0.61111111111111105</v>
      </c>
      <c r="M2377" s="365">
        <v>0.72916666666666663</v>
      </c>
      <c r="N2377" s="372" t="str">
        <f t="shared" si="80"/>
        <v>170</v>
      </c>
      <c r="O2377" s="371">
        <f t="shared" si="81"/>
        <v>1170</v>
      </c>
      <c r="P2377" s="366">
        <f t="shared" si="82"/>
        <v>0.57291666666666663</v>
      </c>
      <c r="Q2377" s="366">
        <f t="shared" si="83"/>
        <v>0.72916666666666663</v>
      </c>
      <c r="R2377" s="367" t="str">
        <f t="shared" si="84"/>
        <v>225</v>
      </c>
    </row>
    <row r="2378" spans="1:18" x14ac:dyDescent="0.4">
      <c r="A2378" s="402">
        <v>46226</v>
      </c>
      <c r="B2378" s="392" t="s">
        <v>118</v>
      </c>
      <c r="C2378" s="364" t="s">
        <v>318</v>
      </c>
      <c r="D2378" s="404">
        <v>4</v>
      </c>
      <c r="E2378" s="369">
        <v>5</v>
      </c>
      <c r="F2378" s="370"/>
      <c r="G2378" s="368">
        <v>0.29166666666666669</v>
      </c>
      <c r="H2378" s="368">
        <v>0.34027777777777773</v>
      </c>
      <c r="I2378" s="372" t="str">
        <f t="shared" si="79"/>
        <v>70</v>
      </c>
      <c r="J2378" s="371">
        <v>4</v>
      </c>
      <c r="K2378" s="371"/>
      <c r="L2378" s="365">
        <v>0.3125</v>
      </c>
      <c r="M2378" s="365">
        <v>0.38194444444444442</v>
      </c>
      <c r="N2378" s="372" t="str">
        <f t="shared" si="80"/>
        <v>100</v>
      </c>
      <c r="O2378" s="371">
        <f t="shared" si="81"/>
        <v>750</v>
      </c>
      <c r="P2378" s="366">
        <f t="shared" si="82"/>
        <v>0.29166666666666669</v>
      </c>
      <c r="Q2378" s="366">
        <f t="shared" si="83"/>
        <v>0.38194444444444442</v>
      </c>
      <c r="R2378" s="367" t="str">
        <f t="shared" si="84"/>
        <v>130</v>
      </c>
    </row>
    <row r="2379" spans="1:18" x14ac:dyDescent="0.4">
      <c r="A2379" s="402">
        <v>46226</v>
      </c>
      <c r="B2379" s="392" t="s">
        <v>1698</v>
      </c>
      <c r="C2379" s="364" t="s">
        <v>1734</v>
      </c>
      <c r="D2379" s="404">
        <v>20</v>
      </c>
      <c r="E2379" s="369">
        <v>5</v>
      </c>
      <c r="F2379" s="370"/>
      <c r="G2379" s="368">
        <v>0.5625</v>
      </c>
      <c r="H2379" s="368">
        <v>0.6875</v>
      </c>
      <c r="I2379" s="372" t="str">
        <f t="shared" si="79"/>
        <v>180</v>
      </c>
      <c r="J2379" s="371">
        <v>4</v>
      </c>
      <c r="K2379" s="371"/>
      <c r="L2379" s="365">
        <v>0.38194444444444442</v>
      </c>
      <c r="M2379" s="365">
        <v>0.60763888888888895</v>
      </c>
      <c r="N2379" s="372" t="str">
        <f t="shared" si="80"/>
        <v>265</v>
      </c>
      <c r="O2379" s="371">
        <f t="shared" si="81"/>
        <v>1960</v>
      </c>
      <c r="P2379" s="366">
        <f t="shared" si="82"/>
        <v>0.38194444444444442</v>
      </c>
      <c r="Q2379" s="366">
        <f t="shared" si="83"/>
        <v>0.6875</v>
      </c>
      <c r="R2379" s="367" t="str">
        <f t="shared" si="84"/>
        <v>380</v>
      </c>
    </row>
    <row r="2380" spans="1:18" x14ac:dyDescent="0.4">
      <c r="A2380" s="402">
        <v>46226</v>
      </c>
      <c r="B2380" s="392" t="s">
        <v>57</v>
      </c>
      <c r="C2380" s="364" t="s">
        <v>334</v>
      </c>
      <c r="D2380" s="404">
        <v>12</v>
      </c>
      <c r="E2380" s="369">
        <v>5</v>
      </c>
      <c r="F2380" s="370"/>
      <c r="G2380" s="368">
        <v>0.34027777777777773</v>
      </c>
      <c r="H2380" s="368">
        <v>0.5625</v>
      </c>
      <c r="I2380" s="372" t="str">
        <f t="shared" si="79"/>
        <v>260</v>
      </c>
      <c r="J2380" s="371">
        <v>4</v>
      </c>
      <c r="K2380" s="371"/>
      <c r="L2380" s="365">
        <v>0.60763888888888895</v>
      </c>
      <c r="M2380" s="365">
        <v>0.72916666666666663</v>
      </c>
      <c r="N2380" s="372" t="str">
        <f t="shared" si="80"/>
        <v>175</v>
      </c>
      <c r="O2380" s="371">
        <f t="shared" si="81"/>
        <v>2000</v>
      </c>
      <c r="P2380" s="366">
        <f t="shared" si="82"/>
        <v>0.34027777777777773</v>
      </c>
      <c r="Q2380" s="366">
        <f t="shared" si="83"/>
        <v>0.72916666666666663</v>
      </c>
      <c r="R2380" s="367" t="str">
        <f t="shared" si="84"/>
        <v>500</v>
      </c>
    </row>
    <row r="2381" spans="1:18" x14ac:dyDescent="0.4">
      <c r="A2381" s="402">
        <v>46226</v>
      </c>
      <c r="B2381" s="392" t="s">
        <v>471</v>
      </c>
      <c r="C2381" s="364" t="s">
        <v>280</v>
      </c>
      <c r="D2381" s="404">
        <v>8</v>
      </c>
      <c r="E2381" s="369">
        <v>3</v>
      </c>
      <c r="F2381" s="368">
        <v>2.0833333333333332E-2</v>
      </c>
      <c r="G2381" s="368">
        <v>0.29166666666666669</v>
      </c>
      <c r="H2381" s="368">
        <v>0.375</v>
      </c>
      <c r="I2381" s="372" t="str">
        <f t="shared" si="79"/>
        <v>150</v>
      </c>
      <c r="J2381" s="371">
        <v>8</v>
      </c>
      <c r="K2381" s="371"/>
      <c r="L2381" s="365">
        <v>0.29166666666666669</v>
      </c>
      <c r="M2381" s="365">
        <v>0.46527777777777773</v>
      </c>
      <c r="N2381" s="372" t="str">
        <f t="shared" si="80"/>
        <v>250</v>
      </c>
      <c r="O2381" s="371">
        <f t="shared" si="81"/>
        <v>2450</v>
      </c>
      <c r="P2381" s="366">
        <f t="shared" si="82"/>
        <v>0.29166666666666669</v>
      </c>
      <c r="Q2381" s="366">
        <f t="shared" si="83"/>
        <v>0.46527777777777773</v>
      </c>
      <c r="R2381" s="367" t="str">
        <f t="shared" si="84"/>
        <v>250</v>
      </c>
    </row>
    <row r="2382" spans="1:18" x14ac:dyDescent="0.4">
      <c r="A2382" s="402">
        <v>46226</v>
      </c>
      <c r="B2382" s="392" t="s">
        <v>65</v>
      </c>
      <c r="C2382" s="364" t="s">
        <v>189</v>
      </c>
      <c r="D2382" s="404">
        <v>32</v>
      </c>
      <c r="E2382" s="369">
        <v>3</v>
      </c>
      <c r="F2382" s="370"/>
      <c r="G2382" s="368">
        <v>0.37152777777777773</v>
      </c>
      <c r="H2382" s="368">
        <v>0.65972222222222221</v>
      </c>
      <c r="I2382" s="372" t="str">
        <f t="shared" si="79"/>
        <v>355</v>
      </c>
      <c r="J2382" s="371">
        <v>4</v>
      </c>
      <c r="K2382" s="371"/>
      <c r="L2382" s="365">
        <v>0.45833333333333331</v>
      </c>
      <c r="M2382" s="365">
        <v>0.70138888888888884</v>
      </c>
      <c r="N2382" s="372" t="str">
        <f t="shared" si="80"/>
        <v>290</v>
      </c>
      <c r="O2382" s="371">
        <f t="shared" si="81"/>
        <v>2225</v>
      </c>
      <c r="P2382" s="366">
        <f t="shared" si="82"/>
        <v>0.37152777777777773</v>
      </c>
      <c r="Q2382" s="366">
        <f t="shared" si="83"/>
        <v>0.70138888888888884</v>
      </c>
      <c r="R2382" s="367" t="str">
        <f t="shared" si="84"/>
        <v>415</v>
      </c>
    </row>
    <row r="2383" spans="1:18" s="22" customFormat="1" x14ac:dyDescent="0.4">
      <c r="A2383" s="417">
        <v>46227</v>
      </c>
      <c r="B2383" s="373" t="s">
        <v>86</v>
      </c>
      <c r="C2383" s="364" t="s">
        <v>201</v>
      </c>
      <c r="D2383" s="404">
        <v>20</v>
      </c>
      <c r="E2383" s="67">
        <v>5</v>
      </c>
      <c r="F2383" s="371"/>
      <c r="G2383" s="365">
        <v>0.57291666666666663</v>
      </c>
      <c r="H2383" s="365">
        <v>0.70833333333333337</v>
      </c>
      <c r="I2383" s="372" t="str">
        <f t="shared" si="79"/>
        <v>195</v>
      </c>
      <c r="J2383" s="371">
        <v>5</v>
      </c>
      <c r="K2383" s="371"/>
      <c r="L2383" s="365">
        <v>0.58333333333333337</v>
      </c>
      <c r="M2383" s="365">
        <v>0.77083333333333337</v>
      </c>
      <c r="N2383" s="372" t="str">
        <f t="shared" si="80"/>
        <v>270</v>
      </c>
      <c r="O2383" s="371">
        <f t="shared" si="81"/>
        <v>2325</v>
      </c>
      <c r="P2383" s="366">
        <f t="shared" si="82"/>
        <v>0.57291666666666663</v>
      </c>
      <c r="Q2383" s="366">
        <f t="shared" si="83"/>
        <v>0.77083333333333337</v>
      </c>
      <c r="R2383" s="367" t="str">
        <f t="shared" si="84"/>
        <v>285</v>
      </c>
    </row>
    <row r="2384" spans="1:18" x14ac:dyDescent="0.4">
      <c r="A2384" s="402">
        <v>46227</v>
      </c>
      <c r="B2384" s="392" t="s">
        <v>114</v>
      </c>
      <c r="C2384" s="364" t="s">
        <v>161</v>
      </c>
      <c r="D2384" s="404">
        <v>15</v>
      </c>
      <c r="E2384" s="369">
        <v>4</v>
      </c>
      <c r="F2384" s="370"/>
      <c r="G2384" s="368">
        <v>0.29166666666666669</v>
      </c>
      <c r="H2384" s="368">
        <v>0.5</v>
      </c>
      <c r="I2384" s="372" t="str">
        <f t="shared" si="79"/>
        <v>300</v>
      </c>
      <c r="J2384" s="371">
        <v>13</v>
      </c>
      <c r="K2384" s="365">
        <v>7.6388888888888895E-2</v>
      </c>
      <c r="L2384" s="365">
        <v>0.3125</v>
      </c>
      <c r="M2384" s="365">
        <v>0.58333333333333337</v>
      </c>
      <c r="N2384" s="372" t="str">
        <f t="shared" si="80"/>
        <v>440</v>
      </c>
      <c r="O2384" s="371">
        <f t="shared" si="81"/>
        <v>6920</v>
      </c>
      <c r="P2384" s="366">
        <f t="shared" si="82"/>
        <v>0.29166666666666669</v>
      </c>
      <c r="Q2384" s="366">
        <f t="shared" si="83"/>
        <v>0.58333333333333337</v>
      </c>
      <c r="R2384" s="367" t="str">
        <f t="shared" si="84"/>
        <v>360</v>
      </c>
    </row>
    <row r="2385" spans="1:18" x14ac:dyDescent="0.4">
      <c r="A2385" s="402">
        <v>46227</v>
      </c>
      <c r="B2385" s="392" t="s">
        <v>72</v>
      </c>
      <c r="C2385" s="364" t="s">
        <v>227</v>
      </c>
      <c r="D2385" s="404">
        <v>16</v>
      </c>
      <c r="E2385" s="369">
        <v>5</v>
      </c>
      <c r="F2385" s="370"/>
      <c r="G2385" s="368">
        <v>0.35972222222222222</v>
      </c>
      <c r="H2385" s="368">
        <v>0.47916666666666669</v>
      </c>
      <c r="I2385" s="372" t="str">
        <f t="shared" si="79"/>
        <v>172</v>
      </c>
      <c r="J2385" s="371">
        <v>3</v>
      </c>
      <c r="K2385" s="371"/>
      <c r="L2385" s="365">
        <v>0.3888888888888889</v>
      </c>
      <c r="M2385" s="365">
        <v>0.55208333333333337</v>
      </c>
      <c r="N2385" s="372" t="str">
        <f t="shared" si="80"/>
        <v>175</v>
      </c>
      <c r="O2385" s="371">
        <f t="shared" si="81"/>
        <v>1385</v>
      </c>
      <c r="P2385" s="366">
        <f t="shared" si="82"/>
        <v>0.35972222222222222</v>
      </c>
      <c r="Q2385" s="366">
        <f t="shared" si="83"/>
        <v>0.55208333333333337</v>
      </c>
      <c r="R2385" s="367" t="str">
        <f t="shared" si="84"/>
        <v>217</v>
      </c>
    </row>
    <row r="2386" spans="1:18" x14ac:dyDescent="0.4">
      <c r="A2386" s="402">
        <v>46227</v>
      </c>
      <c r="B2386" s="392" t="s">
        <v>1737</v>
      </c>
      <c r="C2386" s="364" t="s">
        <v>235</v>
      </c>
      <c r="D2386" s="404">
        <v>16</v>
      </c>
      <c r="E2386" s="369">
        <v>5</v>
      </c>
      <c r="F2386" s="368"/>
      <c r="G2386" s="368">
        <v>0.52083333333333337</v>
      </c>
      <c r="H2386" s="368">
        <v>0.66666666666666663</v>
      </c>
      <c r="I2386" s="372" t="str">
        <f>TEXT(IF(AND(G2386&lt;=$S$2,H2386&gt;=$T$2),(H2386-G2386+F2386)-($T$2-$S$2),(H2386-G2386+F2386)),"[m]")</f>
        <v>210</v>
      </c>
      <c r="J2386" s="371">
        <v>3</v>
      </c>
      <c r="K2386" s="371"/>
      <c r="L2386" s="365">
        <v>0.55208333333333337</v>
      </c>
      <c r="M2386" s="365">
        <v>0.6875</v>
      </c>
      <c r="N2386" s="372" t="str">
        <f t="shared" si="80"/>
        <v>195</v>
      </c>
      <c r="O2386" s="371">
        <f t="shared" si="81"/>
        <v>1635</v>
      </c>
      <c r="P2386" s="366">
        <f t="shared" si="82"/>
        <v>0.52083333333333337</v>
      </c>
      <c r="Q2386" s="366">
        <f t="shared" si="83"/>
        <v>0.6875</v>
      </c>
      <c r="R2386" s="367" t="str">
        <f t="shared" si="84"/>
        <v>240</v>
      </c>
    </row>
    <row r="2387" spans="1:18" x14ac:dyDescent="0.4">
      <c r="A2387" s="402">
        <v>46227</v>
      </c>
      <c r="B2387" s="392" t="s">
        <v>99</v>
      </c>
      <c r="C2387" s="364" t="s">
        <v>259</v>
      </c>
      <c r="D2387" s="404">
        <v>6</v>
      </c>
      <c r="E2387" s="369">
        <v>5</v>
      </c>
      <c r="F2387" s="370"/>
      <c r="G2387" s="368">
        <v>0.29166666666666669</v>
      </c>
      <c r="H2387" s="368">
        <v>0.35972222222222222</v>
      </c>
      <c r="I2387" s="372" t="str">
        <f t="shared" si="79"/>
        <v>98</v>
      </c>
      <c r="J2387" s="371">
        <v>3</v>
      </c>
      <c r="K2387" s="371"/>
      <c r="L2387" s="365">
        <v>0.3125</v>
      </c>
      <c r="M2387" s="365">
        <v>0.3888888888888889</v>
      </c>
      <c r="N2387" s="372" t="str">
        <f t="shared" si="80"/>
        <v>110</v>
      </c>
      <c r="O2387" s="371">
        <f t="shared" si="81"/>
        <v>820</v>
      </c>
      <c r="P2387" s="366">
        <f t="shared" si="82"/>
        <v>0.29166666666666669</v>
      </c>
      <c r="Q2387" s="366">
        <f t="shared" si="83"/>
        <v>0.3888888888888889</v>
      </c>
      <c r="R2387" s="367" t="str">
        <f t="shared" si="84"/>
        <v>140</v>
      </c>
    </row>
    <row r="2388" spans="1:18" x14ac:dyDescent="0.4">
      <c r="A2388" s="402">
        <v>46227</v>
      </c>
      <c r="B2388" s="392" t="s">
        <v>123</v>
      </c>
      <c r="C2388" s="364" t="s">
        <v>277</v>
      </c>
      <c r="D2388" s="404">
        <v>60</v>
      </c>
      <c r="E2388" s="369">
        <v>3</v>
      </c>
      <c r="F2388" s="368">
        <v>2.0833333333333332E-2</v>
      </c>
      <c r="G2388" s="368">
        <v>0.29166666666666669</v>
      </c>
      <c r="H2388" s="368">
        <v>0.60763888888888895</v>
      </c>
      <c r="I2388" s="372" t="str">
        <f t="shared" si="79"/>
        <v>425</v>
      </c>
      <c r="J2388" s="371">
        <v>4</v>
      </c>
      <c r="K2388" s="371"/>
      <c r="L2388" s="365">
        <v>0.29166666666666669</v>
      </c>
      <c r="M2388" s="365">
        <v>0.65277777777777779</v>
      </c>
      <c r="N2388" s="372" t="str">
        <f t="shared" si="80"/>
        <v>460</v>
      </c>
      <c r="O2388" s="371">
        <f t="shared" si="81"/>
        <v>3115</v>
      </c>
      <c r="P2388" s="366">
        <f t="shared" si="82"/>
        <v>0.29166666666666669</v>
      </c>
      <c r="Q2388" s="366">
        <f t="shared" si="83"/>
        <v>0.65277777777777779</v>
      </c>
      <c r="R2388" s="367" t="str">
        <f t="shared" si="84"/>
        <v>460</v>
      </c>
    </row>
    <row r="2389" spans="1:18" x14ac:dyDescent="0.4">
      <c r="A2389" s="403">
        <v>46227</v>
      </c>
      <c r="B2389" s="383" t="s">
        <v>1697</v>
      </c>
      <c r="C2389" s="390" t="s">
        <v>1717</v>
      </c>
      <c r="D2389" s="405">
        <v>1206</v>
      </c>
      <c r="E2389" s="384"/>
      <c r="F2389" s="385"/>
      <c r="G2389" s="396"/>
      <c r="H2389" s="396"/>
      <c r="I2389" s="386" t="str">
        <f t="shared" si="79"/>
        <v>0</v>
      </c>
      <c r="J2389" s="387"/>
      <c r="K2389" s="387"/>
      <c r="L2389" s="388"/>
      <c r="M2389" s="388"/>
      <c r="N2389" s="386" t="str">
        <f t="shared" si="80"/>
        <v>0</v>
      </c>
      <c r="O2389" s="387">
        <f t="shared" si="81"/>
        <v>0</v>
      </c>
      <c r="P2389" s="391">
        <f t="shared" si="82"/>
        <v>0</v>
      </c>
      <c r="Q2389" s="391">
        <f t="shared" si="83"/>
        <v>0</v>
      </c>
      <c r="R2389" s="389" t="str">
        <f t="shared" si="84"/>
        <v>0</v>
      </c>
    </row>
    <row r="2390" spans="1:18" x14ac:dyDescent="0.4">
      <c r="A2390" s="402">
        <v>46230</v>
      </c>
      <c r="B2390" s="392" t="s">
        <v>71</v>
      </c>
      <c r="C2390" s="364" t="s">
        <v>176</v>
      </c>
      <c r="D2390" s="404">
        <v>68</v>
      </c>
      <c r="E2390" s="369">
        <v>6</v>
      </c>
      <c r="F2390" s="370"/>
      <c r="G2390" s="368">
        <v>0.29166666666666669</v>
      </c>
      <c r="H2390" s="368">
        <v>0.70833333333333337</v>
      </c>
      <c r="I2390" s="372" t="str">
        <f t="shared" si="79"/>
        <v>540</v>
      </c>
      <c r="J2390" s="371">
        <v>5</v>
      </c>
      <c r="K2390" s="371"/>
      <c r="L2390" s="365">
        <v>0.3125</v>
      </c>
      <c r="M2390" s="365">
        <v>0.70833333333333337</v>
      </c>
      <c r="N2390" s="372" t="str">
        <f t="shared" si="80"/>
        <v>510</v>
      </c>
      <c r="O2390" s="371">
        <f t="shared" si="81"/>
        <v>5790</v>
      </c>
      <c r="P2390" s="366">
        <f t="shared" si="82"/>
        <v>0.29166666666666669</v>
      </c>
      <c r="Q2390" s="366">
        <f t="shared" si="83"/>
        <v>0.70833333333333337</v>
      </c>
      <c r="R2390" s="367" t="str">
        <f t="shared" si="84"/>
        <v>540</v>
      </c>
    </row>
    <row r="2391" spans="1:18" x14ac:dyDescent="0.4">
      <c r="A2391" s="402">
        <v>46230</v>
      </c>
      <c r="B2391" s="392" t="s">
        <v>63</v>
      </c>
      <c r="C2391" s="364" t="s">
        <v>267</v>
      </c>
      <c r="D2391" s="404">
        <v>16</v>
      </c>
      <c r="E2391" s="369">
        <v>5</v>
      </c>
      <c r="F2391" s="370"/>
      <c r="G2391" s="368">
        <v>0.53472222222222221</v>
      </c>
      <c r="H2391" s="368">
        <v>0.66666666666666663</v>
      </c>
      <c r="I2391" s="372" t="str">
        <f t="shared" si="79"/>
        <v>190</v>
      </c>
      <c r="J2391" s="371">
        <v>3</v>
      </c>
      <c r="K2391" s="371"/>
      <c r="L2391" s="365">
        <v>0.5625</v>
      </c>
      <c r="M2391" s="365">
        <v>0.6875</v>
      </c>
      <c r="N2391" s="372" t="str">
        <f t="shared" si="80"/>
        <v>180</v>
      </c>
      <c r="O2391" s="371">
        <f t="shared" si="81"/>
        <v>1490</v>
      </c>
      <c r="P2391" s="366">
        <f t="shared" si="82"/>
        <v>0.53472222222222221</v>
      </c>
      <c r="Q2391" s="366">
        <f t="shared" si="83"/>
        <v>0.6875</v>
      </c>
      <c r="R2391" s="367" t="str">
        <f t="shared" si="84"/>
        <v>220</v>
      </c>
    </row>
    <row r="2392" spans="1:18" x14ac:dyDescent="0.4">
      <c r="A2392" s="402">
        <v>46230</v>
      </c>
      <c r="B2392" s="392" t="s">
        <v>64</v>
      </c>
      <c r="C2392" s="364" t="s">
        <v>271</v>
      </c>
      <c r="D2392" s="404">
        <v>24</v>
      </c>
      <c r="E2392" s="369">
        <v>5</v>
      </c>
      <c r="F2392" s="370"/>
      <c r="G2392" s="368">
        <v>0.29166666666666669</v>
      </c>
      <c r="H2392" s="368">
        <v>0.5</v>
      </c>
      <c r="I2392" s="372" t="str">
        <f t="shared" si="79"/>
        <v>300</v>
      </c>
      <c r="J2392" s="371">
        <v>3</v>
      </c>
      <c r="K2392" s="371"/>
      <c r="L2392" s="365">
        <v>0.3125</v>
      </c>
      <c r="M2392" s="365">
        <v>0.5625</v>
      </c>
      <c r="N2392" s="372" t="str">
        <f t="shared" si="80"/>
        <v>300</v>
      </c>
      <c r="O2392" s="371">
        <f t="shared" si="81"/>
        <v>2400</v>
      </c>
      <c r="P2392" s="366">
        <f t="shared" si="82"/>
        <v>0.29166666666666669</v>
      </c>
      <c r="Q2392" s="366">
        <f t="shared" si="83"/>
        <v>0.5625</v>
      </c>
      <c r="R2392" s="367" t="str">
        <f t="shared" si="84"/>
        <v>330</v>
      </c>
    </row>
    <row r="2393" spans="1:18" x14ac:dyDescent="0.4">
      <c r="A2393" s="402">
        <v>46230</v>
      </c>
      <c r="B2393" s="392" t="s">
        <v>597</v>
      </c>
      <c r="C2393" s="364" t="s">
        <v>283</v>
      </c>
      <c r="D2393" s="404">
        <v>8</v>
      </c>
      <c r="E2393" s="369">
        <v>3</v>
      </c>
      <c r="F2393" s="368">
        <v>2.0833333333333332E-2</v>
      </c>
      <c r="G2393" s="368">
        <v>0.29166666666666669</v>
      </c>
      <c r="H2393" s="368">
        <v>0.35416666666666669</v>
      </c>
      <c r="I2393" s="372" t="str">
        <f t="shared" si="79"/>
        <v>120</v>
      </c>
      <c r="J2393" s="371">
        <v>7</v>
      </c>
      <c r="K2393" s="371"/>
      <c r="L2393" s="365">
        <v>0.29166666666666669</v>
      </c>
      <c r="M2393" s="365">
        <v>0.4513888888888889</v>
      </c>
      <c r="N2393" s="372" t="str">
        <f t="shared" si="80"/>
        <v>230</v>
      </c>
      <c r="O2393" s="371">
        <f t="shared" si="81"/>
        <v>1970</v>
      </c>
      <c r="P2393" s="366">
        <f t="shared" si="82"/>
        <v>0.29166666666666669</v>
      </c>
      <c r="Q2393" s="366">
        <f t="shared" si="83"/>
        <v>0.4513888888888889</v>
      </c>
      <c r="R2393" s="367" t="str">
        <f t="shared" si="84"/>
        <v>230</v>
      </c>
    </row>
    <row r="2394" spans="1:18" x14ac:dyDescent="0.4">
      <c r="A2394" s="402">
        <v>46230</v>
      </c>
      <c r="B2394" s="392" t="s">
        <v>65</v>
      </c>
      <c r="C2394" s="364" t="s">
        <v>189</v>
      </c>
      <c r="D2394" s="404">
        <v>40</v>
      </c>
      <c r="E2394" s="369">
        <v>3</v>
      </c>
      <c r="F2394" s="370"/>
      <c r="G2394" s="368">
        <v>0.35069444444444442</v>
      </c>
      <c r="H2394" s="368">
        <v>0.63888888888888895</v>
      </c>
      <c r="I2394" s="372" t="str">
        <f t="shared" si="79"/>
        <v>355</v>
      </c>
      <c r="J2394" s="371">
        <v>4</v>
      </c>
      <c r="K2394" s="371"/>
      <c r="L2394" s="365">
        <v>0.4548611111111111</v>
      </c>
      <c r="M2394" s="365">
        <v>0.67708333333333337</v>
      </c>
      <c r="N2394" s="372" t="str">
        <f t="shared" si="80"/>
        <v>260</v>
      </c>
      <c r="O2394" s="371">
        <f t="shared" si="81"/>
        <v>2105</v>
      </c>
      <c r="P2394" s="366">
        <f t="shared" si="82"/>
        <v>0.35069444444444442</v>
      </c>
      <c r="Q2394" s="366">
        <f t="shared" si="83"/>
        <v>0.67708333333333337</v>
      </c>
      <c r="R2394" s="367" t="str">
        <f t="shared" si="84"/>
        <v>410</v>
      </c>
    </row>
    <row r="2395" spans="1:18" x14ac:dyDescent="0.4">
      <c r="A2395" s="403">
        <v>46230</v>
      </c>
      <c r="B2395" s="383">
        <v>153010</v>
      </c>
      <c r="C2395" s="390" t="s">
        <v>484</v>
      </c>
      <c r="D2395" s="405">
        <v>1</v>
      </c>
      <c r="E2395" s="384"/>
      <c r="F2395" s="385"/>
      <c r="G2395" s="396"/>
      <c r="H2395" s="396"/>
      <c r="I2395" s="386" t="str">
        <f t="shared" si="79"/>
        <v>0</v>
      </c>
      <c r="J2395" s="387"/>
      <c r="K2395" s="387"/>
      <c r="L2395" s="388"/>
      <c r="M2395" s="388"/>
      <c r="N2395" s="386" t="str">
        <f t="shared" si="80"/>
        <v>0</v>
      </c>
      <c r="O2395" s="387">
        <f t="shared" si="81"/>
        <v>0</v>
      </c>
      <c r="P2395" s="391">
        <f t="shared" si="82"/>
        <v>0</v>
      </c>
      <c r="Q2395" s="391">
        <f t="shared" si="83"/>
        <v>0</v>
      </c>
      <c r="R2395" s="389" t="str">
        <f t="shared" si="84"/>
        <v>0</v>
      </c>
    </row>
    <row r="2396" spans="1:18" s="22" customFormat="1" x14ac:dyDescent="0.4">
      <c r="A2396" s="417">
        <v>46231</v>
      </c>
      <c r="B2396" s="373" t="s">
        <v>63</v>
      </c>
      <c r="C2396" s="364" t="s">
        <v>267</v>
      </c>
      <c r="D2396" s="404">
        <v>20</v>
      </c>
      <c r="E2396" s="67">
        <v>5</v>
      </c>
      <c r="F2396" s="371"/>
      <c r="G2396" s="365">
        <v>0.55555555555555558</v>
      </c>
      <c r="H2396" s="365">
        <v>0.55833333333333335</v>
      </c>
      <c r="I2396" s="372" t="str">
        <f t="shared" si="79"/>
        <v>4</v>
      </c>
      <c r="J2396" s="371">
        <v>3</v>
      </c>
      <c r="K2396" s="371"/>
      <c r="L2396" s="365">
        <v>0.54166666666666663</v>
      </c>
      <c r="M2396" s="457">
        <v>0.70833333333333337</v>
      </c>
      <c r="N2396" s="372" t="str">
        <f t="shared" si="80"/>
        <v>240</v>
      </c>
      <c r="O2396" s="371">
        <f t="shared" si="81"/>
        <v>740</v>
      </c>
      <c r="P2396" s="366">
        <f t="shared" si="82"/>
        <v>0.54166666666666663</v>
      </c>
      <c r="Q2396" s="366">
        <f t="shared" si="83"/>
        <v>0.70833333333333337</v>
      </c>
      <c r="R2396" s="367" t="str">
        <f t="shared" si="84"/>
        <v>240</v>
      </c>
    </row>
    <row r="2397" spans="1:18" s="22" customFormat="1" x14ac:dyDescent="0.4">
      <c r="A2397" s="417">
        <v>46231</v>
      </c>
      <c r="B2397" s="373" t="s">
        <v>965</v>
      </c>
      <c r="C2397" s="364" t="s">
        <v>966</v>
      </c>
      <c r="D2397" s="404">
        <v>12</v>
      </c>
      <c r="E2397" s="67">
        <v>5</v>
      </c>
      <c r="F2397" s="371"/>
      <c r="G2397" s="365">
        <v>0.39583333333333331</v>
      </c>
      <c r="H2397" s="365">
        <v>0.55555555555555558</v>
      </c>
      <c r="I2397" s="372" t="str">
        <f t="shared" si="79"/>
        <v>170</v>
      </c>
      <c r="J2397" s="371">
        <v>3</v>
      </c>
      <c r="K2397" s="371"/>
      <c r="L2397" s="365">
        <v>0.41666666666666669</v>
      </c>
      <c r="M2397" s="365">
        <v>0.5</v>
      </c>
      <c r="N2397" s="372" t="str">
        <f t="shared" si="80"/>
        <v>120</v>
      </c>
      <c r="O2397" s="371">
        <f t="shared" si="81"/>
        <v>1210</v>
      </c>
      <c r="P2397" s="366">
        <f t="shared" si="82"/>
        <v>0.39583333333333331</v>
      </c>
      <c r="Q2397" s="366">
        <f t="shared" si="83"/>
        <v>0.55555555555555558</v>
      </c>
      <c r="R2397" s="367" t="str">
        <f t="shared" si="84"/>
        <v>170</v>
      </c>
    </row>
    <row r="2398" spans="1:18" s="22" customFormat="1" x14ac:dyDescent="0.4">
      <c r="A2398" s="417">
        <v>46231</v>
      </c>
      <c r="B2398" s="373" t="s">
        <v>1667</v>
      </c>
      <c r="C2398" s="364" t="s">
        <v>1668</v>
      </c>
      <c r="D2398" s="404">
        <v>8</v>
      </c>
      <c r="E2398" s="67">
        <v>5</v>
      </c>
      <c r="F2398" s="371"/>
      <c r="G2398" s="365">
        <v>0.3125</v>
      </c>
      <c r="H2398" s="365">
        <v>0.39583333333333331</v>
      </c>
      <c r="I2398" s="372" t="str">
        <f t="shared" si="79"/>
        <v>120</v>
      </c>
      <c r="J2398" s="371">
        <v>3</v>
      </c>
      <c r="K2398" s="371"/>
      <c r="L2398" s="365">
        <v>0.3125</v>
      </c>
      <c r="M2398" s="365">
        <v>0.41666666666666669</v>
      </c>
      <c r="N2398" s="372" t="str">
        <f t="shared" si="80"/>
        <v>150</v>
      </c>
      <c r="O2398" s="371">
        <f t="shared" si="81"/>
        <v>1050</v>
      </c>
      <c r="P2398" s="366">
        <f t="shared" si="82"/>
        <v>0.3125</v>
      </c>
      <c r="Q2398" s="366">
        <f t="shared" si="83"/>
        <v>0.41666666666666669</v>
      </c>
      <c r="R2398" s="367" t="str">
        <f t="shared" si="84"/>
        <v>150</v>
      </c>
    </row>
    <row r="2399" spans="1:18" x14ac:dyDescent="0.4">
      <c r="A2399" s="402">
        <v>46231</v>
      </c>
      <c r="B2399" s="392" t="s">
        <v>73</v>
      </c>
      <c r="C2399" s="364" t="s">
        <v>231</v>
      </c>
      <c r="D2399" s="404">
        <v>21</v>
      </c>
      <c r="E2399" s="369">
        <v>4</v>
      </c>
      <c r="F2399" s="370"/>
      <c r="G2399" s="368">
        <v>0.29166666666666669</v>
      </c>
      <c r="H2399" s="368">
        <v>0.41666666666666669</v>
      </c>
      <c r="I2399" s="372" t="str">
        <f t="shared" si="79"/>
        <v>180</v>
      </c>
      <c r="J2399" s="371">
        <v>7</v>
      </c>
      <c r="K2399" s="371"/>
      <c r="L2399" s="365">
        <v>0.41666666666666669</v>
      </c>
      <c r="M2399" s="365">
        <v>0.6875</v>
      </c>
      <c r="N2399" s="372" t="str">
        <f t="shared" si="80"/>
        <v>330</v>
      </c>
      <c r="O2399" s="371">
        <f t="shared" si="81"/>
        <v>3030</v>
      </c>
      <c r="P2399" s="366">
        <f t="shared" si="82"/>
        <v>0.29166666666666669</v>
      </c>
      <c r="Q2399" s="366">
        <f t="shared" si="83"/>
        <v>0.6875</v>
      </c>
      <c r="R2399" s="367" t="str">
        <f t="shared" si="84"/>
        <v>510</v>
      </c>
    </row>
    <row r="2400" spans="1:18" s="22" customFormat="1" x14ac:dyDescent="0.4">
      <c r="A2400" s="417">
        <v>46231</v>
      </c>
      <c r="B2400" s="373" t="s">
        <v>65</v>
      </c>
      <c r="C2400" s="364" t="s">
        <v>189</v>
      </c>
      <c r="D2400" s="404">
        <v>72</v>
      </c>
      <c r="E2400" s="67">
        <v>3</v>
      </c>
      <c r="F2400" s="365">
        <v>2.0833333333333332E-2</v>
      </c>
      <c r="G2400" s="365">
        <v>0.29166666666666669</v>
      </c>
      <c r="H2400" s="365">
        <v>0.64930555555555558</v>
      </c>
      <c r="I2400" s="372" t="str">
        <f t="shared" si="79"/>
        <v>485</v>
      </c>
      <c r="J2400" s="371">
        <v>4</v>
      </c>
      <c r="K2400" s="371"/>
      <c r="L2400" s="365">
        <v>0.33333333333333331</v>
      </c>
      <c r="M2400" s="365">
        <v>0.6875</v>
      </c>
      <c r="N2400" s="372" t="str">
        <f t="shared" si="80"/>
        <v>450</v>
      </c>
      <c r="O2400" s="371">
        <f t="shared" si="81"/>
        <v>3255</v>
      </c>
      <c r="P2400" s="366">
        <f t="shared" si="82"/>
        <v>0.29166666666666669</v>
      </c>
      <c r="Q2400" s="366">
        <f t="shared" si="83"/>
        <v>0.6875</v>
      </c>
      <c r="R2400" s="367" t="str">
        <f t="shared" si="84"/>
        <v>510</v>
      </c>
    </row>
    <row r="2401" spans="1:18" x14ac:dyDescent="0.4">
      <c r="A2401" s="402">
        <v>46232</v>
      </c>
      <c r="B2401" s="392" t="s">
        <v>61</v>
      </c>
      <c r="C2401" s="364" t="s">
        <v>156</v>
      </c>
      <c r="D2401" s="404">
        <v>20</v>
      </c>
      <c r="E2401" s="369">
        <v>4</v>
      </c>
      <c r="F2401" s="370"/>
      <c r="G2401" s="368">
        <v>0.29166666666666669</v>
      </c>
      <c r="H2401" s="368">
        <v>0.5</v>
      </c>
      <c r="I2401" s="372" t="str">
        <f t="shared" si="79"/>
        <v>300</v>
      </c>
      <c r="J2401" s="371">
        <v>10</v>
      </c>
      <c r="K2401" s="371"/>
      <c r="L2401" s="365">
        <v>0.3125</v>
      </c>
      <c r="M2401" s="365">
        <v>0.5</v>
      </c>
      <c r="N2401" s="372" t="str">
        <f t="shared" si="80"/>
        <v>270</v>
      </c>
      <c r="O2401" s="371">
        <f t="shared" si="81"/>
        <v>3900</v>
      </c>
      <c r="P2401" s="366">
        <f t="shared" si="82"/>
        <v>0.29166666666666669</v>
      </c>
      <c r="Q2401" s="366">
        <f t="shared" si="83"/>
        <v>0.5</v>
      </c>
      <c r="R2401" s="367" t="str">
        <f t="shared" si="84"/>
        <v>300</v>
      </c>
    </row>
    <row r="2402" spans="1:18" x14ac:dyDescent="0.4">
      <c r="A2402" s="402">
        <v>46232</v>
      </c>
      <c r="B2402" s="392" t="s">
        <v>106</v>
      </c>
      <c r="C2402" s="364" t="s">
        <v>173</v>
      </c>
      <c r="D2402" s="404">
        <v>16</v>
      </c>
      <c r="E2402" s="369">
        <v>4</v>
      </c>
      <c r="F2402" s="370"/>
      <c r="G2402" s="368">
        <v>0.54166666666666663</v>
      </c>
      <c r="H2402" s="368">
        <v>0.70833333333333337</v>
      </c>
      <c r="I2402" s="372" t="str">
        <f t="shared" si="79"/>
        <v>240</v>
      </c>
      <c r="J2402" s="371">
        <v>9</v>
      </c>
      <c r="K2402" s="371"/>
      <c r="L2402" s="365">
        <v>0.54166666666666663</v>
      </c>
      <c r="M2402" s="365">
        <v>0.77083333333333337</v>
      </c>
      <c r="N2402" s="372" t="str">
        <f t="shared" si="80"/>
        <v>330</v>
      </c>
      <c r="O2402" s="371">
        <f t="shared" si="81"/>
        <v>3930</v>
      </c>
      <c r="P2402" s="366">
        <f t="shared" si="82"/>
        <v>0.54166666666666663</v>
      </c>
      <c r="Q2402" s="366">
        <f t="shared" si="83"/>
        <v>0.77083333333333337</v>
      </c>
      <c r="R2402" s="367" t="str">
        <f t="shared" si="84"/>
        <v>330</v>
      </c>
    </row>
    <row r="2403" spans="1:18" x14ac:dyDescent="0.4">
      <c r="A2403" s="402">
        <v>46232</v>
      </c>
      <c r="B2403" s="392" t="s">
        <v>63</v>
      </c>
      <c r="C2403" s="364" t="s">
        <v>267</v>
      </c>
      <c r="D2403" s="404">
        <v>16</v>
      </c>
      <c r="E2403" s="369">
        <v>5</v>
      </c>
      <c r="F2403" s="370"/>
      <c r="G2403" s="368">
        <v>0.3840277777777778</v>
      </c>
      <c r="H2403" s="368">
        <v>0.5</v>
      </c>
      <c r="I2403" s="372" t="str">
        <f t="shared" si="79"/>
        <v>167</v>
      </c>
      <c r="J2403" s="371">
        <v>3</v>
      </c>
      <c r="K2403" s="371"/>
      <c r="L2403" s="365">
        <v>0.40972222222222227</v>
      </c>
      <c r="M2403" s="365">
        <v>0.56944444444444442</v>
      </c>
      <c r="N2403" s="372" t="str">
        <f t="shared" si="80"/>
        <v>170</v>
      </c>
      <c r="O2403" s="371">
        <f t="shared" si="81"/>
        <v>1345</v>
      </c>
      <c r="P2403" s="366">
        <f t="shared" si="82"/>
        <v>0.3840277777777778</v>
      </c>
      <c r="Q2403" s="366">
        <f t="shared" si="83"/>
        <v>0.56944444444444442</v>
      </c>
      <c r="R2403" s="367" t="str">
        <f t="shared" si="84"/>
        <v>207</v>
      </c>
    </row>
    <row r="2404" spans="1:18" x14ac:dyDescent="0.4">
      <c r="A2404" s="402">
        <v>46232</v>
      </c>
      <c r="B2404" s="392" t="s">
        <v>76</v>
      </c>
      <c r="C2404" s="364" t="s">
        <v>224</v>
      </c>
      <c r="D2404" s="404">
        <v>12</v>
      </c>
      <c r="E2404" s="369">
        <v>5</v>
      </c>
      <c r="F2404" s="370"/>
      <c r="G2404" s="368">
        <v>0.29166666666666669</v>
      </c>
      <c r="H2404" s="368">
        <v>0.3840277777777778</v>
      </c>
      <c r="I2404" s="372" t="str">
        <f t="shared" si="79"/>
        <v>133</v>
      </c>
      <c r="J2404" s="371">
        <v>3</v>
      </c>
      <c r="K2404" s="371"/>
      <c r="L2404" s="365">
        <v>0.3125</v>
      </c>
      <c r="M2404" s="365">
        <v>0.40972222222222227</v>
      </c>
      <c r="N2404" s="372" t="str">
        <f t="shared" si="80"/>
        <v>140</v>
      </c>
      <c r="O2404" s="371">
        <f t="shared" si="81"/>
        <v>1085</v>
      </c>
      <c r="P2404" s="366">
        <f t="shared" si="82"/>
        <v>0.29166666666666669</v>
      </c>
      <c r="Q2404" s="366">
        <f t="shared" si="83"/>
        <v>0.40972222222222227</v>
      </c>
      <c r="R2404" s="367" t="str">
        <f t="shared" si="84"/>
        <v>170</v>
      </c>
    </row>
    <row r="2405" spans="1:18" x14ac:dyDescent="0.4">
      <c r="A2405" s="402">
        <v>46232</v>
      </c>
      <c r="B2405" s="392" t="s">
        <v>1046</v>
      </c>
      <c r="C2405" s="364" t="s">
        <v>1057</v>
      </c>
      <c r="D2405" s="404">
        <v>12</v>
      </c>
      <c r="E2405" s="369">
        <v>5</v>
      </c>
      <c r="F2405" s="370"/>
      <c r="G2405" s="368">
        <v>0.54166666666666663</v>
      </c>
      <c r="H2405" s="368">
        <v>0.66666666666666663</v>
      </c>
      <c r="I2405" s="372" t="str">
        <f t="shared" si="79"/>
        <v>180</v>
      </c>
      <c r="J2405" s="371">
        <v>3</v>
      </c>
      <c r="K2405" s="371"/>
      <c r="L2405" s="365">
        <v>0.56944444444444442</v>
      </c>
      <c r="M2405" s="365">
        <v>0.6875</v>
      </c>
      <c r="N2405" s="372" t="str">
        <f t="shared" si="80"/>
        <v>170</v>
      </c>
      <c r="O2405" s="371">
        <f t="shared" si="81"/>
        <v>1410</v>
      </c>
      <c r="P2405" s="366">
        <f t="shared" si="82"/>
        <v>0.54166666666666663</v>
      </c>
      <c r="Q2405" s="366">
        <f t="shared" si="83"/>
        <v>0.6875</v>
      </c>
      <c r="R2405" s="367" t="str">
        <f t="shared" si="84"/>
        <v>210</v>
      </c>
    </row>
    <row r="2406" spans="1:18" x14ac:dyDescent="0.4">
      <c r="A2406" s="402">
        <v>46232</v>
      </c>
      <c r="B2406" s="392" t="s">
        <v>65</v>
      </c>
      <c r="C2406" s="364" t="s">
        <v>189</v>
      </c>
      <c r="D2406" s="404">
        <v>72</v>
      </c>
      <c r="E2406" s="369">
        <v>3</v>
      </c>
      <c r="F2406" s="368">
        <v>2.0833333333333332E-2</v>
      </c>
      <c r="G2406" s="368">
        <v>0.29166666666666669</v>
      </c>
      <c r="H2406" s="368">
        <v>0.64930555555555558</v>
      </c>
      <c r="I2406" s="372" t="str">
        <f t="shared" si="79"/>
        <v>485</v>
      </c>
      <c r="J2406" s="371">
        <v>4</v>
      </c>
      <c r="K2406" s="371"/>
      <c r="L2406" s="365">
        <v>0.29166666666666669</v>
      </c>
      <c r="M2406" s="365">
        <v>0.6875</v>
      </c>
      <c r="N2406" s="372" t="str">
        <f t="shared" si="80"/>
        <v>510</v>
      </c>
      <c r="O2406" s="371">
        <f t="shared" si="81"/>
        <v>3495</v>
      </c>
      <c r="P2406" s="366">
        <f t="shared" si="82"/>
        <v>0.29166666666666669</v>
      </c>
      <c r="Q2406" s="366">
        <f t="shared" si="83"/>
        <v>0.6875</v>
      </c>
      <c r="R2406" s="367" t="str">
        <f t="shared" si="84"/>
        <v>510</v>
      </c>
    </row>
    <row r="2407" spans="1:18" s="22" customFormat="1" x14ac:dyDescent="0.4">
      <c r="A2407" s="417">
        <v>46233</v>
      </c>
      <c r="B2407" s="373" t="s">
        <v>71</v>
      </c>
      <c r="C2407" s="364" t="s">
        <v>176</v>
      </c>
      <c r="D2407" s="404">
        <v>36</v>
      </c>
      <c r="E2407" s="67">
        <v>6</v>
      </c>
      <c r="F2407" s="371"/>
      <c r="G2407" s="365">
        <v>0.29166666666666669</v>
      </c>
      <c r="H2407" s="365">
        <v>0.45833333333333331</v>
      </c>
      <c r="I2407" s="372" t="str">
        <f t="shared" si="79"/>
        <v>240</v>
      </c>
      <c r="J2407" s="371">
        <v>5</v>
      </c>
      <c r="K2407" s="371"/>
      <c r="L2407" s="365">
        <v>0.3125</v>
      </c>
      <c r="M2407" s="365">
        <v>0.5</v>
      </c>
      <c r="N2407" s="372" t="str">
        <f t="shared" si="80"/>
        <v>270</v>
      </c>
      <c r="O2407" s="371">
        <f t="shared" si="81"/>
        <v>2790</v>
      </c>
      <c r="P2407" s="366">
        <f t="shared" si="82"/>
        <v>0.29166666666666669</v>
      </c>
      <c r="Q2407" s="366">
        <f t="shared" si="83"/>
        <v>0.5</v>
      </c>
      <c r="R2407" s="367" t="str">
        <f t="shared" si="84"/>
        <v>300</v>
      </c>
    </row>
    <row r="2408" spans="1:18" s="22" customFormat="1" x14ac:dyDescent="0.4">
      <c r="A2408" s="417">
        <v>46233</v>
      </c>
      <c r="B2408" s="373" t="s">
        <v>68</v>
      </c>
      <c r="C2408" s="364" t="s">
        <v>185</v>
      </c>
      <c r="D2408" s="404">
        <v>20</v>
      </c>
      <c r="E2408" s="67">
        <v>6</v>
      </c>
      <c r="F2408" s="371"/>
      <c r="G2408" s="365">
        <v>0.53819444444444442</v>
      </c>
      <c r="H2408" s="365">
        <v>0.66666666666666663</v>
      </c>
      <c r="I2408" s="372" t="str">
        <f t="shared" si="79"/>
        <v>185</v>
      </c>
      <c r="J2408" s="371">
        <v>5</v>
      </c>
      <c r="K2408" s="371"/>
      <c r="L2408" s="365">
        <v>0.54166666666666663</v>
      </c>
      <c r="M2408" s="365">
        <v>0.70833333333333337</v>
      </c>
      <c r="N2408" s="372" t="str">
        <f t="shared" si="80"/>
        <v>240</v>
      </c>
      <c r="O2408" s="371">
        <f t="shared" si="81"/>
        <v>2310</v>
      </c>
      <c r="P2408" s="366">
        <f t="shared" si="82"/>
        <v>0.53819444444444442</v>
      </c>
      <c r="Q2408" s="366">
        <f t="shared" si="83"/>
        <v>0.70833333333333337</v>
      </c>
      <c r="R2408" s="367" t="str">
        <f t="shared" si="84"/>
        <v>245</v>
      </c>
    </row>
    <row r="2409" spans="1:18" x14ac:dyDescent="0.4">
      <c r="A2409" s="402">
        <v>46233</v>
      </c>
      <c r="B2409" s="392" t="s">
        <v>63</v>
      </c>
      <c r="C2409" s="364" t="s">
        <v>267</v>
      </c>
      <c r="D2409" s="404">
        <v>20</v>
      </c>
      <c r="E2409" s="369">
        <v>5</v>
      </c>
      <c r="F2409" s="370"/>
      <c r="G2409" s="368">
        <v>0.4597222222222222</v>
      </c>
      <c r="H2409" s="368">
        <v>0.66666666666666663</v>
      </c>
      <c r="I2409" s="372" t="str">
        <f t="shared" si="79"/>
        <v>238</v>
      </c>
      <c r="J2409" s="371">
        <v>3</v>
      </c>
      <c r="K2409" s="371"/>
      <c r="L2409" s="365">
        <v>0.4826388888888889</v>
      </c>
      <c r="M2409" s="365">
        <v>0.6875</v>
      </c>
      <c r="N2409" s="372" t="str">
        <f t="shared" si="80"/>
        <v>235</v>
      </c>
      <c r="O2409" s="371">
        <f t="shared" si="81"/>
        <v>1895</v>
      </c>
      <c r="P2409" s="366">
        <f t="shared" si="82"/>
        <v>0.4597222222222222</v>
      </c>
      <c r="Q2409" s="366">
        <f t="shared" si="83"/>
        <v>0.6875</v>
      </c>
      <c r="R2409" s="367" t="str">
        <f t="shared" si="84"/>
        <v>268</v>
      </c>
    </row>
    <row r="2410" spans="1:18" x14ac:dyDescent="0.4">
      <c r="A2410" s="402">
        <v>46233</v>
      </c>
      <c r="B2410" s="392" t="s">
        <v>72</v>
      </c>
      <c r="C2410" s="364" t="s">
        <v>227</v>
      </c>
      <c r="D2410" s="404">
        <v>20</v>
      </c>
      <c r="E2410" s="369">
        <v>5</v>
      </c>
      <c r="F2410" s="370"/>
      <c r="G2410" s="368">
        <v>0.29166666666666669</v>
      </c>
      <c r="H2410" s="368">
        <v>0.4597222222222222</v>
      </c>
      <c r="I2410" s="372" t="str">
        <f t="shared" ref="I2410:I2473" si="85">TEXT(IF(AND(G2410&lt;=$S$2,H2410&gt;=$T$2),(H2410-G2410+F2410)-($T$2-$S$2),(H2410-G2410+F2410)),"[m]")</f>
        <v>242</v>
      </c>
      <c r="J2410" s="371">
        <v>3</v>
      </c>
      <c r="K2410" s="371"/>
      <c r="L2410" s="365">
        <v>0.3125</v>
      </c>
      <c r="M2410" s="365">
        <v>0.4826388888888889</v>
      </c>
      <c r="N2410" s="372" t="str">
        <f t="shared" ref="N2410:N2473" si="86">TEXT(IF(AND(L2410&lt;=$S$2,M2410&gt;=$T$2),(M2410-L2410+K2410)-($T$2-$S$2),(M2410-L2410+K2410)),"[m]")</f>
        <v>245</v>
      </c>
      <c r="O2410" s="371">
        <f t="shared" ref="O2410:O2473" si="87">E2410*I2410+J2410*N2410</f>
        <v>1945</v>
      </c>
      <c r="P2410" s="366">
        <f t="shared" ref="P2410:P2473" si="88">MIN(G2410:H2410,L2410:M2410)</f>
        <v>0.29166666666666669</v>
      </c>
      <c r="Q2410" s="366">
        <f t="shared" ref="Q2410:Q2473" si="89">MAX(G2410:H2410,L2410:M2410)</f>
        <v>0.4826388888888889</v>
      </c>
      <c r="R2410" s="367" t="str">
        <f t="shared" ref="R2410:R2473" si="90">TEXT(IF(AND(P2410&lt;=$S$2,Q2410&gt;=$T$2),(Q2410-P2410)-($T$2-$S$2),(Q2410-P2410)),"[m]")</f>
        <v>275</v>
      </c>
    </row>
    <row r="2411" spans="1:18" x14ac:dyDescent="0.4">
      <c r="A2411" s="402">
        <v>46233</v>
      </c>
      <c r="B2411" s="392" t="s">
        <v>96</v>
      </c>
      <c r="C2411" s="364" t="s">
        <v>167</v>
      </c>
      <c r="D2411" s="404">
        <v>4</v>
      </c>
      <c r="E2411" s="369">
        <v>3</v>
      </c>
      <c r="F2411" s="368">
        <v>2.0833333333333332E-2</v>
      </c>
      <c r="G2411" s="368">
        <v>0.29166666666666669</v>
      </c>
      <c r="H2411" s="368">
        <v>0.33333333333333331</v>
      </c>
      <c r="I2411" s="372" t="str">
        <f t="shared" si="85"/>
        <v>90</v>
      </c>
      <c r="J2411" s="371">
        <v>7</v>
      </c>
      <c r="K2411" s="371"/>
      <c r="L2411" s="365">
        <v>0.29166666666666669</v>
      </c>
      <c r="M2411" s="365">
        <v>0.39583333333333331</v>
      </c>
      <c r="N2411" s="372" t="str">
        <f t="shared" si="86"/>
        <v>150</v>
      </c>
      <c r="O2411" s="371">
        <f t="shared" si="87"/>
        <v>1320</v>
      </c>
      <c r="P2411" s="366">
        <f t="shared" si="88"/>
        <v>0.29166666666666669</v>
      </c>
      <c r="Q2411" s="366">
        <f t="shared" si="89"/>
        <v>0.39583333333333331</v>
      </c>
      <c r="R2411" s="367" t="str">
        <f t="shared" si="90"/>
        <v>150</v>
      </c>
    </row>
    <row r="2412" spans="1:18" x14ac:dyDescent="0.4">
      <c r="A2412" s="402">
        <v>46233</v>
      </c>
      <c r="B2412" s="392" t="s">
        <v>82</v>
      </c>
      <c r="C2412" s="364" t="s">
        <v>171</v>
      </c>
      <c r="D2412" s="404">
        <v>24</v>
      </c>
      <c r="E2412" s="369">
        <v>3</v>
      </c>
      <c r="F2412" s="370"/>
      <c r="G2412" s="368">
        <v>0.32291666666666669</v>
      </c>
      <c r="H2412" s="368">
        <v>0.59375</v>
      </c>
      <c r="I2412" s="372" t="str">
        <f t="shared" si="85"/>
        <v>330</v>
      </c>
      <c r="J2412" s="371">
        <v>8</v>
      </c>
      <c r="K2412" s="371"/>
      <c r="L2412" s="365">
        <v>0.3888888888888889</v>
      </c>
      <c r="M2412" s="365">
        <v>0.67708333333333337</v>
      </c>
      <c r="N2412" s="372" t="str">
        <f t="shared" si="86"/>
        <v>355</v>
      </c>
      <c r="O2412" s="371">
        <f t="shared" si="87"/>
        <v>3830</v>
      </c>
      <c r="P2412" s="366">
        <f t="shared" si="88"/>
        <v>0.32291666666666669</v>
      </c>
      <c r="Q2412" s="366">
        <f t="shared" si="89"/>
        <v>0.67708333333333337</v>
      </c>
      <c r="R2412" s="367" t="str">
        <f t="shared" si="90"/>
        <v>450</v>
      </c>
    </row>
    <row r="2413" spans="1:18" s="22" customFormat="1" x14ac:dyDescent="0.4">
      <c r="A2413" s="417">
        <v>46234</v>
      </c>
      <c r="B2413" s="373" t="s">
        <v>91</v>
      </c>
      <c r="C2413" s="364" t="s">
        <v>163</v>
      </c>
      <c r="D2413" s="404">
        <v>12</v>
      </c>
      <c r="E2413" s="67">
        <v>4</v>
      </c>
      <c r="F2413" s="371"/>
      <c r="G2413" s="365">
        <v>0.29166666666666669</v>
      </c>
      <c r="H2413" s="365">
        <v>0.3888888888888889</v>
      </c>
      <c r="I2413" s="372" t="str">
        <f t="shared" si="85"/>
        <v>140</v>
      </c>
      <c r="J2413" s="371">
        <v>9</v>
      </c>
      <c r="K2413" s="371"/>
      <c r="L2413" s="365">
        <v>0.3125</v>
      </c>
      <c r="M2413" s="365">
        <v>0.45833333333333331</v>
      </c>
      <c r="N2413" s="372" t="str">
        <f t="shared" si="86"/>
        <v>210</v>
      </c>
      <c r="O2413" s="371">
        <f t="shared" si="87"/>
        <v>2450</v>
      </c>
      <c r="P2413" s="366">
        <f t="shared" si="88"/>
        <v>0.29166666666666669</v>
      </c>
      <c r="Q2413" s="366">
        <f t="shared" si="89"/>
        <v>0.45833333333333331</v>
      </c>
      <c r="R2413" s="367" t="str">
        <f t="shared" si="90"/>
        <v>240</v>
      </c>
    </row>
    <row r="2414" spans="1:18" s="22" customFormat="1" x14ac:dyDescent="0.4">
      <c r="A2414" s="417">
        <v>46234</v>
      </c>
      <c r="B2414" s="373" t="s">
        <v>456</v>
      </c>
      <c r="C2414" s="364" t="s">
        <v>287</v>
      </c>
      <c r="D2414" s="404">
        <v>3</v>
      </c>
      <c r="E2414" s="67">
        <v>4</v>
      </c>
      <c r="F2414" s="371"/>
      <c r="G2414" s="365">
        <v>0.62847222222222221</v>
      </c>
      <c r="H2414" s="365">
        <v>0.63194444444444442</v>
      </c>
      <c r="I2414" s="372" t="str">
        <f t="shared" si="85"/>
        <v>5</v>
      </c>
      <c r="J2414" s="371">
        <v>12</v>
      </c>
      <c r="K2414" s="365"/>
      <c r="L2414" s="365">
        <v>0.63888888888888895</v>
      </c>
      <c r="M2414" s="365">
        <v>0.77083333333333337</v>
      </c>
      <c r="N2414" s="372" t="str">
        <f t="shared" si="86"/>
        <v>190</v>
      </c>
      <c r="O2414" s="371">
        <f t="shared" si="87"/>
        <v>2300</v>
      </c>
      <c r="P2414" s="366">
        <f t="shared" si="88"/>
        <v>0.62847222222222221</v>
      </c>
      <c r="Q2414" s="366">
        <f t="shared" si="89"/>
        <v>0.77083333333333337</v>
      </c>
      <c r="R2414" s="367" t="str">
        <f t="shared" si="90"/>
        <v>205</v>
      </c>
    </row>
    <row r="2415" spans="1:18" s="22" customFormat="1" x14ac:dyDescent="0.4">
      <c r="A2415" s="417">
        <v>46234</v>
      </c>
      <c r="B2415" s="373" t="s">
        <v>472</v>
      </c>
      <c r="C2415" s="364" t="s">
        <v>285</v>
      </c>
      <c r="D2415" s="404">
        <v>8</v>
      </c>
      <c r="E2415" s="67">
        <v>4</v>
      </c>
      <c r="F2415" s="371"/>
      <c r="G2415" s="365">
        <v>0.4548611111111111</v>
      </c>
      <c r="H2415" s="365">
        <v>0.5625</v>
      </c>
      <c r="I2415" s="372" t="str">
        <f t="shared" si="85"/>
        <v>95</v>
      </c>
      <c r="J2415" s="371">
        <v>9</v>
      </c>
      <c r="K2415" s="365">
        <v>6.25E-2</v>
      </c>
      <c r="L2415" s="365">
        <v>0.45833333333333331</v>
      </c>
      <c r="M2415" s="365">
        <v>0.63888888888888895</v>
      </c>
      <c r="N2415" s="372" t="str">
        <f t="shared" si="86"/>
        <v>290</v>
      </c>
      <c r="O2415" s="371">
        <f t="shared" si="87"/>
        <v>2990</v>
      </c>
      <c r="P2415" s="366">
        <f t="shared" si="88"/>
        <v>0.4548611111111111</v>
      </c>
      <c r="Q2415" s="366">
        <f t="shared" si="89"/>
        <v>0.63888888888888895</v>
      </c>
      <c r="R2415" s="367" t="str">
        <f t="shared" si="90"/>
        <v>205</v>
      </c>
    </row>
    <row r="2416" spans="1:18" x14ac:dyDescent="0.4">
      <c r="A2416" s="402">
        <v>46234</v>
      </c>
      <c r="B2416" s="392" t="s">
        <v>54</v>
      </c>
      <c r="C2416" s="364" t="s">
        <v>251</v>
      </c>
      <c r="D2416" s="404">
        <v>20</v>
      </c>
      <c r="E2416" s="369">
        <v>5</v>
      </c>
      <c r="F2416" s="370"/>
      <c r="G2416" s="368">
        <v>0.29166666666666669</v>
      </c>
      <c r="H2416" s="368">
        <v>0.43055555555555558</v>
      </c>
      <c r="I2416" s="372" t="str">
        <f t="shared" si="85"/>
        <v>200</v>
      </c>
      <c r="J2416" s="371">
        <v>3</v>
      </c>
      <c r="K2416" s="371"/>
      <c r="L2416" s="365">
        <v>0.3125</v>
      </c>
      <c r="M2416" s="365">
        <v>0.47222222222222227</v>
      </c>
      <c r="N2416" s="372" t="str">
        <f t="shared" si="86"/>
        <v>230</v>
      </c>
      <c r="O2416" s="371">
        <f t="shared" si="87"/>
        <v>1690</v>
      </c>
      <c r="P2416" s="366">
        <f t="shared" si="88"/>
        <v>0.29166666666666669</v>
      </c>
      <c r="Q2416" s="366">
        <f t="shared" si="89"/>
        <v>0.47222222222222227</v>
      </c>
      <c r="R2416" s="367" t="str">
        <f t="shared" si="90"/>
        <v>260</v>
      </c>
    </row>
    <row r="2417" spans="1:18" x14ac:dyDescent="0.4">
      <c r="A2417" s="402">
        <v>46234</v>
      </c>
      <c r="B2417" s="392" t="s">
        <v>1162</v>
      </c>
      <c r="C2417" s="364" t="s">
        <v>271</v>
      </c>
      <c r="D2417" s="404">
        <v>24</v>
      </c>
      <c r="E2417" s="369">
        <v>5</v>
      </c>
      <c r="F2417" s="370"/>
      <c r="G2417" s="368">
        <v>0.43055555555555558</v>
      </c>
      <c r="H2417" s="368">
        <v>0.6875</v>
      </c>
      <c r="I2417" s="372" t="str">
        <f t="shared" si="85"/>
        <v>310</v>
      </c>
      <c r="J2417" s="371">
        <v>3</v>
      </c>
      <c r="K2417" s="371"/>
      <c r="L2417" s="365">
        <v>0.47222222222222227</v>
      </c>
      <c r="M2417" s="365">
        <v>0.6875</v>
      </c>
      <c r="N2417" s="372" t="str">
        <f t="shared" si="86"/>
        <v>250</v>
      </c>
      <c r="O2417" s="371">
        <f t="shared" si="87"/>
        <v>2300</v>
      </c>
      <c r="P2417" s="366">
        <f t="shared" si="88"/>
        <v>0.43055555555555558</v>
      </c>
      <c r="Q2417" s="366">
        <f t="shared" si="89"/>
        <v>0.6875</v>
      </c>
      <c r="R2417" s="367" t="str">
        <f t="shared" si="90"/>
        <v>310</v>
      </c>
    </row>
    <row r="2418" spans="1:18" x14ac:dyDescent="0.4">
      <c r="A2418" s="402">
        <v>46234</v>
      </c>
      <c r="B2418" s="392" t="s">
        <v>97</v>
      </c>
      <c r="C2418" s="364" t="s">
        <v>274</v>
      </c>
      <c r="D2418" s="404">
        <v>8</v>
      </c>
      <c r="E2418" s="369">
        <v>3</v>
      </c>
      <c r="F2418" s="370"/>
      <c r="G2418" s="368">
        <v>0.64583333333333337</v>
      </c>
      <c r="H2418" s="368">
        <v>0.69097222222222221</v>
      </c>
      <c r="I2418" s="372" t="str">
        <f t="shared" si="85"/>
        <v>65</v>
      </c>
      <c r="J2418" s="371">
        <v>4</v>
      </c>
      <c r="K2418" s="371"/>
      <c r="L2418" s="365">
        <v>0.6875</v>
      </c>
      <c r="M2418" s="365">
        <v>0.74305555555555547</v>
      </c>
      <c r="N2418" s="372" t="str">
        <f t="shared" si="86"/>
        <v>80</v>
      </c>
      <c r="O2418" s="371">
        <f t="shared" si="87"/>
        <v>515</v>
      </c>
      <c r="P2418" s="366">
        <f t="shared" si="88"/>
        <v>0.64583333333333337</v>
      </c>
      <c r="Q2418" s="366">
        <f t="shared" si="89"/>
        <v>0.74305555555555547</v>
      </c>
      <c r="R2418" s="367" t="str">
        <f t="shared" si="90"/>
        <v>140</v>
      </c>
    </row>
    <row r="2419" spans="1:18" x14ac:dyDescent="0.4">
      <c r="A2419" s="402">
        <v>46234</v>
      </c>
      <c r="B2419" s="392" t="s">
        <v>104</v>
      </c>
      <c r="C2419" s="364" t="s">
        <v>191</v>
      </c>
      <c r="D2419" s="404">
        <v>60</v>
      </c>
      <c r="E2419" s="369">
        <v>3</v>
      </c>
      <c r="F2419" s="368">
        <v>2.0833333333333332E-2</v>
      </c>
      <c r="G2419" s="368">
        <v>0.29166666666666669</v>
      </c>
      <c r="H2419" s="368">
        <v>0.64930555555555558</v>
      </c>
      <c r="I2419" s="372" t="str">
        <f t="shared" si="85"/>
        <v>485</v>
      </c>
      <c r="J2419" s="371">
        <v>4</v>
      </c>
      <c r="K2419" s="371"/>
      <c r="L2419" s="365">
        <v>0.29166666666666669</v>
      </c>
      <c r="M2419" s="365">
        <v>0.69097222222222221</v>
      </c>
      <c r="N2419" s="372" t="str">
        <f t="shared" si="86"/>
        <v>515</v>
      </c>
      <c r="O2419" s="371">
        <f t="shared" si="87"/>
        <v>3515</v>
      </c>
      <c r="P2419" s="366">
        <f t="shared" si="88"/>
        <v>0.29166666666666669</v>
      </c>
      <c r="Q2419" s="366">
        <f t="shared" si="89"/>
        <v>0.69097222222222221</v>
      </c>
      <c r="R2419" s="367" t="str">
        <f t="shared" si="90"/>
        <v>515</v>
      </c>
    </row>
    <row r="2420" spans="1:18" s="83" customFormat="1" x14ac:dyDescent="0.4">
      <c r="A2420" s="432">
        <v>46237</v>
      </c>
      <c r="B2420" s="433" t="s">
        <v>80</v>
      </c>
      <c r="C2420" s="82" t="s">
        <v>203</v>
      </c>
      <c r="D2420" s="434">
        <v>36</v>
      </c>
      <c r="E2420" s="435"/>
      <c r="F2420" s="436"/>
      <c r="G2420" s="426"/>
      <c r="H2420" s="426"/>
      <c r="I2420" s="437" t="str">
        <f t="shared" si="85"/>
        <v>0</v>
      </c>
      <c r="J2420" s="435">
        <v>5</v>
      </c>
      <c r="K2420" s="436"/>
      <c r="L2420" s="426">
        <v>0.3125</v>
      </c>
      <c r="M2420" s="426">
        <v>0.5</v>
      </c>
      <c r="N2420" s="437" t="str">
        <f t="shared" si="86"/>
        <v>270</v>
      </c>
      <c r="O2420" s="436">
        <f t="shared" si="87"/>
        <v>1350</v>
      </c>
      <c r="P2420" s="438">
        <f t="shared" si="88"/>
        <v>0.3125</v>
      </c>
      <c r="Q2420" s="438">
        <f t="shared" si="89"/>
        <v>0.5</v>
      </c>
      <c r="R2420" s="439" t="str">
        <f t="shared" si="90"/>
        <v>270</v>
      </c>
    </row>
    <row r="2421" spans="1:18" x14ac:dyDescent="0.4">
      <c r="A2421" s="403">
        <v>46237</v>
      </c>
      <c r="B2421" s="383" t="s">
        <v>1801</v>
      </c>
      <c r="C2421" s="390" t="s">
        <v>203</v>
      </c>
      <c r="D2421" s="405">
        <v>1</v>
      </c>
      <c r="E2421" s="384"/>
      <c r="F2421" s="385"/>
      <c r="G2421" s="396"/>
      <c r="H2421" s="396"/>
      <c r="I2421" s="386" t="str">
        <f t="shared" si="85"/>
        <v>0</v>
      </c>
      <c r="J2421" s="384"/>
      <c r="K2421" s="385"/>
      <c r="L2421" s="396"/>
      <c r="M2421" s="396"/>
      <c r="N2421" s="386" t="str">
        <f t="shared" si="86"/>
        <v>0</v>
      </c>
      <c r="O2421" s="387">
        <f t="shared" si="87"/>
        <v>0</v>
      </c>
      <c r="P2421" s="391">
        <f t="shared" si="88"/>
        <v>0</v>
      </c>
      <c r="Q2421" s="391">
        <f t="shared" si="89"/>
        <v>0</v>
      </c>
      <c r="R2421" s="389" t="str">
        <f t="shared" si="90"/>
        <v>0</v>
      </c>
    </row>
    <row r="2422" spans="1:18" s="83" customFormat="1" x14ac:dyDescent="0.4">
      <c r="A2422" s="432">
        <v>46237</v>
      </c>
      <c r="B2422" s="433" t="s">
        <v>87</v>
      </c>
      <c r="C2422" s="82" t="s">
        <v>199</v>
      </c>
      <c r="D2422" s="434">
        <v>36</v>
      </c>
      <c r="E2422" s="435"/>
      <c r="F2422" s="436"/>
      <c r="G2422" s="426"/>
      <c r="H2422" s="426"/>
      <c r="I2422" s="437" t="str">
        <f t="shared" si="85"/>
        <v>0</v>
      </c>
      <c r="J2422" s="435">
        <v>5</v>
      </c>
      <c r="K2422" s="436"/>
      <c r="L2422" s="426">
        <v>0.54166666666666663</v>
      </c>
      <c r="M2422" s="426">
        <v>0.72916666666666663</v>
      </c>
      <c r="N2422" s="437" t="str">
        <f t="shared" si="86"/>
        <v>270</v>
      </c>
      <c r="O2422" s="436">
        <f t="shared" si="87"/>
        <v>1350</v>
      </c>
      <c r="P2422" s="438">
        <f t="shared" si="88"/>
        <v>0.54166666666666663</v>
      </c>
      <c r="Q2422" s="438">
        <f t="shared" si="89"/>
        <v>0.72916666666666663</v>
      </c>
      <c r="R2422" s="439" t="str">
        <f t="shared" si="90"/>
        <v>270</v>
      </c>
    </row>
    <row r="2423" spans="1:18" x14ac:dyDescent="0.4">
      <c r="A2423" s="402">
        <v>46237</v>
      </c>
      <c r="B2423" s="392" t="s">
        <v>109</v>
      </c>
      <c r="C2423" s="364" t="s">
        <v>263</v>
      </c>
      <c r="D2423" s="404">
        <v>30</v>
      </c>
      <c r="E2423" s="369">
        <v>5</v>
      </c>
      <c r="F2423" s="370"/>
      <c r="G2423" s="368">
        <v>0.29166666666666669</v>
      </c>
      <c r="H2423" s="368">
        <v>0.55902777777777779</v>
      </c>
      <c r="I2423" s="372" t="str">
        <f t="shared" si="85"/>
        <v>325</v>
      </c>
      <c r="J2423" s="371">
        <v>3</v>
      </c>
      <c r="K2423" s="371"/>
      <c r="L2423" s="365">
        <v>0.3125</v>
      </c>
      <c r="M2423" s="365">
        <v>0.58333333333333337</v>
      </c>
      <c r="N2423" s="372" t="str">
        <f t="shared" si="86"/>
        <v>330</v>
      </c>
      <c r="O2423" s="371">
        <f t="shared" si="87"/>
        <v>2615</v>
      </c>
      <c r="P2423" s="366">
        <f t="shared" si="88"/>
        <v>0.29166666666666669</v>
      </c>
      <c r="Q2423" s="366">
        <f t="shared" si="89"/>
        <v>0.58333333333333337</v>
      </c>
      <c r="R2423" s="367" t="str">
        <f t="shared" si="90"/>
        <v>360</v>
      </c>
    </row>
    <row r="2424" spans="1:18" x14ac:dyDescent="0.4">
      <c r="A2424" s="402">
        <v>46237</v>
      </c>
      <c r="B2424" s="392" t="s">
        <v>51</v>
      </c>
      <c r="C2424" s="364" t="s">
        <v>253</v>
      </c>
      <c r="D2424" s="404">
        <v>12</v>
      </c>
      <c r="E2424" s="369">
        <v>5</v>
      </c>
      <c r="F2424" s="370"/>
      <c r="G2424" s="368">
        <v>0.55902777777777779</v>
      </c>
      <c r="H2424" s="368">
        <v>0.66666666666666663</v>
      </c>
      <c r="I2424" s="372" t="str">
        <f t="shared" si="85"/>
        <v>155</v>
      </c>
      <c r="J2424" s="371">
        <v>3</v>
      </c>
      <c r="K2424" s="371"/>
      <c r="L2424" s="365">
        <v>0.58333333333333337</v>
      </c>
      <c r="M2424" s="365">
        <v>0.6875</v>
      </c>
      <c r="N2424" s="372" t="str">
        <f t="shared" si="86"/>
        <v>150</v>
      </c>
      <c r="O2424" s="371">
        <f t="shared" si="87"/>
        <v>1225</v>
      </c>
      <c r="P2424" s="366">
        <f t="shared" si="88"/>
        <v>0.55902777777777779</v>
      </c>
      <c r="Q2424" s="366">
        <f t="shared" si="89"/>
        <v>0.6875</v>
      </c>
      <c r="R2424" s="367" t="str">
        <f t="shared" si="90"/>
        <v>185</v>
      </c>
    </row>
    <row r="2425" spans="1:18" x14ac:dyDescent="0.4">
      <c r="A2425" s="402">
        <v>46237</v>
      </c>
      <c r="B2425" s="392" t="s">
        <v>58</v>
      </c>
      <c r="C2425" s="364" t="s">
        <v>165</v>
      </c>
      <c r="D2425" s="404">
        <v>24</v>
      </c>
      <c r="E2425" s="369">
        <v>3</v>
      </c>
      <c r="F2425" s="368">
        <v>2.0833333333333332E-2</v>
      </c>
      <c r="G2425" s="368">
        <v>0.29166666666666669</v>
      </c>
      <c r="H2425" s="368">
        <v>0.44791666666666669</v>
      </c>
      <c r="I2425" s="372" t="str">
        <f t="shared" si="85"/>
        <v>255</v>
      </c>
      <c r="J2425" s="371">
        <v>6</v>
      </c>
      <c r="K2425" s="371"/>
      <c r="L2425" s="365">
        <v>0.29166666666666669</v>
      </c>
      <c r="M2425" s="365">
        <v>0.5</v>
      </c>
      <c r="N2425" s="372" t="str">
        <f t="shared" si="86"/>
        <v>300</v>
      </c>
      <c r="O2425" s="371">
        <f t="shared" si="87"/>
        <v>2565</v>
      </c>
      <c r="P2425" s="366">
        <f t="shared" si="88"/>
        <v>0.29166666666666669</v>
      </c>
      <c r="Q2425" s="366">
        <f t="shared" si="89"/>
        <v>0.5</v>
      </c>
      <c r="R2425" s="367" t="str">
        <f t="shared" si="90"/>
        <v>300</v>
      </c>
    </row>
    <row r="2426" spans="1:18" x14ac:dyDescent="0.4">
      <c r="A2426" s="402">
        <v>46237</v>
      </c>
      <c r="B2426" s="392" t="s">
        <v>65</v>
      </c>
      <c r="C2426" s="364" t="s">
        <v>189</v>
      </c>
      <c r="D2426" s="404">
        <v>32</v>
      </c>
      <c r="E2426" s="369">
        <v>3</v>
      </c>
      <c r="F2426" s="370"/>
      <c r="G2426" s="368">
        <v>0.44444444444444442</v>
      </c>
      <c r="H2426" s="368">
        <v>0.65277777777777779</v>
      </c>
      <c r="I2426" s="372" t="str">
        <f t="shared" si="85"/>
        <v>240</v>
      </c>
      <c r="J2426" s="371">
        <v>4</v>
      </c>
      <c r="K2426" s="371"/>
      <c r="L2426" s="365">
        <v>0.54166666666666663</v>
      </c>
      <c r="M2426" s="365">
        <v>0.69097222222222221</v>
      </c>
      <c r="N2426" s="372" t="str">
        <f t="shared" si="86"/>
        <v>215</v>
      </c>
      <c r="O2426" s="371">
        <f t="shared" si="87"/>
        <v>1580</v>
      </c>
      <c r="P2426" s="366">
        <f t="shared" si="88"/>
        <v>0.44444444444444442</v>
      </c>
      <c r="Q2426" s="366">
        <f t="shared" si="89"/>
        <v>0.69097222222222221</v>
      </c>
      <c r="R2426" s="367" t="str">
        <f t="shared" si="90"/>
        <v>295</v>
      </c>
    </row>
    <row r="2427" spans="1:18" x14ac:dyDescent="0.4">
      <c r="A2427" s="402">
        <v>46238</v>
      </c>
      <c r="B2427" s="392" t="s">
        <v>63</v>
      </c>
      <c r="C2427" s="364" t="s">
        <v>267</v>
      </c>
      <c r="D2427" s="404">
        <v>16</v>
      </c>
      <c r="E2427" s="369">
        <v>5</v>
      </c>
      <c r="F2427" s="370"/>
      <c r="G2427" s="368">
        <v>0.54166666666666663</v>
      </c>
      <c r="H2427" s="368">
        <v>0.66666666666666663</v>
      </c>
      <c r="I2427" s="372" t="str">
        <f t="shared" si="85"/>
        <v>180</v>
      </c>
      <c r="J2427" s="371">
        <v>3</v>
      </c>
      <c r="K2427" s="371"/>
      <c r="L2427" s="365">
        <v>0.5625</v>
      </c>
      <c r="M2427" s="365">
        <v>0.6875</v>
      </c>
      <c r="N2427" s="372" t="str">
        <f t="shared" si="86"/>
        <v>180</v>
      </c>
      <c r="O2427" s="371">
        <f t="shared" si="87"/>
        <v>1440</v>
      </c>
      <c r="P2427" s="366">
        <f t="shared" si="88"/>
        <v>0.54166666666666663</v>
      </c>
      <c r="Q2427" s="366">
        <f t="shared" si="89"/>
        <v>0.6875</v>
      </c>
      <c r="R2427" s="367" t="str">
        <f t="shared" si="90"/>
        <v>210</v>
      </c>
    </row>
    <row r="2428" spans="1:18" x14ac:dyDescent="0.4">
      <c r="A2428" s="402">
        <v>46238</v>
      </c>
      <c r="B2428" s="392" t="s">
        <v>1162</v>
      </c>
      <c r="C2428" s="364" t="s">
        <v>271</v>
      </c>
      <c r="D2428" s="404">
        <v>24</v>
      </c>
      <c r="E2428" s="369">
        <v>5</v>
      </c>
      <c r="F2428" s="370"/>
      <c r="G2428" s="368">
        <v>0.29166666666666669</v>
      </c>
      <c r="H2428" s="368">
        <v>0.5</v>
      </c>
      <c r="I2428" s="372" t="str">
        <f t="shared" si="85"/>
        <v>300</v>
      </c>
      <c r="J2428" s="371">
        <v>3</v>
      </c>
      <c r="K2428" s="371"/>
      <c r="L2428" s="365">
        <v>0.3125</v>
      </c>
      <c r="M2428" s="365">
        <v>0.5625</v>
      </c>
      <c r="N2428" s="372" t="str">
        <f t="shared" si="86"/>
        <v>300</v>
      </c>
      <c r="O2428" s="371">
        <f t="shared" si="87"/>
        <v>2400</v>
      </c>
      <c r="P2428" s="366">
        <f t="shared" si="88"/>
        <v>0.29166666666666669</v>
      </c>
      <c r="Q2428" s="366">
        <f t="shared" si="89"/>
        <v>0.5625</v>
      </c>
      <c r="R2428" s="367" t="str">
        <f t="shared" si="90"/>
        <v>330</v>
      </c>
    </row>
    <row r="2429" spans="1:18" x14ac:dyDescent="0.4">
      <c r="A2429" s="402">
        <v>46238</v>
      </c>
      <c r="B2429" s="392" t="s">
        <v>110</v>
      </c>
      <c r="C2429" s="364" t="s">
        <v>231</v>
      </c>
      <c r="D2429" s="404">
        <v>21</v>
      </c>
      <c r="E2429" s="369">
        <v>4</v>
      </c>
      <c r="F2429" s="370"/>
      <c r="G2429" s="368">
        <v>0.29166666666666669</v>
      </c>
      <c r="H2429" s="368">
        <v>0.41666666666666669</v>
      </c>
      <c r="I2429" s="372" t="str">
        <f t="shared" si="85"/>
        <v>180</v>
      </c>
      <c r="J2429" s="371">
        <v>7</v>
      </c>
      <c r="K2429" s="371"/>
      <c r="L2429" s="365">
        <v>0.41666666666666669</v>
      </c>
      <c r="M2429" s="365">
        <v>0.6875</v>
      </c>
      <c r="N2429" s="372" t="str">
        <f t="shared" si="86"/>
        <v>330</v>
      </c>
      <c r="O2429" s="371">
        <f t="shared" si="87"/>
        <v>3030</v>
      </c>
      <c r="P2429" s="366">
        <f t="shared" si="88"/>
        <v>0.29166666666666669</v>
      </c>
      <c r="Q2429" s="366">
        <f t="shared" si="89"/>
        <v>0.6875</v>
      </c>
      <c r="R2429" s="367" t="str">
        <f t="shared" si="90"/>
        <v>510</v>
      </c>
    </row>
    <row r="2430" spans="1:18" x14ac:dyDescent="0.4">
      <c r="A2430" s="402">
        <v>46238</v>
      </c>
      <c r="B2430" s="392" t="s">
        <v>65</v>
      </c>
      <c r="C2430" s="364" t="s">
        <v>189</v>
      </c>
      <c r="D2430" s="404">
        <v>72</v>
      </c>
      <c r="E2430" s="369">
        <v>3</v>
      </c>
      <c r="F2430" s="368">
        <v>2.0833333333333332E-2</v>
      </c>
      <c r="G2430" s="368">
        <v>0.29166666666666669</v>
      </c>
      <c r="H2430" s="368">
        <v>0.65277777777777779</v>
      </c>
      <c r="I2430" s="372" t="str">
        <f t="shared" si="85"/>
        <v>490</v>
      </c>
      <c r="J2430" s="371">
        <v>4</v>
      </c>
      <c r="K2430" s="371"/>
      <c r="L2430" s="365">
        <v>0.29166666666666669</v>
      </c>
      <c r="M2430" s="365">
        <v>0.70138888888888884</v>
      </c>
      <c r="N2430" s="372" t="str">
        <f t="shared" si="86"/>
        <v>530</v>
      </c>
      <c r="O2430" s="371">
        <f t="shared" si="87"/>
        <v>3590</v>
      </c>
      <c r="P2430" s="366">
        <f t="shared" si="88"/>
        <v>0.29166666666666669</v>
      </c>
      <c r="Q2430" s="366">
        <f t="shared" si="89"/>
        <v>0.70138888888888884</v>
      </c>
      <c r="R2430" s="367" t="str">
        <f t="shared" si="90"/>
        <v>530</v>
      </c>
    </row>
    <row r="2431" spans="1:18" x14ac:dyDescent="0.4">
      <c r="A2431" s="431">
        <v>46238</v>
      </c>
      <c r="B2431" s="401">
        <v>111010</v>
      </c>
      <c r="C2431" s="390" t="s">
        <v>480</v>
      </c>
      <c r="D2431" s="405">
        <v>1</v>
      </c>
      <c r="E2431" s="411"/>
      <c r="F2431" s="387"/>
      <c r="G2431" s="388"/>
      <c r="H2431" s="388"/>
      <c r="I2431" s="386" t="str">
        <f t="shared" si="85"/>
        <v>0</v>
      </c>
      <c r="J2431" s="387"/>
      <c r="K2431" s="387"/>
      <c r="L2431" s="388"/>
      <c r="M2431" s="388"/>
      <c r="N2431" s="386" t="str">
        <f t="shared" si="86"/>
        <v>0</v>
      </c>
      <c r="O2431" s="387">
        <f t="shared" si="87"/>
        <v>0</v>
      </c>
      <c r="P2431" s="391">
        <f t="shared" si="88"/>
        <v>0</v>
      </c>
      <c r="Q2431" s="391">
        <f t="shared" si="89"/>
        <v>0</v>
      </c>
      <c r="R2431" s="389" t="str">
        <f t="shared" si="90"/>
        <v>0</v>
      </c>
    </row>
    <row r="2432" spans="1:18" x14ac:dyDescent="0.4">
      <c r="A2432" s="402">
        <v>46239</v>
      </c>
      <c r="B2432" s="392" t="s">
        <v>71</v>
      </c>
      <c r="C2432" s="364" t="s">
        <v>176</v>
      </c>
      <c r="D2432" s="404">
        <v>64</v>
      </c>
      <c r="E2432" s="369">
        <v>6</v>
      </c>
      <c r="F2432" s="370"/>
      <c r="G2432" s="368">
        <v>0.29166666666666669</v>
      </c>
      <c r="H2432" s="368">
        <v>0.72916666666666663</v>
      </c>
      <c r="I2432" s="372" t="str">
        <f t="shared" si="85"/>
        <v>570</v>
      </c>
      <c r="J2432" s="371">
        <v>5</v>
      </c>
      <c r="K2432" s="371"/>
      <c r="L2432" s="365">
        <v>0.3125</v>
      </c>
      <c r="M2432" s="365">
        <v>0.75</v>
      </c>
      <c r="N2432" s="372" t="str">
        <f t="shared" si="86"/>
        <v>570</v>
      </c>
      <c r="O2432" s="371">
        <f t="shared" si="87"/>
        <v>6270</v>
      </c>
      <c r="P2432" s="366">
        <f t="shared" si="88"/>
        <v>0.29166666666666669</v>
      </c>
      <c r="Q2432" s="366">
        <f t="shared" si="89"/>
        <v>0.75</v>
      </c>
      <c r="R2432" s="367" t="str">
        <f t="shared" si="90"/>
        <v>600</v>
      </c>
    </row>
    <row r="2433" spans="1:18" x14ac:dyDescent="0.4">
      <c r="A2433" s="403">
        <v>46239</v>
      </c>
      <c r="B2433" s="383" t="s">
        <v>1061</v>
      </c>
      <c r="C2433" s="390" t="s">
        <v>176</v>
      </c>
      <c r="D2433" s="405">
        <v>1</v>
      </c>
      <c r="E2433" s="384"/>
      <c r="F2433" s="385"/>
      <c r="G2433" s="396"/>
      <c r="H2433" s="396"/>
      <c r="I2433" s="386" t="str">
        <f t="shared" si="85"/>
        <v>0</v>
      </c>
      <c r="J2433" s="387"/>
      <c r="K2433" s="387"/>
      <c r="L2433" s="388"/>
      <c r="M2433" s="388"/>
      <c r="N2433" s="386" t="str">
        <f t="shared" si="86"/>
        <v>0</v>
      </c>
      <c r="O2433" s="387">
        <f t="shared" si="87"/>
        <v>0</v>
      </c>
      <c r="P2433" s="391">
        <f t="shared" si="88"/>
        <v>0</v>
      </c>
      <c r="Q2433" s="391">
        <f t="shared" si="89"/>
        <v>0</v>
      </c>
      <c r="R2433" s="389" t="str">
        <f t="shared" si="90"/>
        <v>0</v>
      </c>
    </row>
    <row r="2434" spans="1:18" x14ac:dyDescent="0.4">
      <c r="A2434" s="402">
        <v>46239</v>
      </c>
      <c r="B2434" s="392" t="s">
        <v>965</v>
      </c>
      <c r="C2434" s="364" t="s">
        <v>966</v>
      </c>
      <c r="D2434" s="404">
        <v>16</v>
      </c>
      <c r="E2434" s="369">
        <v>5</v>
      </c>
      <c r="F2434" s="370"/>
      <c r="G2434" s="368">
        <v>0.29166666666666669</v>
      </c>
      <c r="H2434" s="368">
        <v>0.4201388888888889</v>
      </c>
      <c r="I2434" s="372" t="str">
        <f t="shared" si="85"/>
        <v>185</v>
      </c>
      <c r="J2434" s="371">
        <v>3</v>
      </c>
      <c r="K2434" s="371"/>
      <c r="L2434" s="365">
        <v>0.3125</v>
      </c>
      <c r="M2434" s="365">
        <v>0.44791666666666669</v>
      </c>
      <c r="N2434" s="372" t="str">
        <f t="shared" si="86"/>
        <v>195</v>
      </c>
      <c r="O2434" s="371">
        <f t="shared" si="87"/>
        <v>1510</v>
      </c>
      <c r="P2434" s="366">
        <f t="shared" si="88"/>
        <v>0.29166666666666669</v>
      </c>
      <c r="Q2434" s="366">
        <f t="shared" si="89"/>
        <v>0.44791666666666669</v>
      </c>
      <c r="R2434" s="367" t="str">
        <f t="shared" si="90"/>
        <v>225</v>
      </c>
    </row>
    <row r="2435" spans="1:18" x14ac:dyDescent="0.4">
      <c r="A2435" s="402">
        <v>46239</v>
      </c>
      <c r="B2435" s="392" t="s">
        <v>63</v>
      </c>
      <c r="C2435" s="364" t="s">
        <v>267</v>
      </c>
      <c r="D2435" s="404">
        <v>24</v>
      </c>
      <c r="E2435" s="369">
        <v>5</v>
      </c>
      <c r="F2435" s="370"/>
      <c r="G2435" s="368">
        <v>0.4201388888888889</v>
      </c>
      <c r="H2435" s="368">
        <v>0.66666666666666663</v>
      </c>
      <c r="I2435" s="372" t="str">
        <f t="shared" si="85"/>
        <v>295</v>
      </c>
      <c r="J2435" s="371">
        <v>3</v>
      </c>
      <c r="K2435" s="371"/>
      <c r="L2435" s="365">
        <v>0.44791666666666669</v>
      </c>
      <c r="M2435" s="365">
        <v>0.6875</v>
      </c>
      <c r="N2435" s="372" t="str">
        <f t="shared" si="86"/>
        <v>285</v>
      </c>
      <c r="O2435" s="371">
        <f t="shared" si="87"/>
        <v>2330</v>
      </c>
      <c r="P2435" s="366">
        <f t="shared" si="88"/>
        <v>0.4201388888888889</v>
      </c>
      <c r="Q2435" s="366">
        <f t="shared" si="89"/>
        <v>0.6875</v>
      </c>
      <c r="R2435" s="367" t="str">
        <f t="shared" si="90"/>
        <v>325</v>
      </c>
    </row>
    <row r="2436" spans="1:18" x14ac:dyDescent="0.4">
      <c r="A2436" s="402">
        <v>46239</v>
      </c>
      <c r="B2436" s="392" t="s">
        <v>73</v>
      </c>
      <c r="C2436" s="364" t="s">
        <v>231</v>
      </c>
      <c r="D2436" s="404">
        <v>21</v>
      </c>
      <c r="E2436" s="369">
        <v>3</v>
      </c>
      <c r="F2436" s="370"/>
      <c r="G2436" s="368">
        <v>0.29166666666666669</v>
      </c>
      <c r="H2436" s="368">
        <v>0.60416666666666663</v>
      </c>
      <c r="I2436" s="372" t="str">
        <f t="shared" si="85"/>
        <v>390</v>
      </c>
      <c r="J2436" s="371">
        <v>5</v>
      </c>
      <c r="K2436" s="371"/>
      <c r="L2436" s="365">
        <v>0.3125</v>
      </c>
      <c r="M2436" s="365">
        <v>0.6875</v>
      </c>
      <c r="N2436" s="372" t="str">
        <f t="shared" si="86"/>
        <v>480</v>
      </c>
      <c r="O2436" s="371">
        <f t="shared" si="87"/>
        <v>3570</v>
      </c>
      <c r="P2436" s="366">
        <f t="shared" si="88"/>
        <v>0.29166666666666669</v>
      </c>
      <c r="Q2436" s="366">
        <f t="shared" si="89"/>
        <v>0.6875</v>
      </c>
      <c r="R2436" s="367" t="str">
        <f t="shared" si="90"/>
        <v>510</v>
      </c>
    </row>
    <row r="2437" spans="1:18" x14ac:dyDescent="0.4">
      <c r="A2437" s="402">
        <v>46240</v>
      </c>
      <c r="B2437" s="392" t="s">
        <v>1699</v>
      </c>
      <c r="C2437" s="364" t="s">
        <v>1064</v>
      </c>
      <c r="D2437" s="404">
        <v>8</v>
      </c>
      <c r="E2437" s="369">
        <v>5</v>
      </c>
      <c r="F2437" s="370"/>
      <c r="G2437" s="368">
        <v>0.3611111111111111</v>
      </c>
      <c r="H2437" s="368">
        <v>0.43611111111111112</v>
      </c>
      <c r="I2437" s="372" t="str">
        <f t="shared" si="85"/>
        <v>108</v>
      </c>
      <c r="J2437" s="371">
        <v>4</v>
      </c>
      <c r="K2437" s="371"/>
      <c r="L2437" s="365">
        <v>0.3888888888888889</v>
      </c>
      <c r="M2437" s="365">
        <v>0.46527777777777773</v>
      </c>
      <c r="N2437" s="372" t="str">
        <f t="shared" si="86"/>
        <v>110</v>
      </c>
      <c r="O2437" s="371">
        <f t="shared" si="87"/>
        <v>980</v>
      </c>
      <c r="P2437" s="366">
        <f t="shared" si="88"/>
        <v>0.3611111111111111</v>
      </c>
      <c r="Q2437" s="366">
        <f t="shared" si="89"/>
        <v>0.46527777777777773</v>
      </c>
      <c r="R2437" s="367" t="str">
        <f t="shared" si="90"/>
        <v>150</v>
      </c>
    </row>
    <row r="2438" spans="1:18" x14ac:dyDescent="0.4">
      <c r="A2438" s="402">
        <v>46240</v>
      </c>
      <c r="B2438" s="392" t="s">
        <v>1062</v>
      </c>
      <c r="C2438" s="364" t="s">
        <v>1064</v>
      </c>
      <c r="D2438" s="404">
        <v>8</v>
      </c>
      <c r="E2438" s="369">
        <v>5</v>
      </c>
      <c r="F2438" s="370"/>
      <c r="G2438" s="368">
        <v>0.29166666666666669</v>
      </c>
      <c r="H2438" s="368">
        <v>0.3611111111111111</v>
      </c>
      <c r="I2438" s="372" t="str">
        <f t="shared" si="85"/>
        <v>100</v>
      </c>
      <c r="J2438" s="371">
        <v>4</v>
      </c>
      <c r="K2438" s="371"/>
      <c r="L2438" s="365">
        <v>0.3125</v>
      </c>
      <c r="M2438" s="365">
        <v>0.3888888888888889</v>
      </c>
      <c r="N2438" s="372" t="str">
        <f t="shared" si="86"/>
        <v>110</v>
      </c>
      <c r="O2438" s="371">
        <f t="shared" si="87"/>
        <v>940</v>
      </c>
      <c r="P2438" s="366">
        <f t="shared" si="88"/>
        <v>0.29166666666666669</v>
      </c>
      <c r="Q2438" s="366">
        <f t="shared" si="89"/>
        <v>0.3888888888888889</v>
      </c>
      <c r="R2438" s="367" t="str">
        <f t="shared" si="90"/>
        <v>140</v>
      </c>
    </row>
    <row r="2439" spans="1:18" x14ac:dyDescent="0.4">
      <c r="A2439" s="402">
        <v>46240</v>
      </c>
      <c r="B2439" s="392" t="s">
        <v>117</v>
      </c>
      <c r="C2439" s="364" t="s">
        <v>304</v>
      </c>
      <c r="D2439" s="404">
        <v>8</v>
      </c>
      <c r="E2439" s="369">
        <v>5</v>
      </c>
      <c r="F2439" s="370"/>
      <c r="G2439" s="368">
        <v>0.59722222222222221</v>
      </c>
      <c r="H2439" s="368">
        <v>0.6875</v>
      </c>
      <c r="I2439" s="372" t="str">
        <f t="shared" si="85"/>
        <v>130</v>
      </c>
      <c r="J2439" s="371">
        <v>4</v>
      </c>
      <c r="K2439" s="371"/>
      <c r="L2439" s="365">
        <v>0.625</v>
      </c>
      <c r="M2439" s="365">
        <v>0.70833333333333337</v>
      </c>
      <c r="N2439" s="372" t="str">
        <f t="shared" si="86"/>
        <v>120</v>
      </c>
      <c r="O2439" s="371">
        <f t="shared" si="87"/>
        <v>1130</v>
      </c>
      <c r="P2439" s="366">
        <f t="shared" si="88"/>
        <v>0.59722222222222221</v>
      </c>
      <c r="Q2439" s="366">
        <f t="shared" si="89"/>
        <v>0.70833333333333337</v>
      </c>
      <c r="R2439" s="367" t="str">
        <f t="shared" si="90"/>
        <v>160</v>
      </c>
    </row>
    <row r="2440" spans="1:18" x14ac:dyDescent="0.4">
      <c r="A2440" s="402">
        <v>46240</v>
      </c>
      <c r="B2440" s="392" t="s">
        <v>1722</v>
      </c>
      <c r="C2440" s="364" t="s">
        <v>1728</v>
      </c>
      <c r="D2440" s="404">
        <v>12</v>
      </c>
      <c r="E2440" s="369">
        <v>5</v>
      </c>
      <c r="F2440" s="370"/>
      <c r="G2440" s="368">
        <v>0.43611111111111112</v>
      </c>
      <c r="H2440" s="368">
        <v>0.59722222222222221</v>
      </c>
      <c r="I2440" s="372" t="str">
        <f t="shared" si="85"/>
        <v>172</v>
      </c>
      <c r="J2440" s="371">
        <v>4</v>
      </c>
      <c r="K2440" s="371"/>
      <c r="L2440" s="365">
        <v>0.46527777777777773</v>
      </c>
      <c r="M2440" s="365">
        <v>0.625</v>
      </c>
      <c r="N2440" s="372" t="str">
        <f t="shared" si="86"/>
        <v>170</v>
      </c>
      <c r="O2440" s="371">
        <f t="shared" si="87"/>
        <v>1540</v>
      </c>
      <c r="P2440" s="366">
        <f t="shared" si="88"/>
        <v>0.43611111111111112</v>
      </c>
      <c r="Q2440" s="366">
        <f t="shared" si="89"/>
        <v>0.625</v>
      </c>
      <c r="R2440" s="367" t="str">
        <f t="shared" si="90"/>
        <v>212</v>
      </c>
    </row>
    <row r="2441" spans="1:18" x14ac:dyDescent="0.4">
      <c r="A2441" s="402">
        <v>46240</v>
      </c>
      <c r="B2441" s="392" t="s">
        <v>108</v>
      </c>
      <c r="C2441" s="364" t="s">
        <v>231</v>
      </c>
      <c r="D2441" s="404">
        <v>21</v>
      </c>
      <c r="E2441" s="369">
        <v>3</v>
      </c>
      <c r="F2441" s="370"/>
      <c r="G2441" s="368">
        <v>0.29166666666666669</v>
      </c>
      <c r="H2441" s="368">
        <v>0.67361111111111116</v>
      </c>
      <c r="I2441" s="372" t="str">
        <f t="shared" si="85"/>
        <v>490</v>
      </c>
      <c r="J2441" s="371">
        <v>5</v>
      </c>
      <c r="K2441" s="365">
        <v>2.0833333333333332E-2</v>
      </c>
      <c r="L2441" s="365">
        <v>0.3125</v>
      </c>
      <c r="M2441" s="365">
        <v>0.70833333333333337</v>
      </c>
      <c r="N2441" s="372" t="str">
        <f t="shared" si="86"/>
        <v>540</v>
      </c>
      <c r="O2441" s="371">
        <f t="shared" si="87"/>
        <v>4170</v>
      </c>
      <c r="P2441" s="366">
        <f t="shared" si="88"/>
        <v>0.29166666666666669</v>
      </c>
      <c r="Q2441" s="366">
        <f t="shared" si="89"/>
        <v>0.70833333333333337</v>
      </c>
      <c r="R2441" s="367" t="str">
        <f t="shared" si="90"/>
        <v>540</v>
      </c>
    </row>
    <row r="2442" spans="1:18" x14ac:dyDescent="0.4">
      <c r="A2442" s="402">
        <v>46240</v>
      </c>
      <c r="B2442" s="392" t="s">
        <v>65</v>
      </c>
      <c r="C2442" s="364" t="s">
        <v>189</v>
      </c>
      <c r="D2442" s="404">
        <v>72</v>
      </c>
      <c r="E2442" s="369">
        <v>3</v>
      </c>
      <c r="F2442" s="368">
        <v>2.0833333333333332E-2</v>
      </c>
      <c r="G2442" s="368">
        <v>0.29166666666666669</v>
      </c>
      <c r="H2442" s="368">
        <v>0.60763888888888895</v>
      </c>
      <c r="I2442" s="372" t="str">
        <f t="shared" si="85"/>
        <v>425</v>
      </c>
      <c r="J2442" s="371">
        <v>4</v>
      </c>
      <c r="K2442" s="371"/>
      <c r="L2442" s="365">
        <v>0.29166666666666669</v>
      </c>
      <c r="M2442" s="365">
        <v>0.64236111111111105</v>
      </c>
      <c r="N2442" s="372" t="str">
        <f t="shared" si="86"/>
        <v>445</v>
      </c>
      <c r="O2442" s="371">
        <f t="shared" si="87"/>
        <v>3055</v>
      </c>
      <c r="P2442" s="366">
        <f t="shared" si="88"/>
        <v>0.29166666666666669</v>
      </c>
      <c r="Q2442" s="366">
        <f t="shared" si="89"/>
        <v>0.64236111111111105</v>
      </c>
      <c r="R2442" s="367" t="str">
        <f t="shared" si="90"/>
        <v>445</v>
      </c>
    </row>
    <row r="2443" spans="1:18" x14ac:dyDescent="0.4">
      <c r="A2443" s="402">
        <v>46241</v>
      </c>
      <c r="B2443" s="392" t="s">
        <v>71</v>
      </c>
      <c r="C2443" s="364" t="s">
        <v>176</v>
      </c>
      <c r="D2443" s="404">
        <v>52</v>
      </c>
      <c r="E2443" s="369">
        <v>6</v>
      </c>
      <c r="F2443" s="370"/>
      <c r="G2443" s="368">
        <v>0.29166666666666669</v>
      </c>
      <c r="H2443" s="368">
        <v>0.57291666666666663</v>
      </c>
      <c r="I2443" s="372" t="str">
        <f t="shared" si="85"/>
        <v>345</v>
      </c>
      <c r="J2443" s="371">
        <v>5</v>
      </c>
      <c r="K2443" s="371"/>
      <c r="L2443" s="365">
        <v>0.3125</v>
      </c>
      <c r="M2443" s="365">
        <v>0.61805555555555558</v>
      </c>
      <c r="N2443" s="372" t="str">
        <f t="shared" si="86"/>
        <v>380</v>
      </c>
      <c r="O2443" s="371">
        <f t="shared" si="87"/>
        <v>3970</v>
      </c>
      <c r="P2443" s="366">
        <f t="shared" si="88"/>
        <v>0.29166666666666669</v>
      </c>
      <c r="Q2443" s="366">
        <f t="shared" si="89"/>
        <v>0.61805555555555558</v>
      </c>
      <c r="R2443" s="367" t="str">
        <f t="shared" si="90"/>
        <v>410</v>
      </c>
    </row>
    <row r="2444" spans="1:18" x14ac:dyDescent="0.4">
      <c r="A2444" s="402">
        <v>46241</v>
      </c>
      <c r="B2444" s="392" t="s">
        <v>158</v>
      </c>
      <c r="C2444" s="364" t="s">
        <v>159</v>
      </c>
      <c r="D2444" s="404">
        <v>6</v>
      </c>
      <c r="E2444" s="369">
        <v>5</v>
      </c>
      <c r="F2444" s="370"/>
      <c r="G2444" s="368">
        <v>0.57291666666666663</v>
      </c>
      <c r="H2444" s="368">
        <v>0.66666666666666663</v>
      </c>
      <c r="I2444" s="372" t="str">
        <f t="shared" si="85"/>
        <v>135</v>
      </c>
      <c r="J2444" s="371">
        <v>9</v>
      </c>
      <c r="K2444" s="371"/>
      <c r="L2444" s="365">
        <v>0.61805555555555558</v>
      </c>
      <c r="M2444" s="365">
        <v>0.72916666666666663</v>
      </c>
      <c r="N2444" s="372" t="str">
        <f t="shared" si="86"/>
        <v>160</v>
      </c>
      <c r="O2444" s="371">
        <f t="shared" si="87"/>
        <v>2115</v>
      </c>
      <c r="P2444" s="366">
        <f t="shared" si="88"/>
        <v>0.57291666666666663</v>
      </c>
      <c r="Q2444" s="366">
        <f t="shared" si="89"/>
        <v>0.72916666666666663</v>
      </c>
      <c r="R2444" s="367" t="str">
        <f t="shared" si="90"/>
        <v>225</v>
      </c>
    </row>
    <row r="2445" spans="1:18" x14ac:dyDescent="0.4">
      <c r="A2445" s="402">
        <v>46241</v>
      </c>
      <c r="B2445" s="392" t="s">
        <v>53</v>
      </c>
      <c r="C2445" s="364" t="s">
        <v>261</v>
      </c>
      <c r="D2445" s="404">
        <v>6</v>
      </c>
      <c r="E2445" s="369">
        <v>5</v>
      </c>
      <c r="F2445" s="370"/>
      <c r="G2445" s="368">
        <v>0.29166666666666669</v>
      </c>
      <c r="H2445" s="368">
        <v>0.3666666666666667</v>
      </c>
      <c r="I2445" s="372" t="str">
        <f t="shared" si="85"/>
        <v>108</v>
      </c>
      <c r="J2445" s="371">
        <v>3</v>
      </c>
      <c r="K2445" s="371"/>
      <c r="L2445" s="365">
        <v>0.3125</v>
      </c>
      <c r="M2445" s="365">
        <v>0.40277777777777773</v>
      </c>
      <c r="N2445" s="372" t="str">
        <f t="shared" si="86"/>
        <v>130</v>
      </c>
      <c r="O2445" s="371">
        <f t="shared" si="87"/>
        <v>930</v>
      </c>
      <c r="P2445" s="366">
        <f t="shared" si="88"/>
        <v>0.29166666666666669</v>
      </c>
      <c r="Q2445" s="366">
        <f t="shared" si="89"/>
        <v>0.40277777777777773</v>
      </c>
      <c r="R2445" s="367" t="str">
        <f t="shared" si="90"/>
        <v>160</v>
      </c>
    </row>
    <row r="2446" spans="1:18" x14ac:dyDescent="0.4">
      <c r="A2446" s="402">
        <v>46241</v>
      </c>
      <c r="B2446" s="392" t="s">
        <v>128</v>
      </c>
      <c r="C2446" s="364" t="s">
        <v>312</v>
      </c>
      <c r="D2446" s="404">
        <v>8</v>
      </c>
      <c r="E2446" s="369">
        <v>5</v>
      </c>
      <c r="F2446" s="370"/>
      <c r="G2446" s="368">
        <v>0.3666666666666667</v>
      </c>
      <c r="H2446" s="368">
        <v>0.43055555555555558</v>
      </c>
      <c r="I2446" s="372" t="str">
        <f t="shared" si="85"/>
        <v>92</v>
      </c>
      <c r="J2446" s="371">
        <v>3</v>
      </c>
      <c r="K2446" s="371"/>
      <c r="L2446" s="365">
        <v>0.40277777777777773</v>
      </c>
      <c r="M2446" s="365">
        <v>0.45833333333333331</v>
      </c>
      <c r="N2446" s="372" t="str">
        <f t="shared" si="86"/>
        <v>80</v>
      </c>
      <c r="O2446" s="371">
        <f t="shared" si="87"/>
        <v>700</v>
      </c>
      <c r="P2446" s="366">
        <f t="shared" si="88"/>
        <v>0.3666666666666667</v>
      </c>
      <c r="Q2446" s="366">
        <f t="shared" si="89"/>
        <v>0.45833333333333331</v>
      </c>
      <c r="R2446" s="367" t="str">
        <f t="shared" si="90"/>
        <v>132</v>
      </c>
    </row>
    <row r="2447" spans="1:18" x14ac:dyDescent="0.4">
      <c r="A2447" s="402">
        <v>46241</v>
      </c>
      <c r="B2447" s="392" t="s">
        <v>63</v>
      </c>
      <c r="C2447" s="364" t="s">
        <v>267</v>
      </c>
      <c r="D2447" s="404">
        <v>28</v>
      </c>
      <c r="E2447" s="369">
        <v>5</v>
      </c>
      <c r="F2447" s="370"/>
      <c r="G2447" s="368">
        <v>0.43055555555555558</v>
      </c>
      <c r="H2447" s="368">
        <v>0.66666666666666663</v>
      </c>
      <c r="I2447" s="372" t="str">
        <f t="shared" si="85"/>
        <v>280</v>
      </c>
      <c r="J2447" s="371">
        <v>3</v>
      </c>
      <c r="K2447" s="371"/>
      <c r="L2447" s="365">
        <v>0.45833333333333331</v>
      </c>
      <c r="M2447" s="365">
        <v>0.6875</v>
      </c>
      <c r="N2447" s="372" t="str">
        <f t="shared" si="86"/>
        <v>270</v>
      </c>
      <c r="O2447" s="371">
        <f t="shared" si="87"/>
        <v>2210</v>
      </c>
      <c r="P2447" s="366">
        <f t="shared" si="88"/>
        <v>0.43055555555555558</v>
      </c>
      <c r="Q2447" s="366">
        <f t="shared" si="89"/>
        <v>0.6875</v>
      </c>
      <c r="R2447" s="367" t="str">
        <f t="shared" si="90"/>
        <v>310</v>
      </c>
    </row>
    <row r="2448" spans="1:18" x14ac:dyDescent="0.4">
      <c r="A2448" s="402">
        <v>46241</v>
      </c>
      <c r="B2448" s="392" t="s">
        <v>65</v>
      </c>
      <c r="C2448" s="364" t="s">
        <v>189</v>
      </c>
      <c r="D2448" s="404">
        <v>72</v>
      </c>
      <c r="E2448" s="369">
        <v>3</v>
      </c>
      <c r="F2448" s="368">
        <v>2.0833333333333332E-2</v>
      </c>
      <c r="G2448" s="368">
        <v>0.29166666666666669</v>
      </c>
      <c r="H2448" s="368">
        <v>0.60069444444444442</v>
      </c>
      <c r="I2448" s="372" t="str">
        <f t="shared" si="85"/>
        <v>415</v>
      </c>
      <c r="J2448" s="371">
        <v>4</v>
      </c>
      <c r="K2448" s="371"/>
      <c r="L2448" s="365">
        <v>0.29166666666666669</v>
      </c>
      <c r="M2448" s="365">
        <v>0.64583333333333337</v>
      </c>
      <c r="N2448" s="372" t="str">
        <f t="shared" si="86"/>
        <v>450</v>
      </c>
      <c r="O2448" s="371">
        <f t="shared" si="87"/>
        <v>3045</v>
      </c>
      <c r="P2448" s="366">
        <f t="shared" si="88"/>
        <v>0.29166666666666669</v>
      </c>
      <c r="Q2448" s="366">
        <f t="shared" si="89"/>
        <v>0.64583333333333337</v>
      </c>
      <c r="R2448" s="367" t="str">
        <f t="shared" si="90"/>
        <v>450</v>
      </c>
    </row>
    <row r="2449" spans="1:18" s="83" customFormat="1" x14ac:dyDescent="0.4">
      <c r="A2449" s="432">
        <v>46244</v>
      </c>
      <c r="B2449" s="433" t="s">
        <v>106</v>
      </c>
      <c r="C2449" s="82" t="s">
        <v>173</v>
      </c>
      <c r="D2449" s="434">
        <v>16</v>
      </c>
      <c r="E2449" s="435"/>
      <c r="F2449" s="436"/>
      <c r="G2449" s="426"/>
      <c r="H2449" s="426"/>
      <c r="I2449" s="437" t="str">
        <f t="shared" si="85"/>
        <v>0</v>
      </c>
      <c r="J2449" s="436"/>
      <c r="K2449" s="436"/>
      <c r="L2449" s="426"/>
      <c r="M2449" s="426"/>
      <c r="N2449" s="437" t="str">
        <f t="shared" si="86"/>
        <v>0</v>
      </c>
      <c r="O2449" s="436">
        <f t="shared" si="87"/>
        <v>0</v>
      </c>
      <c r="P2449" s="438">
        <f t="shared" si="88"/>
        <v>0</v>
      </c>
      <c r="Q2449" s="438">
        <f t="shared" si="89"/>
        <v>0</v>
      </c>
      <c r="R2449" s="439" t="str">
        <f t="shared" si="90"/>
        <v>0</v>
      </c>
    </row>
    <row r="2450" spans="1:18" s="83" customFormat="1" x14ac:dyDescent="0.4">
      <c r="A2450" s="432">
        <v>46244</v>
      </c>
      <c r="B2450" s="433" t="s">
        <v>86</v>
      </c>
      <c r="C2450" s="82" t="s">
        <v>201</v>
      </c>
      <c r="D2450" s="434">
        <v>20</v>
      </c>
      <c r="E2450" s="435"/>
      <c r="F2450" s="436"/>
      <c r="G2450" s="426"/>
      <c r="H2450" s="426"/>
      <c r="I2450" s="437" t="str">
        <f t="shared" si="85"/>
        <v>0</v>
      </c>
      <c r="J2450" s="436"/>
      <c r="K2450" s="436"/>
      <c r="L2450" s="426"/>
      <c r="M2450" s="426"/>
      <c r="N2450" s="437" t="str">
        <f t="shared" si="86"/>
        <v>0</v>
      </c>
      <c r="O2450" s="436">
        <f t="shared" si="87"/>
        <v>0</v>
      </c>
      <c r="P2450" s="438">
        <f t="shared" si="88"/>
        <v>0</v>
      </c>
      <c r="Q2450" s="438">
        <f t="shared" si="89"/>
        <v>0</v>
      </c>
      <c r="R2450" s="439" t="str">
        <f t="shared" si="90"/>
        <v>0</v>
      </c>
    </row>
    <row r="2451" spans="1:18" s="83" customFormat="1" x14ac:dyDescent="0.4">
      <c r="A2451" s="432">
        <v>46244</v>
      </c>
      <c r="B2451" s="433" t="s">
        <v>75</v>
      </c>
      <c r="C2451" s="82" t="s">
        <v>229</v>
      </c>
      <c r="D2451" s="434">
        <v>16</v>
      </c>
      <c r="E2451" s="435"/>
      <c r="F2451" s="436"/>
      <c r="G2451" s="426"/>
      <c r="H2451" s="426"/>
      <c r="I2451" s="437" t="str">
        <f t="shared" si="85"/>
        <v>0</v>
      </c>
      <c r="J2451" s="436"/>
      <c r="K2451" s="436"/>
      <c r="L2451" s="426"/>
      <c r="M2451" s="426"/>
      <c r="N2451" s="437" t="str">
        <f t="shared" si="86"/>
        <v>0</v>
      </c>
      <c r="O2451" s="436">
        <f t="shared" si="87"/>
        <v>0</v>
      </c>
      <c r="P2451" s="438">
        <f t="shared" si="88"/>
        <v>0</v>
      </c>
      <c r="Q2451" s="438">
        <f t="shared" si="89"/>
        <v>0</v>
      </c>
      <c r="R2451" s="439" t="str">
        <f t="shared" si="90"/>
        <v>0</v>
      </c>
    </row>
    <row r="2452" spans="1:18" s="83" customFormat="1" x14ac:dyDescent="0.4">
      <c r="A2452" s="432">
        <v>46244</v>
      </c>
      <c r="B2452" s="433" t="s">
        <v>63</v>
      </c>
      <c r="C2452" s="82" t="s">
        <v>267</v>
      </c>
      <c r="D2452" s="434">
        <v>28</v>
      </c>
      <c r="E2452" s="435"/>
      <c r="F2452" s="436"/>
      <c r="G2452" s="426"/>
      <c r="H2452" s="426"/>
      <c r="I2452" s="437" t="str">
        <f t="shared" si="85"/>
        <v>0</v>
      </c>
      <c r="J2452" s="436"/>
      <c r="K2452" s="436"/>
      <c r="L2452" s="426"/>
      <c r="M2452" s="426"/>
      <c r="N2452" s="437" t="str">
        <f t="shared" si="86"/>
        <v>0</v>
      </c>
      <c r="O2452" s="436">
        <f t="shared" si="87"/>
        <v>0</v>
      </c>
      <c r="P2452" s="438">
        <f t="shared" si="88"/>
        <v>0</v>
      </c>
      <c r="Q2452" s="438">
        <f t="shared" si="89"/>
        <v>0</v>
      </c>
      <c r="R2452" s="439" t="str">
        <f t="shared" si="90"/>
        <v>0</v>
      </c>
    </row>
    <row r="2453" spans="1:18" s="83" customFormat="1" x14ac:dyDescent="0.4">
      <c r="A2453" s="432">
        <v>46244</v>
      </c>
      <c r="B2453" s="433" t="s">
        <v>65</v>
      </c>
      <c r="C2453" s="82" t="s">
        <v>189</v>
      </c>
      <c r="D2453" s="434">
        <v>60</v>
      </c>
      <c r="E2453" s="435"/>
      <c r="F2453" s="436"/>
      <c r="G2453" s="426"/>
      <c r="H2453" s="426"/>
      <c r="I2453" s="437" t="str">
        <f t="shared" si="85"/>
        <v>0</v>
      </c>
      <c r="J2453" s="436"/>
      <c r="K2453" s="436"/>
      <c r="L2453" s="426"/>
      <c r="M2453" s="426"/>
      <c r="N2453" s="437" t="str">
        <f t="shared" si="86"/>
        <v>0</v>
      </c>
      <c r="O2453" s="436">
        <f t="shared" si="87"/>
        <v>0</v>
      </c>
      <c r="P2453" s="438">
        <f t="shared" si="88"/>
        <v>0</v>
      </c>
      <c r="Q2453" s="438">
        <f t="shared" si="89"/>
        <v>0</v>
      </c>
      <c r="R2453" s="439" t="str">
        <f t="shared" si="90"/>
        <v>0</v>
      </c>
    </row>
    <row r="2454" spans="1:18" x14ac:dyDescent="0.4">
      <c r="A2454" s="403">
        <v>46244</v>
      </c>
      <c r="B2454" s="383" t="s">
        <v>431</v>
      </c>
      <c r="C2454" s="390" t="s">
        <v>436</v>
      </c>
      <c r="D2454" s="405">
        <v>1</v>
      </c>
      <c r="E2454" s="384"/>
      <c r="F2454" s="385"/>
      <c r="G2454" s="396"/>
      <c r="H2454" s="396"/>
      <c r="I2454" s="386" t="str">
        <f t="shared" si="85"/>
        <v>0</v>
      </c>
      <c r="J2454" s="387"/>
      <c r="K2454" s="387"/>
      <c r="L2454" s="388"/>
      <c r="M2454" s="388"/>
      <c r="N2454" s="386" t="str">
        <f t="shared" si="86"/>
        <v>0</v>
      </c>
      <c r="O2454" s="387">
        <f t="shared" si="87"/>
        <v>0</v>
      </c>
      <c r="P2454" s="391">
        <f t="shared" si="88"/>
        <v>0</v>
      </c>
      <c r="Q2454" s="391">
        <f t="shared" si="89"/>
        <v>0</v>
      </c>
      <c r="R2454" s="389" t="str">
        <f t="shared" si="90"/>
        <v>0</v>
      </c>
    </row>
    <row r="2455" spans="1:18" x14ac:dyDescent="0.4">
      <c r="A2455" s="402">
        <v>46245</v>
      </c>
      <c r="B2455" s="392" t="s">
        <v>109</v>
      </c>
      <c r="C2455" s="364" t="s">
        <v>263</v>
      </c>
      <c r="D2455" s="404">
        <v>24</v>
      </c>
      <c r="E2455" s="369">
        <v>5</v>
      </c>
      <c r="F2455" s="370"/>
      <c r="G2455" s="368">
        <v>0.52083333333333337</v>
      </c>
      <c r="H2455" s="368">
        <v>0.6875</v>
      </c>
      <c r="I2455" s="372" t="str">
        <f t="shared" si="85"/>
        <v>240</v>
      </c>
      <c r="J2455" s="371">
        <v>3</v>
      </c>
      <c r="K2455" s="371"/>
      <c r="L2455" s="365">
        <v>0.54861111111111105</v>
      </c>
      <c r="M2455" s="365">
        <v>0.72916666666666663</v>
      </c>
      <c r="N2455" s="372" t="str">
        <f t="shared" si="86"/>
        <v>260</v>
      </c>
      <c r="O2455" s="371">
        <f t="shared" si="87"/>
        <v>1980</v>
      </c>
      <c r="P2455" s="366">
        <f t="shared" si="88"/>
        <v>0.52083333333333337</v>
      </c>
      <c r="Q2455" s="366">
        <f t="shared" si="89"/>
        <v>0.72916666666666663</v>
      </c>
      <c r="R2455" s="367" t="str">
        <f t="shared" si="90"/>
        <v>300</v>
      </c>
    </row>
    <row r="2456" spans="1:18" x14ac:dyDescent="0.4">
      <c r="A2456" s="402">
        <v>46245</v>
      </c>
      <c r="B2456" s="392" t="s">
        <v>51</v>
      </c>
      <c r="C2456" s="364" t="s">
        <v>253</v>
      </c>
      <c r="D2456" s="404">
        <v>16</v>
      </c>
      <c r="E2456" s="369">
        <v>5</v>
      </c>
      <c r="F2456" s="370"/>
      <c r="G2456" s="368">
        <v>0.29166666666666669</v>
      </c>
      <c r="H2456" s="368">
        <v>0.3972222222222222</v>
      </c>
      <c r="I2456" s="372" t="str">
        <f t="shared" si="85"/>
        <v>152</v>
      </c>
      <c r="J2456" s="371">
        <v>3</v>
      </c>
      <c r="K2456" s="371"/>
      <c r="L2456" s="365">
        <v>0.3125</v>
      </c>
      <c r="M2456" s="365">
        <v>0.43055555555555558</v>
      </c>
      <c r="N2456" s="372" t="str">
        <f t="shared" si="86"/>
        <v>170</v>
      </c>
      <c r="O2456" s="371">
        <f t="shared" si="87"/>
        <v>1270</v>
      </c>
      <c r="P2456" s="366">
        <f t="shared" si="88"/>
        <v>0.29166666666666669</v>
      </c>
      <c r="Q2456" s="366">
        <f t="shared" si="89"/>
        <v>0.43055555555555558</v>
      </c>
      <c r="R2456" s="367" t="str">
        <f t="shared" si="90"/>
        <v>200</v>
      </c>
    </row>
    <row r="2457" spans="1:18" x14ac:dyDescent="0.4">
      <c r="A2457" s="402">
        <v>46245</v>
      </c>
      <c r="B2457" s="392" t="s">
        <v>1046</v>
      </c>
      <c r="C2457" s="364" t="s">
        <v>1057</v>
      </c>
      <c r="D2457" s="404">
        <v>8</v>
      </c>
      <c r="E2457" s="369">
        <v>5</v>
      </c>
      <c r="F2457" s="370"/>
      <c r="G2457" s="368">
        <v>0.3972222222222222</v>
      </c>
      <c r="H2457" s="368">
        <v>0.5</v>
      </c>
      <c r="I2457" s="372" t="str">
        <f t="shared" si="85"/>
        <v>148</v>
      </c>
      <c r="J2457" s="371">
        <v>3</v>
      </c>
      <c r="K2457" s="371"/>
      <c r="L2457" s="365">
        <v>0.43055555555555558</v>
      </c>
      <c r="M2457" s="365">
        <v>0.54861111111111105</v>
      </c>
      <c r="N2457" s="372" t="str">
        <f t="shared" si="86"/>
        <v>110</v>
      </c>
      <c r="O2457" s="371">
        <f t="shared" si="87"/>
        <v>1070</v>
      </c>
      <c r="P2457" s="366">
        <f t="shared" si="88"/>
        <v>0.3972222222222222</v>
      </c>
      <c r="Q2457" s="366">
        <f t="shared" si="89"/>
        <v>0.54861111111111105</v>
      </c>
      <c r="R2457" s="367" t="str">
        <f t="shared" si="90"/>
        <v>158</v>
      </c>
    </row>
    <row r="2458" spans="1:18" x14ac:dyDescent="0.4">
      <c r="A2458" s="402">
        <v>46245</v>
      </c>
      <c r="B2458" s="392" t="s">
        <v>110</v>
      </c>
      <c r="C2458" s="364" t="s">
        <v>231</v>
      </c>
      <c r="D2458" s="404">
        <v>21</v>
      </c>
      <c r="E2458" s="369">
        <v>3</v>
      </c>
      <c r="F2458" s="370"/>
      <c r="G2458" s="368">
        <v>0.29166666666666669</v>
      </c>
      <c r="H2458" s="368">
        <v>0.67361111111111116</v>
      </c>
      <c r="I2458" s="372" t="str">
        <f t="shared" si="85"/>
        <v>490</v>
      </c>
      <c r="J2458" s="371">
        <v>5</v>
      </c>
      <c r="K2458" s="371"/>
      <c r="L2458" s="365">
        <v>0.3125</v>
      </c>
      <c r="M2458" s="365">
        <v>0.70833333333333337</v>
      </c>
      <c r="N2458" s="372" t="str">
        <f t="shared" si="86"/>
        <v>510</v>
      </c>
      <c r="O2458" s="371">
        <f t="shared" si="87"/>
        <v>4020</v>
      </c>
      <c r="P2458" s="366">
        <f t="shared" si="88"/>
        <v>0.29166666666666669</v>
      </c>
      <c r="Q2458" s="366">
        <f t="shared" si="89"/>
        <v>0.70833333333333337</v>
      </c>
      <c r="R2458" s="367" t="str">
        <f t="shared" si="90"/>
        <v>540</v>
      </c>
    </row>
    <row r="2459" spans="1:18" x14ac:dyDescent="0.4">
      <c r="A2459" s="402">
        <v>46245</v>
      </c>
      <c r="B2459" s="392" t="s">
        <v>65</v>
      </c>
      <c r="C2459" s="364" t="s">
        <v>189</v>
      </c>
      <c r="D2459" s="404">
        <v>60</v>
      </c>
      <c r="E2459" s="369">
        <v>3</v>
      </c>
      <c r="F2459" s="370"/>
      <c r="G2459" s="368">
        <v>0.64583333333333337</v>
      </c>
      <c r="H2459" s="368">
        <v>0.60416666666666663</v>
      </c>
      <c r="I2459" s="372" t="str">
        <f t="shared" si="85"/>
        <v>-60</v>
      </c>
      <c r="J2459" s="371">
        <v>4</v>
      </c>
      <c r="K2459" s="371"/>
      <c r="L2459" s="365">
        <v>0.29166666666666669</v>
      </c>
      <c r="M2459" s="365">
        <v>0.63888888888888895</v>
      </c>
      <c r="N2459" s="372" t="str">
        <f t="shared" si="86"/>
        <v>440</v>
      </c>
      <c r="O2459" s="371">
        <f t="shared" si="87"/>
        <v>1580</v>
      </c>
      <c r="P2459" s="366">
        <f t="shared" si="88"/>
        <v>0.29166666666666669</v>
      </c>
      <c r="Q2459" s="366">
        <f t="shared" si="89"/>
        <v>0.64583333333333337</v>
      </c>
      <c r="R2459" s="367" t="str">
        <f t="shared" si="90"/>
        <v>450</v>
      </c>
    </row>
    <row r="2460" spans="1:18" x14ac:dyDescent="0.4">
      <c r="A2460" s="402">
        <v>46246</v>
      </c>
      <c r="B2460" s="392" t="s">
        <v>71</v>
      </c>
      <c r="C2460" s="364" t="s">
        <v>176</v>
      </c>
      <c r="D2460" s="404">
        <v>88</v>
      </c>
      <c r="E2460" s="369">
        <v>6</v>
      </c>
      <c r="F2460" s="370"/>
      <c r="G2460" s="368">
        <v>0.29166666666666669</v>
      </c>
      <c r="H2460" s="368">
        <v>0.6875</v>
      </c>
      <c r="I2460" s="372" t="str">
        <f t="shared" si="85"/>
        <v>510</v>
      </c>
      <c r="J2460" s="371">
        <v>5</v>
      </c>
      <c r="K2460" s="371"/>
      <c r="L2460" s="365">
        <v>0.3125</v>
      </c>
      <c r="M2460" s="365">
        <v>0.72916666666666663</v>
      </c>
      <c r="N2460" s="372" t="str">
        <f t="shared" si="86"/>
        <v>540</v>
      </c>
      <c r="O2460" s="371">
        <f t="shared" si="87"/>
        <v>5760</v>
      </c>
      <c r="P2460" s="366">
        <f t="shared" si="88"/>
        <v>0.29166666666666669</v>
      </c>
      <c r="Q2460" s="366">
        <f t="shared" si="89"/>
        <v>0.72916666666666663</v>
      </c>
      <c r="R2460" s="367" t="str">
        <f t="shared" si="90"/>
        <v>570</v>
      </c>
    </row>
    <row r="2461" spans="1:18" x14ac:dyDescent="0.4">
      <c r="A2461" s="402">
        <v>46246</v>
      </c>
      <c r="B2461" s="392" t="s">
        <v>102</v>
      </c>
      <c r="C2461" s="364" t="s">
        <v>308</v>
      </c>
      <c r="D2461" s="404">
        <v>9</v>
      </c>
      <c r="E2461" s="369">
        <v>5</v>
      </c>
      <c r="F2461" s="370"/>
      <c r="G2461" s="368">
        <v>0.45902777777777781</v>
      </c>
      <c r="H2461" s="368">
        <v>0.59444444444444444</v>
      </c>
      <c r="I2461" s="372" t="str">
        <f t="shared" si="85"/>
        <v>135</v>
      </c>
      <c r="J2461" s="371">
        <v>4</v>
      </c>
      <c r="K2461" s="371"/>
      <c r="L2461" s="365">
        <v>0.48958333333333331</v>
      </c>
      <c r="M2461" s="365">
        <v>0.64583333333333337</v>
      </c>
      <c r="N2461" s="372" t="str">
        <f t="shared" si="86"/>
        <v>165</v>
      </c>
      <c r="O2461" s="371">
        <f t="shared" si="87"/>
        <v>1335</v>
      </c>
      <c r="P2461" s="366">
        <f t="shared" si="88"/>
        <v>0.45902777777777781</v>
      </c>
      <c r="Q2461" s="366">
        <f t="shared" si="89"/>
        <v>0.64583333333333337</v>
      </c>
      <c r="R2461" s="367" t="str">
        <f t="shared" si="90"/>
        <v>209</v>
      </c>
    </row>
    <row r="2462" spans="1:18" x14ac:dyDescent="0.4">
      <c r="A2462" s="402">
        <v>46246</v>
      </c>
      <c r="B2462" s="392" t="s">
        <v>1698</v>
      </c>
      <c r="C2462" s="364" t="s">
        <v>1734</v>
      </c>
      <c r="D2462" s="404">
        <v>20</v>
      </c>
      <c r="E2462" s="369">
        <v>5</v>
      </c>
      <c r="F2462" s="370"/>
      <c r="G2462" s="368">
        <v>0.29166666666666669</v>
      </c>
      <c r="H2462" s="368">
        <v>0.45902777777777781</v>
      </c>
      <c r="I2462" s="372" t="str">
        <f t="shared" si="85"/>
        <v>241</v>
      </c>
      <c r="J2462" s="371">
        <v>4</v>
      </c>
      <c r="K2462" s="371"/>
      <c r="L2462" s="365">
        <v>0.3125</v>
      </c>
      <c r="M2462" s="365">
        <v>0.48958333333333331</v>
      </c>
      <c r="N2462" s="372" t="str">
        <f t="shared" si="86"/>
        <v>255</v>
      </c>
      <c r="O2462" s="371">
        <f t="shared" si="87"/>
        <v>2225</v>
      </c>
      <c r="P2462" s="366">
        <f t="shared" si="88"/>
        <v>0.29166666666666669</v>
      </c>
      <c r="Q2462" s="366">
        <f t="shared" si="89"/>
        <v>0.48958333333333331</v>
      </c>
      <c r="R2462" s="367" t="str">
        <f t="shared" si="90"/>
        <v>285</v>
      </c>
    </row>
    <row r="2463" spans="1:18" x14ac:dyDescent="0.4">
      <c r="A2463" s="402">
        <v>46246</v>
      </c>
      <c r="B2463" s="392" t="s">
        <v>1753</v>
      </c>
      <c r="C2463" s="364" t="s">
        <v>645</v>
      </c>
      <c r="D2463" s="404">
        <v>12</v>
      </c>
      <c r="E2463" s="369">
        <v>5</v>
      </c>
      <c r="F2463" s="370"/>
      <c r="G2463" s="368">
        <v>0.59444444444444444</v>
      </c>
      <c r="H2463" s="368">
        <v>0.72916666666666663</v>
      </c>
      <c r="I2463" s="372" t="str">
        <f t="shared" si="85"/>
        <v>194</v>
      </c>
      <c r="J2463" s="371">
        <v>4</v>
      </c>
      <c r="K2463" s="371"/>
      <c r="L2463" s="365">
        <v>0.64583333333333337</v>
      </c>
      <c r="M2463" s="365">
        <v>0.77083333333333337</v>
      </c>
      <c r="N2463" s="372" t="str">
        <f t="shared" si="86"/>
        <v>180</v>
      </c>
      <c r="O2463" s="371">
        <f t="shared" si="87"/>
        <v>1690</v>
      </c>
      <c r="P2463" s="366">
        <f t="shared" si="88"/>
        <v>0.59444444444444444</v>
      </c>
      <c r="Q2463" s="366">
        <f t="shared" si="89"/>
        <v>0.77083333333333337</v>
      </c>
      <c r="R2463" s="367" t="str">
        <f t="shared" si="90"/>
        <v>254</v>
      </c>
    </row>
    <row r="2464" spans="1:18" x14ac:dyDescent="0.4">
      <c r="A2464" s="402">
        <v>46246</v>
      </c>
      <c r="B2464" s="392" t="s">
        <v>96</v>
      </c>
      <c r="C2464" s="364" t="s">
        <v>167</v>
      </c>
      <c r="D2464" s="404">
        <v>24</v>
      </c>
      <c r="E2464" s="369">
        <v>3</v>
      </c>
      <c r="F2464" s="368">
        <v>2.0833333333333332E-2</v>
      </c>
      <c r="G2464" s="368">
        <v>0.29166666666666669</v>
      </c>
      <c r="H2464" s="368">
        <v>0.44791666666666669</v>
      </c>
      <c r="I2464" s="372" t="str">
        <f t="shared" si="85"/>
        <v>255</v>
      </c>
      <c r="J2464" s="371">
        <v>6</v>
      </c>
      <c r="K2464" s="371"/>
      <c r="L2464" s="365">
        <v>0.29166666666666669</v>
      </c>
      <c r="M2464" s="365">
        <v>0.55555555555555558</v>
      </c>
      <c r="N2464" s="372" t="str">
        <f t="shared" si="86"/>
        <v>320</v>
      </c>
      <c r="O2464" s="371">
        <f t="shared" si="87"/>
        <v>2685</v>
      </c>
      <c r="P2464" s="366">
        <f t="shared" si="88"/>
        <v>0.29166666666666669</v>
      </c>
      <c r="Q2464" s="366">
        <f t="shared" si="89"/>
        <v>0.55555555555555558</v>
      </c>
      <c r="R2464" s="367" t="str">
        <f t="shared" si="90"/>
        <v>320</v>
      </c>
    </row>
    <row r="2465" spans="1:18" x14ac:dyDescent="0.4">
      <c r="A2465" s="402">
        <v>46246</v>
      </c>
      <c r="B2465" s="392" t="s">
        <v>83</v>
      </c>
      <c r="C2465" s="364" t="s">
        <v>169</v>
      </c>
      <c r="D2465" s="404">
        <v>12</v>
      </c>
      <c r="E2465" s="369">
        <v>3</v>
      </c>
      <c r="F2465" s="370"/>
      <c r="G2465" s="368">
        <v>0.4375</v>
      </c>
      <c r="H2465" s="368">
        <v>0.57986111111111105</v>
      </c>
      <c r="I2465" s="372" t="str">
        <f t="shared" si="85"/>
        <v>145</v>
      </c>
      <c r="J2465" s="371">
        <v>6</v>
      </c>
      <c r="K2465" s="371"/>
      <c r="L2465" s="365">
        <v>0.5625</v>
      </c>
      <c r="M2465" s="365">
        <v>0.66666666666666663</v>
      </c>
      <c r="N2465" s="372" t="str">
        <f t="shared" si="86"/>
        <v>150</v>
      </c>
      <c r="O2465" s="371">
        <f t="shared" si="87"/>
        <v>1335</v>
      </c>
      <c r="P2465" s="366">
        <f t="shared" si="88"/>
        <v>0.4375</v>
      </c>
      <c r="Q2465" s="366">
        <f t="shared" si="89"/>
        <v>0.66666666666666663</v>
      </c>
      <c r="R2465" s="367" t="str">
        <f t="shared" si="90"/>
        <v>270</v>
      </c>
    </row>
    <row r="2466" spans="1:18" x14ac:dyDescent="0.4">
      <c r="A2466" s="402">
        <v>46247</v>
      </c>
      <c r="B2466" s="392" t="s">
        <v>61</v>
      </c>
      <c r="C2466" s="364" t="s">
        <v>156</v>
      </c>
      <c r="D2466" s="404">
        <v>40</v>
      </c>
      <c r="E2466" s="369">
        <v>4</v>
      </c>
      <c r="F2466" s="370"/>
      <c r="G2466" s="368">
        <v>0.29166666666666669</v>
      </c>
      <c r="H2466" s="368">
        <v>0.625</v>
      </c>
      <c r="I2466" s="372" t="str">
        <f t="shared" si="85"/>
        <v>420</v>
      </c>
      <c r="J2466" s="371">
        <v>10</v>
      </c>
      <c r="K2466" s="371"/>
      <c r="L2466" s="365">
        <v>0.3125</v>
      </c>
      <c r="M2466" s="365">
        <v>0.68055555555555547</v>
      </c>
      <c r="N2466" s="372" t="str">
        <f t="shared" si="86"/>
        <v>470</v>
      </c>
      <c r="O2466" s="371">
        <f t="shared" si="87"/>
        <v>6380</v>
      </c>
      <c r="P2466" s="366">
        <f t="shared" si="88"/>
        <v>0.29166666666666669</v>
      </c>
      <c r="Q2466" s="366">
        <f t="shared" si="89"/>
        <v>0.68055555555555547</v>
      </c>
      <c r="R2466" s="367" t="str">
        <f t="shared" si="90"/>
        <v>500</v>
      </c>
    </row>
    <row r="2467" spans="1:18" x14ac:dyDescent="0.4">
      <c r="A2467" s="402">
        <v>46247</v>
      </c>
      <c r="B2467" s="392" t="s">
        <v>72</v>
      </c>
      <c r="C2467" s="364" t="s">
        <v>227</v>
      </c>
      <c r="D2467" s="404">
        <v>20</v>
      </c>
      <c r="E2467" s="369">
        <v>5</v>
      </c>
      <c r="F2467" s="370"/>
      <c r="G2467" s="368">
        <v>0.29166666666666669</v>
      </c>
      <c r="H2467" s="368">
        <v>0.4513888888888889</v>
      </c>
      <c r="I2467" s="372" t="str">
        <f t="shared" si="85"/>
        <v>230</v>
      </c>
      <c r="J2467" s="371">
        <v>3</v>
      </c>
      <c r="K2467" s="371"/>
      <c r="L2467" s="365">
        <v>0.3125</v>
      </c>
      <c r="M2467" s="365">
        <v>0.47569444444444442</v>
      </c>
      <c r="N2467" s="372" t="str">
        <f t="shared" si="86"/>
        <v>235</v>
      </c>
      <c r="O2467" s="371">
        <f t="shared" si="87"/>
        <v>1855</v>
      </c>
      <c r="P2467" s="366">
        <f t="shared" si="88"/>
        <v>0.29166666666666669</v>
      </c>
      <c r="Q2467" s="366">
        <f t="shared" si="89"/>
        <v>0.47569444444444442</v>
      </c>
      <c r="R2467" s="367" t="str">
        <f t="shared" si="90"/>
        <v>265</v>
      </c>
    </row>
    <row r="2468" spans="1:18" x14ac:dyDescent="0.4">
      <c r="A2468" s="402">
        <v>46247</v>
      </c>
      <c r="B2468" s="392" t="s">
        <v>63</v>
      </c>
      <c r="C2468" s="364" t="s">
        <v>267</v>
      </c>
      <c r="D2468" s="404">
        <v>24</v>
      </c>
      <c r="E2468" s="369">
        <v>5</v>
      </c>
      <c r="F2468" s="370"/>
      <c r="G2468" s="368">
        <v>0.4513888888888889</v>
      </c>
      <c r="H2468" s="368">
        <v>0.66666666666666663</v>
      </c>
      <c r="I2468" s="372" t="str">
        <f t="shared" si="85"/>
        <v>250</v>
      </c>
      <c r="J2468" s="371">
        <v>3</v>
      </c>
      <c r="K2468" s="371"/>
      <c r="L2468" s="365">
        <v>0.47569444444444442</v>
      </c>
      <c r="M2468" s="365">
        <v>0.6875</v>
      </c>
      <c r="N2468" s="372" t="str">
        <f t="shared" si="86"/>
        <v>245</v>
      </c>
      <c r="O2468" s="371">
        <f t="shared" si="87"/>
        <v>1985</v>
      </c>
      <c r="P2468" s="366">
        <f t="shared" si="88"/>
        <v>0.4513888888888889</v>
      </c>
      <c r="Q2468" s="366">
        <f t="shared" si="89"/>
        <v>0.6875</v>
      </c>
      <c r="R2468" s="367" t="str">
        <f t="shared" si="90"/>
        <v>280</v>
      </c>
    </row>
    <row r="2469" spans="1:18" s="83" customFormat="1" x14ac:dyDescent="0.4">
      <c r="A2469" s="432">
        <v>46247</v>
      </c>
      <c r="B2469" s="433" t="s">
        <v>66</v>
      </c>
      <c r="C2469" s="82" t="s">
        <v>195</v>
      </c>
      <c r="D2469" s="434">
        <v>20</v>
      </c>
      <c r="E2469" s="435">
        <v>3</v>
      </c>
      <c r="F2469" s="436"/>
      <c r="G2469" s="426">
        <v>0.29166666666666669</v>
      </c>
      <c r="H2469" s="426">
        <v>0.59375</v>
      </c>
      <c r="I2469" s="437" t="str">
        <f t="shared" si="85"/>
        <v>375</v>
      </c>
      <c r="J2469" s="436">
        <v>4</v>
      </c>
      <c r="K2469" s="436"/>
      <c r="L2469" s="426">
        <v>0.29166666666666669</v>
      </c>
      <c r="M2469" s="426"/>
      <c r="N2469" s="437" t="str">
        <f t="shared" si="86"/>
        <v>-420</v>
      </c>
      <c r="O2469" s="436">
        <f t="shared" si="87"/>
        <v>-555</v>
      </c>
      <c r="P2469" s="438">
        <f t="shared" si="88"/>
        <v>0.29166666666666669</v>
      </c>
      <c r="Q2469" s="438">
        <f t="shared" si="89"/>
        <v>0.59375</v>
      </c>
      <c r="R2469" s="439" t="str">
        <f t="shared" si="90"/>
        <v>375</v>
      </c>
    </row>
    <row r="2470" spans="1:18" s="83" customFormat="1" x14ac:dyDescent="0.4">
      <c r="A2470" s="432">
        <v>46247</v>
      </c>
      <c r="B2470" s="433" t="s">
        <v>65</v>
      </c>
      <c r="C2470" s="82" t="s">
        <v>189</v>
      </c>
      <c r="D2470" s="434">
        <v>28</v>
      </c>
      <c r="E2470" s="435">
        <v>3</v>
      </c>
      <c r="F2470" s="436"/>
      <c r="G2470" s="426"/>
      <c r="H2470" s="426">
        <v>0.59375</v>
      </c>
      <c r="I2470" s="437" t="str">
        <f t="shared" si="85"/>
        <v>795</v>
      </c>
      <c r="J2470" s="436">
        <v>4</v>
      </c>
      <c r="K2470" s="436"/>
      <c r="L2470" s="426"/>
      <c r="M2470" s="426">
        <v>0.65972222222222221</v>
      </c>
      <c r="N2470" s="437" t="str">
        <f t="shared" si="86"/>
        <v>890</v>
      </c>
      <c r="O2470" s="436">
        <f t="shared" si="87"/>
        <v>5945</v>
      </c>
      <c r="P2470" s="438">
        <f t="shared" si="88"/>
        <v>0.59375</v>
      </c>
      <c r="Q2470" s="438">
        <f t="shared" si="89"/>
        <v>0.65972222222222221</v>
      </c>
      <c r="R2470" s="439" t="str">
        <f t="shared" si="90"/>
        <v>95</v>
      </c>
    </row>
    <row r="2471" spans="1:18" s="83" customFormat="1" x14ac:dyDescent="0.4">
      <c r="A2471" s="432">
        <v>46248</v>
      </c>
      <c r="B2471" s="433" t="s">
        <v>63</v>
      </c>
      <c r="C2471" s="82" t="s">
        <v>267</v>
      </c>
      <c r="D2471" s="434">
        <v>16</v>
      </c>
      <c r="E2471" s="435"/>
      <c r="F2471" s="436"/>
      <c r="G2471" s="426"/>
      <c r="H2471" s="426"/>
      <c r="I2471" s="437" t="str">
        <f t="shared" si="85"/>
        <v>0</v>
      </c>
      <c r="J2471" s="436">
        <v>3</v>
      </c>
      <c r="K2471" s="436"/>
      <c r="L2471" s="426">
        <v>0.59027777777777779</v>
      </c>
      <c r="M2471" s="426">
        <v>0.70833333333333337</v>
      </c>
      <c r="N2471" s="437" t="str">
        <f t="shared" si="86"/>
        <v>170</v>
      </c>
      <c r="O2471" s="436">
        <f t="shared" si="87"/>
        <v>510</v>
      </c>
      <c r="P2471" s="438">
        <f t="shared" si="88"/>
        <v>0.59027777777777779</v>
      </c>
      <c r="Q2471" s="438">
        <f t="shared" si="89"/>
        <v>0.70833333333333337</v>
      </c>
      <c r="R2471" s="439" t="str">
        <f t="shared" si="90"/>
        <v>170</v>
      </c>
    </row>
    <row r="2472" spans="1:18" s="83" customFormat="1" x14ac:dyDescent="0.4">
      <c r="A2472" s="432">
        <v>46248</v>
      </c>
      <c r="B2472" s="433" t="s">
        <v>1162</v>
      </c>
      <c r="C2472" s="82" t="s">
        <v>271</v>
      </c>
      <c r="D2472" s="434">
        <v>20</v>
      </c>
      <c r="E2472" s="435"/>
      <c r="F2472" s="436"/>
      <c r="G2472" s="426"/>
      <c r="H2472" s="426"/>
      <c r="I2472" s="437" t="str">
        <f t="shared" si="85"/>
        <v>0</v>
      </c>
      <c r="J2472" s="436">
        <v>3</v>
      </c>
      <c r="K2472" s="436"/>
      <c r="L2472" s="426">
        <v>0.3125</v>
      </c>
      <c r="M2472" s="426">
        <v>0.47916666666666669</v>
      </c>
      <c r="N2472" s="437" t="str">
        <f t="shared" si="86"/>
        <v>240</v>
      </c>
      <c r="O2472" s="436">
        <f t="shared" si="87"/>
        <v>720</v>
      </c>
      <c r="P2472" s="438">
        <f t="shared" si="88"/>
        <v>0.3125</v>
      </c>
      <c r="Q2472" s="438">
        <f t="shared" si="89"/>
        <v>0.47916666666666669</v>
      </c>
      <c r="R2472" s="439" t="str">
        <f t="shared" si="90"/>
        <v>240</v>
      </c>
    </row>
    <row r="2473" spans="1:18" s="83" customFormat="1" x14ac:dyDescent="0.4">
      <c r="A2473" s="432">
        <v>46248</v>
      </c>
      <c r="B2473" s="433" t="s">
        <v>107</v>
      </c>
      <c r="C2473" s="82" t="s">
        <v>314</v>
      </c>
      <c r="D2473" s="434">
        <v>8</v>
      </c>
      <c r="E2473" s="435"/>
      <c r="F2473" s="436"/>
      <c r="G2473" s="426"/>
      <c r="H2473" s="426"/>
      <c r="I2473" s="437" t="str">
        <f t="shared" si="85"/>
        <v>0</v>
      </c>
      <c r="J2473" s="436">
        <v>3</v>
      </c>
      <c r="K2473" s="436"/>
      <c r="L2473" s="426">
        <v>0.47916666666666669</v>
      </c>
      <c r="M2473" s="426">
        <v>0.59027777777777779</v>
      </c>
      <c r="N2473" s="437" t="str">
        <f t="shared" si="86"/>
        <v>100</v>
      </c>
      <c r="O2473" s="436">
        <f t="shared" si="87"/>
        <v>300</v>
      </c>
      <c r="P2473" s="438">
        <f t="shared" si="88"/>
        <v>0.47916666666666669</v>
      </c>
      <c r="Q2473" s="438">
        <f t="shared" si="89"/>
        <v>0.59027777777777779</v>
      </c>
      <c r="R2473" s="439" t="str">
        <f t="shared" si="90"/>
        <v>100</v>
      </c>
    </row>
    <row r="2474" spans="1:18" s="83" customFormat="1" x14ac:dyDescent="0.4">
      <c r="A2474" s="432">
        <v>46248</v>
      </c>
      <c r="B2474" s="433" t="s">
        <v>108</v>
      </c>
      <c r="C2474" s="82" t="s">
        <v>231</v>
      </c>
      <c r="D2474" s="434">
        <v>21</v>
      </c>
      <c r="E2474" s="435">
        <v>3</v>
      </c>
      <c r="F2474" s="436"/>
      <c r="G2474" s="426">
        <v>0.29166666666666669</v>
      </c>
      <c r="H2474" s="426"/>
      <c r="I2474" s="437" t="str">
        <f t="shared" ref="I2474:I2537" si="91">TEXT(IF(AND(G2474&lt;=$S$2,H2474&gt;=$T$2),(H2474-G2474+F2474)-($T$2-$S$2),(H2474-G2474+F2474)),"[m]")</f>
        <v>-420</v>
      </c>
      <c r="J2474" s="436"/>
      <c r="K2474" s="436"/>
      <c r="L2474" s="426"/>
      <c r="M2474" s="426">
        <v>0.70833333333333337</v>
      </c>
      <c r="N2474" s="437" t="str">
        <f t="shared" ref="N2474:N2537" si="92">TEXT(IF(AND(L2474&lt;=$S$2,M2474&gt;=$T$2),(M2474-L2474+K2474)-($T$2-$S$2),(M2474-L2474+K2474)),"[m]")</f>
        <v>960</v>
      </c>
      <c r="O2474" s="436">
        <f t="shared" ref="O2474:O2537" si="93">E2474*I2474+J2474*N2474</f>
        <v>-1260</v>
      </c>
      <c r="P2474" s="438">
        <f t="shared" ref="P2474:P2537" si="94">MIN(G2474:H2474,L2474:M2474)</f>
        <v>0.29166666666666669</v>
      </c>
      <c r="Q2474" s="438">
        <f t="shared" ref="Q2474:Q2537" si="95">MAX(G2474:H2474,L2474:M2474)</f>
        <v>0.70833333333333337</v>
      </c>
      <c r="R2474" s="439" t="str">
        <f t="shared" ref="R2474:R2537" si="96">TEXT(IF(AND(P2474&lt;=$S$2,Q2474&gt;=$T$2),(Q2474-P2474)-($T$2-$S$2),(Q2474-P2474)),"[m]")</f>
        <v>540</v>
      </c>
    </row>
    <row r="2475" spans="1:18" x14ac:dyDescent="0.4">
      <c r="A2475" s="402">
        <v>46248</v>
      </c>
      <c r="B2475" s="392" t="s">
        <v>104</v>
      </c>
      <c r="C2475" s="364" t="s">
        <v>191</v>
      </c>
      <c r="D2475" s="404">
        <v>68</v>
      </c>
      <c r="E2475" s="369">
        <v>3</v>
      </c>
      <c r="F2475" s="368">
        <v>2.0833333333333332E-2</v>
      </c>
      <c r="G2475" s="368">
        <v>0.29166666666666669</v>
      </c>
      <c r="H2475" s="368">
        <v>0.6875</v>
      </c>
      <c r="I2475" s="372" t="str">
        <f t="shared" si="91"/>
        <v>540</v>
      </c>
      <c r="J2475" s="371">
        <v>4</v>
      </c>
      <c r="K2475" s="371"/>
      <c r="L2475" s="365">
        <v>0.29166666666666669</v>
      </c>
      <c r="M2475" s="365">
        <v>0.73263888888888884</v>
      </c>
      <c r="N2475" s="372" t="str">
        <f t="shared" si="92"/>
        <v>575</v>
      </c>
      <c r="O2475" s="371">
        <f t="shared" si="93"/>
        <v>3920</v>
      </c>
      <c r="P2475" s="366">
        <f t="shared" si="94"/>
        <v>0.29166666666666669</v>
      </c>
      <c r="Q2475" s="366">
        <f t="shared" si="95"/>
        <v>0.73263888888888884</v>
      </c>
      <c r="R2475" s="367" t="str">
        <f t="shared" si="96"/>
        <v>575</v>
      </c>
    </row>
    <row r="2476" spans="1:18" x14ac:dyDescent="0.4">
      <c r="A2476" s="402">
        <v>46251</v>
      </c>
      <c r="B2476" s="392" t="s">
        <v>87</v>
      </c>
      <c r="C2476" s="364" t="s">
        <v>199</v>
      </c>
      <c r="D2476" s="404">
        <v>72</v>
      </c>
      <c r="E2476" s="369">
        <v>6</v>
      </c>
      <c r="F2476" s="370"/>
      <c r="G2476" s="368">
        <v>0.29166666666666669</v>
      </c>
      <c r="H2476" s="368">
        <v>0.70833333333333337</v>
      </c>
      <c r="I2476" s="372" t="str">
        <f t="shared" si="91"/>
        <v>540</v>
      </c>
      <c r="J2476" s="371">
        <v>5</v>
      </c>
      <c r="K2476" s="371"/>
      <c r="L2476" s="365">
        <v>0.3125</v>
      </c>
      <c r="M2476" s="365">
        <v>0.72916666666666663</v>
      </c>
      <c r="N2476" s="372" t="str">
        <f t="shared" si="92"/>
        <v>540</v>
      </c>
      <c r="O2476" s="371">
        <f t="shared" si="93"/>
        <v>5940</v>
      </c>
      <c r="P2476" s="366">
        <f t="shared" si="94"/>
        <v>0.29166666666666669</v>
      </c>
      <c r="Q2476" s="366">
        <f t="shared" si="95"/>
        <v>0.72916666666666663</v>
      </c>
      <c r="R2476" s="367" t="str">
        <f t="shared" si="96"/>
        <v>570</v>
      </c>
    </row>
    <row r="2477" spans="1:18" x14ac:dyDescent="0.4">
      <c r="A2477" s="402">
        <v>46251</v>
      </c>
      <c r="B2477" s="392" t="s">
        <v>63</v>
      </c>
      <c r="C2477" s="364" t="s">
        <v>267</v>
      </c>
      <c r="D2477" s="404">
        <v>20</v>
      </c>
      <c r="E2477" s="369">
        <v>5</v>
      </c>
      <c r="F2477" s="370"/>
      <c r="G2477" s="368">
        <v>0.52083333333333337</v>
      </c>
      <c r="H2477" s="368">
        <v>0.66666666666666663</v>
      </c>
      <c r="I2477" s="372" t="str">
        <f t="shared" si="91"/>
        <v>210</v>
      </c>
      <c r="J2477" s="371">
        <v>3</v>
      </c>
      <c r="K2477" s="371"/>
      <c r="L2477" s="365">
        <v>0.54861111111111105</v>
      </c>
      <c r="M2477" s="365">
        <v>0.6875</v>
      </c>
      <c r="N2477" s="372" t="str">
        <f t="shared" si="92"/>
        <v>200</v>
      </c>
      <c r="O2477" s="371">
        <f t="shared" si="93"/>
        <v>1650</v>
      </c>
      <c r="P2477" s="366">
        <f t="shared" si="94"/>
        <v>0.52083333333333337</v>
      </c>
      <c r="Q2477" s="366">
        <f t="shared" si="95"/>
        <v>0.6875</v>
      </c>
      <c r="R2477" s="367" t="str">
        <f t="shared" si="96"/>
        <v>240</v>
      </c>
    </row>
    <row r="2478" spans="1:18" x14ac:dyDescent="0.4">
      <c r="A2478" s="402">
        <v>46251</v>
      </c>
      <c r="B2478" s="392" t="s">
        <v>1737</v>
      </c>
      <c r="C2478" s="364" t="s">
        <v>235</v>
      </c>
      <c r="D2478" s="404">
        <v>16</v>
      </c>
      <c r="E2478" s="369">
        <v>5</v>
      </c>
      <c r="F2478" s="370"/>
      <c r="G2478" s="368">
        <v>0.36041666666666666</v>
      </c>
      <c r="H2478" s="368">
        <v>0.47916666666666669</v>
      </c>
      <c r="I2478" s="372" t="str">
        <f t="shared" si="91"/>
        <v>171</v>
      </c>
      <c r="J2478" s="371">
        <v>3</v>
      </c>
      <c r="K2478" s="371"/>
      <c r="L2478" s="365">
        <v>0.38194444444444442</v>
      </c>
      <c r="M2478" s="365">
        <v>0.54861111111111105</v>
      </c>
      <c r="N2478" s="372" t="str">
        <f t="shared" si="92"/>
        <v>180</v>
      </c>
      <c r="O2478" s="371">
        <f t="shared" si="93"/>
        <v>1395</v>
      </c>
      <c r="P2478" s="366">
        <f t="shared" si="94"/>
        <v>0.36041666666666666</v>
      </c>
      <c r="Q2478" s="366">
        <f t="shared" si="95"/>
        <v>0.54861111111111105</v>
      </c>
      <c r="R2478" s="367" t="str">
        <f t="shared" si="96"/>
        <v>211</v>
      </c>
    </row>
    <row r="2479" spans="1:18" x14ac:dyDescent="0.4">
      <c r="A2479" s="402">
        <v>46251</v>
      </c>
      <c r="B2479" s="392" t="s">
        <v>99</v>
      </c>
      <c r="C2479" s="364" t="s">
        <v>259</v>
      </c>
      <c r="D2479" s="404">
        <v>6</v>
      </c>
      <c r="E2479" s="369">
        <v>5</v>
      </c>
      <c r="F2479" s="370"/>
      <c r="G2479" s="368">
        <v>0.29166666666666669</v>
      </c>
      <c r="H2479" s="368">
        <v>0.36041666666666666</v>
      </c>
      <c r="I2479" s="372" t="str">
        <f t="shared" si="91"/>
        <v>99</v>
      </c>
      <c r="J2479" s="371">
        <v>3</v>
      </c>
      <c r="K2479" s="371"/>
      <c r="L2479" s="365">
        <v>0.3125</v>
      </c>
      <c r="M2479" s="365">
        <v>0.38194444444444442</v>
      </c>
      <c r="N2479" s="372" t="str">
        <f t="shared" si="92"/>
        <v>100</v>
      </c>
      <c r="O2479" s="371">
        <f t="shared" si="93"/>
        <v>795</v>
      </c>
      <c r="P2479" s="366">
        <f t="shared" si="94"/>
        <v>0.29166666666666669</v>
      </c>
      <c r="Q2479" s="366">
        <f t="shared" si="95"/>
        <v>0.38194444444444442</v>
      </c>
      <c r="R2479" s="367" t="str">
        <f t="shared" si="96"/>
        <v>130</v>
      </c>
    </row>
    <row r="2480" spans="1:18" x14ac:dyDescent="0.4">
      <c r="A2480" s="402">
        <v>46251</v>
      </c>
      <c r="B2480" s="392" t="s">
        <v>65</v>
      </c>
      <c r="C2480" s="364" t="s">
        <v>189</v>
      </c>
      <c r="D2480" s="404">
        <v>60</v>
      </c>
      <c r="E2480" s="369">
        <v>3</v>
      </c>
      <c r="F2480" s="368">
        <v>2.0833333333333332E-2</v>
      </c>
      <c r="G2480" s="368">
        <v>0.29166666666666669</v>
      </c>
      <c r="H2480" s="368">
        <v>0.62152777777777779</v>
      </c>
      <c r="I2480" s="372" t="str">
        <f t="shared" si="91"/>
        <v>445</v>
      </c>
      <c r="J2480" s="371">
        <v>4</v>
      </c>
      <c r="K2480" s="371"/>
      <c r="L2480" s="365">
        <v>0.29166666666666669</v>
      </c>
      <c r="M2480" s="365">
        <v>0.65972222222222221</v>
      </c>
      <c r="N2480" s="372" t="str">
        <f t="shared" si="92"/>
        <v>470</v>
      </c>
      <c r="O2480" s="371">
        <f t="shared" si="93"/>
        <v>3215</v>
      </c>
      <c r="P2480" s="366">
        <f t="shared" si="94"/>
        <v>0.29166666666666669</v>
      </c>
      <c r="Q2480" s="366">
        <f t="shared" si="95"/>
        <v>0.65972222222222221</v>
      </c>
      <c r="R2480" s="367" t="str">
        <f t="shared" si="96"/>
        <v>470</v>
      </c>
    </row>
    <row r="2481" spans="1:18" x14ac:dyDescent="0.4">
      <c r="A2481" s="403">
        <v>46251</v>
      </c>
      <c r="B2481" s="383" t="s">
        <v>431</v>
      </c>
      <c r="C2481" s="390" t="s">
        <v>436</v>
      </c>
      <c r="D2481" s="405">
        <v>2</v>
      </c>
      <c r="E2481" s="384"/>
      <c r="F2481" s="385"/>
      <c r="G2481" s="396"/>
      <c r="H2481" s="396"/>
      <c r="I2481" s="386" t="str">
        <f t="shared" si="91"/>
        <v>0</v>
      </c>
      <c r="J2481" s="387"/>
      <c r="K2481" s="387"/>
      <c r="L2481" s="388"/>
      <c r="M2481" s="388"/>
      <c r="N2481" s="386" t="str">
        <f t="shared" si="92"/>
        <v>0</v>
      </c>
      <c r="O2481" s="387">
        <f t="shared" si="93"/>
        <v>0</v>
      </c>
      <c r="P2481" s="391">
        <f t="shared" si="94"/>
        <v>0</v>
      </c>
      <c r="Q2481" s="391">
        <f t="shared" si="95"/>
        <v>0</v>
      </c>
      <c r="R2481" s="389" t="str">
        <f t="shared" si="96"/>
        <v>0</v>
      </c>
    </row>
    <row r="2482" spans="1:18" x14ac:dyDescent="0.4">
      <c r="A2482" s="402">
        <v>46252</v>
      </c>
      <c r="B2482" s="392" t="s">
        <v>68</v>
      </c>
      <c r="C2482" s="364" t="s">
        <v>185</v>
      </c>
      <c r="D2482" s="404">
        <v>36</v>
      </c>
      <c r="E2482" s="369">
        <v>5</v>
      </c>
      <c r="F2482" s="370"/>
      <c r="G2482" s="368">
        <v>0.29166666666666669</v>
      </c>
      <c r="H2482" s="368">
        <v>0.66666666666666663</v>
      </c>
      <c r="I2482" s="372" t="str">
        <f t="shared" si="91"/>
        <v>480</v>
      </c>
      <c r="J2482" s="371">
        <v>5</v>
      </c>
      <c r="K2482" s="371"/>
      <c r="L2482" s="365">
        <v>0.3125</v>
      </c>
      <c r="M2482" s="365">
        <v>0.70833333333333337</v>
      </c>
      <c r="N2482" s="372" t="str">
        <f t="shared" si="92"/>
        <v>510</v>
      </c>
      <c r="O2482" s="371">
        <f t="shared" si="93"/>
        <v>4950</v>
      </c>
      <c r="P2482" s="366">
        <f t="shared" si="94"/>
        <v>0.29166666666666669</v>
      </c>
      <c r="Q2482" s="366">
        <f t="shared" si="95"/>
        <v>0.70833333333333337</v>
      </c>
      <c r="R2482" s="367" t="str">
        <f t="shared" si="96"/>
        <v>540</v>
      </c>
    </row>
    <row r="2483" spans="1:18" x14ac:dyDescent="0.4">
      <c r="A2483" s="402">
        <v>46252</v>
      </c>
      <c r="B2483" s="392" t="s">
        <v>63</v>
      </c>
      <c r="C2483" s="364" t="s">
        <v>267</v>
      </c>
      <c r="D2483" s="404">
        <v>24</v>
      </c>
      <c r="E2483" s="369">
        <v>5</v>
      </c>
      <c r="F2483" s="370"/>
      <c r="G2483" s="368">
        <v>0.45347222222222222</v>
      </c>
      <c r="H2483" s="368">
        <v>0.66666666666666663</v>
      </c>
      <c r="I2483" s="372" t="str">
        <f t="shared" si="91"/>
        <v>247</v>
      </c>
      <c r="J2483" s="371">
        <v>3</v>
      </c>
      <c r="K2483" s="371"/>
      <c r="L2483" s="365">
        <v>0.47569444444444442</v>
      </c>
      <c r="M2483" s="365">
        <v>0.70833333333333337</v>
      </c>
      <c r="N2483" s="372" t="str">
        <f t="shared" si="92"/>
        <v>275</v>
      </c>
      <c r="O2483" s="371">
        <f t="shared" si="93"/>
        <v>2060</v>
      </c>
      <c r="P2483" s="366">
        <f t="shared" si="94"/>
        <v>0.45347222222222222</v>
      </c>
      <c r="Q2483" s="366">
        <f t="shared" si="95"/>
        <v>0.70833333333333337</v>
      </c>
      <c r="R2483" s="367" t="str">
        <f t="shared" si="96"/>
        <v>307</v>
      </c>
    </row>
    <row r="2484" spans="1:18" x14ac:dyDescent="0.4">
      <c r="A2484" s="402">
        <v>46252</v>
      </c>
      <c r="B2484" s="392" t="s">
        <v>965</v>
      </c>
      <c r="C2484" s="364" t="s">
        <v>966</v>
      </c>
      <c r="D2484" s="404">
        <v>8</v>
      </c>
      <c r="E2484" s="369">
        <v>5</v>
      </c>
      <c r="F2484" s="370"/>
      <c r="G2484" s="368">
        <v>0.39027777777777778</v>
      </c>
      <c r="H2484" s="368">
        <v>0.45347222222222222</v>
      </c>
      <c r="I2484" s="372" t="str">
        <f t="shared" si="91"/>
        <v>91</v>
      </c>
      <c r="J2484" s="371">
        <v>3</v>
      </c>
      <c r="K2484" s="371"/>
      <c r="L2484" s="365">
        <v>0.4236111111111111</v>
      </c>
      <c r="M2484" s="365">
        <v>0.47569444444444442</v>
      </c>
      <c r="N2484" s="372" t="str">
        <f t="shared" si="92"/>
        <v>75</v>
      </c>
      <c r="O2484" s="371">
        <f t="shared" si="93"/>
        <v>680</v>
      </c>
      <c r="P2484" s="366">
        <f t="shared" si="94"/>
        <v>0.39027777777777778</v>
      </c>
      <c r="Q2484" s="366">
        <f t="shared" si="95"/>
        <v>0.47569444444444442</v>
      </c>
      <c r="R2484" s="367" t="str">
        <f t="shared" si="96"/>
        <v>123</v>
      </c>
    </row>
    <row r="2485" spans="1:18" x14ac:dyDescent="0.4">
      <c r="A2485" s="402">
        <v>46252</v>
      </c>
      <c r="B2485" s="392" t="s">
        <v>81</v>
      </c>
      <c r="C2485" s="364" t="s">
        <v>235</v>
      </c>
      <c r="D2485" s="404">
        <v>11</v>
      </c>
      <c r="E2485" s="369">
        <v>5</v>
      </c>
      <c r="F2485" s="370"/>
      <c r="G2485" s="368">
        <v>0.29166666666666669</v>
      </c>
      <c r="H2485" s="368">
        <v>0.39027777777777778</v>
      </c>
      <c r="I2485" s="372" t="str">
        <f t="shared" si="91"/>
        <v>142</v>
      </c>
      <c r="J2485" s="371">
        <v>3</v>
      </c>
      <c r="K2485" s="371"/>
      <c r="L2485" s="365">
        <v>0.3125</v>
      </c>
      <c r="M2485" s="365">
        <v>0.4236111111111111</v>
      </c>
      <c r="N2485" s="372" t="str">
        <f t="shared" si="92"/>
        <v>160</v>
      </c>
      <c r="O2485" s="371">
        <f t="shared" si="93"/>
        <v>1190</v>
      </c>
      <c r="P2485" s="366">
        <f t="shared" si="94"/>
        <v>0.29166666666666669</v>
      </c>
      <c r="Q2485" s="366">
        <f t="shared" si="95"/>
        <v>0.4236111111111111</v>
      </c>
      <c r="R2485" s="367" t="str">
        <f t="shared" si="96"/>
        <v>190</v>
      </c>
    </row>
    <row r="2486" spans="1:18" x14ac:dyDescent="0.4">
      <c r="A2486" s="402">
        <v>46252</v>
      </c>
      <c r="B2486" s="392" t="s">
        <v>73</v>
      </c>
      <c r="C2486" s="364" t="s">
        <v>231</v>
      </c>
      <c r="D2486" s="404">
        <v>21</v>
      </c>
      <c r="E2486" s="369">
        <v>2</v>
      </c>
      <c r="F2486" s="370"/>
      <c r="G2486" s="368">
        <v>0.27083333333333331</v>
      </c>
      <c r="H2486" s="368">
        <v>0.60416666666666663</v>
      </c>
      <c r="I2486" s="372" t="str">
        <f t="shared" si="91"/>
        <v>420</v>
      </c>
      <c r="J2486" s="371">
        <v>5</v>
      </c>
      <c r="K2486" s="371"/>
      <c r="L2486" s="365">
        <v>0.29166666666666669</v>
      </c>
      <c r="M2486" s="365">
        <v>0.68402777777777779</v>
      </c>
      <c r="N2486" s="372" t="str">
        <f t="shared" si="92"/>
        <v>505</v>
      </c>
      <c r="O2486" s="371">
        <f t="shared" si="93"/>
        <v>3365</v>
      </c>
      <c r="P2486" s="366">
        <f t="shared" si="94"/>
        <v>0.27083333333333331</v>
      </c>
      <c r="Q2486" s="366">
        <f t="shared" si="95"/>
        <v>0.68402777777777779</v>
      </c>
      <c r="R2486" s="367" t="str">
        <f t="shared" si="96"/>
        <v>535</v>
      </c>
    </row>
    <row r="2487" spans="1:18" x14ac:dyDescent="0.4">
      <c r="A2487" s="402">
        <v>46253</v>
      </c>
      <c r="B2487" s="392" t="s">
        <v>71</v>
      </c>
      <c r="C2487" s="364" t="s">
        <v>176</v>
      </c>
      <c r="D2487" s="404">
        <v>88</v>
      </c>
      <c r="E2487" s="369">
        <v>6</v>
      </c>
      <c r="F2487" s="370"/>
      <c r="G2487" s="368">
        <v>0.29166666666666669</v>
      </c>
      <c r="H2487" s="368">
        <v>0.75</v>
      </c>
      <c r="I2487" s="372" t="str">
        <f t="shared" si="91"/>
        <v>600</v>
      </c>
      <c r="J2487" s="371">
        <v>5</v>
      </c>
      <c r="K2487" s="371"/>
      <c r="L2487" s="365">
        <v>0.3125</v>
      </c>
      <c r="M2487" s="365">
        <v>0.75</v>
      </c>
      <c r="N2487" s="372" t="str">
        <f t="shared" si="92"/>
        <v>570</v>
      </c>
      <c r="O2487" s="371">
        <f t="shared" si="93"/>
        <v>6450</v>
      </c>
      <c r="P2487" s="366">
        <f t="shared" si="94"/>
        <v>0.29166666666666669</v>
      </c>
      <c r="Q2487" s="366">
        <f t="shared" si="95"/>
        <v>0.75</v>
      </c>
      <c r="R2487" s="367" t="str">
        <f t="shared" si="96"/>
        <v>600</v>
      </c>
    </row>
    <row r="2488" spans="1:18" x14ac:dyDescent="0.4">
      <c r="A2488" s="402">
        <v>46253</v>
      </c>
      <c r="B2488" s="392" t="s">
        <v>1698</v>
      </c>
      <c r="C2488" s="364" t="s">
        <v>1734</v>
      </c>
      <c r="D2488" s="404">
        <v>20</v>
      </c>
      <c r="E2488" s="369">
        <v>5</v>
      </c>
      <c r="F2488" s="370"/>
      <c r="G2488" s="368">
        <v>0.29166666666666669</v>
      </c>
      <c r="H2488" s="368">
        <v>0.47916666666666669</v>
      </c>
      <c r="I2488" s="372" t="str">
        <f t="shared" si="91"/>
        <v>270</v>
      </c>
      <c r="J2488" s="371">
        <v>4</v>
      </c>
      <c r="K2488" s="371"/>
      <c r="L2488" s="365">
        <v>0.3125</v>
      </c>
      <c r="M2488" s="365">
        <v>0.54861111111111105</v>
      </c>
      <c r="N2488" s="372" t="str">
        <f t="shared" si="92"/>
        <v>280</v>
      </c>
      <c r="O2488" s="371">
        <f t="shared" si="93"/>
        <v>2470</v>
      </c>
      <c r="P2488" s="366">
        <f t="shared" si="94"/>
        <v>0.29166666666666669</v>
      </c>
      <c r="Q2488" s="366">
        <f t="shared" si="95"/>
        <v>0.54861111111111105</v>
      </c>
      <c r="R2488" s="367" t="str">
        <f t="shared" si="96"/>
        <v>310</v>
      </c>
    </row>
    <row r="2489" spans="1:18" x14ac:dyDescent="0.4">
      <c r="A2489" s="402">
        <v>46253</v>
      </c>
      <c r="B2489" s="392" t="s">
        <v>116</v>
      </c>
      <c r="C2489" s="364" t="s">
        <v>212</v>
      </c>
      <c r="D2489" s="404">
        <v>20</v>
      </c>
      <c r="E2489" s="369">
        <v>5</v>
      </c>
      <c r="F2489" s="370"/>
      <c r="G2489" s="368">
        <v>0.52083333333333337</v>
      </c>
      <c r="H2489" s="368">
        <v>0.66666666666666663</v>
      </c>
      <c r="I2489" s="372" t="str">
        <f t="shared" si="91"/>
        <v>210</v>
      </c>
      <c r="J2489" s="371">
        <v>4</v>
      </c>
      <c r="K2489" s="371"/>
      <c r="L2489" s="365">
        <v>0.54861111111111105</v>
      </c>
      <c r="M2489" s="365">
        <v>0.6875</v>
      </c>
      <c r="N2489" s="372" t="str">
        <f t="shared" si="92"/>
        <v>200</v>
      </c>
      <c r="O2489" s="371">
        <f t="shared" si="93"/>
        <v>1850</v>
      </c>
      <c r="P2489" s="366">
        <f t="shared" si="94"/>
        <v>0.52083333333333337</v>
      </c>
      <c r="Q2489" s="366">
        <f t="shared" si="95"/>
        <v>0.6875</v>
      </c>
      <c r="R2489" s="367" t="str">
        <f t="shared" si="96"/>
        <v>240</v>
      </c>
    </row>
    <row r="2490" spans="1:18" x14ac:dyDescent="0.4">
      <c r="A2490" s="402">
        <v>46253</v>
      </c>
      <c r="B2490" s="392" t="s">
        <v>58</v>
      </c>
      <c r="C2490" s="364" t="s">
        <v>165</v>
      </c>
      <c r="D2490" s="404">
        <v>40</v>
      </c>
      <c r="E2490" s="369">
        <v>3</v>
      </c>
      <c r="F2490" s="368">
        <v>2.0833333333333332E-2</v>
      </c>
      <c r="G2490" s="368">
        <v>0.29166666666666669</v>
      </c>
      <c r="H2490" s="368">
        <v>0.59375</v>
      </c>
      <c r="I2490" s="372" t="str">
        <f t="shared" si="91"/>
        <v>405</v>
      </c>
      <c r="J2490" s="371">
        <v>6</v>
      </c>
      <c r="K2490" s="371"/>
      <c r="L2490" s="365">
        <v>0.29166666666666669</v>
      </c>
      <c r="M2490" s="365">
        <v>0.65277777777777779</v>
      </c>
      <c r="N2490" s="372" t="str">
        <f t="shared" si="92"/>
        <v>460</v>
      </c>
      <c r="O2490" s="371">
        <f t="shared" si="93"/>
        <v>3975</v>
      </c>
      <c r="P2490" s="366">
        <f t="shared" si="94"/>
        <v>0.29166666666666669</v>
      </c>
      <c r="Q2490" s="366">
        <f t="shared" si="95"/>
        <v>0.65277777777777779</v>
      </c>
      <c r="R2490" s="367" t="str">
        <f t="shared" si="96"/>
        <v>460</v>
      </c>
    </row>
    <row r="2491" spans="1:18" x14ac:dyDescent="0.4">
      <c r="A2491" s="402">
        <v>46254</v>
      </c>
      <c r="B2491" s="392" t="s">
        <v>114</v>
      </c>
      <c r="C2491" s="364" t="s">
        <v>161</v>
      </c>
      <c r="D2491" s="404">
        <v>15</v>
      </c>
      <c r="E2491" s="369">
        <v>5</v>
      </c>
      <c r="F2491" s="370"/>
      <c r="G2491" s="368">
        <v>0.29166666666666669</v>
      </c>
      <c r="H2491" s="368">
        <v>0.5</v>
      </c>
      <c r="I2491" s="372" t="str">
        <f t="shared" si="91"/>
        <v>300</v>
      </c>
      <c r="J2491" s="371">
        <v>13</v>
      </c>
      <c r="K2491" s="365">
        <v>6.25E-2</v>
      </c>
      <c r="L2491" s="365">
        <v>0.3125</v>
      </c>
      <c r="M2491" s="365">
        <v>0.58333333333333337</v>
      </c>
      <c r="N2491" s="372" t="str">
        <f t="shared" si="92"/>
        <v>420</v>
      </c>
      <c r="O2491" s="371">
        <f t="shared" si="93"/>
        <v>6960</v>
      </c>
      <c r="P2491" s="366">
        <f t="shared" si="94"/>
        <v>0.29166666666666669</v>
      </c>
      <c r="Q2491" s="366">
        <f t="shared" si="95"/>
        <v>0.58333333333333337</v>
      </c>
      <c r="R2491" s="367" t="str">
        <f t="shared" si="96"/>
        <v>360</v>
      </c>
    </row>
    <row r="2492" spans="1:18" x14ac:dyDescent="0.4">
      <c r="A2492" s="402">
        <v>46254</v>
      </c>
      <c r="B2492" s="392" t="s">
        <v>91</v>
      </c>
      <c r="C2492" s="364" t="s">
        <v>163</v>
      </c>
      <c r="D2492" s="404">
        <v>12</v>
      </c>
      <c r="E2492" s="369">
        <v>4</v>
      </c>
      <c r="F2492" s="370"/>
      <c r="G2492" s="368">
        <v>0.52083333333333337</v>
      </c>
      <c r="H2492" s="368">
        <v>0.6875</v>
      </c>
      <c r="I2492" s="372" t="str">
        <f t="shared" si="91"/>
        <v>240</v>
      </c>
      <c r="J2492" s="371">
        <v>9</v>
      </c>
      <c r="K2492" s="371"/>
      <c r="L2492" s="365">
        <v>0.54166666666666663</v>
      </c>
      <c r="M2492" s="365">
        <v>0.70833333333333337</v>
      </c>
      <c r="N2492" s="372" t="str">
        <f t="shared" si="92"/>
        <v>240</v>
      </c>
      <c r="O2492" s="371">
        <f t="shared" si="93"/>
        <v>3120</v>
      </c>
      <c r="P2492" s="366">
        <f t="shared" si="94"/>
        <v>0.52083333333333337</v>
      </c>
      <c r="Q2492" s="366">
        <f t="shared" si="95"/>
        <v>0.70833333333333337</v>
      </c>
      <c r="R2492" s="367" t="str">
        <f t="shared" si="96"/>
        <v>270</v>
      </c>
    </row>
    <row r="2493" spans="1:18" x14ac:dyDescent="0.4">
      <c r="A2493" s="402">
        <v>46254</v>
      </c>
      <c r="B2493" s="392" t="s">
        <v>63</v>
      </c>
      <c r="C2493" s="364" t="s">
        <v>267</v>
      </c>
      <c r="D2493" s="404">
        <v>24</v>
      </c>
      <c r="E2493" s="369">
        <v>5</v>
      </c>
      <c r="F2493" s="370"/>
      <c r="G2493" s="368">
        <v>0.44791666666666669</v>
      </c>
      <c r="H2493" s="368">
        <v>0.66666666666666663</v>
      </c>
      <c r="I2493" s="372" t="str">
        <f t="shared" si="91"/>
        <v>255</v>
      </c>
      <c r="J2493" s="371">
        <v>3</v>
      </c>
      <c r="K2493" s="371"/>
      <c r="L2493" s="365">
        <v>0.47222222222222227</v>
      </c>
      <c r="M2493" s="365">
        <v>0.6875</v>
      </c>
      <c r="N2493" s="372" t="str">
        <f t="shared" si="92"/>
        <v>250</v>
      </c>
      <c r="O2493" s="371">
        <f t="shared" si="93"/>
        <v>2025</v>
      </c>
      <c r="P2493" s="366">
        <f t="shared" si="94"/>
        <v>0.44791666666666669</v>
      </c>
      <c r="Q2493" s="366">
        <f t="shared" si="95"/>
        <v>0.6875</v>
      </c>
      <c r="R2493" s="367" t="str">
        <f t="shared" si="96"/>
        <v>285</v>
      </c>
    </row>
    <row r="2494" spans="1:18" x14ac:dyDescent="0.4">
      <c r="A2494" s="402">
        <v>46254</v>
      </c>
      <c r="B2494" s="392" t="s">
        <v>1162</v>
      </c>
      <c r="C2494" s="364" t="s">
        <v>271</v>
      </c>
      <c r="D2494" s="404">
        <v>20</v>
      </c>
      <c r="E2494" s="369">
        <v>5</v>
      </c>
      <c r="F2494" s="370"/>
      <c r="G2494" s="368">
        <v>0.29166666666666669</v>
      </c>
      <c r="H2494" s="368">
        <v>0.44791666666666669</v>
      </c>
      <c r="I2494" s="372" t="str">
        <f t="shared" si="91"/>
        <v>225</v>
      </c>
      <c r="J2494" s="371">
        <v>3</v>
      </c>
      <c r="K2494" s="371"/>
      <c r="L2494" s="365">
        <v>0.3125</v>
      </c>
      <c r="M2494" s="365">
        <v>0.47222222222222227</v>
      </c>
      <c r="N2494" s="372" t="str">
        <f t="shared" si="92"/>
        <v>230</v>
      </c>
      <c r="O2494" s="371">
        <f t="shared" si="93"/>
        <v>1815</v>
      </c>
      <c r="P2494" s="366">
        <f t="shared" si="94"/>
        <v>0.29166666666666669</v>
      </c>
      <c r="Q2494" s="366">
        <f t="shared" si="95"/>
        <v>0.47222222222222227</v>
      </c>
      <c r="R2494" s="367" t="str">
        <f t="shared" si="96"/>
        <v>260</v>
      </c>
    </row>
    <row r="2495" spans="1:18" x14ac:dyDescent="0.4">
      <c r="A2495" s="402">
        <v>46254</v>
      </c>
      <c r="B2495" s="392" t="s">
        <v>65</v>
      </c>
      <c r="C2495" s="364" t="s">
        <v>189</v>
      </c>
      <c r="D2495" s="404">
        <v>60</v>
      </c>
      <c r="E2495" s="369">
        <v>3</v>
      </c>
      <c r="F2495" s="368">
        <v>2.0833333333333332E-2</v>
      </c>
      <c r="G2495" s="368">
        <v>0.29166666666666669</v>
      </c>
      <c r="H2495" s="368">
        <v>0.60763888888888895</v>
      </c>
      <c r="I2495" s="372" t="str">
        <f t="shared" si="91"/>
        <v>425</v>
      </c>
      <c r="J2495" s="371">
        <v>4</v>
      </c>
      <c r="K2495" s="371"/>
      <c r="L2495" s="365">
        <v>0.29166666666666669</v>
      </c>
      <c r="M2495" s="365">
        <v>0.65277777777777779</v>
      </c>
      <c r="N2495" s="372" t="str">
        <f t="shared" si="92"/>
        <v>460</v>
      </c>
      <c r="O2495" s="371">
        <f t="shared" si="93"/>
        <v>3115</v>
      </c>
      <c r="P2495" s="366">
        <f t="shared" si="94"/>
        <v>0.29166666666666669</v>
      </c>
      <c r="Q2495" s="366">
        <f t="shared" si="95"/>
        <v>0.65277777777777779</v>
      </c>
      <c r="R2495" s="367" t="str">
        <f t="shared" si="96"/>
        <v>460</v>
      </c>
    </row>
    <row r="2496" spans="1:18" x14ac:dyDescent="0.4">
      <c r="A2496" s="402">
        <v>46255</v>
      </c>
      <c r="B2496" s="392" t="s">
        <v>71</v>
      </c>
      <c r="C2496" s="364" t="s">
        <v>176</v>
      </c>
      <c r="D2496" s="404">
        <v>88</v>
      </c>
      <c r="E2496" s="369">
        <v>6</v>
      </c>
      <c r="F2496" s="370"/>
      <c r="G2496" s="368">
        <v>0.29166666666666669</v>
      </c>
      <c r="H2496" s="368">
        <v>0.8125</v>
      </c>
      <c r="I2496" s="372" t="str">
        <f t="shared" si="91"/>
        <v>690</v>
      </c>
      <c r="J2496" s="371">
        <v>5</v>
      </c>
      <c r="K2496" s="371"/>
      <c r="L2496" s="365">
        <v>0.3125</v>
      </c>
      <c r="M2496" s="365">
        <v>0.83333333333333337</v>
      </c>
      <c r="N2496" s="372" t="str">
        <f t="shared" si="92"/>
        <v>690</v>
      </c>
      <c r="O2496" s="371">
        <f t="shared" si="93"/>
        <v>7590</v>
      </c>
      <c r="P2496" s="366">
        <f t="shared" si="94"/>
        <v>0.29166666666666669</v>
      </c>
      <c r="Q2496" s="366">
        <f t="shared" si="95"/>
        <v>0.83333333333333337</v>
      </c>
      <c r="R2496" s="367" t="str">
        <f t="shared" si="96"/>
        <v>720</v>
      </c>
    </row>
    <row r="2497" spans="1:18" x14ac:dyDescent="0.4">
      <c r="A2497" s="402">
        <v>46255</v>
      </c>
      <c r="B2497" s="392" t="s">
        <v>73</v>
      </c>
      <c r="C2497" s="364" t="s">
        <v>231</v>
      </c>
      <c r="D2497" s="404">
        <v>21</v>
      </c>
      <c r="E2497" s="369">
        <v>3</v>
      </c>
      <c r="F2497" s="370"/>
      <c r="G2497" s="368">
        <v>0.29166666666666669</v>
      </c>
      <c r="H2497" s="368">
        <v>0.68055555555555547</v>
      </c>
      <c r="I2497" s="372" t="str">
        <f t="shared" si="91"/>
        <v>500</v>
      </c>
      <c r="J2497" s="371">
        <v>7</v>
      </c>
      <c r="K2497" s="371"/>
      <c r="L2497" s="365">
        <v>0.29166666666666669</v>
      </c>
      <c r="M2497" s="365">
        <v>0.70833333333333337</v>
      </c>
      <c r="N2497" s="372" t="str">
        <f t="shared" si="92"/>
        <v>540</v>
      </c>
      <c r="O2497" s="371">
        <f t="shared" si="93"/>
        <v>5280</v>
      </c>
      <c r="P2497" s="366">
        <f t="shared" si="94"/>
        <v>0.29166666666666669</v>
      </c>
      <c r="Q2497" s="366">
        <f t="shared" si="95"/>
        <v>0.70833333333333337</v>
      </c>
      <c r="R2497" s="367" t="str">
        <f t="shared" si="96"/>
        <v>540</v>
      </c>
    </row>
    <row r="2498" spans="1:18" x14ac:dyDescent="0.4">
      <c r="A2498" s="402">
        <v>46255</v>
      </c>
      <c r="B2498" s="392" t="s">
        <v>82</v>
      </c>
      <c r="C2498" s="364" t="s">
        <v>171</v>
      </c>
      <c r="D2498" s="404">
        <v>36</v>
      </c>
      <c r="E2498" s="369">
        <v>3</v>
      </c>
      <c r="F2498" s="368">
        <v>2.0833333333333332E-2</v>
      </c>
      <c r="G2498" s="368">
        <v>0.29166666666666669</v>
      </c>
      <c r="H2498" s="368">
        <v>0.59722222222222221</v>
      </c>
      <c r="I2498" s="372" t="str">
        <f t="shared" si="91"/>
        <v>410</v>
      </c>
      <c r="J2498" s="371">
        <v>7</v>
      </c>
      <c r="K2498" s="371"/>
      <c r="L2498" s="365">
        <v>0.29166666666666669</v>
      </c>
      <c r="M2498" s="365">
        <v>0.68055555555555547</v>
      </c>
      <c r="N2498" s="372" t="str">
        <f t="shared" si="92"/>
        <v>500</v>
      </c>
      <c r="O2498" s="371">
        <f t="shared" si="93"/>
        <v>4730</v>
      </c>
      <c r="P2498" s="366">
        <f t="shared" si="94"/>
        <v>0.29166666666666669</v>
      </c>
      <c r="Q2498" s="366">
        <f t="shared" si="95"/>
        <v>0.68055555555555547</v>
      </c>
      <c r="R2498" s="367" t="str">
        <f t="shared" si="96"/>
        <v>500</v>
      </c>
    </row>
    <row r="2499" spans="1:18" x14ac:dyDescent="0.4">
      <c r="A2499" s="402">
        <v>46258</v>
      </c>
      <c r="B2499" s="392" t="s">
        <v>965</v>
      </c>
      <c r="C2499" s="364" t="s">
        <v>966</v>
      </c>
      <c r="D2499" s="404">
        <v>12</v>
      </c>
      <c r="E2499" s="369">
        <v>5</v>
      </c>
      <c r="F2499" s="370"/>
      <c r="G2499" s="368">
        <v>0.29166666666666669</v>
      </c>
      <c r="H2499" s="368">
        <v>0.39583333333333331</v>
      </c>
      <c r="I2499" s="372" t="str">
        <f t="shared" si="91"/>
        <v>150</v>
      </c>
      <c r="J2499" s="371">
        <v>3</v>
      </c>
      <c r="K2499" s="371"/>
      <c r="L2499" s="365">
        <v>0.3125</v>
      </c>
      <c r="M2499" s="365">
        <v>0.41319444444444442</v>
      </c>
      <c r="N2499" s="372" t="str">
        <f t="shared" si="92"/>
        <v>145</v>
      </c>
      <c r="O2499" s="371">
        <f t="shared" si="93"/>
        <v>1185</v>
      </c>
      <c r="P2499" s="366">
        <f t="shared" si="94"/>
        <v>0.29166666666666669</v>
      </c>
      <c r="Q2499" s="366">
        <f t="shared" si="95"/>
        <v>0.41319444444444442</v>
      </c>
      <c r="R2499" s="367" t="str">
        <f t="shared" si="96"/>
        <v>175</v>
      </c>
    </row>
    <row r="2500" spans="1:18" x14ac:dyDescent="0.4">
      <c r="A2500" s="402">
        <v>46258</v>
      </c>
      <c r="B2500" s="392" t="s">
        <v>64</v>
      </c>
      <c r="C2500" s="364" t="s">
        <v>271</v>
      </c>
      <c r="D2500" s="404">
        <v>8</v>
      </c>
      <c r="E2500" s="369">
        <v>5</v>
      </c>
      <c r="F2500" s="370"/>
      <c r="G2500" s="368">
        <v>0.58680555555555558</v>
      </c>
      <c r="H2500" s="368">
        <v>0.6875</v>
      </c>
      <c r="I2500" s="372" t="str">
        <f t="shared" si="91"/>
        <v>145</v>
      </c>
      <c r="J2500" s="371">
        <v>3</v>
      </c>
      <c r="K2500" s="371"/>
      <c r="L2500" s="365">
        <v>0.625</v>
      </c>
      <c r="M2500" s="365">
        <v>0.70833333333333337</v>
      </c>
      <c r="N2500" s="372" t="str">
        <f t="shared" si="92"/>
        <v>120</v>
      </c>
      <c r="O2500" s="371">
        <f t="shared" si="93"/>
        <v>1085</v>
      </c>
      <c r="P2500" s="366">
        <f t="shared" si="94"/>
        <v>0.58680555555555558</v>
      </c>
      <c r="Q2500" s="366">
        <f t="shared" si="95"/>
        <v>0.70833333333333337</v>
      </c>
      <c r="R2500" s="367" t="str">
        <f t="shared" si="96"/>
        <v>175</v>
      </c>
    </row>
    <row r="2501" spans="1:18" x14ac:dyDescent="0.4">
      <c r="A2501" s="402">
        <v>46258</v>
      </c>
      <c r="B2501" s="392" t="s">
        <v>63</v>
      </c>
      <c r="C2501" s="364" t="s">
        <v>267</v>
      </c>
      <c r="D2501" s="404">
        <v>24</v>
      </c>
      <c r="E2501" s="369">
        <v>5</v>
      </c>
      <c r="F2501" s="370"/>
      <c r="G2501" s="368">
        <v>0.39583333333333331</v>
      </c>
      <c r="H2501" s="368">
        <v>0.58680555555555558</v>
      </c>
      <c r="I2501" s="372" t="str">
        <f t="shared" si="91"/>
        <v>215</v>
      </c>
      <c r="J2501" s="371">
        <v>3</v>
      </c>
      <c r="K2501" s="371"/>
      <c r="L2501" s="365">
        <v>0.41319444444444442</v>
      </c>
      <c r="M2501" s="365">
        <v>0.625</v>
      </c>
      <c r="N2501" s="372" t="str">
        <f t="shared" si="92"/>
        <v>245</v>
      </c>
      <c r="O2501" s="371">
        <f t="shared" si="93"/>
        <v>1810</v>
      </c>
      <c r="P2501" s="366">
        <f t="shared" si="94"/>
        <v>0.39583333333333331</v>
      </c>
      <c r="Q2501" s="366">
        <f t="shared" si="95"/>
        <v>0.625</v>
      </c>
      <c r="R2501" s="367" t="str">
        <f t="shared" si="96"/>
        <v>270</v>
      </c>
    </row>
    <row r="2502" spans="1:18" x14ac:dyDescent="0.4">
      <c r="A2502" s="402">
        <v>46258</v>
      </c>
      <c r="B2502" s="392" t="s">
        <v>110</v>
      </c>
      <c r="C2502" s="364" t="s">
        <v>231</v>
      </c>
      <c r="D2502" s="404">
        <v>21</v>
      </c>
      <c r="E2502" s="369">
        <v>3</v>
      </c>
      <c r="F2502" s="370"/>
      <c r="G2502" s="368">
        <v>0.29166666666666669</v>
      </c>
      <c r="H2502" s="368">
        <v>0.67361111111111116</v>
      </c>
      <c r="I2502" s="372" t="str">
        <f t="shared" si="91"/>
        <v>490</v>
      </c>
      <c r="J2502" s="371">
        <v>4</v>
      </c>
      <c r="K2502" s="365">
        <v>2.0833333333333332E-2</v>
      </c>
      <c r="L2502" s="365">
        <v>0.3125</v>
      </c>
      <c r="M2502" s="365">
        <v>0.70833333333333337</v>
      </c>
      <c r="N2502" s="372" t="str">
        <f t="shared" si="92"/>
        <v>540</v>
      </c>
      <c r="O2502" s="371">
        <f t="shared" si="93"/>
        <v>3630</v>
      </c>
      <c r="P2502" s="366">
        <f t="shared" si="94"/>
        <v>0.29166666666666669</v>
      </c>
      <c r="Q2502" s="366">
        <f t="shared" si="95"/>
        <v>0.70833333333333337</v>
      </c>
      <c r="R2502" s="367" t="str">
        <f t="shared" si="96"/>
        <v>540</v>
      </c>
    </row>
    <row r="2503" spans="1:18" x14ac:dyDescent="0.4">
      <c r="A2503" s="402">
        <v>46258</v>
      </c>
      <c r="B2503" s="392" t="s">
        <v>65</v>
      </c>
      <c r="C2503" s="364" t="s">
        <v>189</v>
      </c>
      <c r="D2503" s="404">
        <v>68</v>
      </c>
      <c r="E2503" s="369">
        <v>3</v>
      </c>
      <c r="F2503" s="368">
        <v>2.0833333333333332E-2</v>
      </c>
      <c r="G2503" s="368">
        <v>0.29166666666666669</v>
      </c>
      <c r="H2503" s="368">
        <v>0.65277777777777779</v>
      </c>
      <c r="I2503" s="372" t="str">
        <f t="shared" si="91"/>
        <v>490</v>
      </c>
      <c r="J2503" s="371">
        <v>4</v>
      </c>
      <c r="K2503" s="371"/>
      <c r="L2503" s="365">
        <v>0.29166666666666669</v>
      </c>
      <c r="M2503" s="365">
        <v>0.69097222222222221</v>
      </c>
      <c r="N2503" s="372" t="str">
        <f t="shared" si="92"/>
        <v>515</v>
      </c>
      <c r="O2503" s="371">
        <f t="shared" si="93"/>
        <v>3530</v>
      </c>
      <c r="P2503" s="366">
        <f t="shared" si="94"/>
        <v>0.29166666666666669</v>
      </c>
      <c r="Q2503" s="366">
        <f t="shared" si="95"/>
        <v>0.69097222222222221</v>
      </c>
      <c r="R2503" s="367" t="str">
        <f t="shared" si="96"/>
        <v>515</v>
      </c>
    </row>
    <row r="2504" spans="1:18" x14ac:dyDescent="0.4">
      <c r="A2504" s="403">
        <v>46258</v>
      </c>
      <c r="B2504" s="383">
        <v>151010</v>
      </c>
      <c r="C2504" s="390" t="s">
        <v>482</v>
      </c>
      <c r="D2504" s="405">
        <v>1</v>
      </c>
      <c r="E2504" s="384"/>
      <c r="F2504" s="385"/>
      <c r="G2504" s="396"/>
      <c r="H2504" s="396"/>
      <c r="I2504" s="386" t="str">
        <f t="shared" si="91"/>
        <v>0</v>
      </c>
      <c r="J2504" s="387"/>
      <c r="K2504" s="387"/>
      <c r="L2504" s="388"/>
      <c r="M2504" s="388"/>
      <c r="N2504" s="386" t="str">
        <f t="shared" si="92"/>
        <v>0</v>
      </c>
      <c r="O2504" s="387">
        <f t="shared" si="93"/>
        <v>0</v>
      </c>
      <c r="P2504" s="391">
        <f t="shared" si="94"/>
        <v>0</v>
      </c>
      <c r="Q2504" s="391">
        <f t="shared" si="95"/>
        <v>0</v>
      </c>
      <c r="R2504" s="389" t="str">
        <f t="shared" si="96"/>
        <v>0</v>
      </c>
    </row>
    <row r="2505" spans="1:18" x14ac:dyDescent="0.4">
      <c r="A2505" s="403">
        <v>46258</v>
      </c>
      <c r="B2505" s="383" t="s">
        <v>431</v>
      </c>
      <c r="C2505" s="390" t="s">
        <v>436</v>
      </c>
      <c r="D2505" s="405">
        <v>2</v>
      </c>
      <c r="E2505" s="384"/>
      <c r="F2505" s="385"/>
      <c r="G2505" s="396"/>
      <c r="H2505" s="396"/>
      <c r="I2505" s="386" t="str">
        <f t="shared" si="91"/>
        <v>0</v>
      </c>
      <c r="J2505" s="387"/>
      <c r="K2505" s="387"/>
      <c r="L2505" s="388"/>
      <c r="M2505" s="388"/>
      <c r="N2505" s="386" t="str">
        <f t="shared" si="92"/>
        <v>0</v>
      </c>
      <c r="O2505" s="387">
        <f t="shared" si="93"/>
        <v>0</v>
      </c>
      <c r="P2505" s="391">
        <f t="shared" si="94"/>
        <v>0</v>
      </c>
      <c r="Q2505" s="391">
        <f t="shared" si="95"/>
        <v>0</v>
      </c>
      <c r="R2505" s="389" t="str">
        <f t="shared" si="96"/>
        <v>0</v>
      </c>
    </row>
    <row r="2506" spans="1:18" x14ac:dyDescent="0.4">
      <c r="A2506" s="403">
        <v>46258</v>
      </c>
      <c r="B2506" s="383" t="s">
        <v>434</v>
      </c>
      <c r="C2506" s="390" t="s">
        <v>545</v>
      </c>
      <c r="D2506" s="405">
        <v>50</v>
      </c>
      <c r="E2506" s="384"/>
      <c r="F2506" s="385"/>
      <c r="G2506" s="396"/>
      <c r="H2506" s="396"/>
      <c r="I2506" s="386" t="str">
        <f t="shared" si="91"/>
        <v>0</v>
      </c>
      <c r="J2506" s="387"/>
      <c r="K2506" s="387"/>
      <c r="L2506" s="388"/>
      <c r="M2506" s="388"/>
      <c r="N2506" s="386" t="str">
        <f t="shared" si="92"/>
        <v>0</v>
      </c>
      <c r="O2506" s="387">
        <f t="shared" si="93"/>
        <v>0</v>
      </c>
      <c r="P2506" s="391">
        <f t="shared" si="94"/>
        <v>0</v>
      </c>
      <c r="Q2506" s="391">
        <f t="shared" si="95"/>
        <v>0</v>
      </c>
      <c r="R2506" s="389" t="str">
        <f t="shared" si="96"/>
        <v>0</v>
      </c>
    </row>
    <row r="2507" spans="1:18" x14ac:dyDescent="0.4">
      <c r="A2507" s="402">
        <v>46259</v>
      </c>
      <c r="B2507" s="392" t="s">
        <v>61</v>
      </c>
      <c r="C2507" s="364" t="s">
        <v>156</v>
      </c>
      <c r="D2507" s="404">
        <v>36</v>
      </c>
      <c r="E2507" s="369">
        <v>4</v>
      </c>
      <c r="F2507" s="370"/>
      <c r="G2507" s="368">
        <v>0.29166666666666669</v>
      </c>
      <c r="H2507" s="368">
        <v>0.66666666666666663</v>
      </c>
      <c r="I2507" s="372" t="str">
        <f t="shared" si="91"/>
        <v>480</v>
      </c>
      <c r="J2507" s="371">
        <v>10</v>
      </c>
      <c r="K2507" s="371"/>
      <c r="L2507" s="365">
        <v>0.29166666666666669</v>
      </c>
      <c r="M2507" s="365">
        <v>0.70833333333333337</v>
      </c>
      <c r="N2507" s="372" t="str">
        <f t="shared" si="92"/>
        <v>540</v>
      </c>
      <c r="O2507" s="371">
        <f t="shared" si="93"/>
        <v>7320</v>
      </c>
      <c r="P2507" s="366">
        <f t="shared" si="94"/>
        <v>0.29166666666666669</v>
      </c>
      <c r="Q2507" s="366">
        <f t="shared" si="95"/>
        <v>0.70833333333333337</v>
      </c>
      <c r="R2507" s="367" t="str">
        <f t="shared" si="96"/>
        <v>540</v>
      </c>
    </row>
    <row r="2508" spans="1:18" x14ac:dyDescent="0.4">
      <c r="A2508" s="402">
        <v>46259</v>
      </c>
      <c r="B2508" s="392" t="s">
        <v>63</v>
      </c>
      <c r="C2508" s="364" t="s">
        <v>267</v>
      </c>
      <c r="D2508" s="404">
        <v>24</v>
      </c>
      <c r="E2508" s="369">
        <v>5</v>
      </c>
      <c r="F2508" s="370"/>
      <c r="G2508" s="368">
        <v>0.45694444444444443</v>
      </c>
      <c r="H2508" s="368">
        <v>0.66666666666666663</v>
      </c>
      <c r="I2508" s="372" t="str">
        <f t="shared" si="91"/>
        <v>242</v>
      </c>
      <c r="J2508" s="371">
        <v>3</v>
      </c>
      <c r="K2508" s="371"/>
      <c r="L2508" s="365">
        <v>0.4826388888888889</v>
      </c>
      <c r="M2508" s="365">
        <v>0.6875</v>
      </c>
      <c r="N2508" s="372" t="str">
        <f t="shared" si="92"/>
        <v>235</v>
      </c>
      <c r="O2508" s="371">
        <f t="shared" si="93"/>
        <v>1915</v>
      </c>
      <c r="P2508" s="366">
        <f t="shared" si="94"/>
        <v>0.45694444444444443</v>
      </c>
      <c r="Q2508" s="366">
        <f t="shared" si="95"/>
        <v>0.6875</v>
      </c>
      <c r="R2508" s="367" t="str">
        <f t="shared" si="96"/>
        <v>272</v>
      </c>
    </row>
    <row r="2509" spans="1:18" x14ac:dyDescent="0.4">
      <c r="A2509" s="402">
        <v>46259</v>
      </c>
      <c r="B2509" s="392" t="s">
        <v>72</v>
      </c>
      <c r="C2509" s="364" t="s">
        <v>227</v>
      </c>
      <c r="D2509" s="404">
        <v>20</v>
      </c>
      <c r="E2509" s="369">
        <v>5</v>
      </c>
      <c r="F2509" s="370"/>
      <c r="G2509" s="368">
        <v>0.29166666666666669</v>
      </c>
      <c r="H2509" s="368">
        <v>0.45694444444444443</v>
      </c>
      <c r="I2509" s="372" t="str">
        <f t="shared" si="91"/>
        <v>238</v>
      </c>
      <c r="J2509" s="371">
        <v>3</v>
      </c>
      <c r="K2509" s="371"/>
      <c r="L2509" s="365">
        <v>0.3125</v>
      </c>
      <c r="M2509" s="365">
        <v>0.4826388888888889</v>
      </c>
      <c r="N2509" s="372" t="str">
        <f t="shared" si="92"/>
        <v>245</v>
      </c>
      <c r="O2509" s="371">
        <f t="shared" si="93"/>
        <v>1925</v>
      </c>
      <c r="P2509" s="366">
        <f t="shared" si="94"/>
        <v>0.29166666666666669</v>
      </c>
      <c r="Q2509" s="366">
        <f t="shared" si="95"/>
        <v>0.4826388888888889</v>
      </c>
      <c r="R2509" s="367" t="str">
        <f t="shared" si="96"/>
        <v>275</v>
      </c>
    </row>
    <row r="2510" spans="1:18" x14ac:dyDescent="0.4">
      <c r="A2510" s="402">
        <v>46259</v>
      </c>
      <c r="B2510" s="392" t="s">
        <v>131</v>
      </c>
      <c r="C2510" s="364" t="s">
        <v>274</v>
      </c>
      <c r="D2510" s="404">
        <v>24</v>
      </c>
      <c r="E2510" s="369">
        <v>3</v>
      </c>
      <c r="F2510" s="368">
        <v>2.0833333333333332E-2</v>
      </c>
      <c r="G2510" s="368">
        <v>0.29166666666666669</v>
      </c>
      <c r="H2510" s="368">
        <v>0.39930555555555558</v>
      </c>
      <c r="I2510" s="372" t="str">
        <f t="shared" si="91"/>
        <v>185</v>
      </c>
      <c r="J2510" s="371">
        <v>4</v>
      </c>
      <c r="K2510" s="371"/>
      <c r="L2510" s="365">
        <v>0.29166666666666669</v>
      </c>
      <c r="M2510" s="365">
        <v>0.43402777777777773</v>
      </c>
      <c r="N2510" s="372" t="str">
        <f t="shared" si="92"/>
        <v>205</v>
      </c>
      <c r="O2510" s="371">
        <f t="shared" si="93"/>
        <v>1375</v>
      </c>
      <c r="P2510" s="366">
        <f t="shared" si="94"/>
        <v>0.29166666666666669</v>
      </c>
      <c r="Q2510" s="366">
        <f t="shared" si="95"/>
        <v>0.43402777777777773</v>
      </c>
      <c r="R2510" s="367" t="str">
        <f t="shared" si="96"/>
        <v>205</v>
      </c>
    </row>
    <row r="2511" spans="1:18" x14ac:dyDescent="0.4">
      <c r="A2511" s="402">
        <v>46259</v>
      </c>
      <c r="B2511" s="392" t="s">
        <v>123</v>
      </c>
      <c r="C2511" s="364" t="s">
        <v>277</v>
      </c>
      <c r="D2511" s="404">
        <v>36</v>
      </c>
      <c r="E2511" s="369">
        <v>3</v>
      </c>
      <c r="F2511" s="370"/>
      <c r="G2511" s="368">
        <v>0.40277777777777773</v>
      </c>
      <c r="H2511" s="368">
        <v>0.60763888888888895</v>
      </c>
      <c r="I2511" s="372" t="str">
        <f t="shared" si="91"/>
        <v>235</v>
      </c>
      <c r="J2511" s="371">
        <v>4</v>
      </c>
      <c r="K2511" s="371"/>
      <c r="L2511" s="365">
        <v>0.4375</v>
      </c>
      <c r="M2511" s="365">
        <v>0.66666666666666663</v>
      </c>
      <c r="N2511" s="372" t="str">
        <f t="shared" si="92"/>
        <v>270</v>
      </c>
      <c r="O2511" s="371">
        <f t="shared" si="93"/>
        <v>1785</v>
      </c>
      <c r="P2511" s="366">
        <f t="shared" si="94"/>
        <v>0.40277777777777773</v>
      </c>
      <c r="Q2511" s="366">
        <f t="shared" si="95"/>
        <v>0.66666666666666663</v>
      </c>
      <c r="R2511" s="367" t="str">
        <f t="shared" si="96"/>
        <v>320</v>
      </c>
    </row>
    <row r="2512" spans="1:18" x14ac:dyDescent="0.4">
      <c r="A2512" s="402">
        <v>46260</v>
      </c>
      <c r="B2512" s="392" t="s">
        <v>1754</v>
      </c>
      <c r="C2512" s="364" t="s">
        <v>1755</v>
      </c>
      <c r="D2512" s="404">
        <v>6</v>
      </c>
      <c r="E2512" s="369">
        <v>5</v>
      </c>
      <c r="F2512" s="370"/>
      <c r="G2512" s="368">
        <v>0.52083333333333337</v>
      </c>
      <c r="H2512" s="368">
        <v>0.58333333333333337</v>
      </c>
      <c r="I2512" s="372" t="str">
        <f t="shared" si="91"/>
        <v>90</v>
      </c>
      <c r="J2512" s="371">
        <v>3</v>
      </c>
      <c r="K2512" s="371"/>
      <c r="L2512" s="365">
        <v>0.4861111111111111</v>
      </c>
      <c r="M2512" s="365">
        <v>0.60416666666666663</v>
      </c>
      <c r="N2512" s="372" t="str">
        <f t="shared" si="92"/>
        <v>110</v>
      </c>
      <c r="O2512" s="371">
        <f t="shared" si="93"/>
        <v>780</v>
      </c>
      <c r="P2512" s="366">
        <f t="shared" si="94"/>
        <v>0.4861111111111111</v>
      </c>
      <c r="Q2512" s="366">
        <f t="shared" si="95"/>
        <v>0.60416666666666663</v>
      </c>
      <c r="R2512" s="367" t="str">
        <f t="shared" si="96"/>
        <v>110</v>
      </c>
    </row>
    <row r="2513" spans="1:18" x14ac:dyDescent="0.4">
      <c r="A2513" s="402">
        <v>46260</v>
      </c>
      <c r="B2513" s="392" t="s">
        <v>109</v>
      </c>
      <c r="C2513" s="364" t="s">
        <v>263</v>
      </c>
      <c r="D2513" s="404">
        <v>20</v>
      </c>
      <c r="E2513" s="369">
        <v>5</v>
      </c>
      <c r="F2513" s="370"/>
      <c r="G2513" s="368">
        <v>0.58333333333333337</v>
      </c>
      <c r="H2513" s="368">
        <v>0.75</v>
      </c>
      <c r="I2513" s="372" t="str">
        <f t="shared" si="91"/>
        <v>240</v>
      </c>
      <c r="J2513" s="371">
        <v>3</v>
      </c>
      <c r="K2513" s="371"/>
      <c r="L2513" s="365">
        <v>0.60416666666666663</v>
      </c>
      <c r="M2513" s="365">
        <v>0.72916666666666663</v>
      </c>
      <c r="N2513" s="372" t="str">
        <f t="shared" si="92"/>
        <v>180</v>
      </c>
      <c r="O2513" s="371">
        <f t="shared" si="93"/>
        <v>1740</v>
      </c>
      <c r="P2513" s="366">
        <f t="shared" si="94"/>
        <v>0.58333333333333337</v>
      </c>
      <c r="Q2513" s="366">
        <f t="shared" si="95"/>
        <v>0.75</v>
      </c>
      <c r="R2513" s="367" t="str">
        <f t="shared" si="96"/>
        <v>240</v>
      </c>
    </row>
    <row r="2514" spans="1:18" x14ac:dyDescent="0.4">
      <c r="A2514" s="402">
        <v>46260</v>
      </c>
      <c r="B2514" s="392" t="s">
        <v>51</v>
      </c>
      <c r="C2514" s="364" t="s">
        <v>253</v>
      </c>
      <c r="D2514" s="404">
        <v>20</v>
      </c>
      <c r="E2514" s="369">
        <v>5</v>
      </c>
      <c r="F2514" s="370"/>
      <c r="G2514" s="368">
        <v>0.29166666666666669</v>
      </c>
      <c r="H2514" s="368">
        <v>0.5</v>
      </c>
      <c r="I2514" s="372" t="str">
        <f t="shared" si="91"/>
        <v>300</v>
      </c>
      <c r="J2514" s="371">
        <v>3</v>
      </c>
      <c r="K2514" s="371"/>
      <c r="L2514" s="365">
        <v>0.3125</v>
      </c>
      <c r="M2514" s="365">
        <v>0.4861111111111111</v>
      </c>
      <c r="N2514" s="372" t="str">
        <f t="shared" si="92"/>
        <v>250</v>
      </c>
      <c r="O2514" s="371">
        <f t="shared" si="93"/>
        <v>2250</v>
      </c>
      <c r="P2514" s="366">
        <f t="shared" si="94"/>
        <v>0.29166666666666669</v>
      </c>
      <c r="Q2514" s="366">
        <f t="shared" si="95"/>
        <v>0.5</v>
      </c>
      <c r="R2514" s="367" t="str">
        <f t="shared" si="96"/>
        <v>300</v>
      </c>
    </row>
    <row r="2515" spans="1:18" x14ac:dyDescent="0.4">
      <c r="A2515" s="402">
        <v>46260</v>
      </c>
      <c r="B2515" s="392" t="s">
        <v>547</v>
      </c>
      <c r="C2515" s="364" t="s">
        <v>205</v>
      </c>
      <c r="D2515" s="404">
        <v>12</v>
      </c>
      <c r="E2515" s="369">
        <v>5</v>
      </c>
      <c r="F2515" s="370"/>
      <c r="G2515" s="368">
        <v>0.55694444444444446</v>
      </c>
      <c r="H2515" s="368">
        <v>0.6875</v>
      </c>
      <c r="I2515" s="372" t="str">
        <f t="shared" si="91"/>
        <v>188</v>
      </c>
      <c r="J2515" s="371">
        <v>4</v>
      </c>
      <c r="K2515" s="371"/>
      <c r="L2515" s="365">
        <v>0.60416666666666663</v>
      </c>
      <c r="M2515" s="365">
        <v>0.70833333333333337</v>
      </c>
      <c r="N2515" s="372" t="str">
        <f t="shared" si="92"/>
        <v>150</v>
      </c>
      <c r="O2515" s="371">
        <f t="shared" si="93"/>
        <v>1540</v>
      </c>
      <c r="P2515" s="366">
        <f t="shared" si="94"/>
        <v>0.55694444444444446</v>
      </c>
      <c r="Q2515" s="366">
        <f t="shared" si="95"/>
        <v>0.70833333333333337</v>
      </c>
      <c r="R2515" s="367" t="str">
        <f t="shared" si="96"/>
        <v>218</v>
      </c>
    </row>
    <row r="2516" spans="1:18" x14ac:dyDescent="0.4">
      <c r="A2516" s="402">
        <v>46260</v>
      </c>
      <c r="B2516" s="392" t="s">
        <v>1698</v>
      </c>
      <c r="C2516" s="364" t="s">
        <v>1734</v>
      </c>
      <c r="D2516" s="404">
        <v>12</v>
      </c>
      <c r="E2516" s="369">
        <v>5</v>
      </c>
      <c r="F2516" s="370"/>
      <c r="G2516" s="368">
        <v>0.40416666666666662</v>
      </c>
      <c r="H2516" s="368">
        <v>0.55694444444444446</v>
      </c>
      <c r="I2516" s="372" t="str">
        <f t="shared" si="91"/>
        <v>160</v>
      </c>
      <c r="J2516" s="371">
        <v>4</v>
      </c>
      <c r="K2516" s="365">
        <v>2.0833333333333332E-2</v>
      </c>
      <c r="L2516" s="365">
        <v>0.44444444444444442</v>
      </c>
      <c r="M2516" s="365">
        <v>0.60416666666666663</v>
      </c>
      <c r="N2516" s="372" t="str">
        <f t="shared" si="92"/>
        <v>200</v>
      </c>
      <c r="O2516" s="371">
        <f t="shared" si="93"/>
        <v>1600</v>
      </c>
      <c r="P2516" s="366">
        <f t="shared" si="94"/>
        <v>0.40416666666666662</v>
      </c>
      <c r="Q2516" s="366">
        <f t="shared" si="95"/>
        <v>0.60416666666666663</v>
      </c>
      <c r="R2516" s="367" t="str">
        <f t="shared" si="96"/>
        <v>228</v>
      </c>
    </row>
    <row r="2517" spans="1:18" x14ac:dyDescent="0.4">
      <c r="A2517" s="402">
        <v>46260</v>
      </c>
      <c r="B2517" s="392" t="s">
        <v>1699</v>
      </c>
      <c r="C2517" s="364" t="s">
        <v>1064</v>
      </c>
      <c r="D2517" s="404">
        <v>12</v>
      </c>
      <c r="E2517" s="369">
        <v>5</v>
      </c>
      <c r="F2517" s="370"/>
      <c r="G2517" s="368">
        <v>0.29166666666666669</v>
      </c>
      <c r="H2517" s="368">
        <v>0.40416666666666662</v>
      </c>
      <c r="I2517" s="372" t="str">
        <f t="shared" si="91"/>
        <v>162</v>
      </c>
      <c r="J2517" s="371">
        <v>4</v>
      </c>
      <c r="K2517" s="371"/>
      <c r="L2517" s="365">
        <v>0.3125</v>
      </c>
      <c r="M2517" s="365">
        <v>0.44444444444444442</v>
      </c>
      <c r="N2517" s="372" t="str">
        <f t="shared" si="92"/>
        <v>190</v>
      </c>
      <c r="O2517" s="371">
        <f t="shared" si="93"/>
        <v>1570</v>
      </c>
      <c r="P2517" s="366">
        <f t="shared" si="94"/>
        <v>0.29166666666666669</v>
      </c>
      <c r="Q2517" s="366">
        <f t="shared" si="95"/>
        <v>0.44444444444444442</v>
      </c>
      <c r="R2517" s="367" t="str">
        <f t="shared" si="96"/>
        <v>220</v>
      </c>
    </row>
    <row r="2518" spans="1:18" x14ac:dyDescent="0.4">
      <c r="A2518" s="402">
        <v>46260</v>
      </c>
      <c r="B2518" s="392" t="s">
        <v>104</v>
      </c>
      <c r="C2518" s="364" t="s">
        <v>191</v>
      </c>
      <c r="D2518" s="404">
        <v>68</v>
      </c>
      <c r="E2518" s="369">
        <v>3</v>
      </c>
      <c r="F2518" s="368">
        <v>2.0833333333333332E-2</v>
      </c>
      <c r="G2518" s="368">
        <v>0.29166666666666669</v>
      </c>
      <c r="H2518" s="368">
        <v>0.68055555555555547</v>
      </c>
      <c r="I2518" s="372" t="str">
        <f t="shared" si="91"/>
        <v>530</v>
      </c>
      <c r="J2518" s="371">
        <v>4</v>
      </c>
      <c r="K2518" s="371"/>
      <c r="L2518" s="365">
        <v>0.29166666666666669</v>
      </c>
      <c r="M2518" s="365">
        <v>0.73958333333333337</v>
      </c>
      <c r="N2518" s="372" t="str">
        <f t="shared" si="92"/>
        <v>585</v>
      </c>
      <c r="O2518" s="371">
        <f t="shared" si="93"/>
        <v>3930</v>
      </c>
      <c r="P2518" s="366">
        <f t="shared" si="94"/>
        <v>0.29166666666666669</v>
      </c>
      <c r="Q2518" s="366">
        <f t="shared" si="95"/>
        <v>0.73958333333333337</v>
      </c>
      <c r="R2518" s="367" t="str">
        <f t="shared" si="96"/>
        <v>585</v>
      </c>
    </row>
    <row r="2519" spans="1:18" x14ac:dyDescent="0.4">
      <c r="A2519" s="402">
        <v>46261</v>
      </c>
      <c r="B2519" s="392" t="s">
        <v>456</v>
      </c>
      <c r="C2519" s="364" t="s">
        <v>287</v>
      </c>
      <c r="D2519" s="404">
        <v>3</v>
      </c>
      <c r="E2519" s="369">
        <v>4</v>
      </c>
      <c r="F2519" s="370"/>
      <c r="G2519" s="368">
        <v>0.58333333333333337</v>
      </c>
      <c r="H2519" s="368">
        <v>0.6875</v>
      </c>
      <c r="I2519" s="372" t="str">
        <f t="shared" si="91"/>
        <v>150</v>
      </c>
      <c r="J2519" s="371">
        <v>12</v>
      </c>
      <c r="K2519" s="371"/>
      <c r="L2519" s="365">
        <v>0.625</v>
      </c>
      <c r="M2519" s="365">
        <v>0.75</v>
      </c>
      <c r="N2519" s="372" t="str">
        <f t="shared" si="92"/>
        <v>180</v>
      </c>
      <c r="O2519" s="371">
        <f t="shared" si="93"/>
        <v>2760</v>
      </c>
      <c r="P2519" s="366">
        <f t="shared" si="94"/>
        <v>0.58333333333333337</v>
      </c>
      <c r="Q2519" s="366">
        <f t="shared" si="95"/>
        <v>0.75</v>
      </c>
      <c r="R2519" s="367" t="str">
        <f t="shared" si="96"/>
        <v>240</v>
      </c>
    </row>
    <row r="2520" spans="1:18" x14ac:dyDescent="0.4">
      <c r="A2520" s="402">
        <v>46261</v>
      </c>
      <c r="B2520" s="392" t="s">
        <v>106</v>
      </c>
      <c r="C2520" s="364" t="s">
        <v>173</v>
      </c>
      <c r="D2520" s="404">
        <v>16</v>
      </c>
      <c r="E2520" s="369">
        <v>4</v>
      </c>
      <c r="F2520" s="370"/>
      <c r="G2520" s="368">
        <v>0.29166666666666669</v>
      </c>
      <c r="H2520" s="368">
        <v>0.5</v>
      </c>
      <c r="I2520" s="372" t="str">
        <f t="shared" si="91"/>
        <v>300</v>
      </c>
      <c r="J2520" s="371">
        <v>9</v>
      </c>
      <c r="K2520" s="371"/>
      <c r="L2520" s="365">
        <v>0.3125</v>
      </c>
      <c r="M2520" s="365">
        <v>0.56944444444444442</v>
      </c>
      <c r="N2520" s="372" t="str">
        <f t="shared" si="92"/>
        <v>310</v>
      </c>
      <c r="O2520" s="371">
        <f t="shared" si="93"/>
        <v>3990</v>
      </c>
      <c r="P2520" s="366">
        <f t="shared" si="94"/>
        <v>0.29166666666666669</v>
      </c>
      <c r="Q2520" s="366">
        <f t="shared" si="95"/>
        <v>0.56944444444444442</v>
      </c>
      <c r="R2520" s="367" t="str">
        <f t="shared" si="96"/>
        <v>340</v>
      </c>
    </row>
    <row r="2521" spans="1:18" x14ac:dyDescent="0.4">
      <c r="A2521" s="402">
        <v>46261</v>
      </c>
      <c r="B2521" s="392" t="s">
        <v>887</v>
      </c>
      <c r="C2521" s="364" t="s">
        <v>888</v>
      </c>
      <c r="D2521" s="404">
        <v>3</v>
      </c>
      <c r="E2521" s="369">
        <v>4</v>
      </c>
      <c r="F2521" s="370"/>
      <c r="G2521" s="368">
        <v>0.53472222222222221</v>
      </c>
      <c r="H2521" s="368">
        <v>0.58333333333333337</v>
      </c>
      <c r="I2521" s="372" t="str">
        <f t="shared" si="91"/>
        <v>70</v>
      </c>
      <c r="J2521" s="371">
        <v>9</v>
      </c>
      <c r="K2521" s="371"/>
      <c r="L2521" s="365">
        <v>0.56944444444444442</v>
      </c>
      <c r="M2521" s="365">
        <v>0.625</v>
      </c>
      <c r="N2521" s="372" t="str">
        <f t="shared" si="92"/>
        <v>80</v>
      </c>
      <c r="O2521" s="371">
        <f t="shared" si="93"/>
        <v>1000</v>
      </c>
      <c r="P2521" s="366">
        <f t="shared" si="94"/>
        <v>0.53472222222222221</v>
      </c>
      <c r="Q2521" s="366">
        <f t="shared" si="95"/>
        <v>0.625</v>
      </c>
      <c r="R2521" s="367" t="str">
        <f t="shared" si="96"/>
        <v>130</v>
      </c>
    </row>
    <row r="2522" spans="1:18" x14ac:dyDescent="0.4">
      <c r="A2522" s="402">
        <v>46261</v>
      </c>
      <c r="B2522" s="392" t="s">
        <v>54</v>
      </c>
      <c r="C2522" s="364" t="s">
        <v>251</v>
      </c>
      <c r="D2522" s="404">
        <v>24</v>
      </c>
      <c r="E2522" s="369">
        <v>5</v>
      </c>
      <c r="F2522" s="370"/>
      <c r="G2522" s="368">
        <v>0.36458333333333331</v>
      </c>
      <c r="H2522" s="368">
        <v>0.59027777777777779</v>
      </c>
      <c r="I2522" s="372" t="str">
        <f t="shared" si="91"/>
        <v>265</v>
      </c>
      <c r="J2522" s="371">
        <v>3</v>
      </c>
      <c r="K2522" s="371"/>
      <c r="L2522" s="365">
        <v>0.39583333333333331</v>
      </c>
      <c r="M2522" s="365">
        <v>0.61805555555555558</v>
      </c>
      <c r="N2522" s="372" t="str">
        <f t="shared" si="92"/>
        <v>260</v>
      </c>
      <c r="O2522" s="371">
        <f t="shared" si="93"/>
        <v>2105</v>
      </c>
      <c r="P2522" s="366">
        <f t="shared" si="94"/>
        <v>0.36458333333333331</v>
      </c>
      <c r="Q2522" s="366">
        <f t="shared" si="95"/>
        <v>0.61805555555555558</v>
      </c>
      <c r="R2522" s="367" t="str">
        <f t="shared" si="96"/>
        <v>305</v>
      </c>
    </row>
    <row r="2523" spans="1:18" x14ac:dyDescent="0.4">
      <c r="A2523" s="402">
        <v>46261</v>
      </c>
      <c r="B2523" s="392" t="s">
        <v>75</v>
      </c>
      <c r="C2523" s="364" t="s">
        <v>229</v>
      </c>
      <c r="D2523" s="404">
        <v>12</v>
      </c>
      <c r="E2523" s="369">
        <v>5</v>
      </c>
      <c r="F2523" s="370"/>
      <c r="G2523" s="368">
        <v>0.58333333333333337</v>
      </c>
      <c r="H2523" s="368">
        <v>0.70833333333333337</v>
      </c>
      <c r="I2523" s="372" t="str">
        <f t="shared" si="91"/>
        <v>180</v>
      </c>
      <c r="J2523" s="371">
        <v>3</v>
      </c>
      <c r="K2523" s="371"/>
      <c r="L2523" s="365">
        <v>0.61805555555555558</v>
      </c>
      <c r="M2523" s="365">
        <v>0.70833333333333337</v>
      </c>
      <c r="N2523" s="372" t="str">
        <f t="shared" si="92"/>
        <v>130</v>
      </c>
      <c r="O2523" s="371">
        <f t="shared" si="93"/>
        <v>1290</v>
      </c>
      <c r="P2523" s="366">
        <f t="shared" si="94"/>
        <v>0.58333333333333337</v>
      </c>
      <c r="Q2523" s="366">
        <f t="shared" si="95"/>
        <v>0.70833333333333337</v>
      </c>
      <c r="R2523" s="367" t="str">
        <f t="shared" si="96"/>
        <v>180</v>
      </c>
    </row>
    <row r="2524" spans="1:18" x14ac:dyDescent="0.4">
      <c r="A2524" s="402">
        <v>46261</v>
      </c>
      <c r="B2524" s="392" t="s">
        <v>53</v>
      </c>
      <c r="C2524" s="364" t="s">
        <v>261</v>
      </c>
      <c r="D2524" s="404">
        <v>6</v>
      </c>
      <c r="E2524" s="369">
        <v>5</v>
      </c>
      <c r="F2524" s="370"/>
      <c r="G2524" s="368">
        <v>0.29166666666666669</v>
      </c>
      <c r="H2524" s="368">
        <v>0.36458333333333331</v>
      </c>
      <c r="I2524" s="372" t="str">
        <f t="shared" si="91"/>
        <v>105</v>
      </c>
      <c r="J2524" s="371">
        <v>3</v>
      </c>
      <c r="K2524" s="371"/>
      <c r="L2524" s="365">
        <v>0.3125</v>
      </c>
      <c r="M2524" s="365">
        <v>0.39583333333333331</v>
      </c>
      <c r="N2524" s="372" t="str">
        <f t="shared" si="92"/>
        <v>120</v>
      </c>
      <c r="O2524" s="371">
        <f t="shared" si="93"/>
        <v>885</v>
      </c>
      <c r="P2524" s="366">
        <f t="shared" si="94"/>
        <v>0.29166666666666669</v>
      </c>
      <c r="Q2524" s="366">
        <f t="shared" si="95"/>
        <v>0.39583333333333331</v>
      </c>
      <c r="R2524" s="367" t="str">
        <f t="shared" si="96"/>
        <v>150</v>
      </c>
    </row>
    <row r="2525" spans="1:18" s="22" customFormat="1" x14ac:dyDescent="0.4">
      <c r="A2525" s="417">
        <v>46261</v>
      </c>
      <c r="B2525" s="373" t="s">
        <v>97</v>
      </c>
      <c r="C2525" s="364" t="s">
        <v>274</v>
      </c>
      <c r="D2525" s="404">
        <v>8</v>
      </c>
      <c r="E2525" s="67">
        <v>3</v>
      </c>
      <c r="F2525" s="365">
        <v>2.7777777777777776E-2</v>
      </c>
      <c r="G2525" s="365">
        <v>0.29166666666666669</v>
      </c>
      <c r="H2525" s="365">
        <v>0.33333333333333331</v>
      </c>
      <c r="I2525" s="372" t="str">
        <f t="shared" si="91"/>
        <v>100</v>
      </c>
      <c r="J2525" s="371">
        <v>4</v>
      </c>
      <c r="K2525" s="371"/>
      <c r="L2525" s="365">
        <v>0.29166666666666669</v>
      </c>
      <c r="M2525" s="365">
        <v>0.36805555555555558</v>
      </c>
      <c r="N2525" s="372" t="str">
        <f t="shared" si="92"/>
        <v>110</v>
      </c>
      <c r="O2525" s="371">
        <f t="shared" si="93"/>
        <v>740</v>
      </c>
      <c r="P2525" s="366">
        <f t="shared" si="94"/>
        <v>0.29166666666666669</v>
      </c>
      <c r="Q2525" s="366">
        <f t="shared" si="95"/>
        <v>0.36805555555555558</v>
      </c>
      <c r="R2525" s="367" t="str">
        <f t="shared" si="96"/>
        <v>110</v>
      </c>
    </row>
    <row r="2526" spans="1:18" s="22" customFormat="1" x14ac:dyDescent="0.4">
      <c r="A2526" s="417">
        <v>46261</v>
      </c>
      <c r="B2526" s="373" t="s">
        <v>65</v>
      </c>
      <c r="C2526" s="364" t="s">
        <v>189</v>
      </c>
      <c r="D2526" s="404">
        <v>60</v>
      </c>
      <c r="E2526" s="67">
        <v>3</v>
      </c>
      <c r="F2526" s="371"/>
      <c r="G2526" s="365">
        <v>0.33333333333333331</v>
      </c>
      <c r="H2526" s="365">
        <v>0.70833333333333337</v>
      </c>
      <c r="I2526" s="372" t="s">
        <v>991</v>
      </c>
      <c r="J2526" s="371">
        <v>4</v>
      </c>
      <c r="K2526" s="371">
        <v>2.0833333333333332E-2</v>
      </c>
      <c r="L2526" s="365">
        <v>0.375</v>
      </c>
      <c r="M2526" s="365">
        <v>0.75</v>
      </c>
      <c r="N2526" s="372" t="s">
        <v>990</v>
      </c>
      <c r="O2526" s="371">
        <f t="shared" si="93"/>
        <v>3615</v>
      </c>
      <c r="P2526" s="366">
        <f t="shared" si="94"/>
        <v>0.33333333333333331</v>
      </c>
      <c r="Q2526" s="366">
        <f t="shared" si="95"/>
        <v>0.75</v>
      </c>
      <c r="R2526" s="367" t="str">
        <f t="shared" si="96"/>
        <v>540</v>
      </c>
    </row>
    <row r="2527" spans="1:18" x14ac:dyDescent="0.4">
      <c r="A2527" s="402">
        <v>46262</v>
      </c>
      <c r="B2527" s="392" t="s">
        <v>71</v>
      </c>
      <c r="C2527" s="364" t="s">
        <v>176</v>
      </c>
      <c r="D2527" s="404">
        <v>72</v>
      </c>
      <c r="E2527" s="369">
        <v>6</v>
      </c>
      <c r="F2527" s="370"/>
      <c r="G2527" s="368">
        <v>0.29166666666666669</v>
      </c>
      <c r="H2527" s="368">
        <v>0.74305555555555547</v>
      </c>
      <c r="I2527" s="372" t="str">
        <f t="shared" si="91"/>
        <v>590</v>
      </c>
      <c r="J2527" s="371">
        <v>5</v>
      </c>
      <c r="K2527" s="371"/>
      <c r="L2527" s="365">
        <v>0.3125</v>
      </c>
      <c r="M2527" s="365">
        <v>0.75</v>
      </c>
      <c r="N2527" s="372" t="str">
        <f t="shared" si="92"/>
        <v>570</v>
      </c>
      <c r="O2527" s="371">
        <f t="shared" si="93"/>
        <v>6390</v>
      </c>
      <c r="P2527" s="366">
        <f t="shared" si="94"/>
        <v>0.29166666666666669</v>
      </c>
      <c r="Q2527" s="366">
        <f t="shared" si="95"/>
        <v>0.75</v>
      </c>
      <c r="R2527" s="367" t="str">
        <f t="shared" si="96"/>
        <v>600</v>
      </c>
    </row>
    <row r="2528" spans="1:18" x14ac:dyDescent="0.4">
      <c r="A2528" s="402">
        <v>46262</v>
      </c>
      <c r="B2528" s="392" t="s">
        <v>63</v>
      </c>
      <c r="C2528" s="364" t="s">
        <v>267</v>
      </c>
      <c r="D2528" s="404">
        <v>20</v>
      </c>
      <c r="E2528" s="369">
        <v>5</v>
      </c>
      <c r="F2528" s="370"/>
      <c r="G2528" s="368">
        <v>0.54166666666666663</v>
      </c>
      <c r="H2528" s="368">
        <v>0.70833333333333337</v>
      </c>
      <c r="I2528" s="372" t="str">
        <f t="shared" si="91"/>
        <v>240</v>
      </c>
      <c r="J2528" s="371">
        <v>3</v>
      </c>
      <c r="K2528" s="371"/>
      <c r="L2528" s="365">
        <v>0.56597222222222221</v>
      </c>
      <c r="M2528" s="365">
        <v>0.6875</v>
      </c>
      <c r="N2528" s="372" t="str">
        <f t="shared" si="92"/>
        <v>175</v>
      </c>
      <c r="O2528" s="371">
        <f t="shared" si="93"/>
        <v>1725</v>
      </c>
      <c r="P2528" s="366">
        <f t="shared" si="94"/>
        <v>0.54166666666666663</v>
      </c>
      <c r="Q2528" s="366">
        <f t="shared" si="95"/>
        <v>0.70833333333333337</v>
      </c>
      <c r="R2528" s="367" t="str">
        <f t="shared" si="96"/>
        <v>240</v>
      </c>
    </row>
    <row r="2529" spans="1:18" x14ac:dyDescent="0.4">
      <c r="A2529" s="402">
        <v>46262</v>
      </c>
      <c r="B2529" s="392" t="s">
        <v>1162</v>
      </c>
      <c r="C2529" s="364" t="s">
        <v>271</v>
      </c>
      <c r="D2529" s="404">
        <v>24</v>
      </c>
      <c r="E2529" s="369">
        <v>5</v>
      </c>
      <c r="F2529" s="370"/>
      <c r="G2529" s="368">
        <v>0.29166666666666669</v>
      </c>
      <c r="H2529" s="368">
        <v>0.5</v>
      </c>
      <c r="I2529" s="372" t="str">
        <f t="shared" si="91"/>
        <v>300</v>
      </c>
      <c r="J2529" s="371">
        <v>3</v>
      </c>
      <c r="K2529" s="371"/>
      <c r="L2529" s="365">
        <v>0.3125</v>
      </c>
      <c r="M2529" s="365">
        <v>0.56597222222222221</v>
      </c>
      <c r="N2529" s="372" t="str">
        <f t="shared" si="92"/>
        <v>305</v>
      </c>
      <c r="O2529" s="371">
        <f t="shared" si="93"/>
        <v>2415</v>
      </c>
      <c r="P2529" s="366">
        <f t="shared" si="94"/>
        <v>0.29166666666666669</v>
      </c>
      <c r="Q2529" s="366">
        <f t="shared" si="95"/>
        <v>0.56597222222222221</v>
      </c>
      <c r="R2529" s="367" t="str">
        <f t="shared" si="96"/>
        <v>335</v>
      </c>
    </row>
    <row r="2530" spans="1:18" s="22" customFormat="1" x14ac:dyDescent="0.4">
      <c r="A2530" s="417">
        <v>46262</v>
      </c>
      <c r="B2530" s="373" t="s">
        <v>58</v>
      </c>
      <c r="C2530" s="364" t="s">
        <v>165</v>
      </c>
      <c r="D2530" s="404">
        <v>36</v>
      </c>
      <c r="E2530" s="67">
        <v>3</v>
      </c>
      <c r="F2530" s="365">
        <v>2.0833333333333332E-2</v>
      </c>
      <c r="G2530" s="365">
        <v>0.29166666666666669</v>
      </c>
      <c r="H2530" s="365">
        <v>0.625</v>
      </c>
      <c r="I2530" s="372" t="str">
        <f t="shared" si="91"/>
        <v>450</v>
      </c>
      <c r="J2530" s="371">
        <v>6</v>
      </c>
      <c r="K2530" s="371"/>
      <c r="L2530" s="365">
        <v>0.29166666666666669</v>
      </c>
      <c r="M2530" s="365">
        <v>0.68055555555555547</v>
      </c>
      <c r="N2530" s="372" t="str">
        <f t="shared" si="92"/>
        <v>500</v>
      </c>
      <c r="O2530" s="371">
        <f t="shared" si="93"/>
        <v>4350</v>
      </c>
      <c r="P2530" s="366">
        <f t="shared" si="94"/>
        <v>0.29166666666666669</v>
      </c>
      <c r="Q2530" s="366">
        <f t="shared" si="95"/>
        <v>0.68055555555555547</v>
      </c>
      <c r="R2530" s="367" t="str">
        <f t="shared" si="96"/>
        <v>500</v>
      </c>
    </row>
    <row r="2531" spans="1:18" s="22" customFormat="1" x14ac:dyDescent="0.4">
      <c r="A2531" s="417">
        <v>46265</v>
      </c>
      <c r="B2531" s="373" t="s">
        <v>72</v>
      </c>
      <c r="C2531" s="364" t="s">
        <v>227</v>
      </c>
      <c r="D2531" s="404">
        <v>24</v>
      </c>
      <c r="E2531" s="67">
        <v>5</v>
      </c>
      <c r="F2531" s="371"/>
      <c r="G2531" s="365">
        <v>0.29166666666666669</v>
      </c>
      <c r="H2531" s="365">
        <v>0.5</v>
      </c>
      <c r="I2531" s="372" t="str">
        <f t="shared" si="91"/>
        <v>300</v>
      </c>
      <c r="J2531" s="371">
        <v>3</v>
      </c>
      <c r="K2531" s="371"/>
      <c r="L2531" s="365">
        <v>0.3125</v>
      </c>
      <c r="M2531" s="365">
        <v>0.56597222222222221</v>
      </c>
      <c r="N2531" s="372" t="str">
        <f t="shared" si="92"/>
        <v>305</v>
      </c>
      <c r="O2531" s="371">
        <f t="shared" si="93"/>
        <v>2415</v>
      </c>
      <c r="P2531" s="366">
        <f t="shared" si="94"/>
        <v>0.29166666666666669</v>
      </c>
      <c r="Q2531" s="366">
        <f t="shared" si="95"/>
        <v>0.56597222222222221</v>
      </c>
      <c r="R2531" s="367" t="str">
        <f t="shared" si="96"/>
        <v>335</v>
      </c>
    </row>
    <row r="2532" spans="1:18" s="22" customFormat="1" x14ac:dyDescent="0.4">
      <c r="A2532" s="417">
        <v>46265</v>
      </c>
      <c r="B2532" s="373" t="s">
        <v>63</v>
      </c>
      <c r="C2532" s="364" t="s">
        <v>267</v>
      </c>
      <c r="D2532" s="404">
        <v>20</v>
      </c>
      <c r="E2532" s="67">
        <v>5</v>
      </c>
      <c r="F2532" s="371"/>
      <c r="G2532" s="365">
        <v>0.54166666666666663</v>
      </c>
      <c r="H2532" s="365">
        <v>0.6875</v>
      </c>
      <c r="I2532" s="372" t="str">
        <f t="shared" si="91"/>
        <v>210</v>
      </c>
      <c r="J2532" s="371">
        <v>3</v>
      </c>
      <c r="K2532" s="371"/>
      <c r="L2532" s="365">
        <v>0.56597222222222221</v>
      </c>
      <c r="M2532" s="365">
        <v>0.70833333333333337</v>
      </c>
      <c r="N2532" s="372" t="str">
        <f t="shared" si="92"/>
        <v>205</v>
      </c>
      <c r="O2532" s="371">
        <f t="shared" si="93"/>
        <v>1665</v>
      </c>
      <c r="P2532" s="366">
        <f t="shared" si="94"/>
        <v>0.54166666666666663</v>
      </c>
      <c r="Q2532" s="366">
        <f t="shared" si="95"/>
        <v>0.70833333333333337</v>
      </c>
      <c r="R2532" s="367" t="str">
        <f t="shared" si="96"/>
        <v>240</v>
      </c>
    </row>
    <row r="2533" spans="1:18" x14ac:dyDescent="0.4">
      <c r="A2533" s="402">
        <v>46265</v>
      </c>
      <c r="B2533" s="392" t="s">
        <v>108</v>
      </c>
      <c r="C2533" s="364" t="s">
        <v>231</v>
      </c>
      <c r="D2533" s="404">
        <v>12</v>
      </c>
      <c r="E2533" s="369">
        <v>3</v>
      </c>
      <c r="F2533" s="370"/>
      <c r="G2533" s="368">
        <v>0.29166666666666669</v>
      </c>
      <c r="H2533" s="368">
        <v>0.60416666666666663</v>
      </c>
      <c r="I2533" s="372" t="str">
        <f t="shared" si="91"/>
        <v>390</v>
      </c>
      <c r="J2533" s="371">
        <v>5</v>
      </c>
      <c r="K2533" s="365">
        <v>2.0833333333333332E-2</v>
      </c>
      <c r="L2533" s="365">
        <v>0.3125</v>
      </c>
      <c r="M2533" s="365">
        <v>0.60416666666666663</v>
      </c>
      <c r="N2533" s="372" t="str">
        <f t="shared" si="92"/>
        <v>390</v>
      </c>
      <c r="O2533" s="371">
        <f t="shared" si="93"/>
        <v>3120</v>
      </c>
      <c r="P2533" s="366">
        <f t="shared" si="94"/>
        <v>0.29166666666666669</v>
      </c>
      <c r="Q2533" s="366">
        <f t="shared" si="95"/>
        <v>0.60416666666666663</v>
      </c>
      <c r="R2533" s="367" t="str">
        <f t="shared" si="96"/>
        <v>390</v>
      </c>
    </row>
    <row r="2534" spans="1:18" x14ac:dyDescent="0.4">
      <c r="A2534" s="402">
        <v>46265</v>
      </c>
      <c r="B2534" s="392" t="s">
        <v>536</v>
      </c>
      <c r="C2534" s="364" t="s">
        <v>306</v>
      </c>
      <c r="D2534" s="404">
        <v>6</v>
      </c>
      <c r="E2534" s="369">
        <v>3</v>
      </c>
      <c r="F2534" s="370"/>
      <c r="G2534" s="368">
        <v>0.60416666666666663</v>
      </c>
      <c r="H2534" s="368">
        <v>0.73611111111111116</v>
      </c>
      <c r="I2534" s="372" t="str">
        <f t="shared" si="91"/>
        <v>190</v>
      </c>
      <c r="J2534" s="371">
        <v>5</v>
      </c>
      <c r="K2534" s="371"/>
      <c r="L2534" s="365">
        <v>0.60416666666666663</v>
      </c>
      <c r="M2534" s="365">
        <v>0.77083333333333337</v>
      </c>
      <c r="N2534" s="372" t="str">
        <f t="shared" si="92"/>
        <v>240</v>
      </c>
      <c r="O2534" s="371">
        <f t="shared" si="93"/>
        <v>1770</v>
      </c>
      <c r="P2534" s="366">
        <f t="shared" si="94"/>
        <v>0.60416666666666663</v>
      </c>
      <c r="Q2534" s="366">
        <f t="shared" si="95"/>
        <v>0.77083333333333337</v>
      </c>
      <c r="R2534" s="367" t="str">
        <f t="shared" si="96"/>
        <v>240</v>
      </c>
    </row>
    <row r="2535" spans="1:18" x14ac:dyDescent="0.4">
      <c r="A2535" s="402">
        <v>46265</v>
      </c>
      <c r="B2535" s="392" t="s">
        <v>65</v>
      </c>
      <c r="C2535" s="364" t="s">
        <v>189</v>
      </c>
      <c r="D2535" s="404">
        <v>68</v>
      </c>
      <c r="E2535" s="369">
        <v>3</v>
      </c>
      <c r="F2535" s="368">
        <v>2.0833333333333332E-2</v>
      </c>
      <c r="G2535" s="368">
        <v>0.29166666666666669</v>
      </c>
      <c r="H2535" s="368">
        <v>0.64930555555555558</v>
      </c>
      <c r="I2535" s="372" t="str">
        <f t="shared" si="91"/>
        <v>485</v>
      </c>
      <c r="J2535" s="371">
        <v>4</v>
      </c>
      <c r="K2535" s="371"/>
      <c r="L2535" s="365">
        <v>0.29166666666666669</v>
      </c>
      <c r="M2535" s="365">
        <v>0.69097222222222221</v>
      </c>
      <c r="N2535" s="372" t="str">
        <f t="shared" si="92"/>
        <v>515</v>
      </c>
      <c r="O2535" s="371">
        <f t="shared" si="93"/>
        <v>3515</v>
      </c>
      <c r="P2535" s="366">
        <f t="shared" si="94"/>
        <v>0.29166666666666669</v>
      </c>
      <c r="Q2535" s="366">
        <f t="shared" si="95"/>
        <v>0.69097222222222221</v>
      </c>
      <c r="R2535" s="367" t="str">
        <f t="shared" si="96"/>
        <v>515</v>
      </c>
    </row>
    <row r="2536" spans="1:18" x14ac:dyDescent="0.4">
      <c r="A2536" s="403">
        <v>46265</v>
      </c>
      <c r="B2536" s="383" t="s">
        <v>431</v>
      </c>
      <c r="C2536" s="390" t="s">
        <v>436</v>
      </c>
      <c r="D2536" s="405">
        <v>2</v>
      </c>
      <c r="E2536" s="384"/>
      <c r="F2536" s="385"/>
      <c r="G2536" s="396"/>
      <c r="H2536" s="396"/>
      <c r="I2536" s="386" t="str">
        <f t="shared" si="91"/>
        <v>0</v>
      </c>
      <c r="J2536" s="387"/>
      <c r="K2536" s="387"/>
      <c r="L2536" s="388"/>
      <c r="M2536" s="388"/>
      <c r="N2536" s="386" t="str">
        <f t="shared" si="92"/>
        <v>0</v>
      </c>
      <c r="O2536" s="387">
        <f t="shared" si="93"/>
        <v>0</v>
      </c>
      <c r="P2536" s="391">
        <f t="shared" si="94"/>
        <v>0</v>
      </c>
      <c r="Q2536" s="391">
        <f t="shared" si="95"/>
        <v>0</v>
      </c>
      <c r="R2536" s="389" t="str">
        <f t="shared" si="96"/>
        <v>0</v>
      </c>
    </row>
    <row r="2537" spans="1:18" x14ac:dyDescent="0.4">
      <c r="A2537" s="402">
        <v>46266</v>
      </c>
      <c r="B2537" s="392" t="s">
        <v>80</v>
      </c>
      <c r="C2537" s="364" t="s">
        <v>203</v>
      </c>
      <c r="D2537" s="404">
        <v>36</v>
      </c>
      <c r="E2537" s="369">
        <v>5</v>
      </c>
      <c r="F2537" s="370"/>
      <c r="G2537" s="368">
        <v>0.29166666666666669</v>
      </c>
      <c r="H2537" s="368">
        <v>0.5</v>
      </c>
      <c r="I2537" s="372" t="str">
        <f t="shared" si="91"/>
        <v>300</v>
      </c>
      <c r="J2537" s="371">
        <v>5</v>
      </c>
      <c r="K2537" s="371"/>
      <c r="L2537" s="365">
        <v>0.3125</v>
      </c>
      <c r="M2537" s="365">
        <v>0.58333333333333337</v>
      </c>
      <c r="N2537" s="372" t="str">
        <f t="shared" si="92"/>
        <v>330</v>
      </c>
      <c r="O2537" s="371">
        <f t="shared" si="93"/>
        <v>3150</v>
      </c>
      <c r="P2537" s="366">
        <f t="shared" si="94"/>
        <v>0.29166666666666669</v>
      </c>
      <c r="Q2537" s="366">
        <f t="shared" si="95"/>
        <v>0.58333333333333337</v>
      </c>
      <c r="R2537" s="367" t="str">
        <f t="shared" si="96"/>
        <v>360</v>
      </c>
    </row>
    <row r="2538" spans="1:18" x14ac:dyDescent="0.4">
      <c r="A2538" s="402">
        <v>46266</v>
      </c>
      <c r="B2538" s="392" t="s">
        <v>68</v>
      </c>
      <c r="C2538" s="364" t="s">
        <v>185</v>
      </c>
      <c r="D2538" s="404">
        <v>20</v>
      </c>
      <c r="E2538" s="369">
        <v>5</v>
      </c>
      <c r="F2538" s="370"/>
      <c r="G2538" s="368">
        <v>0.54166666666666663</v>
      </c>
      <c r="H2538" s="368">
        <v>0.72916666666666663</v>
      </c>
      <c r="I2538" s="372" t="str">
        <f t="shared" ref="I2538:I2566" si="97">TEXT(IF(AND(G2538&lt;=$S$2,H2538&gt;=$T$2),(H2538-G2538+F2538)-($T$2-$S$2),(H2538-G2538+F2538)),"[m]")</f>
        <v>270</v>
      </c>
      <c r="J2538" s="371">
        <v>5</v>
      </c>
      <c r="K2538" s="371"/>
      <c r="L2538" s="365">
        <v>0.58333333333333337</v>
      </c>
      <c r="M2538" s="365">
        <v>0.75</v>
      </c>
      <c r="N2538" s="372" t="str">
        <f t="shared" ref="N2538:N2566" si="98">TEXT(IF(AND(L2538&lt;=$S$2,M2538&gt;=$T$2),(M2538-L2538+K2538)-($T$2-$S$2),(M2538-L2538+K2538)),"[m]")</f>
        <v>240</v>
      </c>
      <c r="O2538" s="371">
        <f t="shared" ref="O2538:O2566" si="99">E2538*I2538+J2538*N2538</f>
        <v>2550</v>
      </c>
      <c r="P2538" s="366">
        <f t="shared" ref="P2538:P2566" si="100">MIN(G2538:H2538,L2538:M2538)</f>
        <v>0.54166666666666663</v>
      </c>
      <c r="Q2538" s="366">
        <f t="shared" ref="Q2538:Q2566" si="101">MAX(G2538:H2538,L2538:M2538)</f>
        <v>0.75</v>
      </c>
      <c r="R2538" s="367" t="str">
        <f t="shared" ref="R2538:R2566" si="102">TEXT(IF(AND(P2538&lt;=$S$2,Q2538&gt;=$T$2),(Q2538-P2538)-($T$2-$S$2),(Q2538-P2538)),"[m]")</f>
        <v>300</v>
      </c>
    </row>
    <row r="2539" spans="1:18" s="22" customFormat="1" x14ac:dyDescent="0.4">
      <c r="A2539" s="417">
        <v>46266</v>
      </c>
      <c r="B2539" s="373" t="s">
        <v>76</v>
      </c>
      <c r="C2539" s="364" t="s">
        <v>224</v>
      </c>
      <c r="D2539" s="404">
        <v>16</v>
      </c>
      <c r="E2539" s="67">
        <v>5</v>
      </c>
      <c r="F2539" s="371"/>
      <c r="G2539" s="365">
        <v>0.4284722222222222</v>
      </c>
      <c r="H2539" s="365">
        <v>0.59722222222222221</v>
      </c>
      <c r="I2539" s="372" t="str">
        <f t="shared" si="97"/>
        <v>183</v>
      </c>
      <c r="J2539" s="371">
        <v>3</v>
      </c>
      <c r="K2539" s="371"/>
      <c r="L2539" s="365">
        <v>0.4513888888888889</v>
      </c>
      <c r="M2539" s="365">
        <v>0.60069444444444442</v>
      </c>
      <c r="N2539" s="372" t="str">
        <f t="shared" si="98"/>
        <v>155</v>
      </c>
      <c r="O2539" s="371">
        <f t="shared" si="99"/>
        <v>1380</v>
      </c>
      <c r="P2539" s="366">
        <f t="shared" si="100"/>
        <v>0.4284722222222222</v>
      </c>
      <c r="Q2539" s="366">
        <f t="shared" si="101"/>
        <v>0.60069444444444442</v>
      </c>
      <c r="R2539" s="367" t="str">
        <f t="shared" si="102"/>
        <v>188</v>
      </c>
    </row>
    <row r="2540" spans="1:18" s="22" customFormat="1" x14ac:dyDescent="0.4">
      <c r="A2540" s="417">
        <v>46266</v>
      </c>
      <c r="B2540" s="373" t="s">
        <v>107</v>
      </c>
      <c r="C2540" s="364" t="s">
        <v>314</v>
      </c>
      <c r="D2540" s="404">
        <v>16</v>
      </c>
      <c r="E2540" s="67">
        <v>5</v>
      </c>
      <c r="F2540" s="371"/>
      <c r="G2540" s="365">
        <v>0.29166666666666669</v>
      </c>
      <c r="H2540" s="365">
        <v>0.4284722222222222</v>
      </c>
      <c r="I2540" s="372" t="str">
        <f t="shared" si="97"/>
        <v>197</v>
      </c>
      <c r="J2540" s="371">
        <v>3</v>
      </c>
      <c r="K2540" s="371"/>
      <c r="L2540" s="365">
        <v>0.3125</v>
      </c>
      <c r="M2540" s="365">
        <v>0.4513888888888889</v>
      </c>
      <c r="N2540" s="372" t="str">
        <f t="shared" si="98"/>
        <v>200</v>
      </c>
      <c r="O2540" s="371">
        <f t="shared" si="99"/>
        <v>1585</v>
      </c>
      <c r="P2540" s="366">
        <f t="shared" si="100"/>
        <v>0.29166666666666669</v>
      </c>
      <c r="Q2540" s="366">
        <f t="shared" si="101"/>
        <v>0.4513888888888889</v>
      </c>
      <c r="R2540" s="367" t="str">
        <f t="shared" si="102"/>
        <v>230</v>
      </c>
    </row>
    <row r="2541" spans="1:18" s="22" customFormat="1" x14ac:dyDescent="0.4">
      <c r="A2541" s="417">
        <v>46266</v>
      </c>
      <c r="B2541" s="373" t="s">
        <v>63</v>
      </c>
      <c r="C2541" s="364" t="s">
        <v>267</v>
      </c>
      <c r="D2541" s="404">
        <v>12</v>
      </c>
      <c r="E2541" s="67">
        <v>5</v>
      </c>
      <c r="F2541" s="371"/>
      <c r="G2541" s="365">
        <v>0.59722222222222221</v>
      </c>
      <c r="H2541" s="365">
        <v>0.6875</v>
      </c>
      <c r="I2541" s="372" t="str">
        <f t="shared" si="97"/>
        <v>130</v>
      </c>
      <c r="J2541" s="371">
        <v>3</v>
      </c>
      <c r="K2541" s="371"/>
      <c r="L2541" s="365">
        <v>0.60069444444444442</v>
      </c>
      <c r="M2541" s="365">
        <v>0.6875</v>
      </c>
      <c r="N2541" s="372" t="str">
        <f t="shared" si="98"/>
        <v>125</v>
      </c>
      <c r="O2541" s="371">
        <f t="shared" si="99"/>
        <v>1025</v>
      </c>
      <c r="P2541" s="366">
        <f t="shared" si="100"/>
        <v>0.59722222222222221</v>
      </c>
      <c r="Q2541" s="366">
        <f t="shared" si="101"/>
        <v>0.6875</v>
      </c>
      <c r="R2541" s="367" t="str">
        <f t="shared" si="102"/>
        <v>130</v>
      </c>
    </row>
    <row r="2542" spans="1:18" x14ac:dyDescent="0.4">
      <c r="A2542" s="402">
        <v>46266</v>
      </c>
      <c r="B2542" s="392" t="s">
        <v>65</v>
      </c>
      <c r="C2542" s="364" t="s">
        <v>189</v>
      </c>
      <c r="D2542" s="404">
        <v>68</v>
      </c>
      <c r="E2542" s="369">
        <v>3</v>
      </c>
      <c r="F2542" s="368">
        <v>2.0833333333333332E-2</v>
      </c>
      <c r="G2542" s="368">
        <v>0.29166666666666669</v>
      </c>
      <c r="H2542" s="368">
        <v>0.63541666666666663</v>
      </c>
      <c r="I2542" s="372" t="str">
        <f t="shared" si="97"/>
        <v>465</v>
      </c>
      <c r="J2542" s="371">
        <v>4</v>
      </c>
      <c r="K2542" s="371"/>
      <c r="L2542" s="365">
        <v>0.29166666666666669</v>
      </c>
      <c r="M2542" s="365">
        <v>0.68055555555555547</v>
      </c>
      <c r="N2542" s="372" t="str">
        <f t="shared" si="98"/>
        <v>500</v>
      </c>
      <c r="O2542" s="371">
        <f t="shared" si="99"/>
        <v>3395</v>
      </c>
      <c r="P2542" s="366">
        <f t="shared" si="100"/>
        <v>0.29166666666666669</v>
      </c>
      <c r="Q2542" s="366">
        <f t="shared" si="101"/>
        <v>0.68055555555555547</v>
      </c>
      <c r="R2542" s="367" t="str">
        <f t="shared" si="102"/>
        <v>500</v>
      </c>
    </row>
    <row r="2543" spans="1:18" x14ac:dyDescent="0.4">
      <c r="A2543" s="402">
        <v>46267</v>
      </c>
      <c r="B2543" s="392" t="s">
        <v>75</v>
      </c>
      <c r="C2543" s="364" t="s">
        <v>229</v>
      </c>
      <c r="D2543" s="404">
        <v>20</v>
      </c>
      <c r="E2543" s="369">
        <v>5</v>
      </c>
      <c r="F2543" s="370"/>
      <c r="G2543" s="368">
        <v>0.29166666666666669</v>
      </c>
      <c r="H2543" s="368">
        <v>0.4548611111111111</v>
      </c>
      <c r="I2543" s="372" t="str">
        <f t="shared" si="97"/>
        <v>235</v>
      </c>
      <c r="J2543" s="371">
        <v>3</v>
      </c>
      <c r="K2543" s="371"/>
      <c r="L2543" s="365">
        <v>0.3125</v>
      </c>
      <c r="M2543" s="365">
        <v>0.47916666666666669</v>
      </c>
      <c r="N2543" s="372" t="str">
        <f t="shared" si="98"/>
        <v>240</v>
      </c>
      <c r="O2543" s="371">
        <f t="shared" si="99"/>
        <v>1895</v>
      </c>
      <c r="P2543" s="366">
        <f t="shared" si="100"/>
        <v>0.29166666666666669</v>
      </c>
      <c r="Q2543" s="366">
        <f t="shared" si="101"/>
        <v>0.47916666666666669</v>
      </c>
      <c r="R2543" s="367" t="str">
        <f t="shared" si="102"/>
        <v>270</v>
      </c>
    </row>
    <row r="2544" spans="1:18" s="22" customFormat="1" x14ac:dyDescent="0.4">
      <c r="A2544" s="417">
        <v>46267</v>
      </c>
      <c r="B2544" s="373" t="s">
        <v>63</v>
      </c>
      <c r="C2544" s="364" t="s">
        <v>267</v>
      </c>
      <c r="D2544" s="404">
        <v>24</v>
      </c>
      <c r="E2544" s="67">
        <v>5</v>
      </c>
      <c r="F2544" s="371"/>
      <c r="G2544" s="365">
        <v>0.4548611111111111</v>
      </c>
      <c r="H2544" s="365">
        <v>0.6875</v>
      </c>
      <c r="I2544" s="372" t="str">
        <f t="shared" si="97"/>
        <v>275</v>
      </c>
      <c r="J2544" s="371">
        <v>3</v>
      </c>
      <c r="K2544" s="371"/>
      <c r="L2544" s="365">
        <v>0.47916666666666669</v>
      </c>
      <c r="M2544" s="365">
        <v>0.70833333333333337</v>
      </c>
      <c r="N2544" s="372" t="str">
        <f t="shared" si="98"/>
        <v>270</v>
      </c>
      <c r="O2544" s="371">
        <f t="shared" si="99"/>
        <v>2185</v>
      </c>
      <c r="P2544" s="366">
        <f t="shared" si="100"/>
        <v>0.4548611111111111</v>
      </c>
      <c r="Q2544" s="366">
        <f t="shared" si="101"/>
        <v>0.70833333333333337</v>
      </c>
      <c r="R2544" s="367" t="str">
        <f t="shared" si="102"/>
        <v>305</v>
      </c>
    </row>
    <row r="2545" spans="1:18" x14ac:dyDescent="0.4">
      <c r="A2545" s="402">
        <v>46267</v>
      </c>
      <c r="B2545" s="392" t="s">
        <v>73</v>
      </c>
      <c r="C2545" s="364" t="s">
        <v>231</v>
      </c>
      <c r="D2545" s="404">
        <v>21</v>
      </c>
      <c r="E2545" s="369">
        <v>4</v>
      </c>
      <c r="F2545" s="370"/>
      <c r="G2545" s="368">
        <v>0.29166666666666669</v>
      </c>
      <c r="H2545" s="368">
        <v>0.375</v>
      </c>
      <c r="I2545" s="372" t="str">
        <f t="shared" si="97"/>
        <v>120</v>
      </c>
      <c r="J2545" s="371">
        <v>7</v>
      </c>
      <c r="K2545" s="371"/>
      <c r="L2545" s="365">
        <v>0.375</v>
      </c>
      <c r="M2545" s="365">
        <v>0.6875</v>
      </c>
      <c r="N2545" s="372" t="str">
        <f t="shared" si="98"/>
        <v>390</v>
      </c>
      <c r="O2545" s="371">
        <f t="shared" si="99"/>
        <v>3210</v>
      </c>
      <c r="P2545" s="366">
        <f t="shared" si="100"/>
        <v>0.29166666666666669</v>
      </c>
      <c r="Q2545" s="366">
        <f t="shared" si="101"/>
        <v>0.6875</v>
      </c>
      <c r="R2545" s="367" t="str">
        <f t="shared" si="102"/>
        <v>510</v>
      </c>
    </row>
    <row r="2546" spans="1:18" x14ac:dyDescent="0.4">
      <c r="A2546" s="402">
        <v>46267</v>
      </c>
      <c r="B2546" s="392" t="s">
        <v>597</v>
      </c>
      <c r="C2546" s="364" t="s">
        <v>283</v>
      </c>
      <c r="D2546" s="404">
        <v>8</v>
      </c>
      <c r="E2546" s="369">
        <v>3</v>
      </c>
      <c r="F2546" s="368">
        <v>2.0833333333333332E-2</v>
      </c>
      <c r="G2546" s="368">
        <v>0.29166666666666669</v>
      </c>
      <c r="H2546" s="368">
        <v>0.35416666666666669</v>
      </c>
      <c r="I2546" s="372" t="str">
        <f t="shared" si="97"/>
        <v>120</v>
      </c>
      <c r="J2546" s="371">
        <v>6</v>
      </c>
      <c r="K2546" s="371"/>
      <c r="L2546" s="365">
        <v>0.29166666666666669</v>
      </c>
      <c r="M2546" s="365">
        <v>0.4375</v>
      </c>
      <c r="N2546" s="372" t="str">
        <f t="shared" si="98"/>
        <v>210</v>
      </c>
      <c r="O2546" s="371">
        <f t="shared" si="99"/>
        <v>1620</v>
      </c>
      <c r="P2546" s="366">
        <f t="shared" si="100"/>
        <v>0.29166666666666669</v>
      </c>
      <c r="Q2546" s="366">
        <f t="shared" si="101"/>
        <v>0.4375</v>
      </c>
      <c r="R2546" s="367" t="str">
        <f t="shared" si="102"/>
        <v>210</v>
      </c>
    </row>
    <row r="2547" spans="1:18" x14ac:dyDescent="0.4">
      <c r="A2547" s="402">
        <v>46267</v>
      </c>
      <c r="B2547" s="392" t="s">
        <v>65</v>
      </c>
      <c r="C2547" s="364" t="s">
        <v>189</v>
      </c>
      <c r="D2547" s="404">
        <v>32</v>
      </c>
      <c r="E2547" s="369">
        <v>3</v>
      </c>
      <c r="F2547" s="370"/>
      <c r="G2547" s="368">
        <v>0.35069444444444442</v>
      </c>
      <c r="H2547" s="368">
        <v>0.60763888888888895</v>
      </c>
      <c r="I2547" s="372" t="str">
        <f t="shared" si="97"/>
        <v>310</v>
      </c>
      <c r="J2547" s="371">
        <v>4</v>
      </c>
      <c r="K2547" s="371"/>
      <c r="L2547" s="365">
        <v>0.44444444444444442</v>
      </c>
      <c r="M2547" s="365">
        <v>0.64236111111111105</v>
      </c>
      <c r="N2547" s="372" t="str">
        <f t="shared" si="98"/>
        <v>225</v>
      </c>
      <c r="O2547" s="371">
        <f t="shared" si="99"/>
        <v>1830</v>
      </c>
      <c r="P2547" s="366">
        <f t="shared" si="100"/>
        <v>0.35069444444444442</v>
      </c>
      <c r="Q2547" s="366">
        <f t="shared" si="101"/>
        <v>0.64236111111111105</v>
      </c>
      <c r="R2547" s="367" t="str">
        <f t="shared" si="102"/>
        <v>360</v>
      </c>
    </row>
    <row r="2548" spans="1:18" x14ac:dyDescent="0.4">
      <c r="A2548" s="402">
        <v>46268</v>
      </c>
      <c r="B2548" s="392" t="s">
        <v>71</v>
      </c>
      <c r="C2548" s="364" t="s">
        <v>176</v>
      </c>
      <c r="D2548" s="404">
        <v>64</v>
      </c>
      <c r="E2548" s="369">
        <v>6</v>
      </c>
      <c r="F2548" s="370"/>
      <c r="G2548" s="368">
        <v>0.37152777777777773</v>
      </c>
      <c r="H2548" s="368">
        <v>0.72916666666666663</v>
      </c>
      <c r="I2548" s="372" t="str">
        <f t="shared" si="97"/>
        <v>455</v>
      </c>
      <c r="J2548" s="371">
        <v>5</v>
      </c>
      <c r="K2548" s="371"/>
      <c r="L2548" s="365">
        <v>0.41666666666666669</v>
      </c>
      <c r="M2548" s="365">
        <v>0.77083333333333337</v>
      </c>
      <c r="N2548" s="372" t="str">
        <f t="shared" si="98"/>
        <v>450</v>
      </c>
      <c r="O2548" s="371">
        <f t="shared" si="99"/>
        <v>4980</v>
      </c>
      <c r="P2548" s="366">
        <f t="shared" si="100"/>
        <v>0.37152777777777773</v>
      </c>
      <c r="Q2548" s="366">
        <f t="shared" si="101"/>
        <v>0.77083333333333337</v>
      </c>
      <c r="R2548" s="367" t="str">
        <f t="shared" si="102"/>
        <v>515</v>
      </c>
    </row>
    <row r="2549" spans="1:18" x14ac:dyDescent="0.4">
      <c r="A2549" s="402">
        <v>46268</v>
      </c>
      <c r="B2549" s="392" t="s">
        <v>1745</v>
      </c>
      <c r="C2549" s="364" t="s">
        <v>1747</v>
      </c>
      <c r="D2549" s="404">
        <v>8</v>
      </c>
      <c r="E2549" s="369">
        <v>6</v>
      </c>
      <c r="F2549" s="370"/>
      <c r="G2549" s="368">
        <v>0.29166666666666669</v>
      </c>
      <c r="H2549" s="368">
        <v>0.37152777777777773</v>
      </c>
      <c r="I2549" s="372" t="str">
        <f t="shared" si="97"/>
        <v>115</v>
      </c>
      <c r="J2549" s="371">
        <v>5</v>
      </c>
      <c r="K2549" s="371"/>
      <c r="L2549" s="365">
        <v>0.3125</v>
      </c>
      <c r="M2549" s="365">
        <v>0.41666666666666669</v>
      </c>
      <c r="N2549" s="372" t="str">
        <f t="shared" si="98"/>
        <v>150</v>
      </c>
      <c r="O2549" s="371">
        <f t="shared" si="99"/>
        <v>1440</v>
      </c>
      <c r="P2549" s="366">
        <f t="shared" si="100"/>
        <v>0.29166666666666669</v>
      </c>
      <c r="Q2549" s="366">
        <f t="shared" si="101"/>
        <v>0.41666666666666669</v>
      </c>
      <c r="R2549" s="367" t="str">
        <f t="shared" si="102"/>
        <v>180</v>
      </c>
    </row>
    <row r="2550" spans="1:18" x14ac:dyDescent="0.4">
      <c r="A2550" s="402">
        <v>46268</v>
      </c>
      <c r="B2550" s="392" t="s">
        <v>1696</v>
      </c>
      <c r="C2550" s="364" t="s">
        <v>249</v>
      </c>
      <c r="D2550" s="404">
        <v>1</v>
      </c>
      <c r="E2550" s="369">
        <v>5</v>
      </c>
      <c r="F2550" s="370"/>
      <c r="G2550" s="368">
        <v>0.29166666666666669</v>
      </c>
      <c r="H2550" s="368">
        <v>0.33333333333333331</v>
      </c>
      <c r="I2550" s="372" t="str">
        <f t="shared" si="97"/>
        <v>60</v>
      </c>
      <c r="J2550" s="371">
        <v>3</v>
      </c>
      <c r="K2550" s="371"/>
      <c r="L2550" s="365">
        <v>0.3125</v>
      </c>
      <c r="M2550" s="365">
        <v>0.3611111111111111</v>
      </c>
      <c r="N2550" s="372" t="str">
        <f t="shared" si="98"/>
        <v>70</v>
      </c>
      <c r="O2550" s="371">
        <f t="shared" si="99"/>
        <v>510</v>
      </c>
      <c r="P2550" s="366">
        <f t="shared" si="100"/>
        <v>0.29166666666666669</v>
      </c>
      <c r="Q2550" s="366">
        <f t="shared" si="101"/>
        <v>0.3611111111111111</v>
      </c>
      <c r="R2550" s="367" t="str">
        <f t="shared" si="102"/>
        <v>100</v>
      </c>
    </row>
    <row r="2551" spans="1:18" x14ac:dyDescent="0.4">
      <c r="A2551" s="402">
        <v>46268</v>
      </c>
      <c r="B2551" s="392" t="s">
        <v>1737</v>
      </c>
      <c r="C2551" s="364" t="s">
        <v>235</v>
      </c>
      <c r="D2551" s="404">
        <v>16</v>
      </c>
      <c r="E2551" s="369">
        <v>5</v>
      </c>
      <c r="F2551" s="370"/>
      <c r="G2551" s="368">
        <v>0.33333333333333331</v>
      </c>
      <c r="H2551" s="368">
        <v>0.4458333333333333</v>
      </c>
      <c r="I2551" s="372" t="str">
        <f t="shared" si="97"/>
        <v>162</v>
      </c>
      <c r="J2551" s="371">
        <v>4</v>
      </c>
      <c r="K2551" s="371"/>
      <c r="L2551" s="365">
        <v>0.3611111111111111</v>
      </c>
      <c r="M2551" s="365">
        <v>0.47916666666666669</v>
      </c>
      <c r="N2551" s="372" t="str">
        <f t="shared" si="98"/>
        <v>170</v>
      </c>
      <c r="O2551" s="371">
        <f t="shared" si="99"/>
        <v>1490</v>
      </c>
      <c r="P2551" s="366">
        <f t="shared" si="100"/>
        <v>0.33333333333333331</v>
      </c>
      <c r="Q2551" s="366">
        <f t="shared" si="101"/>
        <v>0.47916666666666669</v>
      </c>
      <c r="R2551" s="367" t="str">
        <f t="shared" si="102"/>
        <v>210</v>
      </c>
    </row>
    <row r="2552" spans="1:18" s="22" customFormat="1" x14ac:dyDescent="0.4">
      <c r="A2552" s="417">
        <v>46268</v>
      </c>
      <c r="B2552" s="373" t="s">
        <v>1753</v>
      </c>
      <c r="C2552" s="364" t="s">
        <v>645</v>
      </c>
      <c r="D2552" s="404">
        <v>12</v>
      </c>
      <c r="E2552" s="67">
        <v>5</v>
      </c>
      <c r="F2552" s="371"/>
      <c r="G2552" s="365">
        <v>0.4458333333333333</v>
      </c>
      <c r="H2552" s="365">
        <v>0.64374999999999993</v>
      </c>
      <c r="I2552" s="372" t="str">
        <f t="shared" si="97"/>
        <v>225</v>
      </c>
      <c r="J2552" s="371">
        <v>4</v>
      </c>
      <c r="K2552" s="371"/>
      <c r="L2552" s="365">
        <v>0.47916666666666669</v>
      </c>
      <c r="M2552" s="365">
        <v>0.64930555555555558</v>
      </c>
      <c r="N2552" s="372" t="str">
        <f t="shared" si="98"/>
        <v>185</v>
      </c>
      <c r="O2552" s="371">
        <f t="shared" si="99"/>
        <v>1865</v>
      </c>
      <c r="P2552" s="366">
        <f t="shared" si="100"/>
        <v>0.4458333333333333</v>
      </c>
      <c r="Q2552" s="366">
        <f t="shared" si="101"/>
        <v>0.64930555555555558</v>
      </c>
      <c r="R2552" s="367" t="str">
        <f t="shared" si="102"/>
        <v>233</v>
      </c>
    </row>
    <row r="2553" spans="1:18" s="22" customFormat="1" x14ac:dyDescent="0.4">
      <c r="A2553" s="417">
        <v>46268</v>
      </c>
      <c r="B2553" s="373" t="s">
        <v>118</v>
      </c>
      <c r="C2553" s="364" t="s">
        <v>318</v>
      </c>
      <c r="D2553" s="404">
        <v>4</v>
      </c>
      <c r="E2553" s="67">
        <v>5</v>
      </c>
      <c r="F2553" s="371"/>
      <c r="G2553" s="365">
        <v>0.64374999999999993</v>
      </c>
      <c r="H2553" s="365">
        <v>0.6875</v>
      </c>
      <c r="I2553" s="372" t="str">
        <f t="shared" si="97"/>
        <v>63</v>
      </c>
      <c r="J2553" s="371">
        <v>4</v>
      </c>
      <c r="K2553" s="371"/>
      <c r="L2553" s="365">
        <v>0.64930555555555558</v>
      </c>
      <c r="M2553" s="365">
        <v>0.6875</v>
      </c>
      <c r="N2553" s="372" t="str">
        <f t="shared" si="98"/>
        <v>55</v>
      </c>
      <c r="O2553" s="371">
        <f t="shared" si="99"/>
        <v>535</v>
      </c>
      <c r="P2553" s="366">
        <f t="shared" si="100"/>
        <v>0.64374999999999993</v>
      </c>
      <c r="Q2553" s="366">
        <f t="shared" si="101"/>
        <v>0.6875</v>
      </c>
      <c r="R2553" s="367" t="str">
        <f t="shared" si="102"/>
        <v>63</v>
      </c>
    </row>
    <row r="2554" spans="1:18" x14ac:dyDescent="0.4">
      <c r="A2554" s="402">
        <v>46268</v>
      </c>
      <c r="B2554" s="392" t="s">
        <v>82</v>
      </c>
      <c r="C2554" s="364" t="s">
        <v>171</v>
      </c>
      <c r="D2554" s="404">
        <v>20</v>
      </c>
      <c r="E2554" s="369">
        <v>3</v>
      </c>
      <c r="F2554" s="368"/>
      <c r="G2554" s="368">
        <v>0.41319444444444442</v>
      </c>
      <c r="H2554" s="368">
        <v>0.62152777777777779</v>
      </c>
      <c r="I2554" s="372" t="str">
        <f t="shared" si="97"/>
        <v>240</v>
      </c>
      <c r="J2554" s="371">
        <v>7</v>
      </c>
      <c r="K2554" s="371"/>
      <c r="L2554" s="365">
        <v>0.46527777777777773</v>
      </c>
      <c r="M2554" s="365">
        <v>0.72222222222222221</v>
      </c>
      <c r="N2554" s="372" t="str">
        <f t="shared" si="98"/>
        <v>310</v>
      </c>
      <c r="O2554" s="371">
        <f t="shared" si="99"/>
        <v>2890</v>
      </c>
      <c r="P2554" s="366">
        <f t="shared" si="100"/>
        <v>0.41319444444444442</v>
      </c>
      <c r="Q2554" s="366">
        <f t="shared" si="101"/>
        <v>0.72222222222222221</v>
      </c>
      <c r="R2554" s="367" t="str">
        <f t="shared" si="102"/>
        <v>385</v>
      </c>
    </row>
    <row r="2555" spans="1:18" x14ac:dyDescent="0.4">
      <c r="A2555" s="402">
        <v>46268</v>
      </c>
      <c r="B2555" s="392" t="s">
        <v>58</v>
      </c>
      <c r="C2555" s="364" t="s">
        <v>165</v>
      </c>
      <c r="D2555" s="404">
        <v>20</v>
      </c>
      <c r="E2555" s="369">
        <v>3</v>
      </c>
      <c r="F2555" s="368">
        <v>2.0833333333333332E-2</v>
      </c>
      <c r="G2555" s="368">
        <v>0.29166666666666669</v>
      </c>
      <c r="H2555" s="368">
        <v>0.41319444444444442</v>
      </c>
      <c r="I2555" s="372" t="str">
        <f t="shared" si="97"/>
        <v>205</v>
      </c>
      <c r="J2555" s="371">
        <v>6</v>
      </c>
      <c r="K2555" s="371"/>
      <c r="L2555" s="365">
        <v>0.29166666666666669</v>
      </c>
      <c r="M2555" s="365">
        <v>0.47569444444444442</v>
      </c>
      <c r="N2555" s="372" t="str">
        <f t="shared" si="98"/>
        <v>265</v>
      </c>
      <c r="O2555" s="371">
        <f t="shared" si="99"/>
        <v>2205</v>
      </c>
      <c r="P2555" s="366">
        <f t="shared" si="100"/>
        <v>0.29166666666666669</v>
      </c>
      <c r="Q2555" s="366">
        <f t="shared" si="101"/>
        <v>0.47569444444444442</v>
      </c>
      <c r="R2555" s="367" t="str">
        <f t="shared" si="102"/>
        <v>265</v>
      </c>
    </row>
    <row r="2556" spans="1:18" x14ac:dyDescent="0.4">
      <c r="A2556" s="402">
        <v>46269</v>
      </c>
      <c r="B2556" s="392" t="s">
        <v>61</v>
      </c>
      <c r="C2556" s="364" t="s">
        <v>156</v>
      </c>
      <c r="D2556" s="404">
        <v>24</v>
      </c>
      <c r="E2556" s="369">
        <v>4</v>
      </c>
      <c r="F2556" s="370"/>
      <c r="G2556" s="368">
        <v>0.47222222222222227</v>
      </c>
      <c r="H2556" s="368">
        <v>0.72916666666666663</v>
      </c>
      <c r="I2556" s="372" t="str">
        <f t="shared" si="97"/>
        <v>310</v>
      </c>
      <c r="J2556" s="371">
        <v>10</v>
      </c>
      <c r="K2556" s="371"/>
      <c r="L2556" s="365">
        <v>0.54166666666666663</v>
      </c>
      <c r="M2556" s="365">
        <v>0.75</v>
      </c>
      <c r="N2556" s="372" t="str">
        <f t="shared" si="98"/>
        <v>300</v>
      </c>
      <c r="O2556" s="371">
        <f t="shared" si="99"/>
        <v>4240</v>
      </c>
      <c r="P2556" s="366">
        <f t="shared" si="100"/>
        <v>0.47222222222222227</v>
      </c>
      <c r="Q2556" s="366">
        <f t="shared" si="101"/>
        <v>0.75</v>
      </c>
      <c r="R2556" s="367" t="str">
        <f t="shared" si="102"/>
        <v>340</v>
      </c>
    </row>
    <row r="2557" spans="1:18" x14ac:dyDescent="0.4">
      <c r="A2557" s="402">
        <v>46269</v>
      </c>
      <c r="B2557" s="392" t="s">
        <v>114</v>
      </c>
      <c r="C2557" s="364" t="s">
        <v>161</v>
      </c>
      <c r="D2557" s="404">
        <v>12</v>
      </c>
      <c r="E2557" s="369">
        <v>4</v>
      </c>
      <c r="F2557" s="370"/>
      <c r="G2557" s="368">
        <v>0.29166666666666669</v>
      </c>
      <c r="H2557" s="368">
        <v>0.47222222222222227</v>
      </c>
      <c r="I2557" s="372" t="str">
        <f t="shared" si="97"/>
        <v>260</v>
      </c>
      <c r="J2557" s="371">
        <v>13</v>
      </c>
      <c r="K2557" s="365">
        <v>4.1666666666666664E-2</v>
      </c>
      <c r="L2557" s="365">
        <v>0.3125</v>
      </c>
      <c r="M2557" s="365">
        <v>0.5</v>
      </c>
      <c r="N2557" s="372" t="str">
        <f t="shared" si="98"/>
        <v>330</v>
      </c>
      <c r="O2557" s="371">
        <f t="shared" si="99"/>
        <v>5330</v>
      </c>
      <c r="P2557" s="366">
        <f t="shared" si="100"/>
        <v>0.29166666666666669</v>
      </c>
      <c r="Q2557" s="366">
        <f t="shared" si="101"/>
        <v>0.5</v>
      </c>
      <c r="R2557" s="367" t="str">
        <f t="shared" si="102"/>
        <v>300</v>
      </c>
    </row>
    <row r="2558" spans="1:18" s="22" customFormat="1" x14ac:dyDescent="0.4">
      <c r="A2558" s="417">
        <v>46269</v>
      </c>
      <c r="B2558" s="373" t="s">
        <v>1162</v>
      </c>
      <c r="C2558" s="364" t="s">
        <v>271</v>
      </c>
      <c r="D2558" s="404">
        <v>24</v>
      </c>
      <c r="E2558" s="67">
        <v>5</v>
      </c>
      <c r="F2558" s="371"/>
      <c r="G2558" s="365">
        <v>0.29166666666666669</v>
      </c>
      <c r="H2558" s="365">
        <v>0.47916666666666669</v>
      </c>
      <c r="I2558" s="372" t="str">
        <f t="shared" si="97"/>
        <v>270</v>
      </c>
      <c r="J2558" s="371">
        <v>3</v>
      </c>
      <c r="K2558" s="371"/>
      <c r="L2558" s="365">
        <v>0.29166666666666669</v>
      </c>
      <c r="M2558" s="365">
        <v>0.54861111111111105</v>
      </c>
      <c r="N2558" s="372" t="str">
        <f t="shared" si="98"/>
        <v>310</v>
      </c>
      <c r="O2558" s="371">
        <f t="shared" si="99"/>
        <v>2280</v>
      </c>
      <c r="P2558" s="366">
        <f t="shared" si="100"/>
        <v>0.29166666666666669</v>
      </c>
      <c r="Q2558" s="366">
        <f t="shared" si="101"/>
        <v>0.54861111111111105</v>
      </c>
      <c r="R2558" s="367" t="str">
        <f t="shared" si="102"/>
        <v>310</v>
      </c>
    </row>
    <row r="2559" spans="1:18" s="22" customFormat="1" x14ac:dyDescent="0.4">
      <c r="A2559" s="417">
        <v>46269</v>
      </c>
      <c r="B2559" s="373" t="s">
        <v>63</v>
      </c>
      <c r="C2559" s="364" t="s">
        <v>267</v>
      </c>
      <c r="D2559" s="404">
        <v>20</v>
      </c>
      <c r="E2559" s="67">
        <v>5</v>
      </c>
      <c r="F2559" s="371"/>
      <c r="G2559" s="365">
        <v>0.52083333333333337</v>
      </c>
      <c r="H2559" s="365">
        <v>0.66666666666666663</v>
      </c>
      <c r="I2559" s="372" t="str">
        <f t="shared" si="97"/>
        <v>210</v>
      </c>
      <c r="J2559" s="371">
        <v>3</v>
      </c>
      <c r="K2559" s="371"/>
      <c r="L2559" s="365">
        <v>0.54861111111111105</v>
      </c>
      <c r="M2559" s="365">
        <v>0.70833333333333337</v>
      </c>
      <c r="N2559" s="372" t="str">
        <f t="shared" si="98"/>
        <v>230</v>
      </c>
      <c r="O2559" s="371">
        <f t="shared" si="99"/>
        <v>1740</v>
      </c>
      <c r="P2559" s="366">
        <f t="shared" si="100"/>
        <v>0.52083333333333337</v>
      </c>
      <c r="Q2559" s="366">
        <f t="shared" si="101"/>
        <v>0.70833333333333337</v>
      </c>
      <c r="R2559" s="367" t="str">
        <f t="shared" si="102"/>
        <v>270</v>
      </c>
    </row>
    <row r="2560" spans="1:18" x14ac:dyDescent="0.4">
      <c r="A2560" s="402">
        <v>46269</v>
      </c>
      <c r="B2560" s="392" t="s">
        <v>65</v>
      </c>
      <c r="C2560" s="364" t="s">
        <v>189</v>
      </c>
      <c r="D2560" s="404">
        <v>68</v>
      </c>
      <c r="E2560" s="369">
        <v>3</v>
      </c>
      <c r="F2560" s="368">
        <v>2.0833333333333332E-2</v>
      </c>
      <c r="G2560" s="368">
        <v>0.29166666666666669</v>
      </c>
      <c r="H2560" s="368">
        <v>0.65277777777777779</v>
      </c>
      <c r="I2560" s="372" t="str">
        <f t="shared" si="97"/>
        <v>490</v>
      </c>
      <c r="J2560" s="371">
        <v>4</v>
      </c>
      <c r="K2560" s="371"/>
      <c r="L2560" s="365">
        <v>0.29166666666666669</v>
      </c>
      <c r="M2560" s="365">
        <v>0.69444444444444453</v>
      </c>
      <c r="N2560" s="372" t="str">
        <f t="shared" si="98"/>
        <v>520</v>
      </c>
      <c r="O2560" s="371">
        <f t="shared" si="99"/>
        <v>3550</v>
      </c>
      <c r="P2560" s="366">
        <f t="shared" si="100"/>
        <v>0.29166666666666669</v>
      </c>
      <c r="Q2560" s="366">
        <f t="shared" si="101"/>
        <v>0.69444444444444453</v>
      </c>
      <c r="R2560" s="367" t="str">
        <f t="shared" si="102"/>
        <v>520</v>
      </c>
    </row>
    <row r="2561" spans="1:18" x14ac:dyDescent="0.4">
      <c r="A2561" s="403">
        <v>46269</v>
      </c>
      <c r="B2561" s="383" t="s">
        <v>1697</v>
      </c>
      <c r="C2561" s="390" t="s">
        <v>1717</v>
      </c>
      <c r="D2561" s="405">
        <v>324</v>
      </c>
      <c r="E2561" s="384"/>
      <c r="F2561" s="385"/>
      <c r="G2561" s="396"/>
      <c r="H2561" s="396"/>
      <c r="I2561" s="386" t="str">
        <f t="shared" si="97"/>
        <v>0</v>
      </c>
      <c r="J2561" s="387"/>
      <c r="K2561" s="387"/>
      <c r="L2561" s="388"/>
      <c r="M2561" s="388"/>
      <c r="N2561" s="386" t="str">
        <f t="shared" si="98"/>
        <v>0</v>
      </c>
      <c r="O2561" s="387">
        <f t="shared" si="99"/>
        <v>0</v>
      </c>
      <c r="P2561" s="391">
        <f t="shared" si="100"/>
        <v>0</v>
      </c>
      <c r="Q2561" s="391">
        <f t="shared" si="101"/>
        <v>0</v>
      </c>
      <c r="R2561" s="389" t="str">
        <f t="shared" si="102"/>
        <v>0</v>
      </c>
    </row>
    <row r="2562" spans="1:18" x14ac:dyDescent="0.4">
      <c r="A2562" s="402">
        <v>46279</v>
      </c>
      <c r="B2562" s="392" t="s">
        <v>1162</v>
      </c>
      <c r="C2562" s="364" t="str">
        <f>VLOOKUP(B2562,'112年全品項生產鍋數'!A:H,2,0)</f>
        <v>藍莓餡(1*6KG)</v>
      </c>
      <c r="D2562" s="404">
        <v>20</v>
      </c>
      <c r="E2562" s="369">
        <v>5</v>
      </c>
      <c r="F2562" s="370"/>
      <c r="G2562" s="368">
        <v>0.29166666666666669</v>
      </c>
      <c r="H2562" s="368">
        <v>0.5</v>
      </c>
      <c r="I2562" s="372" t="str">
        <f t="shared" si="97"/>
        <v>300</v>
      </c>
      <c r="J2562" s="371">
        <v>3</v>
      </c>
      <c r="K2562" s="371"/>
      <c r="L2562" s="365">
        <v>0.3125</v>
      </c>
      <c r="M2562" s="365">
        <v>0.55555555555555558</v>
      </c>
      <c r="N2562" s="372" t="str">
        <f t="shared" si="98"/>
        <v>290</v>
      </c>
      <c r="O2562" s="371">
        <f t="shared" si="99"/>
        <v>2370</v>
      </c>
      <c r="P2562" s="366">
        <f t="shared" si="100"/>
        <v>0.29166666666666669</v>
      </c>
      <c r="Q2562" s="366">
        <f t="shared" si="101"/>
        <v>0.55555555555555558</v>
      </c>
      <c r="R2562" s="367" t="str">
        <f t="shared" si="102"/>
        <v>320</v>
      </c>
    </row>
    <row r="2563" spans="1:18" x14ac:dyDescent="0.4">
      <c r="A2563" s="402">
        <v>46279</v>
      </c>
      <c r="B2563" s="392" t="s">
        <v>63</v>
      </c>
      <c r="C2563" s="364" t="str">
        <f>VLOOKUP(B2563,'112年全品項生產鍋數'!A:H,2,0)</f>
        <v>草莓蒟蒻餡(1*6kg)</v>
      </c>
      <c r="D2563" s="404">
        <v>20</v>
      </c>
      <c r="E2563" s="369">
        <v>5</v>
      </c>
      <c r="F2563" s="370"/>
      <c r="G2563" s="368">
        <v>0.54166666666666663</v>
      </c>
      <c r="H2563" s="368">
        <v>0.6875</v>
      </c>
      <c r="I2563" s="372" t="str">
        <f t="shared" si="97"/>
        <v>210</v>
      </c>
      <c r="J2563" s="371">
        <v>3</v>
      </c>
      <c r="K2563" s="371"/>
      <c r="L2563" s="365">
        <v>0.55555555555555558</v>
      </c>
      <c r="M2563" s="365">
        <v>0.70833333333333337</v>
      </c>
      <c r="N2563" s="372" t="str">
        <f t="shared" si="98"/>
        <v>220</v>
      </c>
      <c r="O2563" s="371">
        <f t="shared" si="99"/>
        <v>1710</v>
      </c>
      <c r="P2563" s="366">
        <f t="shared" si="100"/>
        <v>0.54166666666666663</v>
      </c>
      <c r="Q2563" s="366">
        <f t="shared" si="101"/>
        <v>0.70833333333333337</v>
      </c>
      <c r="R2563" s="367" t="str">
        <f t="shared" si="102"/>
        <v>240</v>
      </c>
    </row>
    <row r="2564" spans="1:18" x14ac:dyDescent="0.4">
      <c r="A2564" s="402">
        <v>46279</v>
      </c>
      <c r="B2564" s="392" t="s">
        <v>108</v>
      </c>
      <c r="C2564" s="364" t="str">
        <f>VLOOKUP(B2564,'112年全品項生產鍋數'!A:H,2,0)</f>
        <v>顆粒花生醬(1*12KG)</v>
      </c>
      <c r="D2564" s="404">
        <v>21</v>
      </c>
      <c r="E2564" s="369">
        <v>4</v>
      </c>
      <c r="F2564" s="370"/>
      <c r="G2564" s="368">
        <v>0.29166666666666669</v>
      </c>
      <c r="H2564" s="368">
        <v>0.35416666666666669</v>
      </c>
      <c r="I2564" s="372" t="str">
        <f t="shared" si="97"/>
        <v>90</v>
      </c>
      <c r="J2564" s="371">
        <v>4</v>
      </c>
      <c r="K2564" s="371"/>
      <c r="L2564" s="365">
        <v>0.4375</v>
      </c>
      <c r="M2564" s="365">
        <v>0.70833333333333337</v>
      </c>
      <c r="N2564" s="372" t="str">
        <f t="shared" si="98"/>
        <v>330</v>
      </c>
      <c r="O2564" s="371">
        <f t="shared" si="99"/>
        <v>1680</v>
      </c>
      <c r="P2564" s="366">
        <f t="shared" si="100"/>
        <v>0.29166666666666669</v>
      </c>
      <c r="Q2564" s="366">
        <f t="shared" si="101"/>
        <v>0.70833333333333337</v>
      </c>
      <c r="R2564" s="367" t="str">
        <f t="shared" si="102"/>
        <v>540</v>
      </c>
    </row>
    <row r="2565" spans="1:18" x14ac:dyDescent="0.4">
      <c r="A2565" s="402">
        <v>46279</v>
      </c>
      <c r="B2565" s="392" t="s">
        <v>96</v>
      </c>
      <c r="C2565" s="364" t="str">
        <f>VLOOKUP(B2565,'112年全品項生產鍋數'!A:H,2,0)</f>
        <v>PET瓶花生(1*340g)</v>
      </c>
      <c r="D2565" s="404">
        <v>16</v>
      </c>
      <c r="E2565" s="369">
        <v>3</v>
      </c>
      <c r="F2565" s="368">
        <v>2.0833333333333332E-2</v>
      </c>
      <c r="G2565" s="368">
        <v>0.29166666666666669</v>
      </c>
      <c r="H2565" s="368">
        <v>0.4375</v>
      </c>
      <c r="I2565" s="372" t="str">
        <f t="shared" si="97"/>
        <v>240</v>
      </c>
      <c r="J2565" s="371">
        <v>6</v>
      </c>
      <c r="K2565" s="371"/>
      <c r="L2565" s="365">
        <v>0.29166666666666669</v>
      </c>
      <c r="M2565" s="365">
        <v>0.50694444444444442</v>
      </c>
      <c r="N2565" s="372" t="str">
        <f t="shared" si="98"/>
        <v>310</v>
      </c>
      <c r="O2565" s="371">
        <f t="shared" si="99"/>
        <v>2580</v>
      </c>
      <c r="P2565" s="366">
        <f t="shared" si="100"/>
        <v>0.29166666666666669</v>
      </c>
      <c r="Q2565" s="366">
        <f t="shared" si="101"/>
        <v>0.50694444444444442</v>
      </c>
      <c r="R2565" s="367" t="str">
        <f t="shared" si="102"/>
        <v>310</v>
      </c>
    </row>
    <row r="2566" spans="1:18" x14ac:dyDescent="0.4">
      <c r="A2566" s="402">
        <v>46279</v>
      </c>
      <c r="B2566" s="392" t="s">
        <v>65</v>
      </c>
      <c r="C2566" s="364" t="str">
        <f>VLOOKUP(B2566,'112年全品項生產鍋數'!A:H,2,0)</f>
        <v>＃1花生(1*2.8kg)</v>
      </c>
      <c r="D2566" s="404">
        <v>32</v>
      </c>
      <c r="E2566" s="369">
        <v>3</v>
      </c>
      <c r="F2566" s="370"/>
      <c r="G2566" s="368">
        <v>0.43402777777777773</v>
      </c>
      <c r="H2566" s="368">
        <v>0.65277777777777779</v>
      </c>
      <c r="I2566" s="372" t="str">
        <f t="shared" si="97"/>
        <v>255</v>
      </c>
      <c r="J2566" s="371">
        <v>4</v>
      </c>
      <c r="K2566" s="371"/>
      <c r="L2566" s="365">
        <v>0.54166666666666663</v>
      </c>
      <c r="M2566" s="365">
        <v>0.69791666666666663</v>
      </c>
      <c r="N2566" s="372" t="str">
        <f t="shared" si="98"/>
        <v>225</v>
      </c>
      <c r="O2566" s="371">
        <f t="shared" si="99"/>
        <v>1665</v>
      </c>
      <c r="P2566" s="366">
        <f t="shared" si="100"/>
        <v>0.43402777777777773</v>
      </c>
      <c r="Q2566" s="366">
        <f t="shared" si="101"/>
        <v>0.69791666666666663</v>
      </c>
      <c r="R2566" s="367" t="str">
        <f t="shared" si="102"/>
        <v>320</v>
      </c>
    </row>
    <row r="2567" spans="1:18" s="361" customFormat="1" x14ac:dyDescent="0.4">
      <c r="A2567" s="402">
        <v>46279</v>
      </c>
      <c r="B2567" s="392" t="s">
        <v>431</v>
      </c>
      <c r="C2567" s="364" t="str">
        <f>VLOOKUP(B2567,'112年全品項生產鍋數'!A:H,2,0)</f>
        <v>文旦丁</v>
      </c>
      <c r="D2567" s="404">
        <v>1</v>
      </c>
      <c r="E2567" s="369"/>
      <c r="F2567" s="370"/>
      <c r="G2567" s="368"/>
      <c r="H2567" s="368"/>
      <c r="I2567" s="372" t="str">
        <f t="shared" ref="I2567:I2627" si="103">TEXT(IF(AND(G2567&lt;=$S$2,H2567&gt;=$T$2),(H2567-G2567+F2567)-($T$2-$S$2),(H2567-G2567+F2567)),"[m]")</f>
        <v>0</v>
      </c>
      <c r="J2567" s="374"/>
      <c r="K2567" s="371"/>
      <c r="L2567" s="365"/>
      <c r="M2567" s="365"/>
      <c r="N2567" s="372" t="str">
        <f t="shared" ref="N2567:N2627" si="104">TEXT(IF(AND(L2567&lt;=$S$2,M2567&gt;=$T$2),(M2567-L2567+K2567)-($T$2-$S$2),(M2567-L2567+K2567)),"[m]")</f>
        <v>0</v>
      </c>
      <c r="O2567" s="371">
        <f t="shared" ref="O2567:O2627" si="105">E2567*I2567+J2567*N2567</f>
        <v>0</v>
      </c>
      <c r="P2567" s="366">
        <f t="shared" ref="P2567:P2627" si="106">MIN(G2567:H2567,L2567:M2567)</f>
        <v>0</v>
      </c>
      <c r="Q2567" s="366">
        <f t="shared" ref="Q2567:Q2627" si="107">MAX(G2567:H2567,L2567:M2567)</f>
        <v>0</v>
      </c>
      <c r="R2567" s="367" t="str">
        <f t="shared" ref="R2567:R2627" si="108">TEXT(IF(AND(P2567&lt;=$S$2,Q2567&gt;=$T$2),(Q2567-P2567)-($T$2-$S$2),(Q2567-P2567)),"[m]")</f>
        <v>0</v>
      </c>
    </row>
    <row r="2568" spans="1:18" s="361" customFormat="1" x14ac:dyDescent="0.4">
      <c r="A2568" s="402">
        <v>46280</v>
      </c>
      <c r="B2568" s="392" t="s">
        <v>71</v>
      </c>
      <c r="C2568" s="364" t="str">
        <f>VLOOKUP(B2568,'112年全品項生產鍋數'!A:H,2,0)</f>
        <v>＃1草莓(1*3.2kg)</v>
      </c>
      <c r="D2568" s="404">
        <v>72</v>
      </c>
      <c r="E2568" s="369">
        <v>6</v>
      </c>
      <c r="F2568" s="370"/>
      <c r="G2568" s="368">
        <v>0.29166666666666669</v>
      </c>
      <c r="H2568" s="368">
        <v>0.70833333333333337</v>
      </c>
      <c r="I2568" s="372" t="str">
        <f t="shared" si="103"/>
        <v>540</v>
      </c>
      <c r="J2568" s="371">
        <v>5</v>
      </c>
      <c r="K2568" s="371"/>
      <c r="L2568" s="365">
        <v>0.3125</v>
      </c>
      <c r="M2568" s="365">
        <v>0.72916666666666663</v>
      </c>
      <c r="N2568" s="372" t="str">
        <f t="shared" si="104"/>
        <v>540</v>
      </c>
      <c r="O2568" s="371">
        <f t="shared" si="105"/>
        <v>5940</v>
      </c>
      <c r="P2568" s="366">
        <f t="shared" si="106"/>
        <v>0.29166666666666669</v>
      </c>
      <c r="Q2568" s="366">
        <f t="shared" si="107"/>
        <v>0.72916666666666663</v>
      </c>
      <c r="R2568" s="367" t="str">
        <f t="shared" si="108"/>
        <v>570</v>
      </c>
    </row>
    <row r="2569" spans="1:18" s="361" customFormat="1" x14ac:dyDescent="0.4">
      <c r="A2569" s="402">
        <v>46280</v>
      </c>
      <c r="B2569" s="392" t="s">
        <v>53</v>
      </c>
      <c r="C2569" s="364" t="str">
        <f>VLOOKUP(B2569,'112年全品項生產鍋數'!A:H,2,0)</f>
        <v>鳳梨芒果百香果醬(1*6KG)</v>
      </c>
      <c r="D2569" s="404">
        <v>12</v>
      </c>
      <c r="E2569" s="369">
        <v>3</v>
      </c>
      <c r="F2569" s="370"/>
      <c r="G2569" s="368">
        <v>0.3125</v>
      </c>
      <c r="H2569" s="368">
        <v>0.44444444444444442</v>
      </c>
      <c r="I2569" s="372" t="str">
        <f t="shared" si="103"/>
        <v>190</v>
      </c>
      <c r="J2569" s="371">
        <v>5</v>
      </c>
      <c r="K2569" s="371"/>
      <c r="L2569" s="365">
        <v>0.29166666666666669</v>
      </c>
      <c r="M2569" s="365">
        <v>0.4152777777777778</v>
      </c>
      <c r="N2569" s="372" t="str">
        <f t="shared" si="104"/>
        <v>178</v>
      </c>
      <c r="O2569" s="371">
        <f t="shared" si="105"/>
        <v>1460</v>
      </c>
      <c r="P2569" s="366">
        <f t="shared" si="106"/>
        <v>0.29166666666666669</v>
      </c>
      <c r="Q2569" s="366">
        <f t="shared" si="107"/>
        <v>0.44444444444444442</v>
      </c>
      <c r="R2569" s="367" t="str">
        <f t="shared" si="108"/>
        <v>220</v>
      </c>
    </row>
    <row r="2570" spans="1:18" s="361" customFormat="1" x14ac:dyDescent="0.4">
      <c r="A2570" s="402">
        <v>46280</v>
      </c>
      <c r="B2570" s="392" t="s">
        <v>51</v>
      </c>
      <c r="C2570" s="364" t="str">
        <f>VLOOKUP(B2570,'112年全品項生產鍋數'!A:H,2,0)</f>
        <v>藍莓醬(1*6kg)</v>
      </c>
      <c r="D2570" s="404">
        <v>12</v>
      </c>
      <c r="E2570" s="369">
        <v>3</v>
      </c>
      <c r="F2570" s="370"/>
      <c r="G2570" s="368">
        <v>0.44444444444444442</v>
      </c>
      <c r="H2570" s="368">
        <v>0.59027777777777779</v>
      </c>
      <c r="I2570" s="372" t="str">
        <f t="shared" si="103"/>
        <v>150</v>
      </c>
      <c r="J2570" s="371">
        <v>5</v>
      </c>
      <c r="K2570" s="371"/>
      <c r="L2570" s="365">
        <v>0.4152777777777778</v>
      </c>
      <c r="M2570" s="365">
        <v>0.56319444444444444</v>
      </c>
      <c r="N2570" s="372" t="str">
        <f t="shared" si="104"/>
        <v>153</v>
      </c>
      <c r="O2570" s="371">
        <f t="shared" si="105"/>
        <v>1215</v>
      </c>
      <c r="P2570" s="366">
        <f t="shared" si="106"/>
        <v>0.4152777777777778</v>
      </c>
      <c r="Q2570" s="366">
        <f t="shared" si="107"/>
        <v>0.59027777777777779</v>
      </c>
      <c r="R2570" s="367" t="str">
        <f t="shared" si="108"/>
        <v>192</v>
      </c>
    </row>
    <row r="2571" spans="1:18" s="361" customFormat="1" x14ac:dyDescent="0.4">
      <c r="A2571" s="402">
        <v>46280</v>
      </c>
      <c r="B2571" s="392" t="s">
        <v>63</v>
      </c>
      <c r="C2571" s="364" t="str">
        <f>VLOOKUP(B2571,'112年全品項生產鍋數'!A:H,2,0)</f>
        <v>草莓蒟蒻餡(1*6kg)</v>
      </c>
      <c r="D2571" s="404">
        <v>24</v>
      </c>
      <c r="E2571" s="369">
        <v>3</v>
      </c>
      <c r="F2571" s="370"/>
      <c r="G2571" s="368">
        <v>0.59027777777777779</v>
      </c>
      <c r="H2571" s="368">
        <v>0.77083333333333337</v>
      </c>
      <c r="I2571" s="372" t="str">
        <f t="shared" si="103"/>
        <v>260</v>
      </c>
      <c r="J2571" s="371">
        <v>5</v>
      </c>
      <c r="K2571" s="371"/>
      <c r="L2571" s="365">
        <v>0.56319444444444444</v>
      </c>
      <c r="M2571" s="365">
        <v>0.75</v>
      </c>
      <c r="N2571" s="372" t="str">
        <f t="shared" si="104"/>
        <v>269</v>
      </c>
      <c r="O2571" s="371">
        <f t="shared" si="105"/>
        <v>2125</v>
      </c>
      <c r="P2571" s="366">
        <f t="shared" si="106"/>
        <v>0.56319444444444444</v>
      </c>
      <c r="Q2571" s="366">
        <f t="shared" si="107"/>
        <v>0.77083333333333337</v>
      </c>
      <c r="R2571" s="367" t="str">
        <f t="shared" si="108"/>
        <v>299</v>
      </c>
    </row>
    <row r="2572" spans="1:18" s="83" customFormat="1" x14ac:dyDescent="0.4">
      <c r="A2572" s="432">
        <v>46280</v>
      </c>
      <c r="B2572" s="433" t="s">
        <v>642</v>
      </c>
      <c r="C2572" s="82" t="str">
        <f>VLOOKUP(B2572,'112年全品項生產鍋數'!A:H,2,0)</f>
        <v>＃2花生（粒）(1*800g)</v>
      </c>
      <c r="D2572" s="434">
        <v>12</v>
      </c>
      <c r="E2572" s="435">
        <v>3</v>
      </c>
      <c r="F2572" s="426">
        <v>2.0833333333333332E-2</v>
      </c>
      <c r="G2572" s="426">
        <v>0.29166666666666669</v>
      </c>
      <c r="H2572" s="426"/>
      <c r="I2572" s="437" t="str">
        <f t="shared" si="103"/>
        <v>-390</v>
      </c>
      <c r="J2572" s="436">
        <v>4</v>
      </c>
      <c r="K2572" s="436"/>
      <c r="L2572" s="426">
        <v>0.29166666666666669</v>
      </c>
      <c r="M2572" s="426"/>
      <c r="N2572" s="437" t="str">
        <f t="shared" si="104"/>
        <v>-420</v>
      </c>
      <c r="O2572" s="436">
        <f t="shared" si="105"/>
        <v>-2850</v>
      </c>
      <c r="P2572" s="438">
        <f t="shared" si="106"/>
        <v>0.29166666666666669</v>
      </c>
      <c r="Q2572" s="438">
        <f t="shared" si="107"/>
        <v>0.29166666666666669</v>
      </c>
      <c r="R2572" s="439" t="str">
        <f t="shared" si="108"/>
        <v>0</v>
      </c>
    </row>
    <row r="2573" spans="1:18" s="83" customFormat="1" x14ac:dyDescent="0.4">
      <c r="A2573" s="432">
        <v>46280</v>
      </c>
      <c r="B2573" s="433" t="s">
        <v>104</v>
      </c>
      <c r="C2573" s="82" t="str">
        <f>VLOOKUP(B2573,'112年全品項生產鍋數'!A:H,2,0)</f>
        <v>＃1花生(粒)(1*2.8kg)</v>
      </c>
      <c r="D2573" s="434">
        <v>32</v>
      </c>
      <c r="E2573" s="435">
        <v>3</v>
      </c>
      <c r="F2573" s="436"/>
      <c r="G2573" s="426"/>
      <c r="H2573" s="426">
        <v>0.57986111111111105</v>
      </c>
      <c r="I2573" s="437" t="str">
        <f t="shared" si="103"/>
        <v>775</v>
      </c>
      <c r="J2573" s="436"/>
      <c r="K2573" s="436"/>
      <c r="L2573" s="426"/>
      <c r="M2573" s="426">
        <v>0.65972222222222221</v>
      </c>
      <c r="N2573" s="437" t="str">
        <f t="shared" si="104"/>
        <v>890</v>
      </c>
      <c r="O2573" s="436">
        <f t="shared" si="105"/>
        <v>2325</v>
      </c>
      <c r="P2573" s="438">
        <f t="shared" si="106"/>
        <v>0.57986111111111105</v>
      </c>
      <c r="Q2573" s="438">
        <f t="shared" si="107"/>
        <v>0.65972222222222221</v>
      </c>
      <c r="R2573" s="439" t="str">
        <f t="shared" si="108"/>
        <v>115</v>
      </c>
    </row>
    <row r="2574" spans="1:18" s="361" customFormat="1" x14ac:dyDescent="0.4">
      <c r="A2574" s="403">
        <v>46280</v>
      </c>
      <c r="B2574" s="383">
        <v>111010</v>
      </c>
      <c r="C2574" s="390" t="str">
        <f>VLOOKUP(B2574,'112年全品項生產鍋數'!A:H,2,0)</f>
        <v>糖漬桔皮絲</v>
      </c>
      <c r="D2574" s="405">
        <v>1</v>
      </c>
      <c r="E2574" s="384"/>
      <c r="F2574" s="385"/>
      <c r="G2574" s="396"/>
      <c r="H2574" s="396"/>
      <c r="I2574" s="386" t="str">
        <f t="shared" si="103"/>
        <v>0</v>
      </c>
      <c r="J2574" s="387"/>
      <c r="K2574" s="387"/>
      <c r="L2574" s="388"/>
      <c r="M2574" s="388"/>
      <c r="N2574" s="386" t="str">
        <f t="shared" si="104"/>
        <v>0</v>
      </c>
      <c r="O2574" s="387">
        <f t="shared" si="105"/>
        <v>0</v>
      </c>
      <c r="P2574" s="391">
        <f t="shared" si="106"/>
        <v>0</v>
      </c>
      <c r="Q2574" s="391">
        <f t="shared" si="107"/>
        <v>0</v>
      </c>
      <c r="R2574" s="389" t="str">
        <f t="shared" si="108"/>
        <v>0</v>
      </c>
    </row>
    <row r="2575" spans="1:18" s="361" customFormat="1" x14ac:dyDescent="0.4">
      <c r="A2575" s="402">
        <v>46281</v>
      </c>
      <c r="B2575" s="392" t="s">
        <v>61</v>
      </c>
      <c r="C2575" s="364" t="str">
        <f>VLOOKUP(B2575,'112年全品項生產鍋數'!A:H,2,0)</f>
        <v>大圓草莓-新</v>
      </c>
      <c r="D2575" s="404">
        <v>32</v>
      </c>
      <c r="E2575" s="369">
        <v>4</v>
      </c>
      <c r="F2575" s="370"/>
      <c r="G2575" s="368">
        <v>0.29166666666666669</v>
      </c>
      <c r="H2575" s="368">
        <v>0.58333333333333337</v>
      </c>
      <c r="I2575" s="372" t="str">
        <f t="shared" si="103"/>
        <v>360</v>
      </c>
      <c r="J2575" s="371">
        <v>10</v>
      </c>
      <c r="K2575" s="371"/>
      <c r="L2575" s="365">
        <v>0.3125</v>
      </c>
      <c r="M2575" s="365">
        <v>0.63888888888888895</v>
      </c>
      <c r="N2575" s="372" t="str">
        <f t="shared" si="104"/>
        <v>410</v>
      </c>
      <c r="O2575" s="371">
        <f t="shared" si="105"/>
        <v>5540</v>
      </c>
      <c r="P2575" s="366">
        <f t="shared" si="106"/>
        <v>0.29166666666666669</v>
      </c>
      <c r="Q2575" s="366">
        <f t="shared" si="107"/>
        <v>0.63888888888888895</v>
      </c>
      <c r="R2575" s="367" t="str">
        <f t="shared" si="108"/>
        <v>440</v>
      </c>
    </row>
    <row r="2576" spans="1:18" s="361" customFormat="1" x14ac:dyDescent="0.4">
      <c r="A2576" s="402">
        <v>46281</v>
      </c>
      <c r="B2576" s="392" t="s">
        <v>636</v>
      </c>
      <c r="C2576" s="364" t="s">
        <v>1878</v>
      </c>
      <c r="D2576" s="404">
        <v>0.6</v>
      </c>
      <c r="E2576" s="369">
        <v>4</v>
      </c>
      <c r="F2576" s="370"/>
      <c r="G2576" s="368">
        <v>0.60416666666666663</v>
      </c>
      <c r="H2576" s="368">
        <v>0.63541666666666663</v>
      </c>
      <c r="I2576" s="372" t="str">
        <f t="shared" si="103"/>
        <v>45</v>
      </c>
      <c r="J2576" s="371">
        <v>10</v>
      </c>
      <c r="K2576" s="371"/>
      <c r="L2576" s="365">
        <v>0.63888888888888895</v>
      </c>
      <c r="M2576" s="365">
        <v>0.65277777777777779</v>
      </c>
      <c r="N2576" s="372" t="str">
        <f t="shared" si="104"/>
        <v>20</v>
      </c>
      <c r="O2576" s="371">
        <f t="shared" si="105"/>
        <v>380</v>
      </c>
      <c r="P2576" s="366">
        <f t="shared" si="106"/>
        <v>0.60416666666666663</v>
      </c>
      <c r="Q2576" s="366">
        <f t="shared" si="107"/>
        <v>0.65277777777777779</v>
      </c>
      <c r="R2576" s="367" t="str">
        <f t="shared" si="108"/>
        <v>70</v>
      </c>
    </row>
    <row r="2577" spans="1:18" s="361" customFormat="1" x14ac:dyDescent="0.4">
      <c r="A2577" s="402">
        <v>46281</v>
      </c>
      <c r="B2577" s="392" t="s">
        <v>636</v>
      </c>
      <c r="C2577" s="364" t="s">
        <v>1879</v>
      </c>
      <c r="D2577" s="404">
        <v>0.6</v>
      </c>
      <c r="E2577" s="369">
        <v>4</v>
      </c>
      <c r="F2577" s="370"/>
      <c r="G2577" s="368">
        <v>0.63541666666666663</v>
      </c>
      <c r="H2577" s="368">
        <v>0.66319444444444442</v>
      </c>
      <c r="I2577" s="372" t="str">
        <f t="shared" si="103"/>
        <v>40</v>
      </c>
      <c r="J2577" s="371">
        <v>10</v>
      </c>
      <c r="K2577" s="371"/>
      <c r="L2577" s="365">
        <v>0.65277777777777779</v>
      </c>
      <c r="M2577" s="365">
        <v>0.6875</v>
      </c>
      <c r="N2577" s="372" t="str">
        <f t="shared" si="104"/>
        <v>50</v>
      </c>
      <c r="O2577" s="371">
        <f t="shared" si="105"/>
        <v>660</v>
      </c>
      <c r="P2577" s="366">
        <f t="shared" si="106"/>
        <v>0.63541666666666663</v>
      </c>
      <c r="Q2577" s="366">
        <f t="shared" si="107"/>
        <v>0.6875</v>
      </c>
      <c r="R2577" s="367" t="str">
        <f t="shared" si="108"/>
        <v>75</v>
      </c>
    </row>
    <row r="2578" spans="1:18" s="361" customFormat="1" x14ac:dyDescent="0.4">
      <c r="A2578" s="402">
        <v>46281</v>
      </c>
      <c r="B2578" s="392" t="s">
        <v>636</v>
      </c>
      <c r="C2578" s="364" t="s">
        <v>1880</v>
      </c>
      <c r="D2578" s="404">
        <v>0.6</v>
      </c>
      <c r="E2578" s="369">
        <v>4</v>
      </c>
      <c r="F2578" s="370"/>
      <c r="G2578" s="368">
        <v>0.66319444444444442</v>
      </c>
      <c r="H2578" s="368">
        <v>0.70833333333333337</v>
      </c>
      <c r="I2578" s="372" t="str">
        <f t="shared" si="103"/>
        <v>65</v>
      </c>
      <c r="J2578" s="371">
        <v>10</v>
      </c>
      <c r="K2578" s="371"/>
      <c r="L2578" s="365">
        <v>4.854166666666667</v>
      </c>
      <c r="M2578" s="365">
        <v>0.75</v>
      </c>
      <c r="N2578" s="372" t="str">
        <f t="shared" si="104"/>
        <v>-5910</v>
      </c>
      <c r="O2578" s="371">
        <f t="shared" si="105"/>
        <v>-58840</v>
      </c>
      <c r="P2578" s="366">
        <f t="shared" si="106"/>
        <v>0.66319444444444442</v>
      </c>
      <c r="Q2578" s="366">
        <f t="shared" si="107"/>
        <v>4.854166666666667</v>
      </c>
      <c r="R2578" s="367" t="str">
        <f t="shared" si="108"/>
        <v>6035</v>
      </c>
    </row>
    <row r="2579" spans="1:18" s="361" customFormat="1" x14ac:dyDescent="0.4">
      <c r="A2579" s="402">
        <v>46281</v>
      </c>
      <c r="B2579" s="392" t="s">
        <v>63</v>
      </c>
      <c r="C2579" s="364" t="str">
        <f>VLOOKUP(B2579,'112年全品項生產鍋數'!A:H,2,0)</f>
        <v>草莓蒟蒻餡(1*6kg)</v>
      </c>
      <c r="D2579" s="404">
        <v>20</v>
      </c>
      <c r="E2579" s="369">
        <v>5</v>
      </c>
      <c r="F2579" s="370"/>
      <c r="G2579" s="368">
        <v>0.52083333333333337</v>
      </c>
      <c r="H2579" s="368">
        <v>0.6875</v>
      </c>
      <c r="I2579" s="372" t="str">
        <f t="shared" si="103"/>
        <v>240</v>
      </c>
      <c r="J2579" s="371">
        <v>3</v>
      </c>
      <c r="K2579" s="371"/>
      <c r="L2579" s="365">
        <v>0.55208333333333337</v>
      </c>
      <c r="M2579" s="365">
        <v>0.6875</v>
      </c>
      <c r="N2579" s="372" t="str">
        <f t="shared" si="104"/>
        <v>195</v>
      </c>
      <c r="O2579" s="371">
        <f t="shared" si="105"/>
        <v>1785</v>
      </c>
      <c r="P2579" s="366">
        <f t="shared" si="106"/>
        <v>0.52083333333333337</v>
      </c>
      <c r="Q2579" s="366">
        <f t="shared" si="107"/>
        <v>0.6875</v>
      </c>
      <c r="R2579" s="367" t="str">
        <f t="shared" si="108"/>
        <v>240</v>
      </c>
    </row>
    <row r="2580" spans="1:18" s="361" customFormat="1" x14ac:dyDescent="0.4">
      <c r="A2580" s="402">
        <v>46281</v>
      </c>
      <c r="B2580" s="392" t="s">
        <v>77</v>
      </c>
      <c r="C2580" s="364" t="str">
        <f>VLOOKUP(B2580,'112年全品項生產鍋數'!A:H,2,0)</f>
        <v>草莓餡50°(1*6Kg)</v>
      </c>
      <c r="D2580" s="404">
        <v>8</v>
      </c>
      <c r="E2580" s="369">
        <v>5</v>
      </c>
      <c r="F2580" s="370"/>
      <c r="G2580" s="368">
        <v>0.29166666666666669</v>
      </c>
      <c r="H2580" s="368">
        <v>0.36805555555555558</v>
      </c>
      <c r="I2580" s="372" t="str">
        <f t="shared" si="103"/>
        <v>110</v>
      </c>
      <c r="J2580" s="371">
        <v>3</v>
      </c>
      <c r="K2580" s="371"/>
      <c r="L2580" s="365">
        <v>0.3125</v>
      </c>
      <c r="M2580" s="365">
        <v>0.39583333333333331</v>
      </c>
      <c r="N2580" s="372" t="str">
        <f t="shared" si="104"/>
        <v>120</v>
      </c>
      <c r="O2580" s="371">
        <f t="shared" si="105"/>
        <v>910</v>
      </c>
      <c r="P2580" s="366">
        <f t="shared" si="106"/>
        <v>0.29166666666666669</v>
      </c>
      <c r="Q2580" s="366">
        <f t="shared" si="107"/>
        <v>0.39583333333333331</v>
      </c>
      <c r="R2580" s="367" t="str">
        <f t="shared" si="108"/>
        <v>150</v>
      </c>
    </row>
    <row r="2581" spans="1:18" s="361" customFormat="1" x14ac:dyDescent="0.4">
      <c r="A2581" s="402">
        <v>46281</v>
      </c>
      <c r="B2581" s="392" t="s">
        <v>72</v>
      </c>
      <c r="C2581" s="364" t="str">
        <f>VLOOKUP(B2581,'112年全品項生產鍋數'!A:H,2,0)</f>
        <v>草莓餡45%(1*6Kg)</v>
      </c>
      <c r="D2581" s="404">
        <v>16</v>
      </c>
      <c r="E2581" s="369">
        <v>5</v>
      </c>
      <c r="F2581" s="370"/>
      <c r="G2581" s="368">
        <v>0.36805555555555558</v>
      </c>
      <c r="H2581" s="368">
        <v>0.47916666666666669</v>
      </c>
      <c r="I2581" s="372" t="str">
        <f t="shared" si="103"/>
        <v>160</v>
      </c>
      <c r="J2581" s="371">
        <v>3</v>
      </c>
      <c r="K2581" s="371"/>
      <c r="L2581" s="365">
        <v>0.39583333333333331</v>
      </c>
      <c r="M2581" s="365">
        <v>0.55208333333333337</v>
      </c>
      <c r="N2581" s="372" t="str">
        <f t="shared" si="104"/>
        <v>165</v>
      </c>
      <c r="O2581" s="371">
        <f t="shared" si="105"/>
        <v>1295</v>
      </c>
      <c r="P2581" s="366">
        <f t="shared" si="106"/>
        <v>0.36805555555555558</v>
      </c>
      <c r="Q2581" s="366">
        <f t="shared" si="107"/>
        <v>0.55208333333333337</v>
      </c>
      <c r="R2581" s="367" t="str">
        <f t="shared" si="108"/>
        <v>205</v>
      </c>
    </row>
    <row r="2582" spans="1:18" s="361" customFormat="1" x14ac:dyDescent="0.4">
      <c r="A2582" s="402">
        <v>46281</v>
      </c>
      <c r="B2582" s="392" t="s">
        <v>65</v>
      </c>
      <c r="C2582" s="364" t="str">
        <f>VLOOKUP(B2582,'112年全品項生產鍋數'!A:H,2,0)</f>
        <v>＃1花生(1*2.8kg)</v>
      </c>
      <c r="D2582" s="404">
        <v>72</v>
      </c>
      <c r="E2582" s="369">
        <v>3</v>
      </c>
      <c r="F2582" s="368">
        <v>2.0833333333333332E-2</v>
      </c>
      <c r="G2582" s="368">
        <v>0.29166666666666669</v>
      </c>
      <c r="H2582" s="368">
        <v>0.65625</v>
      </c>
      <c r="I2582" s="372" t="str">
        <f t="shared" si="103"/>
        <v>495</v>
      </c>
      <c r="J2582" s="371">
        <v>4</v>
      </c>
      <c r="K2582" s="371"/>
      <c r="L2582" s="365">
        <v>0.29166666666666669</v>
      </c>
      <c r="M2582" s="365">
        <v>0.70833333333333337</v>
      </c>
      <c r="N2582" s="372" t="str">
        <f t="shared" si="104"/>
        <v>540</v>
      </c>
      <c r="O2582" s="371">
        <f t="shared" si="105"/>
        <v>3645</v>
      </c>
      <c r="P2582" s="366">
        <f t="shared" si="106"/>
        <v>0.29166666666666669</v>
      </c>
      <c r="Q2582" s="366">
        <f t="shared" si="107"/>
        <v>0.70833333333333337</v>
      </c>
      <c r="R2582" s="367" t="str">
        <f t="shared" si="108"/>
        <v>540</v>
      </c>
    </row>
    <row r="2583" spans="1:18" s="361" customFormat="1" x14ac:dyDescent="0.4">
      <c r="A2583" s="402">
        <v>46282</v>
      </c>
      <c r="B2583" s="392" t="s">
        <v>87</v>
      </c>
      <c r="C2583" s="364" t="str">
        <f>VLOOKUP(B2583,'112年全品項生產鍋數'!A:H,2,0)</f>
        <v>＃1藍莓(1*3.2kg)</v>
      </c>
      <c r="D2583" s="404">
        <v>36</v>
      </c>
      <c r="E2583" s="369">
        <v>6</v>
      </c>
      <c r="F2583" s="370"/>
      <c r="G2583" s="368">
        <v>0.4375</v>
      </c>
      <c r="H2583" s="368">
        <v>0.6875</v>
      </c>
      <c r="I2583" s="372" t="str">
        <f t="shared" si="103"/>
        <v>300</v>
      </c>
      <c r="J2583" s="371">
        <v>5</v>
      </c>
      <c r="K2583" s="371"/>
      <c r="L2583" s="365">
        <v>0.54166666666666663</v>
      </c>
      <c r="M2583" s="365">
        <v>0.70833333333333337</v>
      </c>
      <c r="N2583" s="372" t="str">
        <f t="shared" si="104"/>
        <v>240</v>
      </c>
      <c r="O2583" s="371">
        <f t="shared" si="105"/>
        <v>3000</v>
      </c>
      <c r="P2583" s="366">
        <f t="shared" si="106"/>
        <v>0.4375</v>
      </c>
      <c r="Q2583" s="366">
        <f t="shared" si="107"/>
        <v>0.70833333333333337</v>
      </c>
      <c r="R2583" s="367" t="str">
        <f t="shared" si="108"/>
        <v>330</v>
      </c>
    </row>
    <row r="2584" spans="1:18" s="361" customFormat="1" x14ac:dyDescent="0.4">
      <c r="A2584" s="402">
        <v>46282</v>
      </c>
      <c r="B2584" s="392" t="s">
        <v>86</v>
      </c>
      <c r="C2584" s="364" t="str">
        <f>VLOOKUP(B2584,'112年全品項生產鍋數'!A:H,2,0)</f>
        <v>＃2藍莓(1*900g)</v>
      </c>
      <c r="D2584" s="404">
        <v>20</v>
      </c>
      <c r="E2584" s="369">
        <v>5</v>
      </c>
      <c r="F2584" s="370"/>
      <c r="G2584" s="368">
        <v>0.29166666666666669</v>
      </c>
      <c r="H2584" s="368">
        <v>0.4375</v>
      </c>
      <c r="I2584" s="372" t="str">
        <f t="shared" si="103"/>
        <v>210</v>
      </c>
      <c r="J2584" s="371">
        <v>5</v>
      </c>
      <c r="K2584" s="371"/>
      <c r="L2584" s="365">
        <v>0.3125</v>
      </c>
      <c r="M2584" s="365">
        <v>0.5</v>
      </c>
      <c r="N2584" s="372" t="str">
        <f t="shared" si="104"/>
        <v>270</v>
      </c>
      <c r="O2584" s="371">
        <f t="shared" si="105"/>
        <v>2400</v>
      </c>
      <c r="P2584" s="366">
        <f t="shared" si="106"/>
        <v>0.29166666666666669</v>
      </c>
      <c r="Q2584" s="366">
        <f t="shared" si="107"/>
        <v>0.5</v>
      </c>
      <c r="R2584" s="367" t="str">
        <f t="shared" si="108"/>
        <v>300</v>
      </c>
    </row>
    <row r="2585" spans="1:18" s="361" customFormat="1" x14ac:dyDescent="0.4">
      <c r="A2585" s="402">
        <v>46282</v>
      </c>
      <c r="B2585" s="392" t="s">
        <v>611</v>
      </c>
      <c r="C2585" s="364" t="str">
        <f>VLOOKUP(B2585,'112年全品項生產鍋數'!A:H,2,0)</f>
        <v>藍莓餡（大）(1*9.08kg)</v>
      </c>
      <c r="D2585" s="404">
        <v>8</v>
      </c>
      <c r="E2585" s="369">
        <v>5</v>
      </c>
      <c r="F2585" s="370"/>
      <c r="G2585" s="368">
        <v>0.72222222222222221</v>
      </c>
      <c r="H2585" s="368">
        <v>0.8125</v>
      </c>
      <c r="I2585" s="372" t="str">
        <f t="shared" si="103"/>
        <v>130</v>
      </c>
      <c r="J2585" s="371"/>
      <c r="K2585" s="371"/>
      <c r="L2585" s="365"/>
      <c r="M2585" s="365"/>
      <c r="N2585" s="372" t="str">
        <f t="shared" si="104"/>
        <v>0</v>
      </c>
      <c r="O2585" s="371">
        <f t="shared" si="105"/>
        <v>650</v>
      </c>
      <c r="P2585" s="366">
        <f t="shared" si="106"/>
        <v>0.72222222222222221</v>
      </c>
      <c r="Q2585" s="366">
        <f t="shared" si="107"/>
        <v>0.8125</v>
      </c>
      <c r="R2585" s="367" t="str">
        <f t="shared" si="108"/>
        <v>130</v>
      </c>
    </row>
    <row r="2586" spans="1:18" s="361" customFormat="1" x14ac:dyDescent="0.4">
      <c r="A2586" s="402">
        <v>46282</v>
      </c>
      <c r="B2586" s="392" t="s">
        <v>1875</v>
      </c>
      <c r="C2586" s="364" t="str">
        <f>VLOOKUP(B2586,'112年全品項生產鍋數'!A:H,2,0)</f>
        <v>上好佳藍莓餡(1*4.5kg)</v>
      </c>
      <c r="D2586" s="404">
        <v>8</v>
      </c>
      <c r="E2586" s="369">
        <v>5</v>
      </c>
      <c r="F2586" s="370"/>
      <c r="G2586" s="368">
        <v>0.62569444444444444</v>
      </c>
      <c r="H2586" s="368">
        <v>0.72222222222222221</v>
      </c>
      <c r="I2586" s="372" t="str">
        <f t="shared" si="103"/>
        <v>139</v>
      </c>
      <c r="J2586" s="371"/>
      <c r="K2586" s="371"/>
      <c r="L2586" s="365"/>
      <c r="M2586" s="365"/>
      <c r="N2586" s="372" t="str">
        <f t="shared" si="104"/>
        <v>0</v>
      </c>
      <c r="O2586" s="371">
        <f t="shared" si="105"/>
        <v>695</v>
      </c>
      <c r="P2586" s="366">
        <f t="shared" si="106"/>
        <v>0.62569444444444444</v>
      </c>
      <c r="Q2586" s="366">
        <f t="shared" si="107"/>
        <v>0.72222222222222221</v>
      </c>
      <c r="R2586" s="367" t="str">
        <f t="shared" si="108"/>
        <v>139</v>
      </c>
    </row>
    <row r="2587" spans="1:18" s="361" customFormat="1" x14ac:dyDescent="0.4">
      <c r="A2587" s="402">
        <v>46282</v>
      </c>
      <c r="B2587" s="392" t="s">
        <v>661</v>
      </c>
      <c r="C2587" s="364" t="str">
        <f>VLOOKUP(B2587,'112年全品項生產鍋數'!A:H,2,0)</f>
        <v>上好佳藍莓餡(大)4.5KG</v>
      </c>
      <c r="D2587" s="404">
        <v>24</v>
      </c>
      <c r="E2587" s="369">
        <v>5</v>
      </c>
      <c r="F2587" s="370"/>
      <c r="G2587" s="368">
        <v>0.29166666666666669</v>
      </c>
      <c r="H2587" s="368">
        <v>0.62569444444444444</v>
      </c>
      <c r="I2587" s="372" t="str">
        <f t="shared" si="103"/>
        <v>421</v>
      </c>
      <c r="J2587" s="371"/>
      <c r="K2587" s="371"/>
      <c r="L2587" s="365"/>
      <c r="M2587" s="365"/>
      <c r="N2587" s="372" t="str">
        <f t="shared" si="104"/>
        <v>0</v>
      </c>
      <c r="O2587" s="371">
        <f t="shared" si="105"/>
        <v>2105</v>
      </c>
      <c r="P2587" s="366">
        <f t="shared" si="106"/>
        <v>0.29166666666666669</v>
      </c>
      <c r="Q2587" s="366">
        <f t="shared" si="107"/>
        <v>0.62569444444444444</v>
      </c>
      <c r="R2587" s="367" t="str">
        <f t="shared" si="108"/>
        <v>421</v>
      </c>
    </row>
    <row r="2588" spans="1:18" s="361" customFormat="1" x14ac:dyDescent="0.4">
      <c r="A2588" s="402">
        <v>46282</v>
      </c>
      <c r="B2588" s="392" t="s">
        <v>110</v>
      </c>
      <c r="C2588" s="364" t="str">
        <f>VLOOKUP(B2588,'112年全品項生產鍋數'!A:H,2,0)</f>
        <v>顆粒花生醬(1*12KG)</v>
      </c>
      <c r="D2588" s="404">
        <v>21</v>
      </c>
      <c r="E2588" s="369">
        <v>2</v>
      </c>
      <c r="F2588" s="370"/>
      <c r="G2588" s="368">
        <v>0.29166666666666669</v>
      </c>
      <c r="H2588" s="368">
        <v>0.60416666666666663</v>
      </c>
      <c r="I2588" s="372" t="str">
        <f t="shared" si="103"/>
        <v>390</v>
      </c>
      <c r="J2588" s="371">
        <v>6</v>
      </c>
      <c r="K2588" s="365">
        <v>6.9444444444444441E-3</v>
      </c>
      <c r="L2588" s="365">
        <v>0.29166666666666669</v>
      </c>
      <c r="M2588" s="365">
        <v>0.70833333333333337</v>
      </c>
      <c r="N2588" s="372" t="str">
        <f t="shared" si="104"/>
        <v>550</v>
      </c>
      <c r="O2588" s="371">
        <f t="shared" si="105"/>
        <v>4080</v>
      </c>
      <c r="P2588" s="366">
        <f t="shared" si="106"/>
        <v>0.29166666666666669</v>
      </c>
      <c r="Q2588" s="366">
        <f t="shared" si="107"/>
        <v>0.70833333333333337</v>
      </c>
      <c r="R2588" s="367" t="str">
        <f t="shared" si="108"/>
        <v>540</v>
      </c>
    </row>
    <row r="2589" spans="1:18" s="361" customFormat="1" x14ac:dyDescent="0.4">
      <c r="A2589" s="402">
        <v>46283</v>
      </c>
      <c r="B2589" s="392" t="s">
        <v>16</v>
      </c>
      <c r="C2589" s="364" t="str">
        <f>VLOOKUP(B2589,'112年全品項生產鍋數'!A:H,2,0)</f>
        <v>藍莓餡(1*6Kg)</v>
      </c>
      <c r="D2589" s="404">
        <v>8</v>
      </c>
      <c r="E2589" s="369">
        <v>5</v>
      </c>
      <c r="F2589" s="370"/>
      <c r="G2589" s="368">
        <v>0.29166666666666669</v>
      </c>
      <c r="H2589" s="368">
        <v>0.36805555555555558</v>
      </c>
      <c r="I2589" s="372" t="str">
        <f t="shared" si="103"/>
        <v>110</v>
      </c>
      <c r="J2589" s="371">
        <v>3</v>
      </c>
      <c r="K2589" s="371"/>
      <c r="L2589" s="365">
        <v>0.3125</v>
      </c>
      <c r="M2589" s="365">
        <v>0.38194444444444442</v>
      </c>
      <c r="N2589" s="372" t="str">
        <f t="shared" si="104"/>
        <v>100</v>
      </c>
      <c r="O2589" s="371">
        <f t="shared" si="105"/>
        <v>850</v>
      </c>
      <c r="P2589" s="366">
        <f t="shared" si="106"/>
        <v>0.29166666666666669</v>
      </c>
      <c r="Q2589" s="366">
        <f t="shared" si="107"/>
        <v>0.38194444444444442</v>
      </c>
      <c r="R2589" s="367" t="str">
        <f t="shared" si="108"/>
        <v>130</v>
      </c>
    </row>
    <row r="2590" spans="1:18" s="361" customFormat="1" x14ac:dyDescent="0.4">
      <c r="A2590" s="402">
        <v>46283</v>
      </c>
      <c r="B2590" s="392" t="s">
        <v>128</v>
      </c>
      <c r="C2590" s="364" t="str">
        <f>VLOOKUP(B2590,'112年全品項生產鍋數'!A:H,2,0)</f>
        <v>草莓椰果漿(1*6KG)</v>
      </c>
      <c r="D2590" s="404">
        <v>8</v>
      </c>
      <c r="E2590" s="369">
        <v>5</v>
      </c>
      <c r="F2590" s="370"/>
      <c r="G2590" s="368">
        <v>0.52083333333333337</v>
      </c>
      <c r="H2590" s="368">
        <v>0.58333333333333337</v>
      </c>
      <c r="I2590" s="372" t="str">
        <f t="shared" si="103"/>
        <v>90</v>
      </c>
      <c r="J2590" s="371">
        <v>3</v>
      </c>
      <c r="K2590" s="371"/>
      <c r="L2590" s="365">
        <v>0.55555555555555558</v>
      </c>
      <c r="M2590" s="365">
        <v>0.625</v>
      </c>
      <c r="N2590" s="372" t="str">
        <f t="shared" si="104"/>
        <v>100</v>
      </c>
      <c r="O2590" s="371">
        <f t="shared" si="105"/>
        <v>750</v>
      </c>
      <c r="P2590" s="366">
        <f t="shared" si="106"/>
        <v>0.52083333333333337</v>
      </c>
      <c r="Q2590" s="366">
        <f t="shared" si="107"/>
        <v>0.625</v>
      </c>
      <c r="R2590" s="367" t="str">
        <f t="shared" si="108"/>
        <v>150</v>
      </c>
    </row>
    <row r="2591" spans="1:18" s="361" customFormat="1" x14ac:dyDescent="0.4">
      <c r="A2591" s="402">
        <v>46283</v>
      </c>
      <c r="B2591" s="392" t="s">
        <v>63</v>
      </c>
      <c r="C2591" s="364" t="str">
        <f>VLOOKUP(B2591,'112年全品項生產鍋數'!A:H,2,0)</f>
        <v>草莓蒟蒻餡(1*6kg)</v>
      </c>
      <c r="D2591" s="404">
        <v>12</v>
      </c>
      <c r="E2591" s="369">
        <v>5</v>
      </c>
      <c r="F2591" s="370"/>
      <c r="G2591" s="368">
        <v>0.58333333333333337</v>
      </c>
      <c r="H2591" s="368">
        <v>0.6875</v>
      </c>
      <c r="I2591" s="372" t="str">
        <f t="shared" si="103"/>
        <v>150</v>
      </c>
      <c r="J2591" s="371">
        <v>3</v>
      </c>
      <c r="K2591" s="371"/>
      <c r="L2591" s="365">
        <v>0.625</v>
      </c>
      <c r="M2591" s="365">
        <v>0.72916666666666663</v>
      </c>
      <c r="N2591" s="372" t="str">
        <f t="shared" si="104"/>
        <v>150</v>
      </c>
      <c r="O2591" s="371">
        <f t="shared" si="105"/>
        <v>1200</v>
      </c>
      <c r="P2591" s="366">
        <f t="shared" si="106"/>
        <v>0.58333333333333337</v>
      </c>
      <c r="Q2591" s="366">
        <f t="shared" si="107"/>
        <v>0.72916666666666663</v>
      </c>
      <c r="R2591" s="367" t="str">
        <f t="shared" si="108"/>
        <v>210</v>
      </c>
    </row>
    <row r="2592" spans="1:18" s="361" customFormat="1" x14ac:dyDescent="0.4">
      <c r="A2592" s="402">
        <v>46283</v>
      </c>
      <c r="B2592" s="392" t="s">
        <v>8</v>
      </c>
      <c r="C2592" s="364" t="str">
        <f>VLOOKUP(B2592,'112年全品項生產鍋數'!A:H,2,0)</f>
        <v>藍莓餡(1*6KG)</v>
      </c>
      <c r="D2592" s="404">
        <v>12</v>
      </c>
      <c r="E2592" s="369">
        <v>5</v>
      </c>
      <c r="F2592" s="370"/>
      <c r="G2592" s="368">
        <v>0.36805555555555558</v>
      </c>
      <c r="H2592" s="368">
        <v>0.47916666666666669</v>
      </c>
      <c r="I2592" s="372" t="str">
        <f t="shared" si="103"/>
        <v>160</v>
      </c>
      <c r="J2592" s="371">
        <v>3</v>
      </c>
      <c r="K2592" s="371"/>
      <c r="L2592" s="365">
        <v>0.38194444444444442</v>
      </c>
      <c r="M2592" s="365">
        <v>0.55555555555555558</v>
      </c>
      <c r="N2592" s="372" t="str">
        <f t="shared" si="104"/>
        <v>190</v>
      </c>
      <c r="O2592" s="371">
        <f t="shared" si="105"/>
        <v>1370</v>
      </c>
      <c r="P2592" s="366">
        <f t="shared" si="106"/>
        <v>0.36805555555555558</v>
      </c>
      <c r="Q2592" s="366">
        <f t="shared" si="107"/>
        <v>0.55555555555555558</v>
      </c>
      <c r="R2592" s="367" t="str">
        <f t="shared" si="108"/>
        <v>210</v>
      </c>
    </row>
    <row r="2593" spans="1:18" s="361" customFormat="1" x14ac:dyDescent="0.4">
      <c r="A2593" s="402">
        <v>46283</v>
      </c>
      <c r="B2593" s="392" t="s">
        <v>73</v>
      </c>
      <c r="C2593" s="364" t="str">
        <f>VLOOKUP(B2593,'112年全品項生產鍋數'!A:H,2,0)</f>
        <v>顆粒花生醬(1*12KG)</v>
      </c>
      <c r="D2593" s="404">
        <v>21</v>
      </c>
      <c r="E2593" s="369">
        <v>4</v>
      </c>
      <c r="F2593" s="370"/>
      <c r="G2593" s="368">
        <v>0.29166666666666669</v>
      </c>
      <c r="H2593" s="368">
        <v>0.35416666666666669</v>
      </c>
      <c r="I2593" s="372" t="str">
        <f t="shared" si="103"/>
        <v>90</v>
      </c>
      <c r="J2593" s="371">
        <v>5</v>
      </c>
      <c r="K2593" s="371"/>
      <c r="L2593" s="365">
        <v>0.39583333333333331</v>
      </c>
      <c r="M2593" s="365">
        <v>0.66666666666666663</v>
      </c>
      <c r="N2593" s="372" t="str">
        <f t="shared" si="104"/>
        <v>330</v>
      </c>
      <c r="O2593" s="371">
        <f t="shared" si="105"/>
        <v>2010</v>
      </c>
      <c r="P2593" s="366">
        <f t="shared" si="106"/>
        <v>0.29166666666666669</v>
      </c>
      <c r="Q2593" s="366">
        <f t="shared" si="107"/>
        <v>0.66666666666666663</v>
      </c>
      <c r="R2593" s="367" t="str">
        <f t="shared" si="108"/>
        <v>480</v>
      </c>
    </row>
    <row r="2594" spans="1:18" s="361" customFormat="1" x14ac:dyDescent="0.4">
      <c r="A2594" s="402">
        <v>46283</v>
      </c>
      <c r="B2594" s="392" t="s">
        <v>65</v>
      </c>
      <c r="C2594" s="364" t="str">
        <f>VLOOKUP(B2594,'112年全品項生產鍋數'!A:H,2,0)</f>
        <v>＃1花生(1*2.8kg)</v>
      </c>
      <c r="D2594" s="404">
        <v>72</v>
      </c>
      <c r="E2594" s="369">
        <v>3</v>
      </c>
      <c r="F2594" s="368">
        <v>2.0833333333333332E-2</v>
      </c>
      <c r="G2594" s="368">
        <v>0.29166666666666669</v>
      </c>
      <c r="H2594" s="368">
        <v>0.63194444444444442</v>
      </c>
      <c r="I2594" s="372" t="str">
        <f t="shared" si="103"/>
        <v>460</v>
      </c>
      <c r="J2594" s="371">
        <v>4</v>
      </c>
      <c r="K2594" s="371"/>
      <c r="L2594" s="365">
        <v>0.29166666666666669</v>
      </c>
      <c r="M2594" s="365">
        <v>0.67361111111111116</v>
      </c>
      <c r="N2594" s="372" t="str">
        <f t="shared" si="104"/>
        <v>490</v>
      </c>
      <c r="O2594" s="371">
        <f t="shared" si="105"/>
        <v>3340</v>
      </c>
      <c r="P2594" s="366">
        <f t="shared" si="106"/>
        <v>0.29166666666666669</v>
      </c>
      <c r="Q2594" s="366">
        <f t="shared" si="107"/>
        <v>0.67361111111111116</v>
      </c>
      <c r="R2594" s="367" t="str">
        <f t="shared" si="108"/>
        <v>490</v>
      </c>
    </row>
    <row r="2595" spans="1:18" s="361" customFormat="1" x14ac:dyDescent="0.4">
      <c r="A2595" s="402">
        <v>46286</v>
      </c>
      <c r="B2595" s="392" t="s">
        <v>106</v>
      </c>
      <c r="C2595" s="364" t="str">
        <f>VLOOKUP(B2595,'112年全品項生產鍋數'!A:H,2,0)</f>
        <v>小藍莓1*260G</v>
      </c>
      <c r="D2595" s="404">
        <v>24</v>
      </c>
      <c r="E2595" s="369">
        <v>4</v>
      </c>
      <c r="F2595" s="370"/>
      <c r="G2595" s="368">
        <v>0.29166666666666669</v>
      </c>
      <c r="H2595" s="368">
        <v>0.58333333333333337</v>
      </c>
      <c r="I2595" s="372" t="str">
        <f t="shared" si="103"/>
        <v>360</v>
      </c>
      <c r="J2595" s="371">
        <v>9</v>
      </c>
      <c r="K2595" s="365">
        <v>4.1666666666666664E-2</v>
      </c>
      <c r="L2595" s="365">
        <v>0.3125</v>
      </c>
      <c r="M2595" s="365">
        <v>0.65277777777777779</v>
      </c>
      <c r="N2595" s="372" t="str">
        <f t="shared" si="104"/>
        <v>490</v>
      </c>
      <c r="O2595" s="371">
        <f t="shared" si="105"/>
        <v>5850</v>
      </c>
      <c r="P2595" s="366">
        <f t="shared" si="106"/>
        <v>0.29166666666666669</v>
      </c>
      <c r="Q2595" s="366">
        <f t="shared" si="107"/>
        <v>0.65277777777777779</v>
      </c>
      <c r="R2595" s="367" t="str">
        <f t="shared" si="108"/>
        <v>460</v>
      </c>
    </row>
    <row r="2596" spans="1:18" s="361" customFormat="1" x14ac:dyDescent="0.4">
      <c r="A2596" s="402">
        <v>46286</v>
      </c>
      <c r="B2596" s="392" t="s">
        <v>630</v>
      </c>
      <c r="C2596" s="364" t="str">
        <f>VLOOKUP(B2596,'112年全品項生產鍋數'!A:H,2,0)</f>
        <v>藍莓寡糖果醬(1*200G)</v>
      </c>
      <c r="D2596" s="404">
        <v>4</v>
      </c>
      <c r="E2596" s="369">
        <v>4</v>
      </c>
      <c r="F2596" s="370"/>
      <c r="G2596" s="368">
        <v>0.58333333333333337</v>
      </c>
      <c r="H2596" s="368">
        <v>0.70833333333333337</v>
      </c>
      <c r="I2596" s="372" t="str">
        <f t="shared" si="103"/>
        <v>180</v>
      </c>
      <c r="J2596" s="371">
        <v>9</v>
      </c>
      <c r="K2596" s="371"/>
      <c r="L2596" s="365">
        <v>0.65277777777777779</v>
      </c>
      <c r="M2596" s="365">
        <v>0.74305555555555547</v>
      </c>
      <c r="N2596" s="372" t="str">
        <f t="shared" si="104"/>
        <v>130</v>
      </c>
      <c r="O2596" s="371">
        <f t="shared" si="105"/>
        <v>1890</v>
      </c>
      <c r="P2596" s="366">
        <f t="shared" si="106"/>
        <v>0.58333333333333337</v>
      </c>
      <c r="Q2596" s="366">
        <f t="shared" si="107"/>
        <v>0.74305555555555547</v>
      </c>
      <c r="R2596" s="367" t="str">
        <f t="shared" si="108"/>
        <v>230</v>
      </c>
    </row>
    <row r="2597" spans="1:18" s="361" customFormat="1" x14ac:dyDescent="0.4">
      <c r="A2597" s="402">
        <v>46286</v>
      </c>
      <c r="B2597" s="392" t="s">
        <v>133</v>
      </c>
      <c r="C2597" s="364" t="str">
        <f>VLOOKUP(B2597,'112年全品項生產鍋數'!A:H,2,0)</f>
        <v>藍莓餡(1*6KG)</v>
      </c>
      <c r="D2597" s="404">
        <v>6</v>
      </c>
      <c r="E2597" s="369">
        <v>5</v>
      </c>
      <c r="F2597" s="370"/>
      <c r="G2597" s="368">
        <v>0.4201388888888889</v>
      </c>
      <c r="H2597" s="368">
        <v>0.47916666666666669</v>
      </c>
      <c r="I2597" s="372" t="str">
        <f t="shared" si="103"/>
        <v>85</v>
      </c>
      <c r="J2597" s="371">
        <v>3</v>
      </c>
      <c r="K2597" s="371"/>
      <c r="L2597" s="365">
        <v>0.44791666666666669</v>
      </c>
      <c r="M2597" s="365">
        <v>0.55208333333333337</v>
      </c>
      <c r="N2597" s="372" t="str">
        <f t="shared" si="104"/>
        <v>90</v>
      </c>
      <c r="O2597" s="371">
        <f t="shared" si="105"/>
        <v>695</v>
      </c>
      <c r="P2597" s="366">
        <f t="shared" si="106"/>
        <v>0.4201388888888889</v>
      </c>
      <c r="Q2597" s="366">
        <f t="shared" si="107"/>
        <v>0.55208333333333337</v>
      </c>
      <c r="R2597" s="367" t="str">
        <f t="shared" si="108"/>
        <v>130</v>
      </c>
    </row>
    <row r="2598" spans="1:18" s="361" customFormat="1" x14ac:dyDescent="0.4">
      <c r="A2598" s="402">
        <v>46286</v>
      </c>
      <c r="B2598" s="392" t="s">
        <v>51</v>
      </c>
      <c r="C2598" s="364" t="str">
        <f>VLOOKUP(B2598,'112年全品項生產鍋數'!A:H,2,0)</f>
        <v>藍莓醬(1*6kg)</v>
      </c>
      <c r="D2598" s="404">
        <v>16</v>
      </c>
      <c r="E2598" s="369">
        <v>5</v>
      </c>
      <c r="F2598" s="370"/>
      <c r="G2598" s="368">
        <v>0.29166666666666669</v>
      </c>
      <c r="H2598" s="368">
        <v>0.4201388888888889</v>
      </c>
      <c r="I2598" s="372" t="str">
        <f t="shared" si="103"/>
        <v>185</v>
      </c>
      <c r="J2598" s="371">
        <v>3</v>
      </c>
      <c r="K2598" s="371"/>
      <c r="L2598" s="365">
        <v>0.3125</v>
      </c>
      <c r="M2598" s="365">
        <v>0.44791666666666669</v>
      </c>
      <c r="N2598" s="372" t="str">
        <f t="shared" si="104"/>
        <v>195</v>
      </c>
      <c r="O2598" s="371">
        <f t="shared" si="105"/>
        <v>1510</v>
      </c>
      <c r="P2598" s="366">
        <f t="shared" si="106"/>
        <v>0.29166666666666669</v>
      </c>
      <c r="Q2598" s="366">
        <f t="shared" si="107"/>
        <v>0.44791666666666669</v>
      </c>
      <c r="R2598" s="367" t="str">
        <f t="shared" si="108"/>
        <v>225</v>
      </c>
    </row>
    <row r="2599" spans="1:18" s="361" customFormat="1" x14ac:dyDescent="0.4">
      <c r="A2599" s="402">
        <v>46286</v>
      </c>
      <c r="B2599" s="392" t="s">
        <v>63</v>
      </c>
      <c r="C2599" s="364" t="str">
        <f>VLOOKUP(B2599,'112年全品項生產鍋數'!A:H,2,0)</f>
        <v>草莓蒟蒻餡(1*6kg)</v>
      </c>
      <c r="D2599" s="404">
        <v>20</v>
      </c>
      <c r="E2599" s="369">
        <v>5</v>
      </c>
      <c r="F2599" s="370"/>
      <c r="G2599" s="368">
        <v>0.52083333333333337</v>
      </c>
      <c r="H2599" s="368">
        <v>0.6875</v>
      </c>
      <c r="I2599" s="372" t="str">
        <f t="shared" si="103"/>
        <v>240</v>
      </c>
      <c r="J2599" s="371">
        <v>3</v>
      </c>
      <c r="K2599" s="371"/>
      <c r="L2599" s="365">
        <v>0.55208333333333337</v>
      </c>
      <c r="M2599" s="365">
        <v>0.6875</v>
      </c>
      <c r="N2599" s="372" t="str">
        <f t="shared" si="104"/>
        <v>195</v>
      </c>
      <c r="O2599" s="371">
        <f t="shared" si="105"/>
        <v>1785</v>
      </c>
      <c r="P2599" s="366">
        <f t="shared" si="106"/>
        <v>0.52083333333333337</v>
      </c>
      <c r="Q2599" s="366">
        <f t="shared" si="107"/>
        <v>0.6875</v>
      </c>
      <c r="R2599" s="367" t="str">
        <f t="shared" si="108"/>
        <v>240</v>
      </c>
    </row>
    <row r="2600" spans="1:18" s="361" customFormat="1" x14ac:dyDescent="0.4">
      <c r="A2600" s="402">
        <v>46286</v>
      </c>
      <c r="B2600" s="392" t="s">
        <v>65</v>
      </c>
      <c r="C2600" s="364" t="str">
        <f>VLOOKUP(B2600,'112年全品項生產鍋數'!A:H,2,0)</f>
        <v>＃1花生(1*2.8kg)</v>
      </c>
      <c r="D2600" s="404">
        <v>68</v>
      </c>
      <c r="E2600" s="369"/>
      <c r="F2600" s="370"/>
      <c r="G2600" s="368"/>
      <c r="H2600" s="368"/>
      <c r="I2600" s="372" t="str">
        <f t="shared" si="103"/>
        <v>0</v>
      </c>
      <c r="J2600" s="371"/>
      <c r="K2600" s="371"/>
      <c r="L2600" s="365"/>
      <c r="M2600" s="365"/>
      <c r="N2600" s="372" t="str">
        <f t="shared" si="104"/>
        <v>0</v>
      </c>
      <c r="O2600" s="371">
        <f t="shared" si="105"/>
        <v>0</v>
      </c>
      <c r="P2600" s="366">
        <f t="shared" si="106"/>
        <v>0</v>
      </c>
      <c r="Q2600" s="366">
        <f t="shared" si="107"/>
        <v>0</v>
      </c>
      <c r="R2600" s="367" t="str">
        <f t="shared" si="108"/>
        <v>0</v>
      </c>
    </row>
    <row r="2601" spans="1:18" s="361" customFormat="1" x14ac:dyDescent="0.4">
      <c r="A2601" s="402">
        <v>46287</v>
      </c>
      <c r="B2601" s="392" t="s">
        <v>68</v>
      </c>
      <c r="C2601" s="364" t="str">
        <f>VLOOKUP(B2601,'112年全品項生產鍋數'!A:H,2,0)</f>
        <v>#2草莓果醬(1*900g)</v>
      </c>
      <c r="D2601" s="404">
        <v>40</v>
      </c>
      <c r="E2601" s="369"/>
      <c r="F2601" s="370"/>
      <c r="G2601" s="368"/>
      <c r="H2601" s="368"/>
      <c r="I2601" s="372" t="str">
        <f t="shared" si="103"/>
        <v>0</v>
      </c>
      <c r="J2601" s="371"/>
      <c r="K2601" s="371"/>
      <c r="L2601" s="365"/>
      <c r="M2601" s="365"/>
      <c r="N2601" s="372" t="str">
        <f t="shared" si="104"/>
        <v>0</v>
      </c>
      <c r="O2601" s="371">
        <f t="shared" si="105"/>
        <v>0</v>
      </c>
      <c r="P2601" s="366">
        <f t="shared" si="106"/>
        <v>0</v>
      </c>
      <c r="Q2601" s="366">
        <f t="shared" si="107"/>
        <v>0</v>
      </c>
      <c r="R2601" s="367" t="str">
        <f t="shared" si="108"/>
        <v>0</v>
      </c>
    </row>
    <row r="2602" spans="1:18" s="361" customFormat="1" x14ac:dyDescent="0.4">
      <c r="A2602" s="402">
        <v>46287</v>
      </c>
      <c r="B2602" s="392" t="s">
        <v>451</v>
      </c>
      <c r="C2602" s="364" t="str">
        <f>VLOOKUP(B2602,'112年全品項生產鍋數'!A:H,2,0)</f>
        <v>水蜜桃醬(1*6kg)</v>
      </c>
      <c r="D2602" s="404">
        <v>6</v>
      </c>
      <c r="E2602" s="369"/>
      <c r="F2602" s="370"/>
      <c r="G2602" s="368"/>
      <c r="H2602" s="368"/>
      <c r="I2602" s="372" t="str">
        <f t="shared" si="103"/>
        <v>0</v>
      </c>
      <c r="J2602" s="371"/>
      <c r="K2602" s="371"/>
      <c r="L2602" s="365"/>
      <c r="M2602" s="365"/>
      <c r="N2602" s="372" t="str">
        <f t="shared" si="104"/>
        <v>0</v>
      </c>
      <c r="O2602" s="371">
        <f t="shared" si="105"/>
        <v>0</v>
      </c>
      <c r="P2602" s="366">
        <f t="shared" si="106"/>
        <v>0</v>
      </c>
      <c r="Q2602" s="366">
        <f t="shared" si="107"/>
        <v>0</v>
      </c>
      <c r="R2602" s="367" t="str">
        <f t="shared" si="108"/>
        <v>0</v>
      </c>
    </row>
    <row r="2603" spans="1:18" s="361" customFormat="1" x14ac:dyDescent="0.4">
      <c r="A2603" s="402">
        <v>46287</v>
      </c>
      <c r="B2603" s="392" t="s">
        <v>1046</v>
      </c>
      <c r="C2603" s="364" t="str">
        <f>VLOOKUP(B2603,'112年全品項生產鍋數'!A:H,2,0)</f>
        <v>藍莓顆粒果醬(1*6kg)</v>
      </c>
      <c r="D2603" s="404">
        <v>6</v>
      </c>
      <c r="E2603" s="369"/>
      <c r="F2603" s="370"/>
      <c r="G2603" s="368"/>
      <c r="H2603" s="368"/>
      <c r="I2603" s="372" t="str">
        <f t="shared" si="103"/>
        <v>0</v>
      </c>
      <c r="J2603" s="371"/>
      <c r="K2603" s="371"/>
      <c r="L2603" s="365"/>
      <c r="M2603" s="365"/>
      <c r="N2603" s="372" t="str">
        <f t="shared" si="104"/>
        <v>0</v>
      </c>
      <c r="O2603" s="371">
        <f t="shared" si="105"/>
        <v>0</v>
      </c>
      <c r="P2603" s="366">
        <f t="shared" si="106"/>
        <v>0</v>
      </c>
      <c r="Q2603" s="366">
        <f t="shared" si="107"/>
        <v>0</v>
      </c>
      <c r="R2603" s="367" t="str">
        <f t="shared" si="108"/>
        <v>0</v>
      </c>
    </row>
    <row r="2604" spans="1:18" s="361" customFormat="1" x14ac:dyDescent="0.4">
      <c r="A2604" s="402">
        <v>46287</v>
      </c>
      <c r="B2604" s="392" t="s">
        <v>107</v>
      </c>
      <c r="C2604" s="364" t="str">
        <f>VLOOKUP(B2604,'112年全品項生產鍋數'!A:H,2,0)</f>
        <v>藍莓餡(1*6kg)</v>
      </c>
      <c r="D2604" s="404">
        <v>8</v>
      </c>
      <c r="E2604" s="369"/>
      <c r="F2604" s="370"/>
      <c r="G2604" s="368"/>
      <c r="H2604" s="368"/>
      <c r="I2604" s="372" t="str">
        <f t="shared" si="103"/>
        <v>0</v>
      </c>
      <c r="J2604" s="371"/>
      <c r="K2604" s="371"/>
      <c r="L2604" s="365"/>
      <c r="M2604" s="365"/>
      <c r="N2604" s="372" t="str">
        <f t="shared" si="104"/>
        <v>0</v>
      </c>
      <c r="O2604" s="371">
        <f t="shared" si="105"/>
        <v>0</v>
      </c>
      <c r="P2604" s="366">
        <f t="shared" si="106"/>
        <v>0</v>
      </c>
      <c r="Q2604" s="366">
        <f t="shared" si="107"/>
        <v>0</v>
      </c>
      <c r="R2604" s="367" t="str">
        <f t="shared" si="108"/>
        <v>0</v>
      </c>
    </row>
    <row r="2605" spans="1:18" s="361" customFormat="1" x14ac:dyDescent="0.4">
      <c r="A2605" s="402">
        <v>46287</v>
      </c>
      <c r="B2605" s="392" t="s">
        <v>63</v>
      </c>
      <c r="C2605" s="364" t="str">
        <f>VLOOKUP(B2605,'112年全品項生產鍋數'!A:H,2,0)</f>
        <v>草莓蒟蒻餡(1*6kg)</v>
      </c>
      <c r="D2605" s="404">
        <v>20</v>
      </c>
      <c r="E2605" s="369"/>
      <c r="F2605" s="370"/>
      <c r="G2605" s="368"/>
      <c r="H2605" s="368"/>
      <c r="I2605" s="372" t="str">
        <f t="shared" si="103"/>
        <v>0</v>
      </c>
      <c r="J2605" s="371"/>
      <c r="K2605" s="371"/>
      <c r="L2605" s="365"/>
      <c r="M2605" s="365"/>
      <c r="N2605" s="372" t="str">
        <f t="shared" si="104"/>
        <v>0</v>
      </c>
      <c r="O2605" s="371">
        <f t="shared" si="105"/>
        <v>0</v>
      </c>
      <c r="P2605" s="366">
        <f t="shared" si="106"/>
        <v>0</v>
      </c>
      <c r="Q2605" s="366">
        <f t="shared" si="107"/>
        <v>0</v>
      </c>
      <c r="R2605" s="367" t="str">
        <f t="shared" si="108"/>
        <v>0</v>
      </c>
    </row>
    <row r="2606" spans="1:18" s="361" customFormat="1" x14ac:dyDescent="0.4">
      <c r="A2606" s="402">
        <v>46287</v>
      </c>
      <c r="B2606" s="392" t="s">
        <v>58</v>
      </c>
      <c r="C2606" s="364" t="str">
        <f>VLOOKUP(B2606,'112年全品項生產鍋數'!A:H,2,0)</f>
        <v>PET大花生(1*400g)</v>
      </c>
      <c r="D2606" s="404">
        <v>20</v>
      </c>
      <c r="E2606" s="369"/>
      <c r="F2606" s="370"/>
      <c r="G2606" s="368"/>
      <c r="H2606" s="368"/>
      <c r="I2606" s="372" t="str">
        <f t="shared" si="103"/>
        <v>0</v>
      </c>
      <c r="J2606" s="371"/>
      <c r="K2606" s="371"/>
      <c r="L2606" s="365"/>
      <c r="M2606" s="365"/>
      <c r="N2606" s="372" t="str">
        <f t="shared" si="104"/>
        <v>0</v>
      </c>
      <c r="O2606" s="371">
        <f t="shared" si="105"/>
        <v>0</v>
      </c>
      <c r="P2606" s="366">
        <f t="shared" si="106"/>
        <v>0</v>
      </c>
      <c r="Q2606" s="366">
        <f t="shared" si="107"/>
        <v>0</v>
      </c>
      <c r="R2606" s="367" t="str">
        <f t="shared" si="108"/>
        <v>0</v>
      </c>
    </row>
    <row r="2607" spans="1:18" s="361" customFormat="1" x14ac:dyDescent="0.4">
      <c r="A2607" s="402">
        <v>46287</v>
      </c>
      <c r="B2607" s="392" t="s">
        <v>66</v>
      </c>
      <c r="C2607" s="364" t="str">
        <f>VLOOKUP(B2607,'112年全品項生產鍋數'!A:H,2,0)</f>
        <v>＃2花生(1*800g)</v>
      </c>
      <c r="D2607" s="404">
        <v>20</v>
      </c>
      <c r="E2607" s="369"/>
      <c r="F2607" s="370"/>
      <c r="G2607" s="368"/>
      <c r="H2607" s="368"/>
      <c r="I2607" s="372" t="str">
        <f t="shared" si="103"/>
        <v>0</v>
      </c>
      <c r="J2607" s="371"/>
      <c r="K2607" s="371"/>
      <c r="L2607" s="365"/>
      <c r="M2607" s="365"/>
      <c r="N2607" s="372" t="str">
        <f t="shared" si="104"/>
        <v>0</v>
      </c>
      <c r="O2607" s="371">
        <f t="shared" si="105"/>
        <v>0</v>
      </c>
      <c r="P2607" s="366">
        <f t="shared" si="106"/>
        <v>0</v>
      </c>
      <c r="Q2607" s="366">
        <f t="shared" si="107"/>
        <v>0</v>
      </c>
      <c r="R2607" s="367" t="str">
        <f t="shared" si="108"/>
        <v>0</v>
      </c>
    </row>
    <row r="2608" spans="1:18" s="361" customFormat="1" x14ac:dyDescent="0.4">
      <c r="A2608" s="402">
        <v>46288</v>
      </c>
      <c r="B2608" s="392" t="s">
        <v>71</v>
      </c>
      <c r="C2608" s="364" t="str">
        <f>VLOOKUP(B2608,'112年全品項生產鍋數'!A:H,2,0)</f>
        <v>＃1草莓(1*3.2kg)</v>
      </c>
      <c r="D2608" s="404">
        <v>72</v>
      </c>
      <c r="E2608" s="369"/>
      <c r="F2608" s="370"/>
      <c r="G2608" s="368"/>
      <c r="H2608" s="368"/>
      <c r="I2608" s="372" t="str">
        <f t="shared" si="103"/>
        <v>0</v>
      </c>
      <c r="J2608" s="371"/>
      <c r="K2608" s="371"/>
      <c r="L2608" s="365"/>
      <c r="M2608" s="365"/>
      <c r="N2608" s="372" t="str">
        <f t="shared" si="104"/>
        <v>0</v>
      </c>
      <c r="O2608" s="371">
        <f t="shared" si="105"/>
        <v>0</v>
      </c>
      <c r="P2608" s="366">
        <f t="shared" si="106"/>
        <v>0</v>
      </c>
      <c r="Q2608" s="366">
        <f t="shared" si="107"/>
        <v>0</v>
      </c>
      <c r="R2608" s="367" t="str">
        <f t="shared" si="108"/>
        <v>0</v>
      </c>
    </row>
    <row r="2609" spans="1:18" s="361" customFormat="1" x14ac:dyDescent="0.4">
      <c r="A2609" s="402">
        <v>46288</v>
      </c>
      <c r="B2609" s="392" t="s">
        <v>1061</v>
      </c>
      <c r="C2609" s="364" t="str">
        <f>VLOOKUP(B2609,'112年全品項生產鍋數'!A:H,2,0)</f>
        <v>＃1草莓(1*3.2kg)</v>
      </c>
      <c r="D2609" s="404">
        <v>1</v>
      </c>
      <c r="E2609" s="369"/>
      <c r="F2609" s="370"/>
      <c r="G2609" s="368"/>
      <c r="H2609" s="368"/>
      <c r="I2609" s="372" t="str">
        <f t="shared" si="103"/>
        <v>0</v>
      </c>
      <c r="J2609" s="371"/>
      <c r="K2609" s="371"/>
      <c r="L2609" s="365"/>
      <c r="M2609" s="365"/>
      <c r="N2609" s="372" t="str">
        <f t="shared" si="104"/>
        <v>0</v>
      </c>
      <c r="O2609" s="371">
        <f t="shared" si="105"/>
        <v>0</v>
      </c>
      <c r="P2609" s="366">
        <f t="shared" si="106"/>
        <v>0</v>
      </c>
      <c r="Q2609" s="366">
        <f t="shared" si="107"/>
        <v>0</v>
      </c>
      <c r="R2609" s="367" t="str">
        <f t="shared" si="108"/>
        <v>0</v>
      </c>
    </row>
    <row r="2610" spans="1:18" s="361" customFormat="1" x14ac:dyDescent="0.4">
      <c r="A2610" s="402">
        <v>46288</v>
      </c>
      <c r="B2610" s="392" t="s">
        <v>117</v>
      </c>
      <c r="C2610" s="364" t="str">
        <f>VLOOKUP(B2610,'112年全品項生產鍋數'!A:H,2,0)</f>
        <v>草莓餡(1*4.5Kg)</v>
      </c>
      <c r="D2610" s="404">
        <v>12</v>
      </c>
      <c r="E2610" s="369"/>
      <c r="F2610" s="370"/>
      <c r="G2610" s="368"/>
      <c r="H2610" s="368"/>
      <c r="I2610" s="372" t="str">
        <f t="shared" si="103"/>
        <v>0</v>
      </c>
      <c r="J2610" s="371"/>
      <c r="K2610" s="371"/>
      <c r="L2610" s="365"/>
      <c r="M2610" s="365"/>
      <c r="N2610" s="372" t="str">
        <f t="shared" si="104"/>
        <v>0</v>
      </c>
      <c r="O2610" s="371">
        <f t="shared" si="105"/>
        <v>0</v>
      </c>
      <c r="P2610" s="366">
        <f t="shared" si="106"/>
        <v>0</v>
      </c>
      <c r="Q2610" s="366">
        <f t="shared" si="107"/>
        <v>0</v>
      </c>
      <c r="R2610" s="367" t="str">
        <f t="shared" si="108"/>
        <v>0</v>
      </c>
    </row>
    <row r="2611" spans="1:18" s="361" customFormat="1" x14ac:dyDescent="0.4">
      <c r="A2611" s="402">
        <v>46288</v>
      </c>
      <c r="B2611" s="392" t="s">
        <v>57</v>
      </c>
      <c r="C2611" s="364" t="str">
        <f>VLOOKUP(B2611,'112年全品項生產鍋數'!A:H,2,0)</f>
        <v>蘋果藍莓餡(1*9.08kg)</v>
      </c>
      <c r="D2611" s="404">
        <v>12</v>
      </c>
      <c r="E2611" s="369"/>
      <c r="F2611" s="370"/>
      <c r="G2611" s="368"/>
      <c r="H2611" s="368"/>
      <c r="I2611" s="372" t="str">
        <f t="shared" si="103"/>
        <v>0</v>
      </c>
      <c r="J2611" s="371"/>
      <c r="K2611" s="371"/>
      <c r="L2611" s="365"/>
      <c r="M2611" s="365"/>
      <c r="N2611" s="372" t="str">
        <f t="shared" si="104"/>
        <v>0</v>
      </c>
      <c r="O2611" s="371">
        <f t="shared" si="105"/>
        <v>0</v>
      </c>
      <c r="P2611" s="366">
        <f t="shared" si="106"/>
        <v>0</v>
      </c>
      <c r="Q2611" s="366">
        <f t="shared" si="107"/>
        <v>0</v>
      </c>
      <c r="R2611" s="367" t="str">
        <f t="shared" si="108"/>
        <v>0</v>
      </c>
    </row>
    <row r="2612" spans="1:18" s="361" customFormat="1" x14ac:dyDescent="0.4">
      <c r="A2612" s="402">
        <v>46288</v>
      </c>
      <c r="B2612" s="392" t="s">
        <v>116</v>
      </c>
      <c r="C2612" s="364" t="str">
        <f>VLOOKUP(B2612,'112年全品項生產鍋數'!A:H,2,0)</f>
        <v>藍莓餡（大）(1*9.08kg)</v>
      </c>
      <c r="D2612" s="404">
        <v>12</v>
      </c>
      <c r="E2612" s="369"/>
      <c r="F2612" s="370"/>
      <c r="G2612" s="368"/>
      <c r="H2612" s="368"/>
      <c r="I2612" s="372" t="str">
        <f t="shared" si="103"/>
        <v>0</v>
      </c>
      <c r="J2612" s="371"/>
      <c r="K2612" s="371"/>
      <c r="L2612" s="365"/>
      <c r="M2612" s="365"/>
      <c r="N2612" s="372" t="str">
        <f t="shared" si="104"/>
        <v>0</v>
      </c>
      <c r="O2612" s="371">
        <f t="shared" si="105"/>
        <v>0</v>
      </c>
      <c r="P2612" s="366">
        <f t="shared" si="106"/>
        <v>0</v>
      </c>
      <c r="Q2612" s="366">
        <f t="shared" si="107"/>
        <v>0</v>
      </c>
      <c r="R2612" s="367" t="str">
        <f t="shared" si="108"/>
        <v>0</v>
      </c>
    </row>
    <row r="2613" spans="1:18" s="361" customFormat="1" x14ac:dyDescent="0.4">
      <c r="A2613" s="402">
        <v>46288</v>
      </c>
      <c r="B2613" s="392" t="s">
        <v>83</v>
      </c>
      <c r="C2613" s="364" t="str">
        <f>VLOOKUP(B2613,'112年全品項生產鍋數'!A:H,2,0)</f>
        <v>PET瓶花生(粒)(1*340g)</v>
      </c>
      <c r="D2613" s="404">
        <v>12</v>
      </c>
      <c r="E2613" s="369"/>
      <c r="F2613" s="370"/>
      <c r="G2613" s="368"/>
      <c r="H2613" s="368"/>
      <c r="I2613" s="372" t="str">
        <f t="shared" si="103"/>
        <v>0</v>
      </c>
      <c r="J2613" s="371"/>
      <c r="K2613" s="371"/>
      <c r="L2613" s="365"/>
      <c r="M2613" s="365"/>
      <c r="N2613" s="372" t="str">
        <f t="shared" si="104"/>
        <v>0</v>
      </c>
      <c r="O2613" s="371">
        <f t="shared" si="105"/>
        <v>0</v>
      </c>
      <c r="P2613" s="366">
        <f t="shared" si="106"/>
        <v>0</v>
      </c>
      <c r="Q2613" s="366">
        <f t="shared" si="107"/>
        <v>0</v>
      </c>
      <c r="R2613" s="367" t="str">
        <f t="shared" si="108"/>
        <v>0</v>
      </c>
    </row>
    <row r="2614" spans="1:18" s="361" customFormat="1" x14ac:dyDescent="0.4">
      <c r="A2614" s="402">
        <v>46288</v>
      </c>
      <c r="B2614" s="392" t="s">
        <v>82</v>
      </c>
      <c r="C2614" s="364" t="str">
        <f>VLOOKUP(B2614,'112年全品項生產鍋數'!A:H,2,0)</f>
        <v>顆粒花生醬(全)</v>
      </c>
      <c r="D2614" s="404">
        <v>28</v>
      </c>
      <c r="E2614" s="369"/>
      <c r="F2614" s="370"/>
      <c r="G2614" s="368"/>
      <c r="H2614" s="368"/>
      <c r="I2614" s="372" t="str">
        <f t="shared" si="103"/>
        <v>0</v>
      </c>
      <c r="J2614" s="371"/>
      <c r="K2614" s="371"/>
      <c r="L2614" s="365"/>
      <c r="M2614" s="365"/>
      <c r="N2614" s="372" t="str">
        <f t="shared" si="104"/>
        <v>0</v>
      </c>
      <c r="O2614" s="371">
        <f t="shared" si="105"/>
        <v>0</v>
      </c>
      <c r="P2614" s="366">
        <f t="shared" si="106"/>
        <v>0</v>
      </c>
      <c r="Q2614" s="366">
        <f t="shared" si="107"/>
        <v>0</v>
      </c>
      <c r="R2614" s="367" t="str">
        <f t="shared" si="108"/>
        <v>0</v>
      </c>
    </row>
    <row r="2615" spans="1:18" s="361" customFormat="1" x14ac:dyDescent="0.4">
      <c r="A2615" s="402">
        <v>46289</v>
      </c>
      <c r="B2615" s="392" t="s">
        <v>61</v>
      </c>
      <c r="C2615" s="364" t="str">
        <f>VLOOKUP(B2615,'112年全品項生產鍋數'!A:H,2,0)</f>
        <v>大圓草莓-新</v>
      </c>
      <c r="D2615" s="404">
        <v>48</v>
      </c>
      <c r="E2615" s="369"/>
      <c r="F2615" s="370"/>
      <c r="G2615" s="368"/>
      <c r="H2615" s="368"/>
      <c r="I2615" s="372" t="str">
        <f t="shared" si="103"/>
        <v>0</v>
      </c>
      <c r="J2615" s="371"/>
      <c r="K2615" s="371"/>
      <c r="L2615" s="365"/>
      <c r="M2615" s="365"/>
      <c r="N2615" s="372" t="str">
        <f t="shared" si="104"/>
        <v>0</v>
      </c>
      <c r="O2615" s="371">
        <f t="shared" si="105"/>
        <v>0</v>
      </c>
      <c r="P2615" s="366">
        <f t="shared" si="106"/>
        <v>0</v>
      </c>
      <c r="Q2615" s="366">
        <f t="shared" si="107"/>
        <v>0</v>
      </c>
      <c r="R2615" s="367" t="str">
        <f t="shared" si="108"/>
        <v>0</v>
      </c>
    </row>
    <row r="2616" spans="1:18" s="361" customFormat="1" x14ac:dyDescent="0.4">
      <c r="A2616" s="402">
        <v>46289</v>
      </c>
      <c r="B2616" s="392" t="s">
        <v>1698</v>
      </c>
      <c r="C2616" s="364" t="str">
        <f>VLOOKUP(B2616,'112年全品項生產鍋數'!A:H,2,0)</f>
        <v>上好佳草莓餡4.5KG</v>
      </c>
      <c r="D2616" s="404">
        <v>16</v>
      </c>
      <c r="E2616" s="369"/>
      <c r="F2616" s="370"/>
      <c r="G2616" s="368"/>
      <c r="H2616" s="368"/>
      <c r="I2616" s="372" t="str">
        <f t="shared" si="103"/>
        <v>0</v>
      </c>
      <c r="J2616" s="371"/>
      <c r="K2616" s="371"/>
      <c r="L2616" s="365"/>
      <c r="M2616" s="365"/>
      <c r="N2616" s="372" t="str">
        <f t="shared" si="104"/>
        <v>0</v>
      </c>
      <c r="O2616" s="371">
        <f t="shared" si="105"/>
        <v>0</v>
      </c>
      <c r="P2616" s="366">
        <f t="shared" si="106"/>
        <v>0</v>
      </c>
      <c r="Q2616" s="366">
        <f t="shared" si="107"/>
        <v>0</v>
      </c>
      <c r="R2616" s="367" t="str">
        <f t="shared" si="108"/>
        <v>0</v>
      </c>
    </row>
    <row r="2617" spans="1:18" s="361" customFormat="1" x14ac:dyDescent="0.4">
      <c r="A2617" s="402">
        <v>46289</v>
      </c>
      <c r="B2617" s="392" t="s">
        <v>1162</v>
      </c>
      <c r="C2617" s="364" t="str">
        <f>VLOOKUP(B2617,'112年全品項生產鍋數'!A:H,2,0)</f>
        <v>藍莓餡(1*6KG)</v>
      </c>
      <c r="D2617" s="404">
        <v>24</v>
      </c>
      <c r="E2617" s="369"/>
      <c r="F2617" s="370"/>
      <c r="G2617" s="368"/>
      <c r="H2617" s="368"/>
      <c r="I2617" s="372" t="str">
        <f t="shared" si="103"/>
        <v>0</v>
      </c>
      <c r="J2617" s="371"/>
      <c r="K2617" s="371"/>
      <c r="L2617" s="365"/>
      <c r="M2617" s="365"/>
      <c r="N2617" s="372" t="str">
        <f t="shared" si="104"/>
        <v>0</v>
      </c>
      <c r="O2617" s="371">
        <f t="shared" si="105"/>
        <v>0</v>
      </c>
      <c r="P2617" s="366">
        <f t="shared" si="106"/>
        <v>0</v>
      </c>
      <c r="Q2617" s="366">
        <f t="shared" si="107"/>
        <v>0</v>
      </c>
      <c r="R2617" s="367" t="str">
        <f t="shared" si="108"/>
        <v>0</v>
      </c>
    </row>
    <row r="2618" spans="1:18" s="361" customFormat="1" x14ac:dyDescent="0.4">
      <c r="A2618" s="402">
        <v>46289</v>
      </c>
      <c r="B2618" s="392" t="s">
        <v>65</v>
      </c>
      <c r="C2618" s="364" t="str">
        <f>VLOOKUP(B2618,'112年全品項生產鍋數'!A:H,2,0)</f>
        <v>＃1花生(1*2.8kg)</v>
      </c>
      <c r="D2618" s="404">
        <v>68</v>
      </c>
      <c r="E2618" s="369"/>
      <c r="F2618" s="370"/>
      <c r="G2618" s="368"/>
      <c r="H2618" s="368"/>
      <c r="I2618" s="372" t="str">
        <f t="shared" si="103"/>
        <v>0</v>
      </c>
      <c r="J2618" s="371"/>
      <c r="K2618" s="371"/>
      <c r="L2618" s="365"/>
      <c r="M2618" s="365"/>
      <c r="N2618" s="372" t="str">
        <f t="shared" si="104"/>
        <v>0</v>
      </c>
      <c r="O2618" s="371">
        <f t="shared" si="105"/>
        <v>0</v>
      </c>
      <c r="P2618" s="366">
        <f t="shared" si="106"/>
        <v>0</v>
      </c>
      <c r="Q2618" s="366">
        <f t="shared" si="107"/>
        <v>0</v>
      </c>
      <c r="R2618" s="367" t="str">
        <f t="shared" si="108"/>
        <v>0</v>
      </c>
    </row>
    <row r="2619" spans="1:18" s="361" customFormat="1" x14ac:dyDescent="0.4">
      <c r="A2619" s="243"/>
      <c r="B2619" s="243"/>
      <c r="C2619" s="22"/>
      <c r="D2619" s="239"/>
      <c r="E2619" s="369"/>
      <c r="F2619" s="370"/>
      <c r="G2619" s="368"/>
      <c r="H2619" s="368"/>
      <c r="I2619" s="372" t="str">
        <f t="shared" si="103"/>
        <v>0</v>
      </c>
      <c r="J2619" s="371"/>
      <c r="K2619" s="371"/>
      <c r="L2619" s="365"/>
      <c r="M2619" s="365"/>
      <c r="N2619" s="372" t="str">
        <f t="shared" si="104"/>
        <v>0</v>
      </c>
      <c r="O2619" s="371">
        <f t="shared" si="105"/>
        <v>0</v>
      </c>
      <c r="P2619" s="366">
        <f t="shared" si="106"/>
        <v>0</v>
      </c>
      <c r="Q2619" s="366">
        <f t="shared" si="107"/>
        <v>0</v>
      </c>
      <c r="R2619" s="367" t="str">
        <f t="shared" si="108"/>
        <v>0</v>
      </c>
    </row>
    <row r="2620" spans="1:18" s="361" customFormat="1" x14ac:dyDescent="0.4">
      <c r="A2620" s="243"/>
      <c r="B2620" s="243"/>
      <c r="C2620" s="22"/>
      <c r="D2620" s="239"/>
      <c r="E2620" s="369"/>
      <c r="F2620" s="370"/>
      <c r="G2620" s="368"/>
      <c r="H2620" s="368"/>
      <c r="I2620" s="372" t="str">
        <f t="shared" si="103"/>
        <v>0</v>
      </c>
      <c r="J2620" s="371"/>
      <c r="K2620" s="371"/>
      <c r="L2620" s="365"/>
      <c r="M2620" s="365"/>
      <c r="N2620" s="372" t="str">
        <f t="shared" si="104"/>
        <v>0</v>
      </c>
      <c r="O2620" s="371">
        <f t="shared" si="105"/>
        <v>0</v>
      </c>
      <c r="P2620" s="366">
        <f t="shared" si="106"/>
        <v>0</v>
      </c>
      <c r="Q2620" s="366">
        <f t="shared" si="107"/>
        <v>0</v>
      </c>
      <c r="R2620" s="367" t="str">
        <f t="shared" si="108"/>
        <v>0</v>
      </c>
    </row>
    <row r="2621" spans="1:18" s="361" customFormat="1" x14ac:dyDescent="0.4">
      <c r="A2621" s="243"/>
      <c r="B2621" s="243"/>
      <c r="C2621" s="22"/>
      <c r="D2621" s="239"/>
      <c r="E2621" s="369"/>
      <c r="F2621" s="370"/>
      <c r="G2621" s="368"/>
      <c r="H2621" s="368"/>
      <c r="I2621" s="372" t="str">
        <f t="shared" si="103"/>
        <v>0</v>
      </c>
      <c r="J2621" s="371"/>
      <c r="K2621" s="371"/>
      <c r="L2621" s="365"/>
      <c r="M2621" s="365"/>
      <c r="N2621" s="372" t="str">
        <f t="shared" si="104"/>
        <v>0</v>
      </c>
      <c r="O2621" s="371">
        <f t="shared" si="105"/>
        <v>0</v>
      </c>
      <c r="P2621" s="366">
        <f t="shared" si="106"/>
        <v>0</v>
      </c>
      <c r="Q2621" s="366">
        <f t="shared" si="107"/>
        <v>0</v>
      </c>
      <c r="R2621" s="367" t="str">
        <f t="shared" si="108"/>
        <v>0</v>
      </c>
    </row>
    <row r="2622" spans="1:18" s="361" customFormat="1" x14ac:dyDescent="0.4">
      <c r="A2622" s="243"/>
      <c r="B2622" s="243"/>
      <c r="C2622" s="22"/>
      <c r="D2622" s="239"/>
      <c r="E2622" s="369"/>
      <c r="F2622" s="370"/>
      <c r="G2622" s="368"/>
      <c r="H2622" s="368"/>
      <c r="I2622" s="372" t="str">
        <f t="shared" si="103"/>
        <v>0</v>
      </c>
      <c r="J2622" s="371"/>
      <c r="K2622" s="371"/>
      <c r="L2622" s="365"/>
      <c r="M2622" s="365"/>
      <c r="N2622" s="372" t="str">
        <f t="shared" si="104"/>
        <v>0</v>
      </c>
      <c r="O2622" s="371">
        <f t="shared" si="105"/>
        <v>0</v>
      </c>
      <c r="P2622" s="366">
        <f t="shared" si="106"/>
        <v>0</v>
      </c>
      <c r="Q2622" s="366">
        <f t="shared" si="107"/>
        <v>0</v>
      </c>
      <c r="R2622" s="367" t="str">
        <f t="shared" si="108"/>
        <v>0</v>
      </c>
    </row>
    <row r="2623" spans="1:18" s="361" customFormat="1" x14ac:dyDescent="0.4">
      <c r="A2623" s="243"/>
      <c r="B2623" s="243"/>
      <c r="C2623" s="22"/>
      <c r="D2623" s="239"/>
      <c r="E2623" s="369"/>
      <c r="F2623" s="370"/>
      <c r="G2623" s="368"/>
      <c r="H2623" s="368"/>
      <c r="I2623" s="372" t="str">
        <f t="shared" si="103"/>
        <v>0</v>
      </c>
      <c r="J2623" s="371"/>
      <c r="K2623" s="371"/>
      <c r="L2623" s="365"/>
      <c r="M2623" s="365"/>
      <c r="N2623" s="372" t="str">
        <f t="shared" si="104"/>
        <v>0</v>
      </c>
      <c r="O2623" s="371">
        <f t="shared" si="105"/>
        <v>0</v>
      </c>
      <c r="P2623" s="366">
        <f t="shared" si="106"/>
        <v>0</v>
      </c>
      <c r="Q2623" s="366">
        <f t="shared" si="107"/>
        <v>0</v>
      </c>
      <c r="R2623" s="367" t="str">
        <f t="shared" si="108"/>
        <v>0</v>
      </c>
    </row>
    <row r="2624" spans="1:18" s="361" customFormat="1" x14ac:dyDescent="0.4">
      <c r="A2624" s="243"/>
      <c r="B2624" s="243"/>
      <c r="C2624" s="22"/>
      <c r="D2624" s="239"/>
      <c r="E2624" s="369"/>
      <c r="F2624" s="370"/>
      <c r="G2624" s="368"/>
      <c r="H2624" s="368"/>
      <c r="I2624" s="372" t="str">
        <f t="shared" si="103"/>
        <v>0</v>
      </c>
      <c r="J2624" s="371"/>
      <c r="K2624" s="371"/>
      <c r="L2624" s="365"/>
      <c r="M2624" s="365"/>
      <c r="N2624" s="372" t="str">
        <f t="shared" si="104"/>
        <v>0</v>
      </c>
      <c r="O2624" s="371">
        <f t="shared" si="105"/>
        <v>0</v>
      </c>
      <c r="P2624" s="366">
        <f t="shared" si="106"/>
        <v>0</v>
      </c>
      <c r="Q2624" s="366">
        <f t="shared" si="107"/>
        <v>0</v>
      </c>
      <c r="R2624" s="367" t="str">
        <f t="shared" si="108"/>
        <v>0</v>
      </c>
    </row>
    <row r="2625" spans="1:18" s="361" customFormat="1" x14ac:dyDescent="0.4">
      <c r="A2625" s="243"/>
      <c r="B2625" s="243"/>
      <c r="C2625" s="22"/>
      <c r="D2625" s="239"/>
      <c r="E2625" s="369"/>
      <c r="F2625" s="370"/>
      <c r="G2625" s="368"/>
      <c r="H2625" s="368"/>
      <c r="I2625" s="372" t="str">
        <f t="shared" si="103"/>
        <v>0</v>
      </c>
      <c r="J2625" s="371"/>
      <c r="K2625" s="371"/>
      <c r="L2625" s="365"/>
      <c r="M2625" s="365"/>
      <c r="N2625" s="372" t="str">
        <f t="shared" si="104"/>
        <v>0</v>
      </c>
      <c r="O2625" s="371">
        <f t="shared" si="105"/>
        <v>0</v>
      </c>
      <c r="P2625" s="366">
        <f t="shared" si="106"/>
        <v>0</v>
      </c>
      <c r="Q2625" s="366">
        <f t="shared" si="107"/>
        <v>0</v>
      </c>
      <c r="R2625" s="367" t="str">
        <f t="shared" si="108"/>
        <v>0</v>
      </c>
    </row>
    <row r="2626" spans="1:18" s="361" customFormat="1" x14ac:dyDescent="0.4">
      <c r="A2626" s="243"/>
      <c r="B2626" s="243"/>
      <c r="C2626" s="22"/>
      <c r="D2626" s="239"/>
      <c r="E2626" s="369"/>
      <c r="F2626" s="370"/>
      <c r="G2626" s="368"/>
      <c r="H2626" s="368"/>
      <c r="I2626" s="372" t="str">
        <f t="shared" si="103"/>
        <v>0</v>
      </c>
      <c r="J2626" s="371"/>
      <c r="K2626" s="371"/>
      <c r="L2626" s="365"/>
      <c r="M2626" s="365"/>
      <c r="N2626" s="372" t="str">
        <f t="shared" si="104"/>
        <v>0</v>
      </c>
      <c r="O2626" s="371">
        <f t="shared" si="105"/>
        <v>0</v>
      </c>
      <c r="P2626" s="366">
        <f t="shared" si="106"/>
        <v>0</v>
      </c>
      <c r="Q2626" s="366">
        <f t="shared" si="107"/>
        <v>0</v>
      </c>
      <c r="R2626" s="367" t="str">
        <f t="shared" si="108"/>
        <v>0</v>
      </c>
    </row>
    <row r="2627" spans="1:18" s="361" customFormat="1" x14ac:dyDescent="0.4">
      <c r="A2627" s="243"/>
      <c r="B2627" s="243"/>
      <c r="C2627" s="22"/>
      <c r="D2627" s="239"/>
      <c r="E2627" s="369"/>
      <c r="F2627" s="370"/>
      <c r="G2627" s="368"/>
      <c r="H2627" s="368"/>
      <c r="I2627" s="372" t="str">
        <f t="shared" si="103"/>
        <v>0</v>
      </c>
      <c r="J2627" s="371"/>
      <c r="K2627" s="371"/>
      <c r="L2627" s="365"/>
      <c r="M2627" s="365"/>
      <c r="N2627" s="372" t="str">
        <f t="shared" si="104"/>
        <v>0</v>
      </c>
      <c r="O2627" s="371">
        <f t="shared" si="105"/>
        <v>0</v>
      </c>
      <c r="P2627" s="366">
        <f t="shared" si="106"/>
        <v>0</v>
      </c>
      <c r="Q2627" s="366">
        <f t="shared" si="107"/>
        <v>0</v>
      </c>
      <c r="R2627" s="367" t="str">
        <f t="shared" si="108"/>
        <v>0</v>
      </c>
    </row>
  </sheetData>
  <autoFilter ref="A1:T2566">
    <filterColumn colId="18" showButton="0"/>
  </autoFilter>
  <mergeCells count="8">
    <mergeCell ref="S1:T1"/>
    <mergeCell ref="E2:I2"/>
    <mergeCell ref="J2:N2"/>
    <mergeCell ref="A1:A2"/>
    <mergeCell ref="B1:B2"/>
    <mergeCell ref="C1:C2"/>
    <mergeCell ref="D1:D2"/>
    <mergeCell ref="R1:R2"/>
  </mergeCells>
  <phoneticPr fontId="2" type="noConversion"/>
  <conditionalFormatting sqref="B129:B153 D129:D153 B1360:B1381 D1360:D1381 B2112:B2126 B2144:B2167 B2320:B2329">
    <cfRule type="containsBlanks" dxfId="142" priority="175">
      <formula>LEN(TRIM(B129))=0</formula>
    </cfRule>
  </conditionalFormatting>
  <conditionalFormatting sqref="D3:D27">
    <cfRule type="containsBlanks" dxfId="141" priority="181">
      <formula>LEN(TRIM(D3))=0</formula>
    </cfRule>
  </conditionalFormatting>
  <conditionalFormatting sqref="D1:H1">
    <cfRule type="containsBlanks" dxfId="140" priority="192">
      <formula>LEN(TRIM(D1))=0</formula>
    </cfRule>
  </conditionalFormatting>
  <conditionalFormatting sqref="E2:F2">
    <cfRule type="containsBlanks" dxfId="139" priority="191">
      <formula>LEN(TRIM(E2))=0</formula>
    </cfRule>
  </conditionalFormatting>
  <conditionalFormatting sqref="E3:H6 B3:B27">
    <cfRule type="containsBlanks" dxfId="138" priority="182">
      <formula>LEN(TRIM(B3))=0</formula>
    </cfRule>
  </conditionalFormatting>
  <conditionalFormatting sqref="E1:Q128 E2628:Q1048576 E129:R990 E1369:R1451 E1453:R1495 E1497:R1605 E1615:R1848 E1850:R2126 E2128:R2566">
    <cfRule type="cellIs" dxfId="137" priority="177" operator="lessThanOrEqual">
      <formula>0</formula>
    </cfRule>
  </conditionalFormatting>
  <conditionalFormatting sqref="R1:R347 R1369:R1451 R1453:R1495 R1497:R1605 R1615:R2566 R2628:R1048576">
    <cfRule type="cellIs" dxfId="136" priority="157" operator="lessThanOrEqual">
      <formula>0</formula>
    </cfRule>
  </conditionalFormatting>
  <conditionalFormatting sqref="S1 J1:M1 J2:K2">
    <cfRule type="containsBlanks" dxfId="135" priority="190">
      <formula>LEN(TRIM(J1))=0</formula>
    </cfRule>
  </conditionalFormatting>
  <conditionalFormatting sqref="S1">
    <cfRule type="cellIs" dxfId="134" priority="188" operator="lessThanOrEqual">
      <formula>0</formula>
    </cfRule>
  </conditionalFormatting>
  <conditionalFormatting sqref="R348:R377">
    <cfRule type="cellIs" dxfId="133" priority="155" operator="lessThanOrEqual">
      <formula>0</formula>
    </cfRule>
  </conditionalFormatting>
  <conditionalFormatting sqref="D378:D398 B378:B398">
    <cfRule type="containsBlanks" dxfId="132" priority="154">
      <formula>LEN(TRIM(B378))=0</formula>
    </cfRule>
  </conditionalFormatting>
  <conditionalFormatting sqref="R378">
    <cfRule type="cellIs" dxfId="131" priority="152" operator="lessThanOrEqual">
      <formula>0</formula>
    </cfRule>
  </conditionalFormatting>
  <conditionalFormatting sqref="R379:R417">
    <cfRule type="cellIs" dxfId="130" priority="150" operator="lessThanOrEqual">
      <formula>0</formula>
    </cfRule>
  </conditionalFormatting>
  <conditionalFormatting sqref="R418:R990">
    <cfRule type="cellIs" dxfId="129" priority="148" operator="lessThanOrEqual">
      <formula>0</formula>
    </cfRule>
  </conditionalFormatting>
  <conditionalFormatting sqref="D399:D423 B399:B423">
    <cfRule type="containsBlanks" dxfId="128" priority="147">
      <formula>LEN(TRIM(B399))=0</formula>
    </cfRule>
  </conditionalFormatting>
  <conditionalFormatting sqref="D424:D447 B424:B447">
    <cfRule type="containsBlanks" dxfId="127" priority="146">
      <formula>LEN(TRIM(B424))=0</formula>
    </cfRule>
  </conditionalFormatting>
  <conditionalFormatting sqref="D448:D476 B448:B476">
    <cfRule type="containsBlanks" dxfId="126" priority="145">
      <formula>LEN(TRIM(B448))=0</formula>
    </cfRule>
  </conditionalFormatting>
  <conditionalFormatting sqref="D477:D498 B477:B498">
    <cfRule type="containsBlanks" dxfId="125" priority="144">
      <formula>LEN(TRIM(B477))=0</formula>
    </cfRule>
  </conditionalFormatting>
  <conditionalFormatting sqref="D499:D523 B499:B523">
    <cfRule type="containsBlanks" dxfId="124" priority="143">
      <formula>LEN(TRIM(B499))=0</formula>
    </cfRule>
  </conditionalFormatting>
  <conditionalFormatting sqref="D524:D554 B524:B554">
    <cfRule type="containsBlanks" dxfId="123" priority="142">
      <formula>LEN(TRIM(B524))=0</formula>
    </cfRule>
  </conditionalFormatting>
  <conditionalFormatting sqref="D555:D583 B555:B583">
    <cfRule type="containsBlanks" dxfId="122" priority="141">
      <formula>LEN(TRIM(B555))=0</formula>
    </cfRule>
  </conditionalFormatting>
  <conditionalFormatting sqref="D584:D613 B584:B613">
    <cfRule type="containsBlanks" dxfId="121" priority="140">
      <formula>LEN(TRIM(B584))=0</formula>
    </cfRule>
  </conditionalFormatting>
  <conditionalFormatting sqref="D614:D627 B614:B627">
    <cfRule type="containsBlanks" dxfId="120" priority="139">
      <formula>LEN(TRIM(B614))=0</formula>
    </cfRule>
  </conditionalFormatting>
  <conditionalFormatting sqref="D628:D655 B628:B655">
    <cfRule type="containsBlanks" dxfId="119" priority="138">
      <formula>LEN(TRIM(B628))=0</formula>
    </cfRule>
  </conditionalFormatting>
  <conditionalFormatting sqref="D656:D680 B656:B680">
    <cfRule type="containsBlanks" dxfId="118" priority="137">
      <formula>LEN(TRIM(B656))=0</formula>
    </cfRule>
  </conditionalFormatting>
  <conditionalFormatting sqref="D681:D705 B681:B705">
    <cfRule type="containsBlanks" dxfId="117" priority="136">
      <formula>LEN(TRIM(B681))=0</formula>
    </cfRule>
  </conditionalFormatting>
  <conditionalFormatting sqref="D706:D724 B706:B724">
    <cfRule type="containsBlanks" dxfId="116" priority="135">
      <formula>LEN(TRIM(B706))=0</formula>
    </cfRule>
  </conditionalFormatting>
  <conditionalFormatting sqref="D725:D728">
    <cfRule type="containsBlanks" dxfId="115" priority="134">
      <formula>LEN(TRIM(D725))=0</formula>
    </cfRule>
  </conditionalFormatting>
  <conditionalFormatting sqref="B725:B728">
    <cfRule type="containsBlanks" dxfId="114" priority="133">
      <formula>LEN(TRIM(B725))=0</formula>
    </cfRule>
  </conditionalFormatting>
  <conditionalFormatting sqref="D729:D757">
    <cfRule type="containsBlanks" dxfId="113" priority="132">
      <formula>LEN(TRIM(D729))=0</formula>
    </cfRule>
  </conditionalFormatting>
  <conditionalFormatting sqref="B729:B757">
    <cfRule type="containsBlanks" dxfId="112" priority="131">
      <formula>LEN(TRIM(B729))=0</formula>
    </cfRule>
  </conditionalFormatting>
  <conditionalFormatting sqref="D758:D785 B758:B785">
    <cfRule type="containsBlanks" dxfId="111" priority="130">
      <formula>LEN(TRIM(B758))=0</formula>
    </cfRule>
  </conditionalFormatting>
  <conditionalFormatting sqref="D786:D811 B786:B811">
    <cfRule type="containsBlanks" dxfId="110" priority="129">
      <formula>LEN(TRIM(B786))=0</formula>
    </cfRule>
  </conditionalFormatting>
  <conditionalFormatting sqref="D812:D834 B812:B834">
    <cfRule type="containsBlanks" dxfId="109" priority="128">
      <formula>LEN(TRIM(B812))=0</formula>
    </cfRule>
  </conditionalFormatting>
  <conditionalFormatting sqref="D835:D841 B835:B841">
    <cfRule type="containsBlanks" dxfId="108" priority="127">
      <formula>LEN(TRIM(B835))=0</formula>
    </cfRule>
  </conditionalFormatting>
  <conditionalFormatting sqref="D842:D863 B842:B863">
    <cfRule type="containsBlanks" dxfId="107" priority="126">
      <formula>LEN(TRIM(B842))=0</formula>
    </cfRule>
  </conditionalFormatting>
  <conditionalFormatting sqref="B864:B893 D864:D893">
    <cfRule type="containsBlanks" dxfId="106" priority="125">
      <formula>LEN(TRIM(B864))=0</formula>
    </cfRule>
  </conditionalFormatting>
  <conditionalFormatting sqref="D894:D924 B894:B924">
    <cfRule type="containsBlanks" dxfId="105" priority="124">
      <formula>LEN(TRIM(B894))=0</formula>
    </cfRule>
  </conditionalFormatting>
  <conditionalFormatting sqref="B925:B951 D925:D951">
    <cfRule type="containsBlanks" dxfId="104" priority="123">
      <formula>LEN(TRIM(B925))=0</formula>
    </cfRule>
  </conditionalFormatting>
  <conditionalFormatting sqref="B952:B979 D952:D979">
    <cfRule type="containsBlanks" dxfId="103" priority="122">
      <formula>LEN(TRIM(B952))=0</formula>
    </cfRule>
  </conditionalFormatting>
  <conditionalFormatting sqref="B980:B986 D980:D986">
    <cfRule type="containsBlanks" dxfId="102" priority="121">
      <formula>LEN(TRIM(B980))=0</formula>
    </cfRule>
  </conditionalFormatting>
  <conditionalFormatting sqref="B987:B991 D987:D991">
    <cfRule type="containsBlanks" dxfId="101" priority="120">
      <formula>LEN(TRIM(B987))=0</formula>
    </cfRule>
  </conditionalFormatting>
  <conditionalFormatting sqref="E991:R1078 I1079:R1080 E1081:R1085 I1086:R1087 E1088:R1107">
    <cfRule type="cellIs" dxfId="100" priority="119" operator="lessThanOrEqual">
      <formula>0</formula>
    </cfRule>
  </conditionalFormatting>
  <conditionalFormatting sqref="R991:R1107">
    <cfRule type="cellIs" dxfId="99" priority="118" operator="lessThanOrEqual">
      <formula>0</formula>
    </cfRule>
  </conditionalFormatting>
  <conditionalFormatting sqref="D992:D1026 B992:B1026">
    <cfRule type="containsBlanks" dxfId="98" priority="115">
      <formula>LEN(TRIM(B992))=0</formula>
    </cfRule>
  </conditionalFormatting>
  <conditionalFormatting sqref="D1027:D1032 B1027:B1032">
    <cfRule type="containsBlanks" dxfId="97" priority="114">
      <formula>LEN(TRIM(B1027))=0</formula>
    </cfRule>
  </conditionalFormatting>
  <conditionalFormatting sqref="B1033:B1060 D1033:D1060">
    <cfRule type="containsBlanks" dxfId="96" priority="113">
      <formula>LEN(TRIM(B1033))=0</formula>
    </cfRule>
  </conditionalFormatting>
  <conditionalFormatting sqref="B1061:B1090 D1061:D1090">
    <cfRule type="containsBlanks" dxfId="95" priority="112">
      <formula>LEN(TRIM(B1061))=0</formula>
    </cfRule>
  </conditionalFormatting>
  <conditionalFormatting sqref="B1091:B1114 D1091:D1114">
    <cfRule type="containsBlanks" dxfId="94" priority="111">
      <formula>LEN(TRIM(B1091))=0</formula>
    </cfRule>
  </conditionalFormatting>
  <conditionalFormatting sqref="E1079:H1079">
    <cfRule type="cellIs" dxfId="93" priority="110" operator="lessThanOrEqual">
      <formula>0</formula>
    </cfRule>
  </conditionalFormatting>
  <conditionalFormatting sqref="E1080:H1080">
    <cfRule type="cellIs" dxfId="92" priority="109" operator="lessThanOrEqual">
      <formula>0</formula>
    </cfRule>
  </conditionalFormatting>
  <conditionalFormatting sqref="E1087:H1087">
    <cfRule type="cellIs" dxfId="91" priority="108" operator="lessThanOrEqual">
      <formula>0</formula>
    </cfRule>
  </conditionalFormatting>
  <conditionalFormatting sqref="E1086:H1086">
    <cfRule type="cellIs" dxfId="90" priority="107" operator="lessThanOrEqual">
      <formula>0</formula>
    </cfRule>
  </conditionalFormatting>
  <conditionalFormatting sqref="E1108:F1108 I1108:R1108 E1109:R1180 O1181:R1181 E1182:R1248 I1267:R1267 E1250:R1266 E1268:R1368">
    <cfRule type="cellIs" dxfId="89" priority="106" operator="lessThanOrEqual">
      <formula>0</formula>
    </cfRule>
  </conditionalFormatting>
  <conditionalFormatting sqref="R1108:R1248 R1250:R1368">
    <cfRule type="cellIs" dxfId="88" priority="105" operator="lessThanOrEqual">
      <formula>0</formula>
    </cfRule>
  </conditionalFormatting>
  <conditionalFormatting sqref="G1108:H1108">
    <cfRule type="cellIs" dxfId="87" priority="104" operator="lessThanOrEqual">
      <formula>0</formula>
    </cfRule>
  </conditionalFormatting>
  <conditionalFormatting sqref="B1115:B1141 D1115:D1141">
    <cfRule type="containsBlanks" dxfId="86" priority="103">
      <formula>LEN(TRIM(B1115))=0</formula>
    </cfRule>
  </conditionalFormatting>
  <conditionalFormatting sqref="B1142:B1169 D1142:D1169">
    <cfRule type="containsBlanks" dxfId="85" priority="102">
      <formula>LEN(TRIM(B1142))=0</formula>
    </cfRule>
  </conditionalFormatting>
  <conditionalFormatting sqref="B1170:B1187 D1170:D1187">
    <cfRule type="containsBlanks" dxfId="84" priority="101">
      <formula>LEN(TRIM(B1170))=0</formula>
    </cfRule>
  </conditionalFormatting>
  <conditionalFormatting sqref="E1181:N1181">
    <cfRule type="cellIs" dxfId="83" priority="100" operator="lessThanOrEqual">
      <formula>0</formula>
    </cfRule>
  </conditionalFormatting>
  <conditionalFormatting sqref="B1188:B1209 D1188:D1209">
    <cfRule type="containsBlanks" dxfId="82" priority="99">
      <formula>LEN(TRIM(B1188))=0</formula>
    </cfRule>
  </conditionalFormatting>
  <conditionalFormatting sqref="B1210 D1210">
    <cfRule type="containsBlanks" dxfId="81" priority="98">
      <formula>LEN(TRIM(B1210))=0</formula>
    </cfRule>
  </conditionalFormatting>
  <conditionalFormatting sqref="D1226:D1248 B1226:B1248">
    <cfRule type="containsBlanks" dxfId="80" priority="96">
      <formula>LEN(TRIM(B1226))=0</formula>
    </cfRule>
  </conditionalFormatting>
  <conditionalFormatting sqref="B1211:B1225 D1211:D1225">
    <cfRule type="containsBlanks" dxfId="79" priority="95">
      <formula>LEN(TRIM(B1211))=0</formula>
    </cfRule>
  </conditionalFormatting>
  <conditionalFormatting sqref="D1250:D1268 B1250:B1268">
    <cfRule type="containsBlanks" dxfId="78" priority="94">
      <formula>LEN(TRIM(B1250))=0</formula>
    </cfRule>
  </conditionalFormatting>
  <conditionalFormatting sqref="E1267:H1267">
    <cfRule type="cellIs" dxfId="77" priority="93" operator="lessThanOrEqual">
      <formula>0</formula>
    </cfRule>
  </conditionalFormatting>
  <conditionalFormatting sqref="E1249:R1249">
    <cfRule type="cellIs" dxfId="76" priority="92" operator="lessThanOrEqual">
      <formula>0</formula>
    </cfRule>
  </conditionalFormatting>
  <conditionalFormatting sqref="R1249">
    <cfRule type="cellIs" dxfId="75" priority="91" operator="lessThanOrEqual">
      <formula>0</formula>
    </cfRule>
  </conditionalFormatting>
  <conditionalFormatting sqref="B1249 D1249">
    <cfRule type="containsBlanks" dxfId="74" priority="90">
      <formula>LEN(TRIM(B1249))=0</formula>
    </cfRule>
  </conditionalFormatting>
  <conditionalFormatting sqref="B1269:B1296 D1269:D1296">
    <cfRule type="containsBlanks" dxfId="73" priority="89">
      <formula>LEN(TRIM(B1269))=0</formula>
    </cfRule>
  </conditionalFormatting>
  <conditionalFormatting sqref="B1297:B1315 D1297:D1315">
    <cfRule type="containsBlanks" dxfId="72" priority="88">
      <formula>LEN(TRIM(B1297))=0</formula>
    </cfRule>
  </conditionalFormatting>
  <conditionalFormatting sqref="B1316:B1330 D1316:D1330">
    <cfRule type="containsBlanks" dxfId="71" priority="87">
      <formula>LEN(TRIM(B1316))=0</formula>
    </cfRule>
  </conditionalFormatting>
  <conditionalFormatting sqref="D1331:D1359 B1331:B1359">
    <cfRule type="containsBlanks" dxfId="70" priority="86">
      <formula>LEN(TRIM(B1331))=0</formula>
    </cfRule>
  </conditionalFormatting>
  <conditionalFormatting sqref="E1606:R1613">
    <cfRule type="cellIs" dxfId="69" priority="82" operator="lessThanOrEqual">
      <formula>0</formula>
    </cfRule>
  </conditionalFormatting>
  <conditionalFormatting sqref="R1606:R1613">
    <cfRule type="cellIs" dxfId="68" priority="81" operator="lessThanOrEqual">
      <formula>0</formula>
    </cfRule>
  </conditionalFormatting>
  <conditionalFormatting sqref="B1382:B1406 D1382:D1406">
    <cfRule type="containsBlanks" dxfId="67" priority="80">
      <formula>LEN(TRIM(B1382))=0</formula>
    </cfRule>
  </conditionalFormatting>
  <conditionalFormatting sqref="B1407:B1434 D1407:D1434">
    <cfRule type="containsBlanks" dxfId="66" priority="79">
      <formula>LEN(TRIM(B1407))=0</formula>
    </cfRule>
  </conditionalFormatting>
  <conditionalFormatting sqref="B1435:B1451 D1435:D1451 D1453 B1453">
    <cfRule type="containsBlanks" dxfId="65" priority="78">
      <formula>LEN(TRIM(B1435))=0</formula>
    </cfRule>
  </conditionalFormatting>
  <conditionalFormatting sqref="E1452 G1452:R1452">
    <cfRule type="cellIs" dxfId="64" priority="77" operator="lessThanOrEqual">
      <formula>0</formula>
    </cfRule>
  </conditionalFormatting>
  <conditionalFormatting sqref="R1452">
    <cfRule type="cellIs" dxfId="63" priority="76" operator="lessThanOrEqual">
      <formula>0</formula>
    </cfRule>
  </conditionalFormatting>
  <conditionalFormatting sqref="B1452 D1452">
    <cfRule type="containsBlanks" dxfId="62" priority="75">
      <formula>LEN(TRIM(B1452))=0</formula>
    </cfRule>
  </conditionalFormatting>
  <conditionalFormatting sqref="F1452">
    <cfRule type="cellIs" dxfId="61" priority="74" operator="lessThanOrEqual">
      <formula>0</formula>
    </cfRule>
  </conditionalFormatting>
  <conditionalFormatting sqref="B1454:B1477 D1454:D1477">
    <cfRule type="containsBlanks" dxfId="60" priority="73">
      <formula>LEN(TRIM(B1454))=0</formula>
    </cfRule>
  </conditionalFormatting>
  <conditionalFormatting sqref="B1478:B1483">
    <cfRule type="containsBlanks" dxfId="59" priority="72">
      <formula>LEN(TRIM(B1478))=0</formula>
    </cfRule>
  </conditionalFormatting>
  <conditionalFormatting sqref="B1493:B1494 B1497:B1516">
    <cfRule type="containsBlanks" dxfId="58" priority="69">
      <formula>LEN(TRIM(B1493))=0</formula>
    </cfRule>
  </conditionalFormatting>
  <conditionalFormatting sqref="B1484:B1492">
    <cfRule type="containsBlanks" dxfId="57" priority="68">
      <formula>LEN(TRIM(B1484))=0</formula>
    </cfRule>
  </conditionalFormatting>
  <conditionalFormatting sqref="E1496 G1496:R1496">
    <cfRule type="cellIs" dxfId="56" priority="67" operator="lessThanOrEqual">
      <formula>0</formula>
    </cfRule>
  </conditionalFormatting>
  <conditionalFormatting sqref="R1496">
    <cfRule type="cellIs" dxfId="55" priority="66" operator="lessThanOrEqual">
      <formula>0</formula>
    </cfRule>
  </conditionalFormatting>
  <conditionalFormatting sqref="B1495">
    <cfRule type="containsBlanks" dxfId="54" priority="64">
      <formula>LEN(TRIM(B1495))=0</formula>
    </cfRule>
  </conditionalFormatting>
  <conditionalFormatting sqref="B1496">
    <cfRule type="containsBlanks" dxfId="53" priority="63">
      <formula>LEN(TRIM(B1496))=0</formula>
    </cfRule>
  </conditionalFormatting>
  <conditionalFormatting sqref="F1496">
    <cfRule type="cellIs" dxfId="52" priority="62" operator="lessThanOrEqual">
      <formula>0</formula>
    </cfRule>
  </conditionalFormatting>
  <conditionalFormatting sqref="B1517:B1543">
    <cfRule type="containsBlanks" dxfId="51" priority="61">
      <formula>LEN(TRIM(B1517))=0</formula>
    </cfRule>
  </conditionalFormatting>
  <conditionalFormatting sqref="B1544:B1573">
    <cfRule type="containsBlanks" dxfId="50" priority="60">
      <formula>LEN(TRIM(B1544))=0</formula>
    </cfRule>
  </conditionalFormatting>
  <conditionalFormatting sqref="B1574:B1608">
    <cfRule type="containsBlanks" dxfId="49" priority="59">
      <formula>LEN(TRIM(B1574))=0</formula>
    </cfRule>
  </conditionalFormatting>
  <conditionalFormatting sqref="B1609:B1613 B1615:B1632">
    <cfRule type="containsBlanks" dxfId="48" priority="58">
      <formula>LEN(TRIM(B1609))=0</formula>
    </cfRule>
  </conditionalFormatting>
  <conditionalFormatting sqref="N1614:R1614">
    <cfRule type="cellIs" dxfId="47" priority="57" operator="lessThanOrEqual">
      <formula>0</formula>
    </cfRule>
  </conditionalFormatting>
  <conditionalFormatting sqref="R1614">
    <cfRule type="cellIs" dxfId="46" priority="56" operator="lessThanOrEqual">
      <formula>0</formula>
    </cfRule>
  </conditionalFormatting>
  <conditionalFormatting sqref="B1614">
    <cfRule type="containsBlanks" dxfId="45" priority="55">
      <formula>LEN(TRIM(B1614))=0</formula>
    </cfRule>
  </conditionalFormatting>
  <conditionalFormatting sqref="E1614:M1614">
    <cfRule type="cellIs" dxfId="44" priority="54" operator="lessThanOrEqual">
      <formula>0</formula>
    </cfRule>
  </conditionalFormatting>
  <conditionalFormatting sqref="B1633:B1649">
    <cfRule type="containsBlanks" dxfId="43" priority="53">
      <formula>LEN(TRIM(B1633))=0</formula>
    </cfRule>
  </conditionalFormatting>
  <conditionalFormatting sqref="B1650:B1682">
    <cfRule type="containsBlanks" dxfId="42" priority="52">
      <formula>LEN(TRIM(B1650))=0</formula>
    </cfRule>
  </conditionalFormatting>
  <conditionalFormatting sqref="B1683:B1714">
    <cfRule type="containsBlanks" dxfId="41" priority="51">
      <formula>LEN(TRIM(B1683))=0</formula>
    </cfRule>
  </conditionalFormatting>
  <conditionalFormatting sqref="B1715:B1749">
    <cfRule type="containsBlanks" dxfId="40" priority="50">
      <formula>LEN(TRIM(B1715))=0</formula>
    </cfRule>
  </conditionalFormatting>
  <conditionalFormatting sqref="B1750:B1775">
    <cfRule type="containsBlanks" dxfId="39" priority="49">
      <formula>LEN(TRIM(B1750))=0</formula>
    </cfRule>
  </conditionalFormatting>
  <conditionalFormatting sqref="B1776:B1803">
    <cfRule type="containsBlanks" dxfId="38" priority="48">
      <formula>LEN(TRIM(B1776))=0</formula>
    </cfRule>
  </conditionalFormatting>
  <conditionalFormatting sqref="B1831:B1847">
    <cfRule type="containsBlanks" dxfId="37" priority="47">
      <formula>LEN(TRIM(B1831))=0</formula>
    </cfRule>
  </conditionalFormatting>
  <conditionalFormatting sqref="E1849:I1849 N1849:R1849 E2127:F2127 I2127:L2127 N2127:R2127">
    <cfRule type="cellIs" dxfId="36" priority="46" operator="lessThanOrEqual">
      <formula>0</formula>
    </cfRule>
  </conditionalFormatting>
  <conditionalFormatting sqref="B1848:B1873">
    <cfRule type="containsBlanks" dxfId="35" priority="44">
      <formula>LEN(TRIM(B1848))=0</formula>
    </cfRule>
  </conditionalFormatting>
  <conditionalFormatting sqref="J1849:M1849">
    <cfRule type="cellIs" dxfId="34" priority="43" operator="lessThanOrEqual">
      <formula>0</formula>
    </cfRule>
  </conditionalFormatting>
  <conditionalFormatting sqref="B1874:B1898">
    <cfRule type="containsBlanks" dxfId="33" priority="42">
      <formula>LEN(TRIM(B1874))=0</formula>
    </cfRule>
  </conditionalFormatting>
  <conditionalFormatting sqref="B1899:B1928">
    <cfRule type="containsBlanks" dxfId="32" priority="41">
      <formula>LEN(TRIM(B1899))=0</formula>
    </cfRule>
  </conditionalFormatting>
  <conditionalFormatting sqref="B1929:B1950">
    <cfRule type="containsBlanks" dxfId="31" priority="40">
      <formula>LEN(TRIM(B1929))=0</formula>
    </cfRule>
  </conditionalFormatting>
  <conditionalFormatting sqref="B1951:B1973">
    <cfRule type="containsBlanks" dxfId="30" priority="39">
      <formula>LEN(TRIM(B1951))=0</formula>
    </cfRule>
  </conditionalFormatting>
  <conditionalFormatting sqref="B1974:B1996 B1998">
    <cfRule type="containsBlanks" dxfId="29" priority="38">
      <formula>LEN(TRIM(B1974))=0</formula>
    </cfRule>
  </conditionalFormatting>
  <conditionalFormatting sqref="B1997">
    <cfRule type="containsBlanks" dxfId="28" priority="37">
      <formula>LEN(TRIM(B1997))=0</formula>
    </cfRule>
  </conditionalFormatting>
  <conditionalFormatting sqref="B1999:B2026">
    <cfRule type="containsBlanks" dxfId="27" priority="36">
      <formula>LEN(TRIM(B1999))=0</formula>
    </cfRule>
  </conditionalFormatting>
  <conditionalFormatting sqref="B2027:B2052">
    <cfRule type="containsBlanks" dxfId="26" priority="35">
      <formula>LEN(TRIM(B2027))=0</formula>
    </cfRule>
  </conditionalFormatting>
  <conditionalFormatting sqref="B2053:B2080">
    <cfRule type="containsBlanks" dxfId="25" priority="34">
      <formula>LEN(TRIM(B2053))=0</formula>
    </cfRule>
  </conditionalFormatting>
  <conditionalFormatting sqref="B2081:B2111">
    <cfRule type="containsBlanks" dxfId="24" priority="33">
      <formula>LEN(TRIM(B2081))=0</formula>
    </cfRule>
  </conditionalFormatting>
  <conditionalFormatting sqref="B2127:B2143">
    <cfRule type="containsBlanks" dxfId="23" priority="32">
      <formula>LEN(TRIM(B2127))=0</formula>
    </cfRule>
  </conditionalFormatting>
  <conditionalFormatting sqref="G2127:H2127">
    <cfRule type="cellIs" dxfId="22" priority="31" operator="lessThanOrEqual">
      <formula>0</formula>
    </cfRule>
  </conditionalFormatting>
  <conditionalFormatting sqref="M2127">
    <cfRule type="cellIs" dxfId="21" priority="30" operator="lessThanOrEqual">
      <formula>0</formula>
    </cfRule>
  </conditionalFormatting>
  <conditionalFormatting sqref="B2168:B2192">
    <cfRule type="containsBlanks" dxfId="20" priority="28">
      <formula>LEN(TRIM(B2168))=0</formula>
    </cfRule>
  </conditionalFormatting>
  <conditionalFormatting sqref="B2193:B2214">
    <cfRule type="containsBlanks" dxfId="19" priority="27">
      <formula>LEN(TRIM(B2193))=0</formula>
    </cfRule>
  </conditionalFormatting>
  <conditionalFormatting sqref="B2215:B2231 B2233:B2285">
    <cfRule type="containsBlanks" dxfId="18" priority="26">
      <formula>LEN(TRIM(B2215))=0</formula>
    </cfRule>
  </conditionalFormatting>
  <conditionalFormatting sqref="B2232">
    <cfRule type="containsBlanks" dxfId="17" priority="19">
      <formula>LEN(TRIM(B2232))=0</formula>
    </cfRule>
  </conditionalFormatting>
  <conditionalFormatting sqref="B2286:B2295 B2297:B2300 B2302:B2306">
    <cfRule type="containsBlanks" dxfId="16" priority="18">
      <formula>LEN(TRIM(B2286))=0</formula>
    </cfRule>
  </conditionalFormatting>
  <conditionalFormatting sqref="B2296">
    <cfRule type="containsBlanks" dxfId="15" priority="17">
      <formula>LEN(TRIM(B2296))=0</formula>
    </cfRule>
  </conditionalFormatting>
  <conditionalFormatting sqref="B2301">
    <cfRule type="containsBlanks" dxfId="14" priority="16">
      <formula>LEN(TRIM(B2301))=0</formula>
    </cfRule>
  </conditionalFormatting>
  <conditionalFormatting sqref="B2307:B2319">
    <cfRule type="containsBlanks" dxfId="13" priority="15">
      <formula>LEN(TRIM(B2307))=0</formula>
    </cfRule>
  </conditionalFormatting>
  <conditionalFormatting sqref="B2330:B2358">
    <cfRule type="containsBlanks" dxfId="12" priority="13">
      <formula>LEN(TRIM(B2330))=0</formula>
    </cfRule>
  </conditionalFormatting>
  <conditionalFormatting sqref="B2359:B2389">
    <cfRule type="containsBlanks" dxfId="11" priority="12">
      <formula>LEN(TRIM(B2359))=0</formula>
    </cfRule>
  </conditionalFormatting>
  <conditionalFormatting sqref="B2390:B2395">
    <cfRule type="containsBlanks" dxfId="10" priority="11">
      <formula>LEN(TRIM(B2390))=0</formula>
    </cfRule>
  </conditionalFormatting>
  <conditionalFormatting sqref="B2396:B2419">
    <cfRule type="containsBlanks" dxfId="9" priority="10">
      <formula>LEN(TRIM(B2396))=0</formula>
    </cfRule>
  </conditionalFormatting>
  <conditionalFormatting sqref="B2420:B2448">
    <cfRule type="containsBlanks" dxfId="8" priority="9">
      <formula>LEN(TRIM(B2420))=0</formula>
    </cfRule>
  </conditionalFormatting>
  <conditionalFormatting sqref="B2449:B2475">
    <cfRule type="containsBlanks" dxfId="7" priority="8">
      <formula>LEN(TRIM(B2449))=0</formula>
    </cfRule>
  </conditionalFormatting>
  <conditionalFormatting sqref="B2476:B2530">
    <cfRule type="containsBlanks" dxfId="6" priority="7">
      <formula>LEN(TRIM(B2476))=0</formula>
    </cfRule>
  </conditionalFormatting>
  <conditionalFormatting sqref="B2531:B2561">
    <cfRule type="containsBlanks" dxfId="5" priority="6">
      <formula>LEN(TRIM(B2531))=0</formula>
    </cfRule>
  </conditionalFormatting>
  <conditionalFormatting sqref="E2567:R2627">
    <cfRule type="cellIs" dxfId="4" priority="5" operator="lessThanOrEqual">
      <formula>0</formula>
    </cfRule>
  </conditionalFormatting>
  <conditionalFormatting sqref="R2567:R2627">
    <cfRule type="cellIs" dxfId="3" priority="4" operator="lessThanOrEqual">
      <formula>0</formula>
    </cfRule>
  </conditionalFormatting>
  <conditionalFormatting sqref="B2619:B2627">
    <cfRule type="containsBlanks" dxfId="2" priority="3">
      <formula>LEN(TRIM(B2619))=0</formula>
    </cfRule>
  </conditionalFormatting>
  <conditionalFormatting sqref="B2562:B2591 B2593:B2618">
    <cfRule type="containsBlanks" dxfId="1" priority="2">
      <formula>LEN(TRIM(B2562))=0</formula>
    </cfRule>
  </conditionalFormatting>
  <conditionalFormatting sqref="B2592">
    <cfRule type="containsBlanks" dxfId="0" priority="1">
      <formula>LEN(TRIM(B2592))=0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M25"/>
  <sheetViews>
    <sheetView zoomScale="90" zoomScaleNormal="90" workbookViewId="0">
      <selection activeCell="H10" sqref="H10"/>
    </sheetView>
  </sheetViews>
  <sheetFormatPr defaultRowHeight="17" x14ac:dyDescent="0.4"/>
  <cols>
    <col min="2" max="2" width="13" bestFit="1" customWidth="1"/>
    <col min="3" max="3" width="10.26953125" bestFit="1" customWidth="1"/>
    <col min="4" max="4" width="8.7265625" bestFit="1" customWidth="1"/>
    <col min="5" max="5" width="24" bestFit="1" customWidth="1"/>
    <col min="6" max="6" width="13.90625" bestFit="1" customWidth="1"/>
    <col min="7" max="7" width="18" customWidth="1"/>
    <col min="8" max="8" width="6" customWidth="1"/>
  </cols>
  <sheetData>
    <row r="1" spans="2:13" ht="21.5" x14ac:dyDescent="0.4">
      <c r="B1" s="468" t="s">
        <v>1857</v>
      </c>
    </row>
    <row r="4" spans="2:13" x14ac:dyDescent="0.4">
      <c r="B4" s="466" t="s">
        <v>47</v>
      </c>
      <c r="C4" s="466" t="s">
        <v>1855</v>
      </c>
      <c r="D4" s="466" t="s">
        <v>48</v>
      </c>
      <c r="E4" s="466" t="s">
        <v>49</v>
      </c>
      <c r="F4" s="466" t="s">
        <v>1856</v>
      </c>
      <c r="G4" s="466" t="s">
        <v>1860</v>
      </c>
    </row>
    <row r="5" spans="2:13" x14ac:dyDescent="0.4">
      <c r="B5" s="361" t="s">
        <v>1853</v>
      </c>
    </row>
    <row r="12" spans="2:13" s="361" customFormat="1" ht="21.5" x14ac:dyDescent="0.4">
      <c r="B12" s="468" t="s">
        <v>1858</v>
      </c>
      <c r="C12"/>
    </row>
    <row r="13" spans="2:13" s="361" customFormat="1" x14ac:dyDescent="0.4"/>
    <row r="14" spans="2:13" s="361" customFormat="1" x14ac:dyDescent="0.4">
      <c r="B14"/>
      <c r="C14"/>
      <c r="D14"/>
      <c r="E14"/>
      <c r="F14"/>
      <c r="G14"/>
      <c r="H14"/>
      <c r="I14"/>
      <c r="J14"/>
      <c r="K14"/>
      <c r="L14"/>
      <c r="M14"/>
    </row>
    <row r="15" spans="2:13" s="361" customFormat="1" x14ac:dyDescent="0.4">
      <c r="B15" s="466" t="s">
        <v>47</v>
      </c>
      <c r="C15" s="466" t="s">
        <v>1855</v>
      </c>
      <c r="D15" s="466" t="s">
        <v>48</v>
      </c>
      <c r="E15" s="466" t="s">
        <v>49</v>
      </c>
      <c r="F15" s="466" t="s">
        <v>1856</v>
      </c>
      <c r="G15" s="466" t="s">
        <v>1859</v>
      </c>
      <c r="H15"/>
      <c r="I15"/>
      <c r="J15"/>
      <c r="K15"/>
      <c r="L15"/>
      <c r="M15"/>
    </row>
    <row r="16" spans="2:13" s="361" customFormat="1" x14ac:dyDescent="0.4">
      <c r="B16" s="467">
        <v>46196</v>
      </c>
      <c r="C16" s="361" t="s">
        <v>1849</v>
      </c>
      <c r="D16" s="361" t="s">
        <v>54</v>
      </c>
      <c r="E16" s="361" t="s">
        <v>251</v>
      </c>
      <c r="F16" s="467">
        <v>46196</v>
      </c>
      <c r="G16" s="361">
        <v>8</v>
      </c>
      <c r="H16"/>
      <c r="I16"/>
      <c r="J16"/>
      <c r="K16"/>
      <c r="L16"/>
      <c r="M16"/>
    </row>
    <row r="17" spans="2:13" s="361" customFormat="1" x14ac:dyDescent="0.4">
      <c r="B17"/>
      <c r="C17"/>
      <c r="D17" s="361" t="s">
        <v>51</v>
      </c>
      <c r="E17" s="361" t="s">
        <v>253</v>
      </c>
      <c r="F17" s="467">
        <v>46196</v>
      </c>
      <c r="G17" s="361">
        <v>8</v>
      </c>
      <c r="H17"/>
      <c r="I17"/>
      <c r="J17"/>
      <c r="K17"/>
      <c r="L17"/>
      <c r="M17"/>
    </row>
    <row r="18" spans="2:13" x14ac:dyDescent="0.4">
      <c r="B18" s="467">
        <v>46197</v>
      </c>
      <c r="C18" s="361" t="s">
        <v>1847</v>
      </c>
      <c r="D18" s="361" t="s">
        <v>72</v>
      </c>
      <c r="E18" s="361" t="s">
        <v>227</v>
      </c>
      <c r="F18" s="467">
        <v>46197</v>
      </c>
      <c r="G18" s="361">
        <v>7</v>
      </c>
    </row>
    <row r="19" spans="2:13" x14ac:dyDescent="0.4">
      <c r="D19" s="361" t="s">
        <v>63</v>
      </c>
      <c r="E19" s="361" t="s">
        <v>267</v>
      </c>
      <c r="F19" s="467">
        <v>46198</v>
      </c>
      <c r="G19" s="361">
        <v>7</v>
      </c>
    </row>
    <row r="20" spans="2:13" x14ac:dyDescent="0.4">
      <c r="C20" s="361" t="s">
        <v>1849</v>
      </c>
      <c r="D20" s="361" t="s">
        <v>68</v>
      </c>
      <c r="E20" s="361" t="s">
        <v>185</v>
      </c>
      <c r="F20" s="467">
        <v>46197</v>
      </c>
      <c r="G20" s="361">
        <v>7</v>
      </c>
    </row>
    <row r="21" spans="2:13" x14ac:dyDescent="0.4">
      <c r="D21" s="361" t="s">
        <v>87</v>
      </c>
      <c r="E21" s="361" t="s">
        <v>199</v>
      </c>
      <c r="F21" s="467">
        <v>46197</v>
      </c>
      <c r="G21" s="361">
        <v>7</v>
      </c>
    </row>
    <row r="22" spans="2:13" x14ac:dyDescent="0.4">
      <c r="B22" s="467">
        <v>46198</v>
      </c>
      <c r="C22" s="361" t="s">
        <v>1847</v>
      </c>
      <c r="D22" s="361" t="s">
        <v>63</v>
      </c>
      <c r="E22" s="361" t="s">
        <v>267</v>
      </c>
      <c r="F22" s="467">
        <v>46198</v>
      </c>
      <c r="G22" s="361">
        <v>8</v>
      </c>
    </row>
    <row r="23" spans="2:13" x14ac:dyDescent="0.4">
      <c r="D23" s="361" t="s">
        <v>1162</v>
      </c>
      <c r="E23" s="361" t="s">
        <v>271</v>
      </c>
      <c r="F23" s="467">
        <v>46198</v>
      </c>
      <c r="G23" s="361">
        <v>8</v>
      </c>
    </row>
    <row r="24" spans="2:13" x14ac:dyDescent="0.4">
      <c r="B24" s="467">
        <v>46212</v>
      </c>
      <c r="C24" s="361" t="s">
        <v>1847</v>
      </c>
      <c r="D24" s="361" t="s">
        <v>1745</v>
      </c>
      <c r="E24" s="361" t="s">
        <v>1747</v>
      </c>
      <c r="F24" s="467">
        <v>46218</v>
      </c>
      <c r="G24" s="361">
        <v>7</v>
      </c>
    </row>
    <row r="25" spans="2:13" x14ac:dyDescent="0.4">
      <c r="B25" s="361" t="s">
        <v>1853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1</vt:i4>
      </vt:variant>
    </vt:vector>
  </HeadingPairs>
  <TitlesOfParts>
    <vt:vector size="6" baseType="lpstr">
      <vt:lpstr>生產達成率(目標)</vt:lpstr>
      <vt:lpstr>112年全品項生產鍋數</vt:lpstr>
      <vt:lpstr>資料總表</vt:lpstr>
      <vt:lpstr>工時</vt:lpstr>
      <vt:lpstr>領料單繳回統計</vt:lpstr>
      <vt:lpstr>資料總表!Print_Titles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Amon</cp:lastModifiedBy>
  <cp:lastPrinted>2026-09-18T08:24:01Z</cp:lastPrinted>
  <dcterms:created xsi:type="dcterms:W3CDTF">2024-02-29T02:17:44Z</dcterms:created>
  <dcterms:modified xsi:type="dcterms:W3CDTF">2026-09-22T12:57:30Z</dcterms:modified>
</cp:coreProperties>
</file>